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CabPK\"/>
    </mc:Choice>
  </mc:AlternateContent>
  <bookViews>
    <workbookView xWindow="1230" yWindow="1160" windowWidth="21570" windowHeight="16080" tabRatio="834" firstSheet="34" activeTab="49"/>
  </bookViews>
  <sheets>
    <sheet name="872_110" sheetId="46" r:id="rId1"/>
    <sheet name="07252016" sheetId="45" r:id="rId2"/>
    <sheet name="07262016" sheetId="44" r:id="rId3"/>
    <sheet name="07292016" sheetId="43" r:id="rId4"/>
    <sheet name="872_145" sheetId="22" r:id="rId5"/>
    <sheet name="890_100" sheetId="24" r:id="rId6"/>
    <sheet name="890_106" sheetId="25" r:id="rId7"/>
    <sheet name="08022017" sheetId="1" r:id="rId8"/>
    <sheet name="08042017" sheetId="2" r:id="rId9"/>
    <sheet name="08062017" sheetId="3" r:id="rId10"/>
    <sheet name="08082017" sheetId="4" r:id="rId11"/>
    <sheet name="08102017" sheetId="5" r:id="rId12"/>
    <sheet name="08112017" sheetId="6" r:id="rId13"/>
    <sheet name="901_089" sheetId="10" r:id="rId14"/>
    <sheet name="901_092" sheetId="11" r:id="rId15"/>
    <sheet name="901_116" sheetId="12" r:id="rId16"/>
    <sheet name="901_127" sheetId="15" r:id="rId17"/>
    <sheet name="901_146" sheetId="14" r:id="rId18"/>
    <sheet name="932_012" sheetId="21" r:id="rId19"/>
    <sheet name="932_017" sheetId="20" r:id="rId20"/>
    <sheet name="932_040" sheetId="27" r:id="rId21"/>
    <sheet name="932_051" sheetId="28" r:id="rId22"/>
    <sheet name="932_056" sheetId="29" r:id="rId23"/>
    <sheet name="932_063" sheetId="30" r:id="rId24"/>
    <sheet name="932_067" sheetId="31" r:id="rId25"/>
    <sheet name="932_083" sheetId="32" r:id="rId26"/>
    <sheet name="932_087" sheetId="18" r:id="rId27"/>
    <sheet name="932_095" sheetId="17" r:id="rId28"/>
    <sheet name="932_100" sheetId="19" r:id="rId29"/>
    <sheet name="932_115" sheetId="26" r:id="rId30"/>
    <sheet name="932_120" sheetId="34" r:id="rId31"/>
    <sheet name="932_123" sheetId="36" r:id="rId32"/>
    <sheet name="932_133" sheetId="37" r:id="rId33"/>
    <sheet name="932_137" sheetId="38" r:id="rId34"/>
    <sheet name="932_141" sheetId="39" r:id="rId35"/>
    <sheet name="932_146" sheetId="41" r:id="rId36"/>
    <sheet name="932_148" sheetId="42" r:id="rId37"/>
    <sheet name="941_10" sheetId="47" r:id="rId38"/>
    <sheet name="941_16" sheetId="48" r:id="rId39"/>
    <sheet name="941_19" sheetId="49" r:id="rId40"/>
    <sheet name="941_22" sheetId="51" r:id="rId41"/>
    <sheet name="941_25" sheetId="50" r:id="rId42"/>
    <sheet name="941_28" sheetId="52" r:id="rId43"/>
    <sheet name="941_31" sheetId="53" r:id="rId44"/>
    <sheet name="941_34" sheetId="54" r:id="rId45"/>
    <sheet name="941_47" sheetId="55" r:id="rId46"/>
    <sheet name="CabPK vs CabPK+CCAP n=18" sheetId="9" r:id="rId47"/>
    <sheet name="PK_PK+CCAP_MCN1_MCN1+CCAP" sheetId="33" r:id="rId48"/>
    <sheet name="GPR" sheetId="16" r:id="rId49"/>
    <sheet name="IMI-CCAP" sheetId="35" r:id="rId50"/>
    <sheet name="Int Coupling" sheetId="40" r:id="rId5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66" i="33" l="1"/>
  <c r="AG250" i="16" l="1"/>
  <c r="AM251" i="16"/>
  <c r="AL251" i="16"/>
  <c r="AK251" i="16"/>
  <c r="AM250" i="16"/>
  <c r="AL250" i="16"/>
  <c r="AK250" i="16"/>
  <c r="AH251" i="16"/>
  <c r="AF251" i="16"/>
  <c r="AH250" i="16"/>
  <c r="AF250" i="16"/>
  <c r="AF230" i="16"/>
  <c r="AM231" i="16"/>
  <c r="AL231" i="16"/>
  <c r="AK231" i="16"/>
  <c r="AH231" i="16"/>
  <c r="AG231" i="16"/>
  <c r="AF231" i="16"/>
  <c r="AM230" i="16"/>
  <c r="AL230" i="16"/>
  <c r="AK230" i="16"/>
  <c r="AH230" i="16"/>
  <c r="AG230" i="16"/>
  <c r="AG212" i="16"/>
  <c r="AH212" i="16"/>
  <c r="AK212" i="16"/>
  <c r="AL212" i="16"/>
  <c r="AM212" i="16"/>
  <c r="AG213" i="16"/>
  <c r="AH213" i="16"/>
  <c r="AK213" i="16"/>
  <c r="AL213" i="16"/>
  <c r="AM213" i="16"/>
  <c r="AF213" i="16"/>
  <c r="AF212" i="16"/>
  <c r="AG194" i="16"/>
  <c r="AH194" i="16"/>
  <c r="AK194" i="16"/>
  <c r="AL194" i="16"/>
  <c r="AM194" i="16"/>
  <c r="AG195" i="16"/>
  <c r="AH195" i="16"/>
  <c r="AK195" i="16"/>
  <c r="AL195" i="16"/>
  <c r="AM195" i="16"/>
  <c r="AF195" i="16"/>
  <c r="AF194" i="16"/>
  <c r="AG251" i="16" l="1"/>
  <c r="AG177" i="16"/>
  <c r="AH177" i="16"/>
  <c r="AK177" i="16"/>
  <c r="AL177" i="16"/>
  <c r="AM177" i="16"/>
  <c r="AG178" i="16"/>
  <c r="AH178" i="16"/>
  <c r="AK178" i="16"/>
  <c r="AL178" i="16"/>
  <c r="AM178" i="16"/>
  <c r="AF178" i="16"/>
  <c r="AF177" i="16"/>
  <c r="AG164" i="16"/>
  <c r="AH164" i="16"/>
  <c r="AK164" i="16"/>
  <c r="AL164" i="16"/>
  <c r="AM164" i="16"/>
  <c r="AG165" i="16"/>
  <c r="AH165" i="16"/>
  <c r="AK165" i="16"/>
  <c r="AL165" i="16"/>
  <c r="AM165" i="16"/>
  <c r="AF165" i="16"/>
  <c r="AF164" i="16"/>
  <c r="AG151" i="16" l="1"/>
  <c r="AH151" i="16"/>
  <c r="AK151" i="16"/>
  <c r="AL151" i="16"/>
  <c r="AM151" i="16"/>
  <c r="AG152" i="16"/>
  <c r="AH152" i="16"/>
  <c r="AK152" i="16"/>
  <c r="AL152" i="16"/>
  <c r="AM152" i="16"/>
  <c r="AF152" i="16"/>
  <c r="AF151" i="16"/>
  <c r="AM140" i="16"/>
  <c r="AL140" i="16"/>
  <c r="AK140" i="16"/>
  <c r="AM139" i="16"/>
  <c r="AL139" i="16"/>
  <c r="AK139" i="16"/>
  <c r="AG139" i="16"/>
  <c r="AH139" i="16"/>
  <c r="AG140" i="16"/>
  <c r="AH140" i="16"/>
  <c r="AF140" i="16"/>
  <c r="AF139" i="16"/>
  <c r="F251" i="16" l="1"/>
  <c r="G251" i="16"/>
  <c r="I251" i="16"/>
  <c r="J251" i="16"/>
  <c r="K251" i="16"/>
  <c r="P251" i="16"/>
  <c r="R251" i="16"/>
  <c r="F250" i="16"/>
  <c r="G250" i="16"/>
  <c r="I250" i="16"/>
  <c r="J250" i="16"/>
  <c r="K250" i="16"/>
  <c r="P250" i="16"/>
  <c r="R250" i="16"/>
  <c r="E250" i="16"/>
  <c r="E251" i="16"/>
  <c r="T239" i="16"/>
  <c r="T251" i="16" s="1"/>
  <c r="U239" i="16"/>
  <c r="U251" i="16" s="1"/>
  <c r="T240" i="16"/>
  <c r="U240" i="16"/>
  <c r="T241" i="16"/>
  <c r="T250" i="16" s="1"/>
  <c r="U241" i="16"/>
  <c r="T243" i="16"/>
  <c r="U243" i="16"/>
  <c r="T244" i="16"/>
  <c r="U244" i="16"/>
  <c r="U245" i="16"/>
  <c r="U242" i="16"/>
  <c r="T242" i="16"/>
  <c r="M240" i="16"/>
  <c r="N240" i="16"/>
  <c r="M241" i="16"/>
  <c r="N241" i="16"/>
  <c r="M242" i="16"/>
  <c r="N242" i="16"/>
  <c r="M243" i="16"/>
  <c r="N243" i="16"/>
  <c r="M244" i="16"/>
  <c r="N244" i="16"/>
  <c r="M245" i="16"/>
  <c r="N245" i="16"/>
  <c r="N239" i="16"/>
  <c r="N250" i="16" s="1"/>
  <c r="M239" i="16"/>
  <c r="M250" i="16" s="1"/>
  <c r="Q245" i="16"/>
  <c r="T245" i="16" s="1"/>
  <c r="U250" i="16" l="1"/>
  <c r="N251" i="16"/>
  <c r="M251" i="16"/>
  <c r="Q250" i="16"/>
  <c r="Q251" i="16"/>
  <c r="J194" i="16"/>
  <c r="N587" i="35" l="1"/>
  <c r="M587" i="35"/>
  <c r="L587" i="35"/>
  <c r="E587" i="35"/>
  <c r="D587" i="35"/>
  <c r="C587" i="35"/>
  <c r="N609" i="35"/>
  <c r="M609" i="35"/>
  <c r="L609" i="35"/>
  <c r="E609" i="35"/>
  <c r="D609" i="35"/>
  <c r="C609" i="35"/>
  <c r="N564" i="35"/>
  <c r="M564" i="35"/>
  <c r="L564" i="35"/>
  <c r="E564" i="35"/>
  <c r="D564" i="35"/>
  <c r="C564" i="35"/>
  <c r="E542" i="35"/>
  <c r="D542" i="35"/>
  <c r="C542" i="35"/>
  <c r="N542" i="35"/>
  <c r="M542" i="35"/>
  <c r="L542" i="35"/>
  <c r="N520" i="35"/>
  <c r="M520" i="35"/>
  <c r="L520" i="35"/>
  <c r="D520" i="35"/>
  <c r="E520" i="35"/>
  <c r="C520" i="35"/>
  <c r="R232" i="16" l="1"/>
  <c r="Q232" i="16"/>
  <c r="P232" i="16"/>
  <c r="J232" i="16"/>
  <c r="K232" i="16"/>
  <c r="I232" i="16"/>
  <c r="R214" i="16"/>
  <c r="Q214" i="16"/>
  <c r="P214" i="16"/>
  <c r="J214" i="16"/>
  <c r="K214" i="16"/>
  <c r="I214" i="16"/>
  <c r="R196" i="16"/>
  <c r="Q196" i="16"/>
  <c r="P196" i="16"/>
  <c r="J196" i="16"/>
  <c r="K196" i="16"/>
  <c r="I196" i="16"/>
  <c r="R180" i="16"/>
  <c r="Q180" i="16"/>
  <c r="P180" i="16"/>
  <c r="J180" i="16"/>
  <c r="K180" i="16"/>
  <c r="I180" i="16"/>
  <c r="R166" i="16"/>
  <c r="Q166" i="16"/>
  <c r="P166" i="16"/>
  <c r="J166" i="16"/>
  <c r="K166" i="16"/>
  <c r="I166" i="16"/>
  <c r="R153" i="16"/>
  <c r="Q153" i="16"/>
  <c r="P153" i="16"/>
  <c r="J153" i="16"/>
  <c r="K153" i="16"/>
  <c r="I153" i="16"/>
  <c r="R142" i="16"/>
  <c r="Q142" i="16"/>
  <c r="P142" i="16"/>
  <c r="J142" i="16"/>
  <c r="K142" i="16"/>
  <c r="I142" i="16"/>
  <c r="I71" i="54" l="1"/>
  <c r="J71" i="54"/>
  <c r="K71" i="54"/>
  <c r="L71" i="54"/>
  <c r="M71" i="54"/>
  <c r="N71" i="54"/>
  <c r="O71" i="54"/>
  <c r="P71" i="54"/>
  <c r="I72" i="54"/>
  <c r="J72" i="54"/>
  <c r="K72" i="54"/>
  <c r="L72" i="54"/>
  <c r="M72" i="54"/>
  <c r="N72" i="54"/>
  <c r="O72" i="54"/>
  <c r="P72" i="54"/>
  <c r="P73" i="54" s="1"/>
  <c r="I73" i="54"/>
  <c r="J73" i="54"/>
  <c r="K73" i="54"/>
  <c r="L73" i="54"/>
  <c r="M73" i="54"/>
  <c r="N73" i="54"/>
  <c r="O73" i="54"/>
  <c r="H73" i="54"/>
  <c r="H72" i="54"/>
  <c r="H71" i="54"/>
  <c r="H66" i="54"/>
  <c r="I60" i="54"/>
  <c r="J60" i="54"/>
  <c r="K60" i="54"/>
  <c r="L60" i="54"/>
  <c r="M60" i="54"/>
  <c r="N60" i="54"/>
  <c r="O60" i="54"/>
  <c r="P60" i="54"/>
  <c r="I61" i="54"/>
  <c r="J61" i="54"/>
  <c r="K61" i="54"/>
  <c r="L61" i="54"/>
  <c r="M61" i="54"/>
  <c r="N61" i="54"/>
  <c r="O61" i="54"/>
  <c r="P61" i="54"/>
  <c r="P62" i="54" s="1"/>
  <c r="I62" i="54"/>
  <c r="J62" i="54"/>
  <c r="K62" i="54"/>
  <c r="L62" i="54"/>
  <c r="M62" i="54"/>
  <c r="N62" i="54"/>
  <c r="O62" i="54"/>
  <c r="H62" i="54"/>
  <c r="H61" i="54"/>
  <c r="H60" i="54"/>
  <c r="H40" i="54"/>
  <c r="I40" i="54"/>
  <c r="L40" i="54"/>
  <c r="H41" i="54"/>
  <c r="I41" i="54"/>
  <c r="H42" i="54"/>
  <c r="I42" i="54"/>
  <c r="L42" i="54"/>
  <c r="H43" i="54"/>
  <c r="N43" i="54" s="1"/>
  <c r="I43" i="54"/>
  <c r="L43" i="54"/>
  <c r="H44" i="54"/>
  <c r="L44" i="54" s="1"/>
  <c r="I44" i="54"/>
  <c r="N44" i="54" s="1"/>
  <c r="H45" i="54"/>
  <c r="I45" i="54"/>
  <c r="L45" i="54"/>
  <c r="N45" i="54"/>
  <c r="M45" i="54" s="1"/>
  <c r="H46" i="54"/>
  <c r="N46" i="54" s="1"/>
  <c r="I46" i="54"/>
  <c r="H47" i="54"/>
  <c r="J47" i="54" s="1"/>
  <c r="I47" i="54"/>
  <c r="K47" i="54" s="1"/>
  <c r="N47" i="54"/>
  <c r="M47" i="54" s="1"/>
  <c r="H48" i="54"/>
  <c r="I48" i="54"/>
  <c r="L48" i="54"/>
  <c r="H49" i="54"/>
  <c r="I49" i="54"/>
  <c r="H50" i="54"/>
  <c r="I50" i="54"/>
  <c r="L50" i="54"/>
  <c r="H51" i="54"/>
  <c r="N51" i="54" s="1"/>
  <c r="I51" i="54"/>
  <c r="K51" i="54" s="1"/>
  <c r="L51" i="54"/>
  <c r="H52" i="54"/>
  <c r="L52" i="54" s="1"/>
  <c r="I52" i="54"/>
  <c r="N52" i="54" s="1"/>
  <c r="D74" i="55"/>
  <c r="D71" i="55"/>
  <c r="D65" i="55"/>
  <c r="D63" i="55"/>
  <c r="I87" i="55"/>
  <c r="J87" i="55"/>
  <c r="K87" i="55"/>
  <c r="L87" i="55"/>
  <c r="M87" i="55"/>
  <c r="N87" i="55"/>
  <c r="O87" i="55"/>
  <c r="P87" i="55"/>
  <c r="I88" i="55"/>
  <c r="J88" i="55"/>
  <c r="K88" i="55"/>
  <c r="L88" i="55"/>
  <c r="M88" i="55"/>
  <c r="N88" i="55"/>
  <c r="O88" i="55"/>
  <c r="P88" i="55"/>
  <c r="P89" i="55" s="1"/>
  <c r="I89" i="55"/>
  <c r="J89" i="55"/>
  <c r="K89" i="55"/>
  <c r="L89" i="55"/>
  <c r="M89" i="55"/>
  <c r="N89" i="55"/>
  <c r="O89" i="55"/>
  <c r="H89" i="55"/>
  <c r="H88" i="55"/>
  <c r="H87" i="55"/>
  <c r="I81" i="55"/>
  <c r="J81" i="55"/>
  <c r="K81" i="55"/>
  <c r="L81" i="55"/>
  <c r="M81" i="55"/>
  <c r="N81" i="55"/>
  <c r="O81" i="55"/>
  <c r="P81" i="55"/>
  <c r="I82" i="55"/>
  <c r="J82" i="55"/>
  <c r="J83" i="55" s="1"/>
  <c r="K82" i="55"/>
  <c r="L82" i="55"/>
  <c r="M82" i="55"/>
  <c r="M83" i="55" s="1"/>
  <c r="N82" i="55"/>
  <c r="O82" i="55"/>
  <c r="P82" i="55"/>
  <c r="I83" i="55"/>
  <c r="K83" i="55"/>
  <c r="L83" i="55"/>
  <c r="N83" i="55"/>
  <c r="O83" i="55"/>
  <c r="P83" i="55"/>
  <c r="H83" i="55"/>
  <c r="H82" i="55"/>
  <c r="H81" i="55"/>
  <c r="H70" i="55"/>
  <c r="I70" i="55"/>
  <c r="H71" i="55"/>
  <c r="I71" i="55"/>
  <c r="H72" i="55"/>
  <c r="N72" i="55" s="1"/>
  <c r="I72" i="55"/>
  <c r="K72" i="55" s="1"/>
  <c r="L72" i="55"/>
  <c r="H73" i="55"/>
  <c r="N73" i="55" s="1"/>
  <c r="I73" i="55"/>
  <c r="L73" i="55"/>
  <c r="H74" i="55"/>
  <c r="I74" i="55"/>
  <c r="K74" i="55"/>
  <c r="L74" i="55"/>
  <c r="N74" i="55"/>
  <c r="M74" i="55" s="1"/>
  <c r="H75" i="55"/>
  <c r="P72" i="55"/>
  <c r="P73" i="55"/>
  <c r="H66" i="55"/>
  <c r="I66" i="55"/>
  <c r="N66" i="55"/>
  <c r="M66" i="55" s="1"/>
  <c r="H67" i="55"/>
  <c r="P67" i="55" s="1"/>
  <c r="I67" i="55"/>
  <c r="H68" i="55"/>
  <c r="P68" i="55" s="1"/>
  <c r="I68" i="55"/>
  <c r="H69" i="55"/>
  <c r="L69" i="55" s="1"/>
  <c r="I69" i="55"/>
  <c r="P75" i="55"/>
  <c r="O51" i="55"/>
  <c r="O52" i="55"/>
  <c r="O53" i="55"/>
  <c r="O46" i="55"/>
  <c r="O47" i="55"/>
  <c r="O48" i="55" s="1"/>
  <c r="O40" i="55"/>
  <c r="O41" i="55"/>
  <c r="O42" i="55" s="1"/>
  <c r="D32" i="55"/>
  <c r="D28" i="55"/>
  <c r="D24" i="55"/>
  <c r="D16" i="55"/>
  <c r="I26" i="55"/>
  <c r="D50" i="54"/>
  <c r="D47" i="54"/>
  <c r="D46" i="54"/>
  <c r="D44" i="54"/>
  <c r="D42" i="54"/>
  <c r="D33" i="54"/>
  <c r="D28" i="54"/>
  <c r="D25" i="54"/>
  <c r="I65" i="55"/>
  <c r="H65" i="55"/>
  <c r="L65" i="55" s="1"/>
  <c r="I64" i="55"/>
  <c r="H64" i="55"/>
  <c r="L64" i="55" s="1"/>
  <c r="I63" i="55"/>
  <c r="H63" i="55"/>
  <c r="I62" i="55"/>
  <c r="H62" i="55"/>
  <c r="I61" i="55"/>
  <c r="H61" i="55"/>
  <c r="N61" i="55" s="1"/>
  <c r="H34" i="55"/>
  <c r="P34" i="55" s="1"/>
  <c r="I33" i="55"/>
  <c r="H33" i="55"/>
  <c r="I32" i="55"/>
  <c r="H32" i="55"/>
  <c r="L32" i="55" s="1"/>
  <c r="I31" i="55"/>
  <c r="H31" i="55"/>
  <c r="L31" i="55" s="1"/>
  <c r="I30" i="55"/>
  <c r="H30" i="55"/>
  <c r="L30" i="55" s="1"/>
  <c r="I29" i="55"/>
  <c r="H29" i="55"/>
  <c r="L29" i="55" s="1"/>
  <c r="I28" i="55"/>
  <c r="H28" i="55"/>
  <c r="P28" i="55" s="1"/>
  <c r="I27" i="55"/>
  <c r="H27" i="55"/>
  <c r="P27" i="55" s="1"/>
  <c r="I25" i="55"/>
  <c r="H25" i="55"/>
  <c r="H52" i="55" s="1"/>
  <c r="H53" i="55" s="1"/>
  <c r="I24" i="55"/>
  <c r="H24" i="55"/>
  <c r="P24" i="55" s="1"/>
  <c r="I23" i="55"/>
  <c r="H23" i="55"/>
  <c r="P23" i="55" s="1"/>
  <c r="I22" i="55"/>
  <c r="H22" i="55"/>
  <c r="P22" i="55" s="1"/>
  <c r="I21" i="55"/>
  <c r="H21" i="55"/>
  <c r="P21" i="55" s="1"/>
  <c r="I20" i="55"/>
  <c r="H20" i="55"/>
  <c r="L20" i="55" s="1"/>
  <c r="I19" i="55"/>
  <c r="H19" i="55"/>
  <c r="L19" i="55" s="1"/>
  <c r="I18" i="55"/>
  <c r="H18" i="55"/>
  <c r="P18" i="55" s="1"/>
  <c r="I17" i="55"/>
  <c r="I51" i="55" s="1"/>
  <c r="H17" i="55"/>
  <c r="P17" i="55" s="1"/>
  <c r="I16" i="55"/>
  <c r="I46" i="55" s="1"/>
  <c r="H16" i="55"/>
  <c r="P16" i="55" s="1"/>
  <c r="I15" i="55"/>
  <c r="H15" i="55"/>
  <c r="P15" i="55" s="1"/>
  <c r="I14" i="55"/>
  <c r="H14" i="55"/>
  <c r="P14" i="55" s="1"/>
  <c r="I13" i="55"/>
  <c r="H13" i="55"/>
  <c r="P13" i="55" s="1"/>
  <c r="I12" i="55"/>
  <c r="H12" i="55"/>
  <c r="P12" i="55" s="1"/>
  <c r="I11" i="55"/>
  <c r="H11" i="55"/>
  <c r="L11" i="55" s="1"/>
  <c r="I10" i="55"/>
  <c r="H10" i="55"/>
  <c r="P10" i="55" s="1"/>
  <c r="I9" i="55"/>
  <c r="H9" i="55"/>
  <c r="P9" i="55" s="1"/>
  <c r="I8" i="55"/>
  <c r="H8" i="55"/>
  <c r="P8" i="55" s="1"/>
  <c r="I7" i="55"/>
  <c r="I40" i="55" s="1"/>
  <c r="H7" i="55"/>
  <c r="L7" i="55" s="1"/>
  <c r="H69" i="52"/>
  <c r="P46" i="52"/>
  <c r="P47" i="52" s="1"/>
  <c r="O46" i="52"/>
  <c r="O47" i="52" s="1"/>
  <c r="N46" i="52"/>
  <c r="N47" i="52" s="1"/>
  <c r="M46" i="52"/>
  <c r="M47" i="52" s="1"/>
  <c r="L46" i="52"/>
  <c r="L47" i="52" s="1"/>
  <c r="K46" i="52"/>
  <c r="K47" i="52" s="1"/>
  <c r="J46" i="52"/>
  <c r="J47" i="52" s="1"/>
  <c r="I46" i="52"/>
  <c r="I47" i="52" s="1"/>
  <c r="P45" i="52"/>
  <c r="O45" i="52"/>
  <c r="N45" i="52"/>
  <c r="M45" i="52"/>
  <c r="L45" i="52"/>
  <c r="K45" i="52"/>
  <c r="J45" i="52"/>
  <c r="I45" i="52"/>
  <c r="H70" i="52"/>
  <c r="H71" i="52" s="1"/>
  <c r="I69" i="52"/>
  <c r="J69" i="52"/>
  <c r="K69" i="52"/>
  <c r="L69" i="52"/>
  <c r="M69" i="52"/>
  <c r="N69" i="52"/>
  <c r="O69" i="52"/>
  <c r="P69" i="52"/>
  <c r="I70" i="52"/>
  <c r="J70" i="52"/>
  <c r="K70" i="52"/>
  <c r="L70" i="52"/>
  <c r="M70" i="52"/>
  <c r="N70" i="52"/>
  <c r="O70" i="52"/>
  <c r="P70" i="52"/>
  <c r="I71" i="52"/>
  <c r="J71" i="52"/>
  <c r="K71" i="52"/>
  <c r="L71" i="52"/>
  <c r="M71" i="52"/>
  <c r="N71" i="52"/>
  <c r="O71" i="52"/>
  <c r="P71" i="52"/>
  <c r="H47" i="52"/>
  <c r="H46" i="52"/>
  <c r="H45" i="52"/>
  <c r="I33" i="52"/>
  <c r="J33" i="52"/>
  <c r="K33" i="52"/>
  <c r="L33" i="52"/>
  <c r="M33" i="52"/>
  <c r="N33" i="52"/>
  <c r="O33" i="52"/>
  <c r="P33" i="52"/>
  <c r="I34" i="52"/>
  <c r="J34" i="52"/>
  <c r="K34" i="52"/>
  <c r="L34" i="52"/>
  <c r="M34" i="52"/>
  <c r="N34" i="52"/>
  <c r="N35" i="52" s="1"/>
  <c r="O34" i="52"/>
  <c r="P34" i="52"/>
  <c r="I35" i="52"/>
  <c r="J35" i="52"/>
  <c r="K35" i="52"/>
  <c r="L35" i="52"/>
  <c r="M35" i="52"/>
  <c r="O35" i="52"/>
  <c r="P35" i="52"/>
  <c r="H35" i="52"/>
  <c r="H34" i="52"/>
  <c r="H33" i="52"/>
  <c r="I63" i="53"/>
  <c r="J63" i="53"/>
  <c r="K63" i="53"/>
  <c r="L63" i="53"/>
  <c r="M63" i="53"/>
  <c r="N63" i="53"/>
  <c r="O63" i="53"/>
  <c r="P63" i="53"/>
  <c r="I64" i="53"/>
  <c r="J64" i="53"/>
  <c r="K64" i="53"/>
  <c r="L64" i="53"/>
  <c r="M64" i="53"/>
  <c r="N64" i="53"/>
  <c r="O64" i="53"/>
  <c r="P64" i="53"/>
  <c r="P65" i="53" s="1"/>
  <c r="I65" i="53"/>
  <c r="J65" i="53"/>
  <c r="K65" i="53"/>
  <c r="L65" i="53"/>
  <c r="M65" i="53"/>
  <c r="N65" i="53"/>
  <c r="O65" i="53"/>
  <c r="H65" i="53"/>
  <c r="H64" i="53"/>
  <c r="H63" i="53"/>
  <c r="I51" i="53"/>
  <c r="J51" i="53"/>
  <c r="K51" i="53"/>
  <c r="L51" i="53"/>
  <c r="M51" i="53"/>
  <c r="N51" i="53"/>
  <c r="O51" i="53"/>
  <c r="P51" i="53"/>
  <c r="I52" i="53"/>
  <c r="J52" i="53"/>
  <c r="K52" i="53"/>
  <c r="L52" i="53"/>
  <c r="M52" i="53"/>
  <c r="N52" i="53"/>
  <c r="O52" i="53"/>
  <c r="P52" i="53"/>
  <c r="P53" i="53" s="1"/>
  <c r="I53" i="53"/>
  <c r="J53" i="53"/>
  <c r="K53" i="53"/>
  <c r="L53" i="53"/>
  <c r="M53" i="53"/>
  <c r="N53" i="53"/>
  <c r="O53" i="53"/>
  <c r="H53" i="53"/>
  <c r="H52" i="53"/>
  <c r="H51" i="53"/>
  <c r="I95" i="53"/>
  <c r="J95" i="53"/>
  <c r="K95" i="53"/>
  <c r="L95" i="53"/>
  <c r="M95" i="53"/>
  <c r="N95" i="53"/>
  <c r="O95" i="53"/>
  <c r="P95" i="53"/>
  <c r="I96" i="53"/>
  <c r="J96" i="53"/>
  <c r="K96" i="53"/>
  <c r="L96" i="53"/>
  <c r="M96" i="53"/>
  <c r="N96" i="53"/>
  <c r="O96" i="53"/>
  <c r="P96" i="53"/>
  <c r="P97" i="53" s="1"/>
  <c r="I97" i="53"/>
  <c r="J97" i="53"/>
  <c r="K97" i="53"/>
  <c r="L97" i="53"/>
  <c r="M97" i="53"/>
  <c r="N97" i="53"/>
  <c r="O97" i="53"/>
  <c r="H97" i="53"/>
  <c r="H96" i="53"/>
  <c r="H95" i="53"/>
  <c r="I107" i="53"/>
  <c r="J107" i="53"/>
  <c r="K107" i="53"/>
  <c r="L107" i="53"/>
  <c r="M107" i="53"/>
  <c r="N107" i="53"/>
  <c r="O107" i="53"/>
  <c r="P107" i="53"/>
  <c r="I108" i="53"/>
  <c r="J108" i="53"/>
  <c r="K108" i="53"/>
  <c r="L108" i="53"/>
  <c r="M108" i="53"/>
  <c r="N108" i="53"/>
  <c r="O108" i="53"/>
  <c r="P108" i="53"/>
  <c r="P109" i="53" s="1"/>
  <c r="I109" i="53"/>
  <c r="J109" i="53"/>
  <c r="K109" i="53"/>
  <c r="L109" i="53"/>
  <c r="M109" i="53"/>
  <c r="N109" i="53"/>
  <c r="O109" i="53"/>
  <c r="H109" i="53"/>
  <c r="H108" i="53"/>
  <c r="H107" i="53"/>
  <c r="O133" i="54"/>
  <c r="O134" i="54"/>
  <c r="O135" i="54" s="1"/>
  <c r="O127" i="54"/>
  <c r="O128" i="54"/>
  <c r="O129" i="54" s="1"/>
  <c r="D113" i="54"/>
  <c r="D110" i="54"/>
  <c r="D107" i="54"/>
  <c r="D104" i="54"/>
  <c r="D102" i="54"/>
  <c r="D100" i="54"/>
  <c r="D98" i="54"/>
  <c r="D95" i="54"/>
  <c r="D91" i="54"/>
  <c r="D89" i="54"/>
  <c r="D87" i="54"/>
  <c r="D85" i="54"/>
  <c r="D83" i="54"/>
  <c r="H97" i="54"/>
  <c r="L97" i="54" s="1"/>
  <c r="I97" i="54"/>
  <c r="H98" i="54"/>
  <c r="P98" i="54" s="1"/>
  <c r="I98" i="54"/>
  <c r="H99" i="54"/>
  <c r="I99" i="54"/>
  <c r="H100" i="54"/>
  <c r="L100" i="54" s="1"/>
  <c r="I100" i="54"/>
  <c r="H101" i="54"/>
  <c r="L101" i="54" s="1"/>
  <c r="I101" i="54"/>
  <c r="H102" i="54"/>
  <c r="L102" i="54" s="1"/>
  <c r="I102" i="54"/>
  <c r="H103" i="54"/>
  <c r="N103" i="54" s="1"/>
  <c r="I103" i="54"/>
  <c r="H104" i="54"/>
  <c r="L104" i="54" s="1"/>
  <c r="I104" i="54"/>
  <c r="H105" i="54"/>
  <c r="L105" i="54" s="1"/>
  <c r="I105" i="54"/>
  <c r="H106" i="54"/>
  <c r="P106" i="54" s="1"/>
  <c r="I106" i="54"/>
  <c r="H107" i="54"/>
  <c r="I107" i="54"/>
  <c r="H108" i="54"/>
  <c r="L108" i="54" s="1"/>
  <c r="I108" i="54"/>
  <c r="H109" i="54"/>
  <c r="L109" i="54" s="1"/>
  <c r="I109" i="54"/>
  <c r="H110" i="54"/>
  <c r="L110" i="54" s="1"/>
  <c r="I110" i="54"/>
  <c r="H111" i="54"/>
  <c r="I111" i="54"/>
  <c r="H112" i="54"/>
  <c r="L112" i="54" s="1"/>
  <c r="I112" i="54"/>
  <c r="H113" i="54"/>
  <c r="L113" i="54" s="1"/>
  <c r="I113" i="54"/>
  <c r="H114" i="54"/>
  <c r="P114" i="54" s="1"/>
  <c r="I114" i="54"/>
  <c r="H115" i="54"/>
  <c r="L115" i="54" s="1"/>
  <c r="I115" i="54"/>
  <c r="H116" i="54"/>
  <c r="P83" i="54"/>
  <c r="P85" i="54"/>
  <c r="P91" i="54"/>
  <c r="P94" i="54"/>
  <c r="P97" i="54"/>
  <c r="P99" i="54"/>
  <c r="P104" i="54"/>
  <c r="P105" i="54"/>
  <c r="P111" i="54"/>
  <c r="O66" i="54"/>
  <c r="O67" i="54"/>
  <c r="O68" i="54" s="1"/>
  <c r="H24" i="54"/>
  <c r="L24" i="54" s="1"/>
  <c r="I24" i="54"/>
  <c r="H25" i="54"/>
  <c r="I25" i="54"/>
  <c r="H26" i="54"/>
  <c r="I26" i="54"/>
  <c r="H27" i="54"/>
  <c r="L27" i="54" s="1"/>
  <c r="I27" i="54"/>
  <c r="H28" i="54"/>
  <c r="L28" i="54" s="1"/>
  <c r="I28" i="54"/>
  <c r="H29" i="54"/>
  <c r="L29" i="54" s="1"/>
  <c r="I29" i="54"/>
  <c r="H30" i="54"/>
  <c r="L30" i="54" s="1"/>
  <c r="I30" i="54"/>
  <c r="H31" i="54"/>
  <c r="L31" i="54" s="1"/>
  <c r="I31" i="54"/>
  <c r="H32" i="54"/>
  <c r="L32" i="54" s="1"/>
  <c r="I32" i="54"/>
  <c r="H33" i="54"/>
  <c r="I33" i="54"/>
  <c r="H34" i="54"/>
  <c r="I34" i="54"/>
  <c r="H35" i="54"/>
  <c r="L35" i="54" s="1"/>
  <c r="I35" i="54"/>
  <c r="H36" i="54"/>
  <c r="L36" i="54" s="1"/>
  <c r="I36" i="54"/>
  <c r="H37" i="54"/>
  <c r="L37" i="54" s="1"/>
  <c r="I37" i="54"/>
  <c r="H38" i="54"/>
  <c r="L38" i="54" s="1"/>
  <c r="I38" i="54"/>
  <c r="H39" i="54"/>
  <c r="L39" i="54" s="1"/>
  <c r="I39" i="54"/>
  <c r="N39" i="54" s="1"/>
  <c r="K39" i="54" s="1"/>
  <c r="P44" i="54"/>
  <c r="P45" i="54"/>
  <c r="P47" i="54"/>
  <c r="P48" i="54"/>
  <c r="H53" i="54"/>
  <c r="P53" i="54" s="1"/>
  <c r="I96" i="54"/>
  <c r="H96" i="54"/>
  <c r="P96" i="54" s="1"/>
  <c r="I95" i="54"/>
  <c r="H95" i="54"/>
  <c r="P95" i="54" s="1"/>
  <c r="I94" i="54"/>
  <c r="H94" i="54"/>
  <c r="I93" i="54"/>
  <c r="H93" i="54"/>
  <c r="P93" i="54" s="1"/>
  <c r="H91" i="54"/>
  <c r="I90" i="54"/>
  <c r="H90" i="54"/>
  <c r="P90" i="54" s="1"/>
  <c r="I89" i="54"/>
  <c r="H89" i="54"/>
  <c r="P89" i="54" s="1"/>
  <c r="I88" i="54"/>
  <c r="H88" i="54"/>
  <c r="P88" i="54" s="1"/>
  <c r="I87" i="54"/>
  <c r="H87" i="54"/>
  <c r="P87" i="54" s="1"/>
  <c r="I86" i="54"/>
  <c r="H86" i="54"/>
  <c r="P86" i="54" s="1"/>
  <c r="I85" i="54"/>
  <c r="H85" i="54"/>
  <c r="I84" i="54"/>
  <c r="H84" i="54"/>
  <c r="P84" i="54" s="1"/>
  <c r="I83" i="54"/>
  <c r="H83" i="54"/>
  <c r="I82" i="54"/>
  <c r="H82" i="54"/>
  <c r="P82" i="54" s="1"/>
  <c r="I81" i="54"/>
  <c r="H81" i="54"/>
  <c r="P81" i="54" s="1"/>
  <c r="P39" i="54"/>
  <c r="I23" i="54"/>
  <c r="H23" i="54"/>
  <c r="I22" i="54"/>
  <c r="H22" i="54"/>
  <c r="N22" i="54" s="1"/>
  <c r="M22" i="54" s="1"/>
  <c r="I21" i="54"/>
  <c r="H21" i="54"/>
  <c r="I20" i="54"/>
  <c r="H20" i="54"/>
  <c r="P20" i="54" s="1"/>
  <c r="I19" i="54"/>
  <c r="H19" i="54"/>
  <c r="P19" i="54" s="1"/>
  <c r="I18" i="54"/>
  <c r="H18" i="54"/>
  <c r="P18" i="54" s="1"/>
  <c r="I17" i="54"/>
  <c r="H17" i="54"/>
  <c r="P17" i="54" s="1"/>
  <c r="I16" i="54"/>
  <c r="H16" i="54"/>
  <c r="P16" i="54" s="1"/>
  <c r="I15" i="54"/>
  <c r="H15" i="54"/>
  <c r="P15" i="54" s="1"/>
  <c r="I14" i="54"/>
  <c r="H14" i="54"/>
  <c r="P14" i="54" s="1"/>
  <c r="I13" i="54"/>
  <c r="H13" i="54"/>
  <c r="P13" i="54" s="1"/>
  <c r="I12" i="54"/>
  <c r="H12" i="54"/>
  <c r="P12" i="54" s="1"/>
  <c r="I11" i="54"/>
  <c r="H11" i="54"/>
  <c r="P11" i="54" s="1"/>
  <c r="I10" i="54"/>
  <c r="H10" i="54"/>
  <c r="P10" i="54" s="1"/>
  <c r="I9" i="54"/>
  <c r="H9" i="54"/>
  <c r="P9" i="54" s="1"/>
  <c r="I8" i="54"/>
  <c r="H8" i="54"/>
  <c r="P8" i="54" s="1"/>
  <c r="I7" i="54"/>
  <c r="H7" i="54"/>
  <c r="P7" i="54" s="1"/>
  <c r="I101" i="53"/>
  <c r="J101" i="53"/>
  <c r="K101" i="53"/>
  <c r="L101" i="53"/>
  <c r="M101" i="53"/>
  <c r="N101" i="53"/>
  <c r="O101" i="53"/>
  <c r="P101" i="53"/>
  <c r="I102" i="53"/>
  <c r="J102" i="53"/>
  <c r="K102" i="53"/>
  <c r="L102" i="53"/>
  <c r="L103" i="53" s="1"/>
  <c r="M102" i="53"/>
  <c r="M103" i="53" s="1"/>
  <c r="N102" i="53"/>
  <c r="N103" i="53" s="1"/>
  <c r="O102" i="53"/>
  <c r="O103" i="53" s="1"/>
  <c r="P102" i="53"/>
  <c r="P103" i="53" s="1"/>
  <c r="I103" i="53"/>
  <c r="J103" i="53"/>
  <c r="K103" i="53"/>
  <c r="H103" i="53"/>
  <c r="H102" i="53"/>
  <c r="H101" i="53"/>
  <c r="P73" i="53"/>
  <c r="P74" i="53"/>
  <c r="P75" i="53"/>
  <c r="P76" i="53"/>
  <c r="P77" i="53"/>
  <c r="P78" i="53"/>
  <c r="P79" i="53"/>
  <c r="P80" i="53"/>
  <c r="P81" i="53"/>
  <c r="P82" i="53"/>
  <c r="P83" i="53"/>
  <c r="P84" i="53"/>
  <c r="P85" i="53"/>
  <c r="P86" i="53"/>
  <c r="P87" i="53"/>
  <c r="P88" i="53"/>
  <c r="H73" i="53"/>
  <c r="J73" i="53" s="1"/>
  <c r="I73" i="53"/>
  <c r="L73" i="53"/>
  <c r="N73" i="53"/>
  <c r="K73" i="53" s="1"/>
  <c r="H74" i="53"/>
  <c r="I74" i="53"/>
  <c r="H75" i="53"/>
  <c r="I75" i="53"/>
  <c r="H76" i="53"/>
  <c r="L76" i="53" s="1"/>
  <c r="I76" i="53"/>
  <c r="H77" i="53"/>
  <c r="L77" i="53" s="1"/>
  <c r="I77" i="53"/>
  <c r="H78" i="53"/>
  <c r="N78" i="53" s="1"/>
  <c r="I78" i="53"/>
  <c r="L78" i="53"/>
  <c r="H79" i="53"/>
  <c r="I79" i="53"/>
  <c r="N79" i="53" s="1"/>
  <c r="L79" i="53"/>
  <c r="H80" i="53"/>
  <c r="I80" i="53"/>
  <c r="L80" i="53"/>
  <c r="N80" i="53"/>
  <c r="J80" i="53" s="1"/>
  <c r="H81" i="53"/>
  <c r="J81" i="53" s="1"/>
  <c r="I81" i="53"/>
  <c r="L81" i="53"/>
  <c r="N81" i="53"/>
  <c r="K81" i="53" s="1"/>
  <c r="H82" i="53"/>
  <c r="L82" i="53" s="1"/>
  <c r="I82" i="53"/>
  <c r="H83" i="53"/>
  <c r="I83" i="53"/>
  <c r="H84" i="53"/>
  <c r="L84" i="53" s="1"/>
  <c r="I84" i="53"/>
  <c r="H85" i="53"/>
  <c r="L85" i="53" s="1"/>
  <c r="I85" i="53"/>
  <c r="H86" i="53"/>
  <c r="N86" i="53" s="1"/>
  <c r="I86" i="53"/>
  <c r="L86" i="53"/>
  <c r="H87" i="53"/>
  <c r="I87" i="53"/>
  <c r="N87" i="53" s="1"/>
  <c r="L87" i="53"/>
  <c r="H88" i="53"/>
  <c r="O57" i="53"/>
  <c r="O58" i="53"/>
  <c r="O59" i="53" s="1"/>
  <c r="D41" i="53"/>
  <c r="D40" i="53"/>
  <c r="D37" i="53"/>
  <c r="D34" i="53"/>
  <c r="D29" i="53"/>
  <c r="D28" i="53"/>
  <c r="D24" i="53"/>
  <c r="D20" i="53"/>
  <c r="P26" i="53"/>
  <c r="P29" i="53"/>
  <c r="P34" i="53"/>
  <c r="P42" i="53"/>
  <c r="H24" i="53"/>
  <c r="H57" i="53" s="1"/>
  <c r="I24" i="53"/>
  <c r="N24" i="53" s="1"/>
  <c r="L24" i="53"/>
  <c r="H25" i="53"/>
  <c r="I25" i="53"/>
  <c r="H26" i="53"/>
  <c r="I26" i="53"/>
  <c r="H27" i="53"/>
  <c r="L27" i="53" s="1"/>
  <c r="I27" i="53"/>
  <c r="H28" i="53"/>
  <c r="L28" i="53" s="1"/>
  <c r="I28" i="53"/>
  <c r="H29" i="53"/>
  <c r="I29" i="53"/>
  <c r="L29" i="53"/>
  <c r="H30" i="53"/>
  <c r="L30" i="53" s="1"/>
  <c r="I30" i="53"/>
  <c r="H31" i="53"/>
  <c r="P31" i="53" s="1"/>
  <c r="I31" i="53"/>
  <c r="H32" i="53"/>
  <c r="I32" i="53"/>
  <c r="H33" i="53"/>
  <c r="L33" i="53" s="1"/>
  <c r="I33" i="53"/>
  <c r="H34" i="53"/>
  <c r="I34" i="53"/>
  <c r="H35" i="53"/>
  <c r="L35" i="53" s="1"/>
  <c r="I35" i="53"/>
  <c r="H36" i="53"/>
  <c r="L36" i="53" s="1"/>
  <c r="I36" i="53"/>
  <c r="H37" i="53"/>
  <c r="N37" i="53" s="1"/>
  <c r="I37" i="53"/>
  <c r="H38" i="53"/>
  <c r="P38" i="53" s="1"/>
  <c r="I38" i="53"/>
  <c r="N38" i="53" s="1"/>
  <c r="L38" i="53"/>
  <c r="H39" i="53"/>
  <c r="N39" i="53" s="1"/>
  <c r="J39" i="53" s="1"/>
  <c r="I39" i="53"/>
  <c r="L39" i="53"/>
  <c r="H40" i="53"/>
  <c r="P40" i="53" s="1"/>
  <c r="I40" i="53"/>
  <c r="L40" i="53"/>
  <c r="N40" i="53"/>
  <c r="K40" i="53" s="1"/>
  <c r="H41" i="53"/>
  <c r="P41" i="53" s="1"/>
  <c r="I41" i="53"/>
  <c r="H42" i="53"/>
  <c r="I72" i="53"/>
  <c r="H72" i="53"/>
  <c r="P72" i="53" s="1"/>
  <c r="I23" i="53"/>
  <c r="H23" i="53"/>
  <c r="N23" i="53" s="1"/>
  <c r="I22" i="53"/>
  <c r="H22" i="53"/>
  <c r="L22" i="53" s="1"/>
  <c r="I21" i="53"/>
  <c r="H21" i="53"/>
  <c r="N21" i="53" s="1"/>
  <c r="M21" i="53" s="1"/>
  <c r="I20" i="53"/>
  <c r="H20" i="53"/>
  <c r="L20" i="53" s="1"/>
  <c r="I19" i="53"/>
  <c r="H19" i="53"/>
  <c r="I18" i="53"/>
  <c r="H18" i="53"/>
  <c r="N18" i="53" s="1"/>
  <c r="M18" i="53" s="1"/>
  <c r="I17" i="53"/>
  <c r="H17" i="53"/>
  <c r="N17" i="53" s="1"/>
  <c r="M17" i="53" s="1"/>
  <c r="I16" i="53"/>
  <c r="H16" i="53"/>
  <c r="L16" i="53" s="1"/>
  <c r="I15" i="53"/>
  <c r="H15" i="53"/>
  <c r="L15" i="53" s="1"/>
  <c r="I14" i="53"/>
  <c r="H14" i="53"/>
  <c r="L14" i="53" s="1"/>
  <c r="P13" i="53"/>
  <c r="I13" i="53"/>
  <c r="H13" i="53"/>
  <c r="L13" i="53" s="1"/>
  <c r="I12" i="53"/>
  <c r="H12" i="53"/>
  <c r="I11" i="53"/>
  <c r="H11" i="53"/>
  <c r="P11" i="53" s="1"/>
  <c r="I10" i="53"/>
  <c r="H10" i="53"/>
  <c r="N10" i="53" s="1"/>
  <c r="M10" i="53" s="1"/>
  <c r="I9" i="53"/>
  <c r="H9" i="53"/>
  <c r="N9" i="53" s="1"/>
  <c r="M9" i="53" s="1"/>
  <c r="I8" i="53"/>
  <c r="H8" i="53"/>
  <c r="I7" i="53"/>
  <c r="H7" i="53"/>
  <c r="D60" i="52"/>
  <c r="D57" i="52"/>
  <c r="D54" i="52"/>
  <c r="I75" i="52"/>
  <c r="J75" i="52"/>
  <c r="K75" i="52"/>
  <c r="L75" i="52"/>
  <c r="M75" i="52"/>
  <c r="N75" i="52"/>
  <c r="O75" i="52"/>
  <c r="P75" i="52"/>
  <c r="I76" i="52"/>
  <c r="J76" i="52"/>
  <c r="K76" i="52"/>
  <c r="L76" i="52"/>
  <c r="L77" i="52" s="1"/>
  <c r="M76" i="52"/>
  <c r="M77" i="52" s="1"/>
  <c r="N76" i="52"/>
  <c r="N77" i="52" s="1"/>
  <c r="O76" i="52"/>
  <c r="O77" i="52" s="1"/>
  <c r="P76" i="52"/>
  <c r="I77" i="52"/>
  <c r="J77" i="52"/>
  <c r="K77" i="52"/>
  <c r="P77" i="52"/>
  <c r="H77" i="52"/>
  <c r="H76" i="52"/>
  <c r="H75" i="52"/>
  <c r="P63" i="52"/>
  <c r="H63" i="52"/>
  <c r="I62" i="52"/>
  <c r="H62" i="52"/>
  <c r="N62" i="52" s="1"/>
  <c r="I61" i="52"/>
  <c r="H61" i="52"/>
  <c r="P61" i="52" s="1"/>
  <c r="I60" i="52"/>
  <c r="H60" i="52"/>
  <c r="L60" i="52" s="1"/>
  <c r="I59" i="52"/>
  <c r="H59" i="52"/>
  <c r="L59" i="52" s="1"/>
  <c r="I58" i="52"/>
  <c r="H58" i="52"/>
  <c r="P58" i="52" s="1"/>
  <c r="I57" i="52"/>
  <c r="H57" i="52"/>
  <c r="P57" i="52" s="1"/>
  <c r="I56" i="52"/>
  <c r="H56" i="52"/>
  <c r="I55" i="52"/>
  <c r="H55" i="52"/>
  <c r="N55" i="52" s="1"/>
  <c r="M55" i="52" s="1"/>
  <c r="I54" i="52"/>
  <c r="H54" i="52"/>
  <c r="L54" i="52" s="1"/>
  <c r="I39" i="52"/>
  <c r="J39" i="52"/>
  <c r="K39" i="52"/>
  <c r="L39" i="52"/>
  <c r="M39" i="52"/>
  <c r="N39" i="52"/>
  <c r="O39" i="52"/>
  <c r="P39" i="52"/>
  <c r="I40" i="52"/>
  <c r="J40" i="52"/>
  <c r="K40" i="52"/>
  <c r="L40" i="52"/>
  <c r="M40" i="52"/>
  <c r="N40" i="52"/>
  <c r="N41" i="52" s="1"/>
  <c r="O40" i="52"/>
  <c r="O41" i="52" s="1"/>
  <c r="P40" i="52"/>
  <c r="P41" i="52" s="1"/>
  <c r="I41" i="52"/>
  <c r="J41" i="52"/>
  <c r="K41" i="52"/>
  <c r="L41" i="52"/>
  <c r="M41" i="52"/>
  <c r="H41" i="52"/>
  <c r="H40" i="52"/>
  <c r="H39" i="52"/>
  <c r="D22" i="52"/>
  <c r="D17" i="52"/>
  <c r="D14" i="52"/>
  <c r="D12" i="52"/>
  <c r="D8" i="52"/>
  <c r="P8" i="52"/>
  <c r="P9" i="52"/>
  <c r="P10" i="52"/>
  <c r="P11" i="52"/>
  <c r="P12" i="52"/>
  <c r="P13" i="52"/>
  <c r="P14" i="52"/>
  <c r="P15" i="52"/>
  <c r="P16" i="52"/>
  <c r="P17" i="52"/>
  <c r="P18" i="52"/>
  <c r="P22" i="52"/>
  <c r="P23" i="52"/>
  <c r="P24" i="52"/>
  <c r="P25" i="52"/>
  <c r="I7" i="52"/>
  <c r="I8" i="52"/>
  <c r="I18" i="52"/>
  <c r="I19" i="52"/>
  <c r="I20" i="52"/>
  <c r="I21" i="52"/>
  <c r="I22" i="52"/>
  <c r="I23" i="52"/>
  <c r="I24" i="52"/>
  <c r="N24" i="52" s="1"/>
  <c r="M24" i="52" s="1"/>
  <c r="H7" i="52"/>
  <c r="H8" i="52"/>
  <c r="N8" i="52" s="1"/>
  <c r="M8" i="52" s="1"/>
  <c r="H18" i="52"/>
  <c r="L18" i="52" s="1"/>
  <c r="H19" i="52"/>
  <c r="L19" i="52" s="1"/>
  <c r="H20" i="52"/>
  <c r="H21" i="52"/>
  <c r="P21" i="52" s="1"/>
  <c r="H22" i="52"/>
  <c r="L22" i="52" s="1"/>
  <c r="H23" i="52"/>
  <c r="L23" i="52" s="1"/>
  <c r="H24" i="52"/>
  <c r="H25" i="52"/>
  <c r="M51" i="54" l="1"/>
  <c r="J51" i="54"/>
  <c r="J42" i="54"/>
  <c r="M44" i="54"/>
  <c r="K44" i="54"/>
  <c r="J44" i="54"/>
  <c r="M52" i="54"/>
  <c r="K52" i="54"/>
  <c r="J52" i="54"/>
  <c r="J49" i="54"/>
  <c r="M46" i="54"/>
  <c r="K46" i="54"/>
  <c r="K43" i="54"/>
  <c r="J43" i="54"/>
  <c r="M43" i="54"/>
  <c r="N48" i="54"/>
  <c r="L46" i="54"/>
  <c r="K45" i="54"/>
  <c r="N40" i="54"/>
  <c r="K40" i="54" s="1"/>
  <c r="N49" i="54"/>
  <c r="L47" i="54"/>
  <c r="J45" i="54"/>
  <c r="N41" i="54"/>
  <c r="P49" i="54"/>
  <c r="N50" i="54"/>
  <c r="M50" i="54" s="1"/>
  <c r="J46" i="54"/>
  <c r="N42" i="54"/>
  <c r="M42" i="54" s="1"/>
  <c r="L49" i="54"/>
  <c r="L41" i="54"/>
  <c r="N97" i="54"/>
  <c r="J97" i="54" s="1"/>
  <c r="P102" i="54"/>
  <c r="I133" i="54"/>
  <c r="N24" i="54"/>
  <c r="M24" i="54" s="1"/>
  <c r="I127" i="54"/>
  <c r="H128" i="54"/>
  <c r="H129" i="54" s="1"/>
  <c r="K73" i="55"/>
  <c r="J73" i="55"/>
  <c r="M73" i="55"/>
  <c r="J72" i="55"/>
  <c r="M72" i="55"/>
  <c r="K71" i="55"/>
  <c r="K70" i="55"/>
  <c r="J74" i="55"/>
  <c r="N70" i="55"/>
  <c r="M70" i="55" s="1"/>
  <c r="P70" i="55"/>
  <c r="N71" i="55"/>
  <c r="M71" i="55" s="1"/>
  <c r="L70" i="55"/>
  <c r="L71" i="55"/>
  <c r="P71" i="55"/>
  <c r="I52" i="55"/>
  <c r="I53" i="55" s="1"/>
  <c r="N62" i="55"/>
  <c r="M62" i="55" s="1"/>
  <c r="I41" i="55"/>
  <c r="I42" i="55" s="1"/>
  <c r="K66" i="55"/>
  <c r="P69" i="55"/>
  <c r="H46" i="55"/>
  <c r="J66" i="55"/>
  <c r="H47" i="55"/>
  <c r="H48" i="55" s="1"/>
  <c r="I47" i="55"/>
  <c r="I48" i="55" s="1"/>
  <c r="H51" i="55"/>
  <c r="P74" i="55"/>
  <c r="P66" i="55"/>
  <c r="N67" i="55"/>
  <c r="M67" i="55" s="1"/>
  <c r="N68" i="55"/>
  <c r="M68" i="55" s="1"/>
  <c r="L66" i="55"/>
  <c r="N69" i="55"/>
  <c r="L67" i="55"/>
  <c r="L68" i="55"/>
  <c r="N65" i="55"/>
  <c r="J65" i="55" s="1"/>
  <c r="P65" i="55"/>
  <c r="L13" i="55"/>
  <c r="P62" i="55"/>
  <c r="N64" i="55"/>
  <c r="M64" i="55" s="1"/>
  <c r="P64" i="55"/>
  <c r="N63" i="55"/>
  <c r="M63" i="55" s="1"/>
  <c r="N20" i="55"/>
  <c r="P61" i="55"/>
  <c r="P63" i="55"/>
  <c r="M65" i="55"/>
  <c r="L28" i="55"/>
  <c r="H26" i="55"/>
  <c r="H41" i="55" s="1"/>
  <c r="H42" i="55" s="1"/>
  <c r="N23" i="55"/>
  <c r="M23" i="55" s="1"/>
  <c r="L23" i="55"/>
  <c r="L8" i="55"/>
  <c r="N15" i="55"/>
  <c r="J15" i="55" s="1"/>
  <c r="L9" i="55"/>
  <c r="L10" i="55"/>
  <c r="L15" i="55"/>
  <c r="P20" i="55"/>
  <c r="N28" i="55"/>
  <c r="M28" i="55" s="1"/>
  <c r="L18" i="55"/>
  <c r="N11" i="55"/>
  <c r="M11" i="55" s="1"/>
  <c r="N13" i="55"/>
  <c r="M13" i="55" s="1"/>
  <c r="N21" i="55"/>
  <c r="M21" i="55" s="1"/>
  <c r="L27" i="55"/>
  <c r="N12" i="55"/>
  <c r="J12" i="55" s="1"/>
  <c r="N19" i="55"/>
  <c r="M19" i="55" s="1"/>
  <c r="N25" i="55"/>
  <c r="M25" i="55" s="1"/>
  <c r="N27" i="55"/>
  <c r="M27" i="55" s="1"/>
  <c r="L12" i="55"/>
  <c r="M12" i="55"/>
  <c r="M20" i="55"/>
  <c r="J20" i="55"/>
  <c r="M15" i="55"/>
  <c r="K20" i="55"/>
  <c r="N10" i="55"/>
  <c r="P11" i="55"/>
  <c r="L17" i="55"/>
  <c r="N18" i="55"/>
  <c r="P19" i="55"/>
  <c r="L25" i="55"/>
  <c r="P33" i="55"/>
  <c r="N33" i="55"/>
  <c r="L33" i="55"/>
  <c r="N7" i="55"/>
  <c r="N8" i="55"/>
  <c r="N9" i="55"/>
  <c r="K15" i="55"/>
  <c r="L16" i="55"/>
  <c r="N17" i="55"/>
  <c r="K23" i="55"/>
  <c r="L24" i="55"/>
  <c r="P30" i="55"/>
  <c r="N30" i="55"/>
  <c r="P7" i="55"/>
  <c r="N16" i="55"/>
  <c r="N24" i="55"/>
  <c r="M61" i="55"/>
  <c r="L14" i="55"/>
  <c r="L22" i="55"/>
  <c r="P32" i="55"/>
  <c r="P46" i="55" s="1"/>
  <c r="N32" i="55"/>
  <c r="N14" i="55"/>
  <c r="J19" i="55"/>
  <c r="L21" i="55"/>
  <c r="N22" i="55"/>
  <c r="P25" i="55"/>
  <c r="P51" i="55" s="1"/>
  <c r="P29" i="55"/>
  <c r="N29" i="55"/>
  <c r="J29" i="55" s="1"/>
  <c r="P31" i="55"/>
  <c r="N31" i="55"/>
  <c r="K62" i="55"/>
  <c r="J61" i="55"/>
  <c r="J62" i="55"/>
  <c r="K61" i="55"/>
  <c r="L61" i="55"/>
  <c r="L62" i="55"/>
  <c r="L63" i="55"/>
  <c r="K24" i="53"/>
  <c r="P33" i="53"/>
  <c r="I57" i="53"/>
  <c r="N31" i="53"/>
  <c r="M31" i="53" s="1"/>
  <c r="P32" i="53"/>
  <c r="I58" i="53"/>
  <c r="I59" i="53" s="1"/>
  <c r="J40" i="53"/>
  <c r="L37" i="53"/>
  <c r="L31" i="53"/>
  <c r="N29" i="53"/>
  <c r="M29" i="53" s="1"/>
  <c r="P39" i="53"/>
  <c r="P30" i="53"/>
  <c r="P37" i="53"/>
  <c r="N32" i="53"/>
  <c r="K32" i="53" s="1"/>
  <c r="P36" i="53"/>
  <c r="P28" i="53"/>
  <c r="L32" i="53"/>
  <c r="N30" i="53"/>
  <c r="J24" i="53"/>
  <c r="P35" i="53"/>
  <c r="P27" i="53"/>
  <c r="H58" i="53"/>
  <c r="H59" i="53" s="1"/>
  <c r="N105" i="54"/>
  <c r="K105" i="54" s="1"/>
  <c r="P46" i="54"/>
  <c r="P103" i="54"/>
  <c r="N112" i="54"/>
  <c r="J112" i="54" s="1"/>
  <c r="N102" i="54"/>
  <c r="M102" i="54" s="1"/>
  <c r="H127" i="54"/>
  <c r="I128" i="54"/>
  <c r="I129" i="54" s="1"/>
  <c r="N32" i="54"/>
  <c r="J32" i="54" s="1"/>
  <c r="H133" i="54"/>
  <c r="H134" i="54"/>
  <c r="H135" i="54" s="1"/>
  <c r="I134" i="54"/>
  <c r="I135" i="54" s="1"/>
  <c r="P40" i="54"/>
  <c r="H67" i="54"/>
  <c r="H68" i="54" s="1"/>
  <c r="N99" i="54"/>
  <c r="M99" i="54" s="1"/>
  <c r="K97" i="54"/>
  <c r="M97" i="54"/>
  <c r="K102" i="54"/>
  <c r="N98" i="54"/>
  <c r="K98" i="54" s="1"/>
  <c r="P110" i="54"/>
  <c r="N106" i="54"/>
  <c r="M106" i="54" s="1"/>
  <c r="N104" i="54"/>
  <c r="K104" i="54" s="1"/>
  <c r="M105" i="54"/>
  <c r="N37" i="54"/>
  <c r="K37" i="54" s="1"/>
  <c r="N114" i="54"/>
  <c r="K114" i="54" s="1"/>
  <c r="P112" i="54"/>
  <c r="N111" i="54"/>
  <c r="J111" i="54" s="1"/>
  <c r="P115" i="54"/>
  <c r="P113" i="54"/>
  <c r="N110" i="54"/>
  <c r="M110" i="54" s="1"/>
  <c r="N113" i="54"/>
  <c r="M113" i="54" s="1"/>
  <c r="P107" i="54"/>
  <c r="L107" i="54"/>
  <c r="K103" i="54"/>
  <c r="J103" i="54"/>
  <c r="M103" i="54"/>
  <c r="L111" i="54"/>
  <c r="M104" i="54"/>
  <c r="L103" i="54"/>
  <c r="N115" i="54"/>
  <c r="M115" i="54" s="1"/>
  <c r="P109" i="54"/>
  <c r="P101" i="54"/>
  <c r="P127" i="54" s="1"/>
  <c r="L114" i="54"/>
  <c r="N108" i="54"/>
  <c r="K108" i="54" s="1"/>
  <c r="L106" i="54"/>
  <c r="J104" i="54"/>
  <c r="N100" i="54"/>
  <c r="M100" i="54" s="1"/>
  <c r="L98" i="54"/>
  <c r="P116" i="54"/>
  <c r="P108" i="54"/>
  <c r="P100" i="54"/>
  <c r="N109" i="54"/>
  <c r="M109" i="54" s="1"/>
  <c r="N101" i="54"/>
  <c r="M101" i="54" s="1"/>
  <c r="L99" i="54"/>
  <c r="N107" i="54"/>
  <c r="M107" i="54" s="1"/>
  <c r="J98" i="54"/>
  <c r="P52" i="54"/>
  <c r="P51" i="54"/>
  <c r="P43" i="54"/>
  <c r="P50" i="54"/>
  <c r="N31" i="54"/>
  <c r="K31" i="54" s="1"/>
  <c r="I66" i="54"/>
  <c r="N38" i="54"/>
  <c r="K38" i="54" s="1"/>
  <c r="N29" i="54"/>
  <c r="J29" i="54" s="1"/>
  <c r="K32" i="54"/>
  <c r="N30" i="54"/>
  <c r="J30" i="54" s="1"/>
  <c r="K24" i="54"/>
  <c r="J39" i="54"/>
  <c r="J24" i="54"/>
  <c r="I67" i="54"/>
  <c r="I68" i="54" s="1"/>
  <c r="J37" i="54"/>
  <c r="M39" i="54"/>
  <c r="N33" i="54"/>
  <c r="M33" i="54" s="1"/>
  <c r="M32" i="54"/>
  <c r="N25" i="54"/>
  <c r="P41" i="54"/>
  <c r="N35" i="54"/>
  <c r="K35" i="54" s="1"/>
  <c r="L33" i="54"/>
  <c r="N27" i="54"/>
  <c r="L25" i="54"/>
  <c r="P42" i="54"/>
  <c r="N36" i="54"/>
  <c r="L34" i="54"/>
  <c r="N28" i="54"/>
  <c r="L26" i="54"/>
  <c r="N26" i="54"/>
  <c r="N34" i="54"/>
  <c r="M34" i="54" s="1"/>
  <c r="P28" i="54"/>
  <c r="N23" i="54"/>
  <c r="M23" i="54" s="1"/>
  <c r="P37" i="54"/>
  <c r="N21" i="54"/>
  <c r="M21" i="54" s="1"/>
  <c r="P38" i="54"/>
  <c r="P23" i="54"/>
  <c r="K22" i="54"/>
  <c r="P21" i="54"/>
  <c r="N20" i="54"/>
  <c r="M20" i="54" s="1"/>
  <c r="P22" i="54"/>
  <c r="P24" i="54"/>
  <c r="P25" i="54"/>
  <c r="P26" i="54"/>
  <c r="P27" i="54"/>
  <c r="J22" i="54"/>
  <c r="P29" i="54"/>
  <c r="P30" i="54"/>
  <c r="P31" i="54"/>
  <c r="P32" i="54"/>
  <c r="P33" i="54"/>
  <c r="L7" i="54"/>
  <c r="L8" i="54"/>
  <c r="L9" i="54"/>
  <c r="L10" i="54"/>
  <c r="L11" i="54"/>
  <c r="L12" i="54"/>
  <c r="L13" i="54"/>
  <c r="L14" i="54"/>
  <c r="L15" i="54"/>
  <c r="L16" i="54"/>
  <c r="L17" i="54"/>
  <c r="L18" i="54"/>
  <c r="L19" i="54"/>
  <c r="P34" i="54"/>
  <c r="P35" i="54"/>
  <c r="P36" i="54"/>
  <c r="L81" i="54"/>
  <c r="L82" i="54"/>
  <c r="L83" i="54"/>
  <c r="L84" i="54"/>
  <c r="L85" i="54"/>
  <c r="L86" i="54"/>
  <c r="L87" i="54"/>
  <c r="L88" i="54"/>
  <c r="L89" i="54"/>
  <c r="L90" i="54"/>
  <c r="L93" i="54"/>
  <c r="L94" i="54"/>
  <c r="L95" i="54"/>
  <c r="L96" i="54"/>
  <c r="L20" i="54"/>
  <c r="L21" i="54"/>
  <c r="L22" i="54"/>
  <c r="L23" i="54"/>
  <c r="N7" i="54"/>
  <c r="N8" i="54"/>
  <c r="M8" i="54" s="1"/>
  <c r="N9" i="54"/>
  <c r="M9" i="54" s="1"/>
  <c r="N10" i="54"/>
  <c r="M10" i="54" s="1"/>
  <c r="N11" i="54"/>
  <c r="M11" i="54" s="1"/>
  <c r="N12" i="54"/>
  <c r="M12" i="54" s="1"/>
  <c r="N13" i="54"/>
  <c r="M13" i="54" s="1"/>
  <c r="N14" i="54"/>
  <c r="M14" i="54" s="1"/>
  <c r="N15" i="54"/>
  <c r="M15" i="54" s="1"/>
  <c r="N16" i="54"/>
  <c r="M16" i="54" s="1"/>
  <c r="N17" i="54"/>
  <c r="M17" i="54" s="1"/>
  <c r="N18" i="54"/>
  <c r="M18" i="54" s="1"/>
  <c r="N19" i="54"/>
  <c r="M19" i="54" s="1"/>
  <c r="N81" i="54"/>
  <c r="K81" i="54" s="1"/>
  <c r="N82" i="54"/>
  <c r="N83" i="54"/>
  <c r="N84" i="54"/>
  <c r="M84" i="54" s="1"/>
  <c r="N85" i="54"/>
  <c r="M85" i="54" s="1"/>
  <c r="N86" i="54"/>
  <c r="M86" i="54" s="1"/>
  <c r="N87" i="54"/>
  <c r="M87" i="54" s="1"/>
  <c r="N88" i="54"/>
  <c r="M88" i="54" s="1"/>
  <c r="N89" i="54"/>
  <c r="M89" i="54" s="1"/>
  <c r="N90" i="54"/>
  <c r="M90" i="54" s="1"/>
  <c r="N93" i="54"/>
  <c r="M93" i="54" s="1"/>
  <c r="N94" i="54"/>
  <c r="M94" i="54" s="1"/>
  <c r="N95" i="54"/>
  <c r="M95" i="54" s="1"/>
  <c r="N96" i="54"/>
  <c r="M96" i="54" s="1"/>
  <c r="J17" i="54"/>
  <c r="K82" i="53"/>
  <c r="K75" i="53"/>
  <c r="J87" i="53"/>
  <c r="K87" i="53"/>
  <c r="M87" i="53"/>
  <c r="K83" i="53"/>
  <c r="M78" i="53"/>
  <c r="J78" i="53"/>
  <c r="K78" i="53"/>
  <c r="M86" i="53"/>
  <c r="J86" i="53"/>
  <c r="K86" i="53"/>
  <c r="M79" i="53"/>
  <c r="J79" i="53"/>
  <c r="K79" i="53"/>
  <c r="M80" i="53"/>
  <c r="M81" i="53"/>
  <c r="M73" i="53"/>
  <c r="N83" i="53"/>
  <c r="M83" i="53" s="1"/>
  <c r="K80" i="53"/>
  <c r="N75" i="53"/>
  <c r="M75" i="53" s="1"/>
  <c r="N84" i="53"/>
  <c r="K84" i="53" s="1"/>
  <c r="N76" i="53"/>
  <c r="N85" i="53"/>
  <c r="L83" i="53"/>
  <c r="N77" i="53"/>
  <c r="L75" i="53"/>
  <c r="N82" i="53"/>
  <c r="M82" i="53" s="1"/>
  <c r="N74" i="53"/>
  <c r="M74" i="53" s="1"/>
  <c r="L74" i="53"/>
  <c r="J82" i="53"/>
  <c r="L72" i="53"/>
  <c r="N72" i="53"/>
  <c r="J72" i="53" s="1"/>
  <c r="J25" i="53"/>
  <c r="M37" i="53"/>
  <c r="K37" i="53"/>
  <c r="J37" i="53"/>
  <c r="K26" i="53"/>
  <c r="K38" i="53"/>
  <c r="J38" i="53"/>
  <c r="M38" i="53"/>
  <c r="J26" i="53"/>
  <c r="J41" i="53"/>
  <c r="M30" i="53"/>
  <c r="J30" i="53"/>
  <c r="K30" i="53"/>
  <c r="N33" i="53"/>
  <c r="M33" i="53" s="1"/>
  <c r="N25" i="53"/>
  <c r="M24" i="53"/>
  <c r="K39" i="53"/>
  <c r="N34" i="53"/>
  <c r="M34" i="53" s="1"/>
  <c r="K31" i="53"/>
  <c r="N26" i="53"/>
  <c r="M26" i="53" s="1"/>
  <c r="M39" i="53"/>
  <c r="P25" i="53"/>
  <c r="N41" i="53"/>
  <c r="M41" i="53" s="1"/>
  <c r="M40" i="53"/>
  <c r="M32" i="53"/>
  <c r="L41" i="53"/>
  <c r="L57" i="53" s="1"/>
  <c r="N27" i="53"/>
  <c r="K27" i="53" s="1"/>
  <c r="N36" i="53"/>
  <c r="L34" i="53"/>
  <c r="L58" i="53" s="1"/>
  <c r="L59" i="53" s="1"/>
  <c r="N28" i="53"/>
  <c r="N58" i="53" s="1"/>
  <c r="N59" i="53" s="1"/>
  <c r="L26" i="53"/>
  <c r="N35" i="53"/>
  <c r="J31" i="53"/>
  <c r="L25" i="53"/>
  <c r="P23" i="53"/>
  <c r="N15" i="53"/>
  <c r="M15" i="53" s="1"/>
  <c r="N20" i="53"/>
  <c r="M20" i="53" s="1"/>
  <c r="P15" i="53"/>
  <c r="L21" i="53"/>
  <c r="N11" i="53"/>
  <c r="M11" i="53" s="1"/>
  <c r="P9" i="53"/>
  <c r="K14" i="53"/>
  <c r="L17" i="53"/>
  <c r="J19" i="53"/>
  <c r="K10" i="53"/>
  <c r="P12" i="53"/>
  <c r="N14" i="53"/>
  <c r="M14" i="53" s="1"/>
  <c r="L19" i="53"/>
  <c r="J21" i="53"/>
  <c r="P22" i="53"/>
  <c r="P24" i="53"/>
  <c r="J17" i="53"/>
  <c r="N8" i="53"/>
  <c r="P10" i="53"/>
  <c r="P14" i="53"/>
  <c r="J18" i="53"/>
  <c r="K21" i="53"/>
  <c r="N16" i="53"/>
  <c r="M16" i="53" s="1"/>
  <c r="K18" i="53"/>
  <c r="N19" i="53"/>
  <c r="M19" i="53" s="1"/>
  <c r="K20" i="53"/>
  <c r="K17" i="53"/>
  <c r="N12" i="53"/>
  <c r="M12" i="53" s="1"/>
  <c r="K19" i="53"/>
  <c r="P8" i="53"/>
  <c r="N13" i="53"/>
  <c r="M13" i="53" s="1"/>
  <c r="K15" i="53"/>
  <c r="P16" i="53"/>
  <c r="L18" i="53"/>
  <c r="J20" i="53"/>
  <c r="L23" i="53"/>
  <c r="K11" i="53"/>
  <c r="K8" i="53"/>
  <c r="K9" i="53"/>
  <c r="J23" i="53"/>
  <c r="M23" i="53"/>
  <c r="K23" i="53"/>
  <c r="M8" i="53"/>
  <c r="J8" i="53"/>
  <c r="J9" i="53"/>
  <c r="J10" i="53"/>
  <c r="J11" i="53"/>
  <c r="P17" i="53"/>
  <c r="P18" i="53"/>
  <c r="P19" i="53"/>
  <c r="P20" i="53"/>
  <c r="P21" i="53"/>
  <c r="N22" i="53"/>
  <c r="L7" i="53"/>
  <c r="L8" i="53"/>
  <c r="L9" i="53"/>
  <c r="L10" i="53"/>
  <c r="L11" i="53"/>
  <c r="J15" i="53"/>
  <c r="N7" i="53"/>
  <c r="K7" i="53" s="1"/>
  <c r="L12" i="53"/>
  <c r="P7" i="53"/>
  <c r="L61" i="52"/>
  <c r="N56" i="52"/>
  <c r="M56" i="52" s="1"/>
  <c r="L57" i="52"/>
  <c r="N58" i="52"/>
  <c r="J58" i="52" s="1"/>
  <c r="P54" i="52"/>
  <c r="K58" i="52"/>
  <c r="L62" i="52"/>
  <c r="L58" i="52"/>
  <c r="P62" i="52"/>
  <c r="N54" i="52"/>
  <c r="M54" i="52" s="1"/>
  <c r="N57" i="52"/>
  <c r="L56" i="52"/>
  <c r="L55" i="52"/>
  <c r="M58" i="52"/>
  <c r="N61" i="52"/>
  <c r="K61" i="52" s="1"/>
  <c r="K62" i="52"/>
  <c r="J62" i="52"/>
  <c r="M62" i="52"/>
  <c r="P55" i="52"/>
  <c r="P56" i="52"/>
  <c r="N59" i="52"/>
  <c r="N60" i="52"/>
  <c r="P59" i="52"/>
  <c r="P60" i="52"/>
  <c r="J55" i="52"/>
  <c r="K55" i="52"/>
  <c r="P19" i="52"/>
  <c r="N20" i="52"/>
  <c r="K20" i="52" s="1"/>
  <c r="P20" i="52"/>
  <c r="N21" i="52"/>
  <c r="J21" i="52" s="1"/>
  <c r="L21" i="52"/>
  <c r="N19" i="52"/>
  <c r="L8" i="52"/>
  <c r="N23" i="52"/>
  <c r="M23" i="52" s="1"/>
  <c r="K8" i="52"/>
  <c r="J24" i="52"/>
  <c r="J8" i="52"/>
  <c r="L24" i="52"/>
  <c r="K24" i="52"/>
  <c r="M20" i="52"/>
  <c r="N7" i="52"/>
  <c r="M7" i="52" s="1"/>
  <c r="N22" i="52"/>
  <c r="J22" i="52" s="1"/>
  <c r="L20" i="52"/>
  <c r="L7" i="52"/>
  <c r="P7" i="52"/>
  <c r="N18" i="52"/>
  <c r="J18" i="52" s="1"/>
  <c r="M21" i="52"/>
  <c r="K21" i="52"/>
  <c r="CV78" i="16"/>
  <c r="CV79" i="16" s="1"/>
  <c r="CU78" i="16"/>
  <c r="CU79" i="16" s="1"/>
  <c r="CT78" i="16"/>
  <c r="CT79" i="16" s="1"/>
  <c r="CS78" i="16"/>
  <c r="CS79" i="16" s="1"/>
  <c r="CR78" i="16"/>
  <c r="CR79" i="16" s="1"/>
  <c r="CQ78" i="16"/>
  <c r="CQ79" i="16" s="1"/>
  <c r="CP78" i="16"/>
  <c r="CP79" i="16" s="1"/>
  <c r="CO78" i="16"/>
  <c r="CO79" i="16" s="1"/>
  <c r="CN78" i="16"/>
  <c r="CN79" i="16" s="1"/>
  <c r="CE78" i="16"/>
  <c r="CE79" i="16" s="1"/>
  <c r="CD78" i="16"/>
  <c r="CD79" i="16" s="1"/>
  <c r="CC78" i="16"/>
  <c r="CC79" i="16" s="1"/>
  <c r="CB78" i="16"/>
  <c r="CB79" i="16" s="1"/>
  <c r="CA78" i="16"/>
  <c r="CA79" i="16" s="1"/>
  <c r="BZ78" i="16"/>
  <c r="BZ79" i="16" s="1"/>
  <c r="BY78" i="16"/>
  <c r="BY79" i="16" s="1"/>
  <c r="BX78" i="16"/>
  <c r="BX79" i="16" s="1"/>
  <c r="BW78" i="16"/>
  <c r="BW79" i="16" s="1"/>
  <c r="CV77" i="16"/>
  <c r="CU77" i="16"/>
  <c r="CT77" i="16"/>
  <c r="CS77" i="16"/>
  <c r="CR77" i="16"/>
  <c r="CQ77" i="16"/>
  <c r="CP77" i="16"/>
  <c r="CO77" i="16"/>
  <c r="CN77" i="16"/>
  <c r="CE77" i="16"/>
  <c r="CD77" i="16"/>
  <c r="CC77" i="16"/>
  <c r="CB77" i="16"/>
  <c r="CA77" i="16"/>
  <c r="BZ77" i="16"/>
  <c r="BY77" i="16"/>
  <c r="BX77" i="16"/>
  <c r="BW77" i="16"/>
  <c r="CV51" i="16"/>
  <c r="CV52" i="16" s="1"/>
  <c r="CU51" i="16"/>
  <c r="CU52" i="16" s="1"/>
  <c r="CT51" i="16"/>
  <c r="CT52" i="16" s="1"/>
  <c r="CS51" i="16"/>
  <c r="CS52" i="16" s="1"/>
  <c r="CR51" i="16"/>
  <c r="CR52" i="16" s="1"/>
  <c r="CQ51" i="16"/>
  <c r="CQ52" i="16" s="1"/>
  <c r="CP51" i="16"/>
  <c r="CP52" i="16" s="1"/>
  <c r="CO51" i="16"/>
  <c r="CO52" i="16" s="1"/>
  <c r="CN51" i="16"/>
  <c r="CN52" i="16" s="1"/>
  <c r="CE51" i="16"/>
  <c r="CE52" i="16" s="1"/>
  <c r="CD51" i="16"/>
  <c r="CD52" i="16" s="1"/>
  <c r="CC51" i="16"/>
  <c r="CC52" i="16" s="1"/>
  <c r="CB51" i="16"/>
  <c r="CB52" i="16" s="1"/>
  <c r="CA51" i="16"/>
  <c r="CA52" i="16" s="1"/>
  <c r="BZ51" i="16"/>
  <c r="BZ52" i="16" s="1"/>
  <c r="BY51" i="16"/>
  <c r="BY52" i="16" s="1"/>
  <c r="BX51" i="16"/>
  <c r="BX52" i="16" s="1"/>
  <c r="BW51" i="16"/>
  <c r="BW52" i="16" s="1"/>
  <c r="CV50" i="16"/>
  <c r="CU50" i="16"/>
  <c r="CT50" i="16"/>
  <c r="CS50" i="16"/>
  <c r="CR50" i="16"/>
  <c r="CQ50" i="16"/>
  <c r="CP50" i="16"/>
  <c r="CO50" i="16"/>
  <c r="CN50" i="16"/>
  <c r="CE50" i="16"/>
  <c r="CD50" i="16"/>
  <c r="CC50" i="16"/>
  <c r="CB50" i="16"/>
  <c r="CA50" i="16"/>
  <c r="BZ50" i="16"/>
  <c r="BY50" i="16"/>
  <c r="BX50" i="16"/>
  <c r="BW50" i="16"/>
  <c r="CV26" i="16"/>
  <c r="CV27" i="16" s="1"/>
  <c r="CU26" i="16"/>
  <c r="CU27" i="16" s="1"/>
  <c r="CT26" i="16"/>
  <c r="CT27" i="16" s="1"/>
  <c r="CS26" i="16"/>
  <c r="CS27" i="16" s="1"/>
  <c r="CR26" i="16"/>
  <c r="CR27" i="16" s="1"/>
  <c r="CQ26" i="16"/>
  <c r="CQ27" i="16" s="1"/>
  <c r="CP26" i="16"/>
  <c r="CP27" i="16" s="1"/>
  <c r="CO26" i="16"/>
  <c r="CO27" i="16" s="1"/>
  <c r="CN26" i="16"/>
  <c r="CN27" i="16" s="1"/>
  <c r="CE26" i="16"/>
  <c r="CE27" i="16" s="1"/>
  <c r="CD26" i="16"/>
  <c r="CD27" i="16" s="1"/>
  <c r="CC26" i="16"/>
  <c r="CC27" i="16" s="1"/>
  <c r="CB26" i="16"/>
  <c r="CB27" i="16" s="1"/>
  <c r="CA26" i="16"/>
  <c r="CA27" i="16" s="1"/>
  <c r="BZ26" i="16"/>
  <c r="BZ27" i="16" s="1"/>
  <c r="BY26" i="16"/>
  <c r="BY27" i="16" s="1"/>
  <c r="BX26" i="16"/>
  <c r="BX27" i="16" s="1"/>
  <c r="BW26" i="16"/>
  <c r="BW27" i="16" s="1"/>
  <c r="CV25" i="16"/>
  <c r="CU25" i="16"/>
  <c r="CT25" i="16"/>
  <c r="CS25" i="16"/>
  <c r="CR25" i="16"/>
  <c r="CQ25" i="16"/>
  <c r="CP25" i="16"/>
  <c r="CO25" i="16"/>
  <c r="CN25" i="16"/>
  <c r="CE25" i="16"/>
  <c r="CD25" i="16"/>
  <c r="CC25" i="16"/>
  <c r="CB25" i="16"/>
  <c r="CA25" i="16"/>
  <c r="BZ25" i="16"/>
  <c r="BY25" i="16"/>
  <c r="BX25" i="16"/>
  <c r="BW25" i="16"/>
  <c r="J48" i="54" l="1"/>
  <c r="M48" i="54"/>
  <c r="K50" i="54"/>
  <c r="K41" i="54"/>
  <c r="M41" i="54"/>
  <c r="K42" i="54"/>
  <c r="J41" i="54"/>
  <c r="K49" i="54"/>
  <c r="M49" i="54"/>
  <c r="J50" i="54"/>
  <c r="J40" i="54"/>
  <c r="M40" i="54"/>
  <c r="K48" i="54"/>
  <c r="P134" i="54"/>
  <c r="P135" i="54" s="1"/>
  <c r="M112" i="54"/>
  <c r="K7" i="54"/>
  <c r="J99" i="54"/>
  <c r="M37" i="54"/>
  <c r="K99" i="54"/>
  <c r="M98" i="54"/>
  <c r="J105" i="54"/>
  <c r="M38" i="54"/>
  <c r="J71" i="55"/>
  <c r="J70" i="55"/>
  <c r="J17" i="55"/>
  <c r="N51" i="55"/>
  <c r="N52" i="55"/>
  <c r="N53" i="55" s="1"/>
  <c r="N46" i="55"/>
  <c r="N47" i="55"/>
  <c r="N48" i="55" s="1"/>
  <c r="L46" i="55"/>
  <c r="L47" i="55"/>
  <c r="L48" i="55" s="1"/>
  <c r="P52" i="55"/>
  <c r="P53" i="55" s="1"/>
  <c r="K12" i="55"/>
  <c r="L51" i="55"/>
  <c r="L52" i="55"/>
  <c r="L53" i="55" s="1"/>
  <c r="H40" i="55"/>
  <c r="K28" i="55"/>
  <c r="K7" i="55"/>
  <c r="K65" i="55"/>
  <c r="P47" i="55"/>
  <c r="P48" i="55" s="1"/>
  <c r="M69" i="55"/>
  <c r="J69" i="55"/>
  <c r="J68" i="55"/>
  <c r="K69" i="55"/>
  <c r="J67" i="55"/>
  <c r="K68" i="55"/>
  <c r="K67" i="55"/>
  <c r="J64" i="55"/>
  <c r="K63" i="55"/>
  <c r="J63" i="55"/>
  <c r="J11" i="55"/>
  <c r="K64" i="55"/>
  <c r="J23" i="55"/>
  <c r="J27" i="55"/>
  <c r="K21" i="55"/>
  <c r="J28" i="55"/>
  <c r="K27" i="55"/>
  <c r="L26" i="55"/>
  <c r="L40" i="55" s="1"/>
  <c r="N26" i="55"/>
  <c r="N40" i="55" s="1"/>
  <c r="P26" i="55"/>
  <c r="P40" i="55" s="1"/>
  <c r="K25" i="55"/>
  <c r="J25" i="55"/>
  <c r="K19" i="55"/>
  <c r="K11" i="55"/>
  <c r="K13" i="55"/>
  <c r="J13" i="55"/>
  <c r="J21" i="55"/>
  <c r="J9" i="55"/>
  <c r="M9" i="55"/>
  <c r="M31" i="55"/>
  <c r="K31" i="55"/>
  <c r="J31" i="55"/>
  <c r="J8" i="55"/>
  <c r="M8" i="55"/>
  <c r="M18" i="55"/>
  <c r="J18" i="55"/>
  <c r="M22" i="55"/>
  <c r="K22" i="55"/>
  <c r="M14" i="55"/>
  <c r="K14" i="55"/>
  <c r="J22" i="55"/>
  <c r="K8" i="55"/>
  <c r="K9" i="55"/>
  <c r="M32" i="55"/>
  <c r="K32" i="55"/>
  <c r="J32" i="55"/>
  <c r="M24" i="55"/>
  <c r="J24" i="55"/>
  <c r="K24" i="55"/>
  <c r="M17" i="55"/>
  <c r="K17" i="55"/>
  <c r="M33" i="55"/>
  <c r="K33" i="55"/>
  <c r="J33" i="55"/>
  <c r="M10" i="55"/>
  <c r="J10" i="55"/>
  <c r="K10" i="55"/>
  <c r="K18" i="55"/>
  <c r="M29" i="55"/>
  <c r="K29" i="55"/>
  <c r="M16" i="55"/>
  <c r="J16" i="55"/>
  <c r="K16" i="55"/>
  <c r="M30" i="55"/>
  <c r="K30" i="55"/>
  <c r="J30" i="55"/>
  <c r="J7" i="55"/>
  <c r="M7" i="55"/>
  <c r="J14" i="55"/>
  <c r="K29" i="53"/>
  <c r="J29" i="53"/>
  <c r="J32" i="53"/>
  <c r="M25" i="53"/>
  <c r="N57" i="53"/>
  <c r="K58" i="53"/>
  <c r="K59" i="53" s="1"/>
  <c r="J33" i="53"/>
  <c r="J114" i="54"/>
  <c r="L133" i="54"/>
  <c r="L134" i="54"/>
  <c r="L135" i="54" s="1"/>
  <c r="M29" i="54"/>
  <c r="J38" i="54"/>
  <c r="K112" i="54"/>
  <c r="N133" i="54"/>
  <c r="N134" i="54"/>
  <c r="N135" i="54" s="1"/>
  <c r="L127" i="54"/>
  <c r="L128" i="54"/>
  <c r="L129" i="54" s="1"/>
  <c r="M30" i="54"/>
  <c r="J31" i="54"/>
  <c r="P128" i="54"/>
  <c r="P129" i="54" s="1"/>
  <c r="M82" i="54"/>
  <c r="N128" i="54"/>
  <c r="N129" i="54" s="1"/>
  <c r="N127" i="54"/>
  <c r="M31" i="54"/>
  <c r="K100" i="54"/>
  <c r="P133" i="54"/>
  <c r="J102" i="54"/>
  <c r="K29" i="54"/>
  <c r="J106" i="54"/>
  <c r="J113" i="54"/>
  <c r="M114" i="54"/>
  <c r="M111" i="54"/>
  <c r="K111" i="54"/>
  <c r="K106" i="54"/>
  <c r="K113" i="54"/>
  <c r="J115" i="54"/>
  <c r="K115" i="54"/>
  <c r="J109" i="54"/>
  <c r="J107" i="54"/>
  <c r="J110" i="54"/>
  <c r="M108" i="54"/>
  <c r="K110" i="54"/>
  <c r="K101" i="54"/>
  <c r="J100" i="54"/>
  <c r="J101" i="54"/>
  <c r="J108" i="54"/>
  <c r="K107" i="54"/>
  <c r="K109" i="54"/>
  <c r="K21" i="54"/>
  <c r="J23" i="54"/>
  <c r="J20" i="54"/>
  <c r="J81" i="54"/>
  <c r="K33" i="54"/>
  <c r="K30" i="54"/>
  <c r="J33" i="54"/>
  <c r="K34" i="54"/>
  <c r="K84" i="54"/>
  <c r="M26" i="54"/>
  <c r="P66" i="54"/>
  <c r="P67" i="54"/>
  <c r="P68" i="54" s="1"/>
  <c r="M25" i="54"/>
  <c r="N66" i="54"/>
  <c r="N67" i="54"/>
  <c r="N68" i="54" s="1"/>
  <c r="L66" i="54"/>
  <c r="L67" i="54"/>
  <c r="L68" i="54" s="1"/>
  <c r="M28" i="54"/>
  <c r="K28" i="54"/>
  <c r="J28" i="54"/>
  <c r="M27" i="54"/>
  <c r="J27" i="54"/>
  <c r="M35" i="54"/>
  <c r="J35" i="54"/>
  <c r="J25" i="54"/>
  <c r="M36" i="54"/>
  <c r="J36" i="54"/>
  <c r="K36" i="54"/>
  <c r="J26" i="54"/>
  <c r="J34" i="54"/>
  <c r="K27" i="54"/>
  <c r="K25" i="54"/>
  <c r="K26" i="54"/>
  <c r="K12" i="54"/>
  <c r="K20" i="54"/>
  <c r="K23" i="54"/>
  <c r="K96" i="54"/>
  <c r="J21" i="54"/>
  <c r="J12" i="54"/>
  <c r="K8" i="54"/>
  <c r="J14" i="54"/>
  <c r="J9" i="54"/>
  <c r="K17" i="54"/>
  <c r="J96" i="54"/>
  <c r="K88" i="54"/>
  <c r="K95" i="54"/>
  <c r="K86" i="54"/>
  <c r="J95" i="54"/>
  <c r="J15" i="54"/>
  <c r="K13" i="54"/>
  <c r="J13" i="54"/>
  <c r="J18" i="54"/>
  <c r="J11" i="54"/>
  <c r="J8" i="54"/>
  <c r="M83" i="54"/>
  <c r="J10" i="54"/>
  <c r="J90" i="54"/>
  <c r="K83" i="54"/>
  <c r="K9" i="54"/>
  <c r="K94" i="54"/>
  <c r="J85" i="54"/>
  <c r="K90" i="54"/>
  <c r="K89" i="54"/>
  <c r="M7" i="54"/>
  <c r="J19" i="54"/>
  <c r="J93" i="54"/>
  <c r="K85" i="54"/>
  <c r="K11" i="54"/>
  <c r="J94" i="54"/>
  <c r="J88" i="54"/>
  <c r="J89" i="54"/>
  <c r="J16" i="54"/>
  <c r="J87" i="54"/>
  <c r="K82" i="54"/>
  <c r="K18" i="54"/>
  <c r="K87" i="54"/>
  <c r="J84" i="54"/>
  <c r="J82" i="54"/>
  <c r="J83" i="54"/>
  <c r="K19" i="54"/>
  <c r="K14" i="54"/>
  <c r="K93" i="54"/>
  <c r="M81" i="54"/>
  <c r="J86" i="54"/>
  <c r="J7" i="54"/>
  <c r="K15" i="54"/>
  <c r="K10" i="54"/>
  <c r="K16" i="54"/>
  <c r="J76" i="53"/>
  <c r="M76" i="53"/>
  <c r="J74" i="53"/>
  <c r="J75" i="53"/>
  <c r="K74" i="53"/>
  <c r="K76" i="53"/>
  <c r="M77" i="53"/>
  <c r="J77" i="53"/>
  <c r="K77" i="53"/>
  <c r="J85" i="53"/>
  <c r="K85" i="53"/>
  <c r="M85" i="53"/>
  <c r="M84" i="53"/>
  <c r="J84" i="53"/>
  <c r="J83" i="53"/>
  <c r="M72" i="53"/>
  <c r="K72" i="53"/>
  <c r="P57" i="53"/>
  <c r="P58" i="53"/>
  <c r="P59" i="53" s="1"/>
  <c r="J35" i="53"/>
  <c r="M35" i="53"/>
  <c r="K28" i="53"/>
  <c r="M28" i="53"/>
  <c r="M58" i="53" s="1"/>
  <c r="M59" i="53" s="1"/>
  <c r="J28" i="53"/>
  <c r="J57" i="53" s="1"/>
  <c r="K41" i="53"/>
  <c r="K57" i="53" s="1"/>
  <c r="J34" i="53"/>
  <c r="M36" i="53"/>
  <c r="K36" i="53"/>
  <c r="J36" i="53"/>
  <c r="K33" i="53"/>
  <c r="K34" i="53"/>
  <c r="J27" i="53"/>
  <c r="M27" i="53"/>
  <c r="K25" i="53"/>
  <c r="K35" i="53"/>
  <c r="J14" i="53"/>
  <c r="K13" i="53"/>
  <c r="J16" i="53"/>
  <c r="J13" i="53"/>
  <c r="K16" i="53"/>
  <c r="K12" i="53"/>
  <c r="J12" i="53"/>
  <c r="M7" i="53"/>
  <c r="J22" i="53"/>
  <c r="J7" i="53"/>
  <c r="K22" i="53"/>
  <c r="M22" i="53"/>
  <c r="M61" i="52"/>
  <c r="J61" i="52"/>
  <c r="J56" i="52"/>
  <c r="K56" i="52"/>
  <c r="K54" i="52"/>
  <c r="J57" i="52"/>
  <c r="M57" i="52"/>
  <c r="J54" i="52"/>
  <c r="K57" i="52"/>
  <c r="M59" i="52"/>
  <c r="K59" i="52"/>
  <c r="J59" i="52"/>
  <c r="K60" i="52"/>
  <c r="M60" i="52"/>
  <c r="J60" i="52"/>
  <c r="J20" i="52"/>
  <c r="M19" i="52"/>
  <c r="K18" i="52"/>
  <c r="K19" i="52"/>
  <c r="J19" i="52"/>
  <c r="M18" i="52"/>
  <c r="J23" i="52"/>
  <c r="K23" i="52"/>
  <c r="M22" i="52"/>
  <c r="J7" i="52"/>
  <c r="K22" i="52"/>
  <c r="K7" i="52"/>
  <c r="E230" i="16"/>
  <c r="F230" i="16"/>
  <c r="E231" i="16"/>
  <c r="F231" i="16"/>
  <c r="E212" i="16"/>
  <c r="F212" i="16"/>
  <c r="E213" i="16"/>
  <c r="F213" i="16"/>
  <c r="E194" i="16"/>
  <c r="F194" i="16"/>
  <c r="E195" i="16"/>
  <c r="F195" i="16"/>
  <c r="E178" i="16"/>
  <c r="F178" i="16"/>
  <c r="E179" i="16"/>
  <c r="F179" i="16"/>
  <c r="E164" i="16"/>
  <c r="F164" i="16"/>
  <c r="E165" i="16"/>
  <c r="F165" i="16"/>
  <c r="E151" i="16"/>
  <c r="F151" i="16"/>
  <c r="E152" i="16"/>
  <c r="F152" i="16"/>
  <c r="E141" i="16"/>
  <c r="F141" i="16"/>
  <c r="E140" i="16"/>
  <c r="F140" i="16"/>
  <c r="N608" i="35"/>
  <c r="M608" i="35"/>
  <c r="L608" i="35"/>
  <c r="E608" i="35"/>
  <c r="D608" i="35"/>
  <c r="C608" i="35"/>
  <c r="N607" i="35"/>
  <c r="M607" i="35"/>
  <c r="L607" i="35"/>
  <c r="E607" i="35"/>
  <c r="D607" i="35"/>
  <c r="C607" i="35"/>
  <c r="N586" i="35"/>
  <c r="M586" i="35"/>
  <c r="L586" i="35"/>
  <c r="E586" i="35"/>
  <c r="D586" i="35"/>
  <c r="C586" i="35"/>
  <c r="N585" i="35"/>
  <c r="M585" i="35"/>
  <c r="L585" i="35"/>
  <c r="E585" i="35"/>
  <c r="D585" i="35"/>
  <c r="C585" i="35"/>
  <c r="K51" i="55" l="1"/>
  <c r="K52" i="55"/>
  <c r="K53" i="55" s="1"/>
  <c r="L41" i="55"/>
  <c r="L42" i="55" s="1"/>
  <c r="M51" i="55"/>
  <c r="M52" i="55"/>
  <c r="M53" i="55" s="1"/>
  <c r="K46" i="55"/>
  <c r="K47" i="55"/>
  <c r="K48" i="55" s="1"/>
  <c r="N41" i="55"/>
  <c r="N42" i="55" s="1"/>
  <c r="J46" i="55"/>
  <c r="J47" i="55"/>
  <c r="J48" i="55" s="1"/>
  <c r="M46" i="55"/>
  <c r="M47" i="55"/>
  <c r="M48" i="55" s="1"/>
  <c r="K40" i="55"/>
  <c r="P41" i="55"/>
  <c r="P42" i="55" s="1"/>
  <c r="J51" i="55"/>
  <c r="J52" i="55"/>
  <c r="J53" i="55" s="1"/>
  <c r="K26" i="55"/>
  <c r="K41" i="55" s="1"/>
  <c r="K42" i="55" s="1"/>
  <c r="M26" i="55"/>
  <c r="M41" i="55" s="1"/>
  <c r="M42" i="55" s="1"/>
  <c r="J26" i="55"/>
  <c r="J40" i="55" s="1"/>
  <c r="J58" i="53"/>
  <c r="J59" i="53" s="1"/>
  <c r="M57" i="53"/>
  <c r="J133" i="54"/>
  <c r="J134" i="54"/>
  <c r="J135" i="54" s="1"/>
  <c r="M133" i="54"/>
  <c r="M134" i="54"/>
  <c r="M135" i="54" s="1"/>
  <c r="M127" i="54"/>
  <c r="M128" i="54"/>
  <c r="M129" i="54" s="1"/>
  <c r="J127" i="54"/>
  <c r="J128" i="54"/>
  <c r="J129" i="54" s="1"/>
  <c r="K127" i="54"/>
  <c r="K128" i="54"/>
  <c r="K129" i="54" s="1"/>
  <c r="K133" i="54"/>
  <c r="K134" i="54"/>
  <c r="K135" i="54" s="1"/>
  <c r="J66" i="54"/>
  <c r="J67" i="54"/>
  <c r="J68" i="54" s="1"/>
  <c r="K66" i="54"/>
  <c r="K67" i="54"/>
  <c r="K68" i="54" s="1"/>
  <c r="M66" i="54"/>
  <c r="M67" i="54"/>
  <c r="M68" i="54" s="1"/>
  <c r="AL251" i="40"/>
  <c r="AL252" i="40"/>
  <c r="AM251" i="40"/>
  <c r="AN251" i="40"/>
  <c r="AM252" i="40"/>
  <c r="AN252" i="40"/>
  <c r="AV295" i="40"/>
  <c r="AU295" i="40"/>
  <c r="AT295" i="40"/>
  <c r="AV294" i="40"/>
  <c r="AU294" i="40"/>
  <c r="AT294" i="40"/>
  <c r="AR295" i="40"/>
  <c r="AQ295" i="40"/>
  <c r="AP295" i="40"/>
  <c r="AR294" i="40"/>
  <c r="AQ294" i="40"/>
  <c r="AP294" i="40"/>
  <c r="AN295" i="40"/>
  <c r="AM295" i="40"/>
  <c r="AL295" i="40"/>
  <c r="AN294" i="40"/>
  <c r="AM294" i="40"/>
  <c r="AL294" i="40"/>
  <c r="AI294" i="40"/>
  <c r="AJ294" i="40"/>
  <c r="AI295" i="40"/>
  <c r="AJ295" i="40"/>
  <c r="AH295" i="40"/>
  <c r="AH294" i="40"/>
  <c r="AU251" i="40"/>
  <c r="AV251" i="40"/>
  <c r="AU252" i="40"/>
  <c r="AV252" i="40"/>
  <c r="AT252" i="40"/>
  <c r="AT251" i="40"/>
  <c r="AR252" i="40"/>
  <c r="AQ252" i="40"/>
  <c r="AP252" i="40"/>
  <c r="AR251" i="40"/>
  <c r="AQ251" i="40"/>
  <c r="AP251" i="40"/>
  <c r="AI251" i="40"/>
  <c r="AJ251" i="40"/>
  <c r="AI252" i="40"/>
  <c r="AJ252" i="40"/>
  <c r="AH252" i="40"/>
  <c r="AH251" i="40"/>
  <c r="AV203" i="40"/>
  <c r="AU203" i="40"/>
  <c r="AT203" i="40"/>
  <c r="AV202" i="40"/>
  <c r="AU202" i="40"/>
  <c r="AT202" i="40"/>
  <c r="AR203" i="40"/>
  <c r="AQ203" i="40"/>
  <c r="AP203" i="40"/>
  <c r="AR202" i="40"/>
  <c r="AQ202" i="40"/>
  <c r="AP202" i="40"/>
  <c r="AN203" i="40"/>
  <c r="AM203" i="40"/>
  <c r="AL203" i="40"/>
  <c r="AN202" i="40"/>
  <c r="AM202" i="40"/>
  <c r="AL202" i="40"/>
  <c r="AI202" i="40"/>
  <c r="AJ202" i="40"/>
  <c r="AI203" i="40"/>
  <c r="AJ203" i="40"/>
  <c r="AH203" i="40"/>
  <c r="AH202" i="40"/>
  <c r="AV160" i="40"/>
  <c r="AU160" i="40"/>
  <c r="AT160" i="40"/>
  <c r="AV159" i="40"/>
  <c r="AU159" i="40"/>
  <c r="AT159" i="40"/>
  <c r="AR160" i="40"/>
  <c r="AQ160" i="40"/>
  <c r="AP160" i="40"/>
  <c r="AR159" i="40"/>
  <c r="AQ159" i="40"/>
  <c r="AP159" i="40"/>
  <c r="AN160" i="40"/>
  <c r="AM160" i="40"/>
  <c r="AL160" i="40"/>
  <c r="AN159" i="40"/>
  <c r="AM159" i="40"/>
  <c r="AL159" i="40"/>
  <c r="AI159" i="40"/>
  <c r="AJ159" i="40"/>
  <c r="AI160" i="40"/>
  <c r="AJ160" i="40"/>
  <c r="AH160" i="40"/>
  <c r="AH159" i="40"/>
  <c r="AV65" i="40"/>
  <c r="AU65" i="40"/>
  <c r="AT65" i="40"/>
  <c r="AV64" i="40"/>
  <c r="AU64" i="40"/>
  <c r="AT64" i="40"/>
  <c r="AR65" i="40"/>
  <c r="AQ65" i="40"/>
  <c r="AP65" i="40"/>
  <c r="AR64" i="40"/>
  <c r="AQ64" i="40"/>
  <c r="AP64" i="40"/>
  <c r="AN65" i="40"/>
  <c r="AM65" i="40"/>
  <c r="AL65" i="40"/>
  <c r="AN64" i="40"/>
  <c r="AM64" i="40"/>
  <c r="AL64" i="40"/>
  <c r="AI65" i="40"/>
  <c r="AJ65" i="40"/>
  <c r="AH65" i="40"/>
  <c r="AI64" i="40"/>
  <c r="AJ64" i="40"/>
  <c r="AH64" i="40"/>
  <c r="AV41" i="40"/>
  <c r="AU41" i="40"/>
  <c r="AT41" i="40"/>
  <c r="AV40" i="40"/>
  <c r="AU40" i="40"/>
  <c r="AT40" i="40"/>
  <c r="AR41" i="40"/>
  <c r="AQ41" i="40"/>
  <c r="AP41" i="40"/>
  <c r="AR40" i="40"/>
  <c r="AQ40" i="40"/>
  <c r="AP40" i="40"/>
  <c r="AN41" i="40"/>
  <c r="AM41" i="40"/>
  <c r="AL41" i="40"/>
  <c r="AN40" i="40"/>
  <c r="AM40" i="40"/>
  <c r="AL40" i="40"/>
  <c r="AI41" i="40"/>
  <c r="AJ41" i="40"/>
  <c r="AI40" i="40"/>
  <c r="AJ40" i="40"/>
  <c r="AH41" i="40"/>
  <c r="AH40" i="40"/>
  <c r="M40" i="55" l="1"/>
  <c r="J41" i="55"/>
  <c r="J42" i="55" s="1"/>
  <c r="N563" i="35"/>
  <c r="M563" i="35"/>
  <c r="L563" i="35"/>
  <c r="E563" i="35"/>
  <c r="D563" i="35"/>
  <c r="C563" i="35"/>
  <c r="N562" i="35"/>
  <c r="M562" i="35"/>
  <c r="L562" i="35"/>
  <c r="E562" i="35"/>
  <c r="D562" i="35"/>
  <c r="C562" i="35"/>
  <c r="N541" i="35"/>
  <c r="M541" i="35"/>
  <c r="L541" i="35"/>
  <c r="E541" i="35"/>
  <c r="D541" i="35"/>
  <c r="C541" i="35"/>
  <c r="N540" i="35"/>
  <c r="M540" i="35"/>
  <c r="L540" i="35"/>
  <c r="E540" i="35"/>
  <c r="D540" i="35"/>
  <c r="C540" i="35"/>
  <c r="N519" i="35"/>
  <c r="M519" i="35"/>
  <c r="L519" i="35"/>
  <c r="E519" i="35"/>
  <c r="D519" i="35"/>
  <c r="C519" i="35"/>
  <c r="N518" i="35"/>
  <c r="M518" i="35"/>
  <c r="L518" i="35"/>
  <c r="E518" i="35"/>
  <c r="D518" i="35"/>
  <c r="C518" i="35"/>
  <c r="U336" i="35" l="1"/>
  <c r="V336" i="35"/>
  <c r="W336" i="35"/>
  <c r="X336" i="35"/>
  <c r="Y336" i="35"/>
  <c r="Z336" i="35"/>
  <c r="AA336" i="35"/>
  <c r="AB336" i="35"/>
  <c r="U337" i="35"/>
  <c r="V337" i="35"/>
  <c r="W337" i="35"/>
  <c r="X337" i="35"/>
  <c r="Y337" i="35"/>
  <c r="Z337" i="35"/>
  <c r="AA337" i="35"/>
  <c r="AB337" i="35"/>
  <c r="T337" i="35"/>
  <c r="T336" i="35"/>
  <c r="M336" i="35"/>
  <c r="L336" i="35"/>
  <c r="K336" i="35"/>
  <c r="J336" i="35"/>
  <c r="I336" i="35"/>
  <c r="H336" i="35"/>
  <c r="G336" i="35"/>
  <c r="F336" i="35"/>
  <c r="E336" i="35"/>
  <c r="AB335" i="35"/>
  <c r="AA335" i="35"/>
  <c r="Z335" i="35"/>
  <c r="Y335" i="35"/>
  <c r="X335" i="35"/>
  <c r="W335" i="35"/>
  <c r="V335" i="35"/>
  <c r="U335" i="35"/>
  <c r="T335" i="35"/>
  <c r="M335" i="35"/>
  <c r="L335" i="35"/>
  <c r="K335" i="35"/>
  <c r="J335" i="35"/>
  <c r="I335" i="35"/>
  <c r="H335" i="35"/>
  <c r="G335" i="35"/>
  <c r="F335" i="35"/>
  <c r="E335" i="35"/>
  <c r="AB334" i="35"/>
  <c r="AA334" i="35"/>
  <c r="Z334" i="35"/>
  <c r="Y334" i="35"/>
  <c r="X334" i="35"/>
  <c r="W334" i="35"/>
  <c r="V334" i="35"/>
  <c r="U334" i="35"/>
  <c r="T334" i="35"/>
  <c r="M334" i="35"/>
  <c r="L334" i="35"/>
  <c r="K334" i="35"/>
  <c r="J334" i="35"/>
  <c r="I334" i="35"/>
  <c r="H334" i="35"/>
  <c r="G334" i="35"/>
  <c r="F334" i="35"/>
  <c r="E334" i="35"/>
  <c r="AB333" i="35"/>
  <c r="AA333" i="35"/>
  <c r="Z333" i="35"/>
  <c r="Y333" i="35"/>
  <c r="X333" i="35"/>
  <c r="W333" i="35"/>
  <c r="V333" i="35"/>
  <c r="U333" i="35"/>
  <c r="T333" i="35"/>
  <c r="M333" i="35"/>
  <c r="L333" i="35"/>
  <c r="K333" i="35"/>
  <c r="J333" i="35"/>
  <c r="I333" i="35"/>
  <c r="H333" i="35"/>
  <c r="G333" i="35"/>
  <c r="F333" i="35"/>
  <c r="E333" i="35"/>
  <c r="M319" i="35"/>
  <c r="L319" i="35"/>
  <c r="K319" i="35"/>
  <c r="J319" i="35"/>
  <c r="I319" i="35"/>
  <c r="H319" i="35"/>
  <c r="G319" i="35"/>
  <c r="F319" i="35"/>
  <c r="E319" i="35"/>
  <c r="AB318" i="35"/>
  <c r="AA318" i="35"/>
  <c r="Z318" i="35"/>
  <c r="Y318" i="35"/>
  <c r="X318" i="35"/>
  <c r="W318" i="35"/>
  <c r="V318" i="35"/>
  <c r="U318" i="35"/>
  <c r="T318" i="35"/>
  <c r="M318" i="35"/>
  <c r="L318" i="35"/>
  <c r="K318" i="35"/>
  <c r="J318" i="35"/>
  <c r="I318" i="35"/>
  <c r="H318" i="35"/>
  <c r="G318" i="35"/>
  <c r="F318" i="35"/>
  <c r="E318" i="35"/>
  <c r="AB317" i="35"/>
  <c r="AA317" i="35"/>
  <c r="Z317" i="35"/>
  <c r="Y317" i="35"/>
  <c r="X317" i="35"/>
  <c r="W317" i="35"/>
  <c r="V317" i="35"/>
  <c r="U317" i="35"/>
  <c r="T317" i="35"/>
  <c r="M317" i="35"/>
  <c r="L317" i="35"/>
  <c r="K317" i="35"/>
  <c r="J317" i="35"/>
  <c r="I317" i="35"/>
  <c r="H317" i="35"/>
  <c r="G317" i="35"/>
  <c r="F317" i="35"/>
  <c r="E317" i="35"/>
  <c r="AB316" i="35"/>
  <c r="AA316" i="35"/>
  <c r="Z316" i="35"/>
  <c r="Y316" i="35"/>
  <c r="X316" i="35"/>
  <c r="W316" i="35"/>
  <c r="V316" i="35"/>
  <c r="U316" i="35"/>
  <c r="T316" i="35"/>
  <c r="M316" i="35"/>
  <c r="L316" i="35"/>
  <c r="K316" i="35"/>
  <c r="J316" i="35"/>
  <c r="I316" i="35"/>
  <c r="H316" i="35"/>
  <c r="G316" i="35"/>
  <c r="F316" i="35"/>
  <c r="E316" i="35"/>
  <c r="E302" i="35"/>
  <c r="E301" i="35"/>
  <c r="E300" i="35"/>
  <c r="E299" i="35"/>
  <c r="E298" i="35"/>
  <c r="E297" i="35"/>
  <c r="M302" i="35"/>
  <c r="L302" i="35"/>
  <c r="K302" i="35"/>
  <c r="J302" i="35"/>
  <c r="I302" i="35"/>
  <c r="H302" i="35"/>
  <c r="G302" i="35"/>
  <c r="F302" i="35"/>
  <c r="M301" i="35"/>
  <c r="L301" i="35"/>
  <c r="J301" i="35"/>
  <c r="I301" i="35"/>
  <c r="H301" i="35"/>
  <c r="F301" i="35"/>
  <c r="AB300" i="35"/>
  <c r="AA300" i="35"/>
  <c r="Z300" i="35"/>
  <c r="Y300" i="35"/>
  <c r="X300" i="35"/>
  <c r="W300" i="35"/>
  <c r="V300" i="35"/>
  <c r="U300" i="35"/>
  <c r="T300" i="35"/>
  <c r="M300" i="35"/>
  <c r="L300" i="35"/>
  <c r="K300" i="35"/>
  <c r="J300" i="35"/>
  <c r="I300" i="35"/>
  <c r="H300" i="35"/>
  <c r="G300" i="35"/>
  <c r="F300" i="35"/>
  <c r="AB299" i="35"/>
  <c r="AA299" i="35"/>
  <c r="Z299" i="35"/>
  <c r="Y299" i="35"/>
  <c r="X299" i="35"/>
  <c r="W299" i="35"/>
  <c r="V299" i="35"/>
  <c r="U299" i="35"/>
  <c r="T299" i="35"/>
  <c r="M299" i="35"/>
  <c r="L299" i="35"/>
  <c r="J299" i="35"/>
  <c r="I299" i="35"/>
  <c r="H299" i="35"/>
  <c r="F299" i="35"/>
  <c r="AB298" i="35"/>
  <c r="AA298" i="35"/>
  <c r="Z298" i="35"/>
  <c r="Y298" i="35"/>
  <c r="X298" i="35"/>
  <c r="W298" i="35"/>
  <c r="V298" i="35"/>
  <c r="U298" i="35"/>
  <c r="T298" i="35"/>
  <c r="M298" i="35"/>
  <c r="L298" i="35"/>
  <c r="K298" i="35"/>
  <c r="J298" i="35"/>
  <c r="I298" i="35"/>
  <c r="H298" i="35"/>
  <c r="G298" i="35"/>
  <c r="F298" i="35"/>
  <c r="AB297" i="35"/>
  <c r="AA297" i="35"/>
  <c r="Z297" i="35"/>
  <c r="Y297" i="35"/>
  <c r="X297" i="35"/>
  <c r="W297" i="35"/>
  <c r="V297" i="35"/>
  <c r="U297" i="35"/>
  <c r="T297" i="35"/>
  <c r="M297" i="35"/>
  <c r="L297" i="35"/>
  <c r="J297" i="35"/>
  <c r="I297" i="35"/>
  <c r="H297" i="35"/>
  <c r="F297" i="35"/>
  <c r="AB296" i="35"/>
  <c r="AA296" i="35"/>
  <c r="Z296" i="35"/>
  <c r="Y296" i="35"/>
  <c r="X296" i="35"/>
  <c r="W296" i="35"/>
  <c r="V296" i="35"/>
  <c r="U296" i="35"/>
  <c r="T296" i="35"/>
  <c r="M296" i="35"/>
  <c r="L296" i="35"/>
  <c r="K296" i="35"/>
  <c r="J296" i="35"/>
  <c r="I296" i="35"/>
  <c r="H296" i="35"/>
  <c r="G296" i="35"/>
  <c r="F296" i="35"/>
  <c r="E296" i="35"/>
  <c r="M279" i="35"/>
  <c r="L279" i="35"/>
  <c r="K279" i="35"/>
  <c r="J279" i="35"/>
  <c r="I279" i="35"/>
  <c r="H279" i="35"/>
  <c r="G279" i="35"/>
  <c r="F279" i="35"/>
  <c r="E279" i="35"/>
  <c r="AB278" i="35"/>
  <c r="AA278" i="35"/>
  <c r="Y278" i="35"/>
  <c r="X278" i="35"/>
  <c r="W278" i="35"/>
  <c r="U278" i="35"/>
  <c r="T278" i="35"/>
  <c r="M278" i="35"/>
  <c r="L278" i="35"/>
  <c r="K278" i="35"/>
  <c r="J278" i="35"/>
  <c r="I278" i="35"/>
  <c r="H278" i="35"/>
  <c r="G278" i="35"/>
  <c r="F278" i="35"/>
  <c r="E278" i="35"/>
  <c r="AB277" i="35"/>
  <c r="Y277" i="35"/>
  <c r="X277" i="35"/>
  <c r="U277" i="35"/>
  <c r="T277" i="35"/>
  <c r="M277" i="35"/>
  <c r="L277" i="35"/>
  <c r="K277" i="35"/>
  <c r="J277" i="35"/>
  <c r="I277" i="35"/>
  <c r="H277" i="35"/>
  <c r="G277" i="35"/>
  <c r="F277" i="35"/>
  <c r="E277" i="35"/>
  <c r="AB276" i="35"/>
  <c r="AA276" i="35"/>
  <c r="Y276" i="35"/>
  <c r="X276" i="35"/>
  <c r="W276" i="35"/>
  <c r="U276" i="35"/>
  <c r="T276" i="35"/>
  <c r="M276" i="35"/>
  <c r="L276" i="35"/>
  <c r="K276" i="35"/>
  <c r="J276" i="35"/>
  <c r="I276" i="35"/>
  <c r="H276" i="35"/>
  <c r="G276" i="35"/>
  <c r="F276" i="35"/>
  <c r="E276" i="35"/>
  <c r="AB258" i="35"/>
  <c r="AA258" i="35"/>
  <c r="Z258" i="35"/>
  <c r="Y258" i="35"/>
  <c r="X258" i="35"/>
  <c r="W258" i="35"/>
  <c r="V258" i="35"/>
  <c r="U258" i="35"/>
  <c r="T258" i="35"/>
  <c r="AB257" i="35"/>
  <c r="AA257" i="35"/>
  <c r="Z257" i="35"/>
  <c r="Y257" i="35"/>
  <c r="X257" i="35"/>
  <c r="W257" i="35"/>
  <c r="V257" i="35"/>
  <c r="U257" i="35"/>
  <c r="T257" i="35"/>
  <c r="AB256" i="35"/>
  <c r="AA256" i="35"/>
  <c r="Z256" i="35"/>
  <c r="Y256" i="35"/>
  <c r="X256" i="35"/>
  <c r="W256" i="35"/>
  <c r="V256" i="35"/>
  <c r="U256" i="35"/>
  <c r="T256" i="35"/>
  <c r="AB255" i="35"/>
  <c r="AA255" i="35"/>
  <c r="Z255" i="35"/>
  <c r="Y255" i="35"/>
  <c r="X255" i="35"/>
  <c r="W255" i="35"/>
  <c r="V255" i="35"/>
  <c r="U255" i="35"/>
  <c r="T255" i="35"/>
  <c r="AB254" i="35"/>
  <c r="AA254" i="35"/>
  <c r="Z254" i="35"/>
  <c r="Y254" i="35"/>
  <c r="X254" i="35"/>
  <c r="W254" i="35"/>
  <c r="V254" i="35"/>
  <c r="U254" i="35"/>
  <c r="T254" i="35"/>
  <c r="AB253" i="35"/>
  <c r="AA253" i="35"/>
  <c r="Z253" i="35"/>
  <c r="Y253" i="35"/>
  <c r="X253" i="35"/>
  <c r="W253" i="35"/>
  <c r="V253" i="35"/>
  <c r="U253" i="35"/>
  <c r="T253" i="35"/>
  <c r="F255" i="35"/>
  <c r="G255" i="35"/>
  <c r="H255" i="35"/>
  <c r="I255" i="35"/>
  <c r="J255" i="35"/>
  <c r="K255" i="35"/>
  <c r="L255" i="35"/>
  <c r="M255" i="35"/>
  <c r="F256" i="35"/>
  <c r="G256" i="35"/>
  <c r="H256" i="35"/>
  <c r="I256" i="35"/>
  <c r="J256" i="35"/>
  <c r="K256" i="35"/>
  <c r="L256" i="35"/>
  <c r="M256" i="35"/>
  <c r="F257" i="35"/>
  <c r="G257" i="35"/>
  <c r="H257" i="35"/>
  <c r="I257" i="35"/>
  <c r="J257" i="35"/>
  <c r="K257" i="35"/>
  <c r="L257" i="35"/>
  <c r="M257" i="35"/>
  <c r="F258" i="35"/>
  <c r="G258" i="35"/>
  <c r="H258" i="35"/>
  <c r="I258" i="35"/>
  <c r="J258" i="35"/>
  <c r="K258" i="35"/>
  <c r="L258" i="35"/>
  <c r="M258" i="35"/>
  <c r="F259" i="35"/>
  <c r="G259" i="35"/>
  <c r="H259" i="35"/>
  <c r="I259" i="35"/>
  <c r="J259" i="35"/>
  <c r="K259" i="35"/>
  <c r="L259" i="35"/>
  <c r="M259" i="35"/>
  <c r="F260" i="35"/>
  <c r="G260" i="35"/>
  <c r="H260" i="35"/>
  <c r="I260" i="35"/>
  <c r="J260" i="35"/>
  <c r="K260" i="35"/>
  <c r="L260" i="35"/>
  <c r="M260" i="35"/>
  <c r="F261" i="35"/>
  <c r="G261" i="35"/>
  <c r="H261" i="35"/>
  <c r="I261" i="35"/>
  <c r="J261" i="35"/>
  <c r="K261" i="35"/>
  <c r="L261" i="35"/>
  <c r="M261" i="35"/>
  <c r="F262" i="35"/>
  <c r="G262" i="35"/>
  <c r="H262" i="35"/>
  <c r="I262" i="35"/>
  <c r="J262" i="35"/>
  <c r="K262" i="35"/>
  <c r="L262" i="35"/>
  <c r="M262" i="35"/>
  <c r="E262" i="35"/>
  <c r="E261" i="35"/>
  <c r="E260" i="35"/>
  <c r="E259" i="35"/>
  <c r="E258" i="35"/>
  <c r="E257" i="35"/>
  <c r="E256" i="35"/>
  <c r="E255" i="35"/>
  <c r="M254" i="35"/>
  <c r="L254" i="35"/>
  <c r="I254" i="35"/>
  <c r="H254" i="35"/>
  <c r="E254" i="35"/>
  <c r="F254" i="35"/>
  <c r="G254" i="35"/>
  <c r="J254" i="35"/>
  <c r="K254" i="35"/>
  <c r="M253" i="35"/>
  <c r="L253" i="35"/>
  <c r="K253" i="35"/>
  <c r="J253" i="35"/>
  <c r="I253" i="35"/>
  <c r="H253" i="35"/>
  <c r="G253" i="35"/>
  <c r="F253" i="35"/>
  <c r="E253" i="35"/>
  <c r="AJ179" i="47"/>
  <c r="AJ180" i="47"/>
  <c r="AJ181" i="47"/>
  <c r="AC176" i="47"/>
  <c r="AD175" i="47"/>
  <c r="AC175" i="47"/>
  <c r="AG175" i="47" s="1"/>
  <c r="AD174" i="47"/>
  <c r="AC174" i="47"/>
  <c r="AG174" i="47" s="1"/>
  <c r="AD173" i="47"/>
  <c r="AC173" i="47"/>
  <c r="AD172" i="47"/>
  <c r="AC172" i="47"/>
  <c r="AD171" i="47"/>
  <c r="AC171" i="47"/>
  <c r="AG171" i="47" s="1"/>
  <c r="AD170" i="47"/>
  <c r="AC170" i="47"/>
  <c r="AG170" i="47" s="1"/>
  <c r="AD169" i="47"/>
  <c r="AC169" i="47"/>
  <c r="AD168" i="47"/>
  <c r="AC168" i="47"/>
  <c r="AD167" i="47"/>
  <c r="AC167" i="47"/>
  <c r="AG167" i="47" s="1"/>
  <c r="AD166" i="47"/>
  <c r="AC166" i="47"/>
  <c r="AG166" i="47" s="1"/>
  <c r="AD165" i="47"/>
  <c r="AC165" i="47"/>
  <c r="AD164" i="47"/>
  <c r="AC164" i="47"/>
  <c r="AD163" i="47"/>
  <c r="AC163" i="47"/>
  <c r="AG163" i="47" s="1"/>
  <c r="AD162" i="47"/>
  <c r="AC162" i="47"/>
  <c r="AG162" i="47" s="1"/>
  <c r="AD161" i="47"/>
  <c r="AC161" i="47"/>
  <c r="AD160" i="47"/>
  <c r="AC160" i="47"/>
  <c r="AD159" i="47"/>
  <c r="AC159" i="47"/>
  <c r="AG159" i="47" s="1"/>
  <c r="AD158" i="47"/>
  <c r="AC158" i="47"/>
  <c r="AG158" i="47" s="1"/>
  <c r="AD157" i="47"/>
  <c r="AC157" i="47"/>
  <c r="AC179" i="47" s="1"/>
  <c r="AJ146" i="47"/>
  <c r="AJ147" i="47"/>
  <c r="AJ148" i="47" s="1"/>
  <c r="AJ140" i="47"/>
  <c r="AJ141" i="47"/>
  <c r="AJ142" i="47" s="1"/>
  <c r="AC136" i="47"/>
  <c r="AD135" i="47"/>
  <c r="AC135" i="47"/>
  <c r="AG135" i="47" s="1"/>
  <c r="AD134" i="47"/>
  <c r="AC134" i="47"/>
  <c r="AG134" i="47" s="1"/>
  <c r="AD133" i="47"/>
  <c r="AC133" i="47"/>
  <c r="AG133" i="47" s="1"/>
  <c r="AD132" i="47"/>
  <c r="AC132" i="47"/>
  <c r="AG132" i="47" s="1"/>
  <c r="AD131" i="47"/>
  <c r="AC131" i="47"/>
  <c r="AG131" i="47" s="1"/>
  <c r="AD130" i="47"/>
  <c r="AC130" i="47"/>
  <c r="AG130" i="47" s="1"/>
  <c r="AD129" i="47"/>
  <c r="AC129" i="47"/>
  <c r="AG129" i="47" s="1"/>
  <c r="AD128" i="47"/>
  <c r="AC128" i="47"/>
  <c r="AG128" i="47" s="1"/>
  <c r="AD127" i="47"/>
  <c r="AC127" i="47"/>
  <c r="AG127" i="47" s="1"/>
  <c r="AD126" i="47"/>
  <c r="AC126" i="47"/>
  <c r="AG126" i="47" s="1"/>
  <c r="AD125" i="47"/>
  <c r="AC125" i="47"/>
  <c r="AG125" i="47" s="1"/>
  <c r="AD124" i="47"/>
  <c r="AC124" i="47"/>
  <c r="AG124" i="47" s="1"/>
  <c r="AD123" i="47"/>
  <c r="AC123" i="47"/>
  <c r="AG123" i="47" s="1"/>
  <c r="AD122" i="47"/>
  <c r="AC122" i="47"/>
  <c r="AG122" i="47" s="1"/>
  <c r="AD121" i="47"/>
  <c r="AC121" i="47"/>
  <c r="AG121" i="47" s="1"/>
  <c r="AD120" i="47"/>
  <c r="AC120" i="47"/>
  <c r="AG120" i="47" s="1"/>
  <c r="AD119" i="47"/>
  <c r="AC119" i="47"/>
  <c r="AG119" i="47" s="1"/>
  <c r="AD118" i="47"/>
  <c r="AC118" i="47"/>
  <c r="AG118" i="47" s="1"/>
  <c r="AD117" i="47"/>
  <c r="AC117" i="47"/>
  <c r="AG117" i="47" s="1"/>
  <c r="AD116" i="47"/>
  <c r="AC116" i="47"/>
  <c r="AG116" i="47" s="1"/>
  <c r="AD115" i="47"/>
  <c r="AC115" i="47"/>
  <c r="AG115" i="47" s="1"/>
  <c r="AD114" i="47"/>
  <c r="AC114" i="47"/>
  <c r="AG114" i="47" s="1"/>
  <c r="AD113" i="47"/>
  <c r="AC113" i="47"/>
  <c r="AG113" i="47" s="1"/>
  <c r="AD112" i="47"/>
  <c r="AC112" i="47"/>
  <c r="AG112" i="47" s="1"/>
  <c r="AD111" i="47"/>
  <c r="AC111" i="47"/>
  <c r="AD110" i="47"/>
  <c r="AC110" i="47"/>
  <c r="AG110" i="47" s="1"/>
  <c r="AD109" i="47"/>
  <c r="AC109" i="47"/>
  <c r="AD108" i="47"/>
  <c r="AC108" i="47"/>
  <c r="AG108" i="47" s="1"/>
  <c r="AD107" i="47"/>
  <c r="AC107" i="47"/>
  <c r="AD106" i="47"/>
  <c r="AC106" i="47"/>
  <c r="AG106" i="47" s="1"/>
  <c r="AD105" i="47"/>
  <c r="AC105" i="47"/>
  <c r="AK105" i="47" s="1"/>
  <c r="AD104" i="47"/>
  <c r="AC104" i="47"/>
  <c r="AG104" i="47" s="1"/>
  <c r="AD103" i="47"/>
  <c r="AC103" i="47"/>
  <c r="AG103" i="47" s="1"/>
  <c r="AK102" i="47"/>
  <c r="AD102" i="47"/>
  <c r="AC102" i="47"/>
  <c r="AJ85" i="47"/>
  <c r="AJ86" i="47"/>
  <c r="AJ87" i="47" s="1"/>
  <c r="AJ91" i="47"/>
  <c r="AJ92" i="47"/>
  <c r="AJ93" i="47" s="1"/>
  <c r="AC68" i="47"/>
  <c r="AG68" i="47" s="1"/>
  <c r="AD68" i="47"/>
  <c r="AC69" i="47"/>
  <c r="AG69" i="47" s="1"/>
  <c r="AD69" i="47"/>
  <c r="AC70" i="47"/>
  <c r="AG70" i="47" s="1"/>
  <c r="AD70" i="47"/>
  <c r="AC71" i="47"/>
  <c r="AG71" i="47" s="1"/>
  <c r="AD71" i="47"/>
  <c r="AC72" i="47"/>
  <c r="AG72" i="47" s="1"/>
  <c r="AD72" i="47"/>
  <c r="AC73" i="47"/>
  <c r="AG73" i="47" s="1"/>
  <c r="AD73" i="47"/>
  <c r="AC74" i="47"/>
  <c r="AG74" i="47" s="1"/>
  <c r="AD74" i="47"/>
  <c r="AC75" i="47"/>
  <c r="AD75" i="47"/>
  <c r="AC76" i="47"/>
  <c r="AK76" i="47" s="1"/>
  <c r="AD76" i="47"/>
  <c r="AI76" i="47" s="1"/>
  <c r="AH76" i="47" s="1"/>
  <c r="AC77" i="47"/>
  <c r="AG77" i="47" s="1"/>
  <c r="AD77" i="47"/>
  <c r="AC78" i="47"/>
  <c r="AG78" i="47" s="1"/>
  <c r="AD78" i="47"/>
  <c r="AC79" i="47"/>
  <c r="AK79" i="47" s="1"/>
  <c r="AD79" i="47"/>
  <c r="AC80" i="47"/>
  <c r="AD67" i="47"/>
  <c r="AC67" i="47"/>
  <c r="AG67" i="47" s="1"/>
  <c r="AD66" i="47"/>
  <c r="AC66" i="47"/>
  <c r="AG66" i="47" s="1"/>
  <c r="AD65" i="47"/>
  <c r="AC65" i="47"/>
  <c r="AG65" i="47" s="1"/>
  <c r="AD64" i="47"/>
  <c r="AC64" i="47"/>
  <c r="AG64" i="47" s="1"/>
  <c r="AD63" i="47"/>
  <c r="AC63" i="47"/>
  <c r="AG63" i="47" s="1"/>
  <c r="AD62" i="47"/>
  <c r="AC62" i="47"/>
  <c r="AG62" i="47" s="1"/>
  <c r="AD61" i="47"/>
  <c r="AC61" i="47"/>
  <c r="AG61" i="47" s="1"/>
  <c r="AD60" i="47"/>
  <c r="AC60" i="47"/>
  <c r="AG60" i="47" s="1"/>
  <c r="AD59" i="47"/>
  <c r="AC59" i="47"/>
  <c r="AG59" i="47" s="1"/>
  <c r="AD58" i="47"/>
  <c r="AC58" i="47"/>
  <c r="AG58" i="47" s="1"/>
  <c r="AD57" i="47"/>
  <c r="AC57" i="47"/>
  <c r="AG57" i="47" s="1"/>
  <c r="AD56" i="47"/>
  <c r="AC56" i="47"/>
  <c r="AG56" i="47" s="1"/>
  <c r="AD55" i="47"/>
  <c r="AC55" i="47"/>
  <c r="AG55" i="47" s="1"/>
  <c r="AD54" i="47"/>
  <c r="AC54" i="47"/>
  <c r="AG54" i="47" s="1"/>
  <c r="AD53" i="47"/>
  <c r="AC53" i="47"/>
  <c r="AG53" i="47" s="1"/>
  <c r="AD52" i="47"/>
  <c r="AC52" i="47"/>
  <c r="AG52" i="47" s="1"/>
  <c r="AD51" i="47"/>
  <c r="AC51" i="47"/>
  <c r="AG51" i="47" s="1"/>
  <c r="AD50" i="47"/>
  <c r="AC50" i="47"/>
  <c r="AG50" i="47" s="1"/>
  <c r="AD49" i="47"/>
  <c r="AC49" i="47"/>
  <c r="AG49" i="47" s="1"/>
  <c r="AD48" i="47"/>
  <c r="AC48" i="47"/>
  <c r="AG48" i="47" s="1"/>
  <c r="AD47" i="47"/>
  <c r="AC47" i="47"/>
  <c r="AG47" i="47" s="1"/>
  <c r="AD46" i="47"/>
  <c r="AC46" i="47"/>
  <c r="AG46" i="47" s="1"/>
  <c r="AD45" i="47"/>
  <c r="AC45" i="47"/>
  <c r="AG45" i="47" s="1"/>
  <c r="AD44" i="47"/>
  <c r="AC44" i="47"/>
  <c r="AG44" i="47" s="1"/>
  <c r="AD43" i="47"/>
  <c r="AC43" i="47"/>
  <c r="AG43" i="47" s="1"/>
  <c r="AD42" i="47"/>
  <c r="AC42" i="47"/>
  <c r="AG42" i="47" s="1"/>
  <c r="AD41" i="47"/>
  <c r="AC41" i="47"/>
  <c r="AG41" i="47" s="1"/>
  <c r="AG86" i="47" s="1"/>
  <c r="AG87" i="47" s="1"/>
  <c r="O332" i="47"/>
  <c r="O333" i="47"/>
  <c r="O334" i="47" s="1"/>
  <c r="O326" i="47"/>
  <c r="O327" i="47"/>
  <c r="O328" i="47" s="1"/>
  <c r="H321" i="47"/>
  <c r="H305" i="47"/>
  <c r="L305" i="47" s="1"/>
  <c r="I305" i="47"/>
  <c r="H306" i="47"/>
  <c r="L306" i="47" s="1"/>
  <c r="I306" i="47"/>
  <c r="H307" i="47"/>
  <c r="L307" i="47" s="1"/>
  <c r="I307" i="47"/>
  <c r="H308" i="47"/>
  <c r="L308" i="47" s="1"/>
  <c r="I308" i="47"/>
  <c r="H309" i="47"/>
  <c r="I309" i="47"/>
  <c r="H310" i="47"/>
  <c r="L310" i="47" s="1"/>
  <c r="I310" i="47"/>
  <c r="H311" i="47"/>
  <c r="L311" i="47" s="1"/>
  <c r="I311" i="47"/>
  <c r="H312" i="47"/>
  <c r="L312" i="47" s="1"/>
  <c r="I312" i="47"/>
  <c r="H313" i="47"/>
  <c r="L313" i="47" s="1"/>
  <c r="I313" i="47"/>
  <c r="H314" i="47"/>
  <c r="L314" i="47" s="1"/>
  <c r="I314" i="47"/>
  <c r="H315" i="47"/>
  <c r="P315" i="47" s="1"/>
  <c r="I315" i="47"/>
  <c r="H316" i="47"/>
  <c r="P316" i="47" s="1"/>
  <c r="I316" i="47"/>
  <c r="H317" i="47"/>
  <c r="L317" i="47" s="1"/>
  <c r="I317" i="47"/>
  <c r="H318" i="47"/>
  <c r="L318" i="47" s="1"/>
  <c r="I318" i="47"/>
  <c r="H319" i="47"/>
  <c r="P319" i="47" s="1"/>
  <c r="I319" i="47"/>
  <c r="H320" i="47"/>
  <c r="L320" i="47" s="1"/>
  <c r="I320" i="47"/>
  <c r="I304" i="47"/>
  <c r="H304" i="47"/>
  <c r="P304" i="47" s="1"/>
  <c r="I303" i="47"/>
  <c r="H303" i="47"/>
  <c r="I302" i="47"/>
  <c r="H302" i="47"/>
  <c r="I301" i="47"/>
  <c r="H301" i="47"/>
  <c r="P301" i="47" s="1"/>
  <c r="I300" i="47"/>
  <c r="H300" i="47"/>
  <c r="P300" i="47" s="1"/>
  <c r="I299" i="47"/>
  <c r="H299" i="47"/>
  <c r="I298" i="47"/>
  <c r="H298" i="47"/>
  <c r="I297" i="47"/>
  <c r="H297" i="47"/>
  <c r="I296" i="47"/>
  <c r="H296" i="47"/>
  <c r="P296" i="47" s="1"/>
  <c r="I295" i="47"/>
  <c r="H295" i="47"/>
  <c r="I294" i="47"/>
  <c r="H294" i="47"/>
  <c r="I293" i="47"/>
  <c r="H293" i="47"/>
  <c r="P293" i="47" s="1"/>
  <c r="I292" i="47"/>
  <c r="H292" i="47"/>
  <c r="P292" i="47" s="1"/>
  <c r="I291" i="47"/>
  <c r="H291" i="47"/>
  <c r="I290" i="47"/>
  <c r="H290" i="47"/>
  <c r="I289" i="47"/>
  <c r="H289" i="47"/>
  <c r="I288" i="47"/>
  <c r="H288" i="47"/>
  <c r="P288" i="47" s="1"/>
  <c r="I287" i="47"/>
  <c r="H287" i="47"/>
  <c r="I286" i="47"/>
  <c r="H286" i="47"/>
  <c r="O277" i="47"/>
  <c r="O278" i="47"/>
  <c r="O279" i="47" s="1"/>
  <c r="O271" i="47"/>
  <c r="O272" i="47"/>
  <c r="O273" i="47" s="1"/>
  <c r="H250" i="47"/>
  <c r="L250" i="47" s="1"/>
  <c r="I250" i="47"/>
  <c r="H251" i="47"/>
  <c r="L251" i="47" s="1"/>
  <c r="I251" i="47"/>
  <c r="H252" i="47"/>
  <c r="L252" i="47" s="1"/>
  <c r="I252" i="47"/>
  <c r="H253" i="47"/>
  <c r="L253" i="47" s="1"/>
  <c r="I253" i="47"/>
  <c r="H254" i="47"/>
  <c r="L254" i="47" s="1"/>
  <c r="I254" i="47"/>
  <c r="H255" i="47"/>
  <c r="L255" i="47" s="1"/>
  <c r="I255" i="47"/>
  <c r="H256" i="47"/>
  <c r="L256" i="47" s="1"/>
  <c r="I256" i="47"/>
  <c r="H257" i="47"/>
  <c r="L257" i="47" s="1"/>
  <c r="I257" i="47"/>
  <c r="H258" i="47"/>
  <c r="L258" i="47" s="1"/>
  <c r="I258" i="47"/>
  <c r="H259" i="47"/>
  <c r="L259" i="47" s="1"/>
  <c r="I259" i="47"/>
  <c r="H260" i="47"/>
  <c r="L260" i="47" s="1"/>
  <c r="I260" i="47"/>
  <c r="H261" i="47"/>
  <c r="L261" i="47" s="1"/>
  <c r="I261" i="47"/>
  <c r="H262" i="47"/>
  <c r="L262" i="47" s="1"/>
  <c r="I262" i="47"/>
  <c r="H263" i="47"/>
  <c r="P263" i="47" s="1"/>
  <c r="I263" i="47"/>
  <c r="H264" i="47"/>
  <c r="L264" i="47" s="1"/>
  <c r="I264" i="47"/>
  <c r="H265" i="47"/>
  <c r="L265" i="47" s="1"/>
  <c r="I265" i="47"/>
  <c r="H266" i="47"/>
  <c r="L266" i="47" s="1"/>
  <c r="I266" i="47"/>
  <c r="H267" i="47"/>
  <c r="L267" i="47" s="1"/>
  <c r="I267" i="47"/>
  <c r="H268" i="47"/>
  <c r="H248" i="47"/>
  <c r="I248" i="47"/>
  <c r="H249" i="47"/>
  <c r="L249" i="47" s="1"/>
  <c r="I249" i="47"/>
  <c r="O223" i="47"/>
  <c r="O224" i="47"/>
  <c r="O225" i="47" s="1"/>
  <c r="H188" i="47"/>
  <c r="L188" i="47" s="1"/>
  <c r="I188" i="47"/>
  <c r="H189" i="47"/>
  <c r="L189" i="47" s="1"/>
  <c r="I189" i="47"/>
  <c r="H190" i="47"/>
  <c r="L190" i="47" s="1"/>
  <c r="I190" i="47"/>
  <c r="H191" i="47"/>
  <c r="L191" i="47" s="1"/>
  <c r="I191" i="47"/>
  <c r="H192" i="47"/>
  <c r="L192" i="47" s="1"/>
  <c r="I192" i="47"/>
  <c r="H193" i="47"/>
  <c r="L193" i="47" s="1"/>
  <c r="I193" i="47"/>
  <c r="H194" i="47"/>
  <c r="L194" i="47" s="1"/>
  <c r="I194" i="47"/>
  <c r="H195" i="47"/>
  <c r="P195" i="47" s="1"/>
  <c r="I195" i="47"/>
  <c r="H196" i="47"/>
  <c r="P196" i="47" s="1"/>
  <c r="I196" i="47"/>
  <c r="H197" i="47"/>
  <c r="L197" i="47" s="1"/>
  <c r="I197" i="47"/>
  <c r="H198" i="47"/>
  <c r="P198" i="47" s="1"/>
  <c r="I198" i="47"/>
  <c r="H199" i="47"/>
  <c r="P199" i="47" s="1"/>
  <c r="I199" i="47"/>
  <c r="H200" i="47"/>
  <c r="L200" i="47" s="1"/>
  <c r="I200" i="47"/>
  <c r="H201" i="47"/>
  <c r="P201" i="47" s="1"/>
  <c r="I201" i="47"/>
  <c r="H202" i="47"/>
  <c r="I202" i="47"/>
  <c r="H203" i="47"/>
  <c r="P203" i="47" s="1"/>
  <c r="I203" i="47"/>
  <c r="H204" i="47"/>
  <c r="P204" i="47" s="1"/>
  <c r="I204" i="47"/>
  <c r="H205" i="47"/>
  <c r="L205" i="47" s="1"/>
  <c r="I205" i="47"/>
  <c r="H206" i="47"/>
  <c r="P206" i="47" s="1"/>
  <c r="I206" i="47"/>
  <c r="H207" i="47"/>
  <c r="L207" i="47" s="1"/>
  <c r="I207" i="47"/>
  <c r="H208" i="47"/>
  <c r="L208" i="47" s="1"/>
  <c r="I208" i="47"/>
  <c r="H209" i="47"/>
  <c r="L209" i="47" s="1"/>
  <c r="I209" i="47"/>
  <c r="H210" i="47"/>
  <c r="L210" i="47" s="1"/>
  <c r="I210" i="47"/>
  <c r="H211" i="47"/>
  <c r="P211" i="47" s="1"/>
  <c r="I211" i="47"/>
  <c r="H212" i="47"/>
  <c r="P212" i="47" s="1"/>
  <c r="I212" i="47"/>
  <c r="H213" i="47"/>
  <c r="L213" i="47" s="1"/>
  <c r="I213" i="47"/>
  <c r="H214" i="47"/>
  <c r="P214" i="47" s="1"/>
  <c r="I214" i="47"/>
  <c r="H215" i="47"/>
  <c r="P215" i="47" s="1"/>
  <c r="I215" i="47"/>
  <c r="H216" i="47"/>
  <c r="P216" i="47" s="1"/>
  <c r="I216" i="47"/>
  <c r="H217" i="47"/>
  <c r="L217" i="47" s="1"/>
  <c r="I217" i="47"/>
  <c r="H218" i="47"/>
  <c r="L218" i="47" s="1"/>
  <c r="I218" i="47"/>
  <c r="H219" i="47"/>
  <c r="P219" i="47" s="1"/>
  <c r="I219" i="47"/>
  <c r="H220" i="47"/>
  <c r="O170" i="47"/>
  <c r="O171" i="47"/>
  <c r="O172" i="47" s="1"/>
  <c r="O164" i="47"/>
  <c r="O165" i="47"/>
  <c r="O166" i="47" s="1"/>
  <c r="H156" i="47"/>
  <c r="I152" i="47"/>
  <c r="H148" i="47"/>
  <c r="H144" i="47"/>
  <c r="H140" i="47"/>
  <c r="I136" i="47"/>
  <c r="H134" i="47"/>
  <c r="L134" i="47" s="1"/>
  <c r="I134" i="47"/>
  <c r="H135" i="47"/>
  <c r="L135" i="47" s="1"/>
  <c r="I135" i="47"/>
  <c r="H136" i="47"/>
  <c r="L136" i="47" s="1"/>
  <c r="H137" i="47"/>
  <c r="P137" i="47" s="1"/>
  <c r="I137" i="47"/>
  <c r="H138" i="47"/>
  <c r="P138" i="47" s="1"/>
  <c r="I138" i="47"/>
  <c r="H139" i="47"/>
  <c r="L139" i="47" s="1"/>
  <c r="I139" i="47"/>
  <c r="I140" i="47"/>
  <c r="H141" i="47"/>
  <c r="P141" i="47" s="1"/>
  <c r="I141" i="47"/>
  <c r="H142" i="47"/>
  <c r="P142" i="47" s="1"/>
  <c r="I142" i="47"/>
  <c r="H143" i="47"/>
  <c r="P143" i="47" s="1"/>
  <c r="I143" i="47"/>
  <c r="H145" i="47"/>
  <c r="P145" i="47" s="1"/>
  <c r="I145" i="47"/>
  <c r="H146" i="47"/>
  <c r="P146" i="47" s="1"/>
  <c r="I146" i="47"/>
  <c r="H147" i="47"/>
  <c r="P147" i="47" s="1"/>
  <c r="I147" i="47"/>
  <c r="H149" i="47"/>
  <c r="P149" i="47" s="1"/>
  <c r="I149" i="47"/>
  <c r="H150" i="47"/>
  <c r="P150" i="47" s="1"/>
  <c r="I150" i="47"/>
  <c r="H151" i="47"/>
  <c r="P151" i="47" s="1"/>
  <c r="I151" i="47"/>
  <c r="H152" i="47"/>
  <c r="L152" i="47" s="1"/>
  <c r="H153" i="47"/>
  <c r="P153" i="47" s="1"/>
  <c r="I153" i="47"/>
  <c r="H154" i="47"/>
  <c r="P154" i="47" s="1"/>
  <c r="I154" i="47"/>
  <c r="H155" i="47"/>
  <c r="P155" i="47" s="1"/>
  <c r="I155" i="47"/>
  <c r="I156" i="47"/>
  <c r="H157" i="47"/>
  <c r="P157" i="47" s="1"/>
  <c r="I157" i="47"/>
  <c r="H158" i="47"/>
  <c r="P158" i="47" s="1"/>
  <c r="I158" i="47"/>
  <c r="H159" i="47"/>
  <c r="H93" i="47"/>
  <c r="L93" i="47" s="1"/>
  <c r="I93" i="47"/>
  <c r="H94" i="47"/>
  <c r="L94" i="47" s="1"/>
  <c r="I94" i="47"/>
  <c r="H95" i="47"/>
  <c r="L95" i="47" s="1"/>
  <c r="I95" i="47"/>
  <c r="H96" i="47"/>
  <c r="L96" i="47" s="1"/>
  <c r="I96" i="47"/>
  <c r="H97" i="47"/>
  <c r="I97" i="47"/>
  <c r="H98" i="47"/>
  <c r="L98" i="47" s="1"/>
  <c r="I98" i="47"/>
  <c r="H99" i="47"/>
  <c r="L99" i="47" s="1"/>
  <c r="I99" i="47"/>
  <c r="H100" i="47"/>
  <c r="L100" i="47" s="1"/>
  <c r="I100" i="47"/>
  <c r="H101" i="47"/>
  <c r="L101" i="47" s="1"/>
  <c r="I101" i="47"/>
  <c r="H102" i="47"/>
  <c r="L102" i="47" s="1"/>
  <c r="I102" i="47"/>
  <c r="H103" i="47"/>
  <c r="L103" i="47" s="1"/>
  <c r="I103" i="47"/>
  <c r="H104" i="47"/>
  <c r="L104" i="47" s="1"/>
  <c r="I104" i="47"/>
  <c r="H105" i="47"/>
  <c r="L105" i="47" s="1"/>
  <c r="I105" i="47"/>
  <c r="H106" i="47"/>
  <c r="L106" i="47" s="1"/>
  <c r="I106" i="47"/>
  <c r="H107" i="47"/>
  <c r="L107" i="47" s="1"/>
  <c r="I107" i="47"/>
  <c r="H108" i="47"/>
  <c r="P108" i="47" s="1"/>
  <c r="I108" i="47"/>
  <c r="H109" i="47"/>
  <c r="L109" i="47" s="1"/>
  <c r="I109" i="47"/>
  <c r="H110" i="47"/>
  <c r="L110" i="47" s="1"/>
  <c r="I110" i="47"/>
  <c r="H111" i="47"/>
  <c r="P111" i="47" s="1"/>
  <c r="I111" i="47"/>
  <c r="H112" i="47"/>
  <c r="P112" i="47" s="1"/>
  <c r="I112" i="47"/>
  <c r="H113" i="47"/>
  <c r="P113" i="47" s="1"/>
  <c r="I113" i="47"/>
  <c r="H114" i="47"/>
  <c r="P114" i="47" s="1"/>
  <c r="I114" i="47"/>
  <c r="H115" i="47"/>
  <c r="P115" i="47" s="1"/>
  <c r="I115" i="47"/>
  <c r="H116" i="47"/>
  <c r="P116" i="47" s="1"/>
  <c r="I116" i="47"/>
  <c r="H117" i="47"/>
  <c r="P117" i="47" s="1"/>
  <c r="I117" i="47"/>
  <c r="H118" i="47"/>
  <c r="L118" i="47" s="1"/>
  <c r="I118" i="47"/>
  <c r="H119" i="47"/>
  <c r="P119" i="47" s="1"/>
  <c r="I119" i="47"/>
  <c r="H120" i="47"/>
  <c r="P120" i="47" s="1"/>
  <c r="I120" i="47"/>
  <c r="H121" i="47"/>
  <c r="L121" i="47" s="1"/>
  <c r="I121" i="47"/>
  <c r="H122" i="47"/>
  <c r="I122" i="47"/>
  <c r="H123" i="47"/>
  <c r="P123" i="47" s="1"/>
  <c r="I123" i="47"/>
  <c r="H124" i="47"/>
  <c r="P124" i="47" s="1"/>
  <c r="I124" i="47"/>
  <c r="H125" i="47"/>
  <c r="P125" i="47" s="1"/>
  <c r="I125" i="47"/>
  <c r="H126" i="47"/>
  <c r="P126" i="47" s="1"/>
  <c r="I126" i="47"/>
  <c r="H127" i="47"/>
  <c r="L127" i="47" s="1"/>
  <c r="I127" i="47"/>
  <c r="H128" i="47"/>
  <c r="P128" i="47" s="1"/>
  <c r="I128" i="47"/>
  <c r="H129" i="47"/>
  <c r="P129" i="47" s="1"/>
  <c r="I129" i="47"/>
  <c r="H130" i="47"/>
  <c r="L130" i="47" s="1"/>
  <c r="I130" i="47"/>
  <c r="H131" i="47"/>
  <c r="P131" i="47" s="1"/>
  <c r="I131" i="47"/>
  <c r="H132" i="47"/>
  <c r="P132" i="47" s="1"/>
  <c r="I132" i="47"/>
  <c r="H133" i="47"/>
  <c r="L133" i="47" s="1"/>
  <c r="I133" i="47"/>
  <c r="O83" i="47"/>
  <c r="O84" i="47"/>
  <c r="O85" i="47" s="1"/>
  <c r="O77" i="47"/>
  <c r="O78" i="47"/>
  <c r="O79" i="47" s="1"/>
  <c r="H69" i="47"/>
  <c r="L69" i="47" s="1"/>
  <c r="I69" i="47"/>
  <c r="H70" i="47"/>
  <c r="L70" i="47" s="1"/>
  <c r="I70" i="47"/>
  <c r="H71" i="47"/>
  <c r="L71" i="47" s="1"/>
  <c r="I71" i="47"/>
  <c r="H72" i="47"/>
  <c r="L72" i="47" s="1"/>
  <c r="I72" i="47"/>
  <c r="H73" i="47"/>
  <c r="H40" i="47"/>
  <c r="L40" i="47" s="1"/>
  <c r="I40" i="47"/>
  <c r="H41" i="47"/>
  <c r="L41" i="47" s="1"/>
  <c r="I41" i="47"/>
  <c r="H42" i="47"/>
  <c r="L42" i="47" s="1"/>
  <c r="I42" i="47"/>
  <c r="H43" i="47"/>
  <c r="L43" i="47" s="1"/>
  <c r="I43" i="47"/>
  <c r="H44" i="47"/>
  <c r="I44" i="47"/>
  <c r="H45" i="47"/>
  <c r="L45" i="47" s="1"/>
  <c r="I45" i="47"/>
  <c r="H46" i="47"/>
  <c r="L46" i="47" s="1"/>
  <c r="I46" i="47"/>
  <c r="H47" i="47"/>
  <c r="P47" i="47" s="1"/>
  <c r="I47" i="47"/>
  <c r="H48" i="47"/>
  <c r="I48" i="47"/>
  <c r="H49" i="47"/>
  <c r="L49" i="47" s="1"/>
  <c r="I49" i="47"/>
  <c r="H50" i="47"/>
  <c r="P50" i="47" s="1"/>
  <c r="I50" i="47"/>
  <c r="H51" i="47"/>
  <c r="P51" i="47" s="1"/>
  <c r="I51" i="47"/>
  <c r="H52" i="47"/>
  <c r="P52" i="47" s="1"/>
  <c r="I52" i="47"/>
  <c r="H53" i="47"/>
  <c r="P53" i="47" s="1"/>
  <c r="I53" i="47"/>
  <c r="H54" i="47"/>
  <c r="P54" i="47" s="1"/>
  <c r="I54" i="47"/>
  <c r="H55" i="47"/>
  <c r="P55" i="47" s="1"/>
  <c r="I55" i="47"/>
  <c r="H56" i="47"/>
  <c r="P56" i="47" s="1"/>
  <c r="I56" i="47"/>
  <c r="H57" i="47"/>
  <c r="P57" i="47" s="1"/>
  <c r="I57" i="47"/>
  <c r="H58" i="47"/>
  <c r="P58" i="47" s="1"/>
  <c r="I58" i="47"/>
  <c r="H59" i="47"/>
  <c r="P59" i="47" s="1"/>
  <c r="I59" i="47"/>
  <c r="H60" i="47"/>
  <c r="P60" i="47" s="1"/>
  <c r="I60" i="47"/>
  <c r="H61" i="47"/>
  <c r="P61" i="47" s="1"/>
  <c r="I61" i="47"/>
  <c r="H62" i="47"/>
  <c r="P62" i="47" s="1"/>
  <c r="I62" i="47"/>
  <c r="H63" i="47"/>
  <c r="P63" i="47" s="1"/>
  <c r="I63" i="47"/>
  <c r="H64" i="47"/>
  <c r="P64" i="47" s="1"/>
  <c r="I64" i="47"/>
  <c r="H65" i="47"/>
  <c r="L65" i="47" s="1"/>
  <c r="I65" i="47"/>
  <c r="H66" i="47"/>
  <c r="P66" i="47" s="1"/>
  <c r="I66" i="47"/>
  <c r="H67" i="47"/>
  <c r="P67" i="47" s="1"/>
  <c r="I67" i="47"/>
  <c r="H68" i="47"/>
  <c r="L68" i="47" s="1"/>
  <c r="I68" i="47"/>
  <c r="AJ34" i="47"/>
  <c r="AJ35" i="47"/>
  <c r="AJ36" i="47" s="1"/>
  <c r="AC8" i="47"/>
  <c r="AG8" i="47" s="1"/>
  <c r="AD8" i="47"/>
  <c r="AC9" i="47"/>
  <c r="AK9" i="47" s="1"/>
  <c r="AD9" i="47"/>
  <c r="AC10" i="47"/>
  <c r="AG10" i="47" s="1"/>
  <c r="AD10" i="47"/>
  <c r="AC11" i="47"/>
  <c r="AG11" i="47" s="1"/>
  <c r="AD11" i="47"/>
  <c r="AC12" i="47"/>
  <c r="AG12" i="47" s="1"/>
  <c r="AD12" i="47"/>
  <c r="AC13" i="47"/>
  <c r="AK13" i="47" s="1"/>
  <c r="AD13" i="47"/>
  <c r="AC14" i="47"/>
  <c r="AK14" i="47" s="1"/>
  <c r="AD14" i="47"/>
  <c r="AC15" i="47"/>
  <c r="AK15" i="47" s="1"/>
  <c r="AD15" i="47"/>
  <c r="AC16" i="47"/>
  <c r="AK16" i="47" s="1"/>
  <c r="AD16" i="47"/>
  <c r="AC17" i="47"/>
  <c r="AK17" i="47" s="1"/>
  <c r="AD17" i="47"/>
  <c r="AC18" i="47"/>
  <c r="AK18" i="47" s="1"/>
  <c r="AD18" i="47"/>
  <c r="AC19" i="47"/>
  <c r="AK19" i="47" s="1"/>
  <c r="AD19" i="47"/>
  <c r="AC20" i="47"/>
  <c r="AK20" i="47" s="1"/>
  <c r="AD20" i="47"/>
  <c r="AC21" i="47"/>
  <c r="AK21" i="47" s="1"/>
  <c r="AD21" i="47"/>
  <c r="AC22" i="47"/>
  <c r="AK22" i="47" s="1"/>
  <c r="AD22" i="47"/>
  <c r="AC23" i="47"/>
  <c r="AK23" i="47" s="1"/>
  <c r="AD23" i="47"/>
  <c r="AC24" i="47"/>
  <c r="AK24" i="47" s="1"/>
  <c r="AD24" i="47"/>
  <c r="AC25" i="47"/>
  <c r="AK25" i="47" s="1"/>
  <c r="AD25" i="47"/>
  <c r="AC26" i="47"/>
  <c r="AK26" i="47" s="1"/>
  <c r="AD26" i="47"/>
  <c r="AC27" i="47"/>
  <c r="AG27" i="47" s="1"/>
  <c r="AD27" i="47"/>
  <c r="AC28" i="47"/>
  <c r="AG28" i="47" s="1"/>
  <c r="AD28" i="47"/>
  <c r="AC29" i="47"/>
  <c r="AK29" i="47" s="1"/>
  <c r="AD29" i="47"/>
  <c r="AC30" i="47"/>
  <c r="AD7" i="47"/>
  <c r="AC7" i="47"/>
  <c r="AG7" i="47" s="1"/>
  <c r="O28" i="47"/>
  <c r="O29" i="47"/>
  <c r="O30" i="47" s="1"/>
  <c r="H8" i="47"/>
  <c r="P8" i="47" s="1"/>
  <c r="I8" i="47"/>
  <c r="H9" i="47"/>
  <c r="L9" i="47" s="1"/>
  <c r="I9" i="47"/>
  <c r="H10" i="47"/>
  <c r="P10" i="47" s="1"/>
  <c r="I10" i="47"/>
  <c r="H11" i="47"/>
  <c r="L11" i="47" s="1"/>
  <c r="I11" i="47"/>
  <c r="H12" i="47"/>
  <c r="L12" i="47" s="1"/>
  <c r="I12" i="47"/>
  <c r="H13" i="47"/>
  <c r="I13" i="47"/>
  <c r="H14" i="47"/>
  <c r="L14" i="47" s="1"/>
  <c r="I14" i="47"/>
  <c r="H15" i="47"/>
  <c r="L15" i="47" s="1"/>
  <c r="I15" i="47"/>
  <c r="H16" i="47"/>
  <c r="I16" i="47"/>
  <c r="H17" i="47"/>
  <c r="P17" i="47" s="1"/>
  <c r="I17" i="47"/>
  <c r="H18" i="47"/>
  <c r="P18" i="47" s="1"/>
  <c r="I18" i="47"/>
  <c r="H19" i="47"/>
  <c r="L19" i="47" s="1"/>
  <c r="I19" i="47"/>
  <c r="H20" i="47"/>
  <c r="I20" i="47"/>
  <c r="H21" i="47"/>
  <c r="I21" i="47"/>
  <c r="H22" i="47"/>
  <c r="I22" i="47"/>
  <c r="H23" i="47"/>
  <c r="AG146" i="47" l="1"/>
  <c r="AD179" i="47"/>
  <c r="AD146" i="47"/>
  <c r="AD180" i="47"/>
  <c r="AD181" i="47" s="1"/>
  <c r="AC141" i="47"/>
  <c r="AC142" i="47" s="1"/>
  <c r="AD140" i="47"/>
  <c r="AC180" i="47"/>
  <c r="AC181" i="47" s="1"/>
  <c r="AI68" i="47"/>
  <c r="AH68" i="47" s="1"/>
  <c r="G297" i="35"/>
  <c r="K297" i="35"/>
  <c r="G299" i="35"/>
  <c r="K299" i="35"/>
  <c r="G301" i="35"/>
  <c r="K301" i="35"/>
  <c r="Z277" i="35"/>
  <c r="V276" i="35"/>
  <c r="Z276" i="35"/>
  <c r="V278" i="35"/>
  <c r="Z278" i="35"/>
  <c r="V277" i="35"/>
  <c r="W277" i="35"/>
  <c r="AA277" i="35"/>
  <c r="AD86" i="47"/>
  <c r="AD87" i="47" s="1"/>
  <c r="AD91" i="47"/>
  <c r="AI75" i="47"/>
  <c r="AH75" i="47" s="1"/>
  <c r="AD85" i="47"/>
  <c r="AG79" i="47"/>
  <c r="AI72" i="47"/>
  <c r="AH72" i="47" s="1"/>
  <c r="AD92" i="47"/>
  <c r="AD93" i="47" s="1"/>
  <c r="AK78" i="47"/>
  <c r="AC146" i="47"/>
  <c r="AC147" i="47"/>
  <c r="AC148" i="47" s="1"/>
  <c r="AD147" i="47"/>
  <c r="AD148" i="47" s="1"/>
  <c r="AC140" i="47"/>
  <c r="AG147" i="47"/>
  <c r="AG148" i="47" s="1"/>
  <c r="AD141" i="47"/>
  <c r="AD142" i="47" s="1"/>
  <c r="AI157" i="47"/>
  <c r="AK157" i="47"/>
  <c r="AI161" i="47"/>
  <c r="AH161" i="47" s="1"/>
  <c r="AK161" i="47"/>
  <c r="AI165" i="47"/>
  <c r="AH165" i="47" s="1"/>
  <c r="AK165" i="47"/>
  <c r="AI169" i="47"/>
  <c r="AH169" i="47" s="1"/>
  <c r="AK169" i="47"/>
  <c r="AI173" i="47"/>
  <c r="AH173" i="47" s="1"/>
  <c r="AK173" i="47"/>
  <c r="AI164" i="47"/>
  <c r="AH164" i="47" s="1"/>
  <c r="AK164" i="47"/>
  <c r="AG157" i="47"/>
  <c r="AI159" i="47"/>
  <c r="AH159" i="47" s="1"/>
  <c r="AK159" i="47"/>
  <c r="AG161" i="47"/>
  <c r="AI163" i="47"/>
  <c r="AH163" i="47" s="1"/>
  <c r="AK163" i="47"/>
  <c r="AF164" i="47"/>
  <c r="AG165" i="47"/>
  <c r="AI167" i="47"/>
  <c r="AH167" i="47" s="1"/>
  <c r="AK167" i="47"/>
  <c r="AG169" i="47"/>
  <c r="AI171" i="47"/>
  <c r="AH171" i="47" s="1"/>
  <c r="AK171" i="47"/>
  <c r="AG173" i="47"/>
  <c r="AI175" i="47"/>
  <c r="AE175" i="47" s="1"/>
  <c r="AK175" i="47"/>
  <c r="AI160" i="47"/>
  <c r="AH160" i="47" s="1"/>
  <c r="AK160" i="47"/>
  <c r="AI168" i="47"/>
  <c r="AH168" i="47" s="1"/>
  <c r="AK168" i="47"/>
  <c r="AI172" i="47"/>
  <c r="AH172" i="47" s="1"/>
  <c r="AK172" i="47"/>
  <c r="AI158" i="47"/>
  <c r="AH158" i="47" s="1"/>
  <c r="AK158" i="47"/>
  <c r="AG160" i="47"/>
  <c r="AI162" i="47"/>
  <c r="AH162" i="47" s="1"/>
  <c r="AK162" i="47"/>
  <c r="AG164" i="47"/>
  <c r="AI166" i="47"/>
  <c r="AH166" i="47" s="1"/>
  <c r="AK166" i="47"/>
  <c r="AG168" i="47"/>
  <c r="AI170" i="47"/>
  <c r="AH170" i="47" s="1"/>
  <c r="AK170" i="47"/>
  <c r="AG172" i="47"/>
  <c r="AI174" i="47"/>
  <c r="AH174" i="47" s="1"/>
  <c r="AK174" i="47"/>
  <c r="AF175" i="47"/>
  <c r="AF68" i="47"/>
  <c r="AC86" i="47"/>
  <c r="AC87" i="47" s="1"/>
  <c r="AI79" i="47"/>
  <c r="AH79" i="47" s="1"/>
  <c r="AF76" i="47"/>
  <c r="AG75" i="47"/>
  <c r="AK75" i="47"/>
  <c r="AF79" i="47"/>
  <c r="AI71" i="47"/>
  <c r="AH71" i="47" s="1"/>
  <c r="AK77" i="47"/>
  <c r="AC92" i="47"/>
  <c r="AC93" i="47" s="1"/>
  <c r="AG85" i="47"/>
  <c r="AC85" i="47"/>
  <c r="AF75" i="47"/>
  <c r="AG76" i="47"/>
  <c r="AC91" i="47"/>
  <c r="AK103" i="47"/>
  <c r="AK104" i="47"/>
  <c r="AI107" i="47"/>
  <c r="AH107" i="47" s="1"/>
  <c r="AI109" i="47"/>
  <c r="AH109" i="47" s="1"/>
  <c r="AI111" i="47"/>
  <c r="AH111" i="47" s="1"/>
  <c r="AI102" i="47"/>
  <c r="AI103" i="47"/>
  <c r="AI104" i="47"/>
  <c r="AK107" i="47"/>
  <c r="AK109" i="47"/>
  <c r="AK111" i="47"/>
  <c r="AI106" i="47"/>
  <c r="AE106" i="47" s="1"/>
  <c r="AI108" i="47"/>
  <c r="AI110" i="47"/>
  <c r="AE110" i="47" s="1"/>
  <c r="AI112" i="47"/>
  <c r="AK112" i="47"/>
  <c r="AG102" i="47"/>
  <c r="AI105" i="47"/>
  <c r="AG105" i="47"/>
  <c r="AK106" i="47"/>
  <c r="AG107" i="47"/>
  <c r="AK108" i="47"/>
  <c r="AG109" i="47"/>
  <c r="AK110" i="47"/>
  <c r="AG111" i="47"/>
  <c r="AI113" i="47"/>
  <c r="AH113" i="47" s="1"/>
  <c r="AK113" i="47"/>
  <c r="AI114" i="47"/>
  <c r="AH114" i="47" s="1"/>
  <c r="AK114" i="47"/>
  <c r="AI115" i="47"/>
  <c r="AH115" i="47" s="1"/>
  <c r="AK115" i="47"/>
  <c r="AI116" i="47"/>
  <c r="AH116" i="47" s="1"/>
  <c r="AK116" i="47"/>
  <c r="AI117" i="47"/>
  <c r="AH117" i="47" s="1"/>
  <c r="AK117" i="47"/>
  <c r="AI118" i="47"/>
  <c r="AH118" i="47" s="1"/>
  <c r="AK118" i="47"/>
  <c r="AI119" i="47"/>
  <c r="AH119" i="47" s="1"/>
  <c r="AK119" i="47"/>
  <c r="AI120" i="47"/>
  <c r="AK120" i="47"/>
  <c r="AI121" i="47"/>
  <c r="AH121" i="47" s="1"/>
  <c r="AK121" i="47"/>
  <c r="AI122" i="47"/>
  <c r="AE122" i="47" s="1"/>
  <c r="AK122" i="47"/>
  <c r="AI123" i="47"/>
  <c r="AH123" i="47" s="1"/>
  <c r="AK123" i="47"/>
  <c r="AI124" i="47"/>
  <c r="AH124" i="47" s="1"/>
  <c r="AK124" i="47"/>
  <c r="AI125" i="47"/>
  <c r="AH125" i="47" s="1"/>
  <c r="AK125" i="47"/>
  <c r="AI126" i="47"/>
  <c r="AH126" i="47" s="1"/>
  <c r="AK126" i="47"/>
  <c r="AI127" i="47"/>
  <c r="AH127" i="47" s="1"/>
  <c r="AK127" i="47"/>
  <c r="AI128" i="47"/>
  <c r="AH128" i="47" s="1"/>
  <c r="AK128" i="47"/>
  <c r="AI129" i="47"/>
  <c r="AH129" i="47" s="1"/>
  <c r="AK129" i="47"/>
  <c r="AI130" i="47"/>
  <c r="AH130" i="47" s="1"/>
  <c r="AK130" i="47"/>
  <c r="AI131" i="47"/>
  <c r="AH131" i="47" s="1"/>
  <c r="AK131" i="47"/>
  <c r="AI132" i="47"/>
  <c r="AH132" i="47" s="1"/>
  <c r="AK132" i="47"/>
  <c r="AI133" i="47"/>
  <c r="AH133" i="47" s="1"/>
  <c r="AK133" i="47"/>
  <c r="AI134" i="47"/>
  <c r="AH134" i="47" s="1"/>
  <c r="AK134" i="47"/>
  <c r="AI135" i="47"/>
  <c r="AH135" i="47" s="1"/>
  <c r="AK135" i="47"/>
  <c r="AE79" i="47"/>
  <c r="AE71" i="47"/>
  <c r="AE76" i="47"/>
  <c r="AI77" i="47"/>
  <c r="AI73" i="47"/>
  <c r="AE73" i="47" s="1"/>
  <c r="AI69" i="47"/>
  <c r="AI78" i="47"/>
  <c r="AH78" i="47" s="1"/>
  <c r="AI74" i="47"/>
  <c r="AH74" i="47" s="1"/>
  <c r="AI70" i="47"/>
  <c r="AH70" i="47" s="1"/>
  <c r="N313" i="47"/>
  <c r="M313" i="47" s="1"/>
  <c r="I332" i="47"/>
  <c r="H326" i="47"/>
  <c r="I326" i="47"/>
  <c r="H327" i="47"/>
  <c r="H328" i="47" s="1"/>
  <c r="I327" i="47"/>
  <c r="I328" i="47" s="1"/>
  <c r="P312" i="47"/>
  <c r="N309" i="47"/>
  <c r="M309" i="47" s="1"/>
  <c r="H332" i="47"/>
  <c r="N310" i="47"/>
  <c r="M310" i="47" s="1"/>
  <c r="H333" i="47"/>
  <c r="H334" i="47" s="1"/>
  <c r="I333" i="47"/>
  <c r="I334" i="47" s="1"/>
  <c r="AI41" i="47"/>
  <c r="AK41" i="47"/>
  <c r="AI42" i="47"/>
  <c r="AH42" i="47" s="1"/>
  <c r="AK42" i="47"/>
  <c r="AI43" i="47"/>
  <c r="AH43" i="47" s="1"/>
  <c r="AK43" i="47"/>
  <c r="AI44" i="47"/>
  <c r="AH44" i="47" s="1"/>
  <c r="AK44" i="47"/>
  <c r="AI45" i="47"/>
  <c r="AH45" i="47" s="1"/>
  <c r="AK45" i="47"/>
  <c r="AI46" i="47"/>
  <c r="AH46" i="47" s="1"/>
  <c r="AK46" i="47"/>
  <c r="AI47" i="47"/>
  <c r="AH47" i="47" s="1"/>
  <c r="AK47" i="47"/>
  <c r="AI48" i="47"/>
  <c r="AH48" i="47" s="1"/>
  <c r="AK48" i="47"/>
  <c r="AI49" i="47"/>
  <c r="AH49" i="47" s="1"/>
  <c r="AK49" i="47"/>
  <c r="AI50" i="47"/>
  <c r="AH50" i="47" s="1"/>
  <c r="AK50" i="47"/>
  <c r="AI51" i="47"/>
  <c r="AH51" i="47" s="1"/>
  <c r="AK51" i="47"/>
  <c r="AI52" i="47"/>
  <c r="AH52" i="47" s="1"/>
  <c r="AK52" i="47"/>
  <c r="AI53" i="47"/>
  <c r="AH53" i="47" s="1"/>
  <c r="AK53" i="47"/>
  <c r="AI54" i="47"/>
  <c r="AH54" i="47" s="1"/>
  <c r="AK54" i="47"/>
  <c r="AI55" i="47"/>
  <c r="AH55" i="47" s="1"/>
  <c r="AK55" i="47"/>
  <c r="AI56" i="47"/>
  <c r="AH56" i="47" s="1"/>
  <c r="AK56" i="47"/>
  <c r="AI57" i="47"/>
  <c r="AH57" i="47" s="1"/>
  <c r="AK57" i="47"/>
  <c r="AI58" i="47"/>
  <c r="AE58" i="47" s="1"/>
  <c r="AK58" i="47"/>
  <c r="AI59" i="47"/>
  <c r="AH59" i="47" s="1"/>
  <c r="AK59" i="47"/>
  <c r="AI60" i="47"/>
  <c r="AH60" i="47" s="1"/>
  <c r="AK60" i="47"/>
  <c r="AI61" i="47"/>
  <c r="AK61" i="47"/>
  <c r="AI62" i="47"/>
  <c r="AH62" i="47" s="1"/>
  <c r="AK62" i="47"/>
  <c r="AI63" i="47"/>
  <c r="AH63" i="47" s="1"/>
  <c r="AK63" i="47"/>
  <c r="AI64" i="47"/>
  <c r="AH64" i="47" s="1"/>
  <c r="AK64" i="47"/>
  <c r="AI65" i="47"/>
  <c r="AH65" i="47" s="1"/>
  <c r="AK65" i="47"/>
  <c r="AI66" i="47"/>
  <c r="AH66" i="47" s="1"/>
  <c r="AK66" i="47"/>
  <c r="AI67" i="47"/>
  <c r="AH67" i="47" s="1"/>
  <c r="AK67" i="47"/>
  <c r="AK68" i="47"/>
  <c r="AK69" i="47"/>
  <c r="AK70" i="47"/>
  <c r="AK71" i="47"/>
  <c r="AK72" i="47"/>
  <c r="AK73" i="47"/>
  <c r="AK74" i="47"/>
  <c r="L309" i="47"/>
  <c r="L315" i="47"/>
  <c r="N314" i="47"/>
  <c r="M314" i="47" s="1"/>
  <c r="N306" i="47"/>
  <c r="M306" i="47" s="1"/>
  <c r="P318" i="47"/>
  <c r="N318" i="47"/>
  <c r="M318" i="47" s="1"/>
  <c r="L319" i="47"/>
  <c r="N317" i="47"/>
  <c r="M317" i="47" s="1"/>
  <c r="N305" i="47"/>
  <c r="J305" i="47" s="1"/>
  <c r="P320" i="47"/>
  <c r="P317" i="47"/>
  <c r="L316" i="47"/>
  <c r="P308" i="47"/>
  <c r="N320" i="47"/>
  <c r="M320" i="47" s="1"/>
  <c r="N316" i="47"/>
  <c r="M316" i="47" s="1"/>
  <c r="N312" i="47"/>
  <c r="M312" i="47" s="1"/>
  <c r="N308" i="47"/>
  <c r="M308" i="47" s="1"/>
  <c r="N319" i="47"/>
  <c r="N315" i="47"/>
  <c r="N311" i="47"/>
  <c r="J311" i="47" s="1"/>
  <c r="N307" i="47"/>
  <c r="P305" i="47"/>
  <c r="P309" i="47"/>
  <c r="P255" i="47"/>
  <c r="I277" i="47"/>
  <c r="N287" i="47"/>
  <c r="M287" i="47" s="1"/>
  <c r="N267" i="47"/>
  <c r="M267" i="47" s="1"/>
  <c r="N302" i="47"/>
  <c r="M302" i="47" s="1"/>
  <c r="P260" i="47"/>
  <c r="P267" i="47"/>
  <c r="N262" i="47"/>
  <c r="M262" i="47" s="1"/>
  <c r="N254" i="47"/>
  <c r="M254" i="47" s="1"/>
  <c r="N289" i="47"/>
  <c r="M289" i="47" s="1"/>
  <c r="N291" i="47"/>
  <c r="M291" i="47" s="1"/>
  <c r="N295" i="47"/>
  <c r="M295" i="47" s="1"/>
  <c r="N303" i="47"/>
  <c r="M303" i="47" s="1"/>
  <c r="I278" i="47"/>
  <c r="I279" i="47" s="1"/>
  <c r="P253" i="47"/>
  <c r="N248" i="47"/>
  <c r="M248" i="47" s="1"/>
  <c r="P257" i="47"/>
  <c r="N259" i="47"/>
  <c r="M259" i="47" s="1"/>
  <c r="N251" i="47"/>
  <c r="K251" i="47" s="1"/>
  <c r="N294" i="47"/>
  <c r="M294" i="47" s="1"/>
  <c r="N298" i="47"/>
  <c r="M298" i="47" s="1"/>
  <c r="N202" i="47"/>
  <c r="J202" i="47" s="1"/>
  <c r="N255" i="47"/>
  <c r="J255" i="47" s="1"/>
  <c r="N250" i="47"/>
  <c r="M250" i="47" s="1"/>
  <c r="H278" i="47"/>
  <c r="H279" i="47" s="1"/>
  <c r="H277" i="47"/>
  <c r="P259" i="47"/>
  <c r="L248" i="47"/>
  <c r="N266" i="47"/>
  <c r="M266" i="47" s="1"/>
  <c r="N290" i="47"/>
  <c r="M290" i="47" s="1"/>
  <c r="N297" i="47"/>
  <c r="M297" i="47" s="1"/>
  <c r="N299" i="47"/>
  <c r="M299" i="47" s="1"/>
  <c r="P289" i="47"/>
  <c r="N293" i="47"/>
  <c r="M293" i="47" s="1"/>
  <c r="P297" i="47"/>
  <c r="N301" i="47"/>
  <c r="M301" i="47" s="1"/>
  <c r="P291" i="47"/>
  <c r="P295" i="47"/>
  <c r="P299" i="47"/>
  <c r="P303" i="47"/>
  <c r="P307" i="47"/>
  <c r="P311" i="47"/>
  <c r="P287" i="47"/>
  <c r="P286" i="47"/>
  <c r="N288" i="47"/>
  <c r="M288" i="47" s="1"/>
  <c r="P290" i="47"/>
  <c r="N292" i="47"/>
  <c r="M292" i="47" s="1"/>
  <c r="P294" i="47"/>
  <c r="N296" i="47"/>
  <c r="M296" i="47" s="1"/>
  <c r="P298" i="47"/>
  <c r="N300" i="47"/>
  <c r="M300" i="47" s="1"/>
  <c r="P302" i="47"/>
  <c r="N304" i="47"/>
  <c r="M304" i="47" s="1"/>
  <c r="P306" i="47"/>
  <c r="P310" i="47"/>
  <c r="P314" i="47"/>
  <c r="K288" i="47"/>
  <c r="L286" i="47"/>
  <c r="L287" i="47"/>
  <c r="L288" i="47"/>
  <c r="L289" i="47"/>
  <c r="L290" i="47"/>
  <c r="L291" i="47"/>
  <c r="L292" i="47"/>
  <c r="L293" i="47"/>
  <c r="L294" i="47"/>
  <c r="L295" i="47"/>
  <c r="L296" i="47"/>
  <c r="L297" i="47"/>
  <c r="L298" i="47"/>
  <c r="L299" i="47"/>
  <c r="L300" i="47"/>
  <c r="L301" i="47"/>
  <c r="L302" i="47"/>
  <c r="L303" i="47"/>
  <c r="L304" i="47"/>
  <c r="N286" i="47"/>
  <c r="N214" i="47"/>
  <c r="J214" i="47" s="1"/>
  <c r="N201" i="47"/>
  <c r="J201" i="47" s="1"/>
  <c r="L199" i="47"/>
  <c r="P265" i="47"/>
  <c r="L263" i="47"/>
  <c r="L277" i="47" s="1"/>
  <c r="N258" i="47"/>
  <c r="M258" i="47" s="1"/>
  <c r="N263" i="47"/>
  <c r="M263" i="47" s="1"/>
  <c r="L214" i="47"/>
  <c r="P261" i="47"/>
  <c r="P256" i="47"/>
  <c r="N265" i="47"/>
  <c r="M265" i="47" s="1"/>
  <c r="N261" i="47"/>
  <c r="M261" i="47" s="1"/>
  <c r="N257" i="47"/>
  <c r="M257" i="47" s="1"/>
  <c r="N253" i="47"/>
  <c r="M253" i="47" s="1"/>
  <c r="P264" i="47"/>
  <c r="N264" i="47"/>
  <c r="N260" i="47"/>
  <c r="J260" i="47" s="1"/>
  <c r="N256" i="47"/>
  <c r="J256" i="47" s="1"/>
  <c r="N252" i="47"/>
  <c r="N249" i="47"/>
  <c r="J249" i="47" s="1"/>
  <c r="P266" i="47"/>
  <c r="P262" i="47"/>
  <c r="P258" i="47"/>
  <c r="P254" i="47"/>
  <c r="N207" i="47"/>
  <c r="M207" i="47" s="1"/>
  <c r="N205" i="47"/>
  <c r="J205" i="47" s="1"/>
  <c r="L203" i="47"/>
  <c r="P202" i="47"/>
  <c r="N198" i="47"/>
  <c r="J198" i="47" s="1"/>
  <c r="P194" i="47"/>
  <c r="L202" i="47"/>
  <c r="P210" i="47"/>
  <c r="L201" i="47"/>
  <c r="L198" i="47"/>
  <c r="L215" i="47"/>
  <c r="P218" i="47"/>
  <c r="P209" i="47"/>
  <c r="P193" i="47"/>
  <c r="L216" i="47"/>
  <c r="N210" i="47"/>
  <c r="J210" i="47" s="1"/>
  <c r="L206" i="47"/>
  <c r="N199" i="47"/>
  <c r="M199" i="47" s="1"/>
  <c r="N194" i="47"/>
  <c r="J194" i="47" s="1"/>
  <c r="P207" i="47"/>
  <c r="N213" i="47"/>
  <c r="J213" i="47" s="1"/>
  <c r="L211" i="47"/>
  <c r="N209" i="47"/>
  <c r="M209" i="47" s="1"/>
  <c r="N206" i="47"/>
  <c r="J206" i="47" s="1"/>
  <c r="N197" i="47"/>
  <c r="M197" i="47" s="1"/>
  <c r="L195" i="47"/>
  <c r="N193" i="47"/>
  <c r="K193" i="47" s="1"/>
  <c r="N190" i="47"/>
  <c r="J190" i="47" s="1"/>
  <c r="P217" i="47"/>
  <c r="P213" i="47"/>
  <c r="P205" i="47"/>
  <c r="P197" i="47"/>
  <c r="N218" i="47"/>
  <c r="J218" i="47" s="1"/>
  <c r="L212" i="47"/>
  <c r="L204" i="47"/>
  <c r="L196" i="47"/>
  <c r="N189" i="47"/>
  <c r="M189" i="47" s="1"/>
  <c r="P208" i="47"/>
  <c r="P200" i="47"/>
  <c r="L219" i="47"/>
  <c r="N217" i="47"/>
  <c r="J217" i="47" s="1"/>
  <c r="N219" i="47"/>
  <c r="J219" i="47" s="1"/>
  <c r="N215" i="47"/>
  <c r="N211" i="47"/>
  <c r="N203" i="47"/>
  <c r="J203" i="47" s="1"/>
  <c r="N195" i="47"/>
  <c r="N191" i="47"/>
  <c r="J191" i="47" s="1"/>
  <c r="N216" i="47"/>
  <c r="M216" i="47" s="1"/>
  <c r="N212" i="47"/>
  <c r="M212" i="47" s="1"/>
  <c r="N208" i="47"/>
  <c r="M208" i="47" s="1"/>
  <c r="N204" i="47"/>
  <c r="M204" i="47" s="1"/>
  <c r="N200" i="47"/>
  <c r="M200" i="47" s="1"/>
  <c r="N196" i="47"/>
  <c r="M196" i="47" s="1"/>
  <c r="N192" i="47"/>
  <c r="M192" i="47" s="1"/>
  <c r="N188" i="47"/>
  <c r="M188" i="47" s="1"/>
  <c r="N122" i="47"/>
  <c r="M122" i="47" s="1"/>
  <c r="N118" i="47"/>
  <c r="M118" i="47" s="1"/>
  <c r="N125" i="47"/>
  <c r="M125" i="47" s="1"/>
  <c r="L123" i="47"/>
  <c r="L126" i="47"/>
  <c r="L114" i="47"/>
  <c r="N105" i="47"/>
  <c r="M105" i="47" s="1"/>
  <c r="N134" i="47"/>
  <c r="M134" i="47" s="1"/>
  <c r="H170" i="47"/>
  <c r="AI13" i="47"/>
  <c r="AF13" i="47" s="1"/>
  <c r="N126" i="47"/>
  <c r="M126" i="47" s="1"/>
  <c r="L117" i="47"/>
  <c r="N114" i="47"/>
  <c r="M114" i="47" s="1"/>
  <c r="N102" i="47"/>
  <c r="M102" i="47" s="1"/>
  <c r="N98" i="47"/>
  <c r="M98" i="47" s="1"/>
  <c r="N145" i="47"/>
  <c r="M145" i="47" s="1"/>
  <c r="H171" i="47"/>
  <c r="H172" i="47" s="1"/>
  <c r="N117" i="47"/>
  <c r="K117" i="47" s="1"/>
  <c r="N106" i="47"/>
  <c r="M106" i="47" s="1"/>
  <c r="P130" i="47"/>
  <c r="N130" i="47"/>
  <c r="J130" i="47" s="1"/>
  <c r="L120" i="47"/>
  <c r="L116" i="47"/>
  <c r="L111" i="47"/>
  <c r="L108" i="47"/>
  <c r="P134" i="47"/>
  <c r="L147" i="47"/>
  <c r="N44" i="47"/>
  <c r="M44" i="47" s="1"/>
  <c r="N129" i="47"/>
  <c r="M129" i="47" s="1"/>
  <c r="K118" i="47"/>
  <c r="N101" i="47"/>
  <c r="M101" i="47" s="1"/>
  <c r="N97" i="47"/>
  <c r="M97" i="47" s="1"/>
  <c r="P43" i="47"/>
  <c r="N110" i="47"/>
  <c r="M110" i="47" s="1"/>
  <c r="P118" i="47"/>
  <c r="L146" i="47"/>
  <c r="N153" i="47"/>
  <c r="M153" i="47" s="1"/>
  <c r="N142" i="47"/>
  <c r="K142" i="47" s="1"/>
  <c r="N157" i="47"/>
  <c r="M157" i="47" s="1"/>
  <c r="N141" i="47"/>
  <c r="M141" i="47" s="1"/>
  <c r="L153" i="47"/>
  <c r="L142" i="47"/>
  <c r="L141" i="47"/>
  <c r="L158" i="47"/>
  <c r="L157" i="47"/>
  <c r="N150" i="47"/>
  <c r="M150" i="47" s="1"/>
  <c r="N146" i="47"/>
  <c r="M146" i="47" s="1"/>
  <c r="L137" i="47"/>
  <c r="N154" i="47"/>
  <c r="M154" i="47" s="1"/>
  <c r="L143" i="47"/>
  <c r="L140" i="47"/>
  <c r="P140" i="47"/>
  <c r="P144" i="47"/>
  <c r="L144" i="47"/>
  <c r="L148" i="47"/>
  <c r="P148" i="47"/>
  <c r="L156" i="47"/>
  <c r="P156" i="47"/>
  <c r="N158" i="47"/>
  <c r="M158" i="47" s="1"/>
  <c r="L154" i="47"/>
  <c r="L151" i="47"/>
  <c r="L150" i="47"/>
  <c r="N149" i="47"/>
  <c r="M149" i="47" s="1"/>
  <c r="L145" i="47"/>
  <c r="I144" i="47"/>
  <c r="N144" i="47" s="1"/>
  <c r="M144" i="47" s="1"/>
  <c r="N138" i="47"/>
  <c r="M138" i="47" s="1"/>
  <c r="P139" i="47"/>
  <c r="P152" i="47"/>
  <c r="L149" i="47"/>
  <c r="I148" i="47"/>
  <c r="N148" i="47" s="1"/>
  <c r="M148" i="47" s="1"/>
  <c r="L138" i="47"/>
  <c r="N137" i="47"/>
  <c r="K137" i="47" s="1"/>
  <c r="N155" i="47"/>
  <c r="J155" i="47" s="1"/>
  <c r="L155" i="47"/>
  <c r="J149" i="47"/>
  <c r="J141" i="47"/>
  <c r="P136" i="47"/>
  <c r="N151" i="47"/>
  <c r="N147" i="47"/>
  <c r="N143" i="47"/>
  <c r="J143" i="47" s="1"/>
  <c r="N139" i="47"/>
  <c r="N135" i="47"/>
  <c r="N156" i="47"/>
  <c r="M156" i="47" s="1"/>
  <c r="N152" i="47"/>
  <c r="M152" i="47" s="1"/>
  <c r="N140" i="47"/>
  <c r="M140" i="47" s="1"/>
  <c r="N136" i="47"/>
  <c r="M136" i="47" s="1"/>
  <c r="N94" i="47"/>
  <c r="J94" i="47" s="1"/>
  <c r="P110" i="47"/>
  <c r="L129" i="47"/>
  <c r="L128" i="47"/>
  <c r="L125" i="47"/>
  <c r="L113" i="47"/>
  <c r="L97" i="47"/>
  <c r="P135" i="47"/>
  <c r="P127" i="47"/>
  <c r="P122" i="47"/>
  <c r="L122" i="47"/>
  <c r="N121" i="47"/>
  <c r="M121" i="47" s="1"/>
  <c r="N109" i="47"/>
  <c r="M109" i="47" s="1"/>
  <c r="N93" i="47"/>
  <c r="M93" i="47" s="1"/>
  <c r="P133" i="47"/>
  <c r="P121" i="47"/>
  <c r="P109" i="47"/>
  <c r="N133" i="47"/>
  <c r="M133" i="47" s="1"/>
  <c r="L124" i="47"/>
  <c r="N113" i="47"/>
  <c r="K113" i="47" s="1"/>
  <c r="L112" i="47"/>
  <c r="N119" i="47"/>
  <c r="J119" i="47" s="1"/>
  <c r="N131" i="47"/>
  <c r="N115" i="47"/>
  <c r="L131" i="47"/>
  <c r="N123" i="47"/>
  <c r="J123" i="47" s="1"/>
  <c r="L115" i="47"/>
  <c r="N127" i="47"/>
  <c r="L119" i="47"/>
  <c r="L132" i="47"/>
  <c r="N132" i="47"/>
  <c r="M132" i="47" s="1"/>
  <c r="N128" i="47"/>
  <c r="M128" i="47" s="1"/>
  <c r="N124" i="47"/>
  <c r="M124" i="47" s="1"/>
  <c r="N120" i="47"/>
  <c r="M120" i="47" s="1"/>
  <c r="N116" i="47"/>
  <c r="M116" i="47" s="1"/>
  <c r="N112" i="47"/>
  <c r="M112" i="47" s="1"/>
  <c r="N108" i="47"/>
  <c r="M108" i="47" s="1"/>
  <c r="N104" i="47"/>
  <c r="M104" i="47" s="1"/>
  <c r="N100" i="47"/>
  <c r="M100" i="47" s="1"/>
  <c r="N96" i="47"/>
  <c r="M96" i="47" s="1"/>
  <c r="N111" i="47"/>
  <c r="N107" i="47"/>
  <c r="N103" i="47"/>
  <c r="N99" i="47"/>
  <c r="N95" i="47"/>
  <c r="J95" i="47" s="1"/>
  <c r="N48" i="47"/>
  <c r="M48" i="47" s="1"/>
  <c r="L44" i="47"/>
  <c r="N41" i="47"/>
  <c r="M41" i="47" s="1"/>
  <c r="P45" i="47"/>
  <c r="P70" i="47"/>
  <c r="L67" i="47"/>
  <c r="P44" i="47"/>
  <c r="I83" i="47"/>
  <c r="N47" i="47"/>
  <c r="M47" i="47" s="1"/>
  <c r="N49" i="47"/>
  <c r="M49" i="47" s="1"/>
  <c r="L47" i="47"/>
  <c r="P41" i="47"/>
  <c r="P72" i="47"/>
  <c r="P48" i="47"/>
  <c r="N43" i="47"/>
  <c r="M43" i="47" s="1"/>
  <c r="N40" i="47"/>
  <c r="M40" i="47" s="1"/>
  <c r="P49" i="47"/>
  <c r="L48" i="47"/>
  <c r="P46" i="47"/>
  <c r="N45" i="47"/>
  <c r="M45" i="47" s="1"/>
  <c r="P40" i="47"/>
  <c r="P71" i="47"/>
  <c r="N69" i="47"/>
  <c r="M69" i="47" s="1"/>
  <c r="L66" i="47"/>
  <c r="N55" i="47"/>
  <c r="M55" i="47" s="1"/>
  <c r="P69" i="47"/>
  <c r="N54" i="47"/>
  <c r="M54" i="47" s="1"/>
  <c r="N53" i="47"/>
  <c r="M53" i="47" s="1"/>
  <c r="N52" i="47"/>
  <c r="M52" i="47" s="1"/>
  <c r="N51" i="47"/>
  <c r="M51" i="47" s="1"/>
  <c r="N50" i="47"/>
  <c r="M50" i="47" s="1"/>
  <c r="N46" i="47"/>
  <c r="M46" i="47" s="1"/>
  <c r="N42" i="47"/>
  <c r="M42" i="47" s="1"/>
  <c r="N72" i="47"/>
  <c r="M72" i="47" s="1"/>
  <c r="N70" i="47"/>
  <c r="M70" i="47" s="1"/>
  <c r="H83" i="47"/>
  <c r="P42" i="47"/>
  <c r="L55" i="47"/>
  <c r="L54" i="47"/>
  <c r="L53" i="47"/>
  <c r="L52" i="47"/>
  <c r="L51" i="47"/>
  <c r="L50" i="47"/>
  <c r="H84" i="47"/>
  <c r="H85" i="47" s="1"/>
  <c r="I84" i="47"/>
  <c r="I85" i="47" s="1"/>
  <c r="N68" i="47"/>
  <c r="M68" i="47" s="1"/>
  <c r="N64" i="47"/>
  <c r="M64" i="47" s="1"/>
  <c r="N63" i="47"/>
  <c r="M63" i="47" s="1"/>
  <c r="N62" i="47"/>
  <c r="M62" i="47" s="1"/>
  <c r="N61" i="47"/>
  <c r="M61" i="47" s="1"/>
  <c r="N60" i="47"/>
  <c r="M60" i="47" s="1"/>
  <c r="N59" i="47"/>
  <c r="J59" i="47" s="1"/>
  <c r="N58" i="47"/>
  <c r="M58" i="47" s="1"/>
  <c r="N57" i="47"/>
  <c r="M57" i="47" s="1"/>
  <c r="N56" i="47"/>
  <c r="N71" i="47"/>
  <c r="M71" i="47" s="1"/>
  <c r="N67" i="47"/>
  <c r="M67" i="47" s="1"/>
  <c r="N66" i="47"/>
  <c r="J66" i="47" s="1"/>
  <c r="N65" i="47"/>
  <c r="M65" i="47" s="1"/>
  <c r="L64" i="47"/>
  <c r="L63" i="47"/>
  <c r="L62" i="47"/>
  <c r="L61" i="47"/>
  <c r="L60" i="47"/>
  <c r="L59" i="47"/>
  <c r="L58" i="47"/>
  <c r="L57" i="47"/>
  <c r="L56" i="47"/>
  <c r="J52" i="47"/>
  <c r="P68" i="47"/>
  <c r="P65" i="47"/>
  <c r="N21" i="47"/>
  <c r="J21" i="47" s="1"/>
  <c r="AG13" i="47"/>
  <c r="AI10" i="47"/>
  <c r="AE10" i="47" s="1"/>
  <c r="N13" i="47"/>
  <c r="M13" i="47" s="1"/>
  <c r="AK10" i="47"/>
  <c r="AI9" i="47"/>
  <c r="AH9" i="47" s="1"/>
  <c r="P9" i="47"/>
  <c r="AD34" i="47"/>
  <c r="AK8" i="47"/>
  <c r="L17" i="47"/>
  <c r="N16" i="47"/>
  <c r="M16" i="47" s="1"/>
  <c r="P14" i="47"/>
  <c r="P11" i="47"/>
  <c r="L10" i="47"/>
  <c r="N9" i="47"/>
  <c r="M9" i="47" s="1"/>
  <c r="AI29" i="47"/>
  <c r="AH29" i="47" s="1"/>
  <c r="AI28" i="47"/>
  <c r="AE28" i="47" s="1"/>
  <c r="AK11" i="47"/>
  <c r="N22" i="47"/>
  <c r="M22" i="47" s="1"/>
  <c r="N17" i="47"/>
  <c r="M17" i="47" s="1"/>
  <c r="P15" i="47"/>
  <c r="N11" i="47"/>
  <c r="J11" i="47" s="1"/>
  <c r="AG29" i="47"/>
  <c r="AK12" i="47"/>
  <c r="P22" i="47"/>
  <c r="P21" i="47"/>
  <c r="P12" i="47"/>
  <c r="AI12" i="47"/>
  <c r="AE12" i="47" s="1"/>
  <c r="AG9" i="47"/>
  <c r="L22" i="47"/>
  <c r="N19" i="47"/>
  <c r="M19" i="47" s="1"/>
  <c r="N14" i="47"/>
  <c r="M14" i="47" s="1"/>
  <c r="AI26" i="47"/>
  <c r="AE26" i="47" s="1"/>
  <c r="AI25" i="47"/>
  <c r="AE25" i="47" s="1"/>
  <c r="AI24" i="47"/>
  <c r="AH24" i="47" s="1"/>
  <c r="AI23" i="47"/>
  <c r="AH23" i="47" s="1"/>
  <c r="AI22" i="47"/>
  <c r="AE22" i="47" s="1"/>
  <c r="AI21" i="47"/>
  <c r="AE21" i="47" s="1"/>
  <c r="AI20" i="47"/>
  <c r="AE20" i="47" s="1"/>
  <c r="AI19" i="47"/>
  <c r="AE19" i="47" s="1"/>
  <c r="AI18" i="47"/>
  <c r="AE18" i="47" s="1"/>
  <c r="AI17" i="47"/>
  <c r="AE17" i="47" s="1"/>
  <c r="AI16" i="47"/>
  <c r="AH16" i="47" s="1"/>
  <c r="AI15" i="47"/>
  <c r="AH15" i="47" s="1"/>
  <c r="AI14" i="47"/>
  <c r="AE14" i="47" s="1"/>
  <c r="AI11" i="47"/>
  <c r="AE11" i="47" s="1"/>
  <c r="AI8" i="47"/>
  <c r="AE8" i="47" s="1"/>
  <c r="AC34" i="47"/>
  <c r="AI27" i="47"/>
  <c r="AE27" i="47" s="1"/>
  <c r="AG26" i="47"/>
  <c r="AG25" i="47"/>
  <c r="AG24" i="47"/>
  <c r="AG23" i="47"/>
  <c r="AG22" i="47"/>
  <c r="AG21" i="47"/>
  <c r="AG20" i="47"/>
  <c r="AG19" i="47"/>
  <c r="AG18" i="47"/>
  <c r="AG17" i="47"/>
  <c r="AG16" i="47"/>
  <c r="AG15" i="47"/>
  <c r="AG14" i="47"/>
  <c r="AC35" i="47"/>
  <c r="AC36" i="47" s="1"/>
  <c r="AD35" i="47"/>
  <c r="AD36" i="47" s="1"/>
  <c r="AK28" i="47"/>
  <c r="AK27" i="47"/>
  <c r="L21" i="47"/>
  <c r="N20" i="47"/>
  <c r="M20" i="47" s="1"/>
  <c r="N15" i="47"/>
  <c r="M15" i="47" s="1"/>
  <c r="L13" i="47"/>
  <c r="N10" i="47"/>
  <c r="M10" i="47" s="1"/>
  <c r="N8" i="47"/>
  <c r="M8" i="47" s="1"/>
  <c r="P13" i="47"/>
  <c r="N18" i="47"/>
  <c r="M18" i="47" s="1"/>
  <c r="P19" i="47"/>
  <c r="L18" i="47"/>
  <c r="L20" i="47"/>
  <c r="L16" i="47"/>
  <c r="L8" i="47"/>
  <c r="P20" i="47"/>
  <c r="P16" i="47"/>
  <c r="N12" i="47"/>
  <c r="M12" i="47" s="1"/>
  <c r="AK7" i="47"/>
  <c r="AI7" i="47"/>
  <c r="AK107" i="51"/>
  <c r="AK108" i="51"/>
  <c r="AK109" i="51" s="1"/>
  <c r="AK100" i="51"/>
  <c r="AK101" i="51"/>
  <c r="AK102" i="51" s="1"/>
  <c r="AK54" i="51"/>
  <c r="AK55" i="51"/>
  <c r="AK56" i="51" s="1"/>
  <c r="AK47" i="51"/>
  <c r="AK48" i="51"/>
  <c r="AK49" i="51" s="1"/>
  <c r="O23" i="51"/>
  <c r="O24" i="51"/>
  <c r="O25" i="51" s="1"/>
  <c r="AK40" i="51"/>
  <c r="AK41" i="51"/>
  <c r="AK42" i="51" s="1"/>
  <c r="AD8" i="51"/>
  <c r="AH8" i="51" s="1"/>
  <c r="AE8" i="51"/>
  <c r="AD9" i="51"/>
  <c r="AH9" i="51" s="1"/>
  <c r="AE9" i="51"/>
  <c r="AD10" i="51"/>
  <c r="AH10" i="51" s="1"/>
  <c r="AE10" i="51"/>
  <c r="AD11" i="51"/>
  <c r="AH11" i="51" s="1"/>
  <c r="AE11" i="51"/>
  <c r="AD12" i="51"/>
  <c r="AH12" i="51" s="1"/>
  <c r="AE12" i="51"/>
  <c r="AD13" i="51"/>
  <c r="AH13" i="51" s="1"/>
  <c r="AE13" i="51"/>
  <c r="AD14" i="51"/>
  <c r="AH14" i="51" s="1"/>
  <c r="AE14" i="51"/>
  <c r="AD15" i="51"/>
  <c r="AE15" i="51"/>
  <c r="AD16" i="51"/>
  <c r="AH16" i="51" s="1"/>
  <c r="AE16" i="51"/>
  <c r="AD17" i="51"/>
  <c r="AH17" i="51" s="1"/>
  <c r="AE17" i="51"/>
  <c r="AD18" i="51"/>
  <c r="AH18" i="51" s="1"/>
  <c r="AE18" i="51"/>
  <c r="AD19" i="51"/>
  <c r="AH19" i="51" s="1"/>
  <c r="AE19" i="51"/>
  <c r="AD20" i="51"/>
  <c r="AL20" i="51" s="1"/>
  <c r="AE20" i="51"/>
  <c r="AD21" i="51"/>
  <c r="AL21" i="51" s="1"/>
  <c r="AE21" i="51"/>
  <c r="AD22" i="51"/>
  <c r="AL22" i="51" s="1"/>
  <c r="AE22" i="51"/>
  <c r="AD23" i="51"/>
  <c r="AH23" i="51" s="1"/>
  <c r="AE23" i="51"/>
  <c r="AD24" i="51"/>
  <c r="AH24" i="51" s="1"/>
  <c r="AE24" i="51"/>
  <c r="AD25" i="51"/>
  <c r="AH25" i="51" s="1"/>
  <c r="AE25" i="51"/>
  <c r="AD26" i="51"/>
  <c r="AL26" i="51" s="1"/>
  <c r="AE26" i="51"/>
  <c r="AD27" i="51"/>
  <c r="AL27" i="51" s="1"/>
  <c r="AE27" i="51"/>
  <c r="AD28" i="51"/>
  <c r="AH28" i="51" s="1"/>
  <c r="AE28" i="51"/>
  <c r="AD29" i="51"/>
  <c r="AL29" i="51" s="1"/>
  <c r="AE29" i="51"/>
  <c r="AD30" i="51"/>
  <c r="AL30" i="51" s="1"/>
  <c r="AE30" i="51"/>
  <c r="AD31" i="51"/>
  <c r="AH31" i="51" s="1"/>
  <c r="AE31" i="51"/>
  <c r="AD32" i="51"/>
  <c r="AL32" i="51" s="1"/>
  <c r="AE32" i="51"/>
  <c r="AD33" i="51"/>
  <c r="AL33" i="51" s="1"/>
  <c r="AE33" i="51"/>
  <c r="AD34" i="51"/>
  <c r="AL34" i="51" s="1"/>
  <c r="AE34" i="51"/>
  <c r="AD35" i="51"/>
  <c r="O106" i="51"/>
  <c r="O107" i="51"/>
  <c r="O108" i="51" s="1"/>
  <c r="O100" i="51"/>
  <c r="O101" i="51"/>
  <c r="O102" i="51" s="1"/>
  <c r="O50" i="51"/>
  <c r="O51" i="51"/>
  <c r="O52" i="51" s="1"/>
  <c r="AE133" i="47" l="1"/>
  <c r="AG92" i="47"/>
  <c r="AG93" i="47" s="1"/>
  <c r="AE130" i="47"/>
  <c r="AK179" i="47"/>
  <c r="AK180" i="47"/>
  <c r="AK181" i="47" s="1"/>
  <c r="J313" i="47"/>
  <c r="K313" i="47"/>
  <c r="AE68" i="47"/>
  <c r="AE132" i="47"/>
  <c r="AE129" i="47"/>
  <c r="AG179" i="47"/>
  <c r="AG180" i="47"/>
  <c r="AG181" i="47" s="1"/>
  <c r="AE157" i="47"/>
  <c r="AI179" i="47"/>
  <c r="AI180" i="47"/>
  <c r="AI181" i="47" s="1"/>
  <c r="K248" i="47"/>
  <c r="J262" i="47"/>
  <c r="J310" i="47"/>
  <c r="AK140" i="47"/>
  <c r="AF165" i="47"/>
  <c r="AE72" i="47"/>
  <c r="AE124" i="47"/>
  <c r="AK146" i="47"/>
  <c r="AK147" i="47"/>
  <c r="AK148" i="47" s="1"/>
  <c r="AF102" i="47"/>
  <c r="AI140" i="47"/>
  <c r="AI141" i="47"/>
  <c r="AI142" i="47" s="1"/>
  <c r="AH120" i="47"/>
  <c r="AI146" i="47"/>
  <c r="AI147" i="47"/>
  <c r="AI148" i="47" s="1"/>
  <c r="AG140" i="47"/>
  <c r="AG141" i="47"/>
  <c r="AG142" i="47" s="1"/>
  <c r="J295" i="47"/>
  <c r="AK141" i="47"/>
  <c r="AK142" i="47" s="1"/>
  <c r="K295" i="47"/>
  <c r="K314" i="47"/>
  <c r="AE75" i="47"/>
  <c r="AE117" i="47"/>
  <c r="AF72" i="47"/>
  <c r="AF169" i="47"/>
  <c r="AF159" i="47"/>
  <c r="AE162" i="47"/>
  <c r="AF157" i="47"/>
  <c r="AE166" i="47"/>
  <c r="AF172" i="47"/>
  <c r="AF171" i="47"/>
  <c r="AF163" i="47"/>
  <c r="AE163" i="47"/>
  <c r="AE159" i="47"/>
  <c r="AE164" i="47"/>
  <c r="AE170" i="47"/>
  <c r="AE160" i="47"/>
  <c r="AE167" i="47"/>
  <c r="AF160" i="47"/>
  <c r="AE173" i="47"/>
  <c r="AE169" i="47"/>
  <c r="AE165" i="47"/>
  <c r="AE161" i="47"/>
  <c r="AF161" i="47"/>
  <c r="AF168" i="47"/>
  <c r="AF174" i="47"/>
  <c r="AF170" i="47"/>
  <c r="AF166" i="47"/>
  <c r="AF162" i="47"/>
  <c r="AF158" i="47"/>
  <c r="AH157" i="47"/>
  <c r="AF173" i="47"/>
  <c r="AE174" i="47"/>
  <c r="AF167" i="47"/>
  <c r="AE158" i="47"/>
  <c r="AE172" i="47"/>
  <c r="AE168" i="47"/>
  <c r="AH175" i="47"/>
  <c r="AE171" i="47"/>
  <c r="AH61" i="47"/>
  <c r="AI92" i="47"/>
  <c r="AI93" i="47" s="1"/>
  <c r="AI91" i="47"/>
  <c r="AI86" i="47"/>
  <c r="AI87" i="47" s="1"/>
  <c r="AI85" i="47"/>
  <c r="AE118" i="47"/>
  <c r="AF71" i="47"/>
  <c r="AE126" i="47"/>
  <c r="AE121" i="47"/>
  <c r="AE111" i="47"/>
  <c r="AG91" i="47"/>
  <c r="AF58" i="47"/>
  <c r="AK91" i="47"/>
  <c r="AK92" i="47"/>
  <c r="AK93" i="47" s="1"/>
  <c r="AK85" i="47"/>
  <c r="AK86" i="47"/>
  <c r="AK87" i="47" s="1"/>
  <c r="AF121" i="47"/>
  <c r="AE134" i="47"/>
  <c r="AE120" i="47"/>
  <c r="AE114" i="47"/>
  <c r="AE116" i="47"/>
  <c r="AE113" i="47"/>
  <c r="AF111" i="47"/>
  <c r="AF107" i="47"/>
  <c r="AF117" i="47"/>
  <c r="AE128" i="47"/>
  <c r="AE125" i="47"/>
  <c r="AF113" i="47"/>
  <c r="AE107" i="47"/>
  <c r="AH112" i="47"/>
  <c r="AF112" i="47"/>
  <c r="AH108" i="47"/>
  <c r="AF108" i="47"/>
  <c r="AF133" i="47"/>
  <c r="AF129" i="47"/>
  <c r="AF125" i="47"/>
  <c r="AF118" i="47"/>
  <c r="AF114" i="47"/>
  <c r="AE109" i="47"/>
  <c r="AF134" i="47"/>
  <c r="AE104" i="47"/>
  <c r="AH104" i="47"/>
  <c r="AF132" i="47"/>
  <c r="AF128" i="47"/>
  <c r="AF124" i="47"/>
  <c r="AF104" i="47"/>
  <c r="AF109" i="47"/>
  <c r="AE105" i="47"/>
  <c r="AH105" i="47"/>
  <c r="AH110" i="47"/>
  <c r="AF110" i="47"/>
  <c r="AH106" i="47"/>
  <c r="AF106" i="47"/>
  <c r="AE103" i="47"/>
  <c r="AH103" i="47"/>
  <c r="AF131" i="47"/>
  <c r="AF127" i="47"/>
  <c r="AF123" i="47"/>
  <c r="AF120" i="47"/>
  <c r="AF116" i="47"/>
  <c r="AE135" i="47"/>
  <c r="AE131" i="47"/>
  <c r="AE127" i="47"/>
  <c r="AE123" i="47"/>
  <c r="AH122" i="47"/>
  <c r="AE119" i="47"/>
  <c r="AE115" i="47"/>
  <c r="AE112" i="47"/>
  <c r="AE108" i="47"/>
  <c r="AE102" i="47"/>
  <c r="AH102" i="47"/>
  <c r="AF130" i="47"/>
  <c r="AF126" i="47"/>
  <c r="AF122" i="47"/>
  <c r="AF119" i="47"/>
  <c r="AF115" i="47"/>
  <c r="AF135" i="47"/>
  <c r="AF105" i="47"/>
  <c r="AF103" i="47"/>
  <c r="AH73" i="47"/>
  <c r="AF73" i="47"/>
  <c r="AE74" i="47"/>
  <c r="AF74" i="47"/>
  <c r="AH69" i="47"/>
  <c r="AF69" i="47"/>
  <c r="AH77" i="47"/>
  <c r="AF77" i="47"/>
  <c r="AE78" i="47"/>
  <c r="AF78" i="47"/>
  <c r="AF70" i="47"/>
  <c r="AE69" i="47"/>
  <c r="AE70" i="47"/>
  <c r="AE77" i="47"/>
  <c r="AF46" i="47"/>
  <c r="J318" i="47"/>
  <c r="AE50" i="47"/>
  <c r="L332" i="47"/>
  <c r="J309" i="47"/>
  <c r="AF54" i="47"/>
  <c r="L333" i="47"/>
  <c r="L334" i="47" s="1"/>
  <c r="AF64" i="47"/>
  <c r="J302" i="47"/>
  <c r="J248" i="47"/>
  <c r="J314" i="47"/>
  <c r="M305" i="47"/>
  <c r="N332" i="47"/>
  <c r="N333" i="47"/>
  <c r="N334" i="47" s="1"/>
  <c r="K306" i="47"/>
  <c r="AF59" i="47"/>
  <c r="AF51" i="47"/>
  <c r="AE66" i="47"/>
  <c r="AE43" i="47"/>
  <c r="L326" i="47"/>
  <c r="L327" i="47"/>
  <c r="L328" i="47" s="1"/>
  <c r="P326" i="47"/>
  <c r="P327" i="47"/>
  <c r="P328" i="47" s="1"/>
  <c r="K201" i="47"/>
  <c r="K286" i="47"/>
  <c r="N327" i="47"/>
  <c r="N328" i="47" s="1"/>
  <c r="N326" i="47"/>
  <c r="K302" i="47"/>
  <c r="J306" i="47"/>
  <c r="K309" i="47"/>
  <c r="K310" i="47"/>
  <c r="AF66" i="47"/>
  <c r="AF43" i="47"/>
  <c r="AF47" i="47"/>
  <c r="AE63" i="47"/>
  <c r="AE60" i="47"/>
  <c r="AF63" i="47"/>
  <c r="AE62" i="47"/>
  <c r="AE59" i="47"/>
  <c r="AE46" i="47"/>
  <c r="AF67" i="47"/>
  <c r="AF62" i="47"/>
  <c r="AF60" i="47"/>
  <c r="AF56" i="47"/>
  <c r="AF48" i="47"/>
  <c r="AE56" i="47"/>
  <c r="AE47" i="47"/>
  <c r="AE44" i="47"/>
  <c r="AF50" i="47"/>
  <c r="AF44" i="47"/>
  <c r="AF52" i="47"/>
  <c r="AF42" i="47"/>
  <c r="AE67" i="47"/>
  <c r="AE64" i="47"/>
  <c r="AE54" i="47"/>
  <c r="AE51" i="47"/>
  <c r="AE48" i="47"/>
  <c r="AF55" i="47"/>
  <c r="AE55" i="47"/>
  <c r="AE52" i="47"/>
  <c r="AE42" i="47"/>
  <c r="AH41" i="47"/>
  <c r="AF65" i="47"/>
  <c r="AF61" i="47"/>
  <c r="AH58" i="47"/>
  <c r="AE65" i="47"/>
  <c r="AE61" i="47"/>
  <c r="AE57" i="47"/>
  <c r="AE53" i="47"/>
  <c r="AE49" i="47"/>
  <c r="AE45" i="47"/>
  <c r="AE41" i="47"/>
  <c r="AF57" i="47"/>
  <c r="AF53" i="47"/>
  <c r="AF49" i="47"/>
  <c r="AF45" i="47"/>
  <c r="AF41" i="47"/>
  <c r="J308" i="47"/>
  <c r="K305" i="47"/>
  <c r="J317" i="47"/>
  <c r="K308" i="47"/>
  <c r="K317" i="47"/>
  <c r="J312" i="47"/>
  <c r="K318" i="47"/>
  <c r="J316" i="47"/>
  <c r="K307" i="47"/>
  <c r="M307" i="47"/>
  <c r="M315" i="47"/>
  <c r="K315" i="47"/>
  <c r="J320" i="47"/>
  <c r="K316" i="47"/>
  <c r="J307" i="47"/>
  <c r="M319" i="47"/>
  <c r="K319" i="47"/>
  <c r="J319" i="47"/>
  <c r="M311" i="47"/>
  <c r="K311" i="47"/>
  <c r="J315" i="47"/>
  <c r="K312" i="47"/>
  <c r="K320" i="47"/>
  <c r="P313" i="47"/>
  <c r="P333" i="47" s="1"/>
  <c r="P334" i="47" s="1"/>
  <c r="J259" i="47"/>
  <c r="K254" i="47"/>
  <c r="J197" i="47"/>
  <c r="J251" i="47"/>
  <c r="M251" i="47"/>
  <c r="K296" i="47"/>
  <c r="J301" i="47"/>
  <c r="J287" i="47"/>
  <c r="K287" i="47"/>
  <c r="K289" i="47"/>
  <c r="J291" i="47"/>
  <c r="J263" i="47"/>
  <c r="J250" i="47"/>
  <c r="K250" i="47"/>
  <c r="J289" i="47"/>
  <c r="K301" i="47"/>
  <c r="K259" i="47"/>
  <c r="J296" i="47"/>
  <c r="J288" i="47"/>
  <c r="K291" i="47"/>
  <c r="K210" i="47"/>
  <c r="M198" i="47"/>
  <c r="J267" i="47"/>
  <c r="K267" i="47"/>
  <c r="K263" i="47"/>
  <c r="J254" i="47"/>
  <c r="K214" i="47"/>
  <c r="M214" i="47"/>
  <c r="M201" i="47"/>
  <c r="K207" i="47"/>
  <c r="J266" i="47"/>
  <c r="K258" i="47"/>
  <c r="J303" i="47"/>
  <c r="J299" i="47"/>
  <c r="J292" i="47"/>
  <c r="K299" i="47"/>
  <c r="K292" i="47"/>
  <c r="K303" i="47"/>
  <c r="K205" i="47"/>
  <c r="J258" i="47"/>
  <c r="K262" i="47"/>
  <c r="K266" i="47"/>
  <c r="J300" i="47"/>
  <c r="J293" i="47"/>
  <c r="K300" i="47"/>
  <c r="K293" i="47"/>
  <c r="J304" i="47"/>
  <c r="K206" i="47"/>
  <c r="M202" i="47"/>
  <c r="M205" i="47"/>
  <c r="K199" i="47"/>
  <c r="J257" i="47"/>
  <c r="J298" i="47"/>
  <c r="K297" i="47"/>
  <c r="P277" i="47"/>
  <c r="P278" i="47"/>
  <c r="P279" i="47" s="1"/>
  <c r="M255" i="47"/>
  <c r="N278" i="47"/>
  <c r="N279" i="47" s="1"/>
  <c r="N277" i="47"/>
  <c r="M206" i="47"/>
  <c r="K255" i="47"/>
  <c r="M210" i="47"/>
  <c r="M218" i="47"/>
  <c r="K202" i="47"/>
  <c r="K257" i="47"/>
  <c r="J294" i="47"/>
  <c r="J290" i="47"/>
  <c r="K304" i="47"/>
  <c r="K298" i="47"/>
  <c r="K294" i="47"/>
  <c r="K290" i="47"/>
  <c r="L278" i="47"/>
  <c r="L279" i="47" s="1"/>
  <c r="J297" i="47"/>
  <c r="J286" i="47"/>
  <c r="M286" i="47"/>
  <c r="J207" i="47"/>
  <c r="K197" i="47"/>
  <c r="M213" i="47"/>
  <c r="K265" i="47"/>
  <c r="K213" i="47"/>
  <c r="K198" i="47"/>
  <c r="M217" i="47"/>
  <c r="J265" i="47"/>
  <c r="K252" i="47"/>
  <c r="M252" i="47"/>
  <c r="K264" i="47"/>
  <c r="M264" i="47"/>
  <c r="J261" i="47"/>
  <c r="J264" i="47"/>
  <c r="K256" i="47"/>
  <c r="M256" i="47"/>
  <c r="J252" i="47"/>
  <c r="K260" i="47"/>
  <c r="M260" i="47"/>
  <c r="J253" i="47"/>
  <c r="K253" i="47"/>
  <c r="K261" i="47"/>
  <c r="M249" i="47"/>
  <c r="K249" i="47"/>
  <c r="AE13" i="47"/>
  <c r="K189" i="47"/>
  <c r="M190" i="47"/>
  <c r="J102" i="47"/>
  <c r="K102" i="47"/>
  <c r="J208" i="47"/>
  <c r="K190" i="47"/>
  <c r="M194" i="47"/>
  <c r="J193" i="47"/>
  <c r="M193" i="47"/>
  <c r="J209" i="47"/>
  <c r="J199" i="47"/>
  <c r="K194" i="47"/>
  <c r="K209" i="47"/>
  <c r="K114" i="47"/>
  <c r="K130" i="47"/>
  <c r="K122" i="47"/>
  <c r="J44" i="47"/>
  <c r="J122" i="47"/>
  <c r="K100" i="47"/>
  <c r="J189" i="47"/>
  <c r="J216" i="47"/>
  <c r="J129" i="47"/>
  <c r="K218" i="47"/>
  <c r="K217" i="47"/>
  <c r="K203" i="47"/>
  <c r="M203" i="47"/>
  <c r="J188" i="47"/>
  <c r="K216" i="47"/>
  <c r="J196" i="47"/>
  <c r="J204" i="47"/>
  <c r="J212" i="47"/>
  <c r="K196" i="47"/>
  <c r="K212" i="47"/>
  <c r="K195" i="47"/>
  <c r="M195" i="47"/>
  <c r="K215" i="47"/>
  <c r="M215" i="47"/>
  <c r="K188" i="47"/>
  <c r="J200" i="47"/>
  <c r="K204" i="47"/>
  <c r="K191" i="47"/>
  <c r="M191" i="47"/>
  <c r="K211" i="47"/>
  <c r="M211" i="47"/>
  <c r="K219" i="47"/>
  <c r="M219" i="47"/>
  <c r="J215" i="47"/>
  <c r="J192" i="47"/>
  <c r="K192" i="47"/>
  <c r="K200" i="47"/>
  <c r="K208" i="47"/>
  <c r="J195" i="47"/>
  <c r="J211" i="47"/>
  <c r="K97" i="47"/>
  <c r="K44" i="47"/>
  <c r="M117" i="47"/>
  <c r="AH12" i="47"/>
  <c r="AH13" i="47"/>
  <c r="J105" i="47"/>
  <c r="M130" i="47"/>
  <c r="K125" i="47"/>
  <c r="K129" i="47"/>
  <c r="J117" i="47"/>
  <c r="J110" i="47"/>
  <c r="J118" i="47"/>
  <c r="K48" i="47"/>
  <c r="K133" i="47"/>
  <c r="K101" i="47"/>
  <c r="J126" i="47"/>
  <c r="J125" i="47"/>
  <c r="K105" i="47"/>
  <c r="K98" i="47"/>
  <c r="K126" i="47"/>
  <c r="J134" i="47"/>
  <c r="P170" i="47"/>
  <c r="K134" i="47"/>
  <c r="J133" i="47"/>
  <c r="J93" i="47"/>
  <c r="P171" i="47"/>
  <c r="P172" i="47" s="1"/>
  <c r="J98" i="47"/>
  <c r="K145" i="47"/>
  <c r="I171" i="47"/>
  <c r="I172" i="47" s="1"/>
  <c r="J101" i="47"/>
  <c r="K110" i="47"/>
  <c r="K106" i="47"/>
  <c r="L171" i="47"/>
  <c r="L172" i="47" s="1"/>
  <c r="L170" i="47"/>
  <c r="J114" i="47"/>
  <c r="J106" i="47"/>
  <c r="K93" i="47"/>
  <c r="J145" i="47"/>
  <c r="M137" i="47"/>
  <c r="N170" i="47"/>
  <c r="N171" i="47"/>
  <c r="N172" i="47" s="1"/>
  <c r="J153" i="47"/>
  <c r="I170" i="47"/>
  <c r="K13" i="47"/>
  <c r="K47" i="47"/>
  <c r="J97" i="47"/>
  <c r="K108" i="47"/>
  <c r="K109" i="47"/>
  <c r="J146" i="47"/>
  <c r="K153" i="47"/>
  <c r="K138" i="47"/>
  <c r="J48" i="47"/>
  <c r="K52" i="47"/>
  <c r="J121" i="47"/>
  <c r="K157" i="47"/>
  <c r="K146" i="47"/>
  <c r="M142" i="47"/>
  <c r="J142" i="47"/>
  <c r="K141" i="47"/>
  <c r="K154" i="47"/>
  <c r="J137" i="47"/>
  <c r="J157" i="47"/>
  <c r="J138" i="47"/>
  <c r="J154" i="47"/>
  <c r="K152" i="47"/>
  <c r="K149" i="47"/>
  <c r="K150" i="47"/>
  <c r="J150" i="47"/>
  <c r="J158" i="47"/>
  <c r="J144" i="47"/>
  <c r="K144" i="47"/>
  <c r="J152" i="47"/>
  <c r="K156" i="47"/>
  <c r="K136" i="47"/>
  <c r="K158" i="47"/>
  <c r="M135" i="47"/>
  <c r="K135" i="47"/>
  <c r="M139" i="47"/>
  <c r="K139" i="47"/>
  <c r="J148" i="47"/>
  <c r="M147" i="47"/>
  <c r="K147" i="47"/>
  <c r="K140" i="47"/>
  <c r="J140" i="47"/>
  <c r="J135" i="47"/>
  <c r="M155" i="47"/>
  <c r="K155" i="47"/>
  <c r="K148" i="47"/>
  <c r="M151" i="47"/>
  <c r="K151" i="47"/>
  <c r="J136" i="47"/>
  <c r="M143" i="47"/>
  <c r="K143" i="47"/>
  <c r="J139" i="47"/>
  <c r="J156" i="47"/>
  <c r="J151" i="47"/>
  <c r="J147" i="47"/>
  <c r="J68" i="47"/>
  <c r="K49" i="47"/>
  <c r="J109" i="47"/>
  <c r="J104" i="47"/>
  <c r="K124" i="47"/>
  <c r="J108" i="47"/>
  <c r="K121" i="47"/>
  <c r="K104" i="47"/>
  <c r="J113" i="47"/>
  <c r="M94" i="47"/>
  <c r="K94" i="47"/>
  <c r="J120" i="47"/>
  <c r="M113" i="47"/>
  <c r="M103" i="47"/>
  <c r="K103" i="47"/>
  <c r="M127" i="47"/>
  <c r="K127" i="47"/>
  <c r="J112" i="47"/>
  <c r="M131" i="47"/>
  <c r="K131" i="47"/>
  <c r="K96" i="47"/>
  <c r="M107" i="47"/>
  <c r="K107" i="47"/>
  <c r="J116" i="47"/>
  <c r="J127" i="47"/>
  <c r="J107" i="47"/>
  <c r="K115" i="47"/>
  <c r="M115" i="47"/>
  <c r="J131" i="47"/>
  <c r="M99" i="47"/>
  <c r="K99" i="47"/>
  <c r="J103" i="47"/>
  <c r="J96" i="47"/>
  <c r="J124" i="47"/>
  <c r="M123" i="47"/>
  <c r="K123" i="47"/>
  <c r="J128" i="47"/>
  <c r="J132" i="47"/>
  <c r="J99" i="47"/>
  <c r="K116" i="47"/>
  <c r="K112" i="47"/>
  <c r="K119" i="47"/>
  <c r="M119" i="47"/>
  <c r="M95" i="47"/>
  <c r="K95" i="47"/>
  <c r="M111" i="47"/>
  <c r="K111" i="47"/>
  <c r="J100" i="47"/>
  <c r="K132" i="47"/>
  <c r="K128" i="47"/>
  <c r="J115" i="47"/>
  <c r="J111" i="47"/>
  <c r="K120" i="47"/>
  <c r="J13" i="47"/>
  <c r="J43" i="47"/>
  <c r="K41" i="47"/>
  <c r="J72" i="47"/>
  <c r="AH19" i="47"/>
  <c r="K40" i="47"/>
  <c r="J57" i="47"/>
  <c r="AH28" i="47"/>
  <c r="AE23" i="47"/>
  <c r="AH10" i="47"/>
  <c r="AF10" i="47"/>
  <c r="J41" i="47"/>
  <c r="J49" i="47"/>
  <c r="K51" i="47"/>
  <c r="J51" i="47"/>
  <c r="K72" i="47"/>
  <c r="AE29" i="47"/>
  <c r="J19" i="47"/>
  <c r="J47" i="47"/>
  <c r="J62" i="47"/>
  <c r="K42" i="47"/>
  <c r="J58" i="47"/>
  <c r="J55" i="47"/>
  <c r="J42" i="47"/>
  <c r="J16" i="47"/>
  <c r="AH17" i="47"/>
  <c r="J40" i="47"/>
  <c r="K45" i="47"/>
  <c r="J45" i="47"/>
  <c r="K61" i="47"/>
  <c r="K11" i="47"/>
  <c r="K43" i="47"/>
  <c r="P83" i="47"/>
  <c r="J70" i="47"/>
  <c r="J69" i="47"/>
  <c r="K69" i="47"/>
  <c r="M56" i="47"/>
  <c r="N83" i="47"/>
  <c r="N84" i="47"/>
  <c r="N85" i="47" s="1"/>
  <c r="J60" i="47"/>
  <c r="K53" i="47"/>
  <c r="K55" i="47"/>
  <c r="K56" i="47"/>
  <c r="K64" i="47"/>
  <c r="J20" i="47"/>
  <c r="J9" i="47"/>
  <c r="J54" i="47"/>
  <c r="J50" i="47"/>
  <c r="J56" i="47"/>
  <c r="J67" i="47"/>
  <c r="K70" i="47"/>
  <c r="K60" i="47"/>
  <c r="K20" i="47"/>
  <c r="AH25" i="47"/>
  <c r="AF21" i="47"/>
  <c r="M66" i="47"/>
  <c r="K46" i="47"/>
  <c r="K50" i="47"/>
  <c r="K54" i="47"/>
  <c r="J46" i="47"/>
  <c r="J53" i="47"/>
  <c r="J61" i="47"/>
  <c r="L83" i="47"/>
  <c r="L84" i="47"/>
  <c r="L85" i="47" s="1"/>
  <c r="K57" i="47"/>
  <c r="P84" i="47"/>
  <c r="P85" i="47" s="1"/>
  <c r="J63" i="47"/>
  <c r="K58" i="47"/>
  <c r="K62" i="47"/>
  <c r="J65" i="47"/>
  <c r="K65" i="47"/>
  <c r="M59" i="47"/>
  <c r="J64" i="47"/>
  <c r="J71" i="47"/>
  <c r="K71" i="47"/>
  <c r="K66" i="47"/>
  <c r="K67" i="47"/>
  <c r="K59" i="47"/>
  <c r="K63" i="47"/>
  <c r="K68" i="47"/>
  <c r="AE9" i="47"/>
  <c r="M21" i="47"/>
  <c r="J17" i="47"/>
  <c r="AF26" i="47"/>
  <c r="K17" i="47"/>
  <c r="AF9" i="47"/>
  <c r="AF29" i="47"/>
  <c r="K9" i="47"/>
  <c r="K21" i="47"/>
  <c r="J18" i="47"/>
  <c r="AE15" i="47"/>
  <c r="M11" i="47"/>
  <c r="AF12" i="47"/>
  <c r="K19" i="47"/>
  <c r="AH21" i="47"/>
  <c r="AE24" i="47"/>
  <c r="AF11" i="47"/>
  <c r="K8" i="47"/>
  <c r="J10" i="47"/>
  <c r="K16" i="47"/>
  <c r="J14" i="47"/>
  <c r="J22" i="47"/>
  <c r="AH27" i="47"/>
  <c r="AF18" i="47"/>
  <c r="AG34" i="47"/>
  <c r="AF25" i="47"/>
  <c r="K18" i="47"/>
  <c r="K22" i="47"/>
  <c r="AF28" i="47"/>
  <c r="AF17" i="47"/>
  <c r="AF7" i="47"/>
  <c r="AI34" i="47"/>
  <c r="AI35" i="47"/>
  <c r="AI36" i="47" s="1"/>
  <c r="J8" i="47"/>
  <c r="K10" i="47"/>
  <c r="K14" i="47"/>
  <c r="AK35" i="47"/>
  <c r="AK36" i="47" s="1"/>
  <c r="AK34" i="47"/>
  <c r="AH8" i="47"/>
  <c r="AH14" i="47"/>
  <c r="AH20" i="47"/>
  <c r="AH26" i="47"/>
  <c r="AE16" i="47"/>
  <c r="AF22" i="47"/>
  <c r="AF16" i="47"/>
  <c r="AF19" i="47"/>
  <c r="AF27" i="47"/>
  <c r="AF20" i="47"/>
  <c r="AF8" i="47"/>
  <c r="AG35" i="47"/>
  <c r="AG36" i="47" s="1"/>
  <c r="J12" i="47"/>
  <c r="K12" i="47"/>
  <c r="J15" i="47"/>
  <c r="AH11" i="47"/>
  <c r="AH18" i="47"/>
  <c r="AH22" i="47"/>
  <c r="AF14" i="47"/>
  <c r="AF24" i="47"/>
  <c r="AF15" i="47"/>
  <c r="AF23" i="47"/>
  <c r="K15" i="47"/>
  <c r="AE7" i="47"/>
  <c r="AH7" i="47"/>
  <c r="AE47" i="51"/>
  <c r="AD47" i="51"/>
  <c r="AD48" i="51"/>
  <c r="AD49" i="51" s="1"/>
  <c r="AE48" i="51"/>
  <c r="AE49" i="51" s="1"/>
  <c r="AH32" i="51"/>
  <c r="AJ32" i="51"/>
  <c r="AF32" i="51" s="1"/>
  <c r="AJ28" i="51"/>
  <c r="AI28" i="51" s="1"/>
  <c r="AH26" i="51"/>
  <c r="AL25" i="51"/>
  <c r="AJ31" i="51"/>
  <c r="AI31" i="51" s="1"/>
  <c r="AJ24" i="51"/>
  <c r="AG24" i="51" s="1"/>
  <c r="AJ8" i="51"/>
  <c r="AI8" i="51" s="1"/>
  <c r="AL24" i="51"/>
  <c r="AJ11" i="51"/>
  <c r="AI11" i="51" s="1"/>
  <c r="AH27" i="51"/>
  <c r="AJ23" i="51"/>
  <c r="AF23" i="51" s="1"/>
  <c r="AH30" i="51"/>
  <c r="AJ15" i="51"/>
  <c r="AI15" i="51" s="1"/>
  <c r="AJ12" i="51"/>
  <c r="AG12" i="51" s="1"/>
  <c r="AL28" i="51"/>
  <c r="AH34" i="51"/>
  <c r="AH21" i="51"/>
  <c r="AH20" i="51"/>
  <c r="AJ19" i="51"/>
  <c r="AI19" i="51" s="1"/>
  <c r="AH15" i="51"/>
  <c r="AL31" i="51"/>
  <c r="AL23" i="51"/>
  <c r="AJ16" i="51"/>
  <c r="AF16" i="51" s="1"/>
  <c r="AJ20" i="51"/>
  <c r="AI20" i="51" s="1"/>
  <c r="AG31" i="51"/>
  <c r="AJ27" i="51"/>
  <c r="AG27" i="51" s="1"/>
  <c r="AH22" i="51"/>
  <c r="AJ33" i="51"/>
  <c r="AJ29" i="51"/>
  <c r="AH33" i="51"/>
  <c r="AJ25" i="51"/>
  <c r="AH29" i="51"/>
  <c r="AF11" i="51"/>
  <c r="AJ21" i="51"/>
  <c r="AJ17" i="51"/>
  <c r="AF17" i="51" s="1"/>
  <c r="AJ13" i="51"/>
  <c r="AJ9" i="51"/>
  <c r="AJ34" i="51"/>
  <c r="AI34" i="51" s="1"/>
  <c r="AJ30" i="51"/>
  <c r="AI30" i="51" s="1"/>
  <c r="AJ26" i="51"/>
  <c r="AI26" i="51" s="1"/>
  <c r="AJ22" i="51"/>
  <c r="AI22" i="51" s="1"/>
  <c r="AJ18" i="51"/>
  <c r="AI18" i="51" s="1"/>
  <c r="AJ14" i="51"/>
  <c r="AJ10" i="51"/>
  <c r="AI10" i="51" s="1"/>
  <c r="H96" i="51"/>
  <c r="I95" i="51"/>
  <c r="H95" i="51"/>
  <c r="I94" i="51"/>
  <c r="H94" i="51"/>
  <c r="I93" i="51"/>
  <c r="H93" i="51"/>
  <c r="I92" i="51"/>
  <c r="H92" i="51"/>
  <c r="I91" i="51"/>
  <c r="H91" i="51"/>
  <c r="I90" i="51"/>
  <c r="H90" i="51"/>
  <c r="I89" i="51"/>
  <c r="H89" i="51"/>
  <c r="I88" i="51"/>
  <c r="H88" i="51"/>
  <c r="I87" i="51"/>
  <c r="H87" i="51"/>
  <c r="I86" i="51"/>
  <c r="H86" i="51"/>
  <c r="I85" i="51"/>
  <c r="H85" i="51"/>
  <c r="I84" i="51"/>
  <c r="H84" i="51"/>
  <c r="I83" i="51"/>
  <c r="H83" i="51"/>
  <c r="I82" i="51"/>
  <c r="H82" i="51"/>
  <c r="I81" i="51"/>
  <c r="H81" i="51"/>
  <c r="I80" i="51"/>
  <c r="H80" i="51"/>
  <c r="I79" i="51"/>
  <c r="H79" i="51"/>
  <c r="I78" i="51"/>
  <c r="H78" i="51"/>
  <c r="I77" i="51"/>
  <c r="H77" i="51"/>
  <c r="I76" i="51"/>
  <c r="H76" i="51"/>
  <c r="L76" i="51" s="1"/>
  <c r="I75" i="51"/>
  <c r="H75" i="51"/>
  <c r="L75" i="51" s="1"/>
  <c r="I74" i="51"/>
  <c r="H74" i="51"/>
  <c r="L74" i="51" s="1"/>
  <c r="I73" i="51"/>
  <c r="H73" i="51"/>
  <c r="L73" i="51" s="1"/>
  <c r="I72" i="51"/>
  <c r="H72" i="51"/>
  <c r="L72" i="51" s="1"/>
  <c r="I71" i="51"/>
  <c r="H71" i="51"/>
  <c r="L71" i="51" s="1"/>
  <c r="I70" i="51"/>
  <c r="H70" i="51"/>
  <c r="L70" i="51" s="1"/>
  <c r="I69" i="51"/>
  <c r="H69" i="51"/>
  <c r="L69" i="51" s="1"/>
  <c r="AD96" i="51"/>
  <c r="I68" i="51"/>
  <c r="H68" i="51"/>
  <c r="L68" i="51" s="1"/>
  <c r="AE95" i="51"/>
  <c r="AD95" i="51"/>
  <c r="AH95" i="51" s="1"/>
  <c r="I67" i="51"/>
  <c r="H67" i="51"/>
  <c r="L67" i="51" s="1"/>
  <c r="AE94" i="51"/>
  <c r="AD94" i="51"/>
  <c r="AH94" i="51" s="1"/>
  <c r="I66" i="51"/>
  <c r="H66" i="51"/>
  <c r="AE93" i="51"/>
  <c r="AD93" i="51"/>
  <c r="AH93" i="51" s="1"/>
  <c r="I65" i="51"/>
  <c r="H65" i="51"/>
  <c r="AE92" i="51"/>
  <c r="AD92" i="51"/>
  <c r="AH92" i="51" s="1"/>
  <c r="AE91" i="51"/>
  <c r="AD91" i="51"/>
  <c r="AH91" i="51" s="1"/>
  <c r="AE90" i="51"/>
  <c r="AD90" i="51"/>
  <c r="AL90" i="51" s="1"/>
  <c r="AE89" i="51"/>
  <c r="AD89" i="51"/>
  <c r="AH89" i="51" s="1"/>
  <c r="AE88" i="51"/>
  <c r="AD88" i="51"/>
  <c r="AH88" i="51" s="1"/>
  <c r="AE87" i="51"/>
  <c r="AD87" i="51"/>
  <c r="AH87" i="51" s="1"/>
  <c r="AE86" i="51"/>
  <c r="AD86" i="51"/>
  <c r="AH86" i="51" s="1"/>
  <c r="AE85" i="51"/>
  <c r="AD85" i="51"/>
  <c r="AH85" i="51" s="1"/>
  <c r="AE84" i="51"/>
  <c r="AD84" i="51"/>
  <c r="AH84" i="51" s="1"/>
  <c r="AE83" i="51"/>
  <c r="AD83" i="51"/>
  <c r="AH83" i="51" s="1"/>
  <c r="AE82" i="51"/>
  <c r="AD82" i="51"/>
  <c r="AH82" i="51" s="1"/>
  <c r="AE81" i="51"/>
  <c r="AD81" i="51"/>
  <c r="AH81" i="51" s="1"/>
  <c r="AE80" i="51"/>
  <c r="AD80" i="51"/>
  <c r="AH80" i="51" s="1"/>
  <c r="AE79" i="51"/>
  <c r="AD79" i="51"/>
  <c r="AH79" i="51" s="1"/>
  <c r="AE78" i="51"/>
  <c r="AD78" i="51"/>
  <c r="AE77" i="51"/>
  <c r="AD77" i="51"/>
  <c r="AH77" i="51" s="1"/>
  <c r="AE76" i="51"/>
  <c r="AD76" i="51"/>
  <c r="AE75" i="51"/>
  <c r="AD75" i="51"/>
  <c r="AH75" i="51" s="1"/>
  <c r="H47" i="51"/>
  <c r="AE74" i="51"/>
  <c r="AD74" i="51"/>
  <c r="AH74" i="51" s="1"/>
  <c r="H46" i="51"/>
  <c r="AE73" i="51"/>
  <c r="AD73" i="51"/>
  <c r="AH73" i="51" s="1"/>
  <c r="I45" i="51"/>
  <c r="H45" i="51"/>
  <c r="L45" i="51" s="1"/>
  <c r="AE72" i="51"/>
  <c r="AD72" i="51"/>
  <c r="AH72" i="51" s="1"/>
  <c r="I44" i="51"/>
  <c r="H44" i="51"/>
  <c r="L44" i="51" s="1"/>
  <c r="AE71" i="51"/>
  <c r="AD71" i="51"/>
  <c r="AH71" i="51" s="1"/>
  <c r="I43" i="51"/>
  <c r="H43" i="51"/>
  <c r="L43" i="51" s="1"/>
  <c r="AE70" i="51"/>
  <c r="AD70" i="51"/>
  <c r="AH70" i="51" s="1"/>
  <c r="I42" i="51"/>
  <c r="H42" i="51"/>
  <c r="L42" i="51" s="1"/>
  <c r="AE69" i="51"/>
  <c r="AD69" i="51"/>
  <c r="AH69" i="51" s="1"/>
  <c r="I41" i="51"/>
  <c r="H41" i="51"/>
  <c r="L41" i="51" s="1"/>
  <c r="AE68" i="51"/>
  <c r="AD68" i="51"/>
  <c r="AH68" i="51" s="1"/>
  <c r="I40" i="51"/>
  <c r="H40" i="51"/>
  <c r="L40" i="51" s="1"/>
  <c r="AE67" i="51"/>
  <c r="AD67" i="51"/>
  <c r="AH67" i="51" s="1"/>
  <c r="I39" i="51"/>
  <c r="H39" i="51"/>
  <c r="L39" i="51" s="1"/>
  <c r="AE66" i="51"/>
  <c r="AD66" i="51"/>
  <c r="AH66" i="51" s="1"/>
  <c r="I38" i="51"/>
  <c r="H38" i="51"/>
  <c r="L38" i="51" s="1"/>
  <c r="AE65" i="51"/>
  <c r="AD65" i="51"/>
  <c r="AH65" i="51" s="1"/>
  <c r="I37" i="51"/>
  <c r="H37" i="51"/>
  <c r="L37" i="51" s="1"/>
  <c r="AE64" i="51"/>
  <c r="AD64" i="51"/>
  <c r="AH64" i="51" s="1"/>
  <c r="I36" i="51"/>
  <c r="H36" i="51"/>
  <c r="L36" i="51" s="1"/>
  <c r="AE63" i="51"/>
  <c r="AD63" i="51"/>
  <c r="I35" i="51"/>
  <c r="H35" i="51"/>
  <c r="L35" i="51" s="1"/>
  <c r="I34" i="51"/>
  <c r="H34" i="51"/>
  <c r="AL19" i="51"/>
  <c r="H17" i="51"/>
  <c r="I16" i="51"/>
  <c r="H16" i="51"/>
  <c r="L16" i="51" s="1"/>
  <c r="I15" i="51"/>
  <c r="H15" i="51"/>
  <c r="L15" i="51" s="1"/>
  <c r="I14" i="51"/>
  <c r="H14" i="51"/>
  <c r="L14" i="51" s="1"/>
  <c r="I13" i="51"/>
  <c r="H13" i="51"/>
  <c r="L13" i="51" s="1"/>
  <c r="I12" i="51"/>
  <c r="H12" i="51"/>
  <c r="L12" i="51" s="1"/>
  <c r="I11" i="51"/>
  <c r="H11" i="51"/>
  <c r="L11" i="51" s="1"/>
  <c r="I10" i="51"/>
  <c r="H10" i="51"/>
  <c r="L10" i="51" s="1"/>
  <c r="I9" i="51"/>
  <c r="H9" i="51"/>
  <c r="L9" i="51" s="1"/>
  <c r="I8" i="51"/>
  <c r="H8" i="51"/>
  <c r="L8" i="51" s="1"/>
  <c r="AE7" i="51"/>
  <c r="AD7" i="51"/>
  <c r="I7" i="51"/>
  <c r="H7" i="51"/>
  <c r="AK129" i="49"/>
  <c r="AK130" i="49"/>
  <c r="AK131" i="49"/>
  <c r="AD123" i="49"/>
  <c r="AE122" i="49"/>
  <c r="AD122" i="49"/>
  <c r="AL122" i="49" s="1"/>
  <c r="AE121" i="49"/>
  <c r="AD121" i="49"/>
  <c r="AL121" i="49" s="1"/>
  <c r="AE120" i="49"/>
  <c r="AD120" i="49"/>
  <c r="AL120" i="49" s="1"/>
  <c r="AE119" i="49"/>
  <c r="AD119" i="49"/>
  <c r="AL119" i="49" s="1"/>
  <c r="AE118" i="49"/>
  <c r="AD118" i="49"/>
  <c r="AL118" i="49" s="1"/>
  <c r="AK69" i="49"/>
  <c r="AK70" i="49"/>
  <c r="AK71" i="49" s="1"/>
  <c r="AK62" i="49"/>
  <c r="AK63" i="49"/>
  <c r="AK64" i="49" s="1"/>
  <c r="AR55" i="49"/>
  <c r="AS55" i="49"/>
  <c r="AR56" i="49"/>
  <c r="AS56" i="49"/>
  <c r="AR57" i="49"/>
  <c r="AS57" i="49"/>
  <c r="AR58" i="49"/>
  <c r="AS58" i="49"/>
  <c r="AS54" i="49"/>
  <c r="AR54" i="49"/>
  <c r="AK110" i="49"/>
  <c r="AK111" i="49" s="1"/>
  <c r="AK109" i="49"/>
  <c r="AD101" i="49"/>
  <c r="AE100" i="49"/>
  <c r="AD100" i="49"/>
  <c r="AL100" i="49" s="1"/>
  <c r="AE99" i="49"/>
  <c r="AD99" i="49"/>
  <c r="AL99" i="49" s="1"/>
  <c r="AE98" i="49"/>
  <c r="AD98" i="49"/>
  <c r="AL98" i="49" s="1"/>
  <c r="AE97" i="49"/>
  <c r="AD97" i="49"/>
  <c r="AL97" i="49" s="1"/>
  <c r="AE96" i="49"/>
  <c r="AD96" i="49"/>
  <c r="AL96" i="49" s="1"/>
  <c r="AE95" i="49"/>
  <c r="AD95" i="49"/>
  <c r="AL95" i="49" s="1"/>
  <c r="AE94" i="49"/>
  <c r="AD94" i="49"/>
  <c r="AL94" i="49" s="1"/>
  <c r="AE93" i="49"/>
  <c r="AD93" i="49"/>
  <c r="AL93" i="49" s="1"/>
  <c r="AE92" i="49"/>
  <c r="AD92" i="49"/>
  <c r="AL92" i="49" s="1"/>
  <c r="AE91" i="49"/>
  <c r="AD91" i="49"/>
  <c r="AL91" i="49" s="1"/>
  <c r="AE90" i="49"/>
  <c r="AD90" i="49"/>
  <c r="AL90" i="49" s="1"/>
  <c r="AE89" i="49"/>
  <c r="AD89" i="49"/>
  <c r="AL89" i="49" s="1"/>
  <c r="AE88" i="49"/>
  <c r="AD88" i="49"/>
  <c r="AL88" i="49" s="1"/>
  <c r="AE87" i="49"/>
  <c r="AD87" i="49"/>
  <c r="AL87" i="49" s="1"/>
  <c r="AE86" i="49"/>
  <c r="AD86" i="49"/>
  <c r="AL86" i="49" s="1"/>
  <c r="AE85" i="49"/>
  <c r="AD85" i="49"/>
  <c r="AL85" i="49" s="1"/>
  <c r="AE84" i="49"/>
  <c r="AD84" i="49"/>
  <c r="AL84" i="49" s="1"/>
  <c r="AE83" i="49"/>
  <c r="AD83" i="49"/>
  <c r="AL83" i="49" s="1"/>
  <c r="AK32" i="49"/>
  <c r="AK33" i="49"/>
  <c r="AK34" i="49" s="1"/>
  <c r="O135" i="49"/>
  <c r="O136" i="49"/>
  <c r="O137" i="49" s="1"/>
  <c r="O131" i="49"/>
  <c r="O132" i="49" s="1"/>
  <c r="O130" i="49"/>
  <c r="H127" i="49"/>
  <c r="I126" i="49"/>
  <c r="H126" i="49"/>
  <c r="I125" i="49"/>
  <c r="H125" i="49"/>
  <c r="P125" i="49" s="1"/>
  <c r="I124" i="49"/>
  <c r="H124" i="49"/>
  <c r="I123" i="49"/>
  <c r="H123" i="49"/>
  <c r="I122" i="49"/>
  <c r="H122" i="49"/>
  <c r="I121" i="49"/>
  <c r="H121" i="49"/>
  <c r="P121" i="49" s="1"/>
  <c r="H119" i="49"/>
  <c r="I118" i="49"/>
  <c r="H118" i="49"/>
  <c r="P118" i="49" s="1"/>
  <c r="I117" i="49"/>
  <c r="H117" i="49"/>
  <c r="I116" i="49"/>
  <c r="H116" i="49"/>
  <c r="L116" i="49" s="1"/>
  <c r="I115" i="49"/>
  <c r="H115" i="49"/>
  <c r="L115" i="49" s="1"/>
  <c r="I114" i="49"/>
  <c r="H114" i="49"/>
  <c r="L114" i="49" s="1"/>
  <c r="I113" i="49"/>
  <c r="H113" i="49"/>
  <c r="O103" i="49"/>
  <c r="O104" i="49"/>
  <c r="O105" i="49" s="1"/>
  <c r="O97" i="49"/>
  <c r="O98" i="49"/>
  <c r="O99" i="49" s="1"/>
  <c r="H59" i="49"/>
  <c r="P59" i="49" s="1"/>
  <c r="I59" i="49"/>
  <c r="H60" i="49"/>
  <c r="L60" i="49" s="1"/>
  <c r="I60" i="49"/>
  <c r="H61" i="49"/>
  <c r="P61" i="49" s="1"/>
  <c r="I61" i="49"/>
  <c r="H62" i="49"/>
  <c r="I62" i="49"/>
  <c r="H63" i="49"/>
  <c r="P63" i="49" s="1"/>
  <c r="I63" i="49"/>
  <c r="H64" i="49"/>
  <c r="L64" i="49" s="1"/>
  <c r="I64" i="49"/>
  <c r="H65" i="49"/>
  <c r="P65" i="49" s="1"/>
  <c r="I65" i="49"/>
  <c r="H66" i="49"/>
  <c r="L66" i="49" s="1"/>
  <c r="I66" i="49"/>
  <c r="H67" i="49"/>
  <c r="P67" i="49" s="1"/>
  <c r="I67" i="49"/>
  <c r="H68" i="49"/>
  <c r="P68" i="49" s="1"/>
  <c r="I68" i="49"/>
  <c r="H69" i="49"/>
  <c r="P69" i="49" s="1"/>
  <c r="I69" i="49"/>
  <c r="H70" i="49"/>
  <c r="L70" i="49" s="1"/>
  <c r="I70" i="49"/>
  <c r="H71" i="49"/>
  <c r="P71" i="49" s="1"/>
  <c r="I71" i="49"/>
  <c r="H72" i="49"/>
  <c r="P72" i="49" s="1"/>
  <c r="I72" i="49"/>
  <c r="H73" i="49"/>
  <c r="P73" i="49" s="1"/>
  <c r="I73" i="49"/>
  <c r="H74" i="49"/>
  <c r="P74" i="49" s="1"/>
  <c r="I74" i="49"/>
  <c r="H75" i="49"/>
  <c r="P75" i="49" s="1"/>
  <c r="I75" i="49"/>
  <c r="H76" i="49"/>
  <c r="H78" i="49"/>
  <c r="P78" i="49" s="1"/>
  <c r="I78" i="49"/>
  <c r="H79" i="49"/>
  <c r="L79" i="49" s="1"/>
  <c r="I79" i="49"/>
  <c r="H80" i="49"/>
  <c r="L80" i="49" s="1"/>
  <c r="I80" i="49"/>
  <c r="H81" i="49"/>
  <c r="P81" i="49" s="1"/>
  <c r="I81" i="49"/>
  <c r="AK125" i="50"/>
  <c r="AK126" i="50"/>
  <c r="AK127" i="50" s="1"/>
  <c r="AK118" i="50"/>
  <c r="AK119" i="50"/>
  <c r="AK120" i="50" s="1"/>
  <c r="AK111" i="50"/>
  <c r="AK112" i="50"/>
  <c r="AK113" i="50" s="1"/>
  <c r="AK104" i="50"/>
  <c r="AK105" i="50"/>
  <c r="AK106" i="50" s="1"/>
  <c r="AD80" i="50"/>
  <c r="AH80" i="50" s="1"/>
  <c r="AE80" i="50"/>
  <c r="AD81" i="50"/>
  <c r="AH81" i="50" s="1"/>
  <c r="AE81" i="50"/>
  <c r="AD82" i="50"/>
  <c r="AL82" i="50" s="1"/>
  <c r="AE82" i="50"/>
  <c r="AD83" i="50"/>
  <c r="AH83" i="50" s="1"/>
  <c r="AE83" i="50"/>
  <c r="AD84" i="50"/>
  <c r="AH84" i="50" s="1"/>
  <c r="AE84" i="50"/>
  <c r="AD85" i="50"/>
  <c r="AL85" i="50" s="1"/>
  <c r="AE85" i="50"/>
  <c r="AD86" i="50"/>
  <c r="AH86" i="50" s="1"/>
  <c r="AE86" i="50"/>
  <c r="AD87" i="50"/>
  <c r="AE87" i="50"/>
  <c r="AD88" i="50"/>
  <c r="AH88" i="50" s="1"/>
  <c r="AE88" i="50"/>
  <c r="AD89" i="50"/>
  <c r="AH89" i="50" s="1"/>
  <c r="AE89" i="50"/>
  <c r="AD90" i="50"/>
  <c r="AL90" i="50" s="1"/>
  <c r="AE90" i="50"/>
  <c r="AD91" i="50"/>
  <c r="AH91" i="50" s="1"/>
  <c r="AE91" i="50"/>
  <c r="AD92" i="50"/>
  <c r="AH92" i="50" s="1"/>
  <c r="AE92" i="50"/>
  <c r="AD93" i="50"/>
  <c r="AL93" i="50" s="1"/>
  <c r="AE93" i="50"/>
  <c r="AD94" i="50"/>
  <c r="AL94" i="50" s="1"/>
  <c r="AE94" i="50"/>
  <c r="AD95" i="50"/>
  <c r="AH95" i="50" s="1"/>
  <c r="AE95" i="50"/>
  <c r="AD96" i="50"/>
  <c r="AH96" i="50" s="1"/>
  <c r="AE96" i="50"/>
  <c r="AD97" i="50"/>
  <c r="AH97" i="50" s="1"/>
  <c r="AE97" i="50"/>
  <c r="AD98" i="50"/>
  <c r="AD55" i="50"/>
  <c r="AH55" i="50" s="1"/>
  <c r="AE55" i="50"/>
  <c r="AD56" i="50"/>
  <c r="AH56" i="50" s="1"/>
  <c r="AE56" i="50"/>
  <c r="AD57" i="50"/>
  <c r="AE57" i="50"/>
  <c r="AD58" i="50"/>
  <c r="AH58" i="50" s="1"/>
  <c r="AE58" i="50"/>
  <c r="AD59" i="50"/>
  <c r="AH59" i="50" s="1"/>
  <c r="AE59" i="50"/>
  <c r="AD60" i="50"/>
  <c r="AH60" i="50" s="1"/>
  <c r="AE60" i="50"/>
  <c r="AD61" i="50"/>
  <c r="AH61" i="50" s="1"/>
  <c r="AE61" i="50"/>
  <c r="AD62" i="50"/>
  <c r="AL62" i="50" s="1"/>
  <c r="AE62" i="50"/>
  <c r="AD63" i="50"/>
  <c r="AL63" i="50" s="1"/>
  <c r="AE63" i="50"/>
  <c r="AD64" i="50"/>
  <c r="AL64" i="50" s="1"/>
  <c r="AE64" i="50"/>
  <c r="AD65" i="50"/>
  <c r="AL65" i="50" s="1"/>
  <c r="AE65" i="50"/>
  <c r="AD66" i="50"/>
  <c r="AL66" i="50" s="1"/>
  <c r="AE66" i="50"/>
  <c r="AD67" i="50"/>
  <c r="AL67" i="50" s="1"/>
  <c r="AE67" i="50"/>
  <c r="AD68" i="50"/>
  <c r="AH68" i="50" s="1"/>
  <c r="AE68" i="50"/>
  <c r="AD69" i="50"/>
  <c r="AL69" i="50" s="1"/>
  <c r="AE69" i="50"/>
  <c r="AD70" i="50"/>
  <c r="AL70" i="50" s="1"/>
  <c r="AE70" i="50"/>
  <c r="AD71" i="50"/>
  <c r="AL71" i="50" s="1"/>
  <c r="AE71" i="50"/>
  <c r="AD72" i="50"/>
  <c r="AH72" i="50" s="1"/>
  <c r="AE72" i="50"/>
  <c r="AD73" i="50"/>
  <c r="AL73" i="50" s="1"/>
  <c r="AE73" i="50"/>
  <c r="AD74" i="50"/>
  <c r="AL74" i="50" s="1"/>
  <c r="AE74" i="50"/>
  <c r="AD75" i="50"/>
  <c r="AH75" i="50" s="1"/>
  <c r="AE75" i="50"/>
  <c r="AD76" i="50"/>
  <c r="AH76" i="50" s="1"/>
  <c r="AE76" i="50"/>
  <c r="AD77" i="50"/>
  <c r="AL77" i="50" s="1"/>
  <c r="AE77" i="50"/>
  <c r="AD78" i="50"/>
  <c r="AL78" i="50" s="1"/>
  <c r="AE78" i="50"/>
  <c r="AD79" i="50"/>
  <c r="AL79" i="50" s="1"/>
  <c r="AE79" i="50"/>
  <c r="AK26" i="50"/>
  <c r="AK27" i="50"/>
  <c r="AK28" i="50" s="1"/>
  <c r="AH100" i="49" l="1"/>
  <c r="AJ80" i="50"/>
  <c r="AL129" i="49"/>
  <c r="AE125" i="50"/>
  <c r="AF179" i="47"/>
  <c r="AF180" i="47"/>
  <c r="AF181" i="47" s="1"/>
  <c r="AH62" i="50"/>
  <c r="AJ87" i="50"/>
  <c r="AF87" i="50" s="1"/>
  <c r="AE179" i="47"/>
  <c r="AE180" i="47"/>
  <c r="AE181" i="47" s="1"/>
  <c r="AH179" i="47"/>
  <c r="AH180" i="47"/>
  <c r="AH181" i="47" s="1"/>
  <c r="AE118" i="50"/>
  <c r="AL86" i="50"/>
  <c r="AE110" i="49"/>
  <c r="AE111" i="49" s="1"/>
  <c r="AE129" i="49"/>
  <c r="AH140" i="47"/>
  <c r="AH141" i="47"/>
  <c r="AH142" i="47" s="1"/>
  <c r="AE140" i="47"/>
  <c r="AE141" i="47"/>
  <c r="AE142" i="47" s="1"/>
  <c r="AH146" i="47"/>
  <c r="AH147" i="47"/>
  <c r="AH148" i="47" s="1"/>
  <c r="AF146" i="47"/>
  <c r="AF147" i="47"/>
  <c r="AF148" i="47" s="1"/>
  <c r="AE146" i="47"/>
  <c r="AE147" i="47"/>
  <c r="AE148" i="47" s="1"/>
  <c r="AF140" i="47"/>
  <c r="AF141" i="47"/>
  <c r="AF142" i="47" s="1"/>
  <c r="AE92" i="47"/>
  <c r="AE93" i="47" s="1"/>
  <c r="AE91" i="47"/>
  <c r="AF85" i="47"/>
  <c r="AF86" i="47"/>
  <c r="AF87" i="47" s="1"/>
  <c r="AH85" i="47"/>
  <c r="AH86" i="47"/>
  <c r="AH87" i="47" s="1"/>
  <c r="AE86" i="47"/>
  <c r="AE87" i="47" s="1"/>
  <c r="AE85" i="47"/>
  <c r="AF92" i="47"/>
  <c r="AF93" i="47" s="1"/>
  <c r="AF91" i="47"/>
  <c r="AH91" i="47"/>
  <c r="AH92" i="47"/>
  <c r="AH93" i="47" s="1"/>
  <c r="J333" i="47"/>
  <c r="J334" i="47" s="1"/>
  <c r="J326" i="47"/>
  <c r="J327" i="47"/>
  <c r="J328" i="47" s="1"/>
  <c r="K332" i="47"/>
  <c r="K333" i="47"/>
  <c r="K334" i="47" s="1"/>
  <c r="K326" i="47"/>
  <c r="K327" i="47"/>
  <c r="K328" i="47" s="1"/>
  <c r="J332" i="47"/>
  <c r="M332" i="47"/>
  <c r="M333" i="47"/>
  <c r="M334" i="47" s="1"/>
  <c r="P332" i="47"/>
  <c r="M326" i="47"/>
  <c r="M327" i="47"/>
  <c r="M328" i="47" s="1"/>
  <c r="J277" i="47"/>
  <c r="K278" i="47"/>
  <c r="K279" i="47" s="1"/>
  <c r="J278" i="47"/>
  <c r="J279" i="47" s="1"/>
  <c r="K277" i="47"/>
  <c r="M278" i="47"/>
  <c r="M279" i="47" s="1"/>
  <c r="M277" i="47"/>
  <c r="K170" i="47"/>
  <c r="K171" i="47"/>
  <c r="K172" i="47" s="1"/>
  <c r="J170" i="47"/>
  <c r="J171" i="47"/>
  <c r="J172" i="47" s="1"/>
  <c r="M170" i="47"/>
  <c r="M171" i="47"/>
  <c r="M172" i="47" s="1"/>
  <c r="K83" i="47"/>
  <c r="K84" i="47"/>
  <c r="K85" i="47" s="1"/>
  <c r="J83" i="47"/>
  <c r="J84" i="47"/>
  <c r="J85" i="47" s="1"/>
  <c r="M83" i="47"/>
  <c r="M84" i="47"/>
  <c r="M85" i="47" s="1"/>
  <c r="AE34" i="47"/>
  <c r="AE35" i="47"/>
  <c r="AE36" i="47" s="1"/>
  <c r="AH34" i="47"/>
  <c r="AH35" i="47"/>
  <c r="AH36" i="47" s="1"/>
  <c r="AF34" i="47"/>
  <c r="AF35" i="47"/>
  <c r="AF36" i="47" s="1"/>
  <c r="AD130" i="49"/>
  <c r="AD131" i="49" s="1"/>
  <c r="AL87" i="50"/>
  <c r="AD125" i="50"/>
  <c r="L59" i="49"/>
  <c r="H131" i="49"/>
  <c r="I135" i="49"/>
  <c r="AD129" i="49"/>
  <c r="AE100" i="51"/>
  <c r="AE101" i="51"/>
  <c r="AE102" i="51" s="1"/>
  <c r="AE107" i="51"/>
  <c r="AE108" i="51"/>
  <c r="AE109" i="51" s="1"/>
  <c r="AD118" i="50"/>
  <c r="AD126" i="50"/>
  <c r="AD127" i="50" s="1"/>
  <c r="AJ88" i="50"/>
  <c r="AF88" i="50" s="1"/>
  <c r="AD119" i="50"/>
  <c r="AD120" i="50" s="1"/>
  <c r="AE126" i="50"/>
  <c r="AE127" i="50" s="1"/>
  <c r="AE130" i="49"/>
  <c r="AE131" i="49" s="1"/>
  <c r="AL91" i="50"/>
  <c r="AE119" i="50"/>
  <c r="AE120" i="50" s="1"/>
  <c r="AL130" i="49"/>
  <c r="AL131" i="49" s="1"/>
  <c r="AL63" i="51"/>
  <c r="AD101" i="51"/>
  <c r="AD102" i="51" s="1"/>
  <c r="AD100" i="51"/>
  <c r="AH76" i="51"/>
  <c r="AD108" i="51"/>
  <c r="AD109" i="51" s="1"/>
  <c r="AD107" i="51"/>
  <c r="AE54" i="51"/>
  <c r="AE55" i="51"/>
  <c r="AE56" i="51" s="1"/>
  <c r="AH47" i="51"/>
  <c r="AH48" i="51"/>
  <c r="AH49" i="51" s="1"/>
  <c r="AD55" i="51"/>
  <c r="AD56" i="51" s="1"/>
  <c r="AD54" i="51"/>
  <c r="AJ47" i="51"/>
  <c r="AJ48" i="51"/>
  <c r="AJ49" i="51" s="1"/>
  <c r="AF21" i="51"/>
  <c r="AI14" i="51"/>
  <c r="AG32" i="51"/>
  <c r="AI12" i="51"/>
  <c r="AF28" i="51"/>
  <c r="AF31" i="51"/>
  <c r="AI32" i="51"/>
  <c r="AF8" i="51"/>
  <c r="AG23" i="51"/>
  <c r="AI23" i="51"/>
  <c r="AG8" i="51"/>
  <c r="L7" i="51"/>
  <c r="H23" i="51"/>
  <c r="H24" i="51"/>
  <c r="H25" i="51" s="1"/>
  <c r="AF12" i="51"/>
  <c r="AG28" i="51"/>
  <c r="I23" i="51"/>
  <c r="I24" i="51"/>
  <c r="I25" i="51" s="1"/>
  <c r="AF24" i="51"/>
  <c r="AF15" i="51"/>
  <c r="AI24" i="51"/>
  <c r="AF19" i="51"/>
  <c r="AG18" i="51"/>
  <c r="AG15" i="51"/>
  <c r="AG11" i="51"/>
  <c r="AG19" i="51"/>
  <c r="AE40" i="51"/>
  <c r="AE41" i="51"/>
  <c r="AE42" i="51" s="1"/>
  <c r="AI16" i="51"/>
  <c r="AG16" i="51"/>
  <c r="AG14" i="51"/>
  <c r="AF14" i="51"/>
  <c r="AI27" i="51"/>
  <c r="AF27" i="51"/>
  <c r="AH7" i="51"/>
  <c r="AD41" i="51"/>
  <c r="AD42" i="51" s="1"/>
  <c r="AD40" i="51"/>
  <c r="AF20" i="51"/>
  <c r="AF18" i="51"/>
  <c r="AG20" i="51"/>
  <c r="AI9" i="51"/>
  <c r="AG9" i="51"/>
  <c r="AF9" i="51"/>
  <c r="AI25" i="51"/>
  <c r="AG25" i="51"/>
  <c r="AI29" i="51"/>
  <c r="AG29" i="51"/>
  <c r="AI13" i="51"/>
  <c r="AG13" i="51"/>
  <c r="AF26" i="51"/>
  <c r="AG10" i="51"/>
  <c r="AF25" i="51"/>
  <c r="AF29" i="51"/>
  <c r="AI33" i="51"/>
  <c r="AG33" i="51"/>
  <c r="AI17" i="51"/>
  <c r="AG17" i="51"/>
  <c r="AF10" i="51"/>
  <c r="AF22" i="51"/>
  <c r="AG26" i="51"/>
  <c r="AG30" i="51"/>
  <c r="AF33" i="51"/>
  <c r="AI21" i="51"/>
  <c r="AG21" i="51"/>
  <c r="AF13" i="51"/>
  <c r="AF30" i="51"/>
  <c r="AG22" i="51"/>
  <c r="AF34" i="51"/>
  <c r="AG34" i="51"/>
  <c r="N92" i="51"/>
  <c r="M92" i="51" s="1"/>
  <c r="AJ85" i="51"/>
  <c r="AF85" i="51" s="1"/>
  <c r="AL64" i="51"/>
  <c r="AJ66" i="51"/>
  <c r="AI66" i="51" s="1"/>
  <c r="AL66" i="51"/>
  <c r="P65" i="51"/>
  <c r="H101" i="51"/>
  <c r="H102" i="51" s="1"/>
  <c r="H100" i="51"/>
  <c r="P66" i="51"/>
  <c r="H107" i="51"/>
  <c r="H108" i="51" s="1"/>
  <c r="H106" i="51"/>
  <c r="I100" i="51"/>
  <c r="I101" i="51"/>
  <c r="I102" i="51" s="1"/>
  <c r="I106" i="51"/>
  <c r="I107" i="51"/>
  <c r="I108" i="51" s="1"/>
  <c r="N73" i="51"/>
  <c r="M73" i="51" s="1"/>
  <c r="AJ72" i="51"/>
  <c r="AI72" i="51" s="1"/>
  <c r="AJ92" i="51"/>
  <c r="AI92" i="51" s="1"/>
  <c r="AL16" i="51"/>
  <c r="AL17" i="51"/>
  <c r="I50" i="51"/>
  <c r="I51" i="51"/>
  <c r="I52" i="51" s="1"/>
  <c r="AJ63" i="51"/>
  <c r="AJ89" i="51"/>
  <c r="AI89" i="51" s="1"/>
  <c r="L34" i="51"/>
  <c r="H51" i="51"/>
  <c r="H52" i="51" s="1"/>
  <c r="H50" i="51"/>
  <c r="AL9" i="51"/>
  <c r="AJ84" i="51"/>
  <c r="AI84" i="51" s="1"/>
  <c r="N69" i="51"/>
  <c r="M69" i="51" s="1"/>
  <c r="AL14" i="51"/>
  <c r="AJ64" i="51"/>
  <c r="AI64" i="51" s="1"/>
  <c r="AL67" i="51"/>
  <c r="AJ81" i="51"/>
  <c r="AF81" i="51" s="1"/>
  <c r="N65" i="51"/>
  <c r="N45" i="51"/>
  <c r="M45" i="51" s="1"/>
  <c r="P36" i="51"/>
  <c r="N39" i="51"/>
  <c r="M39" i="51" s="1"/>
  <c r="P39" i="51"/>
  <c r="J45" i="51"/>
  <c r="N35" i="51"/>
  <c r="J35" i="51" s="1"/>
  <c r="N34" i="51"/>
  <c r="M34" i="51" s="1"/>
  <c r="P35" i="51"/>
  <c r="P34" i="51"/>
  <c r="P40" i="51"/>
  <c r="N43" i="51"/>
  <c r="J43" i="51" s="1"/>
  <c r="P16" i="51"/>
  <c r="P10" i="51"/>
  <c r="P8" i="51"/>
  <c r="P12" i="51"/>
  <c r="P9" i="51"/>
  <c r="P14" i="51"/>
  <c r="AJ86" i="51"/>
  <c r="AI86" i="51" s="1"/>
  <c r="AJ93" i="51"/>
  <c r="AI93" i="51" s="1"/>
  <c r="AJ95" i="51"/>
  <c r="AI95" i="51" s="1"/>
  <c r="AJ65" i="51"/>
  <c r="AI65" i="51" s="1"/>
  <c r="AJ68" i="51"/>
  <c r="AI68" i="51" s="1"/>
  <c r="AJ69" i="51"/>
  <c r="AI69" i="51" s="1"/>
  <c r="AJ73" i="51"/>
  <c r="AG73" i="51" s="1"/>
  <c r="AJ79" i="51"/>
  <c r="AJ80" i="51"/>
  <c r="AI80" i="51" s="1"/>
  <c r="AJ88" i="51"/>
  <c r="AI88" i="51" s="1"/>
  <c r="AJ94" i="51"/>
  <c r="AI94" i="51" s="1"/>
  <c r="AL65" i="51"/>
  <c r="AJ67" i="51"/>
  <c r="AI67" i="51" s="1"/>
  <c r="AJ70" i="51"/>
  <c r="AI70" i="51" s="1"/>
  <c r="AJ71" i="51"/>
  <c r="AF71" i="51" s="1"/>
  <c r="AJ74" i="51"/>
  <c r="AI74" i="51" s="1"/>
  <c r="AL79" i="51"/>
  <c r="AJ82" i="51"/>
  <c r="AJ90" i="51"/>
  <c r="AL8" i="51"/>
  <c r="AL12" i="51"/>
  <c r="AL15" i="51"/>
  <c r="AL7" i="51"/>
  <c r="AL10" i="51"/>
  <c r="AL13" i="51"/>
  <c r="AL18" i="51"/>
  <c r="AL11" i="51"/>
  <c r="N67" i="51"/>
  <c r="N71" i="51"/>
  <c r="K71" i="51" s="1"/>
  <c r="N38" i="51"/>
  <c r="M38" i="51" s="1"/>
  <c r="N37" i="51"/>
  <c r="M37" i="51" s="1"/>
  <c r="P38" i="51"/>
  <c r="N36" i="51"/>
  <c r="J36" i="51" s="1"/>
  <c r="P37" i="51"/>
  <c r="N40" i="51"/>
  <c r="M40" i="51" s="1"/>
  <c r="N41" i="51"/>
  <c r="K41" i="51" s="1"/>
  <c r="N11" i="51"/>
  <c r="K11" i="51" s="1"/>
  <c r="N13" i="51"/>
  <c r="J13" i="51" s="1"/>
  <c r="N15" i="51"/>
  <c r="J15" i="51" s="1"/>
  <c r="P11" i="51"/>
  <c r="P13" i="51"/>
  <c r="P15" i="51"/>
  <c r="P7" i="51"/>
  <c r="N9" i="51"/>
  <c r="J9" i="51" s="1"/>
  <c r="P86" i="51"/>
  <c r="L86" i="51"/>
  <c r="N86" i="51"/>
  <c r="M86" i="51" s="1"/>
  <c r="P90" i="51"/>
  <c r="L90" i="51"/>
  <c r="N90" i="51"/>
  <c r="M90" i="51" s="1"/>
  <c r="N10" i="51"/>
  <c r="N14" i="51"/>
  <c r="K14" i="51" s="1"/>
  <c r="N16" i="51"/>
  <c r="K16" i="51" s="1"/>
  <c r="P77" i="51"/>
  <c r="N77" i="51"/>
  <c r="M77" i="51" s="1"/>
  <c r="L77" i="51"/>
  <c r="P79" i="51"/>
  <c r="N79" i="51"/>
  <c r="M79" i="51" s="1"/>
  <c r="L79" i="51"/>
  <c r="P81" i="51"/>
  <c r="N81" i="51"/>
  <c r="M81" i="51" s="1"/>
  <c r="L81" i="51"/>
  <c r="P83" i="51"/>
  <c r="L83" i="51"/>
  <c r="N83" i="51"/>
  <c r="M83" i="51" s="1"/>
  <c r="P87" i="51"/>
  <c r="L87" i="51"/>
  <c r="N87" i="51"/>
  <c r="M87" i="51" s="1"/>
  <c r="AJ7" i="51"/>
  <c r="AL75" i="51"/>
  <c r="AJ75" i="51"/>
  <c r="AI75" i="51" s="1"/>
  <c r="AL76" i="51"/>
  <c r="AJ76" i="51"/>
  <c r="AL77" i="51"/>
  <c r="AJ77" i="51"/>
  <c r="AF77" i="51" s="1"/>
  <c r="P84" i="51"/>
  <c r="L84" i="51"/>
  <c r="N84" i="51"/>
  <c r="M84" i="51" s="1"/>
  <c r="P88" i="51"/>
  <c r="L88" i="51"/>
  <c r="N88" i="51"/>
  <c r="M88" i="51" s="1"/>
  <c r="P94" i="51"/>
  <c r="L94" i="51"/>
  <c r="N94" i="51"/>
  <c r="M94" i="51" s="1"/>
  <c r="AJ78" i="51"/>
  <c r="AL78" i="51"/>
  <c r="N8" i="51"/>
  <c r="N12" i="51"/>
  <c r="P78" i="51"/>
  <c r="N78" i="51"/>
  <c r="M78" i="51" s="1"/>
  <c r="L78" i="51"/>
  <c r="P80" i="51"/>
  <c r="N80" i="51"/>
  <c r="M80" i="51" s="1"/>
  <c r="L80" i="51"/>
  <c r="P82" i="51"/>
  <c r="N82" i="51"/>
  <c r="M82" i="51" s="1"/>
  <c r="L82" i="51"/>
  <c r="N7" i="51"/>
  <c r="N42" i="51"/>
  <c r="K42" i="51" s="1"/>
  <c r="N44" i="51"/>
  <c r="K44" i="51" s="1"/>
  <c r="AH78" i="51"/>
  <c r="AJ83" i="51"/>
  <c r="AJ87" i="51"/>
  <c r="AG87" i="51" s="1"/>
  <c r="AJ91" i="51"/>
  <c r="AG91" i="51" s="1"/>
  <c r="N66" i="51"/>
  <c r="N68" i="51"/>
  <c r="K68" i="51" s="1"/>
  <c r="N70" i="51"/>
  <c r="K70" i="51" s="1"/>
  <c r="N72" i="51"/>
  <c r="K72" i="51" s="1"/>
  <c r="P85" i="51"/>
  <c r="L85" i="51"/>
  <c r="N85" i="51"/>
  <c r="M85" i="51" s="1"/>
  <c r="P89" i="51"/>
  <c r="L89" i="51"/>
  <c r="N89" i="51"/>
  <c r="M89" i="51" s="1"/>
  <c r="AL68" i="51"/>
  <c r="P41" i="51"/>
  <c r="AL69" i="51"/>
  <c r="P42" i="51"/>
  <c r="AL70" i="51"/>
  <c r="P43" i="51"/>
  <c r="AL71" i="51"/>
  <c r="P44" i="51"/>
  <c r="AL72" i="51"/>
  <c r="P45" i="51"/>
  <c r="AL73" i="51"/>
  <c r="AL74" i="51"/>
  <c r="AL80" i="51"/>
  <c r="AL81" i="51"/>
  <c r="AL82" i="51"/>
  <c r="AL83" i="51"/>
  <c r="AL84" i="51"/>
  <c r="AL85" i="51"/>
  <c r="AL86" i="51"/>
  <c r="AL87" i="51"/>
  <c r="AL88" i="51"/>
  <c r="AL89" i="51"/>
  <c r="AL91" i="51"/>
  <c r="AL92" i="51"/>
  <c r="AL93" i="51"/>
  <c r="AL94" i="51"/>
  <c r="P67" i="51"/>
  <c r="AL95" i="51"/>
  <c r="P68" i="51"/>
  <c r="P69" i="51"/>
  <c r="P70" i="51"/>
  <c r="P71" i="51"/>
  <c r="P72" i="51"/>
  <c r="P73" i="51"/>
  <c r="N74" i="51"/>
  <c r="J74" i="51" s="1"/>
  <c r="N75" i="51"/>
  <c r="J75" i="51" s="1"/>
  <c r="N76" i="51"/>
  <c r="J76" i="51" s="1"/>
  <c r="P92" i="51"/>
  <c r="L92" i="51"/>
  <c r="AH63" i="51"/>
  <c r="AH90" i="51"/>
  <c r="L65" i="51"/>
  <c r="L66" i="51"/>
  <c r="P74" i="51"/>
  <c r="P75" i="51"/>
  <c r="P76" i="51"/>
  <c r="P91" i="51"/>
  <c r="L91" i="51"/>
  <c r="N91" i="51"/>
  <c r="P93" i="51"/>
  <c r="L93" i="51"/>
  <c r="N93" i="51"/>
  <c r="K93" i="51" s="1"/>
  <c r="P95" i="51"/>
  <c r="L95" i="51"/>
  <c r="N95" i="51"/>
  <c r="K95" i="51" s="1"/>
  <c r="AJ118" i="49"/>
  <c r="AJ119" i="49"/>
  <c r="AI119" i="49" s="1"/>
  <c r="AJ120" i="49"/>
  <c r="AI120" i="49" s="1"/>
  <c r="AJ121" i="49"/>
  <c r="AI121" i="49" s="1"/>
  <c r="AJ122" i="49"/>
  <c r="AI122" i="49" s="1"/>
  <c r="AH118" i="49"/>
  <c r="AH119" i="49"/>
  <c r="AH120" i="49"/>
  <c r="AH121" i="49"/>
  <c r="AH122" i="49"/>
  <c r="AL110" i="49"/>
  <c r="AL111" i="49" s="1"/>
  <c r="AL109" i="49"/>
  <c r="AH83" i="49"/>
  <c r="AH84" i="49"/>
  <c r="AH86" i="49"/>
  <c r="AH89" i="49"/>
  <c r="AH90" i="49"/>
  <c r="AH92" i="49"/>
  <c r="AH94" i="49"/>
  <c r="AH96" i="49"/>
  <c r="AH97" i="49"/>
  <c r="AD109" i="49"/>
  <c r="AJ83" i="49"/>
  <c r="AG83" i="49" s="1"/>
  <c r="AJ84" i="49"/>
  <c r="AI84" i="49" s="1"/>
  <c r="AJ85" i="49"/>
  <c r="AI85" i="49" s="1"/>
  <c r="AJ86" i="49"/>
  <c r="AI86" i="49" s="1"/>
  <c r="AJ87" i="49"/>
  <c r="AI87" i="49" s="1"/>
  <c r="AJ88" i="49"/>
  <c r="AI88" i="49" s="1"/>
  <c r="AF89" i="49"/>
  <c r="AJ89" i="49"/>
  <c r="AI89" i="49" s="1"/>
  <c r="AJ90" i="49"/>
  <c r="AI90" i="49" s="1"/>
  <c r="AF91" i="49"/>
  <c r="AJ91" i="49"/>
  <c r="AI91" i="49" s="1"/>
  <c r="AJ92" i="49"/>
  <c r="AI92" i="49" s="1"/>
  <c r="AJ93" i="49"/>
  <c r="AI93" i="49" s="1"/>
  <c r="AJ94" i="49"/>
  <c r="AI94" i="49" s="1"/>
  <c r="AJ95" i="49"/>
  <c r="AI95" i="49" s="1"/>
  <c r="AJ96" i="49"/>
  <c r="AI96" i="49" s="1"/>
  <c r="AJ97" i="49"/>
  <c r="AI97" i="49" s="1"/>
  <c r="AJ98" i="49"/>
  <c r="AI98" i="49" s="1"/>
  <c r="AJ99" i="49"/>
  <c r="AI99" i="49" s="1"/>
  <c r="AJ100" i="49"/>
  <c r="AI100" i="49" s="1"/>
  <c r="AE109" i="49"/>
  <c r="AD110" i="49"/>
  <c r="AD111" i="49" s="1"/>
  <c r="AH85" i="49"/>
  <c r="AH87" i="49"/>
  <c r="AH88" i="49"/>
  <c r="AH91" i="49"/>
  <c r="AH93" i="49"/>
  <c r="AH95" i="49"/>
  <c r="AH98" i="49"/>
  <c r="AH99" i="49"/>
  <c r="L69" i="49"/>
  <c r="L74" i="49"/>
  <c r="L65" i="49"/>
  <c r="N62" i="49"/>
  <c r="M62" i="49" s="1"/>
  <c r="P66" i="49"/>
  <c r="H130" i="49"/>
  <c r="I136" i="49"/>
  <c r="I137" i="49" s="1"/>
  <c r="N66" i="49"/>
  <c r="M66" i="49" s="1"/>
  <c r="P64" i="49"/>
  <c r="L67" i="49"/>
  <c r="N63" i="49"/>
  <c r="J63" i="49" s="1"/>
  <c r="L62" i="49"/>
  <c r="P62" i="49"/>
  <c r="H135" i="49"/>
  <c r="L68" i="49"/>
  <c r="N67" i="49"/>
  <c r="M67" i="49" s="1"/>
  <c r="N122" i="49"/>
  <c r="M122" i="49" s="1"/>
  <c r="H136" i="49"/>
  <c r="H137" i="49" s="1"/>
  <c r="L75" i="49"/>
  <c r="P60" i="49"/>
  <c r="P122" i="49"/>
  <c r="L63" i="49"/>
  <c r="N59" i="49"/>
  <c r="M59" i="49" s="1"/>
  <c r="N123" i="49"/>
  <c r="M123" i="49" s="1"/>
  <c r="N124" i="49"/>
  <c r="M124" i="49" s="1"/>
  <c r="N126" i="49"/>
  <c r="M126" i="49" s="1"/>
  <c r="P126" i="49"/>
  <c r="I130" i="49"/>
  <c r="P124" i="49"/>
  <c r="N121" i="49"/>
  <c r="P123" i="49"/>
  <c r="N125" i="49"/>
  <c r="M125" i="49" s="1"/>
  <c r="I131" i="49"/>
  <c r="I132" i="49" s="1"/>
  <c r="H132" i="49"/>
  <c r="N113" i="49"/>
  <c r="P113" i="49"/>
  <c r="N117" i="49"/>
  <c r="P117" i="49"/>
  <c r="N114" i="49"/>
  <c r="J114" i="49" s="1"/>
  <c r="P114" i="49"/>
  <c r="N118" i="49"/>
  <c r="L118" i="49"/>
  <c r="N115" i="49"/>
  <c r="J115" i="49" s="1"/>
  <c r="P115" i="49"/>
  <c r="L113" i="49"/>
  <c r="N116" i="49"/>
  <c r="J116" i="49" s="1"/>
  <c r="P116" i="49"/>
  <c r="L117" i="49"/>
  <c r="L121" i="49"/>
  <c r="L122" i="49"/>
  <c r="L123" i="49"/>
  <c r="L124" i="49"/>
  <c r="L125" i="49"/>
  <c r="L126" i="49"/>
  <c r="J123" i="49"/>
  <c r="N79" i="49"/>
  <c r="J79" i="49" s="1"/>
  <c r="L81" i="49"/>
  <c r="L78" i="49"/>
  <c r="P80" i="49"/>
  <c r="P79" i="49"/>
  <c r="N78" i="49"/>
  <c r="M78" i="49" s="1"/>
  <c r="N75" i="49"/>
  <c r="J75" i="49" s="1"/>
  <c r="L72" i="49"/>
  <c r="L71" i="49"/>
  <c r="N71" i="49"/>
  <c r="M71" i="49" s="1"/>
  <c r="N74" i="49"/>
  <c r="M74" i="49" s="1"/>
  <c r="L73" i="49"/>
  <c r="N70" i="49"/>
  <c r="M70" i="49" s="1"/>
  <c r="P70" i="49"/>
  <c r="J62" i="49"/>
  <c r="L61" i="49"/>
  <c r="N80" i="49"/>
  <c r="N72" i="49"/>
  <c r="N68" i="49"/>
  <c r="J68" i="49" s="1"/>
  <c r="N64" i="49"/>
  <c r="J64" i="49" s="1"/>
  <c r="N60" i="49"/>
  <c r="N81" i="49"/>
  <c r="M81" i="49" s="1"/>
  <c r="N73" i="49"/>
  <c r="M73" i="49" s="1"/>
  <c r="N69" i="49"/>
  <c r="M69" i="49" s="1"/>
  <c r="N65" i="49"/>
  <c r="M65" i="49" s="1"/>
  <c r="N61" i="49"/>
  <c r="M61" i="49" s="1"/>
  <c r="AH87" i="50"/>
  <c r="AL88" i="50"/>
  <c r="AL92" i="50"/>
  <c r="AJ92" i="50"/>
  <c r="AI92" i="50" s="1"/>
  <c r="AJ91" i="50"/>
  <c r="AF91" i="50" s="1"/>
  <c r="AI80" i="50"/>
  <c r="AG80" i="50"/>
  <c r="AJ96" i="50"/>
  <c r="AF96" i="50" s="1"/>
  <c r="AG91" i="50"/>
  <c r="AJ84" i="50"/>
  <c r="AI84" i="50" s="1"/>
  <c r="AL84" i="50"/>
  <c r="AL96" i="50"/>
  <c r="AJ95" i="50"/>
  <c r="AI95" i="50" s="1"/>
  <c r="AG87" i="50"/>
  <c r="AJ83" i="50"/>
  <c r="AI83" i="50" s="1"/>
  <c r="AL95" i="50"/>
  <c r="AL97" i="50"/>
  <c r="AL89" i="50"/>
  <c r="AI87" i="50"/>
  <c r="AH82" i="50"/>
  <c r="AF80" i="50"/>
  <c r="AL81" i="50"/>
  <c r="AJ97" i="50"/>
  <c r="AJ93" i="50"/>
  <c r="AF93" i="50" s="1"/>
  <c r="AJ89" i="50"/>
  <c r="AI88" i="50"/>
  <c r="AJ85" i="50"/>
  <c r="AF85" i="50" s="1"/>
  <c r="AJ81" i="50"/>
  <c r="AH93" i="50"/>
  <c r="AH85" i="50"/>
  <c r="AH94" i="50"/>
  <c r="AH90" i="50"/>
  <c r="AJ94" i="50"/>
  <c r="AI94" i="50" s="1"/>
  <c r="AJ90" i="50"/>
  <c r="AI90" i="50" s="1"/>
  <c r="AJ86" i="50"/>
  <c r="AI86" i="50" s="1"/>
  <c r="AJ82" i="50"/>
  <c r="AI82" i="50" s="1"/>
  <c r="AG71" i="50"/>
  <c r="AJ71" i="50"/>
  <c r="AI71" i="50" s="1"/>
  <c r="AJ55" i="50"/>
  <c r="AI55" i="50" s="1"/>
  <c r="AH74" i="50"/>
  <c r="AH71" i="50"/>
  <c r="AJ70" i="50"/>
  <c r="AI70" i="50" s="1"/>
  <c r="AH63" i="50"/>
  <c r="AL72" i="50"/>
  <c r="AJ79" i="50"/>
  <c r="AF79" i="50" s="1"/>
  <c r="AH70" i="50"/>
  <c r="AJ63" i="50"/>
  <c r="AF63" i="50" s="1"/>
  <c r="AG67" i="50"/>
  <c r="AJ67" i="50"/>
  <c r="AF67" i="50" s="1"/>
  <c r="AL80" i="50"/>
  <c r="AL68" i="50"/>
  <c r="AJ75" i="50"/>
  <c r="AG70" i="50"/>
  <c r="AH67" i="50"/>
  <c r="AJ66" i="50"/>
  <c r="AI66" i="50" s="1"/>
  <c r="AJ58" i="50"/>
  <c r="AI58" i="50" s="1"/>
  <c r="AJ59" i="50"/>
  <c r="AF59" i="50" s="1"/>
  <c r="AH66" i="50"/>
  <c r="AJ62" i="50"/>
  <c r="AF75" i="50"/>
  <c r="AH79" i="50"/>
  <c r="AJ78" i="50"/>
  <c r="AI78" i="50" s="1"/>
  <c r="AL76" i="50"/>
  <c r="AH78" i="50"/>
  <c r="AL83" i="50"/>
  <c r="AL75" i="50"/>
  <c r="AJ74" i="50"/>
  <c r="AI74" i="50" s="1"/>
  <c r="AF70" i="50"/>
  <c r="AH64" i="50"/>
  <c r="AH77" i="50"/>
  <c r="AH73" i="50"/>
  <c r="AF71" i="50"/>
  <c r="AH65" i="50"/>
  <c r="AH57" i="50"/>
  <c r="AF55" i="50"/>
  <c r="AJ76" i="50"/>
  <c r="AF76" i="50" s="1"/>
  <c r="AJ72" i="50"/>
  <c r="AF72" i="50" s="1"/>
  <c r="AJ68" i="50"/>
  <c r="AJ64" i="50"/>
  <c r="AF64" i="50" s="1"/>
  <c r="AI63" i="50"/>
  <c r="AJ60" i="50"/>
  <c r="AJ56" i="50"/>
  <c r="AH69" i="50"/>
  <c r="AJ77" i="50"/>
  <c r="AI77" i="50" s="1"/>
  <c r="AJ73" i="50"/>
  <c r="AI73" i="50" s="1"/>
  <c r="AJ69" i="50"/>
  <c r="AI69" i="50" s="1"/>
  <c r="AJ65" i="50"/>
  <c r="AI65" i="50" s="1"/>
  <c r="AJ61" i="50"/>
  <c r="AI61" i="50" s="1"/>
  <c r="AJ57" i="50"/>
  <c r="AI57" i="50" s="1"/>
  <c r="O117" i="50"/>
  <c r="O118" i="50"/>
  <c r="O119" i="50" s="1"/>
  <c r="O111" i="50"/>
  <c r="O112" i="50"/>
  <c r="O113" i="50" s="1"/>
  <c r="H94" i="50"/>
  <c r="L94" i="50" s="1"/>
  <c r="I94" i="50"/>
  <c r="H95" i="50"/>
  <c r="P95" i="50" s="1"/>
  <c r="I95" i="50"/>
  <c r="H96" i="50"/>
  <c r="L96" i="50" s="1"/>
  <c r="I96" i="50"/>
  <c r="H97" i="50"/>
  <c r="P97" i="50" s="1"/>
  <c r="I97" i="50"/>
  <c r="H98" i="50"/>
  <c r="P98" i="50" s="1"/>
  <c r="I98" i="50"/>
  <c r="H99" i="50"/>
  <c r="L99" i="50" s="1"/>
  <c r="I99" i="50"/>
  <c r="H100" i="50"/>
  <c r="P100" i="50" s="1"/>
  <c r="I100" i="50"/>
  <c r="H101" i="50"/>
  <c r="P101" i="50" s="1"/>
  <c r="I101" i="50"/>
  <c r="H102" i="50"/>
  <c r="P102" i="50" s="1"/>
  <c r="I102" i="50"/>
  <c r="H103" i="50"/>
  <c r="P103" i="50" s="1"/>
  <c r="I103" i="50"/>
  <c r="H104" i="50"/>
  <c r="P104" i="50" s="1"/>
  <c r="I104" i="50"/>
  <c r="H105" i="50"/>
  <c r="P105" i="50" s="1"/>
  <c r="I105" i="50"/>
  <c r="H106" i="50"/>
  <c r="AF84" i="50" l="1"/>
  <c r="AF97" i="49"/>
  <c r="AG91" i="49"/>
  <c r="AF99" i="49"/>
  <c r="AF83" i="49"/>
  <c r="AG55" i="50"/>
  <c r="AF83" i="50"/>
  <c r="AI96" i="50"/>
  <c r="J67" i="49"/>
  <c r="K66" i="49"/>
  <c r="AG94" i="49"/>
  <c r="AL118" i="50"/>
  <c r="AH118" i="50"/>
  <c r="K67" i="49"/>
  <c r="AF93" i="49"/>
  <c r="AF85" i="49"/>
  <c r="AH119" i="50"/>
  <c r="AH120" i="50" s="1"/>
  <c r="AH126" i="50"/>
  <c r="AH127" i="50" s="1"/>
  <c r="AF95" i="49"/>
  <c r="AF87" i="49"/>
  <c r="AG75" i="50"/>
  <c r="AJ125" i="50"/>
  <c r="AJ126" i="50"/>
  <c r="AJ127" i="50" s="1"/>
  <c r="K123" i="49"/>
  <c r="P136" i="49"/>
  <c r="P137" i="49" s="1"/>
  <c r="AG98" i="49"/>
  <c r="AG99" i="49"/>
  <c r="AJ129" i="49"/>
  <c r="AJ130" i="49"/>
  <c r="AJ131" i="49" s="1"/>
  <c r="AH100" i="51"/>
  <c r="AH101" i="51"/>
  <c r="AH102" i="51" s="1"/>
  <c r="AF63" i="51"/>
  <c r="AJ100" i="51"/>
  <c r="AJ101" i="51"/>
  <c r="AJ102" i="51" s="1"/>
  <c r="AI62" i="50"/>
  <c r="AJ118" i="50"/>
  <c r="AJ119" i="50"/>
  <c r="AJ120" i="50" s="1"/>
  <c r="AL100" i="51"/>
  <c r="AL101" i="51"/>
  <c r="AL102" i="51" s="1"/>
  <c r="AG88" i="50"/>
  <c r="M79" i="49"/>
  <c r="P135" i="49"/>
  <c r="AG90" i="49"/>
  <c r="AG97" i="49"/>
  <c r="AH129" i="49"/>
  <c r="AH130" i="49"/>
  <c r="AH131" i="49" s="1"/>
  <c r="AI76" i="51"/>
  <c r="AJ107" i="51"/>
  <c r="AJ108" i="51"/>
  <c r="AJ109" i="51" s="1"/>
  <c r="AH107" i="51"/>
  <c r="AH108" i="51"/>
  <c r="AH109" i="51" s="1"/>
  <c r="AL119" i="50"/>
  <c r="AL120" i="50" s="1"/>
  <c r="AH125" i="50"/>
  <c r="AL125" i="50"/>
  <c r="AL126" i="50"/>
  <c r="AL127" i="50" s="1"/>
  <c r="AI67" i="50"/>
  <c r="AI75" i="50"/>
  <c r="AG62" i="50"/>
  <c r="AI91" i="50"/>
  <c r="AG83" i="50"/>
  <c r="AF100" i="49"/>
  <c r="AF98" i="49"/>
  <c r="AF96" i="49"/>
  <c r="AF94" i="49"/>
  <c r="AF92" i="49"/>
  <c r="AF90" i="49"/>
  <c r="AF88" i="49"/>
  <c r="AF86" i="49"/>
  <c r="AF84" i="49"/>
  <c r="AG86" i="49"/>
  <c r="AG89" i="49"/>
  <c r="AG120" i="49"/>
  <c r="AL107" i="51"/>
  <c r="AL108" i="51"/>
  <c r="AL109" i="51" s="1"/>
  <c r="AF47" i="51"/>
  <c r="AF48" i="51"/>
  <c r="AF49" i="51" s="1"/>
  <c r="AH54" i="51"/>
  <c r="AH55" i="51"/>
  <c r="AH56" i="51" s="1"/>
  <c r="AJ54" i="51"/>
  <c r="AJ55" i="51"/>
  <c r="AJ56" i="51" s="1"/>
  <c r="AL54" i="51"/>
  <c r="AL55" i="51"/>
  <c r="AL56" i="51" s="1"/>
  <c r="AG47" i="51"/>
  <c r="AG48" i="51"/>
  <c r="AG49" i="51" s="1"/>
  <c r="AL47" i="51"/>
  <c r="AL48" i="51"/>
  <c r="AL49" i="51" s="1"/>
  <c r="AI47" i="51"/>
  <c r="AI48" i="51"/>
  <c r="AI49" i="51" s="1"/>
  <c r="AF80" i="51"/>
  <c r="AG71" i="51"/>
  <c r="AG68" i="51"/>
  <c r="J40" i="51"/>
  <c r="AF68" i="51"/>
  <c r="AF64" i="51"/>
  <c r="N23" i="51"/>
  <c r="N24" i="51"/>
  <c r="N25" i="51" s="1"/>
  <c r="P23" i="51"/>
  <c r="P24" i="51"/>
  <c r="P25" i="51" s="1"/>
  <c r="L23" i="51"/>
  <c r="L24" i="51"/>
  <c r="L25" i="51" s="1"/>
  <c r="K92" i="51"/>
  <c r="J92" i="51"/>
  <c r="AG93" i="51"/>
  <c r="AG84" i="51"/>
  <c r="AF88" i="51"/>
  <c r="AI71" i="51"/>
  <c r="AI81" i="51"/>
  <c r="AF69" i="51"/>
  <c r="AG86" i="51"/>
  <c r="AF84" i="51"/>
  <c r="AG80" i="51"/>
  <c r="J39" i="51"/>
  <c r="AF89" i="51"/>
  <c r="AJ40" i="51"/>
  <c r="AJ41" i="51"/>
  <c r="AJ42" i="51" s="1"/>
  <c r="AL40" i="51"/>
  <c r="AL41" i="51"/>
  <c r="AL42" i="51" s="1"/>
  <c r="AH40" i="51"/>
  <c r="AH41" i="51"/>
  <c r="AH42" i="51" s="1"/>
  <c r="J73" i="51"/>
  <c r="AF66" i="51"/>
  <c r="AG66" i="51"/>
  <c r="AG75" i="51"/>
  <c r="K40" i="51"/>
  <c r="AF92" i="51"/>
  <c r="K45" i="51"/>
  <c r="AG77" i="51"/>
  <c r="AG85" i="51"/>
  <c r="AF72" i="51"/>
  <c r="K88" i="51"/>
  <c r="AG72" i="51"/>
  <c r="K69" i="51"/>
  <c r="AF70" i="51"/>
  <c r="M15" i="51"/>
  <c r="K73" i="51"/>
  <c r="AI85" i="51"/>
  <c r="J69" i="51"/>
  <c r="P106" i="51"/>
  <c r="P107" i="51"/>
  <c r="P108" i="51" s="1"/>
  <c r="K38" i="51"/>
  <c r="K83" i="51"/>
  <c r="AG89" i="51"/>
  <c r="AG81" i="51"/>
  <c r="AF65" i="51"/>
  <c r="AF93" i="51"/>
  <c r="L106" i="51"/>
  <c r="L107" i="51"/>
  <c r="L108" i="51" s="1"/>
  <c r="K77" i="51"/>
  <c r="M65" i="51"/>
  <c r="N100" i="51"/>
  <c r="N101" i="51"/>
  <c r="N102" i="51" s="1"/>
  <c r="L100" i="51"/>
  <c r="L101" i="51"/>
  <c r="L102" i="51" s="1"/>
  <c r="N106" i="51"/>
  <c r="N107" i="51"/>
  <c r="N108" i="51" s="1"/>
  <c r="AG69" i="51"/>
  <c r="AG74" i="51"/>
  <c r="K65" i="51"/>
  <c r="AF74" i="51"/>
  <c r="AG92" i="51"/>
  <c r="AG64" i="51"/>
  <c r="P100" i="51"/>
  <c r="P101" i="51"/>
  <c r="P102" i="51" s="1"/>
  <c r="AI63" i="51"/>
  <c r="K90" i="51"/>
  <c r="AF86" i="51"/>
  <c r="P50" i="51"/>
  <c r="P51" i="51"/>
  <c r="P52" i="51" s="1"/>
  <c r="K84" i="51"/>
  <c r="AG67" i="51"/>
  <c r="AF94" i="51"/>
  <c r="AF73" i="51"/>
  <c r="L50" i="51"/>
  <c r="L51" i="51"/>
  <c r="L52" i="51" s="1"/>
  <c r="AG63" i="51"/>
  <c r="AI73" i="51"/>
  <c r="J34" i="51"/>
  <c r="N50" i="51"/>
  <c r="N51" i="51"/>
  <c r="N52" i="51" s="1"/>
  <c r="K94" i="51"/>
  <c r="K81" i="51"/>
  <c r="J82" i="51"/>
  <c r="J65" i="51"/>
  <c r="J80" i="51"/>
  <c r="J78" i="51"/>
  <c r="M36" i="51"/>
  <c r="J38" i="51"/>
  <c r="K39" i="51"/>
  <c r="M35" i="51"/>
  <c r="K36" i="51"/>
  <c r="M43" i="51"/>
  <c r="K43" i="51"/>
  <c r="K35" i="51"/>
  <c r="K34" i="51"/>
  <c r="K9" i="51"/>
  <c r="M9" i="51"/>
  <c r="K15" i="51"/>
  <c r="M11" i="51"/>
  <c r="K13" i="51"/>
  <c r="J11" i="51"/>
  <c r="M13" i="51"/>
  <c r="AI82" i="51"/>
  <c r="AF82" i="51"/>
  <c r="AI79" i="51"/>
  <c r="AG79" i="51"/>
  <c r="AF79" i="51"/>
  <c r="AG82" i="51"/>
  <c r="AG65" i="51"/>
  <c r="AI90" i="51"/>
  <c r="AF90" i="51"/>
  <c r="AG95" i="51"/>
  <c r="AF67" i="51"/>
  <c r="AG94" i="51"/>
  <c r="AG90" i="51"/>
  <c r="AG76" i="51"/>
  <c r="AG88" i="51"/>
  <c r="AG70" i="51"/>
  <c r="AF76" i="51"/>
  <c r="AF95" i="51"/>
  <c r="J67" i="51"/>
  <c r="M67" i="51"/>
  <c r="K67" i="51"/>
  <c r="J94" i="51"/>
  <c r="J88" i="51"/>
  <c r="K86" i="51"/>
  <c r="J90" i="51"/>
  <c r="J86" i="51"/>
  <c r="J71" i="51"/>
  <c r="M71" i="51"/>
  <c r="K37" i="51"/>
  <c r="J37" i="51"/>
  <c r="J41" i="51"/>
  <c r="M41" i="51"/>
  <c r="M91" i="51"/>
  <c r="J91" i="51"/>
  <c r="AI83" i="51"/>
  <c r="AF83" i="51"/>
  <c r="AF7" i="51"/>
  <c r="AI7" i="51"/>
  <c r="AG7" i="51"/>
  <c r="J10" i="51"/>
  <c r="M10" i="51"/>
  <c r="M42" i="51"/>
  <c r="J42" i="51"/>
  <c r="K7" i="51"/>
  <c r="M7" i="51"/>
  <c r="J7" i="51"/>
  <c r="J8" i="51"/>
  <c r="M8" i="51"/>
  <c r="K87" i="51"/>
  <c r="K80" i="51"/>
  <c r="AF75" i="51"/>
  <c r="K85" i="51"/>
  <c r="K8" i="51"/>
  <c r="M12" i="51"/>
  <c r="J12" i="51"/>
  <c r="AI78" i="51"/>
  <c r="AG78" i="51"/>
  <c r="J93" i="51"/>
  <c r="M93" i="51"/>
  <c r="M75" i="51"/>
  <c r="K75" i="51"/>
  <c r="J89" i="51"/>
  <c r="J70" i="51"/>
  <c r="M70" i="51"/>
  <c r="J66" i="51"/>
  <c r="M66" i="51"/>
  <c r="M95" i="51"/>
  <c r="J95" i="51"/>
  <c r="J85" i="51"/>
  <c r="AF91" i="51"/>
  <c r="AI91" i="51"/>
  <c r="AI87" i="51"/>
  <c r="AF87" i="51"/>
  <c r="K89" i="51"/>
  <c r="K79" i="51"/>
  <c r="AI77" i="51"/>
  <c r="M16" i="51"/>
  <c r="J16" i="51"/>
  <c r="AG83" i="51"/>
  <c r="K12" i="51"/>
  <c r="K91" i="51"/>
  <c r="M76" i="51"/>
  <c r="K76" i="51"/>
  <c r="M74" i="51"/>
  <c r="K74" i="51"/>
  <c r="J72" i="51"/>
  <c r="M72" i="51"/>
  <c r="J68" i="51"/>
  <c r="M68" i="51"/>
  <c r="M44" i="51"/>
  <c r="J44" i="51"/>
  <c r="K66" i="51"/>
  <c r="AF78" i="51"/>
  <c r="J84" i="51"/>
  <c r="K82" i="51"/>
  <c r="K78" i="51"/>
  <c r="J87" i="51"/>
  <c r="J83" i="51"/>
  <c r="J81" i="51"/>
  <c r="J79" i="51"/>
  <c r="J77" i="51"/>
  <c r="M14" i="51"/>
  <c r="J14" i="51"/>
  <c r="K10" i="51"/>
  <c r="AG119" i="49"/>
  <c r="AF120" i="49"/>
  <c r="AF119" i="49"/>
  <c r="AI118" i="49"/>
  <c r="AG121" i="49"/>
  <c r="AF121" i="49"/>
  <c r="AG122" i="49"/>
  <c r="AG118" i="49"/>
  <c r="AF122" i="49"/>
  <c r="AF118" i="49"/>
  <c r="AH110" i="49"/>
  <c r="AH111" i="49" s="1"/>
  <c r="AH109" i="49"/>
  <c r="AJ109" i="49"/>
  <c r="AI83" i="49"/>
  <c r="AJ110" i="49"/>
  <c r="AJ111" i="49" s="1"/>
  <c r="AG100" i="49"/>
  <c r="AG92" i="49"/>
  <c r="AG84" i="49"/>
  <c r="AG87" i="49"/>
  <c r="AG85" i="49"/>
  <c r="AG96" i="49"/>
  <c r="AG88" i="49"/>
  <c r="AG95" i="49"/>
  <c r="AG93" i="49"/>
  <c r="J66" i="49"/>
  <c r="J74" i="49"/>
  <c r="K62" i="49"/>
  <c r="K59" i="49"/>
  <c r="M63" i="49"/>
  <c r="L135" i="49"/>
  <c r="L136" i="49"/>
  <c r="L137" i="49" s="1"/>
  <c r="J59" i="49"/>
  <c r="M121" i="49"/>
  <c r="N135" i="49"/>
  <c r="N136" i="49"/>
  <c r="N137" i="49" s="1"/>
  <c r="J122" i="49"/>
  <c r="K122" i="49"/>
  <c r="K63" i="49"/>
  <c r="J126" i="49"/>
  <c r="K61" i="49"/>
  <c r="K124" i="49"/>
  <c r="J70" i="49"/>
  <c r="K70" i="49"/>
  <c r="K79" i="49"/>
  <c r="J124" i="49"/>
  <c r="K126" i="49"/>
  <c r="J125" i="49"/>
  <c r="J121" i="49"/>
  <c r="K125" i="49"/>
  <c r="K121" i="49"/>
  <c r="M118" i="49"/>
  <c r="K118" i="49"/>
  <c r="M117" i="49"/>
  <c r="K117" i="49"/>
  <c r="M113" i="49"/>
  <c r="N131" i="49"/>
  <c r="N132" i="49" s="1"/>
  <c r="N130" i="49"/>
  <c r="K113" i="49"/>
  <c r="P131" i="49"/>
  <c r="P132" i="49" s="1"/>
  <c r="P130" i="49"/>
  <c r="M116" i="49"/>
  <c r="K116" i="49"/>
  <c r="L131" i="49"/>
  <c r="L132" i="49" s="1"/>
  <c r="L130" i="49"/>
  <c r="M115" i="49"/>
  <c r="K115" i="49"/>
  <c r="J118" i="49"/>
  <c r="M114" i="49"/>
  <c r="K114" i="49"/>
  <c r="J117" i="49"/>
  <c r="J113" i="49"/>
  <c r="J78" i="49"/>
  <c r="K78" i="49"/>
  <c r="J71" i="49"/>
  <c r="K71" i="49"/>
  <c r="J73" i="49"/>
  <c r="K74" i="49"/>
  <c r="M75" i="49"/>
  <c r="K73" i="49"/>
  <c r="K75" i="49"/>
  <c r="M60" i="49"/>
  <c r="K60" i="49"/>
  <c r="J81" i="49"/>
  <c r="M72" i="49"/>
  <c r="K72" i="49"/>
  <c r="M80" i="49"/>
  <c r="K80" i="49"/>
  <c r="J65" i="49"/>
  <c r="K81" i="49"/>
  <c r="K65" i="49"/>
  <c r="M64" i="49"/>
  <c r="K64" i="49"/>
  <c r="J60" i="49"/>
  <c r="M68" i="49"/>
  <c r="K68" i="49"/>
  <c r="J61" i="49"/>
  <c r="J69" i="49"/>
  <c r="K69" i="49"/>
  <c r="J72" i="49"/>
  <c r="J80" i="49"/>
  <c r="AG92" i="50"/>
  <c r="AF92" i="50"/>
  <c r="AG96" i="50"/>
  <c r="AG82" i="50"/>
  <c r="AG95" i="50"/>
  <c r="AF95" i="50"/>
  <c r="AF82" i="50"/>
  <c r="AG84" i="50"/>
  <c r="AI85" i="50"/>
  <c r="AG85" i="50"/>
  <c r="AI97" i="50"/>
  <c r="AG97" i="50"/>
  <c r="AF90" i="50"/>
  <c r="AF94" i="50"/>
  <c r="AG94" i="50"/>
  <c r="AF97" i="50"/>
  <c r="AI89" i="50"/>
  <c r="AG89" i="50"/>
  <c r="AG90" i="50"/>
  <c r="AF86" i="50"/>
  <c r="AI81" i="50"/>
  <c r="AG81" i="50"/>
  <c r="AF89" i="50"/>
  <c r="AI93" i="50"/>
  <c r="AG93" i="50"/>
  <c r="AF81" i="50"/>
  <c r="AG86" i="50"/>
  <c r="AG59" i="50"/>
  <c r="AF62" i="50"/>
  <c r="AG58" i="50"/>
  <c r="AF58" i="50"/>
  <c r="AG63" i="50"/>
  <c r="AI79" i="50"/>
  <c r="AG79" i="50"/>
  <c r="AG66" i="50"/>
  <c r="AF66" i="50"/>
  <c r="AG65" i="50"/>
  <c r="AG78" i="50"/>
  <c r="AI59" i="50"/>
  <c r="AF69" i="50"/>
  <c r="AG69" i="50"/>
  <c r="AG74" i="50"/>
  <c r="AF78" i="50"/>
  <c r="AF74" i="50"/>
  <c r="AI68" i="50"/>
  <c r="AG68" i="50"/>
  <c r="AF73" i="50"/>
  <c r="AI56" i="50"/>
  <c r="AG56" i="50"/>
  <c r="AI64" i="50"/>
  <c r="AG64" i="50"/>
  <c r="AI72" i="50"/>
  <c r="AG72" i="50"/>
  <c r="AF65" i="50"/>
  <c r="AF77" i="50"/>
  <c r="AG61" i="50"/>
  <c r="AI60" i="50"/>
  <c r="AG60" i="50"/>
  <c r="AI76" i="50"/>
  <c r="AG76" i="50"/>
  <c r="AG57" i="50"/>
  <c r="AF57" i="50"/>
  <c r="AF60" i="50"/>
  <c r="AG73" i="50"/>
  <c r="AF56" i="50"/>
  <c r="AF61" i="50"/>
  <c r="AG77" i="50"/>
  <c r="AF68" i="50"/>
  <c r="L104" i="50"/>
  <c r="N96" i="50"/>
  <c r="M96" i="50" s="1"/>
  <c r="L97" i="50"/>
  <c r="P96" i="50"/>
  <c r="P94" i="50"/>
  <c r="L105" i="50"/>
  <c r="L98" i="50"/>
  <c r="N97" i="50"/>
  <c r="M97" i="50" s="1"/>
  <c r="L95" i="50"/>
  <c r="P99" i="50"/>
  <c r="N105" i="50"/>
  <c r="M105" i="50" s="1"/>
  <c r="L102" i="50"/>
  <c r="L101" i="50"/>
  <c r="N100" i="50"/>
  <c r="M100" i="50" s="1"/>
  <c r="N101" i="50"/>
  <c r="N104" i="50"/>
  <c r="M104" i="50" s="1"/>
  <c r="L103" i="50"/>
  <c r="L100" i="50"/>
  <c r="N102" i="50"/>
  <c r="J102" i="50" s="1"/>
  <c r="N98" i="50"/>
  <c r="N94" i="50"/>
  <c r="J94" i="50" s="1"/>
  <c r="N103" i="50"/>
  <c r="M103" i="50" s="1"/>
  <c r="N99" i="50"/>
  <c r="M99" i="50" s="1"/>
  <c r="N95" i="50"/>
  <c r="M95" i="50" s="1"/>
  <c r="O50" i="50"/>
  <c r="O51" i="50"/>
  <c r="O52" i="50" s="1"/>
  <c r="H35" i="50"/>
  <c r="L35" i="50" s="1"/>
  <c r="I35" i="50"/>
  <c r="H36" i="50"/>
  <c r="L36" i="50" s="1"/>
  <c r="I36" i="50"/>
  <c r="H37" i="50"/>
  <c r="L37" i="50" s="1"/>
  <c r="I37" i="50"/>
  <c r="H38" i="50"/>
  <c r="L38" i="50" s="1"/>
  <c r="I38" i="50"/>
  <c r="H39" i="50"/>
  <c r="L39" i="50" s="1"/>
  <c r="I39" i="50"/>
  <c r="H40" i="50"/>
  <c r="L40" i="50" s="1"/>
  <c r="I40" i="50"/>
  <c r="H41" i="50"/>
  <c r="L41" i="50" s="1"/>
  <c r="I41" i="50"/>
  <c r="H42" i="50"/>
  <c r="L42" i="50" s="1"/>
  <c r="I42" i="50"/>
  <c r="H43" i="50"/>
  <c r="L43" i="50" s="1"/>
  <c r="I43" i="50"/>
  <c r="H44" i="50"/>
  <c r="P44" i="50" s="1"/>
  <c r="I44" i="50"/>
  <c r="H45" i="50"/>
  <c r="L45" i="50" s="1"/>
  <c r="I45" i="50"/>
  <c r="H46" i="50"/>
  <c r="L46" i="50" s="1"/>
  <c r="I46" i="50"/>
  <c r="H47" i="50"/>
  <c r="O23" i="50"/>
  <c r="O24" i="50"/>
  <c r="O25" i="50" s="1"/>
  <c r="H8" i="50"/>
  <c r="P8" i="50" s="1"/>
  <c r="I8" i="50"/>
  <c r="H9" i="50"/>
  <c r="L9" i="50" s="1"/>
  <c r="I9" i="50"/>
  <c r="H10" i="50"/>
  <c r="L10" i="50" s="1"/>
  <c r="I10" i="50"/>
  <c r="H11" i="50"/>
  <c r="L11" i="50" s="1"/>
  <c r="I11" i="50"/>
  <c r="H12" i="50"/>
  <c r="P12" i="50" s="1"/>
  <c r="I12" i="50"/>
  <c r="H13" i="50"/>
  <c r="L13" i="50" s="1"/>
  <c r="I13" i="50"/>
  <c r="H14" i="50"/>
  <c r="I14" i="50"/>
  <c r="H15" i="50"/>
  <c r="L15" i="50" s="1"/>
  <c r="I15" i="50"/>
  <c r="H16" i="50"/>
  <c r="L16" i="50" s="1"/>
  <c r="I16" i="50"/>
  <c r="H17" i="50"/>
  <c r="L17" i="50" s="1"/>
  <c r="I17" i="50"/>
  <c r="H18" i="50"/>
  <c r="I18" i="50"/>
  <c r="H19" i="50"/>
  <c r="I93" i="50"/>
  <c r="H93" i="50"/>
  <c r="I92" i="50"/>
  <c r="H92" i="50"/>
  <c r="I91" i="50"/>
  <c r="H91" i="50"/>
  <c r="I90" i="50"/>
  <c r="H90" i="50"/>
  <c r="I89" i="50"/>
  <c r="H89" i="50"/>
  <c r="I88" i="50"/>
  <c r="H88" i="50"/>
  <c r="I87" i="50"/>
  <c r="H87" i="50"/>
  <c r="I86" i="50"/>
  <c r="H86" i="50"/>
  <c r="AL60" i="50"/>
  <c r="I85" i="50"/>
  <c r="H85" i="50"/>
  <c r="I84" i="50"/>
  <c r="H84" i="50"/>
  <c r="P84" i="50" s="1"/>
  <c r="I83" i="50"/>
  <c r="H83" i="50"/>
  <c r="I82" i="50"/>
  <c r="H82" i="50"/>
  <c r="AL56" i="50"/>
  <c r="I81" i="50"/>
  <c r="H81" i="50"/>
  <c r="P81" i="50" s="1"/>
  <c r="AL55" i="50"/>
  <c r="I80" i="50"/>
  <c r="H80" i="50"/>
  <c r="P80" i="50" s="1"/>
  <c r="AE54" i="50"/>
  <c r="AD54" i="50"/>
  <c r="AL54" i="50" s="1"/>
  <c r="I79" i="50"/>
  <c r="H79" i="50"/>
  <c r="P79" i="50" s="1"/>
  <c r="AE53" i="50"/>
  <c r="AD53" i="50"/>
  <c r="AL53" i="50" s="1"/>
  <c r="I78" i="50"/>
  <c r="H78" i="50"/>
  <c r="P78" i="50" s="1"/>
  <c r="AE52" i="50"/>
  <c r="AD52" i="50"/>
  <c r="AL52" i="50" s="1"/>
  <c r="I77" i="50"/>
  <c r="H77" i="50"/>
  <c r="P77" i="50" s="1"/>
  <c r="AE51" i="50"/>
  <c r="AD51" i="50"/>
  <c r="I76" i="50"/>
  <c r="H76" i="50"/>
  <c r="P76" i="50" s="1"/>
  <c r="AE50" i="50"/>
  <c r="AD50" i="50"/>
  <c r="AH50" i="50" s="1"/>
  <c r="I75" i="50"/>
  <c r="H75" i="50"/>
  <c r="L75" i="50" s="1"/>
  <c r="AE49" i="50"/>
  <c r="AD49" i="50"/>
  <c r="I74" i="50"/>
  <c r="H74" i="50"/>
  <c r="L74" i="50" s="1"/>
  <c r="AE48" i="50"/>
  <c r="AD48" i="50"/>
  <c r="AH48" i="50" s="1"/>
  <c r="I73" i="50"/>
  <c r="H73" i="50"/>
  <c r="L73" i="50" s="1"/>
  <c r="AE47" i="50"/>
  <c r="AD47" i="50"/>
  <c r="AH47" i="50" s="1"/>
  <c r="I72" i="50"/>
  <c r="H72" i="50"/>
  <c r="L72" i="50" s="1"/>
  <c r="AE46" i="50"/>
  <c r="AD46" i="50"/>
  <c r="AH46" i="50" s="1"/>
  <c r="I71" i="50"/>
  <c r="H71" i="50"/>
  <c r="L71" i="50" s="1"/>
  <c r="AE45" i="50"/>
  <c r="AD45" i="50"/>
  <c r="AH45" i="50" s="1"/>
  <c r="I70" i="50"/>
  <c r="H70" i="50"/>
  <c r="L70" i="50" s="1"/>
  <c r="AE44" i="50"/>
  <c r="AD44" i="50"/>
  <c r="AH44" i="50" s="1"/>
  <c r="I69" i="50"/>
  <c r="H69" i="50"/>
  <c r="L69" i="50" s="1"/>
  <c r="AE43" i="50"/>
  <c r="AD43" i="50"/>
  <c r="AH43" i="50" s="1"/>
  <c r="I68" i="50"/>
  <c r="H68" i="50"/>
  <c r="L68" i="50" s="1"/>
  <c r="AE42" i="50"/>
  <c r="AD42" i="50"/>
  <c r="AH42" i="50" s="1"/>
  <c r="I67" i="50"/>
  <c r="H67" i="50"/>
  <c r="L67" i="50" s="1"/>
  <c r="AE41" i="50"/>
  <c r="AD41" i="50"/>
  <c r="AH41" i="50" s="1"/>
  <c r="I66" i="50"/>
  <c r="H66" i="50"/>
  <c r="AE40" i="50"/>
  <c r="AD40" i="50"/>
  <c r="AH40" i="50" s="1"/>
  <c r="I65" i="50"/>
  <c r="H65" i="50"/>
  <c r="AE39" i="50"/>
  <c r="AD39" i="50"/>
  <c r="AH39" i="50" s="1"/>
  <c r="AE38" i="50"/>
  <c r="AD38" i="50"/>
  <c r="AH38" i="50" s="1"/>
  <c r="AE37" i="50"/>
  <c r="AD37" i="50"/>
  <c r="AH37" i="50" s="1"/>
  <c r="AE36" i="50"/>
  <c r="AD36" i="50"/>
  <c r="AH36" i="50" s="1"/>
  <c r="AE35" i="50"/>
  <c r="AD35" i="50"/>
  <c r="I34" i="50"/>
  <c r="H34" i="50"/>
  <c r="L34" i="50" s="1"/>
  <c r="AD20" i="50"/>
  <c r="AE19" i="50"/>
  <c r="AD19" i="50"/>
  <c r="AL19" i="50" s="1"/>
  <c r="AE18" i="50"/>
  <c r="AD18" i="50"/>
  <c r="AE17" i="50"/>
  <c r="AD17" i="50"/>
  <c r="AH17" i="50" s="1"/>
  <c r="AE16" i="50"/>
  <c r="AD16" i="50"/>
  <c r="AE15" i="50"/>
  <c r="AD15" i="50"/>
  <c r="AH15" i="50" s="1"/>
  <c r="AE14" i="50"/>
  <c r="AD14" i="50"/>
  <c r="AE13" i="50"/>
  <c r="AD13" i="50"/>
  <c r="AE12" i="50"/>
  <c r="AD12" i="50"/>
  <c r="AH12" i="50" s="1"/>
  <c r="AE11" i="50"/>
  <c r="AD11" i="50"/>
  <c r="AE10" i="50"/>
  <c r="AD10" i="50"/>
  <c r="AL10" i="50" s="1"/>
  <c r="AE9" i="50"/>
  <c r="AD9" i="50"/>
  <c r="AH9" i="50" s="1"/>
  <c r="AE8" i="50"/>
  <c r="AD8" i="50"/>
  <c r="AL8" i="50" s="1"/>
  <c r="AE7" i="50"/>
  <c r="AD7" i="50"/>
  <c r="I7" i="50"/>
  <c r="H7" i="50"/>
  <c r="L7" i="50" s="1"/>
  <c r="AF110" i="49" l="1"/>
  <c r="AF111" i="49" s="1"/>
  <c r="AF125" i="50"/>
  <c r="AI129" i="49"/>
  <c r="AI130" i="49"/>
  <c r="AI131" i="49" s="1"/>
  <c r="AI125" i="50"/>
  <c r="AI126" i="50"/>
  <c r="AI127" i="50" s="1"/>
  <c r="AF109" i="49"/>
  <c r="AF107" i="51"/>
  <c r="AF108" i="51"/>
  <c r="AF109" i="51" s="1"/>
  <c r="AG118" i="50"/>
  <c r="AG119" i="50"/>
  <c r="AG120" i="50" s="1"/>
  <c r="AG125" i="50"/>
  <c r="AG126" i="50"/>
  <c r="AG127" i="50" s="1"/>
  <c r="AL35" i="50"/>
  <c r="AD104" i="50"/>
  <c r="AD105" i="50"/>
  <c r="AD106" i="50" s="1"/>
  <c r="AH49" i="50"/>
  <c r="AD112" i="50"/>
  <c r="AD113" i="50" s="1"/>
  <c r="AD111" i="50"/>
  <c r="AF118" i="50"/>
  <c r="AF119" i="50"/>
  <c r="AF120" i="50" s="1"/>
  <c r="AI100" i="51"/>
  <c r="AI101" i="51"/>
  <c r="AI102" i="51" s="1"/>
  <c r="AF100" i="51"/>
  <c r="AF101" i="51"/>
  <c r="AF102" i="51" s="1"/>
  <c r="AF126" i="50"/>
  <c r="AF127" i="50" s="1"/>
  <c r="AG129" i="49"/>
  <c r="AG130" i="49"/>
  <c r="AG131" i="49" s="1"/>
  <c r="AE105" i="50"/>
  <c r="AE106" i="50" s="1"/>
  <c r="AE104" i="50"/>
  <c r="AE111" i="50"/>
  <c r="AE112" i="50"/>
  <c r="AE113" i="50" s="1"/>
  <c r="AG109" i="49"/>
  <c r="AF130" i="49"/>
  <c r="AF131" i="49" s="1"/>
  <c r="AF129" i="49"/>
  <c r="AG107" i="51"/>
  <c r="AG108" i="51"/>
  <c r="AG109" i="51" s="1"/>
  <c r="AG100" i="51"/>
  <c r="AG101" i="51"/>
  <c r="AG102" i="51" s="1"/>
  <c r="AI107" i="51"/>
  <c r="AI108" i="51"/>
  <c r="AI109" i="51" s="1"/>
  <c r="AI118" i="50"/>
  <c r="AI119" i="50"/>
  <c r="AI120" i="50" s="1"/>
  <c r="AG54" i="51"/>
  <c r="AG55" i="51"/>
  <c r="AG56" i="51" s="1"/>
  <c r="AF54" i="51"/>
  <c r="AF55" i="51"/>
  <c r="AF56" i="51" s="1"/>
  <c r="AI54" i="51"/>
  <c r="AI55" i="51"/>
  <c r="AI56" i="51" s="1"/>
  <c r="K23" i="51"/>
  <c r="K24" i="51"/>
  <c r="K25" i="51" s="1"/>
  <c r="J23" i="51"/>
  <c r="J24" i="51"/>
  <c r="J25" i="51" s="1"/>
  <c r="M23" i="51"/>
  <c r="M24" i="51"/>
  <c r="M25" i="51" s="1"/>
  <c r="AF40" i="51"/>
  <c r="AF41" i="51"/>
  <c r="AF42" i="51" s="1"/>
  <c r="AG40" i="51"/>
  <c r="AG41" i="51"/>
  <c r="AG42" i="51" s="1"/>
  <c r="AI40" i="51"/>
  <c r="AI41" i="51"/>
  <c r="AI42" i="51" s="1"/>
  <c r="K106" i="51"/>
  <c r="K107" i="51"/>
  <c r="K108" i="51" s="1"/>
  <c r="M50" i="51"/>
  <c r="M100" i="51"/>
  <c r="M101" i="51"/>
  <c r="M102" i="51" s="1"/>
  <c r="M106" i="51"/>
  <c r="M107" i="51"/>
  <c r="M108" i="51" s="1"/>
  <c r="J106" i="51"/>
  <c r="J107" i="51"/>
  <c r="J108" i="51" s="1"/>
  <c r="J100" i="51"/>
  <c r="J101" i="51"/>
  <c r="J102" i="51" s="1"/>
  <c r="K100" i="51"/>
  <c r="K101" i="51"/>
  <c r="K102" i="51" s="1"/>
  <c r="J50" i="51"/>
  <c r="J51" i="51"/>
  <c r="J52" i="51" s="1"/>
  <c r="M51" i="51"/>
  <c r="M52" i="51" s="1"/>
  <c r="K50" i="51"/>
  <c r="K51" i="51"/>
  <c r="K52" i="51" s="1"/>
  <c r="AI110" i="49"/>
  <c r="AI111" i="49" s="1"/>
  <c r="AI109" i="49"/>
  <c r="AG110" i="49"/>
  <c r="AG111" i="49" s="1"/>
  <c r="J135" i="49"/>
  <c r="J136" i="49"/>
  <c r="J137" i="49" s="1"/>
  <c r="K135" i="49"/>
  <c r="K136" i="49"/>
  <c r="K137" i="49" s="1"/>
  <c r="M135" i="49"/>
  <c r="M136" i="49"/>
  <c r="M137" i="49" s="1"/>
  <c r="K131" i="49"/>
  <c r="K132" i="49" s="1"/>
  <c r="K130" i="49"/>
  <c r="J131" i="49"/>
  <c r="J132" i="49" s="1"/>
  <c r="J130" i="49"/>
  <c r="M130" i="49"/>
  <c r="M131" i="49"/>
  <c r="M132" i="49" s="1"/>
  <c r="J96" i="50"/>
  <c r="J104" i="50"/>
  <c r="K97" i="50"/>
  <c r="K104" i="50"/>
  <c r="K96" i="50"/>
  <c r="AL7" i="50"/>
  <c r="AD27" i="50"/>
  <c r="AD28" i="50" s="1"/>
  <c r="AD26" i="50"/>
  <c r="P10" i="50"/>
  <c r="J97" i="50"/>
  <c r="K103" i="50"/>
  <c r="K105" i="50"/>
  <c r="AE26" i="50"/>
  <c r="AE27" i="50"/>
  <c r="AE28" i="50" s="1"/>
  <c r="P35" i="50"/>
  <c r="J105" i="50"/>
  <c r="AJ14" i="50"/>
  <c r="AI14" i="50" s="1"/>
  <c r="AJ18" i="50"/>
  <c r="AI18" i="50" s="1"/>
  <c r="L82" i="50"/>
  <c r="P82" i="50"/>
  <c r="L83" i="50"/>
  <c r="P83" i="50"/>
  <c r="L85" i="50"/>
  <c r="P85" i="50"/>
  <c r="L86" i="50"/>
  <c r="P86" i="50"/>
  <c r="L87" i="50"/>
  <c r="P87" i="50"/>
  <c r="L88" i="50"/>
  <c r="P88" i="50"/>
  <c r="L89" i="50"/>
  <c r="P89" i="50"/>
  <c r="L90" i="50"/>
  <c r="P90" i="50"/>
  <c r="K99" i="50"/>
  <c r="M101" i="50"/>
  <c r="K101" i="50"/>
  <c r="L92" i="50"/>
  <c r="P92" i="50"/>
  <c r="J100" i="50"/>
  <c r="J99" i="50"/>
  <c r="I117" i="50"/>
  <c r="I118" i="50"/>
  <c r="I119" i="50" s="1"/>
  <c r="I112" i="50"/>
  <c r="I113" i="50" s="1"/>
  <c r="I111" i="50"/>
  <c r="J101" i="50"/>
  <c r="P65" i="50"/>
  <c r="H118" i="50"/>
  <c r="H119" i="50" s="1"/>
  <c r="H117" i="50"/>
  <c r="H112" i="50"/>
  <c r="H113" i="50" s="1"/>
  <c r="H111" i="50"/>
  <c r="AL46" i="50"/>
  <c r="L91" i="50"/>
  <c r="P91" i="50"/>
  <c r="L93" i="50"/>
  <c r="P93" i="50"/>
  <c r="N35" i="50"/>
  <c r="K35" i="50" s="1"/>
  <c r="K100" i="50"/>
  <c r="M98" i="50"/>
  <c r="K98" i="50"/>
  <c r="M102" i="50"/>
  <c r="K102" i="50"/>
  <c r="J103" i="50"/>
  <c r="J95" i="50"/>
  <c r="M94" i="50"/>
  <c r="K94" i="50"/>
  <c r="K95" i="50"/>
  <c r="J98" i="50"/>
  <c r="I50" i="50"/>
  <c r="P42" i="50"/>
  <c r="N15" i="50"/>
  <c r="M15" i="50" s="1"/>
  <c r="P15" i="50"/>
  <c r="I24" i="50"/>
  <c r="I25" i="50" s="1"/>
  <c r="I23" i="50"/>
  <c r="AH10" i="50"/>
  <c r="P36" i="50"/>
  <c r="P46" i="50"/>
  <c r="N39" i="50"/>
  <c r="M39" i="50" s="1"/>
  <c r="P40" i="50"/>
  <c r="P43" i="50"/>
  <c r="N18" i="50"/>
  <c r="M18" i="50" s="1"/>
  <c r="N14" i="50"/>
  <c r="M14" i="50" s="1"/>
  <c r="P11" i="50"/>
  <c r="H50" i="50"/>
  <c r="P39" i="50"/>
  <c r="P18" i="50"/>
  <c r="P14" i="50"/>
  <c r="H24" i="50"/>
  <c r="H25" i="50" s="1"/>
  <c r="N43" i="50"/>
  <c r="M43" i="50" s="1"/>
  <c r="N38" i="50"/>
  <c r="M38" i="50" s="1"/>
  <c r="H51" i="50"/>
  <c r="H52" i="50" s="1"/>
  <c r="AJ13" i="50"/>
  <c r="AG13" i="50" s="1"/>
  <c r="P38" i="50"/>
  <c r="AL37" i="50"/>
  <c r="L18" i="50"/>
  <c r="N11" i="50"/>
  <c r="M11" i="50" s="1"/>
  <c r="L8" i="50"/>
  <c r="P17" i="50"/>
  <c r="P13" i="50"/>
  <c r="P9" i="50"/>
  <c r="L44" i="50"/>
  <c r="L51" i="50" s="1"/>
  <c r="L52" i="50" s="1"/>
  <c r="N42" i="50"/>
  <c r="M42" i="50" s="1"/>
  <c r="H23" i="50"/>
  <c r="I51" i="50"/>
  <c r="I52" i="50" s="1"/>
  <c r="L12" i="50"/>
  <c r="P16" i="50"/>
  <c r="N46" i="50"/>
  <c r="M46" i="50" s="1"/>
  <c r="N92" i="50"/>
  <c r="M92" i="50" s="1"/>
  <c r="P73" i="50"/>
  <c r="N44" i="50"/>
  <c r="J44" i="50" s="1"/>
  <c r="N40" i="50"/>
  <c r="J40" i="50" s="1"/>
  <c r="N36" i="50"/>
  <c r="P37" i="50"/>
  <c r="P41" i="50"/>
  <c r="P45" i="50"/>
  <c r="N45" i="50"/>
  <c r="M45" i="50" s="1"/>
  <c r="N41" i="50"/>
  <c r="M41" i="50" s="1"/>
  <c r="N37" i="50"/>
  <c r="M37" i="50" s="1"/>
  <c r="AJ17" i="50"/>
  <c r="AI17" i="50" s="1"/>
  <c r="AH19" i="50"/>
  <c r="AL42" i="50"/>
  <c r="AL50" i="50"/>
  <c r="L14" i="50"/>
  <c r="AJ19" i="50"/>
  <c r="AF19" i="50" s="1"/>
  <c r="N10" i="50"/>
  <c r="M10" i="50" s="1"/>
  <c r="P69" i="50"/>
  <c r="N16" i="50"/>
  <c r="N12" i="50"/>
  <c r="N8" i="50"/>
  <c r="N17" i="50"/>
  <c r="M17" i="50" s="1"/>
  <c r="N13" i="50"/>
  <c r="M13" i="50" s="1"/>
  <c r="N9" i="50"/>
  <c r="M9" i="50" s="1"/>
  <c r="P7" i="50"/>
  <c r="AJ36" i="50"/>
  <c r="AF36" i="50" s="1"/>
  <c r="N67" i="50"/>
  <c r="J67" i="50" s="1"/>
  <c r="N71" i="50"/>
  <c r="J71" i="50" s="1"/>
  <c r="N75" i="50"/>
  <c r="J75" i="50" s="1"/>
  <c r="AL12" i="50"/>
  <c r="AL40" i="50"/>
  <c r="N69" i="50"/>
  <c r="J69" i="50" s="1"/>
  <c r="AL44" i="50"/>
  <c r="N73" i="50"/>
  <c r="J73" i="50" s="1"/>
  <c r="AL48" i="50"/>
  <c r="AJ51" i="50"/>
  <c r="AI51" i="50" s="1"/>
  <c r="N77" i="50"/>
  <c r="K77" i="50" s="1"/>
  <c r="AL36" i="50"/>
  <c r="P67" i="50"/>
  <c r="P71" i="50"/>
  <c r="P75" i="50"/>
  <c r="AJ54" i="50"/>
  <c r="AI54" i="50" s="1"/>
  <c r="AH7" i="50"/>
  <c r="AJ12" i="50"/>
  <c r="AI12" i="50" s="1"/>
  <c r="AL13" i="50"/>
  <c r="AJ16" i="50"/>
  <c r="AI16" i="50" s="1"/>
  <c r="AL38" i="50"/>
  <c r="P66" i="50"/>
  <c r="P68" i="50"/>
  <c r="P70" i="50"/>
  <c r="P72" i="50"/>
  <c r="P74" i="50"/>
  <c r="AL57" i="50"/>
  <c r="N83" i="50"/>
  <c r="M83" i="50" s="1"/>
  <c r="AJ39" i="50"/>
  <c r="AF39" i="50" s="1"/>
  <c r="AJ41" i="50"/>
  <c r="AF41" i="50" s="1"/>
  <c r="AJ43" i="50"/>
  <c r="AG43" i="50" s="1"/>
  <c r="AJ45" i="50"/>
  <c r="AF45" i="50" s="1"/>
  <c r="AJ47" i="50"/>
  <c r="AF47" i="50" s="1"/>
  <c r="AJ49" i="50"/>
  <c r="N91" i="50"/>
  <c r="M91" i="50" s="1"/>
  <c r="AH8" i="50"/>
  <c r="AL17" i="50"/>
  <c r="AH18" i="50"/>
  <c r="AJ38" i="50"/>
  <c r="AF38" i="50" s="1"/>
  <c r="AL39" i="50"/>
  <c r="AL41" i="50"/>
  <c r="N68" i="50"/>
  <c r="M68" i="50" s="1"/>
  <c r="AL43" i="50"/>
  <c r="N70" i="50"/>
  <c r="M70" i="50" s="1"/>
  <c r="AL45" i="50"/>
  <c r="N72" i="50"/>
  <c r="K72" i="50" s="1"/>
  <c r="AL47" i="50"/>
  <c r="N74" i="50"/>
  <c r="M74" i="50" s="1"/>
  <c r="AL49" i="50"/>
  <c r="N76" i="50"/>
  <c r="AJ52" i="50"/>
  <c r="AG52" i="50" s="1"/>
  <c r="N81" i="50"/>
  <c r="M81" i="50" s="1"/>
  <c r="N86" i="50"/>
  <c r="J86" i="50" s="1"/>
  <c r="AL61" i="50"/>
  <c r="N87" i="50"/>
  <c r="J87" i="50" s="1"/>
  <c r="AJ50" i="50"/>
  <c r="AG50" i="50" s="1"/>
  <c r="AL11" i="50"/>
  <c r="AH13" i="50"/>
  <c r="AL14" i="50"/>
  <c r="AL16" i="50"/>
  <c r="N7" i="50"/>
  <c r="AJ15" i="50"/>
  <c r="AI15" i="50" s="1"/>
  <c r="AL15" i="50"/>
  <c r="N34" i="50"/>
  <c r="AH11" i="50"/>
  <c r="AJ53" i="50"/>
  <c r="AJ7" i="50"/>
  <c r="AJ8" i="50"/>
  <c r="AI8" i="50" s="1"/>
  <c r="AJ9" i="50"/>
  <c r="AI9" i="50" s="1"/>
  <c r="AJ10" i="50"/>
  <c r="AI10" i="50" s="1"/>
  <c r="AJ11" i="50"/>
  <c r="AH14" i="50"/>
  <c r="AH16" i="50"/>
  <c r="AL9" i="50"/>
  <c r="AL18" i="50"/>
  <c r="AJ37" i="50"/>
  <c r="AG37" i="50" s="1"/>
  <c r="AJ40" i="50"/>
  <c r="AJ42" i="50"/>
  <c r="AJ44" i="50"/>
  <c r="AG44" i="50" s="1"/>
  <c r="AJ46" i="50"/>
  <c r="AJ48" i="50"/>
  <c r="AG48" i="50" s="1"/>
  <c r="N78" i="50"/>
  <c r="K78" i="50" s="1"/>
  <c r="N79" i="50"/>
  <c r="K79" i="50" s="1"/>
  <c r="N90" i="50"/>
  <c r="K90" i="50" s="1"/>
  <c r="N66" i="50"/>
  <c r="N84" i="50"/>
  <c r="J84" i="50" s="1"/>
  <c r="L84" i="50"/>
  <c r="N65" i="50"/>
  <c r="N80" i="50"/>
  <c r="N85" i="50"/>
  <c r="M85" i="50" s="1"/>
  <c r="P34" i="50"/>
  <c r="AJ35" i="50"/>
  <c r="N82" i="50"/>
  <c r="AL59" i="50"/>
  <c r="N88" i="50"/>
  <c r="J88" i="50" s="1"/>
  <c r="N89" i="50"/>
  <c r="M89" i="50" s="1"/>
  <c r="AH35" i="50"/>
  <c r="L65" i="50"/>
  <c r="L66" i="50"/>
  <c r="AL58" i="50"/>
  <c r="N93" i="50"/>
  <c r="L76" i="50"/>
  <c r="AH51" i="50"/>
  <c r="L77" i="50"/>
  <c r="AH52" i="50"/>
  <c r="L78" i="50"/>
  <c r="AH53" i="50"/>
  <c r="L79" i="50"/>
  <c r="AH54" i="50"/>
  <c r="L80" i="50"/>
  <c r="L81" i="50"/>
  <c r="AL51" i="50"/>
  <c r="O48" i="49"/>
  <c r="O49" i="49"/>
  <c r="O50" i="49" s="1"/>
  <c r="O43" i="49"/>
  <c r="O44" i="49"/>
  <c r="O45" i="49" s="1"/>
  <c r="O16" i="49"/>
  <c r="O17" i="49"/>
  <c r="O18" i="49" s="1"/>
  <c r="H90" i="49"/>
  <c r="I89" i="49"/>
  <c r="H89" i="49"/>
  <c r="I88" i="49"/>
  <c r="H88" i="49"/>
  <c r="I87" i="49"/>
  <c r="H87" i="49"/>
  <c r="I86" i="49"/>
  <c r="H86" i="49"/>
  <c r="I85" i="49"/>
  <c r="H85" i="49"/>
  <c r="I84" i="49"/>
  <c r="H84" i="49"/>
  <c r="I83" i="49"/>
  <c r="H83" i="49"/>
  <c r="I82" i="49"/>
  <c r="H82" i="49"/>
  <c r="I58" i="49"/>
  <c r="H58" i="49"/>
  <c r="AD58" i="49"/>
  <c r="AE57" i="49"/>
  <c r="AD57" i="49"/>
  <c r="AE56" i="49"/>
  <c r="AD56" i="49"/>
  <c r="AH56" i="49" s="1"/>
  <c r="AE55" i="49"/>
  <c r="AD55" i="49"/>
  <c r="AH55" i="49" s="1"/>
  <c r="AE54" i="49"/>
  <c r="AD54" i="49"/>
  <c r="AH54" i="49" s="1"/>
  <c r="AE53" i="49"/>
  <c r="AD53" i="49"/>
  <c r="AH53" i="49" s="1"/>
  <c r="AE52" i="49"/>
  <c r="AD52" i="49"/>
  <c r="AH52" i="49" s="1"/>
  <c r="AE51" i="49"/>
  <c r="AD51" i="49"/>
  <c r="AH51" i="49" s="1"/>
  <c r="AE50" i="49"/>
  <c r="AD50" i="49"/>
  <c r="AH50" i="49" s="1"/>
  <c r="AE49" i="49"/>
  <c r="AD49" i="49"/>
  <c r="AH49" i="49" s="1"/>
  <c r="AE48" i="49"/>
  <c r="AD48" i="49"/>
  <c r="AH48" i="49" s="1"/>
  <c r="AE47" i="49"/>
  <c r="AD47" i="49"/>
  <c r="AH47" i="49" s="1"/>
  <c r="AE46" i="49"/>
  <c r="AD46" i="49"/>
  <c r="AH46" i="49" s="1"/>
  <c r="AE45" i="49"/>
  <c r="AD45" i="49"/>
  <c r="AE44" i="49"/>
  <c r="AD44" i="49"/>
  <c r="H40" i="49"/>
  <c r="I39" i="49"/>
  <c r="H39" i="49"/>
  <c r="L39" i="49" s="1"/>
  <c r="I38" i="49"/>
  <c r="H38" i="49"/>
  <c r="P38" i="49" s="1"/>
  <c r="I37" i="49"/>
  <c r="H37" i="49"/>
  <c r="L37" i="49" s="1"/>
  <c r="I36" i="49"/>
  <c r="H36" i="49"/>
  <c r="L36" i="49" s="1"/>
  <c r="I35" i="49"/>
  <c r="H35" i="49"/>
  <c r="L35" i="49" s="1"/>
  <c r="I34" i="49"/>
  <c r="H34" i="49"/>
  <c r="L34" i="49" s="1"/>
  <c r="I33" i="49"/>
  <c r="H33" i="49"/>
  <c r="I32" i="49"/>
  <c r="H32" i="49"/>
  <c r="P32" i="49" s="1"/>
  <c r="I31" i="49"/>
  <c r="H31" i="49"/>
  <c r="L31" i="49" s="1"/>
  <c r="I30" i="49"/>
  <c r="H30" i="49"/>
  <c r="L30" i="49" s="1"/>
  <c r="I29" i="49"/>
  <c r="H29" i="49"/>
  <c r="L29" i="49" s="1"/>
  <c r="I28" i="49"/>
  <c r="H28" i="49"/>
  <c r="I27" i="49"/>
  <c r="H27" i="49"/>
  <c r="AD28" i="49"/>
  <c r="AE27" i="49"/>
  <c r="AD27" i="49"/>
  <c r="AE26" i="49"/>
  <c r="AD26" i="49"/>
  <c r="AH26" i="49" s="1"/>
  <c r="AE25" i="49"/>
  <c r="AD25" i="49"/>
  <c r="AL25" i="49" s="1"/>
  <c r="AE24" i="49"/>
  <c r="AD24" i="49"/>
  <c r="AH24" i="49" s="1"/>
  <c r="AE23" i="49"/>
  <c r="AD23" i="49"/>
  <c r="AL23" i="49" s="1"/>
  <c r="AE22" i="49"/>
  <c r="AD22" i="49"/>
  <c r="AH22" i="49" s="1"/>
  <c r="AE21" i="49"/>
  <c r="AD21" i="49"/>
  <c r="AE20" i="49"/>
  <c r="AD20" i="49"/>
  <c r="AE19" i="49"/>
  <c r="AD19" i="49"/>
  <c r="AE18" i="49"/>
  <c r="AD18" i="49"/>
  <c r="AE17" i="49"/>
  <c r="AD17" i="49"/>
  <c r="AL17" i="49" s="1"/>
  <c r="AE16" i="49"/>
  <c r="AD16" i="49"/>
  <c r="AE15" i="49"/>
  <c r="AD15" i="49"/>
  <c r="AE14" i="49"/>
  <c r="AD14" i="49"/>
  <c r="AE13" i="49"/>
  <c r="AD13" i="49"/>
  <c r="AH13" i="49" s="1"/>
  <c r="AE12" i="49"/>
  <c r="AD12" i="49"/>
  <c r="AL12" i="49" s="1"/>
  <c r="AE11" i="49"/>
  <c r="AD11" i="49"/>
  <c r="H11" i="49"/>
  <c r="AE10" i="49"/>
  <c r="AD10" i="49"/>
  <c r="I10" i="49"/>
  <c r="H10" i="49"/>
  <c r="P10" i="49" s="1"/>
  <c r="AE9" i="49"/>
  <c r="AD9" i="49"/>
  <c r="AL9" i="49" s="1"/>
  <c r="I9" i="49"/>
  <c r="H9" i="49"/>
  <c r="P9" i="49" s="1"/>
  <c r="AE8" i="49"/>
  <c r="AD8" i="49"/>
  <c r="I8" i="49"/>
  <c r="H8" i="49"/>
  <c r="P8" i="49" s="1"/>
  <c r="AE7" i="49"/>
  <c r="AD7" i="49"/>
  <c r="I7" i="49"/>
  <c r="I16" i="49" s="1"/>
  <c r="H7" i="49"/>
  <c r="H17" i="49" s="1"/>
  <c r="H18" i="49" s="1"/>
  <c r="AK95" i="48"/>
  <c r="AK96" i="48"/>
  <c r="AK97" i="48" s="1"/>
  <c r="AK88" i="48"/>
  <c r="AK89" i="48"/>
  <c r="AK90" i="48" s="1"/>
  <c r="AD65" i="48"/>
  <c r="AH65" i="48" s="1"/>
  <c r="AE65" i="48"/>
  <c r="AD66" i="48"/>
  <c r="AH66" i="48" s="1"/>
  <c r="AE66" i="48"/>
  <c r="AD67" i="48"/>
  <c r="AH67" i="48" s="1"/>
  <c r="AE67" i="48"/>
  <c r="AD68" i="48"/>
  <c r="AL68" i="48" s="1"/>
  <c r="AE68" i="48"/>
  <c r="AH68" i="48"/>
  <c r="AD69" i="48"/>
  <c r="AH69" i="48" s="1"/>
  <c r="AE69" i="48"/>
  <c r="AD70" i="48"/>
  <c r="AH70" i="48" s="1"/>
  <c r="AE70" i="48"/>
  <c r="AD71" i="48"/>
  <c r="AH71" i="48" s="1"/>
  <c r="AE71" i="48"/>
  <c r="AD72" i="48"/>
  <c r="AL72" i="48" s="1"/>
  <c r="AE72" i="48"/>
  <c r="AH72" i="48"/>
  <c r="AD73" i="48"/>
  <c r="AJ73" i="48" s="1"/>
  <c r="AF73" i="48" s="1"/>
  <c r="AE73" i="48"/>
  <c r="AD74" i="48"/>
  <c r="AH74" i="48" s="1"/>
  <c r="AE74" i="48"/>
  <c r="AD75" i="48"/>
  <c r="AE75" i="48"/>
  <c r="AD76" i="48"/>
  <c r="AH76" i="48" s="1"/>
  <c r="AE76" i="48"/>
  <c r="AD77" i="48"/>
  <c r="AH77" i="48" s="1"/>
  <c r="AE77" i="48"/>
  <c r="AD78" i="48"/>
  <c r="AE78" i="48"/>
  <c r="AH78" i="48"/>
  <c r="AD79" i="48"/>
  <c r="AH79" i="48" s="1"/>
  <c r="AE79" i="48"/>
  <c r="AD80" i="48"/>
  <c r="AH80" i="48" s="1"/>
  <c r="AE80" i="48"/>
  <c r="AD81" i="48"/>
  <c r="AE81" i="48"/>
  <c r="AD82" i="48"/>
  <c r="AH82" i="48" s="1"/>
  <c r="AE82" i="48"/>
  <c r="AD83" i="48"/>
  <c r="AL74" i="48"/>
  <c r="AL69" i="48"/>
  <c r="AL66" i="48"/>
  <c r="AL65" i="48"/>
  <c r="AE64" i="48"/>
  <c r="AD64" i="48"/>
  <c r="AL64" i="48" s="1"/>
  <c r="AE63" i="48"/>
  <c r="AD63" i="48"/>
  <c r="AL63" i="48" s="1"/>
  <c r="AE62" i="48"/>
  <c r="AD62" i="48"/>
  <c r="AL62" i="48" s="1"/>
  <c r="AE61" i="48"/>
  <c r="AD61" i="48"/>
  <c r="AL61" i="48" s="1"/>
  <c r="AE60" i="48"/>
  <c r="AD60" i="48"/>
  <c r="AL60" i="48" s="1"/>
  <c r="AE59" i="48"/>
  <c r="AD59" i="48"/>
  <c r="AL59" i="48" s="1"/>
  <c r="AE58" i="48"/>
  <c r="AD58" i="48"/>
  <c r="AL58" i="48" s="1"/>
  <c r="AE57" i="48"/>
  <c r="AD57" i="48"/>
  <c r="AL57" i="48" s="1"/>
  <c r="AE56" i="48"/>
  <c r="AD56" i="48"/>
  <c r="AL56" i="48" s="1"/>
  <c r="AE55" i="48"/>
  <c r="AD55" i="48"/>
  <c r="AL55" i="48" s="1"/>
  <c r="AE54" i="48"/>
  <c r="AD54" i="48"/>
  <c r="AL54" i="48" s="1"/>
  <c r="AE53" i="48"/>
  <c r="AE88" i="48" s="1"/>
  <c r="AD53" i="48"/>
  <c r="AL53" i="48" s="1"/>
  <c r="AK44" i="48"/>
  <c r="AK45" i="48"/>
  <c r="AK46" i="48" s="1"/>
  <c r="AD8" i="48"/>
  <c r="AH8" i="48" s="1"/>
  <c r="AE8" i="48"/>
  <c r="AD9" i="48"/>
  <c r="AH9" i="48" s="1"/>
  <c r="AE9" i="48"/>
  <c r="AD10" i="48"/>
  <c r="AE10" i="48"/>
  <c r="AD11" i="48"/>
  <c r="AH11" i="48" s="1"/>
  <c r="AE11" i="48"/>
  <c r="AD12" i="48"/>
  <c r="AH12" i="48" s="1"/>
  <c r="AE12" i="48"/>
  <c r="AD13" i="48"/>
  <c r="AH13" i="48" s="1"/>
  <c r="AE13" i="48"/>
  <c r="AD14" i="48"/>
  <c r="AH14" i="48" s="1"/>
  <c r="AE14" i="48"/>
  <c r="AD15" i="48"/>
  <c r="AH15" i="48" s="1"/>
  <c r="AE15" i="48"/>
  <c r="AD16" i="48"/>
  <c r="AH16" i="48" s="1"/>
  <c r="AE16" i="48"/>
  <c r="AD17" i="48"/>
  <c r="AH17" i="48" s="1"/>
  <c r="AE17" i="48"/>
  <c r="AD18" i="48"/>
  <c r="AH18" i="48" s="1"/>
  <c r="AE18" i="48"/>
  <c r="AD19" i="48"/>
  <c r="AH19" i="48" s="1"/>
  <c r="AE19" i="48"/>
  <c r="AD20" i="48"/>
  <c r="AE20" i="48"/>
  <c r="AD21" i="48"/>
  <c r="AH21" i="48" s="1"/>
  <c r="AE21" i="48"/>
  <c r="AD22" i="48"/>
  <c r="AH22" i="48" s="1"/>
  <c r="AE22" i="48"/>
  <c r="AD23" i="48"/>
  <c r="AL23" i="48" s="1"/>
  <c r="AE23" i="48"/>
  <c r="AD24" i="48"/>
  <c r="AL24" i="48" s="1"/>
  <c r="AE24" i="48"/>
  <c r="AD25" i="48"/>
  <c r="AL25" i="48" s="1"/>
  <c r="AE25" i="48"/>
  <c r="AD26" i="48"/>
  <c r="AL26" i="48" s="1"/>
  <c r="AE26" i="48"/>
  <c r="AD27" i="48"/>
  <c r="AL27" i="48" s="1"/>
  <c r="AE27" i="48"/>
  <c r="AD28" i="48"/>
  <c r="AE28" i="48"/>
  <c r="AD29" i="48"/>
  <c r="AL29" i="48" s="1"/>
  <c r="AE29" i="48"/>
  <c r="AD30" i="48"/>
  <c r="AH30" i="48" s="1"/>
  <c r="AE30" i="48"/>
  <c r="AD31" i="48"/>
  <c r="AL31" i="48" s="1"/>
  <c r="AE31" i="48"/>
  <c r="AD32" i="48"/>
  <c r="AH32" i="48" s="1"/>
  <c r="AE32" i="48"/>
  <c r="AD33" i="48"/>
  <c r="AL33" i="48" s="1"/>
  <c r="AE33" i="48"/>
  <c r="AD34" i="48"/>
  <c r="AH34" i="48" s="1"/>
  <c r="AE34" i="48"/>
  <c r="AD35" i="48"/>
  <c r="AH35" i="48" s="1"/>
  <c r="AE35" i="48"/>
  <c r="AD36" i="48"/>
  <c r="AL36" i="48" s="1"/>
  <c r="AE36" i="48"/>
  <c r="AD37" i="48"/>
  <c r="AH37" i="48" s="1"/>
  <c r="AE37" i="48"/>
  <c r="AD38" i="48"/>
  <c r="AH38" i="48" s="1"/>
  <c r="AE38" i="48"/>
  <c r="AD39" i="48"/>
  <c r="AE7" i="48"/>
  <c r="AD7" i="48"/>
  <c r="O131" i="48"/>
  <c r="O132" i="48"/>
  <c r="O133" i="48" s="1"/>
  <c r="O125" i="48"/>
  <c r="O126" i="48"/>
  <c r="O127" i="48" s="1"/>
  <c r="H102" i="48"/>
  <c r="L102" i="48" s="1"/>
  <c r="I102" i="48"/>
  <c r="H103" i="48"/>
  <c r="L103" i="48" s="1"/>
  <c r="I103" i="48"/>
  <c r="H104" i="48"/>
  <c r="L104" i="48" s="1"/>
  <c r="I104" i="48"/>
  <c r="H105" i="48"/>
  <c r="L105" i="48" s="1"/>
  <c r="I105" i="48"/>
  <c r="H106" i="48"/>
  <c r="L106" i="48" s="1"/>
  <c r="I106" i="48"/>
  <c r="H107" i="48"/>
  <c r="L107" i="48" s="1"/>
  <c r="I107" i="48"/>
  <c r="H108" i="48"/>
  <c r="L108" i="48" s="1"/>
  <c r="I108" i="48"/>
  <c r="H109" i="48"/>
  <c r="L109" i="48" s="1"/>
  <c r="I109" i="48"/>
  <c r="H110" i="48"/>
  <c r="L110" i="48" s="1"/>
  <c r="I110" i="48"/>
  <c r="H111" i="48"/>
  <c r="L111" i="48" s="1"/>
  <c r="I111" i="48"/>
  <c r="H112" i="48"/>
  <c r="L112" i="48" s="1"/>
  <c r="I112" i="48"/>
  <c r="H113" i="48"/>
  <c r="L113" i="48" s="1"/>
  <c r="I113" i="48"/>
  <c r="H114" i="48"/>
  <c r="L114" i="48" s="1"/>
  <c r="I114" i="48"/>
  <c r="H115" i="48"/>
  <c r="L115" i="48" s="1"/>
  <c r="I115" i="48"/>
  <c r="H116" i="48"/>
  <c r="L116" i="48" s="1"/>
  <c r="I116" i="48"/>
  <c r="H117" i="48"/>
  <c r="L117" i="48" s="1"/>
  <c r="I117" i="48"/>
  <c r="H118" i="48"/>
  <c r="L118" i="48" s="1"/>
  <c r="I118" i="48"/>
  <c r="H119" i="48"/>
  <c r="L119" i="48" s="1"/>
  <c r="I119" i="48"/>
  <c r="H120" i="48"/>
  <c r="L120" i="48" s="1"/>
  <c r="I120" i="48"/>
  <c r="H121" i="48"/>
  <c r="O71" i="48"/>
  <c r="O72" i="48"/>
  <c r="O73" i="48" s="1"/>
  <c r="H38" i="48"/>
  <c r="L38" i="48" s="1"/>
  <c r="I38" i="48"/>
  <c r="H39" i="48"/>
  <c r="P39" i="48" s="1"/>
  <c r="I39" i="48"/>
  <c r="H40" i="48"/>
  <c r="P40" i="48" s="1"/>
  <c r="I40" i="48"/>
  <c r="H41" i="48"/>
  <c r="P41" i="48" s="1"/>
  <c r="I41" i="48"/>
  <c r="H42" i="48"/>
  <c r="L42" i="48" s="1"/>
  <c r="I42" i="48"/>
  <c r="H43" i="48"/>
  <c r="P43" i="48" s="1"/>
  <c r="I43" i="48"/>
  <c r="H44" i="48"/>
  <c r="L44" i="48" s="1"/>
  <c r="I44" i="48"/>
  <c r="H45" i="48"/>
  <c r="P45" i="48" s="1"/>
  <c r="I45" i="48"/>
  <c r="H46" i="48"/>
  <c r="P46" i="48" s="1"/>
  <c r="I46" i="48"/>
  <c r="H47" i="48"/>
  <c r="P47" i="48" s="1"/>
  <c r="I47" i="48"/>
  <c r="H48" i="48"/>
  <c r="P48" i="48" s="1"/>
  <c r="I48" i="48"/>
  <c r="H49" i="48"/>
  <c r="L49" i="48" s="1"/>
  <c r="I49" i="48"/>
  <c r="H50" i="48"/>
  <c r="L50" i="48" s="1"/>
  <c r="I50" i="48"/>
  <c r="H51" i="48"/>
  <c r="P51" i="48" s="1"/>
  <c r="I51" i="48"/>
  <c r="H52" i="48"/>
  <c r="P52" i="48" s="1"/>
  <c r="I52" i="48"/>
  <c r="H53" i="48"/>
  <c r="P53" i="48" s="1"/>
  <c r="I53" i="48"/>
  <c r="H54" i="48"/>
  <c r="L54" i="48" s="1"/>
  <c r="I54" i="48"/>
  <c r="H55" i="48"/>
  <c r="P55" i="48" s="1"/>
  <c r="I55" i="48"/>
  <c r="H56" i="48"/>
  <c r="L56" i="48" s="1"/>
  <c r="I56" i="48"/>
  <c r="H57" i="48"/>
  <c r="L57" i="48" s="1"/>
  <c r="I57" i="48"/>
  <c r="H58" i="48"/>
  <c r="P58" i="48" s="1"/>
  <c r="I58" i="48"/>
  <c r="H59" i="48"/>
  <c r="P59" i="48" s="1"/>
  <c r="I59" i="48"/>
  <c r="H60" i="48"/>
  <c r="L60" i="48" s="1"/>
  <c r="I60" i="48"/>
  <c r="H61" i="48"/>
  <c r="L61" i="48" s="1"/>
  <c r="I61" i="48"/>
  <c r="H62" i="48"/>
  <c r="P62" i="48" s="1"/>
  <c r="I62" i="48"/>
  <c r="H63" i="48"/>
  <c r="P63" i="48" s="1"/>
  <c r="I63" i="48"/>
  <c r="H64" i="48"/>
  <c r="P64" i="48" s="1"/>
  <c r="I64" i="48"/>
  <c r="H65" i="48"/>
  <c r="O27" i="48"/>
  <c r="O28" i="48"/>
  <c r="O29" i="48" s="1"/>
  <c r="H20" i="48"/>
  <c r="L20" i="48" s="1"/>
  <c r="I20" i="48"/>
  <c r="H21" i="48"/>
  <c r="I21" i="48"/>
  <c r="H22" i="48"/>
  <c r="L22" i="48" s="1"/>
  <c r="I22" i="48"/>
  <c r="H15" i="48"/>
  <c r="P15" i="48" s="1"/>
  <c r="I15" i="48"/>
  <c r="H16" i="48"/>
  <c r="L16" i="48" s="1"/>
  <c r="I16" i="48"/>
  <c r="H17" i="48"/>
  <c r="L17" i="48" s="1"/>
  <c r="I17" i="48"/>
  <c r="H18" i="48"/>
  <c r="L18" i="48" s="1"/>
  <c r="I18" i="48"/>
  <c r="H19" i="48"/>
  <c r="L19" i="48" s="1"/>
  <c r="I19" i="48"/>
  <c r="H14" i="48"/>
  <c r="P14" i="48" s="1"/>
  <c r="I14" i="48"/>
  <c r="I101" i="48"/>
  <c r="H101" i="48"/>
  <c r="I100" i="48"/>
  <c r="H100" i="48"/>
  <c r="I99" i="48"/>
  <c r="H99" i="48"/>
  <c r="L99" i="48" s="1"/>
  <c r="I98" i="48"/>
  <c r="H98" i="48"/>
  <c r="L98" i="48" s="1"/>
  <c r="I97" i="48"/>
  <c r="H97" i="48"/>
  <c r="L97" i="48" s="1"/>
  <c r="I96" i="48"/>
  <c r="H96" i="48"/>
  <c r="I95" i="48"/>
  <c r="H95" i="48"/>
  <c r="L95" i="48" s="1"/>
  <c r="I94" i="48"/>
  <c r="H94" i="48"/>
  <c r="L94" i="48" s="1"/>
  <c r="I93" i="48"/>
  <c r="H93" i="48"/>
  <c r="L93" i="48" s="1"/>
  <c r="I92" i="48"/>
  <c r="H92" i="48"/>
  <c r="L92" i="48" s="1"/>
  <c r="I91" i="48"/>
  <c r="H91" i="48"/>
  <c r="L91" i="48" s="1"/>
  <c r="I90" i="48"/>
  <c r="H90" i="48"/>
  <c r="L90" i="48" s="1"/>
  <c r="I89" i="48"/>
  <c r="H89" i="48"/>
  <c r="L89" i="48" s="1"/>
  <c r="I88" i="48"/>
  <c r="H88" i="48"/>
  <c r="L88" i="48" s="1"/>
  <c r="I87" i="48"/>
  <c r="H87" i="48"/>
  <c r="L87" i="48" s="1"/>
  <c r="I86" i="48"/>
  <c r="H86" i="48"/>
  <c r="I13" i="48"/>
  <c r="H13" i="48"/>
  <c r="L13" i="48" s="1"/>
  <c r="I12" i="48"/>
  <c r="H12" i="48"/>
  <c r="L12" i="48" s="1"/>
  <c r="I11" i="48"/>
  <c r="H11" i="48"/>
  <c r="L11" i="48" s="1"/>
  <c r="I10" i="48"/>
  <c r="H10" i="48"/>
  <c r="I9" i="48"/>
  <c r="H9" i="48"/>
  <c r="L9" i="48" s="1"/>
  <c r="I8" i="48"/>
  <c r="H8" i="48"/>
  <c r="L8" i="48" s="1"/>
  <c r="I7" i="48"/>
  <c r="H7" i="48"/>
  <c r="L7" i="48" s="1"/>
  <c r="AJ81" i="48" l="1"/>
  <c r="AI81" i="48" s="1"/>
  <c r="I28" i="48"/>
  <c r="AH24" i="48"/>
  <c r="AL70" i="48"/>
  <c r="AJ82" i="48"/>
  <c r="AI82" i="48" s="1"/>
  <c r="AH81" i="48"/>
  <c r="AJ78" i="48"/>
  <c r="AI78" i="48" s="1"/>
  <c r="AH73" i="48"/>
  <c r="AJ70" i="48"/>
  <c r="AI70" i="48" s="1"/>
  <c r="AH25" i="48"/>
  <c r="AL73" i="48"/>
  <c r="AE95" i="48"/>
  <c r="AJ66" i="48"/>
  <c r="AI66" i="48" s="1"/>
  <c r="AJ25" i="48"/>
  <c r="AD96" i="48"/>
  <c r="AD97" i="48" s="1"/>
  <c r="L33" i="49"/>
  <c r="H48" i="49"/>
  <c r="AE89" i="48"/>
  <c r="AE90" i="48" s="1"/>
  <c r="AH104" i="50"/>
  <c r="AH105" i="50"/>
  <c r="AH106" i="50" s="1"/>
  <c r="AH111" i="50"/>
  <c r="AH112" i="50"/>
  <c r="AH113" i="50" s="1"/>
  <c r="AD45" i="48"/>
  <c r="AD46" i="48" s="1"/>
  <c r="AJ24" i="48"/>
  <c r="AF24" i="48" s="1"/>
  <c r="AH23" i="48"/>
  <c r="AJ8" i="48"/>
  <c r="AI8" i="48" s="1"/>
  <c r="AG78" i="48"/>
  <c r="AJ74" i="48"/>
  <c r="AI74" i="48" s="1"/>
  <c r="AJ69" i="48"/>
  <c r="AG66" i="48"/>
  <c r="AD89" i="48"/>
  <c r="AD90" i="48" s="1"/>
  <c r="AE96" i="48"/>
  <c r="AE97" i="48" s="1"/>
  <c r="AD62" i="49"/>
  <c r="AD63" i="49"/>
  <c r="AD64" i="49" s="1"/>
  <c r="AI49" i="50"/>
  <c r="AJ111" i="50"/>
  <c r="AJ112" i="50"/>
  <c r="AJ113" i="50" s="1"/>
  <c r="AL104" i="50"/>
  <c r="AL105" i="50"/>
  <c r="AL106" i="50" s="1"/>
  <c r="AE63" i="49"/>
  <c r="AE64" i="49" s="1"/>
  <c r="AE62" i="49"/>
  <c r="AL111" i="50"/>
  <c r="AL112" i="50"/>
  <c r="AL113" i="50" s="1"/>
  <c r="AG81" i="48"/>
  <c r="AG69" i="48"/>
  <c r="AD95" i="48"/>
  <c r="AH45" i="49"/>
  <c r="AD70" i="49"/>
  <c r="AD71" i="49" s="1"/>
  <c r="AD69" i="49"/>
  <c r="AJ104" i="50"/>
  <c r="AJ105" i="50"/>
  <c r="AJ106" i="50" s="1"/>
  <c r="AJ77" i="48"/>
  <c r="AI77" i="48" s="1"/>
  <c r="AG73" i="48"/>
  <c r="AJ65" i="48"/>
  <c r="AI65" i="48" s="1"/>
  <c r="AD88" i="48"/>
  <c r="AE69" i="49"/>
  <c r="AE70" i="49"/>
  <c r="AE71" i="49" s="1"/>
  <c r="AH44" i="49"/>
  <c r="I43" i="49"/>
  <c r="AE32" i="49"/>
  <c r="AE33" i="49"/>
  <c r="AE34" i="49" s="1"/>
  <c r="AD32" i="49"/>
  <c r="AD33" i="49"/>
  <c r="AD34" i="49" s="1"/>
  <c r="L58" i="49"/>
  <c r="H97" i="49"/>
  <c r="H98" i="49"/>
  <c r="H99" i="49" s="1"/>
  <c r="H43" i="49"/>
  <c r="I97" i="49"/>
  <c r="I98" i="49"/>
  <c r="I99" i="49" s="1"/>
  <c r="H104" i="49"/>
  <c r="H105" i="49" s="1"/>
  <c r="H103" i="49"/>
  <c r="I103" i="49"/>
  <c r="I104" i="49"/>
  <c r="I105" i="49" s="1"/>
  <c r="H16" i="49"/>
  <c r="L82" i="49"/>
  <c r="P82" i="49"/>
  <c r="L88" i="49"/>
  <c r="P88" i="49"/>
  <c r="L84" i="49"/>
  <c r="P84" i="49"/>
  <c r="L86" i="49"/>
  <c r="P86" i="49"/>
  <c r="L83" i="49"/>
  <c r="P83" i="49"/>
  <c r="L85" i="49"/>
  <c r="P85" i="49"/>
  <c r="L87" i="49"/>
  <c r="P87" i="49"/>
  <c r="L89" i="49"/>
  <c r="P89" i="49"/>
  <c r="M67" i="50"/>
  <c r="K11" i="50"/>
  <c r="AF18" i="50"/>
  <c r="J15" i="50"/>
  <c r="M35" i="50"/>
  <c r="AF14" i="50"/>
  <c r="K15" i="50"/>
  <c r="K39" i="50"/>
  <c r="J14" i="50"/>
  <c r="J35" i="50"/>
  <c r="AL26" i="50"/>
  <c r="AG18" i="50"/>
  <c r="AG14" i="50"/>
  <c r="AF7" i="50"/>
  <c r="AJ27" i="50"/>
  <c r="AJ28" i="50" s="1"/>
  <c r="AJ26" i="50"/>
  <c r="AH27" i="50"/>
  <c r="AH28" i="50" s="1"/>
  <c r="AH26" i="50"/>
  <c r="AG38" i="50"/>
  <c r="AL27" i="50"/>
  <c r="AL28" i="50" s="1"/>
  <c r="L118" i="50"/>
  <c r="L119" i="50" s="1"/>
  <c r="L117" i="50"/>
  <c r="AI41" i="50"/>
  <c r="L24" i="50"/>
  <c r="L25" i="50" s="1"/>
  <c r="P117" i="50"/>
  <c r="K38" i="50"/>
  <c r="L112" i="50"/>
  <c r="L113" i="50" s="1"/>
  <c r="L111" i="50"/>
  <c r="N118" i="50"/>
  <c r="N119" i="50" s="1"/>
  <c r="N117" i="50"/>
  <c r="N111" i="50"/>
  <c r="N112" i="50"/>
  <c r="N113" i="50" s="1"/>
  <c r="M71" i="50"/>
  <c r="AI38" i="50"/>
  <c r="P111" i="50"/>
  <c r="P112" i="50"/>
  <c r="P113" i="50" s="1"/>
  <c r="P118" i="50"/>
  <c r="P119" i="50" s="1"/>
  <c r="AF13" i="50"/>
  <c r="AG51" i="50"/>
  <c r="AI13" i="50"/>
  <c r="J39" i="50"/>
  <c r="L23" i="50"/>
  <c r="AI36" i="50"/>
  <c r="K14" i="50"/>
  <c r="J42" i="50"/>
  <c r="K17" i="50"/>
  <c r="AG54" i="50"/>
  <c r="K73" i="50"/>
  <c r="AG19" i="50"/>
  <c r="AF15" i="50"/>
  <c r="AF17" i="50"/>
  <c r="J10" i="50"/>
  <c r="K18" i="50"/>
  <c r="J45" i="50"/>
  <c r="K43" i="50"/>
  <c r="AG17" i="50"/>
  <c r="AF16" i="50"/>
  <c r="AI19" i="50"/>
  <c r="J18" i="50"/>
  <c r="J38" i="50"/>
  <c r="K42" i="50"/>
  <c r="N51" i="50"/>
  <c r="N52" i="50" s="1"/>
  <c r="N50" i="50"/>
  <c r="AG41" i="50"/>
  <c r="AG49" i="50"/>
  <c r="AI43" i="50"/>
  <c r="AF49" i="50"/>
  <c r="AF51" i="50"/>
  <c r="J11" i="50"/>
  <c r="K10" i="50"/>
  <c r="J46" i="50"/>
  <c r="K46" i="50"/>
  <c r="N23" i="50"/>
  <c r="N24" i="50"/>
  <c r="N25" i="50" s="1"/>
  <c r="P23" i="50"/>
  <c r="P24" i="50"/>
  <c r="P25" i="50" s="1"/>
  <c r="J43" i="50"/>
  <c r="L50" i="50"/>
  <c r="K91" i="50"/>
  <c r="K92" i="50"/>
  <c r="K87" i="50"/>
  <c r="J92" i="50"/>
  <c r="M87" i="50"/>
  <c r="J83" i="50"/>
  <c r="K69" i="50"/>
  <c r="K74" i="50"/>
  <c r="J74" i="50"/>
  <c r="M72" i="50"/>
  <c r="K68" i="50"/>
  <c r="K67" i="50"/>
  <c r="J72" i="50"/>
  <c r="J68" i="50"/>
  <c r="P50" i="50"/>
  <c r="P51" i="50"/>
  <c r="P52" i="50" s="1"/>
  <c r="M36" i="50"/>
  <c r="K36" i="50"/>
  <c r="K41" i="50"/>
  <c r="J41" i="50"/>
  <c r="M40" i="50"/>
  <c r="K40" i="50"/>
  <c r="J36" i="50"/>
  <c r="M44" i="50"/>
  <c r="K44" i="50"/>
  <c r="J37" i="50"/>
  <c r="K37" i="50"/>
  <c r="K45" i="50"/>
  <c r="K75" i="50"/>
  <c r="K85" i="50"/>
  <c r="M75" i="50"/>
  <c r="M69" i="50"/>
  <c r="J81" i="50"/>
  <c r="K86" i="50"/>
  <c r="K71" i="50"/>
  <c r="AF43" i="50"/>
  <c r="AF10" i="50"/>
  <c r="AG16" i="50"/>
  <c r="J17" i="50"/>
  <c r="M8" i="50"/>
  <c r="K8" i="50"/>
  <c r="K9" i="50"/>
  <c r="M12" i="50"/>
  <c r="K12" i="50"/>
  <c r="J9" i="50"/>
  <c r="M16" i="50"/>
  <c r="K16" i="50"/>
  <c r="J13" i="50"/>
  <c r="J12" i="50"/>
  <c r="J8" i="50"/>
  <c r="J16" i="50"/>
  <c r="K13" i="50"/>
  <c r="K81" i="50"/>
  <c r="J85" i="50"/>
  <c r="AG36" i="50"/>
  <c r="AG47" i="50"/>
  <c r="J70" i="50"/>
  <c r="AI45" i="50"/>
  <c r="M86" i="50"/>
  <c r="AI47" i="50"/>
  <c r="M73" i="50"/>
  <c r="AF54" i="50"/>
  <c r="J77" i="50"/>
  <c r="M77" i="50"/>
  <c r="K70" i="50"/>
  <c r="AG8" i="50"/>
  <c r="AG45" i="50"/>
  <c r="AI39" i="50"/>
  <c r="AF8" i="50"/>
  <c r="J91" i="50"/>
  <c r="AG10" i="50"/>
  <c r="AF52" i="50"/>
  <c r="AI52" i="50"/>
  <c r="AG39" i="50"/>
  <c r="AF12" i="50"/>
  <c r="AG12" i="50"/>
  <c r="M76" i="50"/>
  <c r="K76" i="50"/>
  <c r="J76" i="50"/>
  <c r="K83" i="50"/>
  <c r="J82" i="50"/>
  <c r="M82" i="50"/>
  <c r="AI35" i="50"/>
  <c r="AF35" i="50"/>
  <c r="AG35" i="50"/>
  <c r="M66" i="50"/>
  <c r="K66" i="50"/>
  <c r="J66" i="50"/>
  <c r="AF40" i="50"/>
  <c r="AI40" i="50"/>
  <c r="AG40" i="50"/>
  <c r="AI11" i="50"/>
  <c r="AG11" i="50"/>
  <c r="M34" i="50"/>
  <c r="J34" i="50"/>
  <c r="M7" i="50"/>
  <c r="AF46" i="50"/>
  <c r="AI46" i="50"/>
  <c r="AF44" i="50"/>
  <c r="AI44" i="50"/>
  <c r="AF42" i="50"/>
  <c r="AI42" i="50"/>
  <c r="AG42" i="50"/>
  <c r="AI7" i="50"/>
  <c r="AI53" i="50"/>
  <c r="AF53" i="50"/>
  <c r="M93" i="50"/>
  <c r="K93" i="50"/>
  <c r="J89" i="50"/>
  <c r="M84" i="50"/>
  <c r="K84" i="50"/>
  <c r="M90" i="50"/>
  <c r="J90" i="50"/>
  <c r="J79" i="50"/>
  <c r="M79" i="50"/>
  <c r="AF37" i="50"/>
  <c r="AI37" i="50"/>
  <c r="AG46" i="50"/>
  <c r="AF9" i="50"/>
  <c r="K7" i="50"/>
  <c r="K34" i="50"/>
  <c r="AG15" i="50"/>
  <c r="J7" i="50"/>
  <c r="AF11" i="50"/>
  <c r="AG9" i="50"/>
  <c r="K89" i="50"/>
  <c r="M88" i="50"/>
  <c r="K88" i="50"/>
  <c r="K82" i="50"/>
  <c r="J80" i="50"/>
  <c r="M80" i="50"/>
  <c r="J65" i="50"/>
  <c r="M65" i="50"/>
  <c r="AF48" i="50"/>
  <c r="AI48" i="50"/>
  <c r="K65" i="50"/>
  <c r="J93" i="50"/>
  <c r="K80" i="50"/>
  <c r="M78" i="50"/>
  <c r="J78" i="50"/>
  <c r="AG53" i="50"/>
  <c r="AG7" i="50"/>
  <c r="AI50" i="50"/>
  <c r="AF50" i="50"/>
  <c r="H44" i="49"/>
  <c r="H45" i="49" s="1"/>
  <c r="H49" i="49"/>
  <c r="H50" i="49" s="1"/>
  <c r="I44" i="49"/>
  <c r="I45" i="49" s="1"/>
  <c r="I48" i="49"/>
  <c r="P34" i="49"/>
  <c r="I49" i="49"/>
  <c r="I50" i="49" s="1"/>
  <c r="P39" i="49"/>
  <c r="P36" i="49"/>
  <c r="P35" i="49"/>
  <c r="P37" i="49"/>
  <c r="P33" i="49"/>
  <c r="I17" i="49"/>
  <c r="I18" i="49" s="1"/>
  <c r="AJ7" i="49"/>
  <c r="AF7" i="49" s="1"/>
  <c r="AL7" i="49"/>
  <c r="AJ27" i="49"/>
  <c r="AI27" i="49" s="1"/>
  <c r="AL53" i="49"/>
  <c r="AJ48" i="49"/>
  <c r="AI48" i="49" s="1"/>
  <c r="AH25" i="49"/>
  <c r="AL48" i="49"/>
  <c r="AJ50" i="49"/>
  <c r="AF50" i="49" s="1"/>
  <c r="AL55" i="49"/>
  <c r="L10" i="49"/>
  <c r="AH23" i="49"/>
  <c r="AL51" i="49"/>
  <c r="AL54" i="49"/>
  <c r="AJ49" i="49"/>
  <c r="AG49" i="49" s="1"/>
  <c r="AL50" i="49"/>
  <c r="AL52" i="49"/>
  <c r="AL49" i="49"/>
  <c r="AJ51" i="49"/>
  <c r="AG51" i="49" s="1"/>
  <c r="N84" i="49"/>
  <c r="N83" i="49"/>
  <c r="N88" i="49"/>
  <c r="M88" i="49" s="1"/>
  <c r="N34" i="49"/>
  <c r="K34" i="49" s="1"/>
  <c r="N7" i="49"/>
  <c r="L8" i="49"/>
  <c r="P7" i="49"/>
  <c r="L9" i="49"/>
  <c r="AJ8" i="49"/>
  <c r="AI8" i="49" s="1"/>
  <c r="AJ10" i="49"/>
  <c r="AI10" i="49" s="1"/>
  <c r="AJ11" i="49"/>
  <c r="AI11" i="49" s="1"/>
  <c r="AJ14" i="49"/>
  <c r="AI14" i="49" s="1"/>
  <c r="AJ15" i="49"/>
  <c r="AI15" i="49" s="1"/>
  <c r="AJ16" i="49"/>
  <c r="AI16" i="49" s="1"/>
  <c r="AJ18" i="49"/>
  <c r="AI18" i="49" s="1"/>
  <c r="AJ19" i="49"/>
  <c r="AI19" i="49" s="1"/>
  <c r="AJ20" i="49"/>
  <c r="AI20" i="49" s="1"/>
  <c r="AJ21" i="49"/>
  <c r="AI21" i="49" s="1"/>
  <c r="N27" i="49"/>
  <c r="K27" i="49" s="1"/>
  <c r="P27" i="49"/>
  <c r="N32" i="49"/>
  <c r="AH8" i="49"/>
  <c r="AH9" i="49"/>
  <c r="AH10" i="49"/>
  <c r="AH11" i="49"/>
  <c r="AH12" i="49"/>
  <c r="AH14" i="49"/>
  <c r="AH15" i="49"/>
  <c r="AH16" i="49"/>
  <c r="AH17" i="49"/>
  <c r="AH18" i="49"/>
  <c r="AH19" i="49"/>
  <c r="AH20" i="49"/>
  <c r="AH21" i="49"/>
  <c r="AL27" i="49"/>
  <c r="N31" i="49"/>
  <c r="J31" i="49" s="1"/>
  <c r="P31" i="49"/>
  <c r="L32" i="49"/>
  <c r="N39" i="49"/>
  <c r="M39" i="49" s="1"/>
  <c r="AJ44" i="49"/>
  <c r="AL44" i="49"/>
  <c r="AJ46" i="49"/>
  <c r="AI46" i="49" s="1"/>
  <c r="AL46" i="49"/>
  <c r="AJ57" i="49"/>
  <c r="AI57" i="49" s="1"/>
  <c r="AL57" i="49"/>
  <c r="AH57" i="49"/>
  <c r="AJ13" i="49"/>
  <c r="AI13" i="49" s="1"/>
  <c r="AJ22" i="49"/>
  <c r="AI22" i="49" s="1"/>
  <c r="AJ24" i="49"/>
  <c r="AI24" i="49" s="1"/>
  <c r="AJ26" i="49"/>
  <c r="AI26" i="49" s="1"/>
  <c r="N28" i="49"/>
  <c r="M28" i="49" s="1"/>
  <c r="P28" i="49"/>
  <c r="N38" i="49"/>
  <c r="M38" i="49" s="1"/>
  <c r="AL8" i="49"/>
  <c r="AL10" i="49"/>
  <c r="AL11" i="49"/>
  <c r="AL13" i="49"/>
  <c r="AL14" i="49"/>
  <c r="AL15" i="49"/>
  <c r="AL16" i="49"/>
  <c r="AL18" i="49"/>
  <c r="AL19" i="49"/>
  <c r="AL20" i="49"/>
  <c r="AL21" i="49"/>
  <c r="AL22" i="49"/>
  <c r="AL24" i="49"/>
  <c r="AL26" i="49"/>
  <c r="AH27" i="49"/>
  <c r="N29" i="49"/>
  <c r="J29" i="49" s="1"/>
  <c r="P29" i="49"/>
  <c r="N33" i="49"/>
  <c r="J33" i="49" s="1"/>
  <c r="N35" i="49"/>
  <c r="K35" i="49" s="1"/>
  <c r="N37" i="49"/>
  <c r="M37" i="49" s="1"/>
  <c r="AJ45" i="49"/>
  <c r="AL45" i="49"/>
  <c r="AJ47" i="49"/>
  <c r="AI47" i="49" s="1"/>
  <c r="AL47" i="49"/>
  <c r="AJ9" i="49"/>
  <c r="AI9" i="49" s="1"/>
  <c r="AJ12" i="49"/>
  <c r="AI12" i="49" s="1"/>
  <c r="AJ17" i="49"/>
  <c r="AI17" i="49" s="1"/>
  <c r="L7" i="49"/>
  <c r="AH7" i="49"/>
  <c r="N8" i="49"/>
  <c r="J8" i="49" s="1"/>
  <c r="N9" i="49"/>
  <c r="J9" i="49" s="1"/>
  <c r="N10" i="49"/>
  <c r="J10" i="49" s="1"/>
  <c r="AJ23" i="49"/>
  <c r="AF23" i="49" s="1"/>
  <c r="AJ25" i="49"/>
  <c r="AF25" i="49" s="1"/>
  <c r="L27" i="49"/>
  <c r="L28" i="49"/>
  <c r="N30" i="49"/>
  <c r="J30" i="49" s="1"/>
  <c r="P30" i="49"/>
  <c r="N36" i="49"/>
  <c r="M36" i="49" s="1"/>
  <c r="L38" i="49"/>
  <c r="L48" i="49" s="1"/>
  <c r="N87" i="49"/>
  <c r="K87" i="49" s="1"/>
  <c r="AJ52" i="49"/>
  <c r="AG52" i="49" s="1"/>
  <c r="AJ53" i="49"/>
  <c r="AG53" i="49" s="1"/>
  <c r="AJ54" i="49"/>
  <c r="AG54" i="49" s="1"/>
  <c r="AJ55" i="49"/>
  <c r="AG55" i="49" s="1"/>
  <c r="AJ56" i="49"/>
  <c r="AI56" i="49" s="1"/>
  <c r="AL56" i="49"/>
  <c r="N58" i="49"/>
  <c r="P58" i="49"/>
  <c r="N85" i="49"/>
  <c r="J85" i="49" s="1"/>
  <c r="N86" i="49"/>
  <c r="M86" i="49" s="1"/>
  <c r="N82" i="49"/>
  <c r="M82" i="49" s="1"/>
  <c r="N89" i="49"/>
  <c r="J89" i="49" s="1"/>
  <c r="AF81" i="48"/>
  <c r="AF77" i="48"/>
  <c r="AH75" i="48"/>
  <c r="AH95" i="48" s="1"/>
  <c r="AF65" i="48"/>
  <c r="AL67" i="48"/>
  <c r="AL89" i="48" s="1"/>
  <c r="AL90" i="48" s="1"/>
  <c r="AL75" i="48"/>
  <c r="AF82" i="48"/>
  <c r="AF78" i="48"/>
  <c r="AI73" i="48"/>
  <c r="AI69" i="48"/>
  <c r="AJ80" i="48"/>
  <c r="AI80" i="48" s="1"/>
  <c r="AJ76" i="48"/>
  <c r="AI76" i="48" s="1"/>
  <c r="AJ72" i="48"/>
  <c r="AI72" i="48" s="1"/>
  <c r="AJ68" i="48"/>
  <c r="AI68" i="48" s="1"/>
  <c r="AL71" i="48"/>
  <c r="AF70" i="48"/>
  <c r="AF66" i="48"/>
  <c r="AJ79" i="48"/>
  <c r="AF79" i="48" s="1"/>
  <c r="AJ75" i="48"/>
  <c r="AJ71" i="48"/>
  <c r="AJ67" i="48"/>
  <c r="AL82" i="48"/>
  <c r="AL81" i="48"/>
  <c r="AL80" i="48"/>
  <c r="AL79" i="48"/>
  <c r="AL78" i="48"/>
  <c r="AL77" i="48"/>
  <c r="AL76" i="48"/>
  <c r="AF8" i="48"/>
  <c r="AJ9" i="48"/>
  <c r="AF9" i="48" s="1"/>
  <c r="AJ57" i="48"/>
  <c r="AF57" i="48" s="1"/>
  <c r="AJ21" i="48"/>
  <c r="AI21" i="48" s="1"/>
  <c r="AL38" i="48"/>
  <c r="AJ36" i="48"/>
  <c r="AI36" i="48" s="1"/>
  <c r="AL37" i="48"/>
  <c r="AH36" i="48"/>
  <c r="AJ29" i="48"/>
  <c r="AI29" i="48" s="1"/>
  <c r="AJ28" i="48"/>
  <c r="AI28" i="48" s="1"/>
  <c r="AH26" i="48"/>
  <c r="AL30" i="48"/>
  <c r="AE44" i="48"/>
  <c r="AJ20" i="48"/>
  <c r="AF20" i="48" s="1"/>
  <c r="AJ37" i="48"/>
  <c r="AG37" i="48" s="1"/>
  <c r="AH27" i="48"/>
  <c r="AH20" i="48"/>
  <c r="AI9" i="48"/>
  <c r="AG9" i="48"/>
  <c r="AI25" i="48"/>
  <c r="AG25" i="48"/>
  <c r="AL34" i="48"/>
  <c r="AD44" i="48"/>
  <c r="AJ33" i="48"/>
  <c r="AI33" i="48" s="1"/>
  <c r="AH29" i="48"/>
  <c r="AG20" i="48"/>
  <c r="AJ17" i="48"/>
  <c r="AI17" i="48" s="1"/>
  <c r="AJ12" i="48"/>
  <c r="AI12" i="48" s="1"/>
  <c r="AH33" i="48"/>
  <c r="AJ32" i="48"/>
  <c r="AI32" i="48" s="1"/>
  <c r="AH31" i="48"/>
  <c r="AH28" i="48"/>
  <c r="AJ16" i="48"/>
  <c r="AI16" i="48" s="1"/>
  <c r="AG8" i="48"/>
  <c r="AL32" i="48"/>
  <c r="AL28" i="48"/>
  <c r="AE45" i="48"/>
  <c r="AE46" i="48" s="1"/>
  <c r="AJ13" i="48"/>
  <c r="AI13" i="48" s="1"/>
  <c r="N120" i="48"/>
  <c r="M120" i="48" s="1"/>
  <c r="AL35" i="48"/>
  <c r="AJ56" i="48"/>
  <c r="AI56" i="48" s="1"/>
  <c r="AJ53" i="48"/>
  <c r="AJ62" i="48"/>
  <c r="AF62" i="48" s="1"/>
  <c r="AJ58" i="48"/>
  <c r="AI58" i="48" s="1"/>
  <c r="AJ64" i="48"/>
  <c r="AI64" i="48" s="1"/>
  <c r="AJ54" i="48"/>
  <c r="AI54" i="48" s="1"/>
  <c r="AJ60" i="48"/>
  <c r="AI60" i="48" s="1"/>
  <c r="AJ61" i="48"/>
  <c r="AG61" i="48" s="1"/>
  <c r="AJ55" i="48"/>
  <c r="AJ59" i="48"/>
  <c r="AJ63" i="48"/>
  <c r="AH53" i="48"/>
  <c r="AH54" i="48"/>
  <c r="AH55" i="48"/>
  <c r="AH56" i="48"/>
  <c r="AH57" i="48"/>
  <c r="AH58" i="48"/>
  <c r="AH59" i="48"/>
  <c r="AH60" i="48"/>
  <c r="AH61" i="48"/>
  <c r="AH62" i="48"/>
  <c r="AH63" i="48"/>
  <c r="AH64" i="48"/>
  <c r="AF28" i="48"/>
  <c r="AH10" i="48"/>
  <c r="AI24" i="48"/>
  <c r="AI20" i="48"/>
  <c r="AJ35" i="48"/>
  <c r="AI35" i="48" s="1"/>
  <c r="AJ31" i="48"/>
  <c r="AI31" i="48" s="1"/>
  <c r="AJ27" i="48"/>
  <c r="AI27" i="48" s="1"/>
  <c r="AJ23" i="48"/>
  <c r="AI23" i="48" s="1"/>
  <c r="AJ19" i="48"/>
  <c r="AI19" i="48" s="1"/>
  <c r="AJ15" i="48"/>
  <c r="AI15" i="48" s="1"/>
  <c r="AJ11" i="48"/>
  <c r="AI11" i="48" s="1"/>
  <c r="AF36" i="48"/>
  <c r="AF25" i="48"/>
  <c r="AJ38" i="48"/>
  <c r="AF38" i="48" s="1"/>
  <c r="AJ34" i="48"/>
  <c r="AJ30" i="48"/>
  <c r="AJ26" i="48"/>
  <c r="AF26" i="48" s="1"/>
  <c r="AJ22" i="48"/>
  <c r="AJ18" i="48"/>
  <c r="AF18" i="48" s="1"/>
  <c r="AJ14" i="48"/>
  <c r="AJ10" i="48"/>
  <c r="AF10" i="48" s="1"/>
  <c r="N112" i="48"/>
  <c r="M112" i="48" s="1"/>
  <c r="N104" i="48"/>
  <c r="M104" i="48" s="1"/>
  <c r="N102" i="48"/>
  <c r="M102" i="48" s="1"/>
  <c r="N119" i="48"/>
  <c r="M119" i="48" s="1"/>
  <c r="N109" i="48"/>
  <c r="M109" i="48" s="1"/>
  <c r="N108" i="48"/>
  <c r="M108" i="48" s="1"/>
  <c r="N113" i="48"/>
  <c r="M113" i="48" s="1"/>
  <c r="N103" i="48"/>
  <c r="M103" i="48" s="1"/>
  <c r="I131" i="48"/>
  <c r="N115" i="48"/>
  <c r="J115" i="48" s="1"/>
  <c r="H125" i="48"/>
  <c r="I125" i="48"/>
  <c r="N117" i="48"/>
  <c r="M117" i="48" s="1"/>
  <c r="N116" i="48"/>
  <c r="M116" i="48" s="1"/>
  <c r="N107" i="48"/>
  <c r="J107" i="48" s="1"/>
  <c r="N111" i="48"/>
  <c r="M111" i="48" s="1"/>
  <c r="N105" i="48"/>
  <c r="M105" i="48" s="1"/>
  <c r="AJ7" i="48"/>
  <c r="K113" i="48"/>
  <c r="H126" i="48"/>
  <c r="H127" i="48" s="1"/>
  <c r="I132" i="48"/>
  <c r="I133" i="48" s="1"/>
  <c r="N118" i="48"/>
  <c r="M118" i="48" s="1"/>
  <c r="N114" i="48"/>
  <c r="M114" i="48" s="1"/>
  <c r="N110" i="48"/>
  <c r="M110" i="48" s="1"/>
  <c r="N106" i="48"/>
  <c r="M106" i="48" s="1"/>
  <c r="P102" i="48"/>
  <c r="I126" i="48"/>
  <c r="I127" i="48" s="1"/>
  <c r="H131" i="48"/>
  <c r="H132" i="48"/>
  <c r="H133" i="48" s="1"/>
  <c r="AL8" i="48"/>
  <c r="AL9" i="48"/>
  <c r="AL7" i="48"/>
  <c r="AL10" i="48"/>
  <c r="AL11" i="48"/>
  <c r="AL12" i="48"/>
  <c r="AL13" i="48"/>
  <c r="AL14" i="48"/>
  <c r="AL15" i="48"/>
  <c r="AL16" i="48"/>
  <c r="AL17" i="48"/>
  <c r="AL18" i="48"/>
  <c r="AL19" i="48"/>
  <c r="AL20" i="48"/>
  <c r="AL21" i="48"/>
  <c r="AL22" i="48"/>
  <c r="AH7" i="48"/>
  <c r="J120" i="48"/>
  <c r="J104" i="48"/>
  <c r="L52" i="48"/>
  <c r="N100" i="48"/>
  <c r="J100" i="48" s="1"/>
  <c r="N89" i="48"/>
  <c r="J89" i="48" s="1"/>
  <c r="N93" i="48"/>
  <c r="J93" i="48" s="1"/>
  <c r="L47" i="48"/>
  <c r="N61" i="48"/>
  <c r="M61" i="48" s="1"/>
  <c r="N46" i="48"/>
  <c r="K46" i="48" s="1"/>
  <c r="N97" i="48"/>
  <c r="K97" i="48" s="1"/>
  <c r="I71" i="48"/>
  <c r="N53" i="48"/>
  <c r="J53" i="48" s="1"/>
  <c r="L46" i="48"/>
  <c r="N41" i="48"/>
  <c r="M41" i="48" s="1"/>
  <c r="N39" i="48"/>
  <c r="M39" i="48" s="1"/>
  <c r="N56" i="48"/>
  <c r="M56" i="48" s="1"/>
  <c r="L58" i="48"/>
  <c r="L53" i="48"/>
  <c r="N52" i="48"/>
  <c r="M52" i="48" s="1"/>
  <c r="N45" i="48"/>
  <c r="J45" i="48" s="1"/>
  <c r="L41" i="48"/>
  <c r="L63" i="48"/>
  <c r="N57" i="48"/>
  <c r="K57" i="48" s="1"/>
  <c r="L51" i="48"/>
  <c r="L45" i="48"/>
  <c r="L40" i="48"/>
  <c r="P50" i="48"/>
  <c r="P38" i="48"/>
  <c r="P57" i="48"/>
  <c r="N92" i="48"/>
  <c r="J92" i="48" s="1"/>
  <c r="H72" i="48"/>
  <c r="H73" i="48" s="1"/>
  <c r="H71" i="48"/>
  <c r="L62" i="48"/>
  <c r="I72" i="48"/>
  <c r="I73" i="48" s="1"/>
  <c r="P54" i="48"/>
  <c r="P42" i="48"/>
  <c r="N64" i="48"/>
  <c r="M64" i="48" s="1"/>
  <c r="N48" i="48"/>
  <c r="M48" i="48" s="1"/>
  <c r="N42" i="48"/>
  <c r="K42" i="48" s="1"/>
  <c r="P61" i="48"/>
  <c r="P49" i="48"/>
  <c r="N88" i="48"/>
  <c r="M88" i="48" s="1"/>
  <c r="N96" i="48"/>
  <c r="M96" i="48" s="1"/>
  <c r="P100" i="48"/>
  <c r="L64" i="48"/>
  <c r="N60" i="48"/>
  <c r="M60" i="48" s="1"/>
  <c r="L59" i="48"/>
  <c r="L48" i="48"/>
  <c r="L43" i="48"/>
  <c r="N38" i="48"/>
  <c r="P60" i="48"/>
  <c r="P56" i="48"/>
  <c r="P44" i="48"/>
  <c r="P99" i="48"/>
  <c r="L55" i="48"/>
  <c r="N49" i="48"/>
  <c r="K49" i="48" s="1"/>
  <c r="L39" i="48"/>
  <c r="N62" i="48"/>
  <c r="J62" i="48" s="1"/>
  <c r="N58" i="48"/>
  <c r="N54" i="48"/>
  <c r="N50" i="48"/>
  <c r="J50" i="48" s="1"/>
  <c r="N63" i="48"/>
  <c r="M63" i="48" s="1"/>
  <c r="N59" i="48"/>
  <c r="M59" i="48" s="1"/>
  <c r="N55" i="48"/>
  <c r="M55" i="48" s="1"/>
  <c r="N51" i="48"/>
  <c r="M51" i="48" s="1"/>
  <c r="N47" i="48"/>
  <c r="N43" i="48"/>
  <c r="J43" i="48" s="1"/>
  <c r="N44" i="48"/>
  <c r="M44" i="48" s="1"/>
  <c r="N40" i="48"/>
  <c r="M40" i="48" s="1"/>
  <c r="N21" i="48"/>
  <c r="J21" i="48" s="1"/>
  <c r="I29" i="48"/>
  <c r="P22" i="48"/>
  <c r="L21" i="48"/>
  <c r="P21" i="48"/>
  <c r="P20" i="48"/>
  <c r="N20" i="48"/>
  <c r="M20" i="48" s="1"/>
  <c r="I27" i="48"/>
  <c r="H27" i="48"/>
  <c r="H28" i="48"/>
  <c r="H29" i="48" s="1"/>
  <c r="L15" i="48"/>
  <c r="N22" i="48"/>
  <c r="M22" i="48" s="1"/>
  <c r="P16" i="48"/>
  <c r="N15" i="48"/>
  <c r="M15" i="48" s="1"/>
  <c r="N19" i="48"/>
  <c r="M19" i="48" s="1"/>
  <c r="N14" i="48"/>
  <c r="M14" i="48" s="1"/>
  <c r="P17" i="48"/>
  <c r="P19" i="48"/>
  <c r="P18" i="48"/>
  <c r="N17" i="48"/>
  <c r="J17" i="48" s="1"/>
  <c r="N18" i="48"/>
  <c r="J18" i="48" s="1"/>
  <c r="N16" i="48"/>
  <c r="M16" i="48" s="1"/>
  <c r="L14" i="48"/>
  <c r="P7" i="48"/>
  <c r="N10" i="48"/>
  <c r="M10" i="48" s="1"/>
  <c r="P10" i="48"/>
  <c r="N8" i="48"/>
  <c r="J8" i="48" s="1"/>
  <c r="N95" i="48"/>
  <c r="K95" i="48" s="1"/>
  <c r="P101" i="48"/>
  <c r="N101" i="48"/>
  <c r="P8" i="48"/>
  <c r="L10" i="48"/>
  <c r="N12" i="48"/>
  <c r="M12" i="48" s="1"/>
  <c r="P12" i="48"/>
  <c r="N87" i="48"/>
  <c r="N7" i="48"/>
  <c r="N9" i="48"/>
  <c r="M9" i="48" s="1"/>
  <c r="P9" i="48"/>
  <c r="N91" i="48"/>
  <c r="K91" i="48" s="1"/>
  <c r="N99" i="48"/>
  <c r="K99" i="48" s="1"/>
  <c r="L101" i="48"/>
  <c r="L131" i="48" s="1"/>
  <c r="N11" i="48"/>
  <c r="M11" i="48" s="1"/>
  <c r="P11" i="48"/>
  <c r="N13" i="48"/>
  <c r="M13" i="48" s="1"/>
  <c r="P13" i="48"/>
  <c r="N86" i="48"/>
  <c r="N90" i="48"/>
  <c r="K90" i="48" s="1"/>
  <c r="N94" i="48"/>
  <c r="N98" i="48"/>
  <c r="P86" i="48"/>
  <c r="P87" i="48"/>
  <c r="P88" i="48"/>
  <c r="P89" i="48"/>
  <c r="P90" i="48"/>
  <c r="P91" i="48"/>
  <c r="P92" i="48"/>
  <c r="P93" i="48"/>
  <c r="P94" i="48"/>
  <c r="P95" i="48"/>
  <c r="P96" i="48"/>
  <c r="P97" i="48"/>
  <c r="P98" i="48"/>
  <c r="L100" i="48"/>
  <c r="L86" i="48"/>
  <c r="L96" i="48"/>
  <c r="P249" i="47"/>
  <c r="I247" i="47"/>
  <c r="H247" i="47"/>
  <c r="L247" i="47" s="1"/>
  <c r="I246" i="47"/>
  <c r="H246" i="47"/>
  <c r="L246" i="47" s="1"/>
  <c r="I245" i="47"/>
  <c r="H245" i="47"/>
  <c r="L245" i="47" s="1"/>
  <c r="I244" i="47"/>
  <c r="H244" i="47"/>
  <c r="L244" i="47" s="1"/>
  <c r="I243" i="47"/>
  <c r="H243" i="47"/>
  <c r="L243" i="47" s="1"/>
  <c r="I242" i="47"/>
  <c r="H242" i="47"/>
  <c r="L242" i="47" s="1"/>
  <c r="I241" i="47"/>
  <c r="H241" i="47"/>
  <c r="L241" i="47" s="1"/>
  <c r="I240" i="47"/>
  <c r="H240" i="47"/>
  <c r="L240" i="47" s="1"/>
  <c r="I239" i="47"/>
  <c r="H239" i="47"/>
  <c r="I187" i="47"/>
  <c r="H187" i="47"/>
  <c r="L187" i="47" s="1"/>
  <c r="I186" i="47"/>
  <c r="H186" i="47"/>
  <c r="L186" i="47" s="1"/>
  <c r="I185" i="47"/>
  <c r="H185" i="47"/>
  <c r="L185" i="47" s="1"/>
  <c r="I184" i="47"/>
  <c r="H184" i="47"/>
  <c r="L184" i="47" s="1"/>
  <c r="I183" i="47"/>
  <c r="H183" i="47"/>
  <c r="L183" i="47" s="1"/>
  <c r="I182" i="47"/>
  <c r="H182" i="47"/>
  <c r="L182" i="47" s="1"/>
  <c r="I181" i="47"/>
  <c r="H181" i="47"/>
  <c r="L181" i="47" s="1"/>
  <c r="I180" i="47"/>
  <c r="H180" i="47"/>
  <c r="L180" i="47" s="1"/>
  <c r="I179" i="47"/>
  <c r="H179" i="47"/>
  <c r="P106" i="47"/>
  <c r="P102" i="47"/>
  <c r="I92" i="47"/>
  <c r="H92" i="47"/>
  <c r="I39" i="47"/>
  <c r="H39" i="47"/>
  <c r="I7" i="47"/>
  <c r="H7" i="47"/>
  <c r="J230" i="16"/>
  <c r="K230" i="16"/>
  <c r="P230" i="16"/>
  <c r="Q230" i="16"/>
  <c r="R230" i="16"/>
  <c r="J231" i="16"/>
  <c r="K231" i="16"/>
  <c r="P231" i="16"/>
  <c r="Q231" i="16"/>
  <c r="R231" i="16"/>
  <c r="I231" i="16"/>
  <c r="I230" i="16"/>
  <c r="U228" i="16"/>
  <c r="T228" i="16"/>
  <c r="N228" i="16"/>
  <c r="M228" i="16"/>
  <c r="U227" i="16"/>
  <c r="T227" i="16"/>
  <c r="N227" i="16"/>
  <c r="M227" i="16"/>
  <c r="N226" i="16"/>
  <c r="M226" i="16"/>
  <c r="G225" i="16"/>
  <c r="G224" i="16"/>
  <c r="G220" i="16"/>
  <c r="G221" i="16"/>
  <c r="G222" i="16"/>
  <c r="G223" i="16"/>
  <c r="G219" i="16"/>
  <c r="AF21" i="48" l="1"/>
  <c r="AG68" i="48"/>
  <c r="AG82" i="48"/>
  <c r="N230" i="16"/>
  <c r="J102" i="48"/>
  <c r="AF68" i="48"/>
  <c r="AF76" i="48"/>
  <c r="AG70" i="48"/>
  <c r="K112" i="48"/>
  <c r="AI57" i="48"/>
  <c r="AG28" i="48"/>
  <c r="AG36" i="48"/>
  <c r="I271" i="47"/>
  <c r="I272" i="47"/>
  <c r="I273" i="47" s="1"/>
  <c r="H272" i="47"/>
  <c r="H273" i="47" s="1"/>
  <c r="H271" i="47"/>
  <c r="I223" i="47"/>
  <c r="I224" i="47"/>
  <c r="I225" i="47" s="1"/>
  <c r="L179" i="47"/>
  <c r="H224" i="47"/>
  <c r="H225" i="47" s="1"/>
  <c r="H223" i="47"/>
  <c r="I164" i="47"/>
  <c r="I165" i="47"/>
  <c r="I166" i="47" s="1"/>
  <c r="P92" i="47"/>
  <c r="H165" i="47"/>
  <c r="H166" i="47" s="1"/>
  <c r="H164" i="47"/>
  <c r="L39" i="47"/>
  <c r="H77" i="47"/>
  <c r="H78" i="47"/>
  <c r="H79" i="47" s="1"/>
  <c r="I78" i="47"/>
  <c r="I79" i="47" s="1"/>
  <c r="I77" i="47"/>
  <c r="N239" i="47"/>
  <c r="P251" i="47"/>
  <c r="L7" i="47"/>
  <c r="H28" i="47"/>
  <c r="H29" i="47"/>
  <c r="H30" i="47" s="1"/>
  <c r="P183" i="47"/>
  <c r="I29" i="47"/>
  <c r="I30" i="47" s="1"/>
  <c r="I28" i="47"/>
  <c r="P240" i="47"/>
  <c r="P104" i="47"/>
  <c r="P180" i="47"/>
  <c r="P243" i="47"/>
  <c r="P93" i="47"/>
  <c r="P186" i="47"/>
  <c r="G231" i="16"/>
  <c r="M230" i="16"/>
  <c r="P101" i="47"/>
  <c r="N231" i="16"/>
  <c r="P96" i="47"/>
  <c r="N186" i="47"/>
  <c r="K186" i="47" s="1"/>
  <c r="P189" i="47"/>
  <c r="N243" i="47"/>
  <c r="K243" i="47" s="1"/>
  <c r="AH88" i="48"/>
  <c r="AH89" i="48"/>
  <c r="AH90" i="48" s="1"/>
  <c r="AG56" i="48"/>
  <c r="AI53" i="48"/>
  <c r="AJ88" i="48"/>
  <c r="AJ89" i="48"/>
  <c r="AJ90" i="48" s="1"/>
  <c r="AI37" i="48"/>
  <c r="AL95" i="48"/>
  <c r="AL96" i="48"/>
  <c r="AL97" i="48" s="1"/>
  <c r="AG72" i="48"/>
  <c r="AL69" i="49"/>
  <c r="AL70" i="49"/>
  <c r="AL71" i="49" s="1"/>
  <c r="AH62" i="49"/>
  <c r="AH63" i="49"/>
  <c r="AH64" i="49" s="1"/>
  <c r="AG65" i="48"/>
  <c r="AF69" i="48"/>
  <c r="AJ95" i="48"/>
  <c r="AJ96" i="48"/>
  <c r="AJ97" i="48" s="1"/>
  <c r="AG77" i="48"/>
  <c r="AI45" i="49"/>
  <c r="AJ69" i="49"/>
  <c r="AJ70" i="49"/>
  <c r="AJ71" i="49" s="1"/>
  <c r="AG104" i="50"/>
  <c r="AG105" i="50"/>
  <c r="AG106" i="50" s="1"/>
  <c r="AF111" i="50"/>
  <c r="AF112" i="50"/>
  <c r="AF113" i="50" s="1"/>
  <c r="AH70" i="49"/>
  <c r="AH71" i="49" s="1"/>
  <c r="AH69" i="49"/>
  <c r="AG74" i="48"/>
  <c r="N182" i="47"/>
  <c r="K182" i="47" s="1"/>
  <c r="AG80" i="48"/>
  <c r="AL62" i="49"/>
  <c r="AL63" i="49"/>
  <c r="AL64" i="49" s="1"/>
  <c r="AF104" i="50"/>
  <c r="AF105" i="50"/>
  <c r="AF106" i="50" s="1"/>
  <c r="AI111" i="50"/>
  <c r="AI112" i="50"/>
  <c r="AI113" i="50" s="1"/>
  <c r="AL88" i="48"/>
  <c r="AF12" i="48"/>
  <c r="AG24" i="48"/>
  <c r="AF74" i="48"/>
  <c r="AJ62" i="49"/>
  <c r="AJ63" i="49"/>
  <c r="AJ64" i="49" s="1"/>
  <c r="AI105" i="50"/>
  <c r="AI106" i="50" s="1"/>
  <c r="AI104" i="50"/>
  <c r="AG111" i="50"/>
  <c r="AG112" i="50"/>
  <c r="AG113" i="50" s="1"/>
  <c r="AH96" i="48"/>
  <c r="AH97" i="48" s="1"/>
  <c r="AG44" i="49"/>
  <c r="L49" i="49"/>
  <c r="L50" i="49" s="1"/>
  <c r="AH32" i="49"/>
  <c r="AH33" i="49"/>
  <c r="AH34" i="49" s="1"/>
  <c r="AL32" i="49"/>
  <c r="AL33" i="49"/>
  <c r="AL34" i="49" s="1"/>
  <c r="AI7" i="49"/>
  <c r="AJ32" i="49"/>
  <c r="AJ33" i="49"/>
  <c r="AJ34" i="49" s="1"/>
  <c r="P97" i="49"/>
  <c r="P98" i="49"/>
  <c r="P99" i="49" s="1"/>
  <c r="L103" i="49"/>
  <c r="L104" i="49"/>
  <c r="L105" i="49" s="1"/>
  <c r="M84" i="49"/>
  <c r="N104" i="49"/>
  <c r="N105" i="49" s="1"/>
  <c r="N103" i="49"/>
  <c r="N97" i="49"/>
  <c r="N98" i="49"/>
  <c r="N99" i="49" s="1"/>
  <c r="P103" i="49"/>
  <c r="P104" i="49"/>
  <c r="P105" i="49" s="1"/>
  <c r="L97" i="49"/>
  <c r="L98" i="49"/>
  <c r="L99" i="49" s="1"/>
  <c r="J84" i="49"/>
  <c r="AG26" i="50"/>
  <c r="AG27" i="50"/>
  <c r="AG28" i="50" s="1"/>
  <c r="AF27" i="50"/>
  <c r="AF28" i="50" s="1"/>
  <c r="AF26" i="50"/>
  <c r="AI26" i="50"/>
  <c r="AI27" i="50"/>
  <c r="AI28" i="50" s="1"/>
  <c r="M117" i="50"/>
  <c r="M118" i="50"/>
  <c r="M119" i="50" s="1"/>
  <c r="J111" i="50"/>
  <c r="J112" i="50"/>
  <c r="J113" i="50" s="1"/>
  <c r="M112" i="50"/>
  <c r="M113" i="50" s="1"/>
  <c r="M111" i="50"/>
  <c r="K118" i="50"/>
  <c r="K119" i="50" s="1"/>
  <c r="K117" i="50"/>
  <c r="J118" i="50"/>
  <c r="J119" i="50" s="1"/>
  <c r="J117" i="50"/>
  <c r="K112" i="50"/>
  <c r="K113" i="50" s="1"/>
  <c r="K111" i="50"/>
  <c r="K51" i="50"/>
  <c r="K52" i="50" s="1"/>
  <c r="K50" i="50"/>
  <c r="K23" i="50"/>
  <c r="K24" i="50"/>
  <c r="K25" i="50" s="1"/>
  <c r="M24" i="50"/>
  <c r="M25" i="50" s="1"/>
  <c r="M23" i="50"/>
  <c r="M50" i="50"/>
  <c r="M51" i="50"/>
  <c r="M52" i="50" s="1"/>
  <c r="J23" i="50"/>
  <c r="J24" i="50"/>
  <c r="J25" i="50" s="1"/>
  <c r="J51" i="50"/>
  <c r="J52" i="50" s="1"/>
  <c r="J50" i="50"/>
  <c r="P49" i="49"/>
  <c r="P50" i="49" s="1"/>
  <c r="P48" i="49"/>
  <c r="L44" i="49"/>
  <c r="L45" i="49" s="1"/>
  <c r="L43" i="49"/>
  <c r="N48" i="49"/>
  <c r="N49" i="49"/>
  <c r="N50" i="49" s="1"/>
  <c r="J32" i="49"/>
  <c r="N44" i="49"/>
  <c r="N45" i="49" s="1"/>
  <c r="N43" i="49"/>
  <c r="P43" i="49"/>
  <c r="P44" i="49"/>
  <c r="P45" i="49" s="1"/>
  <c r="AF13" i="49"/>
  <c r="AF8" i="49"/>
  <c r="AI50" i="49"/>
  <c r="AG50" i="49"/>
  <c r="AF48" i="49"/>
  <c r="K88" i="49"/>
  <c r="AG27" i="49"/>
  <c r="L16" i="49"/>
  <c r="L17" i="49"/>
  <c r="L18" i="49" s="1"/>
  <c r="AG7" i="49"/>
  <c r="AF27" i="49"/>
  <c r="K7" i="49"/>
  <c r="N17" i="49"/>
  <c r="N18" i="49" s="1"/>
  <c r="N16" i="49"/>
  <c r="P16" i="49"/>
  <c r="P17" i="49"/>
  <c r="P18" i="49" s="1"/>
  <c r="AF20" i="49"/>
  <c r="AG56" i="49"/>
  <c r="AF24" i="49"/>
  <c r="AF18" i="49"/>
  <c r="AG48" i="49"/>
  <c r="K82" i="49"/>
  <c r="J82" i="49"/>
  <c r="J88" i="49"/>
  <c r="AG57" i="49"/>
  <c r="AF57" i="49"/>
  <c r="J27" i="49"/>
  <c r="AF15" i="49"/>
  <c r="K37" i="49"/>
  <c r="AG47" i="49"/>
  <c r="K38" i="49"/>
  <c r="AF44" i="49"/>
  <c r="AG26" i="49"/>
  <c r="AF26" i="49"/>
  <c r="AF22" i="49"/>
  <c r="AF11" i="49"/>
  <c r="AG19" i="49"/>
  <c r="AG10" i="49"/>
  <c r="AG46" i="49"/>
  <c r="AF46" i="49"/>
  <c r="AF51" i="49"/>
  <c r="AI51" i="49"/>
  <c r="AF49" i="49"/>
  <c r="AI49" i="49"/>
  <c r="J83" i="49"/>
  <c r="M83" i="49"/>
  <c r="K84" i="49"/>
  <c r="K83" i="49"/>
  <c r="K36" i="49"/>
  <c r="M34" i="49"/>
  <c r="K39" i="49"/>
  <c r="J34" i="49"/>
  <c r="J38" i="49"/>
  <c r="J39" i="49"/>
  <c r="J7" i="49"/>
  <c r="M7" i="49"/>
  <c r="M58" i="49"/>
  <c r="K58" i="49"/>
  <c r="J86" i="49"/>
  <c r="J58" i="49"/>
  <c r="AF55" i="49"/>
  <c r="AI55" i="49"/>
  <c r="AF54" i="49"/>
  <c r="AI54" i="49"/>
  <c r="AF53" i="49"/>
  <c r="AI53" i="49"/>
  <c r="AF52" i="49"/>
  <c r="AI52" i="49"/>
  <c r="M87" i="49"/>
  <c r="J87" i="49"/>
  <c r="AI23" i="49"/>
  <c r="AG23" i="49"/>
  <c r="M9" i="49"/>
  <c r="K9" i="49"/>
  <c r="AF17" i="49"/>
  <c r="AF9" i="49"/>
  <c r="AF47" i="49"/>
  <c r="AF45" i="49"/>
  <c r="J35" i="49"/>
  <c r="M35" i="49"/>
  <c r="M33" i="49"/>
  <c r="K33" i="49"/>
  <c r="K28" i="49"/>
  <c r="J28" i="49"/>
  <c r="AG24" i="49"/>
  <c r="AG14" i="49"/>
  <c r="AG13" i="49"/>
  <c r="AG9" i="49"/>
  <c r="M89" i="49"/>
  <c r="K89" i="49"/>
  <c r="AF56" i="49"/>
  <c r="AG45" i="49"/>
  <c r="J36" i="49"/>
  <c r="AI25" i="49"/>
  <c r="AG25" i="49"/>
  <c r="M10" i="49"/>
  <c r="K10" i="49"/>
  <c r="M8" i="49"/>
  <c r="K8" i="49"/>
  <c r="AF12" i="49"/>
  <c r="J37" i="49"/>
  <c r="AI44" i="49"/>
  <c r="M27" i="49"/>
  <c r="AG15" i="49"/>
  <c r="AG16" i="49"/>
  <c r="AG22" i="49"/>
  <c r="AG21" i="49"/>
  <c r="AG20" i="49"/>
  <c r="M85" i="49"/>
  <c r="K85" i="49"/>
  <c r="K86" i="49"/>
  <c r="M30" i="49"/>
  <c r="K30" i="49"/>
  <c r="M29" i="49"/>
  <c r="K29" i="49"/>
  <c r="M31" i="49"/>
  <c r="K31" i="49"/>
  <c r="M32" i="49"/>
  <c r="K32" i="49"/>
  <c r="AF21" i="49"/>
  <c r="AF19" i="49"/>
  <c r="AF16" i="49"/>
  <c r="AF14" i="49"/>
  <c r="AF10" i="49"/>
  <c r="AG11" i="49"/>
  <c r="AG8" i="49"/>
  <c r="AG18" i="49"/>
  <c r="AG17" i="49"/>
  <c r="AG12" i="49"/>
  <c r="AG71" i="48"/>
  <c r="AG95" i="48" s="1"/>
  <c r="AI71" i="48"/>
  <c r="AF71" i="48"/>
  <c r="AG75" i="48"/>
  <c r="AI75" i="48"/>
  <c r="AG67" i="48"/>
  <c r="AI67" i="48"/>
  <c r="AF67" i="48"/>
  <c r="AI79" i="48"/>
  <c r="AG79" i="48"/>
  <c r="AF72" i="48"/>
  <c r="AF80" i="48"/>
  <c r="AF75" i="48"/>
  <c r="AG76" i="48"/>
  <c r="AF56" i="48"/>
  <c r="AG21" i="48"/>
  <c r="AF33" i="48"/>
  <c r="AG12" i="48"/>
  <c r="J109" i="48"/>
  <c r="K120" i="48"/>
  <c r="AF37" i="48"/>
  <c r="AG64" i="48"/>
  <c r="AG57" i="48"/>
  <c r="AF29" i="48"/>
  <c r="AG31" i="48"/>
  <c r="AG60" i="48"/>
  <c r="AF64" i="48"/>
  <c r="AG29" i="48"/>
  <c r="J112" i="48"/>
  <c r="K104" i="48"/>
  <c r="AF32" i="48"/>
  <c r="AF58" i="48"/>
  <c r="AG16" i="48"/>
  <c r="AG13" i="48"/>
  <c r="J117" i="48"/>
  <c r="AF17" i="48"/>
  <c r="AF13" i="48"/>
  <c r="AF16" i="48"/>
  <c r="AG11" i="48"/>
  <c r="AG32" i="48"/>
  <c r="AL44" i="48"/>
  <c r="AL45" i="48"/>
  <c r="AL46" i="48" s="1"/>
  <c r="AH44" i="48"/>
  <c r="AH45" i="48"/>
  <c r="AH46" i="48" s="1"/>
  <c r="AF11" i="48"/>
  <c r="AF31" i="48"/>
  <c r="AF19" i="48"/>
  <c r="AF60" i="48"/>
  <c r="AG17" i="48"/>
  <c r="J106" i="48"/>
  <c r="AI7" i="48"/>
  <c r="AJ44" i="48"/>
  <c r="AJ45" i="48"/>
  <c r="AJ46" i="48" s="1"/>
  <c r="AG19" i="48"/>
  <c r="AG33" i="48"/>
  <c r="AI62" i="48"/>
  <c r="AG58" i="48"/>
  <c r="AF53" i="48"/>
  <c r="AG53" i="48"/>
  <c r="AF54" i="48"/>
  <c r="AF61" i="48"/>
  <c r="AI61" i="48"/>
  <c r="AG62" i="48"/>
  <c r="AG54" i="48"/>
  <c r="AI63" i="48"/>
  <c r="AF63" i="48"/>
  <c r="AI59" i="48"/>
  <c r="AF59" i="48"/>
  <c r="AG59" i="48"/>
  <c r="AF55" i="48"/>
  <c r="AI55" i="48"/>
  <c r="AG63" i="48"/>
  <c r="AG55" i="48"/>
  <c r="AI14" i="48"/>
  <c r="AG14" i="48"/>
  <c r="AG30" i="48"/>
  <c r="AI30" i="48"/>
  <c r="AF30" i="48"/>
  <c r="AI34" i="48"/>
  <c r="AG34" i="48"/>
  <c r="AF14" i="48"/>
  <c r="AG23" i="48"/>
  <c r="AI10" i="48"/>
  <c r="AG10" i="48"/>
  <c r="AG26" i="48"/>
  <c r="AI26" i="48"/>
  <c r="AF35" i="48"/>
  <c r="AF27" i="48"/>
  <c r="AF23" i="48"/>
  <c r="AG35" i="48"/>
  <c r="AG18" i="48"/>
  <c r="AI18" i="48"/>
  <c r="AI22" i="48"/>
  <c r="AG22" i="48"/>
  <c r="AG38" i="48"/>
  <c r="AI38" i="48"/>
  <c r="AG15" i="48"/>
  <c r="AF15" i="48"/>
  <c r="AF34" i="48"/>
  <c r="AG27" i="48"/>
  <c r="AF22" i="48"/>
  <c r="K103" i="48"/>
  <c r="J113" i="48"/>
  <c r="J108" i="48"/>
  <c r="J114" i="48"/>
  <c r="K105" i="48"/>
  <c r="M45" i="48"/>
  <c r="J103" i="48"/>
  <c r="J119" i="48"/>
  <c r="AG7" i="48"/>
  <c r="AF7" i="48"/>
  <c r="K116" i="48"/>
  <c r="K117" i="48"/>
  <c r="K119" i="48"/>
  <c r="J105" i="48"/>
  <c r="J116" i="48"/>
  <c r="K102" i="48"/>
  <c r="K106" i="48"/>
  <c r="K108" i="48"/>
  <c r="J111" i="48"/>
  <c r="K109" i="48"/>
  <c r="M107" i="48"/>
  <c r="K107" i="48"/>
  <c r="J49" i="48"/>
  <c r="J110" i="48"/>
  <c r="J118" i="48"/>
  <c r="M115" i="48"/>
  <c r="K115" i="48"/>
  <c r="K111" i="48"/>
  <c r="K87" i="48"/>
  <c r="N131" i="48"/>
  <c r="N132" i="48"/>
  <c r="N133" i="48" s="1"/>
  <c r="K39" i="48"/>
  <c r="L132" i="48"/>
  <c r="L133" i="48" s="1"/>
  <c r="K118" i="48"/>
  <c r="P131" i="48"/>
  <c r="P132" i="48"/>
  <c r="P133" i="48" s="1"/>
  <c r="N125" i="48"/>
  <c r="N126" i="48"/>
  <c r="N127" i="48" s="1"/>
  <c r="L125" i="48"/>
  <c r="L126" i="48"/>
  <c r="L127" i="48" s="1"/>
  <c r="P125" i="48"/>
  <c r="P126" i="48"/>
  <c r="P127" i="48" s="1"/>
  <c r="K114" i="48"/>
  <c r="K110" i="48"/>
  <c r="J42" i="48"/>
  <c r="J97" i="48"/>
  <c r="J46" i="48"/>
  <c r="M89" i="48"/>
  <c r="J88" i="48"/>
  <c r="M46" i="48"/>
  <c r="M53" i="48"/>
  <c r="M100" i="48"/>
  <c r="K100" i="48"/>
  <c r="K61" i="48"/>
  <c r="K52" i="48"/>
  <c r="J61" i="48"/>
  <c r="K96" i="48"/>
  <c r="K21" i="48"/>
  <c r="J52" i="48"/>
  <c r="K93" i="48"/>
  <c r="K89" i="48"/>
  <c r="K92" i="48"/>
  <c r="K41" i="48"/>
  <c r="J41" i="48"/>
  <c r="M97" i="48"/>
  <c r="J39" i="48"/>
  <c r="K64" i="48"/>
  <c r="M93" i="48"/>
  <c r="J56" i="48"/>
  <c r="K45" i="48"/>
  <c r="K53" i="48"/>
  <c r="L71" i="48"/>
  <c r="K56" i="48"/>
  <c r="J48" i="48"/>
  <c r="M49" i="48"/>
  <c r="K48" i="48"/>
  <c r="J96" i="48"/>
  <c r="J57" i="48"/>
  <c r="M38" i="48"/>
  <c r="N71" i="48"/>
  <c r="N72" i="48"/>
  <c r="N73" i="48" s="1"/>
  <c r="P71" i="48"/>
  <c r="P72" i="48"/>
  <c r="P73" i="48" s="1"/>
  <c r="M92" i="48"/>
  <c r="J60" i="48"/>
  <c r="M57" i="48"/>
  <c r="J64" i="48"/>
  <c r="K55" i="48"/>
  <c r="L72" i="48"/>
  <c r="L73" i="48" s="1"/>
  <c r="K63" i="48"/>
  <c r="K88" i="48"/>
  <c r="J63" i="48"/>
  <c r="K38" i="48"/>
  <c r="M42" i="48"/>
  <c r="J38" i="48"/>
  <c r="J59" i="48"/>
  <c r="K60" i="48"/>
  <c r="K54" i="48"/>
  <c r="M54" i="48"/>
  <c r="K58" i="48"/>
  <c r="M58" i="48"/>
  <c r="J44" i="48"/>
  <c r="J51" i="48"/>
  <c r="M47" i="48"/>
  <c r="K47" i="48"/>
  <c r="K50" i="48"/>
  <c r="M50" i="48"/>
  <c r="K59" i="48"/>
  <c r="J54" i="48"/>
  <c r="J55" i="48"/>
  <c r="M43" i="48"/>
  <c r="K43" i="48"/>
  <c r="K62" i="48"/>
  <c r="M62" i="48"/>
  <c r="J47" i="48"/>
  <c r="J58" i="48"/>
  <c r="K44" i="48"/>
  <c r="J40" i="48"/>
  <c r="K40" i="48"/>
  <c r="K51" i="48"/>
  <c r="M21" i="48"/>
  <c r="J22" i="48"/>
  <c r="J20" i="48"/>
  <c r="K20" i="48"/>
  <c r="L27" i="48"/>
  <c r="K14" i="48"/>
  <c r="K15" i="48"/>
  <c r="K22" i="48"/>
  <c r="J14" i="48"/>
  <c r="K7" i="48"/>
  <c r="N28" i="48"/>
  <c r="N29" i="48" s="1"/>
  <c r="N27" i="48"/>
  <c r="L28" i="48"/>
  <c r="L29" i="48" s="1"/>
  <c r="P27" i="48"/>
  <c r="P28" i="48"/>
  <c r="P29" i="48" s="1"/>
  <c r="J15" i="48"/>
  <c r="K19" i="48"/>
  <c r="J19" i="48"/>
  <c r="K17" i="48"/>
  <c r="M17" i="48"/>
  <c r="M18" i="48"/>
  <c r="K16" i="48"/>
  <c r="K18" i="48"/>
  <c r="J16" i="48"/>
  <c r="J13" i="48"/>
  <c r="K13" i="48"/>
  <c r="J12" i="48"/>
  <c r="J11" i="48"/>
  <c r="J9" i="48"/>
  <c r="J7" i="48"/>
  <c r="J98" i="48"/>
  <c r="M98" i="48"/>
  <c r="J90" i="48"/>
  <c r="M90" i="48"/>
  <c r="K98" i="48"/>
  <c r="K12" i="48"/>
  <c r="M94" i="48"/>
  <c r="J94" i="48"/>
  <c r="M86" i="48"/>
  <c r="J86" i="48"/>
  <c r="M99" i="48"/>
  <c r="J99" i="48"/>
  <c r="M101" i="48"/>
  <c r="K101" i="48"/>
  <c r="K86" i="48"/>
  <c r="M91" i="48"/>
  <c r="J91" i="48"/>
  <c r="M7" i="48"/>
  <c r="K11" i="48"/>
  <c r="J101" i="48"/>
  <c r="K8" i="48"/>
  <c r="M8" i="48"/>
  <c r="K94" i="48"/>
  <c r="M87" i="48"/>
  <c r="J87" i="48"/>
  <c r="M95" i="48"/>
  <c r="J95" i="48"/>
  <c r="K10" i="48"/>
  <c r="J10" i="48"/>
  <c r="K9" i="48"/>
  <c r="M231" i="16"/>
  <c r="G230" i="16"/>
  <c r="P97" i="47"/>
  <c r="P105" i="47"/>
  <c r="P190" i="47"/>
  <c r="P241" i="47"/>
  <c r="P244" i="47"/>
  <c r="P100" i="47"/>
  <c r="P182" i="47"/>
  <c r="N245" i="47"/>
  <c r="K245" i="47" s="1"/>
  <c r="P250" i="47"/>
  <c r="N242" i="47"/>
  <c r="J242" i="47" s="1"/>
  <c r="P245" i="47"/>
  <c r="N240" i="47"/>
  <c r="N241" i="47"/>
  <c r="M241" i="47" s="1"/>
  <c r="N244" i="47"/>
  <c r="K244" i="47" s="1"/>
  <c r="P246" i="47"/>
  <c r="N247" i="47"/>
  <c r="K247" i="47" s="1"/>
  <c r="P247" i="47"/>
  <c r="P239" i="47"/>
  <c r="P242" i="47"/>
  <c r="N246" i="47"/>
  <c r="P248" i="47"/>
  <c r="P252" i="47"/>
  <c r="N179" i="47"/>
  <c r="N185" i="47"/>
  <c r="M185" i="47" s="1"/>
  <c r="N183" i="47"/>
  <c r="K183" i="47" s="1"/>
  <c r="P184" i="47"/>
  <c r="P187" i="47"/>
  <c r="P179" i="47"/>
  <c r="N181" i="47"/>
  <c r="M181" i="47" s="1"/>
  <c r="P185" i="47"/>
  <c r="P181" i="47"/>
  <c r="N187" i="47"/>
  <c r="K187" i="47" s="1"/>
  <c r="P188" i="47"/>
  <c r="P191" i="47"/>
  <c r="P94" i="47"/>
  <c r="P98" i="47"/>
  <c r="P95" i="47"/>
  <c r="P99" i="47"/>
  <c r="P103" i="47"/>
  <c r="P39" i="47"/>
  <c r="N39" i="47"/>
  <c r="N7" i="47"/>
  <c r="P7" i="47"/>
  <c r="N92" i="47"/>
  <c r="P107" i="47"/>
  <c r="N180" i="47"/>
  <c r="N184" i="47"/>
  <c r="L92" i="47"/>
  <c r="P192" i="47"/>
  <c r="L239" i="47"/>
  <c r="T226" i="16"/>
  <c r="U226" i="16"/>
  <c r="N15" i="33"/>
  <c r="AI95" i="48" l="1"/>
  <c r="P271" i="47"/>
  <c r="P272" i="47"/>
  <c r="P273" i="47" s="1"/>
  <c r="K239" i="47"/>
  <c r="N271" i="47"/>
  <c r="N272" i="47"/>
  <c r="N273" i="47" s="1"/>
  <c r="L272" i="47"/>
  <c r="L273" i="47" s="1"/>
  <c r="L271" i="47"/>
  <c r="M179" i="47"/>
  <c r="N223" i="47"/>
  <c r="N224" i="47"/>
  <c r="N225" i="47" s="1"/>
  <c r="L223" i="47"/>
  <c r="L224" i="47"/>
  <c r="L225" i="47" s="1"/>
  <c r="P223" i="47"/>
  <c r="P224" i="47"/>
  <c r="P225" i="47" s="1"/>
  <c r="L164" i="47"/>
  <c r="L165" i="47"/>
  <c r="L166" i="47" s="1"/>
  <c r="N164" i="47"/>
  <c r="N165" i="47"/>
  <c r="N166" i="47" s="1"/>
  <c r="P164" i="47"/>
  <c r="P165" i="47"/>
  <c r="P166" i="47" s="1"/>
  <c r="M239" i="47"/>
  <c r="J245" i="47"/>
  <c r="J239" i="47"/>
  <c r="K185" i="47"/>
  <c r="K39" i="47"/>
  <c r="N77" i="47"/>
  <c r="N78" i="47"/>
  <c r="N79" i="47" s="1"/>
  <c r="L77" i="47"/>
  <c r="L78" i="47"/>
  <c r="L79" i="47" s="1"/>
  <c r="P77" i="47"/>
  <c r="P78" i="47"/>
  <c r="P79" i="47" s="1"/>
  <c r="J241" i="47"/>
  <c r="M243" i="47"/>
  <c r="J185" i="47"/>
  <c r="M182" i="47"/>
  <c r="M186" i="47"/>
  <c r="J186" i="47"/>
  <c r="J182" i="47"/>
  <c r="K7" i="47"/>
  <c r="N28" i="47"/>
  <c r="N29" i="47"/>
  <c r="N30" i="47" s="1"/>
  <c r="L29" i="47"/>
  <c r="L30" i="47" s="1"/>
  <c r="L28" i="47"/>
  <c r="P28" i="47"/>
  <c r="P29" i="47"/>
  <c r="P30" i="47" s="1"/>
  <c r="K179" i="47"/>
  <c r="J243" i="47"/>
  <c r="K241" i="47"/>
  <c r="M245" i="47"/>
  <c r="M247" i="47"/>
  <c r="J247" i="47"/>
  <c r="J7" i="47"/>
  <c r="AI63" i="49"/>
  <c r="AI64" i="49" s="1"/>
  <c r="AI62" i="49"/>
  <c r="AF69" i="49"/>
  <c r="AF70" i="49"/>
  <c r="AF71" i="49" s="1"/>
  <c r="AI96" i="48"/>
  <c r="AI97" i="48" s="1"/>
  <c r="AG62" i="49"/>
  <c r="AG63" i="49"/>
  <c r="AG64" i="49" s="1"/>
  <c r="AI69" i="49"/>
  <c r="AI70" i="49"/>
  <c r="AI71" i="49" s="1"/>
  <c r="AF95" i="48"/>
  <c r="AF96" i="48"/>
  <c r="AF97" i="48" s="1"/>
  <c r="AG88" i="48"/>
  <c r="AG89" i="48"/>
  <c r="AG90" i="48" s="1"/>
  <c r="AG69" i="49"/>
  <c r="AG70" i="49"/>
  <c r="AG71" i="49" s="1"/>
  <c r="AF62" i="49"/>
  <c r="AF63" i="49"/>
  <c r="AF64" i="49" s="1"/>
  <c r="AG96" i="48"/>
  <c r="AG97" i="48" s="1"/>
  <c r="AF88" i="48"/>
  <c r="AF89" i="48"/>
  <c r="AF90" i="48" s="1"/>
  <c r="AI88" i="48"/>
  <c r="AI89" i="48"/>
  <c r="AI90" i="48" s="1"/>
  <c r="AF32" i="49"/>
  <c r="AG32" i="49"/>
  <c r="AG33" i="49"/>
  <c r="AG34" i="49" s="1"/>
  <c r="AI32" i="49"/>
  <c r="AI33" i="49"/>
  <c r="AI34" i="49" s="1"/>
  <c r="AF33" i="49"/>
  <c r="AF34" i="49" s="1"/>
  <c r="M103" i="49"/>
  <c r="M104" i="49"/>
  <c r="M105" i="49" s="1"/>
  <c r="K103" i="49"/>
  <c r="K104" i="49"/>
  <c r="K105" i="49" s="1"/>
  <c r="J103" i="49"/>
  <c r="J104" i="49"/>
  <c r="J105" i="49" s="1"/>
  <c r="K97" i="49"/>
  <c r="K98" i="49"/>
  <c r="K99" i="49" s="1"/>
  <c r="J97" i="49"/>
  <c r="J98" i="49"/>
  <c r="J99" i="49" s="1"/>
  <c r="M97" i="49"/>
  <c r="M98" i="49"/>
  <c r="M99" i="49" s="1"/>
  <c r="J48" i="49"/>
  <c r="J49" i="49"/>
  <c r="J50" i="49" s="1"/>
  <c r="K48" i="49"/>
  <c r="K49" i="49"/>
  <c r="K50" i="49" s="1"/>
  <c r="M48" i="49"/>
  <c r="M49" i="49"/>
  <c r="M50" i="49" s="1"/>
  <c r="K43" i="49"/>
  <c r="K44" i="49"/>
  <c r="K45" i="49" s="1"/>
  <c r="M44" i="49"/>
  <c r="M45" i="49" s="1"/>
  <c r="M43" i="49"/>
  <c r="J44" i="49"/>
  <c r="J45" i="49" s="1"/>
  <c r="J43" i="49"/>
  <c r="M16" i="49"/>
  <c r="M17" i="49"/>
  <c r="M18" i="49" s="1"/>
  <c r="J17" i="49"/>
  <c r="J18" i="49" s="1"/>
  <c r="J16" i="49"/>
  <c r="K17" i="49"/>
  <c r="K18" i="49" s="1"/>
  <c r="K16" i="49"/>
  <c r="AG45" i="48"/>
  <c r="AG46" i="48" s="1"/>
  <c r="AG44" i="48"/>
  <c r="AI44" i="48"/>
  <c r="AI45" i="48"/>
  <c r="AI46" i="48" s="1"/>
  <c r="AF44" i="48"/>
  <c r="AF45" i="48"/>
  <c r="AF46" i="48" s="1"/>
  <c r="M131" i="48"/>
  <c r="M132" i="48"/>
  <c r="M133" i="48" s="1"/>
  <c r="J131" i="48"/>
  <c r="J132" i="48"/>
  <c r="J133" i="48" s="1"/>
  <c r="M125" i="48"/>
  <c r="M126" i="48"/>
  <c r="M127" i="48" s="1"/>
  <c r="J125" i="48"/>
  <c r="J126" i="48"/>
  <c r="J127" i="48" s="1"/>
  <c r="K125" i="48"/>
  <c r="K126" i="48"/>
  <c r="K127" i="48" s="1"/>
  <c r="K131" i="48"/>
  <c r="K132" i="48"/>
  <c r="K133" i="48" s="1"/>
  <c r="M71" i="48"/>
  <c r="M72" i="48"/>
  <c r="M73" i="48" s="1"/>
  <c r="J71" i="48"/>
  <c r="J72" i="48"/>
  <c r="J73" i="48" s="1"/>
  <c r="K71" i="48"/>
  <c r="K72" i="48"/>
  <c r="K73" i="48" s="1"/>
  <c r="M27" i="48"/>
  <c r="M28" i="48"/>
  <c r="M29" i="48" s="1"/>
  <c r="J28" i="48"/>
  <c r="J29" i="48" s="1"/>
  <c r="J27" i="48"/>
  <c r="K28" i="48"/>
  <c r="K29" i="48" s="1"/>
  <c r="K27" i="48"/>
  <c r="U230" i="16"/>
  <c r="U231" i="16"/>
  <c r="T231" i="16"/>
  <c r="T230" i="16"/>
  <c r="M39" i="47"/>
  <c r="J179" i="47"/>
  <c r="J39" i="47"/>
  <c r="M246" i="47"/>
  <c r="K246" i="47"/>
  <c r="J246" i="47"/>
  <c r="M244" i="47"/>
  <c r="J244" i="47"/>
  <c r="M240" i="47"/>
  <c r="J240" i="47"/>
  <c r="M242" i="47"/>
  <c r="K242" i="47"/>
  <c r="K240" i="47"/>
  <c r="J187" i="47"/>
  <c r="M187" i="47"/>
  <c r="M183" i="47"/>
  <c r="J183" i="47"/>
  <c r="J181" i="47"/>
  <c r="K181" i="47"/>
  <c r="M7" i="47"/>
  <c r="J184" i="47"/>
  <c r="M184" i="47"/>
  <c r="K184" i="47"/>
  <c r="M92" i="47"/>
  <c r="K92" i="47"/>
  <c r="J92" i="47"/>
  <c r="J180" i="47"/>
  <c r="M180" i="47"/>
  <c r="K180" i="47"/>
  <c r="AH26" i="36"/>
  <c r="AH27" i="36"/>
  <c r="AH28" i="36" s="1"/>
  <c r="O104" i="36"/>
  <c r="J271" i="47" l="1"/>
  <c r="J272" i="47"/>
  <c r="J273" i="47" s="1"/>
  <c r="K271" i="47"/>
  <c r="K272" i="47"/>
  <c r="K273" i="47" s="1"/>
  <c r="M271" i="47"/>
  <c r="M272" i="47"/>
  <c r="M273" i="47" s="1"/>
  <c r="J223" i="47"/>
  <c r="J224" i="47"/>
  <c r="J225" i="47" s="1"/>
  <c r="K223" i="47"/>
  <c r="K224" i="47"/>
  <c r="K225" i="47" s="1"/>
  <c r="M223" i="47"/>
  <c r="M224" i="47"/>
  <c r="M225" i="47" s="1"/>
  <c r="J164" i="47"/>
  <c r="J165" i="47"/>
  <c r="J166" i="47" s="1"/>
  <c r="K164" i="47"/>
  <c r="K165" i="47"/>
  <c r="K166" i="47" s="1"/>
  <c r="M164" i="47"/>
  <c r="M165" i="47"/>
  <c r="M166" i="47" s="1"/>
  <c r="M78" i="47"/>
  <c r="M79" i="47" s="1"/>
  <c r="M77" i="47"/>
  <c r="K78" i="47"/>
  <c r="K79" i="47" s="1"/>
  <c r="K77" i="47"/>
  <c r="J77" i="47"/>
  <c r="J78" i="47"/>
  <c r="J79" i="47" s="1"/>
  <c r="J28" i="47"/>
  <c r="J29" i="47"/>
  <c r="J30" i="47" s="1"/>
  <c r="M28" i="47"/>
  <c r="M29" i="47"/>
  <c r="M30" i="47" s="1"/>
  <c r="K29" i="47"/>
  <c r="K30" i="47" s="1"/>
  <c r="K28" i="47"/>
  <c r="CO193" i="35"/>
  <c r="CL192" i="35"/>
  <c r="CL191" i="35"/>
  <c r="CL190" i="35"/>
  <c r="CL189" i="35"/>
  <c r="CT194" i="35"/>
  <c r="CS194" i="35"/>
  <c r="CR194" i="35"/>
  <c r="CQ194" i="35"/>
  <c r="CP194" i="35"/>
  <c r="CO194" i="35"/>
  <c r="CN194" i="35"/>
  <c r="CM194" i="35"/>
  <c r="CL194" i="35"/>
  <c r="CT193" i="35"/>
  <c r="CS193" i="35"/>
  <c r="CR193" i="35"/>
  <c r="CQ193" i="35"/>
  <c r="CP193" i="35"/>
  <c r="CN193" i="35"/>
  <c r="CM193" i="35"/>
  <c r="CL193" i="35"/>
  <c r="CT192" i="35"/>
  <c r="CS192" i="35"/>
  <c r="CR192" i="35"/>
  <c r="CQ192" i="35"/>
  <c r="CP192" i="35"/>
  <c r="CO192" i="35"/>
  <c r="CN192" i="35"/>
  <c r="CM192" i="35"/>
  <c r="CT191" i="35"/>
  <c r="CS191" i="35"/>
  <c r="CR191" i="35"/>
  <c r="CQ191" i="35"/>
  <c r="CP191" i="35"/>
  <c r="CO191" i="35"/>
  <c r="CN191" i="35"/>
  <c r="CM191" i="35"/>
  <c r="CT190" i="35"/>
  <c r="CS190" i="35"/>
  <c r="CR190" i="35"/>
  <c r="CQ190" i="35"/>
  <c r="CP190" i="35"/>
  <c r="CO190" i="35"/>
  <c r="CN190" i="35"/>
  <c r="CM190" i="35"/>
  <c r="CT189" i="35"/>
  <c r="CS189" i="35"/>
  <c r="CR189" i="35"/>
  <c r="CQ189" i="35"/>
  <c r="CP189" i="35"/>
  <c r="CO189" i="35"/>
  <c r="CN189" i="35"/>
  <c r="CM189" i="35"/>
  <c r="BK194" i="35"/>
  <c r="BJ194" i="35"/>
  <c r="BI194" i="35"/>
  <c r="BH194" i="35"/>
  <c r="BG194" i="35"/>
  <c r="BF194" i="35"/>
  <c r="BE194" i="35"/>
  <c r="BD194" i="35"/>
  <c r="BC194" i="35"/>
  <c r="BK193" i="35"/>
  <c r="BJ193" i="35"/>
  <c r="BI193" i="35"/>
  <c r="BH193" i="35"/>
  <c r="BG193" i="35"/>
  <c r="BF193" i="35"/>
  <c r="BE193" i="35"/>
  <c r="BD193" i="35"/>
  <c r="BC193" i="35"/>
  <c r="BK192" i="35"/>
  <c r="BJ192" i="35"/>
  <c r="BI192" i="35"/>
  <c r="BH192" i="35"/>
  <c r="BG192" i="35"/>
  <c r="BF192" i="35"/>
  <c r="BE192" i="35"/>
  <c r="BD192" i="35"/>
  <c r="BC192" i="35"/>
  <c r="BK191" i="35"/>
  <c r="BJ191" i="35"/>
  <c r="BI191" i="35"/>
  <c r="BH191" i="35"/>
  <c r="BG191" i="35"/>
  <c r="BF191" i="35"/>
  <c r="BE191" i="35"/>
  <c r="BD191" i="35"/>
  <c r="BC191" i="35"/>
  <c r="BK190" i="35"/>
  <c r="BJ190" i="35"/>
  <c r="BI190" i="35"/>
  <c r="BH190" i="35"/>
  <c r="BG190" i="35"/>
  <c r="BF190" i="35"/>
  <c r="BE190" i="35"/>
  <c r="BD190" i="35"/>
  <c r="BC190" i="35"/>
  <c r="BK189" i="35"/>
  <c r="BJ189" i="35"/>
  <c r="BI189" i="35"/>
  <c r="BH189" i="35"/>
  <c r="BG189" i="35"/>
  <c r="BF189" i="35"/>
  <c r="BE189" i="35"/>
  <c r="BD189" i="35"/>
  <c r="BC189" i="35"/>
  <c r="U189" i="35"/>
  <c r="V189" i="35"/>
  <c r="W189" i="35"/>
  <c r="X189" i="35"/>
  <c r="Y189" i="35"/>
  <c r="Z189" i="35"/>
  <c r="AA189" i="35"/>
  <c r="AB189" i="35"/>
  <c r="U190" i="35"/>
  <c r="V190" i="35"/>
  <c r="W190" i="35"/>
  <c r="X190" i="35"/>
  <c r="Y190" i="35"/>
  <c r="Z190" i="35"/>
  <c r="AA190" i="35"/>
  <c r="AB190" i="35"/>
  <c r="U191" i="35"/>
  <c r="V191" i="35"/>
  <c r="W191" i="35"/>
  <c r="X191" i="35"/>
  <c r="Y191" i="35"/>
  <c r="Z191" i="35"/>
  <c r="AA191" i="35"/>
  <c r="AB191" i="35"/>
  <c r="U192" i="35"/>
  <c r="V192" i="35"/>
  <c r="W192" i="35"/>
  <c r="X192" i="35"/>
  <c r="Y192" i="35"/>
  <c r="Z192" i="35"/>
  <c r="AA192" i="35"/>
  <c r="AB192" i="35"/>
  <c r="U193" i="35"/>
  <c r="V193" i="35"/>
  <c r="W193" i="35"/>
  <c r="X193" i="35"/>
  <c r="Y193" i="35"/>
  <c r="Z193" i="35"/>
  <c r="AA193" i="35"/>
  <c r="AB193" i="35"/>
  <c r="U194" i="35"/>
  <c r="V194" i="35"/>
  <c r="W194" i="35"/>
  <c r="X194" i="35"/>
  <c r="Y194" i="35"/>
  <c r="Z194" i="35"/>
  <c r="AA194" i="35"/>
  <c r="AB194" i="35"/>
  <c r="T194" i="35"/>
  <c r="T192" i="35"/>
  <c r="CE199" i="35"/>
  <c r="CD199" i="35"/>
  <c r="CC199" i="35"/>
  <c r="CB199" i="35"/>
  <c r="CA199" i="35"/>
  <c r="BZ199" i="35"/>
  <c r="BY199" i="35"/>
  <c r="BX199" i="35"/>
  <c r="BW199" i="35"/>
  <c r="CE198" i="35"/>
  <c r="CD198" i="35"/>
  <c r="CC198" i="35"/>
  <c r="CB198" i="35"/>
  <c r="CA198" i="35"/>
  <c r="BZ198" i="35"/>
  <c r="BY198" i="35"/>
  <c r="BX198" i="35"/>
  <c r="BW198" i="35"/>
  <c r="CE197" i="35"/>
  <c r="CD197" i="35"/>
  <c r="CC197" i="35"/>
  <c r="CB197" i="35"/>
  <c r="CA197" i="35"/>
  <c r="BZ197" i="35"/>
  <c r="BY197" i="35"/>
  <c r="BX197" i="35"/>
  <c r="BW197" i="35"/>
  <c r="CE196" i="35"/>
  <c r="CD196" i="35"/>
  <c r="CC196" i="35"/>
  <c r="CB196" i="35"/>
  <c r="CA196" i="35"/>
  <c r="BZ196" i="35"/>
  <c r="BY196" i="35"/>
  <c r="BX196" i="35"/>
  <c r="BW196" i="35"/>
  <c r="CE195" i="35"/>
  <c r="CD195" i="35"/>
  <c r="CC195" i="35"/>
  <c r="CB195" i="35"/>
  <c r="CA195" i="35"/>
  <c r="BZ195" i="35"/>
  <c r="BY195" i="35"/>
  <c r="BX195" i="35"/>
  <c r="BW195" i="35"/>
  <c r="CE194" i="35"/>
  <c r="CD194" i="35"/>
  <c r="CC194" i="35"/>
  <c r="CB194" i="35"/>
  <c r="CA194" i="35"/>
  <c r="BZ194" i="35"/>
  <c r="BY194" i="35"/>
  <c r="BX194" i="35"/>
  <c r="BW194" i="35"/>
  <c r="CE193" i="35"/>
  <c r="CD193" i="35"/>
  <c r="CC193" i="35"/>
  <c r="CB193" i="35"/>
  <c r="CA193" i="35"/>
  <c r="BZ193" i="35"/>
  <c r="BY193" i="35"/>
  <c r="BX193" i="35"/>
  <c r="BW193" i="35"/>
  <c r="CE192" i="35"/>
  <c r="CD192" i="35"/>
  <c r="CC192" i="35"/>
  <c r="CB192" i="35"/>
  <c r="CA192" i="35"/>
  <c r="BZ192" i="35"/>
  <c r="BY192" i="35"/>
  <c r="BX192" i="35"/>
  <c r="BW192" i="35"/>
  <c r="CE191" i="35"/>
  <c r="CD191" i="35"/>
  <c r="CC191" i="35"/>
  <c r="CB191" i="35"/>
  <c r="CA191" i="35"/>
  <c r="BZ191" i="35"/>
  <c r="BY191" i="35"/>
  <c r="BX191" i="35"/>
  <c r="BW191" i="35"/>
  <c r="CE190" i="35"/>
  <c r="CD190" i="35"/>
  <c r="CC190" i="35"/>
  <c r="CB190" i="35"/>
  <c r="CA190" i="35"/>
  <c r="BZ190" i="35"/>
  <c r="BY190" i="35"/>
  <c r="BX190" i="35"/>
  <c r="BW190" i="35"/>
  <c r="CE189" i="35"/>
  <c r="CD189" i="35"/>
  <c r="CC189" i="35"/>
  <c r="CB189" i="35"/>
  <c r="CA189" i="35"/>
  <c r="BZ189" i="35"/>
  <c r="BY189" i="35"/>
  <c r="BX189" i="35"/>
  <c r="BW189" i="35"/>
  <c r="AV199" i="35"/>
  <c r="AU199" i="35"/>
  <c r="AT199" i="35"/>
  <c r="AS199" i="35"/>
  <c r="AR199" i="35"/>
  <c r="AQ199" i="35"/>
  <c r="AP199" i="35"/>
  <c r="AO199" i="35"/>
  <c r="AN199" i="35"/>
  <c r="AV198" i="35"/>
  <c r="AU198" i="35"/>
  <c r="AT198" i="35"/>
  <c r="AS198" i="35"/>
  <c r="AR198" i="35"/>
  <c r="AQ198" i="35"/>
  <c r="AP198" i="35"/>
  <c r="AO198" i="35"/>
  <c r="AN198" i="35"/>
  <c r="AV197" i="35"/>
  <c r="AU197" i="35"/>
  <c r="AT197" i="35"/>
  <c r="AS197" i="35"/>
  <c r="AR197" i="35"/>
  <c r="AQ197" i="35"/>
  <c r="AP197" i="35"/>
  <c r="AO197" i="35"/>
  <c r="AN197" i="35"/>
  <c r="AV196" i="35"/>
  <c r="AU196" i="35"/>
  <c r="AT196" i="35"/>
  <c r="AS196" i="35"/>
  <c r="AR196" i="35"/>
  <c r="AQ196" i="35"/>
  <c r="AP196" i="35"/>
  <c r="AO196" i="35"/>
  <c r="AN196" i="35"/>
  <c r="AV195" i="35"/>
  <c r="AU195" i="35"/>
  <c r="AT195" i="35"/>
  <c r="AS195" i="35"/>
  <c r="AR195" i="35"/>
  <c r="AQ195" i="35"/>
  <c r="AP195" i="35"/>
  <c r="AO195" i="35"/>
  <c r="AN195" i="35"/>
  <c r="AV194" i="35"/>
  <c r="AU194" i="35"/>
  <c r="AT194" i="35"/>
  <c r="AS194" i="35"/>
  <c r="AR194" i="35"/>
  <c r="AQ194" i="35"/>
  <c r="AP194" i="35"/>
  <c r="AO194" i="35"/>
  <c r="AN194" i="35"/>
  <c r="AV193" i="35"/>
  <c r="AU193" i="35"/>
  <c r="AT193" i="35"/>
  <c r="AS193" i="35"/>
  <c r="AR193" i="35"/>
  <c r="AQ193" i="35"/>
  <c r="AP193" i="35"/>
  <c r="AO193" i="35"/>
  <c r="AN193" i="35"/>
  <c r="AV192" i="35"/>
  <c r="AU192" i="35"/>
  <c r="AT192" i="35"/>
  <c r="AS192" i="35"/>
  <c r="AR192" i="35"/>
  <c r="AQ192" i="35"/>
  <c r="AP192" i="35"/>
  <c r="AO192" i="35"/>
  <c r="AN192" i="35"/>
  <c r="AV191" i="35"/>
  <c r="AU191" i="35"/>
  <c r="AT191" i="35"/>
  <c r="AS191" i="35"/>
  <c r="AR191" i="35"/>
  <c r="AQ191" i="35"/>
  <c r="AP191" i="35"/>
  <c r="AO191" i="35"/>
  <c r="AN191" i="35"/>
  <c r="AV190" i="35"/>
  <c r="AU190" i="35"/>
  <c r="AT190" i="35"/>
  <c r="AS190" i="35"/>
  <c r="AR190" i="35"/>
  <c r="AQ190" i="35"/>
  <c r="AP190" i="35"/>
  <c r="AO190" i="35"/>
  <c r="AN190" i="35"/>
  <c r="AV189" i="35"/>
  <c r="AU189" i="35"/>
  <c r="AT189" i="35"/>
  <c r="AS189" i="35"/>
  <c r="AR189" i="35"/>
  <c r="AQ189" i="35"/>
  <c r="AP189" i="35"/>
  <c r="AO189" i="35"/>
  <c r="AN189" i="35"/>
  <c r="F189" i="35"/>
  <c r="G189" i="35"/>
  <c r="H189" i="35"/>
  <c r="I189" i="35"/>
  <c r="J189" i="35"/>
  <c r="K189" i="35"/>
  <c r="L189" i="35"/>
  <c r="M189" i="35"/>
  <c r="F190" i="35"/>
  <c r="G190" i="35"/>
  <c r="H190" i="35"/>
  <c r="I190" i="35"/>
  <c r="J190" i="35"/>
  <c r="K190" i="35"/>
  <c r="L190" i="35"/>
  <c r="M190" i="35"/>
  <c r="F191" i="35"/>
  <c r="G191" i="35"/>
  <c r="H191" i="35"/>
  <c r="I191" i="35"/>
  <c r="J191" i="35"/>
  <c r="K191" i="35"/>
  <c r="L191" i="35"/>
  <c r="M191" i="35"/>
  <c r="F192" i="35"/>
  <c r="G192" i="35"/>
  <c r="H192" i="35"/>
  <c r="I192" i="35"/>
  <c r="J192" i="35"/>
  <c r="K192" i="35"/>
  <c r="L192" i="35"/>
  <c r="M192" i="35"/>
  <c r="F193" i="35"/>
  <c r="G193" i="35"/>
  <c r="H193" i="35"/>
  <c r="I193" i="35"/>
  <c r="J193" i="35"/>
  <c r="K193" i="35"/>
  <c r="L193" i="35"/>
  <c r="M193" i="35"/>
  <c r="F194" i="35"/>
  <c r="G194" i="35"/>
  <c r="H194" i="35"/>
  <c r="I194" i="35"/>
  <c r="J194" i="35"/>
  <c r="K194" i="35"/>
  <c r="L194" i="35"/>
  <c r="M194" i="35"/>
  <c r="F195" i="35"/>
  <c r="G195" i="35"/>
  <c r="H195" i="35"/>
  <c r="I195" i="35"/>
  <c r="J195" i="35"/>
  <c r="K195" i="35"/>
  <c r="L195" i="35"/>
  <c r="M195" i="35"/>
  <c r="F196" i="35"/>
  <c r="G196" i="35"/>
  <c r="H196" i="35"/>
  <c r="I196" i="35"/>
  <c r="J196" i="35"/>
  <c r="K196" i="35"/>
  <c r="L196" i="35"/>
  <c r="M196" i="35"/>
  <c r="F197" i="35"/>
  <c r="G197" i="35"/>
  <c r="H197" i="35"/>
  <c r="I197" i="35"/>
  <c r="J197" i="35"/>
  <c r="K197" i="35"/>
  <c r="L197" i="35"/>
  <c r="M197" i="35"/>
  <c r="F198" i="35"/>
  <c r="G198" i="35"/>
  <c r="H198" i="35"/>
  <c r="I198" i="35"/>
  <c r="J198" i="35"/>
  <c r="K198" i="35"/>
  <c r="L198" i="35"/>
  <c r="M198" i="35"/>
  <c r="F199" i="35"/>
  <c r="G199" i="35"/>
  <c r="H199" i="35"/>
  <c r="I199" i="35"/>
  <c r="J199" i="35"/>
  <c r="K199" i="35"/>
  <c r="L199" i="35"/>
  <c r="M199" i="35"/>
  <c r="E198" i="35"/>
  <c r="E199" i="35"/>
  <c r="E197" i="35"/>
  <c r="E195" i="35"/>
  <c r="E193" i="35"/>
  <c r="E191" i="35"/>
  <c r="BC168" i="35" l="1"/>
  <c r="CT168" i="35"/>
  <c r="CS168" i="35"/>
  <c r="CR168" i="35"/>
  <c r="CQ168" i="35"/>
  <c r="CP168" i="35"/>
  <c r="CO168" i="35"/>
  <c r="CN168" i="35"/>
  <c r="CM168" i="35"/>
  <c r="CL168" i="35"/>
  <c r="CT167" i="35"/>
  <c r="CS167" i="35"/>
  <c r="CR167" i="35"/>
  <c r="CQ167" i="35"/>
  <c r="CP167" i="35"/>
  <c r="CO167" i="35"/>
  <c r="CN167" i="35"/>
  <c r="CM167" i="35"/>
  <c r="CL167" i="35"/>
  <c r="CT166" i="35"/>
  <c r="CS166" i="35"/>
  <c r="CR166" i="35"/>
  <c r="CQ166" i="35"/>
  <c r="CP166" i="35"/>
  <c r="CO166" i="35"/>
  <c r="CN166" i="35"/>
  <c r="CM166" i="35"/>
  <c r="CL166" i="35"/>
  <c r="CT165" i="35"/>
  <c r="CS165" i="35"/>
  <c r="CR165" i="35"/>
  <c r="CQ165" i="35"/>
  <c r="CP165" i="35"/>
  <c r="CO165" i="35"/>
  <c r="CN165" i="35"/>
  <c r="CM165" i="35"/>
  <c r="CL165" i="35"/>
  <c r="CT164" i="35"/>
  <c r="CS164" i="35"/>
  <c r="CR164" i="35"/>
  <c r="CQ164" i="35"/>
  <c r="CP164" i="35"/>
  <c r="CO164" i="35"/>
  <c r="CN164" i="35"/>
  <c r="CM164" i="35"/>
  <c r="CL164" i="35"/>
  <c r="CT163" i="35"/>
  <c r="CS163" i="35"/>
  <c r="CR163" i="35"/>
  <c r="CQ163" i="35"/>
  <c r="CP163" i="35"/>
  <c r="CO163" i="35"/>
  <c r="CN163" i="35"/>
  <c r="CM163" i="35"/>
  <c r="CL163" i="35"/>
  <c r="CT162" i="35"/>
  <c r="CS162" i="35"/>
  <c r="CR162" i="35"/>
  <c r="CQ162" i="35"/>
  <c r="CP162" i="35"/>
  <c r="CO162" i="35"/>
  <c r="CN162" i="35"/>
  <c r="CM162" i="35"/>
  <c r="CL162" i="35"/>
  <c r="CT161" i="35"/>
  <c r="CS161" i="35"/>
  <c r="CR161" i="35"/>
  <c r="CQ161" i="35"/>
  <c r="CP161" i="35"/>
  <c r="CO161" i="35"/>
  <c r="CN161" i="35"/>
  <c r="CM161" i="35"/>
  <c r="CL161" i="35"/>
  <c r="CT160" i="35"/>
  <c r="CS160" i="35"/>
  <c r="CR160" i="35"/>
  <c r="CQ160" i="35"/>
  <c r="CP160" i="35"/>
  <c r="CO160" i="35"/>
  <c r="CN160" i="35"/>
  <c r="CM160" i="35"/>
  <c r="CL160" i="35"/>
  <c r="CT159" i="35"/>
  <c r="CS159" i="35"/>
  <c r="CR159" i="35"/>
  <c r="CQ159" i="35"/>
  <c r="CP159" i="35"/>
  <c r="CO159" i="35"/>
  <c r="CN159" i="35"/>
  <c r="CM159" i="35"/>
  <c r="CL159" i="35"/>
  <c r="CT158" i="35"/>
  <c r="CS158" i="35"/>
  <c r="CR158" i="35"/>
  <c r="CQ158" i="35"/>
  <c r="CP158" i="35"/>
  <c r="CO158" i="35"/>
  <c r="CN158" i="35"/>
  <c r="CM158" i="35"/>
  <c r="CL158" i="35"/>
  <c r="CT157" i="35"/>
  <c r="CS157" i="35"/>
  <c r="CR157" i="35"/>
  <c r="CQ157" i="35"/>
  <c r="CP157" i="35"/>
  <c r="CO157" i="35"/>
  <c r="CN157" i="35"/>
  <c r="CM157" i="35"/>
  <c r="CL157" i="35"/>
  <c r="CT156" i="35"/>
  <c r="CS156" i="35"/>
  <c r="CR156" i="35"/>
  <c r="CQ156" i="35"/>
  <c r="CP156" i="35"/>
  <c r="CO156" i="35"/>
  <c r="CN156" i="35"/>
  <c r="CM156" i="35"/>
  <c r="CL156" i="35"/>
  <c r="CE170" i="35"/>
  <c r="CD170" i="35"/>
  <c r="CC170" i="35"/>
  <c r="CB170" i="35"/>
  <c r="CA170" i="35"/>
  <c r="BZ170" i="35"/>
  <c r="BY170" i="35"/>
  <c r="BX170" i="35"/>
  <c r="BW170" i="35"/>
  <c r="CE169" i="35"/>
  <c r="CD169" i="35"/>
  <c r="CC169" i="35"/>
  <c r="CB169" i="35"/>
  <c r="CA169" i="35"/>
  <c r="BZ169" i="35"/>
  <c r="BY169" i="35"/>
  <c r="BX169" i="35"/>
  <c r="BW169" i="35"/>
  <c r="CE168" i="35"/>
  <c r="CD168" i="35"/>
  <c r="CC168" i="35"/>
  <c r="CB168" i="35"/>
  <c r="CA168" i="35"/>
  <c r="BZ168" i="35"/>
  <c r="BY168" i="35"/>
  <c r="BX168" i="35"/>
  <c r="BW168" i="35"/>
  <c r="CE167" i="35"/>
  <c r="CD167" i="35"/>
  <c r="CC167" i="35"/>
  <c r="CB167" i="35"/>
  <c r="CA167" i="35"/>
  <c r="BZ167" i="35"/>
  <c r="BY167" i="35"/>
  <c r="BX167" i="35"/>
  <c r="BW167" i="35"/>
  <c r="CE166" i="35"/>
  <c r="CD166" i="35"/>
  <c r="CC166" i="35"/>
  <c r="CB166" i="35"/>
  <c r="CA166" i="35"/>
  <c r="BZ166" i="35"/>
  <c r="BY166" i="35"/>
  <c r="BX166" i="35"/>
  <c r="BW166" i="35"/>
  <c r="CE165" i="35"/>
  <c r="CD165" i="35"/>
  <c r="CC165" i="35"/>
  <c r="CB165" i="35"/>
  <c r="CA165" i="35"/>
  <c r="BZ165" i="35"/>
  <c r="BY165" i="35"/>
  <c r="BX165" i="35"/>
  <c r="BW165" i="35"/>
  <c r="CE164" i="35"/>
  <c r="CD164" i="35"/>
  <c r="CC164" i="35"/>
  <c r="CB164" i="35"/>
  <c r="CA164" i="35"/>
  <c r="BZ164" i="35"/>
  <c r="BY164" i="35"/>
  <c r="BX164" i="35"/>
  <c r="BW164" i="35"/>
  <c r="CE163" i="35"/>
  <c r="CD163" i="35"/>
  <c r="CC163" i="35"/>
  <c r="CB163" i="35"/>
  <c r="CA163" i="35"/>
  <c r="BZ163" i="35"/>
  <c r="BY163" i="35"/>
  <c r="BX163" i="35"/>
  <c r="BW163" i="35"/>
  <c r="CE162" i="35"/>
  <c r="CD162" i="35"/>
  <c r="CC162" i="35"/>
  <c r="CB162" i="35"/>
  <c r="CA162" i="35"/>
  <c r="BZ162" i="35"/>
  <c r="BY162" i="35"/>
  <c r="BX162" i="35"/>
  <c r="BW162" i="35"/>
  <c r="CE161" i="35"/>
  <c r="CD161" i="35"/>
  <c r="CC161" i="35"/>
  <c r="CB161" i="35"/>
  <c r="CA161" i="35"/>
  <c r="BZ161" i="35"/>
  <c r="BY161" i="35"/>
  <c r="BX161" i="35"/>
  <c r="BW161" i="35"/>
  <c r="CE160" i="35"/>
  <c r="CD160" i="35"/>
  <c r="CC160" i="35"/>
  <c r="CB160" i="35"/>
  <c r="CA160" i="35"/>
  <c r="BZ160" i="35"/>
  <c r="BY160" i="35"/>
  <c r="BX160" i="35"/>
  <c r="BW160" i="35"/>
  <c r="CE159" i="35"/>
  <c r="CD159" i="35"/>
  <c r="CC159" i="35"/>
  <c r="CB159" i="35"/>
  <c r="CA159" i="35"/>
  <c r="BZ159" i="35"/>
  <c r="BY159" i="35"/>
  <c r="BX159" i="35"/>
  <c r="BW159" i="35"/>
  <c r="CE158" i="35"/>
  <c r="CD158" i="35"/>
  <c r="CC158" i="35"/>
  <c r="CB158" i="35"/>
  <c r="CA158" i="35"/>
  <c r="BZ158" i="35"/>
  <c r="BY158" i="35"/>
  <c r="BX158" i="35"/>
  <c r="BW158" i="35"/>
  <c r="CE157" i="35"/>
  <c r="CD157" i="35"/>
  <c r="CC157" i="35"/>
  <c r="CB157" i="35"/>
  <c r="CA157" i="35"/>
  <c r="BZ157" i="35"/>
  <c r="BY157" i="35"/>
  <c r="BX157" i="35"/>
  <c r="BW157" i="35"/>
  <c r="CE156" i="35"/>
  <c r="CD156" i="35"/>
  <c r="CC156" i="35"/>
  <c r="CB156" i="35"/>
  <c r="CA156" i="35"/>
  <c r="BZ156" i="35"/>
  <c r="BY156" i="35"/>
  <c r="BX156" i="35"/>
  <c r="BW156" i="35"/>
  <c r="BK168" i="35"/>
  <c r="BJ168" i="35"/>
  <c r="BI168" i="35"/>
  <c r="BH168" i="35"/>
  <c r="BG168" i="35"/>
  <c r="BF168" i="35"/>
  <c r="BE168" i="35"/>
  <c r="BD168" i="35"/>
  <c r="BK167" i="35"/>
  <c r="BJ167" i="35"/>
  <c r="BI167" i="35"/>
  <c r="BH167" i="35"/>
  <c r="BG167" i="35"/>
  <c r="BF167" i="35"/>
  <c r="BE167" i="35"/>
  <c r="BD167" i="35"/>
  <c r="BC167" i="35"/>
  <c r="BK166" i="35"/>
  <c r="BJ166" i="35"/>
  <c r="BI166" i="35"/>
  <c r="BH166" i="35"/>
  <c r="BG166" i="35"/>
  <c r="BF166" i="35"/>
  <c r="BE166" i="35"/>
  <c r="BD166" i="35"/>
  <c r="BC166" i="35"/>
  <c r="BK165" i="35"/>
  <c r="BJ165" i="35"/>
  <c r="BI165" i="35"/>
  <c r="BH165" i="35"/>
  <c r="BG165" i="35"/>
  <c r="BF165" i="35"/>
  <c r="BE165" i="35"/>
  <c r="BD165" i="35"/>
  <c r="BC165" i="35"/>
  <c r="BK164" i="35"/>
  <c r="BJ164" i="35"/>
  <c r="BI164" i="35"/>
  <c r="BH164" i="35"/>
  <c r="BG164" i="35"/>
  <c r="BF164" i="35"/>
  <c r="BE164" i="35"/>
  <c r="BD164" i="35"/>
  <c r="BC164" i="35"/>
  <c r="BK163" i="35"/>
  <c r="BJ163" i="35"/>
  <c r="BI163" i="35"/>
  <c r="BH163" i="35"/>
  <c r="BG163" i="35"/>
  <c r="BF163" i="35"/>
  <c r="BE163" i="35"/>
  <c r="BD163" i="35"/>
  <c r="BC163" i="35"/>
  <c r="BK162" i="35"/>
  <c r="BJ162" i="35"/>
  <c r="BI162" i="35"/>
  <c r="BH162" i="35"/>
  <c r="BG162" i="35"/>
  <c r="BF162" i="35"/>
  <c r="BE162" i="35"/>
  <c r="BD162" i="35"/>
  <c r="BC162" i="35"/>
  <c r="BK161" i="35"/>
  <c r="BJ161" i="35"/>
  <c r="BI161" i="35"/>
  <c r="BH161" i="35"/>
  <c r="BG161" i="35"/>
  <c r="BF161" i="35"/>
  <c r="BE161" i="35"/>
  <c r="BD161" i="35"/>
  <c r="BC161" i="35"/>
  <c r="BK160" i="35"/>
  <c r="BJ160" i="35"/>
  <c r="BI160" i="35"/>
  <c r="BH160" i="35"/>
  <c r="BG160" i="35"/>
  <c r="BF160" i="35"/>
  <c r="BE160" i="35"/>
  <c r="BD160" i="35"/>
  <c r="BC160" i="35"/>
  <c r="BK159" i="35"/>
  <c r="BJ159" i="35"/>
  <c r="BI159" i="35"/>
  <c r="BH159" i="35"/>
  <c r="BG159" i="35"/>
  <c r="BF159" i="35"/>
  <c r="BE159" i="35"/>
  <c r="BD159" i="35"/>
  <c r="BC159" i="35"/>
  <c r="BK158" i="35"/>
  <c r="BJ158" i="35"/>
  <c r="BI158" i="35"/>
  <c r="BH158" i="35"/>
  <c r="BG158" i="35"/>
  <c r="BF158" i="35"/>
  <c r="BE158" i="35"/>
  <c r="BD158" i="35"/>
  <c r="BC158" i="35"/>
  <c r="BK157" i="35"/>
  <c r="BJ157" i="35"/>
  <c r="BI157" i="35"/>
  <c r="BH157" i="35"/>
  <c r="BG157" i="35"/>
  <c r="BF157" i="35"/>
  <c r="BE157" i="35"/>
  <c r="BD157" i="35"/>
  <c r="BC157" i="35"/>
  <c r="BK156" i="35"/>
  <c r="BJ156" i="35"/>
  <c r="BI156" i="35"/>
  <c r="BH156" i="35"/>
  <c r="BG156" i="35"/>
  <c r="BF156" i="35"/>
  <c r="BE156" i="35"/>
  <c r="BD156" i="35"/>
  <c r="BC156" i="35"/>
  <c r="AV170" i="35"/>
  <c r="AU170" i="35"/>
  <c r="AT170" i="35"/>
  <c r="AS170" i="35"/>
  <c r="AR170" i="35"/>
  <c r="AQ170" i="35"/>
  <c r="AP170" i="35"/>
  <c r="AO170" i="35"/>
  <c r="AN170" i="35"/>
  <c r="AV169" i="35"/>
  <c r="AU169" i="35"/>
  <c r="AT169" i="35"/>
  <c r="AS169" i="35"/>
  <c r="AR169" i="35"/>
  <c r="AQ169" i="35"/>
  <c r="AP169" i="35"/>
  <c r="AO169" i="35"/>
  <c r="AN169" i="35"/>
  <c r="AV168" i="35"/>
  <c r="AU168" i="35"/>
  <c r="AT168" i="35"/>
  <c r="AS168" i="35"/>
  <c r="AR168" i="35"/>
  <c r="AQ168" i="35"/>
  <c r="AP168" i="35"/>
  <c r="AO168" i="35"/>
  <c r="AN168" i="35"/>
  <c r="AV167" i="35"/>
  <c r="AU167" i="35"/>
  <c r="AT167" i="35"/>
  <c r="AS167" i="35"/>
  <c r="AR167" i="35"/>
  <c r="AQ167" i="35"/>
  <c r="AP167" i="35"/>
  <c r="AO167" i="35"/>
  <c r="AN167" i="35"/>
  <c r="AV166" i="35"/>
  <c r="AU166" i="35"/>
  <c r="AT166" i="35"/>
  <c r="AS166" i="35"/>
  <c r="AR166" i="35"/>
  <c r="AQ166" i="35"/>
  <c r="AP166" i="35"/>
  <c r="AO166" i="35"/>
  <c r="AN166" i="35"/>
  <c r="AV165" i="35"/>
  <c r="AU165" i="35"/>
  <c r="AT165" i="35"/>
  <c r="AS165" i="35"/>
  <c r="AR165" i="35"/>
  <c r="AQ165" i="35"/>
  <c r="AP165" i="35"/>
  <c r="AO165" i="35"/>
  <c r="AN165" i="35"/>
  <c r="AV164" i="35"/>
  <c r="AU164" i="35"/>
  <c r="AT164" i="35"/>
  <c r="AS164" i="35"/>
  <c r="AR164" i="35"/>
  <c r="AQ164" i="35"/>
  <c r="AP164" i="35"/>
  <c r="AO164" i="35"/>
  <c r="AN164" i="35"/>
  <c r="AV163" i="35"/>
  <c r="AU163" i="35"/>
  <c r="AT163" i="35"/>
  <c r="AS163" i="35"/>
  <c r="AR163" i="35"/>
  <c r="AQ163" i="35"/>
  <c r="AP163" i="35"/>
  <c r="AO163" i="35"/>
  <c r="AN163" i="35"/>
  <c r="AV162" i="35"/>
  <c r="AU162" i="35"/>
  <c r="AT162" i="35"/>
  <c r="AS162" i="35"/>
  <c r="AR162" i="35"/>
  <c r="AQ162" i="35"/>
  <c r="AP162" i="35"/>
  <c r="AO162" i="35"/>
  <c r="AN162" i="35"/>
  <c r="AV161" i="35"/>
  <c r="AU161" i="35"/>
  <c r="AT161" i="35"/>
  <c r="AS161" i="35"/>
  <c r="AR161" i="35"/>
  <c r="AQ161" i="35"/>
  <c r="AP161" i="35"/>
  <c r="AO161" i="35"/>
  <c r="AN161" i="35"/>
  <c r="AV160" i="35"/>
  <c r="AU160" i="35"/>
  <c r="AT160" i="35"/>
  <c r="AS160" i="35"/>
  <c r="AR160" i="35"/>
  <c r="AQ160" i="35"/>
  <c r="AP160" i="35"/>
  <c r="AO160" i="35"/>
  <c r="AN160" i="35"/>
  <c r="AV159" i="35"/>
  <c r="AU159" i="35"/>
  <c r="AT159" i="35"/>
  <c r="AS159" i="35"/>
  <c r="AR159" i="35"/>
  <c r="AQ159" i="35"/>
  <c r="AP159" i="35"/>
  <c r="AO159" i="35"/>
  <c r="AN159" i="35"/>
  <c r="AV158" i="35"/>
  <c r="AU158" i="35"/>
  <c r="AT158" i="35"/>
  <c r="AS158" i="35"/>
  <c r="AR158" i="35"/>
  <c r="AQ158" i="35"/>
  <c r="AP158" i="35"/>
  <c r="AO158" i="35"/>
  <c r="AN158" i="35"/>
  <c r="AV157" i="35"/>
  <c r="AU157" i="35"/>
  <c r="AT157" i="35"/>
  <c r="AS157" i="35"/>
  <c r="AR157" i="35"/>
  <c r="AQ157" i="35"/>
  <c r="AP157" i="35"/>
  <c r="AO157" i="35"/>
  <c r="AN157" i="35"/>
  <c r="AV156" i="35"/>
  <c r="AU156" i="35"/>
  <c r="AT156" i="35"/>
  <c r="AS156" i="35"/>
  <c r="AR156" i="35"/>
  <c r="AQ156" i="35"/>
  <c r="AP156" i="35"/>
  <c r="AO156" i="35"/>
  <c r="AN156" i="35"/>
  <c r="AB168" i="35"/>
  <c r="AA168" i="35"/>
  <c r="Z168" i="35"/>
  <c r="Y168" i="35"/>
  <c r="X168" i="35"/>
  <c r="W168" i="35"/>
  <c r="V168" i="35"/>
  <c r="U168" i="35"/>
  <c r="T168" i="35"/>
  <c r="AB167" i="35"/>
  <c r="AA167" i="35"/>
  <c r="Z167" i="35"/>
  <c r="Y167" i="35"/>
  <c r="X167" i="35"/>
  <c r="W167" i="35"/>
  <c r="V167" i="35"/>
  <c r="U167" i="35"/>
  <c r="T167" i="35"/>
  <c r="AB166" i="35"/>
  <c r="AA166" i="35"/>
  <c r="Z166" i="35"/>
  <c r="Y166" i="35"/>
  <c r="X166" i="35"/>
  <c r="W166" i="35"/>
  <c r="V166" i="35"/>
  <c r="U166" i="35"/>
  <c r="T166" i="35"/>
  <c r="AB165" i="35"/>
  <c r="AA165" i="35"/>
  <c r="Z165" i="35"/>
  <c r="Y165" i="35"/>
  <c r="X165" i="35"/>
  <c r="W165" i="35"/>
  <c r="V165" i="35"/>
  <c r="U165" i="35"/>
  <c r="T165" i="35"/>
  <c r="AB164" i="35"/>
  <c r="AA164" i="35"/>
  <c r="Z164" i="35"/>
  <c r="Y164" i="35"/>
  <c r="X164" i="35"/>
  <c r="W164" i="35"/>
  <c r="V164" i="35"/>
  <c r="U164" i="35"/>
  <c r="T164" i="35"/>
  <c r="AB163" i="35"/>
  <c r="AA163" i="35"/>
  <c r="Z163" i="35"/>
  <c r="Y163" i="35"/>
  <c r="X163" i="35"/>
  <c r="W163" i="35"/>
  <c r="V163" i="35"/>
  <c r="U163" i="35"/>
  <c r="T163" i="35"/>
  <c r="AB162" i="35"/>
  <c r="AA162" i="35"/>
  <c r="Z162" i="35"/>
  <c r="Y162" i="35"/>
  <c r="X162" i="35"/>
  <c r="W162" i="35"/>
  <c r="V162" i="35"/>
  <c r="U162" i="35"/>
  <c r="T162" i="35"/>
  <c r="AB161" i="35"/>
  <c r="AA161" i="35"/>
  <c r="Z161" i="35"/>
  <c r="Y161" i="35"/>
  <c r="X161" i="35"/>
  <c r="W161" i="35"/>
  <c r="V161" i="35"/>
  <c r="U161" i="35"/>
  <c r="T161" i="35"/>
  <c r="AB160" i="35"/>
  <c r="AA160" i="35"/>
  <c r="Z160" i="35"/>
  <c r="Y160" i="35"/>
  <c r="X160" i="35"/>
  <c r="W160" i="35"/>
  <c r="V160" i="35"/>
  <c r="U160" i="35"/>
  <c r="T160" i="35"/>
  <c r="AB159" i="35"/>
  <c r="AA159" i="35"/>
  <c r="Z159" i="35"/>
  <c r="Y159" i="35"/>
  <c r="X159" i="35"/>
  <c r="W159" i="35"/>
  <c r="V159" i="35"/>
  <c r="U159" i="35"/>
  <c r="T159" i="35"/>
  <c r="AB158" i="35"/>
  <c r="AA158" i="35"/>
  <c r="Z158" i="35"/>
  <c r="Y158" i="35"/>
  <c r="X158" i="35"/>
  <c r="W158" i="35"/>
  <c r="V158" i="35"/>
  <c r="U158" i="35"/>
  <c r="T158" i="35"/>
  <c r="AB157" i="35"/>
  <c r="AA157" i="35"/>
  <c r="Z157" i="35"/>
  <c r="Y157" i="35"/>
  <c r="X157" i="35"/>
  <c r="W157" i="35"/>
  <c r="V157" i="35"/>
  <c r="U157" i="35"/>
  <c r="T157" i="35"/>
  <c r="AB156" i="35"/>
  <c r="AA156" i="35"/>
  <c r="Z156" i="35"/>
  <c r="Y156" i="35"/>
  <c r="X156" i="35"/>
  <c r="W156" i="35"/>
  <c r="V156" i="35"/>
  <c r="U156" i="35"/>
  <c r="T156" i="35"/>
  <c r="F156" i="35"/>
  <c r="G156" i="35"/>
  <c r="H156" i="35"/>
  <c r="I156" i="35"/>
  <c r="J156" i="35"/>
  <c r="K156" i="35"/>
  <c r="L156" i="35"/>
  <c r="M156" i="35"/>
  <c r="F157" i="35"/>
  <c r="G157" i="35"/>
  <c r="H157" i="35"/>
  <c r="I157" i="35"/>
  <c r="J157" i="35"/>
  <c r="K157" i="35"/>
  <c r="L157" i="35"/>
  <c r="M157" i="35"/>
  <c r="F158" i="35"/>
  <c r="G158" i="35"/>
  <c r="H158" i="35"/>
  <c r="I158" i="35"/>
  <c r="J158" i="35"/>
  <c r="K158" i="35"/>
  <c r="L158" i="35"/>
  <c r="M158" i="35"/>
  <c r="F159" i="35"/>
  <c r="G159" i="35"/>
  <c r="H159" i="35"/>
  <c r="I159" i="35"/>
  <c r="J159" i="35"/>
  <c r="K159" i="35"/>
  <c r="L159" i="35"/>
  <c r="M159" i="35"/>
  <c r="F160" i="35"/>
  <c r="G160" i="35"/>
  <c r="H160" i="35"/>
  <c r="I160" i="35"/>
  <c r="J160" i="35"/>
  <c r="K160" i="35"/>
  <c r="L160" i="35"/>
  <c r="M160" i="35"/>
  <c r="F161" i="35"/>
  <c r="G161" i="35"/>
  <c r="H161" i="35"/>
  <c r="I161" i="35"/>
  <c r="J161" i="35"/>
  <c r="K161" i="35"/>
  <c r="L161" i="35"/>
  <c r="M161" i="35"/>
  <c r="F162" i="35"/>
  <c r="G162" i="35"/>
  <c r="H162" i="35"/>
  <c r="I162" i="35"/>
  <c r="J162" i="35"/>
  <c r="K162" i="35"/>
  <c r="L162" i="35"/>
  <c r="M162" i="35"/>
  <c r="F163" i="35"/>
  <c r="G163" i="35"/>
  <c r="H163" i="35"/>
  <c r="I163" i="35"/>
  <c r="J163" i="35"/>
  <c r="K163" i="35"/>
  <c r="L163" i="35"/>
  <c r="M163" i="35"/>
  <c r="F164" i="35"/>
  <c r="G164" i="35"/>
  <c r="H164" i="35"/>
  <c r="I164" i="35"/>
  <c r="J164" i="35"/>
  <c r="K164" i="35"/>
  <c r="L164" i="35"/>
  <c r="M164" i="35"/>
  <c r="F165" i="35"/>
  <c r="G165" i="35"/>
  <c r="H165" i="35"/>
  <c r="I165" i="35"/>
  <c r="J165" i="35"/>
  <c r="K165" i="35"/>
  <c r="L165" i="35"/>
  <c r="M165" i="35"/>
  <c r="F166" i="35"/>
  <c r="G166" i="35"/>
  <c r="H166" i="35"/>
  <c r="I166" i="35"/>
  <c r="J166" i="35"/>
  <c r="K166" i="35"/>
  <c r="L166" i="35"/>
  <c r="M166" i="35"/>
  <c r="F167" i="35"/>
  <c r="G167" i="35"/>
  <c r="H167" i="35"/>
  <c r="I167" i="35"/>
  <c r="J167" i="35"/>
  <c r="K167" i="35"/>
  <c r="L167" i="35"/>
  <c r="M167" i="35"/>
  <c r="F168" i="35"/>
  <c r="G168" i="35"/>
  <c r="H168" i="35"/>
  <c r="I168" i="35"/>
  <c r="J168" i="35"/>
  <c r="K168" i="35"/>
  <c r="L168" i="35"/>
  <c r="M168" i="35"/>
  <c r="F169" i="35"/>
  <c r="G169" i="35"/>
  <c r="H169" i="35"/>
  <c r="I169" i="35"/>
  <c r="J169" i="35"/>
  <c r="K169" i="35"/>
  <c r="L169" i="35"/>
  <c r="M169" i="35"/>
  <c r="F170" i="35"/>
  <c r="G170" i="35"/>
  <c r="H170" i="35"/>
  <c r="I170" i="35"/>
  <c r="J170" i="35"/>
  <c r="K170" i="35"/>
  <c r="L170" i="35"/>
  <c r="M170" i="35"/>
  <c r="E170" i="35"/>
  <c r="E168" i="35"/>
  <c r="E166" i="35"/>
  <c r="E164" i="35"/>
  <c r="E162" i="35"/>
  <c r="E160" i="35"/>
  <c r="E158" i="35"/>
  <c r="CE132" i="35" l="1"/>
  <c r="CD132" i="35"/>
  <c r="CC132" i="35"/>
  <c r="CB132" i="35"/>
  <c r="CA132" i="35"/>
  <c r="BZ132" i="35"/>
  <c r="BY132" i="35"/>
  <c r="BX132" i="35"/>
  <c r="BW132" i="35"/>
  <c r="CE131" i="35"/>
  <c r="CD131" i="35"/>
  <c r="CC131" i="35"/>
  <c r="CB131" i="35"/>
  <c r="CA131" i="35"/>
  <c r="BZ131" i="35"/>
  <c r="BY131" i="35"/>
  <c r="BX131" i="35"/>
  <c r="BW131" i="35"/>
  <c r="CE130" i="35"/>
  <c r="CD130" i="35"/>
  <c r="CC130" i="35"/>
  <c r="CB130" i="35"/>
  <c r="CA130" i="35"/>
  <c r="BZ130" i="35"/>
  <c r="BY130" i="35"/>
  <c r="BX130" i="35"/>
  <c r="BW130" i="35"/>
  <c r="CE129" i="35"/>
  <c r="CD129" i="35"/>
  <c r="CC129" i="35"/>
  <c r="CB129" i="35"/>
  <c r="CA129" i="35"/>
  <c r="BZ129" i="35"/>
  <c r="BY129" i="35"/>
  <c r="BX129" i="35"/>
  <c r="BW129" i="35"/>
  <c r="CE128" i="35"/>
  <c r="CD128" i="35"/>
  <c r="CC128" i="35"/>
  <c r="CB128" i="35"/>
  <c r="CA128" i="35"/>
  <c r="BZ128" i="35"/>
  <c r="BY128" i="35"/>
  <c r="BX128" i="35"/>
  <c r="BW128" i="35"/>
  <c r="CE127" i="35"/>
  <c r="CD127" i="35"/>
  <c r="CC127" i="35"/>
  <c r="CB127" i="35"/>
  <c r="CA127" i="35"/>
  <c r="BZ127" i="35"/>
  <c r="BY127" i="35"/>
  <c r="BX127" i="35"/>
  <c r="BW127" i="35"/>
  <c r="CE126" i="35"/>
  <c r="CD126" i="35"/>
  <c r="CC126" i="35"/>
  <c r="CB126" i="35"/>
  <c r="CA126" i="35"/>
  <c r="BZ126" i="35"/>
  <c r="BY126" i="35"/>
  <c r="BX126" i="35"/>
  <c r="BW126" i="35"/>
  <c r="CE125" i="35"/>
  <c r="CD125" i="35"/>
  <c r="CC125" i="35"/>
  <c r="CB125" i="35"/>
  <c r="CA125" i="35"/>
  <c r="BZ125" i="35"/>
  <c r="BY125" i="35"/>
  <c r="BX125" i="35"/>
  <c r="BW125" i="35"/>
  <c r="CE124" i="35"/>
  <c r="CD124" i="35"/>
  <c r="CC124" i="35"/>
  <c r="CB124" i="35"/>
  <c r="CA124" i="35"/>
  <c r="BZ124" i="35"/>
  <c r="BY124" i="35"/>
  <c r="BX124" i="35"/>
  <c r="BW124" i="35"/>
  <c r="CE123" i="35"/>
  <c r="CD123" i="35"/>
  <c r="CC123" i="35"/>
  <c r="CB123" i="35"/>
  <c r="CA123" i="35"/>
  <c r="BZ123" i="35"/>
  <c r="BY123" i="35"/>
  <c r="BX123" i="35"/>
  <c r="BW123" i="35"/>
  <c r="CE122" i="35"/>
  <c r="CD122" i="35"/>
  <c r="CC122" i="35"/>
  <c r="CB122" i="35"/>
  <c r="CA122" i="35"/>
  <c r="BZ122" i="35"/>
  <c r="BY122" i="35"/>
  <c r="BX122" i="35"/>
  <c r="BW122" i="35"/>
  <c r="AV132" i="35"/>
  <c r="AU132" i="35"/>
  <c r="AT132" i="35"/>
  <c r="AS132" i="35"/>
  <c r="AR132" i="35"/>
  <c r="AQ132" i="35"/>
  <c r="AP132" i="35"/>
  <c r="AO132" i="35"/>
  <c r="AN132" i="35"/>
  <c r="AV131" i="35"/>
  <c r="AU131" i="35"/>
  <c r="AT131" i="35"/>
  <c r="AS131" i="35"/>
  <c r="AR131" i="35"/>
  <c r="AQ131" i="35"/>
  <c r="AP131" i="35"/>
  <c r="AO131" i="35"/>
  <c r="AN131" i="35"/>
  <c r="AV130" i="35"/>
  <c r="AU130" i="35"/>
  <c r="AT130" i="35"/>
  <c r="AS130" i="35"/>
  <c r="AR130" i="35"/>
  <c r="AQ130" i="35"/>
  <c r="AP130" i="35"/>
  <c r="AO130" i="35"/>
  <c r="AN130" i="35"/>
  <c r="AV129" i="35"/>
  <c r="AU129" i="35"/>
  <c r="AT129" i="35"/>
  <c r="AS129" i="35"/>
  <c r="AR129" i="35"/>
  <c r="AQ129" i="35"/>
  <c r="AP129" i="35"/>
  <c r="AO129" i="35"/>
  <c r="AN129" i="35"/>
  <c r="AV128" i="35"/>
  <c r="AU128" i="35"/>
  <c r="AT128" i="35"/>
  <c r="AS128" i="35"/>
  <c r="AR128" i="35"/>
  <c r="AQ128" i="35"/>
  <c r="AP128" i="35"/>
  <c r="AO128" i="35"/>
  <c r="AN128" i="35"/>
  <c r="AV127" i="35"/>
  <c r="AU127" i="35"/>
  <c r="AT127" i="35"/>
  <c r="AS127" i="35"/>
  <c r="AR127" i="35"/>
  <c r="AQ127" i="35"/>
  <c r="AP127" i="35"/>
  <c r="AO127" i="35"/>
  <c r="AN127" i="35"/>
  <c r="AV126" i="35"/>
  <c r="AU126" i="35"/>
  <c r="AT126" i="35"/>
  <c r="AS126" i="35"/>
  <c r="AR126" i="35"/>
  <c r="AQ126" i="35"/>
  <c r="AP126" i="35"/>
  <c r="AO126" i="35"/>
  <c r="AN126" i="35"/>
  <c r="AV125" i="35"/>
  <c r="AU125" i="35"/>
  <c r="AT125" i="35"/>
  <c r="AS125" i="35"/>
  <c r="AR125" i="35"/>
  <c r="AQ125" i="35"/>
  <c r="AP125" i="35"/>
  <c r="AO125" i="35"/>
  <c r="AN125" i="35"/>
  <c r="AV124" i="35"/>
  <c r="AU124" i="35"/>
  <c r="AT124" i="35"/>
  <c r="AS124" i="35"/>
  <c r="AR124" i="35"/>
  <c r="AQ124" i="35"/>
  <c r="AP124" i="35"/>
  <c r="AO124" i="35"/>
  <c r="AN124" i="35"/>
  <c r="AV123" i="35"/>
  <c r="AU123" i="35"/>
  <c r="AT123" i="35"/>
  <c r="AS123" i="35"/>
  <c r="AR123" i="35"/>
  <c r="AQ123" i="35"/>
  <c r="AP123" i="35"/>
  <c r="AO123" i="35"/>
  <c r="AN123" i="35"/>
  <c r="AV122" i="35"/>
  <c r="AU122" i="35"/>
  <c r="AT122" i="35"/>
  <c r="AS122" i="35"/>
  <c r="AR122" i="35"/>
  <c r="AQ122" i="35"/>
  <c r="AP122" i="35"/>
  <c r="AO122" i="35"/>
  <c r="AN122" i="35"/>
  <c r="F122" i="35"/>
  <c r="G122" i="35"/>
  <c r="H122" i="35"/>
  <c r="I122" i="35"/>
  <c r="J122" i="35"/>
  <c r="K122" i="35"/>
  <c r="L122" i="35"/>
  <c r="M122" i="35"/>
  <c r="F123" i="35"/>
  <c r="G123" i="35"/>
  <c r="H123" i="35"/>
  <c r="I123" i="35"/>
  <c r="J123" i="35"/>
  <c r="K123" i="35"/>
  <c r="L123" i="35"/>
  <c r="M123" i="35"/>
  <c r="F124" i="35"/>
  <c r="G124" i="35"/>
  <c r="H124" i="35"/>
  <c r="I124" i="35"/>
  <c r="J124" i="35"/>
  <c r="K124" i="35"/>
  <c r="L124" i="35"/>
  <c r="M124" i="35"/>
  <c r="F125" i="35"/>
  <c r="G125" i="35"/>
  <c r="H125" i="35"/>
  <c r="I125" i="35"/>
  <c r="J125" i="35"/>
  <c r="K125" i="35"/>
  <c r="L125" i="35"/>
  <c r="M125" i="35"/>
  <c r="F126" i="35"/>
  <c r="G126" i="35"/>
  <c r="H126" i="35"/>
  <c r="I126" i="35"/>
  <c r="J126" i="35"/>
  <c r="K126" i="35"/>
  <c r="L126" i="35"/>
  <c r="M126" i="35"/>
  <c r="F127" i="35"/>
  <c r="G127" i="35"/>
  <c r="H127" i="35"/>
  <c r="I127" i="35"/>
  <c r="J127" i="35"/>
  <c r="K127" i="35"/>
  <c r="L127" i="35"/>
  <c r="M127" i="35"/>
  <c r="F128" i="35"/>
  <c r="G128" i="35"/>
  <c r="H128" i="35"/>
  <c r="I128" i="35"/>
  <c r="J128" i="35"/>
  <c r="K128" i="35"/>
  <c r="L128" i="35"/>
  <c r="M128" i="35"/>
  <c r="F129" i="35"/>
  <c r="G129" i="35"/>
  <c r="H129" i="35"/>
  <c r="I129" i="35"/>
  <c r="J129" i="35"/>
  <c r="K129" i="35"/>
  <c r="L129" i="35"/>
  <c r="M129" i="35"/>
  <c r="F130" i="35"/>
  <c r="G130" i="35"/>
  <c r="H130" i="35"/>
  <c r="I130" i="35"/>
  <c r="J130" i="35"/>
  <c r="K130" i="35"/>
  <c r="L130" i="35"/>
  <c r="M130" i="35"/>
  <c r="F131" i="35"/>
  <c r="G131" i="35"/>
  <c r="H131" i="35"/>
  <c r="I131" i="35"/>
  <c r="J131" i="35"/>
  <c r="K131" i="35"/>
  <c r="L131" i="35"/>
  <c r="M131" i="35"/>
  <c r="F132" i="35"/>
  <c r="G132" i="35"/>
  <c r="H132" i="35"/>
  <c r="I132" i="35"/>
  <c r="J132" i="35"/>
  <c r="K132" i="35"/>
  <c r="L132" i="35"/>
  <c r="M132" i="35"/>
  <c r="E132" i="35"/>
  <c r="E131" i="35"/>
  <c r="E128" i="35"/>
  <c r="E126" i="35"/>
  <c r="E124" i="35"/>
  <c r="O136" i="37"/>
  <c r="O137" i="37"/>
  <c r="O138" i="37" s="1"/>
  <c r="AH215" i="37"/>
  <c r="AH216" i="37"/>
  <c r="AH217" i="37" s="1"/>
  <c r="AH209" i="37"/>
  <c r="AH210" i="37"/>
  <c r="AH211" i="37" s="1"/>
  <c r="AH141" i="37"/>
  <c r="AH142" i="37"/>
  <c r="AH143" i="37" s="1"/>
  <c r="AH135" i="37"/>
  <c r="AH136" i="37"/>
  <c r="AH137" i="37" s="1"/>
  <c r="AH121" i="37"/>
  <c r="AH122" i="37"/>
  <c r="AH123" i="37" s="1"/>
  <c r="AH115" i="37"/>
  <c r="AH116" i="37"/>
  <c r="AH117" i="37" s="1"/>
  <c r="AH63" i="37"/>
  <c r="AH64" i="37"/>
  <c r="AH65" i="37" s="1"/>
  <c r="AH57" i="37"/>
  <c r="AH58" i="37"/>
  <c r="AH59" i="37" s="1"/>
  <c r="O308" i="37" l="1"/>
  <c r="O309" i="37"/>
  <c r="O310" i="37" s="1"/>
  <c r="O302" i="37"/>
  <c r="O303" i="37"/>
  <c r="O304" i="37" s="1"/>
  <c r="O265" i="37"/>
  <c r="O266" i="37"/>
  <c r="O267" i="37" s="1"/>
  <c r="O259" i="37"/>
  <c r="O260" i="37"/>
  <c r="O261" i="37" s="1"/>
  <c r="O245" i="37"/>
  <c r="O246" i="37"/>
  <c r="O247" i="37" s="1"/>
  <c r="O239" i="37"/>
  <c r="O240" i="37"/>
  <c r="O241" i="37" s="1"/>
  <c r="O190" i="37" l="1"/>
  <c r="O191" i="37"/>
  <c r="O192" i="37" s="1"/>
  <c r="O196" i="37"/>
  <c r="O197" i="37"/>
  <c r="O198" i="37" s="1"/>
  <c r="O160" i="37"/>
  <c r="O161" i="37"/>
  <c r="O162" i="37" s="1"/>
  <c r="O154" i="37"/>
  <c r="O155" i="37"/>
  <c r="O156" i="37" s="1"/>
  <c r="O142" i="37"/>
  <c r="O143" i="37"/>
  <c r="O144" i="37" s="1"/>
  <c r="O101" i="37"/>
  <c r="O102" i="37"/>
  <c r="O103" i="37" s="1"/>
  <c r="O95" i="37"/>
  <c r="O96" i="37"/>
  <c r="O97" i="37" s="1"/>
  <c r="O83" i="37"/>
  <c r="O84" i="37"/>
  <c r="O85" i="37" s="1"/>
  <c r="O77" i="37"/>
  <c r="O78" i="37"/>
  <c r="O79" i="37" s="1"/>
  <c r="O41" i="37"/>
  <c r="O42" i="37"/>
  <c r="O43" i="37" s="1"/>
  <c r="O35" i="37"/>
  <c r="O36" i="37"/>
  <c r="O37" i="37" s="1"/>
  <c r="M102" i="35" l="1"/>
  <c r="L102" i="35"/>
  <c r="K102" i="35"/>
  <c r="J102" i="35"/>
  <c r="I102" i="35"/>
  <c r="H102" i="35"/>
  <c r="G102" i="35"/>
  <c r="F102" i="35"/>
  <c r="E102" i="35"/>
  <c r="M101" i="35"/>
  <c r="L101" i="35"/>
  <c r="K101" i="35"/>
  <c r="J101" i="35"/>
  <c r="I101" i="35"/>
  <c r="H101" i="35"/>
  <c r="G101" i="35"/>
  <c r="F101" i="35"/>
  <c r="E101" i="35"/>
  <c r="M100" i="35"/>
  <c r="L100" i="35"/>
  <c r="K100" i="35"/>
  <c r="J100" i="35"/>
  <c r="I100" i="35"/>
  <c r="H100" i="35"/>
  <c r="G100" i="35"/>
  <c r="F100" i="35"/>
  <c r="E100" i="35"/>
  <c r="M99" i="35"/>
  <c r="L99" i="35"/>
  <c r="K99" i="35"/>
  <c r="J99" i="35"/>
  <c r="I99" i="35"/>
  <c r="H99" i="35"/>
  <c r="G99" i="35"/>
  <c r="F99" i="35"/>
  <c r="E99" i="35"/>
  <c r="M98" i="35"/>
  <c r="L98" i="35"/>
  <c r="K98" i="35"/>
  <c r="J98" i="35"/>
  <c r="I98" i="35"/>
  <c r="H98" i="35"/>
  <c r="G98" i="35"/>
  <c r="F98" i="35"/>
  <c r="E98" i="35"/>
  <c r="M97" i="35"/>
  <c r="L97" i="35"/>
  <c r="K97" i="35"/>
  <c r="J97" i="35"/>
  <c r="I97" i="35"/>
  <c r="H97" i="35"/>
  <c r="G97" i="35"/>
  <c r="F97" i="35"/>
  <c r="E97" i="35"/>
  <c r="M96" i="35"/>
  <c r="L96" i="35"/>
  <c r="K96" i="35"/>
  <c r="J96" i="35"/>
  <c r="I96" i="35"/>
  <c r="H96" i="35"/>
  <c r="G96" i="35"/>
  <c r="F96" i="35"/>
  <c r="E96" i="35"/>
  <c r="CE102" i="35"/>
  <c r="CD102" i="35"/>
  <c r="CC102" i="35"/>
  <c r="CB102" i="35"/>
  <c r="CA102" i="35"/>
  <c r="BZ102" i="35"/>
  <c r="BY102" i="35"/>
  <c r="BX102" i="35"/>
  <c r="BW102" i="35"/>
  <c r="CE101" i="35"/>
  <c r="CD101" i="35"/>
  <c r="CC101" i="35"/>
  <c r="CB101" i="35"/>
  <c r="CA101" i="35"/>
  <c r="BZ101" i="35"/>
  <c r="BY101" i="35"/>
  <c r="BX101" i="35"/>
  <c r="BW101" i="35"/>
  <c r="CE100" i="35"/>
  <c r="CD100" i="35"/>
  <c r="CC100" i="35"/>
  <c r="CB100" i="35"/>
  <c r="CA100" i="35"/>
  <c r="BZ100" i="35"/>
  <c r="BY100" i="35"/>
  <c r="BX100" i="35"/>
  <c r="BW100" i="35"/>
  <c r="CE99" i="35"/>
  <c r="CD99" i="35"/>
  <c r="CC99" i="35"/>
  <c r="CB99" i="35"/>
  <c r="CA99" i="35"/>
  <c r="BZ99" i="35"/>
  <c r="BY99" i="35"/>
  <c r="BX99" i="35"/>
  <c r="BW99" i="35"/>
  <c r="CE98" i="35"/>
  <c r="CD98" i="35"/>
  <c r="CC98" i="35"/>
  <c r="CB98" i="35"/>
  <c r="CA98" i="35"/>
  <c r="BZ98" i="35"/>
  <c r="BY98" i="35"/>
  <c r="BX98" i="35"/>
  <c r="BW98" i="35"/>
  <c r="CE97" i="35"/>
  <c r="CD97" i="35"/>
  <c r="CC97" i="35"/>
  <c r="CB97" i="35"/>
  <c r="CA97" i="35"/>
  <c r="BZ97" i="35"/>
  <c r="BY97" i="35"/>
  <c r="BX97" i="35"/>
  <c r="BW97" i="35"/>
  <c r="CE96" i="35"/>
  <c r="CD96" i="35"/>
  <c r="CC96" i="35"/>
  <c r="CB96" i="35"/>
  <c r="CA96" i="35"/>
  <c r="BZ96" i="35"/>
  <c r="BY96" i="35"/>
  <c r="BX96" i="35"/>
  <c r="BW96" i="35"/>
  <c r="AO96" i="35"/>
  <c r="AP96" i="35"/>
  <c r="AQ96" i="35"/>
  <c r="AR96" i="35"/>
  <c r="AS96" i="35"/>
  <c r="AT96" i="35"/>
  <c r="AU96" i="35"/>
  <c r="AV96" i="35"/>
  <c r="AO97" i="35"/>
  <c r="AP97" i="35"/>
  <c r="AQ97" i="35"/>
  <c r="AR97" i="35"/>
  <c r="AS97" i="35"/>
  <c r="AT97" i="35"/>
  <c r="AU97" i="35"/>
  <c r="AV97" i="35"/>
  <c r="AO98" i="35"/>
  <c r="AP98" i="35"/>
  <c r="AQ98" i="35"/>
  <c r="AR98" i="35"/>
  <c r="AS98" i="35"/>
  <c r="AT98" i="35"/>
  <c r="AU98" i="35"/>
  <c r="AV98" i="35"/>
  <c r="AO99" i="35"/>
  <c r="AP99" i="35"/>
  <c r="AQ99" i="35"/>
  <c r="AR99" i="35"/>
  <c r="AS99" i="35"/>
  <c r="AT99" i="35"/>
  <c r="AU99" i="35"/>
  <c r="AV99" i="35"/>
  <c r="AO100" i="35"/>
  <c r="AP100" i="35"/>
  <c r="AQ100" i="35"/>
  <c r="AR100" i="35"/>
  <c r="AS100" i="35"/>
  <c r="AT100" i="35"/>
  <c r="AU100" i="35"/>
  <c r="AV100" i="35"/>
  <c r="AO101" i="35"/>
  <c r="AP101" i="35"/>
  <c r="AQ101" i="35"/>
  <c r="AR101" i="35"/>
  <c r="AS101" i="35"/>
  <c r="AT101" i="35"/>
  <c r="AU101" i="35"/>
  <c r="AV101" i="35"/>
  <c r="AO102" i="35"/>
  <c r="AP102" i="35"/>
  <c r="AQ102" i="35"/>
  <c r="AR102" i="35"/>
  <c r="AS102" i="35"/>
  <c r="AT102" i="35"/>
  <c r="AU102" i="35"/>
  <c r="AV102" i="35"/>
  <c r="AN102" i="35"/>
  <c r="AN101" i="35"/>
  <c r="AN100" i="35"/>
  <c r="AN99" i="35"/>
  <c r="AN98" i="35"/>
  <c r="AN97" i="35"/>
  <c r="AN96" i="35"/>
  <c r="CE80" i="35"/>
  <c r="CD80" i="35"/>
  <c r="CC80" i="35"/>
  <c r="CB80" i="35"/>
  <c r="CA80" i="35"/>
  <c r="BZ80" i="35"/>
  <c r="BY80" i="35"/>
  <c r="BX80" i="35"/>
  <c r="BW80" i="35"/>
  <c r="CE79" i="35"/>
  <c r="CD79" i="35"/>
  <c r="CC79" i="35"/>
  <c r="CB79" i="35"/>
  <c r="CA79" i="35"/>
  <c r="BZ79" i="35"/>
  <c r="BY79" i="35"/>
  <c r="BX79" i="35"/>
  <c r="BW79" i="35"/>
  <c r="CE78" i="35"/>
  <c r="CD78" i="35"/>
  <c r="CC78" i="35"/>
  <c r="CB78" i="35"/>
  <c r="CA78" i="35"/>
  <c r="BZ78" i="35"/>
  <c r="BY78" i="35"/>
  <c r="BX78" i="35"/>
  <c r="BW78" i="35"/>
  <c r="CE77" i="35"/>
  <c r="CD77" i="35"/>
  <c r="CC77" i="35"/>
  <c r="CB77" i="35"/>
  <c r="CA77" i="35"/>
  <c r="BZ77" i="35"/>
  <c r="BY77" i="35"/>
  <c r="BX77" i="35"/>
  <c r="BW77" i="35"/>
  <c r="CE76" i="35"/>
  <c r="CD76" i="35"/>
  <c r="CC76" i="35"/>
  <c r="CB76" i="35"/>
  <c r="CA76" i="35"/>
  <c r="BZ76" i="35"/>
  <c r="BY76" i="35"/>
  <c r="BX76" i="35"/>
  <c r="BW76" i="35"/>
  <c r="CE75" i="35"/>
  <c r="CD75" i="35"/>
  <c r="CC75" i="35"/>
  <c r="CB75" i="35"/>
  <c r="CA75" i="35"/>
  <c r="BZ75" i="35"/>
  <c r="BY75" i="35"/>
  <c r="BX75" i="35"/>
  <c r="BW75" i="35"/>
  <c r="CE74" i="35"/>
  <c r="CD74" i="35"/>
  <c r="CC74" i="35"/>
  <c r="CB74" i="35"/>
  <c r="CA74" i="35"/>
  <c r="BZ74" i="35"/>
  <c r="BY74" i="35"/>
  <c r="BX74" i="35"/>
  <c r="BW74" i="35"/>
  <c r="CE73" i="35"/>
  <c r="CD73" i="35"/>
  <c r="CC73" i="35"/>
  <c r="CB73" i="35"/>
  <c r="CA73" i="35"/>
  <c r="BZ73" i="35"/>
  <c r="BY73" i="35"/>
  <c r="BX73" i="35"/>
  <c r="BW73" i="35"/>
  <c r="AV80" i="35"/>
  <c r="AU80" i="35"/>
  <c r="AT80" i="35"/>
  <c r="AS80" i="35"/>
  <c r="AR80" i="35"/>
  <c r="AQ80" i="35"/>
  <c r="AP80" i="35"/>
  <c r="AO80" i="35"/>
  <c r="AN80" i="35"/>
  <c r="AV79" i="35"/>
  <c r="AU79" i="35"/>
  <c r="AT79" i="35"/>
  <c r="AS79" i="35"/>
  <c r="AR79" i="35"/>
  <c r="AQ79" i="35"/>
  <c r="AP79" i="35"/>
  <c r="AO79" i="35"/>
  <c r="AN79" i="35"/>
  <c r="AV78" i="35"/>
  <c r="AU78" i="35"/>
  <c r="AT78" i="35"/>
  <c r="AS78" i="35"/>
  <c r="AR78" i="35"/>
  <c r="AQ78" i="35"/>
  <c r="AP78" i="35"/>
  <c r="AO78" i="35"/>
  <c r="AN78" i="35"/>
  <c r="AV77" i="35"/>
  <c r="AU77" i="35"/>
  <c r="AT77" i="35"/>
  <c r="AS77" i="35"/>
  <c r="AR77" i="35"/>
  <c r="AQ77" i="35"/>
  <c r="AP77" i="35"/>
  <c r="AO77" i="35"/>
  <c r="AN77" i="35"/>
  <c r="AV76" i="35"/>
  <c r="AU76" i="35"/>
  <c r="AT76" i="35"/>
  <c r="AS76" i="35"/>
  <c r="AR76" i="35"/>
  <c r="AQ76" i="35"/>
  <c r="AP76" i="35"/>
  <c r="AO76" i="35"/>
  <c r="AN76" i="35"/>
  <c r="AV75" i="35"/>
  <c r="AU75" i="35"/>
  <c r="AT75" i="35"/>
  <c r="AS75" i="35"/>
  <c r="AR75" i="35"/>
  <c r="AQ75" i="35"/>
  <c r="AP75" i="35"/>
  <c r="AO75" i="35"/>
  <c r="AN75" i="35"/>
  <c r="AV74" i="35"/>
  <c r="AU74" i="35"/>
  <c r="AT74" i="35"/>
  <c r="AS74" i="35"/>
  <c r="AR74" i="35"/>
  <c r="AQ74" i="35"/>
  <c r="AP74" i="35"/>
  <c r="AO74" i="35"/>
  <c r="AN74" i="35"/>
  <c r="AV73" i="35"/>
  <c r="AU73" i="35"/>
  <c r="AT73" i="35"/>
  <c r="AS73" i="35"/>
  <c r="AR73" i="35"/>
  <c r="AQ73" i="35"/>
  <c r="AP73" i="35"/>
  <c r="AO73" i="35"/>
  <c r="AN73" i="35"/>
  <c r="F73" i="35"/>
  <c r="G73" i="35"/>
  <c r="H73" i="35"/>
  <c r="I73" i="35"/>
  <c r="J73" i="35"/>
  <c r="K73" i="35"/>
  <c r="L73" i="35"/>
  <c r="M73" i="35"/>
  <c r="F74" i="35"/>
  <c r="G74" i="35"/>
  <c r="H74" i="35"/>
  <c r="I74" i="35"/>
  <c r="J74" i="35"/>
  <c r="K74" i="35"/>
  <c r="L74" i="35"/>
  <c r="M74" i="35"/>
  <c r="F75" i="35"/>
  <c r="G75" i="35"/>
  <c r="H75" i="35"/>
  <c r="I75" i="35"/>
  <c r="J75" i="35"/>
  <c r="K75" i="35"/>
  <c r="L75" i="35"/>
  <c r="M75" i="35"/>
  <c r="F76" i="35"/>
  <c r="G76" i="35"/>
  <c r="H76" i="35"/>
  <c r="I76" i="35"/>
  <c r="J76" i="35"/>
  <c r="K76" i="35"/>
  <c r="L76" i="35"/>
  <c r="M76" i="35"/>
  <c r="F77" i="35"/>
  <c r="G77" i="35"/>
  <c r="H77" i="35"/>
  <c r="I77" i="35"/>
  <c r="J77" i="35"/>
  <c r="K77" i="35"/>
  <c r="L77" i="35"/>
  <c r="M77" i="35"/>
  <c r="F78" i="35"/>
  <c r="G78" i="35"/>
  <c r="H78" i="35"/>
  <c r="I78" i="35"/>
  <c r="J78" i="35"/>
  <c r="K78" i="35"/>
  <c r="L78" i="35"/>
  <c r="M78" i="35"/>
  <c r="F79" i="35"/>
  <c r="G79" i="35"/>
  <c r="H79" i="35"/>
  <c r="I79" i="35"/>
  <c r="J79" i="35"/>
  <c r="K79" i="35"/>
  <c r="L79" i="35"/>
  <c r="M79" i="35"/>
  <c r="F80" i="35"/>
  <c r="G80" i="35"/>
  <c r="H80" i="35"/>
  <c r="I80" i="35"/>
  <c r="J80" i="35"/>
  <c r="K80" i="35"/>
  <c r="L80" i="35"/>
  <c r="M80" i="35"/>
  <c r="E79" i="35"/>
  <c r="E77" i="35"/>
  <c r="E75" i="35"/>
  <c r="E74" i="35"/>
  <c r="E76" i="35"/>
  <c r="E78" i="35"/>
  <c r="E80" i="35"/>
  <c r="CE234" i="35"/>
  <c r="CD234" i="35"/>
  <c r="CC234" i="35"/>
  <c r="CB234" i="35"/>
  <c r="CA234" i="35"/>
  <c r="BZ234" i="35"/>
  <c r="BY234" i="35"/>
  <c r="BX234" i="35"/>
  <c r="BW234" i="35"/>
  <c r="CT233" i="35"/>
  <c r="CS233" i="35"/>
  <c r="CR233" i="35"/>
  <c r="CQ233" i="35"/>
  <c r="CP233" i="35"/>
  <c r="CO233" i="35"/>
  <c r="CN233" i="35"/>
  <c r="CM233" i="35"/>
  <c r="CL233" i="35"/>
  <c r="CE233" i="35"/>
  <c r="CD233" i="35"/>
  <c r="CC233" i="35"/>
  <c r="CB233" i="35"/>
  <c r="CA233" i="35"/>
  <c r="BZ233" i="35"/>
  <c r="BY233" i="35"/>
  <c r="BX233" i="35"/>
  <c r="BW233" i="35"/>
  <c r="CT232" i="35"/>
  <c r="CS232" i="35"/>
  <c r="CR232" i="35"/>
  <c r="CQ232" i="35"/>
  <c r="CP232" i="35"/>
  <c r="CO232" i="35"/>
  <c r="CN232" i="35"/>
  <c r="CM232" i="35"/>
  <c r="CL232" i="35"/>
  <c r="CE232" i="35"/>
  <c r="CD232" i="35"/>
  <c r="CC232" i="35"/>
  <c r="CB232" i="35"/>
  <c r="CA232" i="35"/>
  <c r="BZ232" i="35"/>
  <c r="BY232" i="35"/>
  <c r="BX232" i="35"/>
  <c r="BW232" i="35"/>
  <c r="CT231" i="35"/>
  <c r="CS231" i="35"/>
  <c r="CR231" i="35"/>
  <c r="CQ231" i="35"/>
  <c r="CP231" i="35"/>
  <c r="CO231" i="35"/>
  <c r="CN231" i="35"/>
  <c r="CM231" i="35"/>
  <c r="CL231" i="35"/>
  <c r="CE231" i="35"/>
  <c r="CD231" i="35"/>
  <c r="CC231" i="35"/>
  <c r="CB231" i="35"/>
  <c r="CA231" i="35"/>
  <c r="BZ231" i="35"/>
  <c r="BY231" i="35"/>
  <c r="BX231" i="35"/>
  <c r="BW231" i="35"/>
  <c r="CE219" i="35"/>
  <c r="CD219" i="35"/>
  <c r="CC219" i="35"/>
  <c r="CB219" i="35"/>
  <c r="CA219" i="35"/>
  <c r="BZ219" i="35"/>
  <c r="BY219" i="35"/>
  <c r="BX219" i="35"/>
  <c r="BW219" i="35"/>
  <c r="CE218" i="35"/>
  <c r="CD218" i="35"/>
  <c r="CC218" i="35"/>
  <c r="CB218" i="35"/>
  <c r="CA218" i="35"/>
  <c r="BZ218" i="35"/>
  <c r="BY218" i="35"/>
  <c r="BX218" i="35"/>
  <c r="BW218" i="35"/>
  <c r="CE217" i="35"/>
  <c r="CD217" i="35"/>
  <c r="CC217" i="35"/>
  <c r="CB217" i="35"/>
  <c r="CA217" i="35"/>
  <c r="BZ217" i="35"/>
  <c r="BY217" i="35"/>
  <c r="BX217" i="35"/>
  <c r="BW217" i="35"/>
  <c r="CE216" i="35"/>
  <c r="CD216" i="35"/>
  <c r="CC216" i="35"/>
  <c r="CB216" i="35"/>
  <c r="CA216" i="35"/>
  <c r="BZ216" i="35"/>
  <c r="BY216" i="35"/>
  <c r="BX216" i="35"/>
  <c r="BW216" i="35"/>
  <c r="CE215" i="35"/>
  <c r="CD215" i="35"/>
  <c r="CC215" i="35"/>
  <c r="CB215" i="35"/>
  <c r="CA215" i="35"/>
  <c r="BZ215" i="35"/>
  <c r="BY215" i="35"/>
  <c r="BX215" i="35"/>
  <c r="BW215" i="35"/>
  <c r="CE214" i="35"/>
  <c r="CD214" i="35"/>
  <c r="CC214" i="35"/>
  <c r="CB214" i="35"/>
  <c r="CA214" i="35"/>
  <c r="BZ214" i="35"/>
  <c r="BY214" i="35"/>
  <c r="BX214" i="35"/>
  <c r="BW214" i="35"/>
  <c r="CT126" i="35"/>
  <c r="CS126" i="35"/>
  <c r="CR126" i="35"/>
  <c r="CQ126" i="35"/>
  <c r="CP126" i="35"/>
  <c r="CO126" i="35"/>
  <c r="CN126" i="35"/>
  <c r="CM126" i="35"/>
  <c r="CL126" i="35"/>
  <c r="CT124" i="35"/>
  <c r="CS124" i="35"/>
  <c r="CR124" i="35"/>
  <c r="CQ124" i="35"/>
  <c r="CP124" i="35"/>
  <c r="CO124" i="35"/>
  <c r="CN124" i="35"/>
  <c r="CM124" i="35"/>
  <c r="CL124" i="35"/>
  <c r="CT122" i="35"/>
  <c r="CS122" i="35"/>
  <c r="CR122" i="35"/>
  <c r="CQ122" i="35"/>
  <c r="CP122" i="35"/>
  <c r="CO122" i="35"/>
  <c r="CN122" i="35"/>
  <c r="CM122" i="35"/>
  <c r="CL122" i="35"/>
  <c r="CT121" i="35"/>
  <c r="CS121" i="35"/>
  <c r="CR121" i="35"/>
  <c r="CQ121" i="35"/>
  <c r="CP121" i="35"/>
  <c r="CO121" i="35"/>
  <c r="CN121" i="35"/>
  <c r="CM121" i="35"/>
  <c r="CL121" i="35"/>
  <c r="CT97" i="35"/>
  <c r="CS97" i="35"/>
  <c r="CR97" i="35"/>
  <c r="CQ97" i="35"/>
  <c r="CP97" i="35"/>
  <c r="CO97" i="35"/>
  <c r="CN97" i="35"/>
  <c r="CM97" i="35"/>
  <c r="CL97" i="35"/>
  <c r="CT96" i="35"/>
  <c r="CS96" i="35"/>
  <c r="CR96" i="35"/>
  <c r="CQ96" i="35"/>
  <c r="CP96" i="35"/>
  <c r="CO96" i="35"/>
  <c r="CN96" i="35"/>
  <c r="CM96" i="35"/>
  <c r="CL96" i="35"/>
  <c r="CT76" i="35"/>
  <c r="CS76" i="35"/>
  <c r="CR76" i="35"/>
  <c r="CQ76" i="35"/>
  <c r="CP76" i="35"/>
  <c r="CO76" i="35"/>
  <c r="CN76" i="35"/>
  <c r="CM76" i="35"/>
  <c r="CL76" i="35"/>
  <c r="CT74" i="35"/>
  <c r="CS74" i="35"/>
  <c r="CR74" i="35"/>
  <c r="CQ74" i="35"/>
  <c r="CP74" i="35"/>
  <c r="CO74" i="35"/>
  <c r="CN74" i="35"/>
  <c r="CM74" i="35"/>
  <c r="CL74" i="35"/>
  <c r="CT73" i="35"/>
  <c r="CS73" i="35"/>
  <c r="CR73" i="35"/>
  <c r="CQ73" i="35"/>
  <c r="CP73" i="35"/>
  <c r="CO73" i="35"/>
  <c r="CN73" i="35"/>
  <c r="CM73" i="35"/>
  <c r="CL73" i="35"/>
  <c r="CE55" i="35"/>
  <c r="CD55" i="35"/>
  <c r="CC55" i="35"/>
  <c r="CB55" i="35"/>
  <c r="CA55" i="35"/>
  <c r="BZ55" i="35"/>
  <c r="BY55" i="35"/>
  <c r="BX55" i="35"/>
  <c r="BW55" i="35"/>
  <c r="CE54" i="35"/>
  <c r="CD54" i="35"/>
  <c r="CC54" i="35"/>
  <c r="CB54" i="35"/>
  <c r="CA54" i="35"/>
  <c r="BZ54" i="35"/>
  <c r="BY54" i="35"/>
  <c r="BX54" i="35"/>
  <c r="BW54" i="35"/>
  <c r="CT53" i="35"/>
  <c r="CS53" i="35"/>
  <c r="CR53" i="35"/>
  <c r="CQ53" i="35"/>
  <c r="CP53" i="35"/>
  <c r="CO53" i="35"/>
  <c r="CN53" i="35"/>
  <c r="CM53" i="35"/>
  <c r="CL53" i="35"/>
  <c r="CE53" i="35"/>
  <c r="CD53" i="35"/>
  <c r="CC53" i="35"/>
  <c r="CB53" i="35"/>
  <c r="CA53" i="35"/>
  <c r="BZ53" i="35"/>
  <c r="BY53" i="35"/>
  <c r="BX53" i="35"/>
  <c r="BW53" i="35"/>
  <c r="CT52" i="35"/>
  <c r="CS52" i="35"/>
  <c r="CR52" i="35"/>
  <c r="CQ52" i="35"/>
  <c r="CP52" i="35"/>
  <c r="CO52" i="35"/>
  <c r="CN52" i="35"/>
  <c r="CM52" i="35"/>
  <c r="CL52" i="35"/>
  <c r="CE52" i="35"/>
  <c r="CD52" i="35"/>
  <c r="CC52" i="35"/>
  <c r="CB52" i="35"/>
  <c r="CA52" i="35"/>
  <c r="BZ52" i="35"/>
  <c r="BY52" i="35"/>
  <c r="BX52" i="35"/>
  <c r="BW52" i="35"/>
  <c r="CT51" i="35"/>
  <c r="CS51" i="35"/>
  <c r="CR51" i="35"/>
  <c r="CQ51" i="35"/>
  <c r="CP51" i="35"/>
  <c r="CO51" i="35"/>
  <c r="CN51" i="35"/>
  <c r="CM51" i="35"/>
  <c r="CL51" i="35"/>
  <c r="CE51" i="35"/>
  <c r="CD51" i="35"/>
  <c r="CC51" i="35"/>
  <c r="CB51" i="35"/>
  <c r="CA51" i="35"/>
  <c r="BZ51" i="35"/>
  <c r="BY51" i="35"/>
  <c r="BX51" i="35"/>
  <c r="BW51" i="35"/>
  <c r="CT50" i="35"/>
  <c r="CS50" i="35"/>
  <c r="CR50" i="35"/>
  <c r="CQ50" i="35"/>
  <c r="CP50" i="35"/>
  <c r="CO50" i="35"/>
  <c r="CN50" i="35"/>
  <c r="CM50" i="35"/>
  <c r="CL50" i="35"/>
  <c r="CE50" i="35"/>
  <c r="CD50" i="35"/>
  <c r="CC50" i="35"/>
  <c r="CB50" i="35"/>
  <c r="CA50" i="35"/>
  <c r="BZ50" i="35"/>
  <c r="BY50" i="35"/>
  <c r="BX50" i="35"/>
  <c r="BW50" i="35"/>
  <c r="CT49" i="35"/>
  <c r="CS49" i="35"/>
  <c r="CR49" i="35"/>
  <c r="CQ49" i="35"/>
  <c r="CP49" i="35"/>
  <c r="CO49" i="35"/>
  <c r="CN49" i="35"/>
  <c r="CM49" i="35"/>
  <c r="CL49" i="35"/>
  <c r="CE49" i="35"/>
  <c r="CD49" i="35"/>
  <c r="CC49" i="35"/>
  <c r="CB49" i="35"/>
  <c r="CA49" i="35"/>
  <c r="BZ49" i="35"/>
  <c r="BY49" i="35"/>
  <c r="BX49" i="35"/>
  <c r="BW49" i="35"/>
  <c r="CT48" i="35"/>
  <c r="CS48" i="35"/>
  <c r="CR48" i="35"/>
  <c r="CQ48" i="35"/>
  <c r="CP48" i="35"/>
  <c r="CO48" i="35"/>
  <c r="CN48" i="35"/>
  <c r="CM48" i="35"/>
  <c r="CL48" i="35"/>
  <c r="CE48" i="35"/>
  <c r="CD48" i="35"/>
  <c r="CC48" i="35"/>
  <c r="CB48" i="35"/>
  <c r="CA48" i="35"/>
  <c r="BZ48" i="35"/>
  <c r="BY48" i="35"/>
  <c r="BX48" i="35"/>
  <c r="BW48" i="35"/>
  <c r="CT47" i="35"/>
  <c r="CS47" i="35"/>
  <c r="CR47" i="35"/>
  <c r="CQ47" i="35"/>
  <c r="CP47" i="35"/>
  <c r="CO47" i="35"/>
  <c r="CN47" i="35"/>
  <c r="CM47" i="35"/>
  <c r="CL47" i="35"/>
  <c r="CE47" i="35"/>
  <c r="CD47" i="35"/>
  <c r="CC47" i="35"/>
  <c r="CB47" i="35"/>
  <c r="CA47" i="35"/>
  <c r="BZ47" i="35"/>
  <c r="BY47" i="35"/>
  <c r="BX47" i="35"/>
  <c r="BW47" i="35"/>
  <c r="CT29" i="35"/>
  <c r="CS29" i="35"/>
  <c r="CR29" i="35"/>
  <c r="CQ29" i="35"/>
  <c r="CP29" i="35"/>
  <c r="CO29" i="35"/>
  <c r="CN29" i="35"/>
  <c r="CM29" i="35"/>
  <c r="CL29" i="35"/>
  <c r="CE29" i="35"/>
  <c r="CD29" i="35"/>
  <c r="CC29" i="35"/>
  <c r="CB29" i="35"/>
  <c r="CA29" i="35"/>
  <c r="BZ29" i="35"/>
  <c r="BY29" i="35"/>
  <c r="BX29" i="35"/>
  <c r="BW29" i="35"/>
  <c r="CT28" i="35"/>
  <c r="CS28" i="35"/>
  <c r="CR28" i="35"/>
  <c r="CQ28" i="35"/>
  <c r="CP28" i="35"/>
  <c r="CO28" i="35"/>
  <c r="CN28" i="35"/>
  <c r="CM28" i="35"/>
  <c r="CL28" i="35"/>
  <c r="CE28" i="35"/>
  <c r="CD28" i="35"/>
  <c r="CC28" i="35"/>
  <c r="CB28" i="35"/>
  <c r="CA28" i="35"/>
  <c r="BZ28" i="35"/>
  <c r="BY28" i="35"/>
  <c r="BX28" i="35"/>
  <c r="BW28" i="35"/>
  <c r="CT27" i="35"/>
  <c r="CS27" i="35"/>
  <c r="CR27" i="35"/>
  <c r="CQ27" i="35"/>
  <c r="CP27" i="35"/>
  <c r="CO27" i="35"/>
  <c r="CN27" i="35"/>
  <c r="CM27" i="35"/>
  <c r="CL27" i="35"/>
  <c r="CE27" i="35"/>
  <c r="CD27" i="35"/>
  <c r="CC27" i="35"/>
  <c r="CB27" i="35"/>
  <c r="CA27" i="35"/>
  <c r="BZ27" i="35"/>
  <c r="BY27" i="35"/>
  <c r="BX27" i="35"/>
  <c r="BW27" i="35"/>
  <c r="CT26" i="35"/>
  <c r="CS26" i="35"/>
  <c r="CR26" i="35"/>
  <c r="CQ26" i="35"/>
  <c r="CP26" i="35"/>
  <c r="CO26" i="35"/>
  <c r="CN26" i="35"/>
  <c r="CM26" i="35"/>
  <c r="CL26" i="35"/>
  <c r="CE26" i="35"/>
  <c r="CD26" i="35"/>
  <c r="CC26" i="35"/>
  <c r="CB26" i="35"/>
  <c r="CA26" i="35"/>
  <c r="BZ26" i="35"/>
  <c r="BY26" i="35"/>
  <c r="BX26" i="35"/>
  <c r="BW26" i="35"/>
  <c r="CT25" i="35"/>
  <c r="CS25" i="35"/>
  <c r="CR25" i="35"/>
  <c r="CQ25" i="35"/>
  <c r="CP25" i="35"/>
  <c r="CO25" i="35"/>
  <c r="CN25" i="35"/>
  <c r="CM25" i="35"/>
  <c r="CL25" i="35"/>
  <c r="CE25" i="35"/>
  <c r="CD25" i="35"/>
  <c r="CC25" i="35"/>
  <c r="CB25" i="35"/>
  <c r="CA25" i="35"/>
  <c r="BZ25" i="35"/>
  <c r="BY25" i="35"/>
  <c r="BX25" i="35"/>
  <c r="BW25" i="35"/>
  <c r="CT24" i="35"/>
  <c r="CS24" i="35"/>
  <c r="CR24" i="35"/>
  <c r="CQ24" i="35"/>
  <c r="CP24" i="35"/>
  <c r="CO24" i="35"/>
  <c r="CN24" i="35"/>
  <c r="CM24" i="35"/>
  <c r="CL24" i="35"/>
  <c r="CE24" i="35"/>
  <c r="CD24" i="35"/>
  <c r="CC24" i="35"/>
  <c r="CB24" i="35"/>
  <c r="CA24" i="35"/>
  <c r="BZ24" i="35"/>
  <c r="BY24" i="35"/>
  <c r="BX24" i="35"/>
  <c r="BW24" i="35"/>
  <c r="CT23" i="35"/>
  <c r="CS23" i="35"/>
  <c r="CR23" i="35"/>
  <c r="CQ23" i="35"/>
  <c r="CP23" i="35"/>
  <c r="CO23" i="35"/>
  <c r="CN23" i="35"/>
  <c r="CM23" i="35"/>
  <c r="CL23" i="35"/>
  <c r="CE23" i="35"/>
  <c r="CD23" i="35"/>
  <c r="CC23" i="35"/>
  <c r="CB23" i="35"/>
  <c r="CA23" i="35"/>
  <c r="BZ23" i="35"/>
  <c r="BY23" i="35"/>
  <c r="BX23" i="35"/>
  <c r="BW23" i="35"/>
  <c r="CT22" i="35"/>
  <c r="CS22" i="35"/>
  <c r="CR22" i="35"/>
  <c r="CQ22" i="35"/>
  <c r="CP22" i="35"/>
  <c r="CO22" i="35"/>
  <c r="CN22" i="35"/>
  <c r="CM22" i="35"/>
  <c r="CL22" i="35"/>
  <c r="CE22" i="35"/>
  <c r="CD22" i="35"/>
  <c r="CC22" i="35"/>
  <c r="CB22" i="35"/>
  <c r="CA22" i="35"/>
  <c r="BZ22" i="35"/>
  <c r="BY22" i="35"/>
  <c r="BX22" i="35"/>
  <c r="BW22" i="35"/>
  <c r="CT21" i="35"/>
  <c r="CS21" i="35"/>
  <c r="CR21" i="35"/>
  <c r="CQ21" i="35"/>
  <c r="CP21" i="35"/>
  <c r="CO21" i="35"/>
  <c r="CN21" i="35"/>
  <c r="CM21" i="35"/>
  <c r="CL21" i="35"/>
  <c r="CE21" i="35"/>
  <c r="CD21" i="35"/>
  <c r="CC21" i="35"/>
  <c r="CB21" i="35"/>
  <c r="CA21" i="35"/>
  <c r="BZ21" i="35"/>
  <c r="BY21" i="35"/>
  <c r="BX21" i="35"/>
  <c r="BW21" i="35"/>
  <c r="CT20" i="35"/>
  <c r="CS20" i="35"/>
  <c r="CR20" i="35"/>
  <c r="CQ20" i="35"/>
  <c r="CP20" i="35"/>
  <c r="CO20" i="35"/>
  <c r="CN20" i="35"/>
  <c r="CM20" i="35"/>
  <c r="CL20" i="35"/>
  <c r="CE20" i="35"/>
  <c r="CD20" i="35"/>
  <c r="CC20" i="35"/>
  <c r="CB20" i="35"/>
  <c r="CA20" i="35"/>
  <c r="BZ20" i="35"/>
  <c r="BY20" i="35"/>
  <c r="BX20" i="35"/>
  <c r="BW20" i="35"/>
  <c r="CT19" i="35"/>
  <c r="CS19" i="35"/>
  <c r="CR19" i="35"/>
  <c r="CQ19" i="35"/>
  <c r="CP19" i="35"/>
  <c r="CO19" i="35"/>
  <c r="CN19" i="35"/>
  <c r="CM19" i="35"/>
  <c r="CL19" i="35"/>
  <c r="CE19" i="35"/>
  <c r="CD19" i="35"/>
  <c r="CC19" i="35"/>
  <c r="CB19" i="35"/>
  <c r="CA19" i="35"/>
  <c r="BZ19" i="35"/>
  <c r="BY19" i="35"/>
  <c r="BX19" i="35"/>
  <c r="BW19" i="35"/>
  <c r="AV234" i="35"/>
  <c r="AU234" i="35"/>
  <c r="AT234" i="35"/>
  <c r="AS234" i="35"/>
  <c r="AR234" i="35"/>
  <c r="AQ234" i="35"/>
  <c r="AP234" i="35"/>
  <c r="AO234" i="35"/>
  <c r="AN234" i="35"/>
  <c r="BK233" i="35"/>
  <c r="BJ233" i="35"/>
  <c r="BI233" i="35"/>
  <c r="BH233" i="35"/>
  <c r="BG233" i="35"/>
  <c r="BF233" i="35"/>
  <c r="BE233" i="35"/>
  <c r="BD233" i="35"/>
  <c r="BC233" i="35"/>
  <c r="AV233" i="35"/>
  <c r="AU233" i="35"/>
  <c r="AT233" i="35"/>
  <c r="AS233" i="35"/>
  <c r="AR233" i="35"/>
  <c r="AQ233" i="35"/>
  <c r="AP233" i="35"/>
  <c r="AO233" i="35"/>
  <c r="AN233" i="35"/>
  <c r="BK232" i="35"/>
  <c r="BJ232" i="35"/>
  <c r="BI232" i="35"/>
  <c r="BH232" i="35"/>
  <c r="BG232" i="35"/>
  <c r="BF232" i="35"/>
  <c r="BE232" i="35"/>
  <c r="BD232" i="35"/>
  <c r="BC232" i="35"/>
  <c r="AV232" i="35"/>
  <c r="AU232" i="35"/>
  <c r="AT232" i="35"/>
  <c r="AS232" i="35"/>
  <c r="AR232" i="35"/>
  <c r="AQ232" i="35"/>
  <c r="AP232" i="35"/>
  <c r="AO232" i="35"/>
  <c r="AN232" i="35"/>
  <c r="BK231" i="35"/>
  <c r="BJ231" i="35"/>
  <c r="BI231" i="35"/>
  <c r="BH231" i="35"/>
  <c r="BG231" i="35"/>
  <c r="BF231" i="35"/>
  <c r="BE231" i="35"/>
  <c r="BD231" i="35"/>
  <c r="BC231" i="35"/>
  <c r="AV231" i="35"/>
  <c r="AU231" i="35"/>
  <c r="AT231" i="35"/>
  <c r="AS231" i="35"/>
  <c r="AR231" i="35"/>
  <c r="AQ231" i="35"/>
  <c r="AP231" i="35"/>
  <c r="AO231" i="35"/>
  <c r="AN231" i="35"/>
  <c r="AV219" i="35"/>
  <c r="AU219" i="35"/>
  <c r="AT219" i="35"/>
  <c r="AS219" i="35"/>
  <c r="AR219" i="35"/>
  <c r="AQ219" i="35"/>
  <c r="AP219" i="35"/>
  <c r="AO219" i="35"/>
  <c r="AN219" i="35"/>
  <c r="AV218" i="35"/>
  <c r="AU218" i="35"/>
  <c r="AT218" i="35"/>
  <c r="AS218" i="35"/>
  <c r="AR218" i="35"/>
  <c r="AQ218" i="35"/>
  <c r="AP218" i="35"/>
  <c r="AO218" i="35"/>
  <c r="AN218" i="35"/>
  <c r="AV217" i="35"/>
  <c r="AU217" i="35"/>
  <c r="AT217" i="35"/>
  <c r="AS217" i="35"/>
  <c r="AR217" i="35"/>
  <c r="AQ217" i="35"/>
  <c r="AP217" i="35"/>
  <c r="AO217" i="35"/>
  <c r="AN217" i="35"/>
  <c r="AV216" i="35"/>
  <c r="AU216" i="35"/>
  <c r="AT216" i="35"/>
  <c r="AS216" i="35"/>
  <c r="AR216" i="35"/>
  <c r="AQ216" i="35"/>
  <c r="AP216" i="35"/>
  <c r="AO216" i="35"/>
  <c r="AN216" i="35"/>
  <c r="AV215" i="35"/>
  <c r="AU215" i="35"/>
  <c r="AT215" i="35"/>
  <c r="AS215" i="35"/>
  <c r="AR215" i="35"/>
  <c r="AQ215" i="35"/>
  <c r="AP215" i="35"/>
  <c r="AO215" i="35"/>
  <c r="AN215" i="35"/>
  <c r="AV214" i="35"/>
  <c r="AU214" i="35"/>
  <c r="AT214" i="35"/>
  <c r="AS214" i="35"/>
  <c r="AR214" i="35"/>
  <c r="AQ214" i="35"/>
  <c r="AP214" i="35"/>
  <c r="AO214" i="35"/>
  <c r="AN214" i="35"/>
  <c r="BK126" i="35"/>
  <c r="BJ126" i="35"/>
  <c r="BI126" i="35"/>
  <c r="BH126" i="35"/>
  <c r="BG126" i="35"/>
  <c r="BF126" i="35"/>
  <c r="BE126" i="35"/>
  <c r="BD126" i="35"/>
  <c r="BC126" i="35"/>
  <c r="BK124" i="35"/>
  <c r="BJ124" i="35"/>
  <c r="BI124" i="35"/>
  <c r="BH124" i="35"/>
  <c r="BG124" i="35"/>
  <c r="BF124" i="35"/>
  <c r="BE124" i="35"/>
  <c r="BD124" i="35"/>
  <c r="BC124" i="35"/>
  <c r="BK122" i="35"/>
  <c r="BJ122" i="35"/>
  <c r="BI122" i="35"/>
  <c r="BH122" i="35"/>
  <c r="BG122" i="35"/>
  <c r="BF122" i="35"/>
  <c r="BE122" i="35"/>
  <c r="BD122" i="35"/>
  <c r="BC122" i="35"/>
  <c r="BK121" i="35"/>
  <c r="BJ121" i="35"/>
  <c r="BI121" i="35"/>
  <c r="BH121" i="35"/>
  <c r="BG121" i="35"/>
  <c r="BF121" i="35"/>
  <c r="BE121" i="35"/>
  <c r="BD121" i="35"/>
  <c r="BC121" i="35"/>
  <c r="BK97" i="35"/>
  <c r="BJ97" i="35"/>
  <c r="BI97" i="35"/>
  <c r="BH97" i="35"/>
  <c r="BG97" i="35"/>
  <c r="BF97" i="35"/>
  <c r="BE97" i="35"/>
  <c r="BD97" i="35"/>
  <c r="BC97" i="35"/>
  <c r="BK96" i="35"/>
  <c r="BJ96" i="35"/>
  <c r="BI96" i="35"/>
  <c r="BH96" i="35"/>
  <c r="BG96" i="35"/>
  <c r="BF96" i="35"/>
  <c r="BE96" i="35"/>
  <c r="BD96" i="35"/>
  <c r="BC96" i="35"/>
  <c r="BK76" i="35"/>
  <c r="BJ76" i="35"/>
  <c r="BI76" i="35"/>
  <c r="BH76" i="35"/>
  <c r="BG76" i="35"/>
  <c r="BF76" i="35"/>
  <c r="BE76" i="35"/>
  <c r="BD76" i="35"/>
  <c r="BC76" i="35"/>
  <c r="BK74" i="35"/>
  <c r="BJ74" i="35"/>
  <c r="BI74" i="35"/>
  <c r="BH74" i="35"/>
  <c r="BG74" i="35"/>
  <c r="BF74" i="35"/>
  <c r="BE74" i="35"/>
  <c r="BD74" i="35"/>
  <c r="BC74" i="35"/>
  <c r="BK73" i="35"/>
  <c r="BJ73" i="35"/>
  <c r="BI73" i="35"/>
  <c r="BH73" i="35"/>
  <c r="BG73" i="35"/>
  <c r="BF73" i="35"/>
  <c r="BE73" i="35"/>
  <c r="BD73" i="35"/>
  <c r="BC73" i="35"/>
  <c r="AV55" i="35"/>
  <c r="AU55" i="35"/>
  <c r="AT55" i="35"/>
  <c r="AS55" i="35"/>
  <c r="AR55" i="35"/>
  <c r="AQ55" i="35"/>
  <c r="AP55" i="35"/>
  <c r="AO55" i="35"/>
  <c r="AN55" i="35"/>
  <c r="AV54" i="35"/>
  <c r="AU54" i="35"/>
  <c r="AT54" i="35"/>
  <c r="AS54" i="35"/>
  <c r="AR54" i="35"/>
  <c r="AQ54" i="35"/>
  <c r="AP54" i="35"/>
  <c r="AO54" i="35"/>
  <c r="AN54" i="35"/>
  <c r="BK53" i="35"/>
  <c r="BJ53" i="35"/>
  <c r="BI53" i="35"/>
  <c r="BH53" i="35"/>
  <c r="BG53" i="35"/>
  <c r="BF53" i="35"/>
  <c r="BE53" i="35"/>
  <c r="BD53" i="35"/>
  <c r="BC53" i="35"/>
  <c r="AV53" i="35"/>
  <c r="AU53" i="35"/>
  <c r="AT53" i="35"/>
  <c r="AS53" i="35"/>
  <c r="AR53" i="35"/>
  <c r="AQ53" i="35"/>
  <c r="AP53" i="35"/>
  <c r="AO53" i="35"/>
  <c r="AN53" i="35"/>
  <c r="BK52" i="35"/>
  <c r="BJ52" i="35"/>
  <c r="BI52" i="35"/>
  <c r="BH52" i="35"/>
  <c r="BG52" i="35"/>
  <c r="BF52" i="35"/>
  <c r="BE52" i="35"/>
  <c r="BD52" i="35"/>
  <c r="BC52" i="35"/>
  <c r="AV52" i="35"/>
  <c r="AU52" i="35"/>
  <c r="AT52" i="35"/>
  <c r="AS52" i="35"/>
  <c r="AR52" i="35"/>
  <c r="AQ52" i="35"/>
  <c r="AP52" i="35"/>
  <c r="AO52" i="35"/>
  <c r="AN52" i="35"/>
  <c r="BK51" i="35"/>
  <c r="BJ51" i="35"/>
  <c r="BI51" i="35"/>
  <c r="BH51" i="35"/>
  <c r="BG51" i="35"/>
  <c r="BF51" i="35"/>
  <c r="BE51" i="35"/>
  <c r="BD51" i="35"/>
  <c r="BC51" i="35"/>
  <c r="AV51" i="35"/>
  <c r="AU51" i="35"/>
  <c r="AT51" i="35"/>
  <c r="AS51" i="35"/>
  <c r="AR51" i="35"/>
  <c r="AQ51" i="35"/>
  <c r="AP51" i="35"/>
  <c r="AO51" i="35"/>
  <c r="AN51" i="35"/>
  <c r="BK50" i="35"/>
  <c r="BJ50" i="35"/>
  <c r="BI50" i="35"/>
  <c r="BH50" i="35"/>
  <c r="BG50" i="35"/>
  <c r="BF50" i="35"/>
  <c r="BE50" i="35"/>
  <c r="BD50" i="35"/>
  <c r="BC50" i="35"/>
  <c r="AV50" i="35"/>
  <c r="AU50" i="35"/>
  <c r="AT50" i="35"/>
  <c r="AS50" i="35"/>
  <c r="AR50" i="35"/>
  <c r="AQ50" i="35"/>
  <c r="AP50" i="35"/>
  <c r="AO50" i="35"/>
  <c r="AN50" i="35"/>
  <c r="BK49" i="35"/>
  <c r="BJ49" i="35"/>
  <c r="BI49" i="35"/>
  <c r="BH49" i="35"/>
  <c r="BG49" i="35"/>
  <c r="BF49" i="35"/>
  <c r="BE49" i="35"/>
  <c r="BD49" i="35"/>
  <c r="BC49" i="35"/>
  <c r="AV49" i="35"/>
  <c r="AU49" i="35"/>
  <c r="AT49" i="35"/>
  <c r="AS49" i="35"/>
  <c r="AR49" i="35"/>
  <c r="AQ49" i="35"/>
  <c r="AP49" i="35"/>
  <c r="AO49" i="35"/>
  <c r="AN49" i="35"/>
  <c r="BK48" i="35"/>
  <c r="BJ48" i="35"/>
  <c r="BI48" i="35"/>
  <c r="BH48" i="35"/>
  <c r="BG48" i="35"/>
  <c r="BF48" i="35"/>
  <c r="BE48" i="35"/>
  <c r="BD48" i="35"/>
  <c r="BC48" i="35"/>
  <c r="AV48" i="35"/>
  <c r="AU48" i="35"/>
  <c r="AT48" i="35"/>
  <c r="AS48" i="35"/>
  <c r="AR48" i="35"/>
  <c r="AQ48" i="35"/>
  <c r="AP48" i="35"/>
  <c r="AO48" i="35"/>
  <c r="AN48" i="35"/>
  <c r="BK47" i="35"/>
  <c r="BJ47" i="35"/>
  <c r="BI47" i="35"/>
  <c r="BH47" i="35"/>
  <c r="BG47" i="35"/>
  <c r="BF47" i="35"/>
  <c r="BE47" i="35"/>
  <c r="BD47" i="35"/>
  <c r="BC47" i="35"/>
  <c r="AV47" i="35"/>
  <c r="AU47" i="35"/>
  <c r="AT47" i="35"/>
  <c r="AS47" i="35"/>
  <c r="AR47" i="35"/>
  <c r="AQ47" i="35"/>
  <c r="AP47" i="35"/>
  <c r="AO47" i="35"/>
  <c r="AN47" i="35"/>
  <c r="BK29" i="35"/>
  <c r="BJ29" i="35"/>
  <c r="BI29" i="35"/>
  <c r="BH29" i="35"/>
  <c r="BG29" i="35"/>
  <c r="BF29" i="35"/>
  <c r="BE29" i="35"/>
  <c r="BD29" i="35"/>
  <c r="BC29" i="35"/>
  <c r="AV29" i="35"/>
  <c r="AU29" i="35"/>
  <c r="AT29" i="35"/>
  <c r="AS29" i="35"/>
  <c r="AR29" i="35"/>
  <c r="AQ29" i="35"/>
  <c r="AP29" i="35"/>
  <c r="AO29" i="35"/>
  <c r="AN29" i="35"/>
  <c r="BK28" i="35"/>
  <c r="BJ28" i="35"/>
  <c r="BI28" i="35"/>
  <c r="BH28" i="35"/>
  <c r="BG28" i="35"/>
  <c r="BF28" i="35"/>
  <c r="BE28" i="35"/>
  <c r="BD28" i="35"/>
  <c r="BC28" i="35"/>
  <c r="AV28" i="35"/>
  <c r="AU28" i="35"/>
  <c r="AT28" i="35"/>
  <c r="AS28" i="35"/>
  <c r="AR28" i="35"/>
  <c r="AQ28" i="35"/>
  <c r="AP28" i="35"/>
  <c r="AO28" i="35"/>
  <c r="AN28" i="35"/>
  <c r="BK27" i="35"/>
  <c r="BJ27" i="35"/>
  <c r="BI27" i="35"/>
  <c r="BH27" i="35"/>
  <c r="BG27" i="35"/>
  <c r="BF27" i="35"/>
  <c r="BE27" i="35"/>
  <c r="BD27" i="35"/>
  <c r="BC27" i="35"/>
  <c r="AV27" i="35"/>
  <c r="AU27" i="35"/>
  <c r="AT27" i="35"/>
  <c r="AS27" i="35"/>
  <c r="AR27" i="35"/>
  <c r="AQ27" i="35"/>
  <c r="AP27" i="35"/>
  <c r="AO27" i="35"/>
  <c r="AN27" i="35"/>
  <c r="BK26" i="35"/>
  <c r="BJ26" i="35"/>
  <c r="BI26" i="35"/>
  <c r="BH26" i="35"/>
  <c r="BG26" i="35"/>
  <c r="BF26" i="35"/>
  <c r="BE26" i="35"/>
  <c r="BD26" i="35"/>
  <c r="BC26" i="35"/>
  <c r="AV26" i="35"/>
  <c r="AU26" i="35"/>
  <c r="AT26" i="35"/>
  <c r="AS26" i="35"/>
  <c r="AR26" i="35"/>
  <c r="AQ26" i="35"/>
  <c r="AP26" i="35"/>
  <c r="AO26" i="35"/>
  <c r="AN26" i="35"/>
  <c r="BK25" i="35"/>
  <c r="BJ25" i="35"/>
  <c r="BI25" i="35"/>
  <c r="BH25" i="35"/>
  <c r="BG25" i="35"/>
  <c r="BF25" i="35"/>
  <c r="BE25" i="35"/>
  <c r="BD25" i="35"/>
  <c r="BC25" i="35"/>
  <c r="AV25" i="35"/>
  <c r="AU25" i="35"/>
  <c r="AT25" i="35"/>
  <c r="AS25" i="35"/>
  <c r="AR25" i="35"/>
  <c r="AQ25" i="35"/>
  <c r="AP25" i="35"/>
  <c r="AO25" i="35"/>
  <c r="AN25" i="35"/>
  <c r="BK24" i="35"/>
  <c r="BJ24" i="35"/>
  <c r="BI24" i="35"/>
  <c r="BH24" i="35"/>
  <c r="BG24" i="35"/>
  <c r="BF24" i="35"/>
  <c r="BE24" i="35"/>
  <c r="BD24" i="35"/>
  <c r="BC24" i="35"/>
  <c r="AV24" i="35"/>
  <c r="AU24" i="35"/>
  <c r="AT24" i="35"/>
  <c r="AS24" i="35"/>
  <c r="AR24" i="35"/>
  <c r="AQ24" i="35"/>
  <c r="AP24" i="35"/>
  <c r="AO24" i="35"/>
  <c r="AN24" i="35"/>
  <c r="BK23" i="35"/>
  <c r="BJ23" i="35"/>
  <c r="BI23" i="35"/>
  <c r="BH23" i="35"/>
  <c r="BG23" i="35"/>
  <c r="BF23" i="35"/>
  <c r="BE23" i="35"/>
  <c r="BD23" i="35"/>
  <c r="BC23" i="35"/>
  <c r="AV23" i="35"/>
  <c r="AU23" i="35"/>
  <c r="AT23" i="35"/>
  <c r="AS23" i="35"/>
  <c r="AR23" i="35"/>
  <c r="AQ23" i="35"/>
  <c r="AP23" i="35"/>
  <c r="AO23" i="35"/>
  <c r="AN23" i="35"/>
  <c r="BK22" i="35"/>
  <c r="BJ22" i="35"/>
  <c r="BI22" i="35"/>
  <c r="BH22" i="35"/>
  <c r="BG22" i="35"/>
  <c r="BF22" i="35"/>
  <c r="BE22" i="35"/>
  <c r="BD22" i="35"/>
  <c r="BC22" i="35"/>
  <c r="AV22" i="35"/>
  <c r="AU22" i="35"/>
  <c r="AT22" i="35"/>
  <c r="AS22" i="35"/>
  <c r="AR22" i="35"/>
  <c r="AQ22" i="35"/>
  <c r="AP22" i="35"/>
  <c r="AO22" i="35"/>
  <c r="AN22" i="35"/>
  <c r="BK21" i="35"/>
  <c r="BJ21" i="35"/>
  <c r="BI21" i="35"/>
  <c r="BH21" i="35"/>
  <c r="BG21" i="35"/>
  <c r="BF21" i="35"/>
  <c r="BE21" i="35"/>
  <c r="BD21" i="35"/>
  <c r="BC21" i="35"/>
  <c r="AV21" i="35"/>
  <c r="AU21" i="35"/>
  <c r="AT21" i="35"/>
  <c r="AS21" i="35"/>
  <c r="AR21" i="35"/>
  <c r="AQ21" i="35"/>
  <c r="AP21" i="35"/>
  <c r="AO21" i="35"/>
  <c r="AN21" i="35"/>
  <c r="BK20" i="35"/>
  <c r="BJ20" i="35"/>
  <c r="BI20" i="35"/>
  <c r="BH20" i="35"/>
  <c r="BG20" i="35"/>
  <c r="BF20" i="35"/>
  <c r="BE20" i="35"/>
  <c r="BD20" i="35"/>
  <c r="BC20" i="35"/>
  <c r="AV20" i="35"/>
  <c r="AU20" i="35"/>
  <c r="AT20" i="35"/>
  <c r="AS20" i="35"/>
  <c r="AR20" i="35"/>
  <c r="AQ20" i="35"/>
  <c r="AP20" i="35"/>
  <c r="AO20" i="35"/>
  <c r="AN20" i="35"/>
  <c r="BK19" i="35"/>
  <c r="BJ19" i="35"/>
  <c r="BI19" i="35"/>
  <c r="BH19" i="35"/>
  <c r="BG19" i="35"/>
  <c r="BF19" i="35"/>
  <c r="BE19" i="35"/>
  <c r="BD19" i="35"/>
  <c r="BC19" i="35"/>
  <c r="AV19" i="35"/>
  <c r="AU19" i="35"/>
  <c r="AT19" i="35"/>
  <c r="AS19" i="35"/>
  <c r="AR19" i="35"/>
  <c r="AQ19" i="35"/>
  <c r="AP19" i="35"/>
  <c r="AO19" i="35"/>
  <c r="AN19" i="35"/>
  <c r="AH188" i="39"/>
  <c r="AH189" i="39"/>
  <c r="AH190" i="39" s="1"/>
  <c r="AH182" i="39"/>
  <c r="AH183" i="39"/>
  <c r="AH184" i="39" s="1"/>
  <c r="AH164" i="39"/>
  <c r="AH165" i="39" s="1"/>
  <c r="AH163" i="39"/>
  <c r="AH124" i="39"/>
  <c r="AH125" i="39"/>
  <c r="AH126" i="39" s="1"/>
  <c r="AH130" i="39"/>
  <c r="AH131" i="39"/>
  <c r="AH132" i="39" s="1"/>
  <c r="AH112" i="39"/>
  <c r="AH113" i="39"/>
  <c r="AH106" i="39"/>
  <c r="AH107" i="39"/>
  <c r="AH108" i="39" s="1"/>
  <c r="AH42" i="39"/>
  <c r="AH43" i="39"/>
  <c r="AH44" i="39" s="1"/>
  <c r="AH36" i="39"/>
  <c r="AH37" i="39"/>
  <c r="AH38" i="39" s="1"/>
  <c r="AH170" i="39" l="1"/>
  <c r="AH169" i="39"/>
  <c r="O258" i="39"/>
  <c r="O259" i="39"/>
  <c r="O260" i="39" s="1"/>
  <c r="O252" i="39"/>
  <c r="O253" i="39"/>
  <c r="O254" i="39" s="1"/>
  <c r="O246" i="39"/>
  <c r="O247" i="39"/>
  <c r="O248" i="39" s="1"/>
  <c r="O239" i="39"/>
  <c r="O240" i="39"/>
  <c r="O241" i="39" s="1"/>
  <c r="O233" i="39"/>
  <c r="O234" i="39"/>
  <c r="O235" i="39" s="1"/>
  <c r="O191" i="39"/>
  <c r="O192" i="39"/>
  <c r="O193" i="39" s="1"/>
  <c r="O185" i="39"/>
  <c r="O186" i="39"/>
  <c r="O187" i="39" s="1"/>
  <c r="O173" i="39"/>
  <c r="O174" i="39"/>
  <c r="O175" i="39" s="1"/>
  <c r="O167" i="39"/>
  <c r="O168" i="39"/>
  <c r="O169" i="39" s="1"/>
  <c r="AI445" i="38"/>
  <c r="AI446" i="38"/>
  <c r="AI447" i="38" s="1"/>
  <c r="AI439" i="38"/>
  <c r="AI440" i="38"/>
  <c r="AI441" i="38" s="1"/>
  <c r="AI425" i="38"/>
  <c r="AI426" i="38"/>
  <c r="AI427" i="38" s="1"/>
  <c r="AI420" i="38"/>
  <c r="AI421" i="38" s="1"/>
  <c r="AI419" i="38"/>
  <c r="AI370" i="38"/>
  <c r="AI371" i="38"/>
  <c r="AI372" i="38" s="1"/>
  <c r="AI364" i="38"/>
  <c r="AI365" i="38"/>
  <c r="AI366" i="38" s="1"/>
  <c r="AI351" i="38"/>
  <c r="AI352" i="38"/>
  <c r="AI353" i="38" s="1"/>
  <c r="AI345" i="38"/>
  <c r="AI346" i="38"/>
  <c r="AI347" i="38" s="1"/>
  <c r="AI305" i="38"/>
  <c r="AI306" i="38"/>
  <c r="AI307" i="38" s="1"/>
  <c r="AI299" i="38"/>
  <c r="AI300" i="38"/>
  <c r="AI301" i="38" s="1"/>
  <c r="AI285" i="38"/>
  <c r="AI286" i="38"/>
  <c r="AI287" i="38" s="1"/>
  <c r="AI279" i="38"/>
  <c r="AI280" i="38"/>
  <c r="AI281" i="38" s="1"/>
  <c r="AI240" i="38" l="1"/>
  <c r="AI241" i="38"/>
  <c r="AI242" i="38" s="1"/>
  <c r="AI234" i="38"/>
  <c r="AI235" i="38"/>
  <c r="AI236" i="38" s="1"/>
  <c r="AI221" i="38"/>
  <c r="AI222" i="38"/>
  <c r="AI223" i="38" s="1"/>
  <c r="AI215" i="38"/>
  <c r="AI216" i="38"/>
  <c r="AI217" i="38" s="1"/>
  <c r="AI176" i="38"/>
  <c r="AI177" i="38"/>
  <c r="AI178" i="38" s="1"/>
  <c r="AI170" i="38"/>
  <c r="AI171" i="38"/>
  <c r="AI172" i="38" s="1"/>
  <c r="AI157" i="38"/>
  <c r="AI158" i="38"/>
  <c r="AI159" i="38" s="1"/>
  <c r="AI151" i="38"/>
  <c r="AI152" i="38"/>
  <c r="AI153" i="38" s="1"/>
  <c r="AI109" i="38"/>
  <c r="AI110" i="38"/>
  <c r="AI111" i="38" s="1"/>
  <c r="AI103" i="38"/>
  <c r="AI104" i="38"/>
  <c r="AI105" i="38" s="1"/>
  <c r="AI89" i="38"/>
  <c r="AI90" i="38"/>
  <c r="AI91" i="38" s="1"/>
  <c r="AI83" i="38"/>
  <c r="AI84" i="38"/>
  <c r="AI85" i="38" s="1"/>
  <c r="AI43" i="38"/>
  <c r="AI44" i="38"/>
  <c r="AI45" i="38" s="1"/>
  <c r="AI37" i="38"/>
  <c r="AI38" i="38"/>
  <c r="AI39" i="38" s="1"/>
  <c r="O490" i="38" l="1"/>
  <c r="O491" i="38"/>
  <c r="O492" i="38" s="1"/>
  <c r="O484" i="38"/>
  <c r="O485" i="38"/>
  <c r="O486" i="38" s="1"/>
  <c r="O471" i="38"/>
  <c r="O472" i="38"/>
  <c r="O473" i="38" s="1"/>
  <c r="O465" i="38"/>
  <c r="O466" i="38"/>
  <c r="O467" i="38" s="1"/>
  <c r="O423" i="38"/>
  <c r="O424" i="38"/>
  <c r="O425" i="38" s="1"/>
  <c r="O417" i="38"/>
  <c r="O418" i="38"/>
  <c r="O419" i="38" s="1"/>
  <c r="O404" i="38"/>
  <c r="O405" i="38"/>
  <c r="O406" i="38" s="1"/>
  <c r="O398" i="38"/>
  <c r="O399" i="38"/>
  <c r="O400" i="38" s="1"/>
  <c r="O358" i="38"/>
  <c r="O359" i="38"/>
  <c r="O360" i="38" s="1"/>
  <c r="O352" i="38"/>
  <c r="O353" i="38"/>
  <c r="O354" i="38" s="1"/>
  <c r="O339" i="38"/>
  <c r="O340" i="38"/>
  <c r="O341" i="38" s="1"/>
  <c r="O333" i="38"/>
  <c r="O334" i="38"/>
  <c r="O335" i="38" s="1"/>
  <c r="O292" i="38"/>
  <c r="O293" i="38"/>
  <c r="O294" i="38" s="1"/>
  <c r="O286" i="38"/>
  <c r="O287" i="38"/>
  <c r="O288" i="38" s="1"/>
  <c r="O274" i="38"/>
  <c r="O275" i="38"/>
  <c r="O276" i="38" s="1"/>
  <c r="O268" i="38"/>
  <c r="O269" i="38"/>
  <c r="O270" i="38" s="1"/>
  <c r="O227" i="38"/>
  <c r="O228" i="38"/>
  <c r="O229" i="38" s="1"/>
  <c r="O221" i="38"/>
  <c r="O222" i="38"/>
  <c r="O223" i="38" s="1"/>
  <c r="O207" i="38"/>
  <c r="O208" i="38"/>
  <c r="O209" i="38" s="1"/>
  <c r="O201" i="38"/>
  <c r="O202" i="38"/>
  <c r="O203" i="38" s="1"/>
  <c r="O195" i="38"/>
  <c r="O196" i="38"/>
  <c r="O197" i="38" s="1"/>
  <c r="O163" i="38"/>
  <c r="O164" i="38"/>
  <c r="O165" i="38" s="1"/>
  <c r="O157" i="38"/>
  <c r="O158" i="38"/>
  <c r="O159" i="38" s="1"/>
  <c r="O143" i="38"/>
  <c r="O144" i="38"/>
  <c r="O145" i="38" s="1"/>
  <c r="O137" i="38"/>
  <c r="O138" i="38"/>
  <c r="O139" i="38" s="1"/>
  <c r="O151" i="38"/>
  <c r="O152" i="38"/>
  <c r="O153" i="38" s="1"/>
  <c r="O95" i="38"/>
  <c r="O96" i="38"/>
  <c r="O97" i="38" s="1"/>
  <c r="O89" i="38"/>
  <c r="O90" i="38"/>
  <c r="O91" i="38" s="1"/>
  <c r="O75" i="38"/>
  <c r="O76" i="38"/>
  <c r="O77" i="38" s="1"/>
  <c r="O69" i="38"/>
  <c r="O70" i="38"/>
  <c r="O71" i="38" s="1"/>
  <c r="O135" i="36"/>
  <c r="O136" i="36"/>
  <c r="O137" i="36" s="1"/>
  <c r="O129" i="36"/>
  <c r="O130" i="36"/>
  <c r="O131" i="36" s="1"/>
  <c r="O115" i="36"/>
  <c r="O116" i="36"/>
  <c r="O117" i="36" s="1"/>
  <c r="O109" i="36"/>
  <c r="O110" i="36"/>
  <c r="O111" i="36" s="1"/>
  <c r="AS112" i="36"/>
  <c r="O264" i="19"/>
  <c r="O265" i="19"/>
  <c r="O266" i="19" s="1"/>
  <c r="O257" i="19"/>
  <c r="O258" i="19"/>
  <c r="O259" i="19" s="1"/>
  <c r="O561" i="26" l="1"/>
  <c r="O562" i="26"/>
  <c r="O563" i="26" s="1"/>
  <c r="O555" i="26"/>
  <c r="O556" i="26"/>
  <c r="O557" i="26" s="1"/>
  <c r="O514" i="26"/>
  <c r="O515" i="26"/>
  <c r="O516" i="26" s="1"/>
  <c r="O520" i="26"/>
  <c r="O521" i="26"/>
  <c r="O522" i="26" s="1"/>
  <c r="O487" i="26"/>
  <c r="O488" i="26"/>
  <c r="O489" i="26" s="1"/>
  <c r="O494" i="26"/>
  <c r="O495" i="26" s="1"/>
  <c r="O493" i="26"/>
  <c r="O466" i="26"/>
  <c r="O467" i="26" s="1"/>
  <c r="O465" i="26"/>
  <c r="O460" i="26"/>
  <c r="O461" i="26" s="1"/>
  <c r="O459" i="26"/>
  <c r="O438" i="26"/>
  <c r="O439" i="26"/>
  <c r="O440" i="26" s="1"/>
  <c r="O432" i="26"/>
  <c r="O433" i="26"/>
  <c r="O434" i="26" s="1"/>
  <c r="O409" i="26"/>
  <c r="O410" i="26"/>
  <c r="O411" i="26" s="1"/>
  <c r="O403" i="26"/>
  <c r="O404" i="26"/>
  <c r="O405" i="26" s="1"/>
  <c r="O374" i="26"/>
  <c r="O375" i="26"/>
  <c r="O376" i="26" s="1"/>
  <c r="O368" i="26"/>
  <c r="O369" i="26"/>
  <c r="O370" i="26" s="1"/>
  <c r="O338" i="26"/>
  <c r="O339" i="26"/>
  <c r="O340" i="26" s="1"/>
  <c r="O332" i="26"/>
  <c r="O333" i="26"/>
  <c r="O334" i="26" s="1"/>
  <c r="O305" i="26"/>
  <c r="O306" i="26"/>
  <c r="O307" i="26" s="1"/>
  <c r="O299" i="26"/>
  <c r="O300" i="26"/>
  <c r="O301" i="26" s="1"/>
  <c r="O266" i="26"/>
  <c r="O267" i="26"/>
  <c r="O268" i="26" s="1"/>
  <c r="O272" i="26"/>
  <c r="O273" i="26"/>
  <c r="O274" i="26" s="1"/>
  <c r="O172" i="26"/>
  <c r="O173" i="26"/>
  <c r="O174" i="26" s="1"/>
  <c r="O166" i="26"/>
  <c r="O167" i="26"/>
  <c r="O168" i="26" s="1"/>
  <c r="O38" i="26"/>
  <c r="O39" i="26"/>
  <c r="O40" i="26" s="1"/>
  <c r="O32" i="26"/>
  <c r="O33" i="26"/>
  <c r="O34" i="26" s="1"/>
  <c r="O194" i="32"/>
  <c r="O195" i="32"/>
  <c r="O196" i="32" s="1"/>
  <c r="O188" i="32"/>
  <c r="O189" i="32"/>
  <c r="O190" i="32" s="1"/>
  <c r="O165" i="32"/>
  <c r="O166" i="32"/>
  <c r="O167" i="32" s="1"/>
  <c r="O159" i="32"/>
  <c r="O160" i="32"/>
  <c r="O161" i="32" s="1"/>
  <c r="O91" i="32"/>
  <c r="O92" i="32"/>
  <c r="O93" i="32" s="1"/>
  <c r="O85" i="32"/>
  <c r="O86" i="32"/>
  <c r="O87" i="32" s="1"/>
  <c r="O60" i="32"/>
  <c r="O61" i="32"/>
  <c r="O62" i="32" s="1"/>
  <c r="O54" i="32"/>
  <c r="O55" i="32"/>
  <c r="O56" i="32" s="1"/>
  <c r="O31" i="32"/>
  <c r="O32" i="32"/>
  <c r="O33" i="32" s="1"/>
  <c r="O25" i="32"/>
  <c r="O26" i="32"/>
  <c r="O27" i="32" s="1"/>
  <c r="O75" i="31" l="1"/>
  <c r="O76" i="31"/>
  <c r="O77" i="31" s="1"/>
  <c r="H68" i="31"/>
  <c r="I67" i="31"/>
  <c r="H67" i="31"/>
  <c r="L67" i="31" s="1"/>
  <c r="I66" i="31"/>
  <c r="H66" i="31"/>
  <c r="L66" i="31" s="1"/>
  <c r="I65" i="31"/>
  <c r="H65" i="31"/>
  <c r="L65" i="31" s="1"/>
  <c r="I64" i="31"/>
  <c r="H64" i="31"/>
  <c r="L64" i="31" s="1"/>
  <c r="I63" i="31"/>
  <c r="H63" i="31"/>
  <c r="L63" i="31" s="1"/>
  <c r="I62" i="31"/>
  <c r="H62" i="31"/>
  <c r="L62" i="31" s="1"/>
  <c r="I61" i="31"/>
  <c r="H61" i="31"/>
  <c r="L61" i="31" s="1"/>
  <c r="I60" i="31"/>
  <c r="H60" i="31"/>
  <c r="L60" i="31" s="1"/>
  <c r="I59" i="31"/>
  <c r="H59" i="31"/>
  <c r="L59" i="31" s="1"/>
  <c r="I58" i="31"/>
  <c r="H58" i="31"/>
  <c r="L58" i="31" s="1"/>
  <c r="I57" i="31"/>
  <c r="H57" i="31"/>
  <c r="L57" i="31" s="1"/>
  <c r="I56" i="31"/>
  <c r="H56" i="31"/>
  <c r="L56" i="31" s="1"/>
  <c r="I55" i="31"/>
  <c r="H55" i="31"/>
  <c r="L55" i="31" s="1"/>
  <c r="I54" i="31"/>
  <c r="H54" i="31"/>
  <c r="L54" i="31" s="1"/>
  <c r="I53" i="31"/>
  <c r="H53" i="31"/>
  <c r="L53" i="31" s="1"/>
  <c r="I52" i="31"/>
  <c r="H52" i="31"/>
  <c r="L52" i="31" s="1"/>
  <c r="I51" i="31"/>
  <c r="H51" i="31"/>
  <c r="L51" i="31" s="1"/>
  <c r="I50" i="31"/>
  <c r="H50" i="31"/>
  <c r="L50" i="31" s="1"/>
  <c r="O40" i="30"/>
  <c r="O41" i="30"/>
  <c r="O42" i="30" s="1"/>
  <c r="AG91" i="31"/>
  <c r="AG92" i="31"/>
  <c r="AG93" i="31" s="1"/>
  <c r="AG69" i="32"/>
  <c r="AG70" i="32"/>
  <c r="AG71" i="32" s="1"/>
  <c r="AG29" i="32"/>
  <c r="AG30" i="32"/>
  <c r="AG31" i="32" s="1"/>
  <c r="P61" i="31" l="1"/>
  <c r="P60" i="31"/>
  <c r="P53" i="31"/>
  <c r="P52" i="31"/>
  <c r="L75" i="31"/>
  <c r="P56" i="31"/>
  <c r="P64" i="31"/>
  <c r="I75" i="31"/>
  <c r="P57" i="31"/>
  <c r="P65" i="31"/>
  <c r="H75" i="31"/>
  <c r="H76" i="31"/>
  <c r="H77" i="31" s="1"/>
  <c r="P51" i="31"/>
  <c r="P55" i="31"/>
  <c r="P59" i="31"/>
  <c r="P63" i="31"/>
  <c r="P67" i="31"/>
  <c r="I76" i="31"/>
  <c r="I77" i="31" s="1"/>
  <c r="P50" i="31"/>
  <c r="P54" i="31"/>
  <c r="P58" i="31"/>
  <c r="P62" i="31"/>
  <c r="P66" i="31"/>
  <c r="L76" i="31"/>
  <c r="L77" i="31" s="1"/>
  <c r="N50" i="31"/>
  <c r="N51" i="31"/>
  <c r="N52" i="31"/>
  <c r="N53" i="31"/>
  <c r="N54" i="31"/>
  <c r="N55" i="31"/>
  <c r="N56" i="31"/>
  <c r="N57" i="31"/>
  <c r="N58" i="31"/>
  <c r="N59" i="31"/>
  <c r="N60" i="31"/>
  <c r="N61" i="31"/>
  <c r="N62" i="31"/>
  <c r="N63" i="31"/>
  <c r="N64" i="31"/>
  <c r="N65" i="31"/>
  <c r="N66" i="31"/>
  <c r="N67" i="31"/>
  <c r="D16" i="40"/>
  <c r="R276" i="40"/>
  <c r="R221" i="40"/>
  <c r="R178" i="40"/>
  <c r="R78" i="40"/>
  <c r="R53" i="40"/>
  <c r="R32" i="40"/>
  <c r="B276" i="40"/>
  <c r="B221" i="40"/>
  <c r="B178" i="40"/>
  <c r="B78" i="40"/>
  <c r="B53" i="40"/>
  <c r="B32" i="40"/>
  <c r="N75" i="31" l="1"/>
  <c r="N76" i="31"/>
  <c r="N77" i="31" s="1"/>
  <c r="P75" i="31"/>
  <c r="P76" i="31"/>
  <c r="P77" i="31" s="1"/>
  <c r="J66" i="31"/>
  <c r="M66" i="31"/>
  <c r="J64" i="31"/>
  <c r="M64" i="31"/>
  <c r="J62" i="31"/>
  <c r="M62" i="31"/>
  <c r="J60" i="31"/>
  <c r="M60" i="31"/>
  <c r="J58" i="31"/>
  <c r="M58" i="31"/>
  <c r="J56" i="31"/>
  <c r="M56" i="31"/>
  <c r="J54" i="31"/>
  <c r="M54" i="31"/>
  <c r="J52" i="31"/>
  <c r="M52" i="31"/>
  <c r="J50" i="31"/>
  <c r="M50" i="31"/>
  <c r="K66" i="31"/>
  <c r="K64" i="31"/>
  <c r="K62" i="31"/>
  <c r="K60" i="31"/>
  <c r="K58" i="31"/>
  <c r="K56" i="31"/>
  <c r="K54" i="31"/>
  <c r="K52" i="31"/>
  <c r="J67" i="31"/>
  <c r="M67" i="31"/>
  <c r="J65" i="31"/>
  <c r="M65" i="31"/>
  <c r="J63" i="31"/>
  <c r="M63" i="31"/>
  <c r="J61" i="31"/>
  <c r="M61" i="31"/>
  <c r="J59" i="31"/>
  <c r="M59" i="31"/>
  <c r="J57" i="31"/>
  <c r="M57" i="31"/>
  <c r="J55" i="31"/>
  <c r="M55" i="31"/>
  <c r="J53" i="31"/>
  <c r="M53" i="31"/>
  <c r="J51" i="31"/>
  <c r="M51" i="31"/>
  <c r="K67" i="31"/>
  <c r="K65" i="31"/>
  <c r="K63" i="31"/>
  <c r="K61" i="31"/>
  <c r="K59" i="31"/>
  <c r="K57" i="31"/>
  <c r="K55" i="31"/>
  <c r="K53" i="31"/>
  <c r="K51" i="31"/>
  <c r="K50" i="31"/>
  <c r="AG165" i="32"/>
  <c r="AG166" i="32"/>
  <c r="AG167" i="32" s="1"/>
  <c r="Z146" i="32"/>
  <c r="AD146" i="32" s="1"/>
  <c r="AA146" i="32"/>
  <c r="Z147" i="32"/>
  <c r="AD147" i="32" s="1"/>
  <c r="AA147" i="32"/>
  <c r="Z148" i="32"/>
  <c r="AA148" i="32"/>
  <c r="Z149" i="32"/>
  <c r="AD149" i="32" s="1"/>
  <c r="AA149" i="32"/>
  <c r="Z150" i="32"/>
  <c r="AD150" i="32" s="1"/>
  <c r="AA150" i="32"/>
  <c r="Z151" i="32"/>
  <c r="AD151" i="32" s="1"/>
  <c r="AA151" i="32"/>
  <c r="Z152" i="32"/>
  <c r="AD152" i="32" s="1"/>
  <c r="AA152" i="32"/>
  <c r="Z153" i="32"/>
  <c r="AH153" i="32" s="1"/>
  <c r="AA153" i="32"/>
  <c r="Z154" i="32"/>
  <c r="AH154" i="32" s="1"/>
  <c r="AA154" i="32"/>
  <c r="Z155" i="32"/>
  <c r="AH155" i="32" s="1"/>
  <c r="AA155" i="32"/>
  <c r="Z156" i="32"/>
  <c r="AH156" i="32" s="1"/>
  <c r="AA156" i="32"/>
  <c r="Z157" i="32"/>
  <c r="AH157" i="32" s="1"/>
  <c r="AA157" i="32"/>
  <c r="Z158" i="32"/>
  <c r="AA145" i="32"/>
  <c r="Z145" i="32"/>
  <c r="Z126" i="32"/>
  <c r="AD126" i="32" s="1"/>
  <c r="AA126" i="32"/>
  <c r="Z127" i="32"/>
  <c r="AD127" i="32" s="1"/>
  <c r="AA127" i="32"/>
  <c r="Z128" i="32"/>
  <c r="AH128" i="32" s="1"/>
  <c r="AA128" i="32"/>
  <c r="Z129" i="32"/>
  <c r="AH129" i="32" s="1"/>
  <c r="AA129" i="32"/>
  <c r="Z130" i="32"/>
  <c r="AH130" i="32" s="1"/>
  <c r="AA130" i="32"/>
  <c r="Z131" i="32"/>
  <c r="AH131" i="32" s="1"/>
  <c r="AA131" i="32"/>
  <c r="Z132" i="32"/>
  <c r="AD132" i="32" s="1"/>
  <c r="AA132" i="32"/>
  <c r="AG136" i="32"/>
  <c r="AG137" i="32" s="1"/>
  <c r="AG135" i="32"/>
  <c r="AA125" i="32"/>
  <c r="Z125" i="32"/>
  <c r="AG114" i="32"/>
  <c r="AG115" i="32" s="1"/>
  <c r="AG113" i="32"/>
  <c r="Z108" i="32"/>
  <c r="AA107" i="32"/>
  <c r="Z107" i="32"/>
  <c r="AH107" i="32" s="1"/>
  <c r="AA106" i="32"/>
  <c r="Z106" i="32"/>
  <c r="AH106" i="32" s="1"/>
  <c r="AA105" i="32"/>
  <c r="Z105" i="32"/>
  <c r="AH105" i="32" s="1"/>
  <c r="AG92" i="32"/>
  <c r="AG93" i="32"/>
  <c r="AG94" i="32" s="1"/>
  <c r="Z85" i="32"/>
  <c r="AA85" i="32"/>
  <c r="Z86" i="32"/>
  <c r="AH86" i="32" s="1"/>
  <c r="AA86" i="32"/>
  <c r="Z87" i="32"/>
  <c r="AA84" i="32"/>
  <c r="Z84" i="32"/>
  <c r="AH84" i="32" s="1"/>
  <c r="AG185" i="31"/>
  <c r="AG186" i="31"/>
  <c r="AG187" i="31" s="1"/>
  <c r="Z180" i="31"/>
  <c r="Z150" i="31"/>
  <c r="AH150" i="31" s="1"/>
  <c r="AA150" i="31"/>
  <c r="Z151" i="31"/>
  <c r="AH151" i="31" s="1"/>
  <c r="AA151" i="31"/>
  <c r="Z152" i="31"/>
  <c r="AA152" i="31"/>
  <c r="Z153" i="31"/>
  <c r="AH153" i="31" s="1"/>
  <c r="AA153" i="31"/>
  <c r="Z154" i="31"/>
  <c r="AH154" i="31" s="1"/>
  <c r="AA154" i="31"/>
  <c r="Z155" i="31"/>
  <c r="AH155" i="31" s="1"/>
  <c r="AA155" i="31"/>
  <c r="Z156" i="31"/>
  <c r="AH156" i="31" s="1"/>
  <c r="AA156" i="31"/>
  <c r="Z157" i="31"/>
  <c r="AH157" i="31" s="1"/>
  <c r="AA157" i="31"/>
  <c r="Z158" i="31"/>
  <c r="AD158" i="31" s="1"/>
  <c r="AA158" i="31"/>
  <c r="Z159" i="31"/>
  <c r="AH159" i="31" s="1"/>
  <c r="AA159" i="31"/>
  <c r="Z160" i="31"/>
  <c r="AH160" i="31" s="1"/>
  <c r="AA160" i="31"/>
  <c r="Z161" i="31"/>
  <c r="AA161" i="31"/>
  <c r="Z162" i="31"/>
  <c r="AD162" i="31" s="1"/>
  <c r="AA162" i="31"/>
  <c r="Z163" i="31"/>
  <c r="AH163" i="31" s="1"/>
  <c r="AA163" i="31"/>
  <c r="Z164" i="31"/>
  <c r="AA164" i="31"/>
  <c r="Z165" i="31"/>
  <c r="AH165" i="31" s="1"/>
  <c r="AA165" i="31"/>
  <c r="Z166" i="31"/>
  <c r="AA166" i="31"/>
  <c r="Z167" i="31"/>
  <c r="AA167" i="31"/>
  <c r="Z168" i="31"/>
  <c r="AH168" i="31" s="1"/>
  <c r="AA168" i="31"/>
  <c r="Z169" i="31"/>
  <c r="AH169" i="31" s="1"/>
  <c r="AA169" i="31"/>
  <c r="Z170" i="31"/>
  <c r="AD170" i="31" s="1"/>
  <c r="AA170" i="31"/>
  <c r="Z171" i="31"/>
  <c r="AH171" i="31" s="1"/>
  <c r="AA171" i="31"/>
  <c r="Z172" i="31"/>
  <c r="AH172" i="31" s="1"/>
  <c r="AA172" i="31"/>
  <c r="Z173" i="31"/>
  <c r="AH173" i="31" s="1"/>
  <c r="AA173" i="31"/>
  <c r="Z174" i="31"/>
  <c r="AH174" i="31" s="1"/>
  <c r="AA174" i="31"/>
  <c r="Z175" i="31"/>
  <c r="AA175" i="31"/>
  <c r="Z176" i="31"/>
  <c r="AH176" i="31" s="1"/>
  <c r="AA176" i="31"/>
  <c r="Z177" i="31"/>
  <c r="AH177" i="31" s="1"/>
  <c r="AA177" i="31"/>
  <c r="Z178" i="31"/>
  <c r="AD178" i="31" s="1"/>
  <c r="AA178" i="31"/>
  <c r="Z179" i="31"/>
  <c r="AH179" i="31" s="1"/>
  <c r="AA179" i="31"/>
  <c r="AG132" i="31"/>
  <c r="AG133" i="31"/>
  <c r="AG134" i="31" s="1"/>
  <c r="Z103" i="31"/>
  <c r="AH103" i="31" s="1"/>
  <c r="AA103" i="31"/>
  <c r="Z104" i="31"/>
  <c r="AH104" i="31" s="1"/>
  <c r="AA104" i="31"/>
  <c r="Z105" i="31"/>
  <c r="AD105" i="31" s="1"/>
  <c r="AA105" i="31"/>
  <c r="Z106" i="31"/>
  <c r="AH106" i="31" s="1"/>
  <c r="AA106" i="31"/>
  <c r="Z107" i="31"/>
  <c r="AH107" i="31" s="1"/>
  <c r="AA107" i="31"/>
  <c r="Z108" i="31"/>
  <c r="AH108" i="31" s="1"/>
  <c r="AA108" i="31"/>
  <c r="Z109" i="31"/>
  <c r="AH109" i="31" s="1"/>
  <c r="AA109" i="31"/>
  <c r="Z110" i="31"/>
  <c r="AH110" i="31" s="1"/>
  <c r="AA110" i="31"/>
  <c r="Z111" i="31"/>
  <c r="AD111" i="31" s="1"/>
  <c r="AA111" i="31"/>
  <c r="Z112" i="31"/>
  <c r="AD112" i="31" s="1"/>
  <c r="AA112" i="31"/>
  <c r="Z113" i="31"/>
  <c r="AH113" i="31" s="1"/>
  <c r="AA113" i="31"/>
  <c r="Z114" i="31"/>
  <c r="AH114" i="31" s="1"/>
  <c r="AA114" i="31"/>
  <c r="Z115" i="31"/>
  <c r="AD115" i="31" s="1"/>
  <c r="AA115" i="31"/>
  <c r="Z116" i="31"/>
  <c r="AD116" i="31" s="1"/>
  <c r="AA116" i="31"/>
  <c r="Z117" i="31"/>
  <c r="AH117" i="31" s="1"/>
  <c r="AA117" i="31"/>
  <c r="Z118" i="31"/>
  <c r="AH118" i="31" s="1"/>
  <c r="AA118" i="31"/>
  <c r="Z119" i="31"/>
  <c r="AD119" i="31" s="1"/>
  <c r="AA119" i="31"/>
  <c r="Z120" i="31"/>
  <c r="AD120" i="31" s="1"/>
  <c r="AA120" i="31"/>
  <c r="Z121" i="31"/>
  <c r="AH121" i="31" s="1"/>
  <c r="AA121" i="31"/>
  <c r="Z122" i="31"/>
  <c r="AH122" i="31" s="1"/>
  <c r="AA122" i="31"/>
  <c r="Z123" i="31"/>
  <c r="AH123" i="31" s="1"/>
  <c r="AA123" i="31"/>
  <c r="Z124" i="31"/>
  <c r="AH124" i="31" s="1"/>
  <c r="AA124" i="31"/>
  <c r="Z125" i="31"/>
  <c r="AA102" i="31"/>
  <c r="Z102" i="31"/>
  <c r="AA149" i="31"/>
  <c r="Z149" i="31"/>
  <c r="O141" i="31"/>
  <c r="O142" i="31"/>
  <c r="O143" i="31" s="1"/>
  <c r="H134" i="31"/>
  <c r="I134" i="31"/>
  <c r="H135" i="31"/>
  <c r="L135" i="31" s="1"/>
  <c r="I135" i="31"/>
  <c r="H136" i="31"/>
  <c r="I133" i="31"/>
  <c r="H133" i="31"/>
  <c r="O122" i="31"/>
  <c r="O123" i="31"/>
  <c r="O124" i="31" s="1"/>
  <c r="H114" i="31"/>
  <c r="I113" i="31"/>
  <c r="H113" i="31"/>
  <c r="P113" i="31" s="1"/>
  <c r="I112" i="31"/>
  <c r="H112" i="31"/>
  <c r="I111" i="31"/>
  <c r="H111" i="31"/>
  <c r="I110" i="31"/>
  <c r="H110" i="31"/>
  <c r="P110" i="31" s="1"/>
  <c r="I109" i="31"/>
  <c r="H109" i="31"/>
  <c r="I108" i="31"/>
  <c r="H108" i="31"/>
  <c r="I107" i="31"/>
  <c r="H107" i="31"/>
  <c r="I106" i="31"/>
  <c r="H106" i="31"/>
  <c r="P106" i="31" s="1"/>
  <c r="I105" i="31"/>
  <c r="H105" i="31"/>
  <c r="I104" i="31"/>
  <c r="H104" i="31"/>
  <c r="I103" i="31"/>
  <c r="H103" i="31"/>
  <c r="P103" i="31" s="1"/>
  <c r="I102" i="31"/>
  <c r="H102" i="31"/>
  <c r="P102" i="31" s="1"/>
  <c r="Z80" i="30"/>
  <c r="AD80" i="30" s="1"/>
  <c r="AA80" i="30"/>
  <c r="Z81" i="30"/>
  <c r="AD81" i="30" s="1"/>
  <c r="AA81" i="30"/>
  <c r="Z82" i="30"/>
  <c r="AD82" i="30" s="1"/>
  <c r="AA82" i="30"/>
  <c r="Z83" i="30"/>
  <c r="AG90" i="30"/>
  <c r="AG91" i="30" s="1"/>
  <c r="AG89" i="30"/>
  <c r="AA79" i="30"/>
  <c r="Z79" i="30"/>
  <c r="O89" i="30"/>
  <c r="O90" i="30"/>
  <c r="O91" i="30" s="1"/>
  <c r="I82" i="30"/>
  <c r="H82" i="30"/>
  <c r="P82" i="30" s="1"/>
  <c r="I81" i="30"/>
  <c r="H81" i="30"/>
  <c r="P81" i="30" s="1"/>
  <c r="I80" i="30"/>
  <c r="H80" i="30"/>
  <c r="P80" i="30" s="1"/>
  <c r="I79" i="30"/>
  <c r="H79" i="30"/>
  <c r="H142" i="31" l="1"/>
  <c r="H143" i="31" s="1"/>
  <c r="AD174" i="31"/>
  <c r="AD163" i="31"/>
  <c r="AH105" i="31"/>
  <c r="AD107" i="31"/>
  <c r="AF155" i="31"/>
  <c r="AB155" i="31" s="1"/>
  <c r="AD156" i="31"/>
  <c r="AD171" i="31"/>
  <c r="AF166" i="31"/>
  <c r="AE166" i="31" s="1"/>
  <c r="AH162" i="31"/>
  <c r="AD108" i="31"/>
  <c r="AD166" i="31"/>
  <c r="AD154" i="32"/>
  <c r="AD155" i="32"/>
  <c r="AD128" i="32"/>
  <c r="AD129" i="32"/>
  <c r="AD157" i="31"/>
  <c r="AH132" i="32"/>
  <c r="K75" i="31"/>
  <c r="K76" i="31"/>
  <c r="K77" i="31" s="1"/>
  <c r="AD179" i="31"/>
  <c r="I89" i="30"/>
  <c r="AD110" i="31"/>
  <c r="AF107" i="31"/>
  <c r="AB107" i="31" s="1"/>
  <c r="AD106" i="31"/>
  <c r="AF103" i="31"/>
  <c r="AE103" i="31" s="1"/>
  <c r="AF174" i="31"/>
  <c r="AE174" i="31" s="1"/>
  <c r="AD168" i="31"/>
  <c r="AD165" i="31"/>
  <c r="AD86" i="32"/>
  <c r="AF154" i="32"/>
  <c r="AE154" i="32" s="1"/>
  <c r="AD153" i="32"/>
  <c r="M75" i="31"/>
  <c r="M76" i="31"/>
  <c r="M77" i="31" s="1"/>
  <c r="AH112" i="31"/>
  <c r="J75" i="31"/>
  <c r="J76" i="31"/>
  <c r="J77" i="31" s="1"/>
  <c r="AF80" i="30"/>
  <c r="AB80" i="30" s="1"/>
  <c r="AF108" i="31"/>
  <c r="AE108" i="31" s="1"/>
  <c r="AD177" i="31"/>
  <c r="AF158" i="31"/>
  <c r="AE158" i="31" s="1"/>
  <c r="AD153" i="31"/>
  <c r="AD150" i="31"/>
  <c r="AH158" i="31"/>
  <c r="Z113" i="32"/>
  <c r="AD130" i="32"/>
  <c r="AF155" i="32"/>
  <c r="AE155" i="32" s="1"/>
  <c r="AF147" i="32"/>
  <c r="AE147" i="32" s="1"/>
  <c r="AF146" i="32"/>
  <c r="AE146" i="32" s="1"/>
  <c r="AA132" i="31"/>
  <c r="AD103" i="31"/>
  <c r="AF178" i="31"/>
  <c r="AE178" i="31" s="1"/>
  <c r="AF170" i="31"/>
  <c r="AE170" i="31" s="1"/>
  <c r="AD159" i="31"/>
  <c r="AD154" i="31"/>
  <c r="AD151" i="31"/>
  <c r="AH166" i="31"/>
  <c r="AD131" i="32"/>
  <c r="AF154" i="31"/>
  <c r="AE154" i="31" s="1"/>
  <c r="AH170" i="31"/>
  <c r="AH149" i="31"/>
  <c r="Z185" i="31"/>
  <c r="Z186" i="31"/>
  <c r="Z187" i="31" s="1"/>
  <c r="Z133" i="31"/>
  <c r="Z134" i="31" s="1"/>
  <c r="AA133" i="31"/>
  <c r="AA134" i="31" s="1"/>
  <c r="AH167" i="31"/>
  <c r="AD167" i="31"/>
  <c r="AH164" i="31"/>
  <c r="AD164" i="31"/>
  <c r="AH161" i="31"/>
  <c r="AD161" i="31"/>
  <c r="AF151" i="31"/>
  <c r="AE151" i="31" s="1"/>
  <c r="AA165" i="32"/>
  <c r="AA166" i="32"/>
  <c r="AA167" i="32" s="1"/>
  <c r="I123" i="31"/>
  <c r="I124" i="31" s="1"/>
  <c r="AF167" i="31"/>
  <c r="AF162" i="31"/>
  <c r="AE162" i="31" s="1"/>
  <c r="AH102" i="31"/>
  <c r="Z132" i="31"/>
  <c r="AD104" i="31"/>
  <c r="AF179" i="31"/>
  <c r="AE179" i="31" s="1"/>
  <c r="AD172" i="31"/>
  <c r="AF171" i="31"/>
  <c r="AE171" i="31" s="1"/>
  <c r="AF163" i="31"/>
  <c r="AE163" i="31" s="1"/>
  <c r="AH152" i="31"/>
  <c r="AD152" i="31"/>
  <c r="AD175" i="31"/>
  <c r="AH175" i="31"/>
  <c r="AF175" i="31"/>
  <c r="AH85" i="32"/>
  <c r="AH92" i="32" s="1"/>
  <c r="Z93" i="32"/>
  <c r="Z94" i="32" s="1"/>
  <c r="AD85" i="32"/>
  <c r="P79" i="30"/>
  <c r="H90" i="30"/>
  <c r="H91" i="30" s="1"/>
  <c r="H89" i="30"/>
  <c r="AD169" i="31"/>
  <c r="AA185" i="31"/>
  <c r="AA186" i="31"/>
  <c r="AA187" i="31" s="1"/>
  <c r="AF150" i="31"/>
  <c r="AE150" i="31" s="1"/>
  <c r="AH178" i="31"/>
  <c r="AA92" i="32"/>
  <c r="AA93" i="32"/>
  <c r="AA94" i="32" s="1"/>
  <c r="AF126" i="32"/>
  <c r="AC126" i="32" s="1"/>
  <c r="AF151" i="32"/>
  <c r="AE151" i="32" s="1"/>
  <c r="AF150" i="32"/>
  <c r="AB150" i="32" s="1"/>
  <c r="I90" i="30"/>
  <c r="I91" i="30" s="1"/>
  <c r="AF159" i="31"/>
  <c r="AE159" i="31" s="1"/>
  <c r="AD155" i="31"/>
  <c r="AF130" i="32"/>
  <c r="AE130" i="32" s="1"/>
  <c r="AF127" i="32"/>
  <c r="AC127" i="32" s="1"/>
  <c r="AF145" i="32"/>
  <c r="AE145" i="32" s="1"/>
  <c r="AD122" i="31"/>
  <c r="AF104" i="31"/>
  <c r="AC104" i="31" s="1"/>
  <c r="AD173" i="31"/>
  <c r="Z92" i="32"/>
  <c r="AF131" i="32"/>
  <c r="AE131" i="32" s="1"/>
  <c r="Z165" i="32"/>
  <c r="Z166" i="32"/>
  <c r="Z167" i="32" s="1"/>
  <c r="AD156" i="32"/>
  <c r="AD157" i="32"/>
  <c r="AF157" i="32"/>
  <c r="AE157" i="32" s="1"/>
  <c r="AF153" i="32"/>
  <c r="AE153" i="32" s="1"/>
  <c r="AF149" i="32"/>
  <c r="AE149" i="32" s="1"/>
  <c r="AD148" i="32"/>
  <c r="AF156" i="32"/>
  <c r="AB156" i="32" s="1"/>
  <c r="AF152" i="32"/>
  <c r="AF148" i="32"/>
  <c r="AB148" i="32" s="1"/>
  <c r="AD145" i="32"/>
  <c r="AH145" i="32"/>
  <c r="AH146" i="32"/>
  <c r="AH147" i="32"/>
  <c r="AH148" i="32"/>
  <c r="AH149" i="32"/>
  <c r="AH150" i="32"/>
  <c r="AH151" i="32"/>
  <c r="AH152" i="32"/>
  <c r="AF129" i="32"/>
  <c r="AE129" i="32" s="1"/>
  <c r="AF132" i="32"/>
  <c r="AF128" i="32"/>
  <c r="Z135" i="32"/>
  <c r="AH125" i="32"/>
  <c r="Z136" i="32"/>
  <c r="Z137" i="32" s="1"/>
  <c r="AH127" i="32"/>
  <c r="AA136" i="32"/>
  <c r="AA137" i="32" s="1"/>
  <c r="AH126" i="32"/>
  <c r="AD125" i="32"/>
  <c r="AF125" i="32"/>
  <c r="AC125" i="32" s="1"/>
  <c r="AA135" i="32"/>
  <c r="AA114" i="32"/>
  <c r="AA115" i="32" s="1"/>
  <c r="AH114" i="32"/>
  <c r="AH115" i="32" s="1"/>
  <c r="AH113" i="32"/>
  <c r="AD105" i="32"/>
  <c r="AD106" i="32"/>
  <c r="AD107" i="32"/>
  <c r="AF105" i="32"/>
  <c r="AB105" i="32" s="1"/>
  <c r="AF106" i="32"/>
  <c r="AE106" i="32" s="1"/>
  <c r="AF107" i="32"/>
  <c r="AE107" i="32" s="1"/>
  <c r="AA113" i="32"/>
  <c r="Z114" i="32"/>
  <c r="Z115" i="32" s="1"/>
  <c r="AF85" i="32"/>
  <c r="AB85" i="32" s="1"/>
  <c r="AF86" i="32"/>
  <c r="AE86" i="32" s="1"/>
  <c r="AD84" i="32"/>
  <c r="AF84" i="32"/>
  <c r="AD176" i="31"/>
  <c r="AD160" i="31"/>
  <c r="AF177" i="31"/>
  <c r="AE177" i="31" s="1"/>
  <c r="AF173" i="31"/>
  <c r="AE173" i="31" s="1"/>
  <c r="AF169" i="31"/>
  <c r="AE169" i="31" s="1"/>
  <c r="AF165" i="31"/>
  <c r="AE165" i="31" s="1"/>
  <c r="AF161" i="31"/>
  <c r="AE161" i="31" s="1"/>
  <c r="AF157" i="31"/>
  <c r="AE157" i="31" s="1"/>
  <c r="AF153" i="31"/>
  <c r="AE153" i="31" s="1"/>
  <c r="AB175" i="31"/>
  <c r="AB159" i="31"/>
  <c r="AF176" i="31"/>
  <c r="AF172" i="31"/>
  <c r="AB172" i="31" s="1"/>
  <c r="AF168" i="31"/>
  <c r="AF164" i="31"/>
  <c r="AB164" i="31" s="1"/>
  <c r="AF160" i="31"/>
  <c r="AB160" i="31" s="1"/>
  <c r="AF156" i="31"/>
  <c r="AF152" i="31"/>
  <c r="AF123" i="31"/>
  <c r="AB123" i="31" s="1"/>
  <c r="AD124" i="31"/>
  <c r="AD123" i="31"/>
  <c r="AD118" i="31"/>
  <c r="AF124" i="31"/>
  <c r="AC124" i="31" s="1"/>
  <c r="AD114" i="31"/>
  <c r="AH116" i="31"/>
  <c r="AF119" i="31"/>
  <c r="AB119" i="31" s="1"/>
  <c r="AF115" i="31"/>
  <c r="AB115" i="31" s="1"/>
  <c r="AF111" i="31"/>
  <c r="AB111" i="31" s="1"/>
  <c r="AH115" i="31"/>
  <c r="AH111" i="31"/>
  <c r="AD121" i="31"/>
  <c r="AF120" i="31"/>
  <c r="AE120" i="31" s="1"/>
  <c r="AF116" i="31"/>
  <c r="AB116" i="31" s="1"/>
  <c r="AF112" i="31"/>
  <c r="AE112" i="31" s="1"/>
  <c r="AH120" i="31"/>
  <c r="AH119" i="31"/>
  <c r="AB108" i="31"/>
  <c r="AD117" i="31"/>
  <c r="AD109" i="31"/>
  <c r="AF122" i="31"/>
  <c r="AE122" i="31" s="1"/>
  <c r="AF118" i="31"/>
  <c r="AE118" i="31" s="1"/>
  <c r="AF114" i="31"/>
  <c r="AE114" i="31" s="1"/>
  <c r="AF110" i="31"/>
  <c r="AE110" i="31" s="1"/>
  <c r="AF106" i="31"/>
  <c r="AE106" i="31" s="1"/>
  <c r="AD113" i="31"/>
  <c r="AF121" i="31"/>
  <c r="AB121" i="31" s="1"/>
  <c r="AF117" i="31"/>
  <c r="AB117" i="31" s="1"/>
  <c r="AF113" i="31"/>
  <c r="AF109" i="31"/>
  <c r="AB109" i="31" s="1"/>
  <c r="AF105" i="31"/>
  <c r="AB105" i="31" s="1"/>
  <c r="AD102" i="31"/>
  <c r="AD149" i="31"/>
  <c r="AF102" i="31"/>
  <c r="AF149" i="31"/>
  <c r="I141" i="31"/>
  <c r="N107" i="31"/>
  <c r="M107" i="31" s="1"/>
  <c r="N109" i="31"/>
  <c r="M109" i="31" s="1"/>
  <c r="H123" i="31"/>
  <c r="H124" i="31" s="1"/>
  <c r="I142" i="31"/>
  <c r="I143" i="31" s="1"/>
  <c r="I122" i="31"/>
  <c r="P109" i="31"/>
  <c r="N111" i="31"/>
  <c r="M111" i="31" s="1"/>
  <c r="N113" i="31"/>
  <c r="M113" i="31" s="1"/>
  <c r="H122" i="31"/>
  <c r="N133" i="31"/>
  <c r="K133" i="31" s="1"/>
  <c r="N135" i="31"/>
  <c r="J135" i="31" s="1"/>
  <c r="H141" i="31"/>
  <c r="L134" i="31"/>
  <c r="N134" i="31"/>
  <c r="M134" i="31" s="1"/>
  <c r="L133" i="31"/>
  <c r="P134" i="31"/>
  <c r="P135" i="31"/>
  <c r="P133" i="31"/>
  <c r="P107" i="31"/>
  <c r="N108" i="31"/>
  <c r="M108" i="31" s="1"/>
  <c r="N112" i="31"/>
  <c r="M112" i="31" s="1"/>
  <c r="N106" i="31"/>
  <c r="M106" i="31" s="1"/>
  <c r="P108" i="31"/>
  <c r="N110" i="31"/>
  <c r="M110" i="31" s="1"/>
  <c r="P112" i="31"/>
  <c r="P111" i="31"/>
  <c r="N105" i="31"/>
  <c r="M105" i="31" s="1"/>
  <c r="N104" i="31"/>
  <c r="M104" i="31" s="1"/>
  <c r="P105" i="31"/>
  <c r="N103" i="31"/>
  <c r="M103" i="31" s="1"/>
  <c r="P104" i="31"/>
  <c r="K113" i="31"/>
  <c r="L102" i="31"/>
  <c r="L103" i="31"/>
  <c r="L104" i="31"/>
  <c r="L105" i="31"/>
  <c r="L106" i="31"/>
  <c r="L107" i="31"/>
  <c r="L108" i="31"/>
  <c r="L109" i="31"/>
  <c r="L110" i="31"/>
  <c r="L111" i="31"/>
  <c r="L112" i="31"/>
  <c r="L113" i="31"/>
  <c r="N102" i="31"/>
  <c r="J103" i="31"/>
  <c r="AF81" i="30"/>
  <c r="AB81" i="30" s="1"/>
  <c r="AF82" i="30"/>
  <c r="AE82" i="30" s="1"/>
  <c r="AF79" i="30"/>
  <c r="AA90" i="30"/>
  <c r="AA91" i="30" s="1"/>
  <c r="Z89" i="30"/>
  <c r="AH79" i="30"/>
  <c r="AH80" i="30"/>
  <c r="AH81" i="30"/>
  <c r="AH82" i="30"/>
  <c r="AA89" i="30"/>
  <c r="Z90" i="30"/>
  <c r="Z91" i="30" s="1"/>
  <c r="AD79" i="30"/>
  <c r="L80" i="30"/>
  <c r="L82" i="30"/>
  <c r="N79" i="30"/>
  <c r="N80" i="30"/>
  <c r="N81" i="30"/>
  <c r="J81" i="30" s="1"/>
  <c r="N82" i="30"/>
  <c r="M82" i="30" s="1"/>
  <c r="L79" i="30"/>
  <c r="L81" i="30"/>
  <c r="AG243" i="29"/>
  <c r="AG244" i="29"/>
  <c r="AG245" i="29" s="1"/>
  <c r="Z226" i="29"/>
  <c r="AD226" i="29" s="1"/>
  <c r="AA226" i="29"/>
  <c r="Z227" i="29"/>
  <c r="AD227" i="29" s="1"/>
  <c r="AA227" i="29"/>
  <c r="Z228" i="29"/>
  <c r="AD228" i="29" s="1"/>
  <c r="AA228" i="29"/>
  <c r="Z229" i="29"/>
  <c r="AD229" i="29" s="1"/>
  <c r="AA229" i="29"/>
  <c r="Z230" i="29"/>
  <c r="AD230" i="29" s="1"/>
  <c r="AA230" i="29"/>
  <c r="Z231" i="29"/>
  <c r="AD231" i="29" s="1"/>
  <c r="AA231" i="29"/>
  <c r="Z232" i="29"/>
  <c r="AA232" i="29"/>
  <c r="Z233" i="29"/>
  <c r="AA233" i="29"/>
  <c r="Z234" i="29"/>
  <c r="AH234" i="29" s="1"/>
  <c r="AA234" i="29"/>
  <c r="Z235" i="29"/>
  <c r="AD235" i="29" s="1"/>
  <c r="AA235" i="29"/>
  <c r="Z236" i="29"/>
  <c r="AD236" i="29" s="1"/>
  <c r="AA236" i="29"/>
  <c r="Z237" i="29"/>
  <c r="AH237" i="29" s="1"/>
  <c r="AA237" i="29"/>
  <c r="Z238" i="29"/>
  <c r="AA238" i="29"/>
  <c r="Z239" i="29"/>
  <c r="AA225" i="29"/>
  <c r="Z225" i="29"/>
  <c r="AG183" i="29"/>
  <c r="AG184" i="29"/>
  <c r="AG185" i="29" s="1"/>
  <c r="Z169" i="29"/>
  <c r="AA169" i="29"/>
  <c r="Z170" i="29"/>
  <c r="AD170" i="29" s="1"/>
  <c r="AA170" i="29"/>
  <c r="Z171" i="29"/>
  <c r="AD171" i="29" s="1"/>
  <c r="AA171" i="29"/>
  <c r="Z172" i="29"/>
  <c r="AH172" i="29" s="1"/>
  <c r="AA172" i="29"/>
  <c r="Z173" i="29"/>
  <c r="AH173" i="29" s="1"/>
  <c r="AA173" i="29"/>
  <c r="Z174" i="29"/>
  <c r="AD174" i="29" s="1"/>
  <c r="AA174" i="29"/>
  <c r="Z175" i="29"/>
  <c r="AD175" i="29" s="1"/>
  <c r="AA175" i="29"/>
  <c r="Z176" i="29"/>
  <c r="AH176" i="29" s="1"/>
  <c r="AA176" i="29"/>
  <c r="Z177" i="29"/>
  <c r="AD177" i="29" s="1"/>
  <c r="AA177" i="29"/>
  <c r="Z178" i="29"/>
  <c r="AD178" i="29" s="1"/>
  <c r="AA178" i="29"/>
  <c r="Z179" i="29"/>
  <c r="AA168" i="29"/>
  <c r="Z168" i="29"/>
  <c r="AH168" i="29" s="1"/>
  <c r="O245" i="29"/>
  <c r="O246" i="29"/>
  <c r="O247" i="29" s="1"/>
  <c r="H226" i="29"/>
  <c r="I226" i="29"/>
  <c r="H227" i="29"/>
  <c r="I227" i="29"/>
  <c r="H228" i="29"/>
  <c r="L228" i="29" s="1"/>
  <c r="I228" i="29"/>
  <c r="H229" i="29"/>
  <c r="L229" i="29" s="1"/>
  <c r="I229" i="29"/>
  <c r="H230" i="29"/>
  <c r="P230" i="29" s="1"/>
  <c r="I230" i="29"/>
  <c r="H231" i="29"/>
  <c r="L231" i="29" s="1"/>
  <c r="I231" i="29"/>
  <c r="H232" i="29"/>
  <c r="L232" i="29" s="1"/>
  <c r="I232" i="29"/>
  <c r="H233" i="29"/>
  <c r="P233" i="29" s="1"/>
  <c r="I233" i="29"/>
  <c r="H234" i="29"/>
  <c r="P234" i="29" s="1"/>
  <c r="I234" i="29"/>
  <c r="H235" i="29"/>
  <c r="P235" i="29" s="1"/>
  <c r="I235" i="29"/>
  <c r="H236" i="29"/>
  <c r="L236" i="29" s="1"/>
  <c r="I236" i="29"/>
  <c r="H237" i="29"/>
  <c r="L237" i="29" s="1"/>
  <c r="I237" i="29"/>
  <c r="H238" i="29"/>
  <c r="I238" i="29"/>
  <c r="H239" i="29"/>
  <c r="P239" i="29" s="1"/>
  <c r="I239" i="29"/>
  <c r="H240" i="29"/>
  <c r="I225" i="29"/>
  <c r="H225" i="29"/>
  <c r="L225" i="29" s="1"/>
  <c r="O213" i="29"/>
  <c r="O214" i="29"/>
  <c r="O215" i="29" s="1"/>
  <c r="H205" i="29"/>
  <c r="I205" i="29"/>
  <c r="H206" i="29"/>
  <c r="P206" i="29" s="1"/>
  <c r="I206" i="29"/>
  <c r="H207" i="29"/>
  <c r="P207" i="29" s="1"/>
  <c r="I207" i="29"/>
  <c r="H208" i="29"/>
  <c r="H169" i="29"/>
  <c r="P169" i="29" s="1"/>
  <c r="I169" i="29"/>
  <c r="H170" i="29"/>
  <c r="I170" i="29"/>
  <c r="H171" i="29"/>
  <c r="I171" i="29"/>
  <c r="H172" i="29"/>
  <c r="L172" i="29" s="1"/>
  <c r="I172" i="29"/>
  <c r="H173" i="29"/>
  <c r="L173" i="29" s="1"/>
  <c r="I173" i="29"/>
  <c r="H174" i="29"/>
  <c r="I174" i="29"/>
  <c r="H175" i="29"/>
  <c r="P175" i="29" s="1"/>
  <c r="I175" i="29"/>
  <c r="H176" i="29"/>
  <c r="P176" i="29" s="1"/>
  <c r="I176" i="29"/>
  <c r="H177" i="29"/>
  <c r="L177" i="29" s="1"/>
  <c r="I177" i="29"/>
  <c r="H178" i="29"/>
  <c r="P178" i="29" s="1"/>
  <c r="I178" i="29"/>
  <c r="H179" i="29"/>
  <c r="P179" i="29" s="1"/>
  <c r="I179" i="29"/>
  <c r="H180" i="29"/>
  <c r="P180" i="29" s="1"/>
  <c r="I180" i="29"/>
  <c r="H181" i="29"/>
  <c r="P181" i="29" s="1"/>
  <c r="I181" i="29"/>
  <c r="H182" i="29"/>
  <c r="P182" i="29" s="1"/>
  <c r="I182" i="29"/>
  <c r="H183" i="29"/>
  <c r="L183" i="29" s="1"/>
  <c r="I183" i="29"/>
  <c r="H184" i="29"/>
  <c r="P184" i="29" s="1"/>
  <c r="I184" i="29"/>
  <c r="H185" i="29"/>
  <c r="P185" i="29" s="1"/>
  <c r="I185" i="29"/>
  <c r="H186" i="29"/>
  <c r="P186" i="29" s="1"/>
  <c r="I186" i="29"/>
  <c r="H187" i="29"/>
  <c r="P187" i="29" s="1"/>
  <c r="I187" i="29"/>
  <c r="H188" i="29"/>
  <c r="P188" i="29" s="1"/>
  <c r="I188" i="29"/>
  <c r="H189" i="29"/>
  <c r="P189" i="29" s="1"/>
  <c r="I189" i="29"/>
  <c r="H190" i="29"/>
  <c r="P190" i="29" s="1"/>
  <c r="I190" i="29"/>
  <c r="H191" i="29"/>
  <c r="I191" i="29"/>
  <c r="H192" i="29"/>
  <c r="P192" i="29" s="1"/>
  <c r="I192" i="29"/>
  <c r="H193" i="29"/>
  <c r="P193" i="29" s="1"/>
  <c r="I193" i="29"/>
  <c r="H194" i="29"/>
  <c r="P194" i="29" s="1"/>
  <c r="I194" i="29"/>
  <c r="H195" i="29"/>
  <c r="P195" i="29" s="1"/>
  <c r="I195" i="29"/>
  <c r="H196" i="29"/>
  <c r="L196" i="29" s="1"/>
  <c r="I196" i="29"/>
  <c r="H197" i="29"/>
  <c r="P197" i="29" s="1"/>
  <c r="I197" i="29"/>
  <c r="H198" i="29"/>
  <c r="P198" i="29" s="1"/>
  <c r="I198" i="29"/>
  <c r="H199" i="29"/>
  <c r="I199" i="29"/>
  <c r="H200" i="29"/>
  <c r="P200" i="29" s="1"/>
  <c r="I200" i="29"/>
  <c r="H201" i="29"/>
  <c r="P201" i="29" s="1"/>
  <c r="I201" i="29"/>
  <c r="H202" i="29"/>
  <c r="P202" i="29" s="1"/>
  <c r="I202" i="29"/>
  <c r="H203" i="29"/>
  <c r="P203" i="29" s="1"/>
  <c r="I203" i="29"/>
  <c r="H204" i="29"/>
  <c r="I204" i="29"/>
  <c r="H168" i="29"/>
  <c r="I168" i="29"/>
  <c r="AC155" i="31" l="1"/>
  <c r="AE155" i="31"/>
  <c r="AB151" i="31"/>
  <c r="AE80" i="30"/>
  <c r="J113" i="31"/>
  <c r="AC80" i="30"/>
  <c r="AE107" i="31"/>
  <c r="AC107" i="31"/>
  <c r="N204" i="29"/>
  <c r="M204" i="29" s="1"/>
  <c r="AF229" i="29"/>
  <c r="AE229" i="29" s="1"/>
  <c r="N175" i="29"/>
  <c r="M175" i="29" s="1"/>
  <c r="AB174" i="31"/>
  <c r="AB158" i="31"/>
  <c r="AC158" i="31"/>
  <c r="N207" i="29"/>
  <c r="M207" i="29" s="1"/>
  <c r="AE111" i="31"/>
  <c r="AB170" i="31"/>
  <c r="AC174" i="31"/>
  <c r="AC170" i="31"/>
  <c r="L195" i="29"/>
  <c r="N180" i="29"/>
  <c r="M180" i="29" s="1"/>
  <c r="L176" i="29"/>
  <c r="AB124" i="31"/>
  <c r="AC123" i="31"/>
  <c r="AB166" i="31"/>
  <c r="AC166" i="31"/>
  <c r="AC151" i="31"/>
  <c r="N176" i="29"/>
  <c r="M176" i="29" s="1"/>
  <c r="AH171" i="29"/>
  <c r="AC108" i="31"/>
  <c r="N188" i="29"/>
  <c r="M188" i="29" s="1"/>
  <c r="AB146" i="32"/>
  <c r="AB155" i="32"/>
  <c r="AC146" i="32"/>
  <c r="AC154" i="32"/>
  <c r="AC131" i="32"/>
  <c r="AB131" i="32"/>
  <c r="AB154" i="32"/>
  <c r="AH93" i="32"/>
  <c r="AH94" i="32" s="1"/>
  <c r="AC155" i="32"/>
  <c r="AE127" i="32"/>
  <c r="AB179" i="31"/>
  <c r="AB162" i="31"/>
  <c r="AB147" i="32"/>
  <c r="AC178" i="31"/>
  <c r="AB178" i="31"/>
  <c r="L200" i="29"/>
  <c r="N184" i="29"/>
  <c r="M184" i="29" s="1"/>
  <c r="L179" i="29"/>
  <c r="N191" i="29"/>
  <c r="J191" i="29" s="1"/>
  <c r="L187" i="29"/>
  <c r="L184" i="29"/>
  <c r="L207" i="29"/>
  <c r="L233" i="29"/>
  <c r="AB103" i="31"/>
  <c r="AB104" i="31"/>
  <c r="AC120" i="31"/>
  <c r="AB154" i="31"/>
  <c r="AE150" i="32"/>
  <c r="AC154" i="31"/>
  <c r="AC103" i="31"/>
  <c r="AC147" i="32"/>
  <c r="L230" i="29"/>
  <c r="AH177" i="29"/>
  <c r="AD176" i="29"/>
  <c r="J107" i="31"/>
  <c r="K106" i="31"/>
  <c r="AB120" i="31"/>
  <c r="AB169" i="31"/>
  <c r="AC130" i="32"/>
  <c r="AC179" i="31"/>
  <c r="P196" i="29"/>
  <c r="K103" i="31"/>
  <c r="M135" i="31"/>
  <c r="AB149" i="32"/>
  <c r="AC150" i="32"/>
  <c r="AB130" i="32"/>
  <c r="AF233" i="29"/>
  <c r="AE233" i="29" s="1"/>
  <c r="J204" i="29"/>
  <c r="L203" i="29"/>
  <c r="N195" i="29"/>
  <c r="J195" i="29" s="1"/>
  <c r="L188" i="29"/>
  <c r="N187" i="29"/>
  <c r="J187" i="29" s="1"/>
  <c r="N179" i="29"/>
  <c r="J179" i="29" s="1"/>
  <c r="P237" i="29"/>
  <c r="AC229" i="29"/>
  <c r="AC162" i="31"/>
  <c r="M179" i="29"/>
  <c r="I213" i="29"/>
  <c r="P204" i="29"/>
  <c r="L235" i="29"/>
  <c r="AA243" i="29"/>
  <c r="L180" i="29"/>
  <c r="L178" i="29"/>
  <c r="L175" i="29"/>
  <c r="L206" i="29"/>
  <c r="N235" i="29"/>
  <c r="M235" i="29" s="1"/>
  <c r="N231" i="29"/>
  <c r="M231" i="29" s="1"/>
  <c r="AD234" i="29"/>
  <c r="L90" i="30"/>
  <c r="L91" i="30" s="1"/>
  <c r="L89" i="30"/>
  <c r="J79" i="30"/>
  <c r="N89" i="30"/>
  <c r="N90" i="30"/>
  <c r="N91" i="30" s="1"/>
  <c r="AC82" i="30"/>
  <c r="K107" i="31"/>
  <c r="AB149" i="31"/>
  <c r="AF185" i="31"/>
  <c r="AF186" i="31"/>
  <c r="AF187" i="31" s="1"/>
  <c r="AC106" i="31"/>
  <c r="AE104" i="31"/>
  <c r="AC116" i="31"/>
  <c r="AB171" i="31"/>
  <c r="AB173" i="31"/>
  <c r="AD92" i="32"/>
  <c r="AD93" i="32"/>
  <c r="AD94" i="32" s="1"/>
  <c r="AB127" i="32"/>
  <c r="AD165" i="32"/>
  <c r="AD166" i="32"/>
  <c r="AD167" i="32" s="1"/>
  <c r="AC151" i="32"/>
  <c r="P89" i="30"/>
  <c r="P90" i="30"/>
  <c r="P91" i="30" s="1"/>
  <c r="AC163" i="31"/>
  <c r="AC159" i="31"/>
  <c r="AC102" i="31"/>
  <c r="AF132" i="31"/>
  <c r="AF133" i="31"/>
  <c r="AF134" i="31" s="1"/>
  <c r="AF165" i="32"/>
  <c r="AF166" i="32"/>
  <c r="AF167" i="32" s="1"/>
  <c r="AE175" i="31"/>
  <c r="AC175" i="31"/>
  <c r="AH132" i="31"/>
  <c r="AH133" i="31"/>
  <c r="AH134" i="31" s="1"/>
  <c r="AE167" i="31"/>
  <c r="AC167" i="31"/>
  <c r="L204" i="29"/>
  <c r="N234" i="29"/>
  <c r="M234" i="29" s="1"/>
  <c r="N227" i="29"/>
  <c r="M227" i="29" s="1"/>
  <c r="P236" i="29"/>
  <c r="AF169" i="29"/>
  <c r="AE169" i="29" s="1"/>
  <c r="AF228" i="29"/>
  <c r="AE228" i="29" s="1"/>
  <c r="AD185" i="31"/>
  <c r="AD186" i="31"/>
  <c r="AD187" i="31" s="1"/>
  <c r="AB163" i="31"/>
  <c r="AC165" i="31"/>
  <c r="AB145" i="32"/>
  <c r="AH165" i="32"/>
  <c r="AH166" i="32"/>
  <c r="AH167" i="32" s="1"/>
  <c r="AB151" i="32"/>
  <c r="I214" i="29"/>
  <c r="I215" i="29" s="1"/>
  <c r="N203" i="29"/>
  <c r="J203" i="29" s="1"/>
  <c r="L182" i="29"/>
  <c r="L239" i="29"/>
  <c r="N238" i="29"/>
  <c r="M238" i="29" s="1"/>
  <c r="L234" i="29"/>
  <c r="AF177" i="29"/>
  <c r="AB177" i="29" s="1"/>
  <c r="AH236" i="29"/>
  <c r="J106" i="31"/>
  <c r="K108" i="31"/>
  <c r="AD132" i="31"/>
  <c r="AD133" i="31"/>
  <c r="AD134" i="31" s="1"/>
  <c r="AC111" i="31"/>
  <c r="AB167" i="31"/>
  <c r="AB150" i="31"/>
  <c r="AC157" i="31"/>
  <c r="AC84" i="32"/>
  <c r="AF92" i="32"/>
  <c r="AF93" i="32"/>
  <c r="AF94" i="32" s="1"/>
  <c r="AC145" i="32"/>
  <c r="AE126" i="32"/>
  <c r="AB126" i="32"/>
  <c r="AC150" i="31"/>
  <c r="AC171" i="31"/>
  <c r="AH185" i="31"/>
  <c r="AH186" i="31"/>
  <c r="AH187" i="31" s="1"/>
  <c r="AC152" i="32"/>
  <c r="AE152" i="32"/>
  <c r="AB157" i="32"/>
  <c r="AC157" i="32"/>
  <c r="AB152" i="32"/>
  <c r="AE156" i="32"/>
  <c r="AC156" i="32"/>
  <c r="AC148" i="32"/>
  <c r="AE148" i="32"/>
  <c r="AC149" i="32"/>
  <c r="AB153" i="32"/>
  <c r="AC153" i="32"/>
  <c r="AC132" i="32"/>
  <c r="AE132" i="32"/>
  <c r="AC129" i="32"/>
  <c r="AB129" i="32"/>
  <c r="AC128" i="32"/>
  <c r="AE128" i="32"/>
  <c r="AB128" i="32"/>
  <c r="AB132" i="32"/>
  <c r="AH136" i="32"/>
  <c r="AH137" i="32" s="1"/>
  <c r="AH135" i="32"/>
  <c r="AD136" i="32"/>
  <c r="AD137" i="32" s="1"/>
  <c r="AD135" i="32"/>
  <c r="AF135" i="32"/>
  <c r="AB125" i="32"/>
  <c r="AF136" i="32"/>
  <c r="AF137" i="32" s="1"/>
  <c r="AE125" i="32"/>
  <c r="AC136" i="32"/>
  <c r="AC137" i="32" s="1"/>
  <c r="AC105" i="32"/>
  <c r="AB107" i="32"/>
  <c r="AC107" i="32"/>
  <c r="AB106" i="32"/>
  <c r="AF113" i="32"/>
  <c r="AF114" i="32"/>
  <c r="AF115" i="32" s="1"/>
  <c r="AE105" i="32"/>
  <c r="AD114" i="32"/>
  <c r="AD115" i="32" s="1"/>
  <c r="AD113" i="32"/>
  <c r="AC106" i="32"/>
  <c r="AC86" i="32"/>
  <c r="AB86" i="32"/>
  <c r="AE85" i="32"/>
  <c r="AC85" i="32"/>
  <c r="AB84" i="32"/>
  <c r="AE84" i="32"/>
  <c r="AC156" i="31"/>
  <c r="AE156" i="31"/>
  <c r="AC152" i="31"/>
  <c r="AE152" i="31"/>
  <c r="AC168" i="31"/>
  <c r="AE168" i="31"/>
  <c r="AB156" i="31"/>
  <c r="AC169" i="31"/>
  <c r="AB152" i="31"/>
  <c r="AC160" i="31"/>
  <c r="AE160" i="31"/>
  <c r="AC176" i="31"/>
  <c r="AE176" i="31"/>
  <c r="AB165" i="31"/>
  <c r="AC153" i="31"/>
  <c r="AB176" i="31"/>
  <c r="AC177" i="31"/>
  <c r="AC172" i="31"/>
  <c r="AE172" i="31"/>
  <c r="AB177" i="31"/>
  <c r="AC164" i="31"/>
  <c r="AE164" i="31"/>
  <c r="AB153" i="31"/>
  <c r="AB168" i="31"/>
  <c r="AB161" i="31"/>
  <c r="AB157" i="31"/>
  <c r="AC173" i="31"/>
  <c r="AC161" i="31"/>
  <c r="AC149" i="31"/>
  <c r="AE124" i="31"/>
  <c r="AC112" i="31"/>
  <c r="AC115" i="31"/>
  <c r="AE123" i="31"/>
  <c r="AB112" i="31"/>
  <c r="AC114" i="31"/>
  <c r="AE119" i="31"/>
  <c r="AE116" i="31"/>
  <c r="AE115" i="31"/>
  <c r="AB122" i="31"/>
  <c r="AC119" i="31"/>
  <c r="AC113" i="31"/>
  <c r="AE113" i="31"/>
  <c r="AC118" i="31"/>
  <c r="AB106" i="31"/>
  <c r="AB110" i="31"/>
  <c r="AB114" i="31"/>
  <c r="AB118" i="31"/>
  <c r="AC117" i="31"/>
  <c r="AE117" i="31"/>
  <c r="AC105" i="31"/>
  <c r="AE105" i="31"/>
  <c r="AC121" i="31"/>
  <c r="AE121" i="31"/>
  <c r="AC110" i="31"/>
  <c r="AC122" i="31"/>
  <c r="AC109" i="31"/>
  <c r="AE109" i="31"/>
  <c r="AB113" i="31"/>
  <c r="AE102" i="31"/>
  <c r="AB102" i="31"/>
  <c r="AE149" i="31"/>
  <c r="P122" i="31"/>
  <c r="J108" i="31"/>
  <c r="J104" i="31"/>
  <c r="K109" i="31"/>
  <c r="K104" i="31"/>
  <c r="P123" i="31"/>
  <c r="P124" i="31" s="1"/>
  <c r="J109" i="31"/>
  <c r="J105" i="31"/>
  <c r="K111" i="31"/>
  <c r="K135" i="31"/>
  <c r="M133" i="31"/>
  <c r="N141" i="31"/>
  <c r="N142" i="31"/>
  <c r="N143" i="31" s="1"/>
  <c r="J111" i="31"/>
  <c r="K110" i="31"/>
  <c r="J133" i="31"/>
  <c r="J110" i="31"/>
  <c r="N123" i="31"/>
  <c r="N124" i="31" s="1"/>
  <c r="N122" i="31"/>
  <c r="L122" i="31"/>
  <c r="L123" i="31"/>
  <c r="L124" i="31" s="1"/>
  <c r="K105" i="31"/>
  <c r="P142" i="31"/>
  <c r="P143" i="31" s="1"/>
  <c r="P141" i="31"/>
  <c r="L142" i="31"/>
  <c r="L143" i="31" s="1"/>
  <c r="L141" i="31"/>
  <c r="J134" i="31"/>
  <c r="K134" i="31"/>
  <c r="J112" i="31"/>
  <c r="K112" i="31"/>
  <c r="M102" i="31"/>
  <c r="K102" i="31"/>
  <c r="J102" i="31"/>
  <c r="AE81" i="30"/>
  <c r="AC81" i="30"/>
  <c r="AB82" i="30"/>
  <c r="AF90" i="30"/>
  <c r="AF91" i="30" s="1"/>
  <c r="AE79" i="30"/>
  <c r="AE90" i="30" s="1"/>
  <c r="AE91" i="30" s="1"/>
  <c r="AB79" i="30"/>
  <c r="AB89" i="30" s="1"/>
  <c r="AC79" i="30"/>
  <c r="AF89" i="30"/>
  <c r="AH90" i="30"/>
  <c r="AH91" i="30" s="1"/>
  <c r="AH89" i="30"/>
  <c r="AD90" i="30"/>
  <c r="AD91" i="30" s="1"/>
  <c r="AD89" i="30"/>
  <c r="M80" i="30"/>
  <c r="K80" i="30"/>
  <c r="J82" i="30"/>
  <c r="J80" i="30"/>
  <c r="K81" i="30"/>
  <c r="M81" i="30"/>
  <c r="K79" i="30"/>
  <c r="M79" i="30"/>
  <c r="K82" i="30"/>
  <c r="P199" i="29"/>
  <c r="L199" i="29"/>
  <c r="N199" i="29"/>
  <c r="J199" i="29" s="1"/>
  <c r="P172" i="29"/>
  <c r="H246" i="29"/>
  <c r="H247" i="29" s="1"/>
  <c r="AF173" i="29"/>
  <c r="AE173" i="29" s="1"/>
  <c r="AD232" i="29"/>
  <c r="AH232" i="29"/>
  <c r="AF232" i="29"/>
  <c r="AE232" i="29" s="1"/>
  <c r="N192" i="29"/>
  <c r="J192" i="29" s="1"/>
  <c r="P183" i="29"/>
  <c r="P191" i="29"/>
  <c r="L191" i="29"/>
  <c r="K188" i="29"/>
  <c r="N172" i="29"/>
  <c r="M172" i="29" s="1"/>
  <c r="L171" i="29"/>
  <c r="P171" i="29"/>
  <c r="N171" i="29"/>
  <c r="M171" i="29" s="1"/>
  <c r="P177" i="29"/>
  <c r="N239" i="29"/>
  <c r="M239" i="29" s="1"/>
  <c r="P226" i="29"/>
  <c r="L226" i="29"/>
  <c r="N226" i="29"/>
  <c r="M226" i="29" s="1"/>
  <c r="P232" i="29"/>
  <c r="H245" i="29"/>
  <c r="AD225" i="29"/>
  <c r="Z244" i="29"/>
  <c r="Z245" i="29" s="1"/>
  <c r="Z243" i="29"/>
  <c r="P174" i="29"/>
  <c r="L174" i="29"/>
  <c r="I245" i="29"/>
  <c r="I246" i="29"/>
  <c r="I247" i="29" s="1"/>
  <c r="P229" i="29"/>
  <c r="AH238" i="29"/>
  <c r="AD238" i="29"/>
  <c r="AH233" i="29"/>
  <c r="AD233" i="29"/>
  <c r="H214" i="29"/>
  <c r="H215" i="29" s="1"/>
  <c r="P168" i="29"/>
  <c r="H213" i="29"/>
  <c r="N168" i="29"/>
  <c r="J168" i="29" s="1"/>
  <c r="K204" i="29"/>
  <c r="N200" i="29"/>
  <c r="J200" i="29" s="1"/>
  <c r="N196" i="29"/>
  <c r="K196" i="29" s="1"/>
  <c r="L192" i="29"/>
  <c r="N183" i="29"/>
  <c r="M183" i="29" s="1"/>
  <c r="K176" i="29"/>
  <c r="P170" i="29"/>
  <c r="L170" i="29"/>
  <c r="P205" i="29"/>
  <c r="L205" i="29"/>
  <c r="P173" i="29"/>
  <c r="P238" i="29"/>
  <c r="L238" i="29"/>
  <c r="N230" i="29"/>
  <c r="M230" i="29" s="1"/>
  <c r="P227" i="29"/>
  <c r="L227" i="29"/>
  <c r="P228" i="29"/>
  <c r="AA183" i="29"/>
  <c r="AA184" i="29"/>
  <c r="AA185" i="29" s="1"/>
  <c r="Z183" i="29"/>
  <c r="AD169" i="29"/>
  <c r="AH169" i="29"/>
  <c r="AH235" i="29"/>
  <c r="AF237" i="29"/>
  <c r="AE237" i="29" s="1"/>
  <c r="P225" i="29"/>
  <c r="N225" i="29"/>
  <c r="K225" i="29" s="1"/>
  <c r="P231" i="29"/>
  <c r="AH175" i="29"/>
  <c r="AD173" i="29"/>
  <c r="AF172" i="29"/>
  <c r="AE172" i="29" s="1"/>
  <c r="Z184" i="29"/>
  <c r="Z185" i="29" s="1"/>
  <c r="AD237" i="29"/>
  <c r="AF236" i="29"/>
  <c r="AE236" i="29" s="1"/>
  <c r="AF176" i="29"/>
  <c r="AE176" i="29" s="1"/>
  <c r="AD172" i="29"/>
  <c r="AA244" i="29"/>
  <c r="AA245" i="29" s="1"/>
  <c r="AF238" i="29"/>
  <c r="AF234" i="29"/>
  <c r="AB234" i="29" s="1"/>
  <c r="AF230" i="29"/>
  <c r="AB230" i="29" s="1"/>
  <c r="AF226" i="29"/>
  <c r="AF235" i="29"/>
  <c r="AE235" i="29" s="1"/>
  <c r="AF231" i="29"/>
  <c r="AE231" i="29" s="1"/>
  <c r="AF227" i="29"/>
  <c r="AE227" i="29" s="1"/>
  <c r="AH228" i="29"/>
  <c r="AH227" i="29"/>
  <c r="AH231" i="29"/>
  <c r="AH226" i="29"/>
  <c r="AH230" i="29"/>
  <c r="AH225" i="29"/>
  <c r="AF225" i="29"/>
  <c r="AB225" i="29" s="1"/>
  <c r="AH229" i="29"/>
  <c r="AH178" i="29"/>
  <c r="AH174" i="29"/>
  <c r="AH170" i="29"/>
  <c r="AF178" i="29"/>
  <c r="AF174" i="29"/>
  <c r="AB174" i="29" s="1"/>
  <c r="AF170" i="29"/>
  <c r="AF175" i="29"/>
  <c r="AE175" i="29" s="1"/>
  <c r="AF171" i="29"/>
  <c r="AE171" i="29" s="1"/>
  <c r="AD168" i="29"/>
  <c r="AF168" i="29"/>
  <c r="AC168" i="29" s="1"/>
  <c r="J234" i="29"/>
  <c r="N236" i="29"/>
  <c r="J236" i="29" s="1"/>
  <c r="N232" i="29"/>
  <c r="J232" i="29" s="1"/>
  <c r="N228" i="29"/>
  <c r="N237" i="29"/>
  <c r="M237" i="29" s="1"/>
  <c r="N233" i="29"/>
  <c r="M233" i="29" s="1"/>
  <c r="N229" i="29"/>
  <c r="M229" i="29" s="1"/>
  <c r="J207" i="29"/>
  <c r="N205" i="29"/>
  <c r="N206" i="29"/>
  <c r="M206" i="29" s="1"/>
  <c r="K195" i="29"/>
  <c r="N185" i="29"/>
  <c r="N169" i="29"/>
  <c r="M203" i="29"/>
  <c r="N202" i="29"/>
  <c r="M202" i="29" s="1"/>
  <c r="N201" i="29"/>
  <c r="N198" i="29"/>
  <c r="M198" i="29" s="1"/>
  <c r="N197" i="29"/>
  <c r="J197" i="29" s="1"/>
  <c r="M195" i="29"/>
  <c r="N194" i="29"/>
  <c r="M194" i="29" s="1"/>
  <c r="N193" i="29"/>
  <c r="N190" i="29"/>
  <c r="M190" i="29" s="1"/>
  <c r="N189" i="29"/>
  <c r="N186" i="29"/>
  <c r="M186" i="29" s="1"/>
  <c r="N181" i="29"/>
  <c r="J181" i="29" s="1"/>
  <c r="L201" i="29"/>
  <c r="L197" i="29"/>
  <c r="L193" i="29"/>
  <c r="L189" i="29"/>
  <c r="L185" i="29"/>
  <c r="N177" i="29"/>
  <c r="J175" i="29"/>
  <c r="L169" i="29"/>
  <c r="L202" i="29"/>
  <c r="L198" i="29"/>
  <c r="L194" i="29"/>
  <c r="L190" i="29"/>
  <c r="L186" i="29"/>
  <c r="L181" i="29"/>
  <c r="K175" i="29"/>
  <c r="N173" i="29"/>
  <c r="J176" i="29"/>
  <c r="N182" i="29"/>
  <c r="M182" i="29" s="1"/>
  <c r="N178" i="29"/>
  <c r="M178" i="29" s="1"/>
  <c r="N174" i="29"/>
  <c r="M174" i="29" s="1"/>
  <c r="N170" i="29"/>
  <c r="M170" i="29" s="1"/>
  <c r="L168" i="29"/>
  <c r="AG69" i="28"/>
  <c r="AG70" i="28"/>
  <c r="AG71" i="28" s="1"/>
  <c r="O95" i="28"/>
  <c r="O96" i="28"/>
  <c r="O97" i="28" s="1"/>
  <c r="O69" i="28"/>
  <c r="O70" i="28"/>
  <c r="O71" i="28" s="1"/>
  <c r="AG98" i="28"/>
  <c r="AG99" i="28" s="1"/>
  <c r="AG97" i="28"/>
  <c r="Z94" i="28"/>
  <c r="AH94" i="28" s="1"/>
  <c r="AA93" i="28"/>
  <c r="Z93" i="28"/>
  <c r="AD93" i="28" s="1"/>
  <c r="AA92" i="28"/>
  <c r="Z92" i="28"/>
  <c r="AD92" i="28" s="1"/>
  <c r="AA91" i="28"/>
  <c r="Z91" i="28"/>
  <c r="AD91" i="28" s="1"/>
  <c r="AA90" i="28"/>
  <c r="Z90" i="28"/>
  <c r="AD90" i="28" s="1"/>
  <c r="AA89" i="28"/>
  <c r="Z89" i="28"/>
  <c r="AD89" i="28" s="1"/>
  <c r="AA88" i="28"/>
  <c r="Z88" i="28"/>
  <c r="AD88" i="28" s="1"/>
  <c r="AA87" i="28"/>
  <c r="Z87" i="28"/>
  <c r="AD87" i="28" s="1"/>
  <c r="AA86" i="28"/>
  <c r="Z86" i="28"/>
  <c r="AD86" i="28" s="1"/>
  <c r="AA85" i="28"/>
  <c r="Z85" i="28"/>
  <c r="AD85" i="28" s="1"/>
  <c r="AA84" i="28"/>
  <c r="Z84" i="28"/>
  <c r="AD84" i="28" s="1"/>
  <c r="AA83" i="28"/>
  <c r="Z83" i="28"/>
  <c r="AD83" i="28" s="1"/>
  <c r="AA82" i="28"/>
  <c r="Z82" i="28"/>
  <c r="AD82" i="28" s="1"/>
  <c r="AA81" i="28"/>
  <c r="Z81" i="28"/>
  <c r="AD81" i="28" s="1"/>
  <c r="AA80" i="28"/>
  <c r="Z80" i="28"/>
  <c r="AD80" i="28" s="1"/>
  <c r="Z64" i="28"/>
  <c r="AA63" i="28"/>
  <c r="Z63" i="28"/>
  <c r="AD63" i="28" s="1"/>
  <c r="AA62" i="28"/>
  <c r="Z62" i="28"/>
  <c r="AH62" i="28" s="1"/>
  <c r="AA61" i="28"/>
  <c r="Z61" i="28"/>
  <c r="AH61" i="28" s="1"/>
  <c r="AA60" i="28"/>
  <c r="Z60" i="28"/>
  <c r="AH60" i="28" s="1"/>
  <c r="AA59" i="28"/>
  <c r="Z59" i="28"/>
  <c r="AH59" i="28" s="1"/>
  <c r="AA58" i="28"/>
  <c r="Z58" i="28"/>
  <c r="AH58" i="28" s="1"/>
  <c r="AA57" i="28"/>
  <c r="Z57" i="28"/>
  <c r="AD57" i="28" s="1"/>
  <c r="H83" i="28"/>
  <c r="I82" i="28"/>
  <c r="H82" i="28"/>
  <c r="L82" i="28" s="1"/>
  <c r="I81" i="28"/>
  <c r="H81" i="28"/>
  <c r="L81" i="28" s="1"/>
  <c r="I80" i="28"/>
  <c r="H80" i="28"/>
  <c r="L80" i="28" s="1"/>
  <c r="H60" i="28"/>
  <c r="I59" i="28"/>
  <c r="H59" i="28"/>
  <c r="I58" i="28"/>
  <c r="H58" i="28"/>
  <c r="L58" i="28" s="1"/>
  <c r="I57" i="28"/>
  <c r="H57" i="28"/>
  <c r="L57" i="28" s="1"/>
  <c r="AG71" i="27"/>
  <c r="AG72" i="27"/>
  <c r="AG73" i="27" s="1"/>
  <c r="AG98" i="27"/>
  <c r="AG99" i="27" s="1"/>
  <c r="AG97" i="27"/>
  <c r="Z91" i="27"/>
  <c r="AH91" i="27" s="1"/>
  <c r="AA90" i="27"/>
  <c r="Z90" i="27"/>
  <c r="AD90" i="27" s="1"/>
  <c r="AA89" i="27"/>
  <c r="Z89" i="27"/>
  <c r="AD89" i="27" s="1"/>
  <c r="AA88" i="27"/>
  <c r="Z88" i="27"/>
  <c r="AD88" i="27" s="1"/>
  <c r="AA87" i="27"/>
  <c r="Z87" i="27"/>
  <c r="AD87" i="27" s="1"/>
  <c r="AA86" i="27"/>
  <c r="Z86" i="27"/>
  <c r="AD86" i="27" s="1"/>
  <c r="AA85" i="27"/>
  <c r="Z85" i="27"/>
  <c r="AD85" i="27" s="1"/>
  <c r="AA84" i="27"/>
  <c r="Z84" i="27"/>
  <c r="AD84" i="27" s="1"/>
  <c r="AA83" i="27"/>
  <c r="Z83" i="27"/>
  <c r="AD83" i="27" s="1"/>
  <c r="AA82" i="27"/>
  <c r="Z82" i="27"/>
  <c r="AD82" i="27" s="1"/>
  <c r="Z67" i="27"/>
  <c r="AA66" i="27"/>
  <c r="Z66" i="27"/>
  <c r="AD66" i="27" s="1"/>
  <c r="AA65" i="27"/>
  <c r="Z65" i="27"/>
  <c r="AD65" i="27" s="1"/>
  <c r="AA64" i="27"/>
  <c r="Z64" i="27"/>
  <c r="AH64" i="27" s="1"/>
  <c r="AA63" i="27"/>
  <c r="Z63" i="27"/>
  <c r="AD63" i="27" s="1"/>
  <c r="AA62" i="27"/>
  <c r="Z62" i="27"/>
  <c r="AD62" i="27" s="1"/>
  <c r="AA61" i="27"/>
  <c r="Z61" i="27"/>
  <c r="AD61" i="27" s="1"/>
  <c r="AA60" i="27"/>
  <c r="Z60" i="27"/>
  <c r="AH60" i="27" s="1"/>
  <c r="AA59" i="27"/>
  <c r="Z59" i="27"/>
  <c r="AD59" i="27" s="1"/>
  <c r="O99" i="27"/>
  <c r="O100" i="27"/>
  <c r="O101" i="27" s="1"/>
  <c r="H94" i="27"/>
  <c r="L94" i="27" s="1"/>
  <c r="I94" i="27"/>
  <c r="H95" i="27"/>
  <c r="L95" i="27" s="1"/>
  <c r="I95" i="27"/>
  <c r="H96" i="27"/>
  <c r="O72" i="27"/>
  <c r="O73" i="27"/>
  <c r="O74" i="27" s="1"/>
  <c r="H66" i="27"/>
  <c r="L66" i="27" s="1"/>
  <c r="I66" i="27"/>
  <c r="H67" i="27"/>
  <c r="L67" i="27" s="1"/>
  <c r="I67" i="27"/>
  <c r="H68" i="27"/>
  <c r="L68" i="27" s="1"/>
  <c r="I68" i="27"/>
  <c r="H69" i="27"/>
  <c r="H60" i="27"/>
  <c r="P60" i="27" s="1"/>
  <c r="I60" i="27"/>
  <c r="H61" i="27"/>
  <c r="L61" i="27" s="1"/>
  <c r="I61" i="27"/>
  <c r="H62" i="27"/>
  <c r="L62" i="27" s="1"/>
  <c r="I62" i="27"/>
  <c r="H63" i="27"/>
  <c r="L63" i="27" s="1"/>
  <c r="I63" i="27"/>
  <c r="H64" i="27"/>
  <c r="P64" i="27" s="1"/>
  <c r="I64" i="27"/>
  <c r="H65" i="27"/>
  <c r="L65" i="27" s="1"/>
  <c r="I65" i="27"/>
  <c r="I93" i="27"/>
  <c r="H93" i="27"/>
  <c r="L93" i="27" s="1"/>
  <c r="I92" i="27"/>
  <c r="H92" i="27"/>
  <c r="L92" i="27" s="1"/>
  <c r="I91" i="27"/>
  <c r="H91" i="27"/>
  <c r="I90" i="27"/>
  <c r="H90" i="27"/>
  <c r="L90" i="27" s="1"/>
  <c r="I89" i="27"/>
  <c r="H89" i="27"/>
  <c r="L89" i="27" s="1"/>
  <c r="I88" i="27"/>
  <c r="H88" i="27"/>
  <c r="L88" i="27" s="1"/>
  <c r="I87" i="27"/>
  <c r="H87" i="27"/>
  <c r="I86" i="27"/>
  <c r="H86" i="27"/>
  <c r="L86" i="27" s="1"/>
  <c r="I85" i="27"/>
  <c r="H85" i="27"/>
  <c r="L85" i="27" s="1"/>
  <c r="I84" i="27"/>
  <c r="H84" i="27"/>
  <c r="L84" i="27" s="1"/>
  <c r="I83" i="27"/>
  <c r="H83" i="27"/>
  <c r="I59" i="27"/>
  <c r="H59" i="27"/>
  <c r="L59" i="27" s="1"/>
  <c r="P68" i="27" l="1"/>
  <c r="N61" i="27"/>
  <c r="M61" i="27" s="1"/>
  <c r="AB229" i="29"/>
  <c r="K238" i="29"/>
  <c r="J238" i="29"/>
  <c r="L246" i="29"/>
  <c r="L247" i="29" s="1"/>
  <c r="K227" i="29"/>
  <c r="L64" i="27"/>
  <c r="AB237" i="29"/>
  <c r="M168" i="29"/>
  <c r="M187" i="29"/>
  <c r="AC232" i="29"/>
  <c r="AE89" i="30"/>
  <c r="K203" i="29"/>
  <c r="K187" i="29"/>
  <c r="J227" i="29"/>
  <c r="K207" i="29"/>
  <c r="J188" i="29"/>
  <c r="J180" i="29"/>
  <c r="K184" i="29"/>
  <c r="L95" i="28"/>
  <c r="AA69" i="28"/>
  <c r="J184" i="29"/>
  <c r="AB176" i="29"/>
  <c r="K180" i="29"/>
  <c r="AC169" i="29"/>
  <c r="K179" i="29"/>
  <c r="K230" i="29"/>
  <c r="AE165" i="32"/>
  <c r="AC228" i="29"/>
  <c r="K234" i="29"/>
  <c r="P213" i="29"/>
  <c r="AC233" i="29"/>
  <c r="K172" i="29"/>
  <c r="K235" i="29"/>
  <c r="P95" i="27"/>
  <c r="AF89" i="28"/>
  <c r="AC89" i="28" s="1"/>
  <c r="K168" i="29"/>
  <c r="J230" i="29"/>
  <c r="K233" i="29"/>
  <c r="AB228" i="29"/>
  <c r="M191" i="29"/>
  <c r="K191" i="29"/>
  <c r="AB233" i="29"/>
  <c r="AB90" i="30"/>
  <c r="AB91" i="30" s="1"/>
  <c r="K206" i="29"/>
  <c r="N95" i="27"/>
  <c r="M95" i="27" s="1"/>
  <c r="AH89" i="28"/>
  <c r="AC237" i="29"/>
  <c r="AC225" i="29"/>
  <c r="AB232" i="29"/>
  <c r="L245" i="29"/>
  <c r="AC89" i="30"/>
  <c r="AE166" i="32"/>
  <c r="AE167" i="32" s="1"/>
  <c r="AC92" i="32"/>
  <c r="AC93" i="32"/>
  <c r="AC94" i="32" s="1"/>
  <c r="J89" i="30"/>
  <c r="J90" i="30"/>
  <c r="J91" i="30" s="1"/>
  <c r="J231" i="29"/>
  <c r="M89" i="30"/>
  <c r="M90" i="30"/>
  <c r="M91" i="30" s="1"/>
  <c r="AC186" i="31"/>
  <c r="AC187" i="31" s="1"/>
  <c r="AC185" i="31"/>
  <c r="AC132" i="31"/>
  <c r="AC133" i="31"/>
  <c r="AC134" i="31" s="1"/>
  <c r="P61" i="27"/>
  <c r="I99" i="27"/>
  <c r="N68" i="27"/>
  <c r="K68" i="27" s="1"/>
  <c r="Z72" i="27"/>
  <c r="Z73" i="27" s="1"/>
  <c r="I95" i="28"/>
  <c r="AF81" i="28"/>
  <c r="AH86" i="28"/>
  <c r="J172" i="29"/>
  <c r="J171" i="29"/>
  <c r="J182" i="29"/>
  <c r="K182" i="29"/>
  <c r="M199" i="29"/>
  <c r="J235" i="29"/>
  <c r="K229" i="29"/>
  <c r="AB236" i="29"/>
  <c r="K239" i="29"/>
  <c r="K89" i="30"/>
  <c r="K90" i="30"/>
  <c r="K91" i="30" s="1"/>
  <c r="AB132" i="31"/>
  <c r="AB133" i="31"/>
  <c r="AB134" i="31" s="1"/>
  <c r="AE92" i="32"/>
  <c r="AE93" i="32"/>
  <c r="AE94" i="32" s="1"/>
  <c r="AB114" i="32"/>
  <c r="AB115" i="32" s="1"/>
  <c r="AE177" i="29"/>
  <c r="AC177" i="29"/>
  <c r="AB165" i="32"/>
  <c r="AB166" i="32"/>
  <c r="AB167" i="32" s="1"/>
  <c r="AE185" i="31"/>
  <c r="AE186" i="31"/>
  <c r="AE187" i="31" s="1"/>
  <c r="AC165" i="32"/>
  <c r="AC166" i="32"/>
  <c r="AC167" i="32" s="1"/>
  <c r="H100" i="27"/>
  <c r="H101" i="27" s="1"/>
  <c r="N65" i="27"/>
  <c r="K65" i="27" s="1"/>
  <c r="N94" i="27"/>
  <c r="M94" i="27" s="1"/>
  <c r="AA71" i="27"/>
  <c r="I69" i="28"/>
  <c r="AH81" i="28"/>
  <c r="K199" i="29"/>
  <c r="J239" i="29"/>
  <c r="J233" i="29"/>
  <c r="AB169" i="29"/>
  <c r="AE132" i="31"/>
  <c r="AE133" i="31"/>
  <c r="AE134" i="31" s="1"/>
  <c r="AB92" i="32"/>
  <c r="AB93" i="32"/>
  <c r="AB94" i="32" s="1"/>
  <c r="K231" i="29"/>
  <c r="AB185" i="31"/>
  <c r="AB186" i="31"/>
  <c r="AB187" i="31" s="1"/>
  <c r="AC135" i="32"/>
  <c r="AE136" i="32"/>
  <c r="AE137" i="32" s="1"/>
  <c r="AE135" i="32"/>
  <c r="AB135" i="32"/>
  <c r="AB136" i="32"/>
  <c r="AB137" i="32" s="1"/>
  <c r="AC114" i="32"/>
  <c r="AC115" i="32" s="1"/>
  <c r="AB113" i="32"/>
  <c r="AE114" i="32"/>
  <c r="AE115" i="32" s="1"/>
  <c r="AE113" i="32"/>
  <c r="AC113" i="32"/>
  <c r="K141" i="31"/>
  <c r="J123" i="31"/>
  <c r="J124" i="31" s="1"/>
  <c r="J122" i="31"/>
  <c r="K122" i="31"/>
  <c r="K123" i="31"/>
  <c r="K124" i="31" s="1"/>
  <c r="J142" i="31"/>
  <c r="J143" i="31" s="1"/>
  <c r="J141" i="31"/>
  <c r="K142" i="31"/>
  <c r="K143" i="31" s="1"/>
  <c r="M123" i="31"/>
  <c r="M124" i="31" s="1"/>
  <c r="M122" i="31"/>
  <c r="M141" i="31"/>
  <c r="M142" i="31"/>
  <c r="M143" i="31" s="1"/>
  <c r="AC90" i="30"/>
  <c r="AC91" i="30" s="1"/>
  <c r="I100" i="27"/>
  <c r="I101" i="27" s="1"/>
  <c r="AA72" i="27"/>
  <c r="AA73" i="27" s="1"/>
  <c r="L60" i="27"/>
  <c r="N67" i="27"/>
  <c r="M67" i="27" s="1"/>
  <c r="H99" i="27"/>
  <c r="Z98" i="27"/>
  <c r="Z99" i="27" s="1"/>
  <c r="AH85" i="28"/>
  <c r="AH93" i="28"/>
  <c r="H69" i="28"/>
  <c r="H96" i="28"/>
  <c r="H97" i="28" s="1"/>
  <c r="AA70" i="28"/>
  <c r="AA71" i="28" s="1"/>
  <c r="J178" i="29"/>
  <c r="J170" i="29"/>
  <c r="J190" i="29"/>
  <c r="P214" i="29"/>
  <c r="P215" i="29" s="1"/>
  <c r="AD184" i="29"/>
  <c r="AD185" i="29" s="1"/>
  <c r="AD183" i="29"/>
  <c r="AB173" i="29"/>
  <c r="AC175" i="29"/>
  <c r="P245" i="29"/>
  <c r="P246" i="29"/>
  <c r="P247" i="29" s="1"/>
  <c r="M196" i="29"/>
  <c r="J196" i="29"/>
  <c r="N213" i="29"/>
  <c r="N214" i="29"/>
  <c r="N215" i="29" s="1"/>
  <c r="AC172" i="29"/>
  <c r="AC236" i="29"/>
  <c r="I72" i="27"/>
  <c r="N64" i="27"/>
  <c r="M64" i="27" s="1"/>
  <c r="Z71" i="27"/>
  <c r="AH82" i="28"/>
  <c r="AH90" i="28"/>
  <c r="H70" i="28"/>
  <c r="H71" i="28" s="1"/>
  <c r="I96" i="28"/>
  <c r="I97" i="28" s="1"/>
  <c r="J226" i="29"/>
  <c r="AB172" i="29"/>
  <c r="AB175" i="29"/>
  <c r="AF243" i="29"/>
  <c r="AF244" i="29"/>
  <c r="AF245" i="29" s="1"/>
  <c r="K183" i="29"/>
  <c r="M192" i="29"/>
  <c r="K192" i="29"/>
  <c r="K226" i="29"/>
  <c r="I70" i="28"/>
  <c r="I71" i="28" s="1"/>
  <c r="L96" i="28"/>
  <c r="L97" i="28" s="1"/>
  <c r="Z69" i="28"/>
  <c r="L214" i="29"/>
  <c r="L215" i="29" s="1"/>
  <c r="L213" i="29"/>
  <c r="AH243" i="29"/>
  <c r="AH244" i="29"/>
  <c r="AH245" i="29" s="1"/>
  <c r="M200" i="29"/>
  <c r="K200" i="29"/>
  <c r="J183" i="29"/>
  <c r="Z97" i="27"/>
  <c r="AF85" i="28"/>
  <c r="AF93" i="28"/>
  <c r="AC93" i="28" s="1"/>
  <c r="H95" i="28"/>
  <c r="Z70" i="28"/>
  <c r="Z71" i="28" s="1"/>
  <c r="K190" i="29"/>
  <c r="J229" i="29"/>
  <c r="AE168" i="29"/>
  <c r="AF183" i="29"/>
  <c r="AF184" i="29"/>
  <c r="AF185" i="29" s="1"/>
  <c r="M225" i="29"/>
  <c r="N245" i="29"/>
  <c r="N246" i="29"/>
  <c r="N247" i="29" s="1"/>
  <c r="J225" i="29"/>
  <c r="AC176" i="29"/>
  <c r="AH184" i="29"/>
  <c r="AH185" i="29" s="1"/>
  <c r="AH183" i="29"/>
  <c r="AD243" i="29"/>
  <c r="AD244" i="29"/>
  <c r="AD245" i="29" s="1"/>
  <c r="AC173" i="29"/>
  <c r="K171" i="29"/>
  <c r="AE226" i="29"/>
  <c r="AC226" i="29"/>
  <c r="AE238" i="29"/>
  <c r="AC238" i="29"/>
  <c r="AC227" i="29"/>
  <c r="AE230" i="29"/>
  <c r="AC230" i="29"/>
  <c r="AB231" i="29"/>
  <c r="AC231" i="29"/>
  <c r="AB235" i="29"/>
  <c r="AC235" i="29"/>
  <c r="AE234" i="29"/>
  <c r="AC234" i="29"/>
  <c r="AB226" i="29"/>
  <c r="AB238" i="29"/>
  <c r="AB227" i="29"/>
  <c r="AE225" i="29"/>
  <c r="AE170" i="29"/>
  <c r="AC170" i="29"/>
  <c r="AE174" i="29"/>
  <c r="AC174" i="29"/>
  <c r="AE178" i="29"/>
  <c r="AC178" i="29"/>
  <c r="AB170" i="29"/>
  <c r="AB178" i="29"/>
  <c r="AB171" i="29"/>
  <c r="AC171" i="29"/>
  <c r="AB168" i="29"/>
  <c r="M228" i="29"/>
  <c r="K228" i="29"/>
  <c r="J237" i="29"/>
  <c r="M232" i="29"/>
  <c r="K232" i="29"/>
  <c r="M236" i="29"/>
  <c r="K236" i="29"/>
  <c r="K237" i="29"/>
  <c r="J228" i="29"/>
  <c r="J206" i="29"/>
  <c r="M205" i="29"/>
  <c r="K205" i="29"/>
  <c r="J205" i="29"/>
  <c r="M173" i="29"/>
  <c r="K173" i="29"/>
  <c r="M201" i="29"/>
  <c r="K201" i="29"/>
  <c r="J174" i="29"/>
  <c r="J173" i="29"/>
  <c r="M177" i="29"/>
  <c r="K177" i="29"/>
  <c r="M189" i="29"/>
  <c r="K189" i="29"/>
  <c r="J194" i="29"/>
  <c r="J201" i="29"/>
  <c r="M169" i="29"/>
  <c r="K169" i="29"/>
  <c r="M185" i="29"/>
  <c r="K185" i="29"/>
  <c r="K198" i="29"/>
  <c r="K174" i="29"/>
  <c r="J177" i="29"/>
  <c r="J189" i="29"/>
  <c r="M193" i="29"/>
  <c r="K193" i="29"/>
  <c r="J198" i="29"/>
  <c r="J169" i="29"/>
  <c r="J185" i="29"/>
  <c r="K178" i="29"/>
  <c r="M181" i="29"/>
  <c r="K181" i="29"/>
  <c r="J186" i="29"/>
  <c r="J193" i="29"/>
  <c r="M197" i="29"/>
  <c r="K197" i="29"/>
  <c r="J202" i="29"/>
  <c r="K170" i="29"/>
  <c r="K186" i="29"/>
  <c r="K194" i="29"/>
  <c r="K202" i="29"/>
  <c r="AD59" i="28"/>
  <c r="AD61" i="28"/>
  <c r="AA98" i="28"/>
  <c r="AA99" i="28" s="1"/>
  <c r="AF84" i="28"/>
  <c r="AB84" i="28" s="1"/>
  <c r="AF88" i="28"/>
  <c r="AE88" i="28" s="1"/>
  <c r="AF92" i="28"/>
  <c r="AC92" i="28" s="1"/>
  <c r="Z98" i="28"/>
  <c r="Z99" i="28" s="1"/>
  <c r="AH80" i="28"/>
  <c r="AH98" i="28" s="1"/>
  <c r="AH99" i="28" s="1"/>
  <c r="AF83" i="28"/>
  <c r="AB83" i="28" s="1"/>
  <c r="AH84" i="28"/>
  <c r="AF87" i="28"/>
  <c r="AE87" i="28" s="1"/>
  <c r="AH88" i="28"/>
  <c r="AF91" i="28"/>
  <c r="AC91" i="28" s="1"/>
  <c r="AH92" i="28"/>
  <c r="AF82" i="28"/>
  <c r="AB82" i="28" s="1"/>
  <c r="AH83" i="28"/>
  <c r="AF86" i="28"/>
  <c r="AC86" i="28" s="1"/>
  <c r="AH87" i="28"/>
  <c r="AF90" i="28"/>
  <c r="AC90" i="28" s="1"/>
  <c r="AH91" i="28"/>
  <c r="AF60" i="28"/>
  <c r="AC60" i="28" s="1"/>
  <c r="AD98" i="28"/>
  <c r="AD99" i="28" s="1"/>
  <c r="AD97" i="28"/>
  <c r="AC81" i="28"/>
  <c r="AB81" i="28"/>
  <c r="AE81" i="28"/>
  <c r="AC85" i="28"/>
  <c r="AB85" i="28"/>
  <c r="AE85" i="28"/>
  <c r="AH57" i="28"/>
  <c r="AF57" i="28"/>
  <c r="AD58" i="28"/>
  <c r="AF61" i="28"/>
  <c r="AE61" i="28" s="1"/>
  <c r="AD62" i="28"/>
  <c r="AF58" i="28"/>
  <c r="AE58" i="28" s="1"/>
  <c r="AF62" i="28"/>
  <c r="AE62" i="28" s="1"/>
  <c r="AC87" i="28"/>
  <c r="AF59" i="28"/>
  <c r="AC59" i="28" s="1"/>
  <c r="AD60" i="28"/>
  <c r="AH63" i="28"/>
  <c r="AF63" i="28"/>
  <c r="AE90" i="28"/>
  <c r="AF80" i="28"/>
  <c r="Z97" i="28"/>
  <c r="AA97" i="28"/>
  <c r="N59" i="28"/>
  <c r="J59" i="28" s="1"/>
  <c r="P59" i="28"/>
  <c r="N80" i="28"/>
  <c r="P80" i="28"/>
  <c r="N57" i="28"/>
  <c r="P57" i="28"/>
  <c r="N81" i="28"/>
  <c r="J81" i="28" s="1"/>
  <c r="P81" i="28"/>
  <c r="N58" i="28"/>
  <c r="J58" i="28" s="1"/>
  <c r="P58" i="28"/>
  <c r="L59" i="28"/>
  <c r="L69" i="28" s="1"/>
  <c r="N82" i="28"/>
  <c r="J82" i="28" s="1"/>
  <c r="P82" i="28"/>
  <c r="AH89" i="27"/>
  <c r="AH88" i="27"/>
  <c r="AH85" i="27"/>
  <c r="AH84" i="27"/>
  <c r="AA98" i="27"/>
  <c r="AA99" i="27" s="1"/>
  <c r="AH83" i="27"/>
  <c r="AH87" i="27"/>
  <c r="AH82" i="27"/>
  <c r="AH86" i="27"/>
  <c r="AH90" i="27"/>
  <c r="AD64" i="27"/>
  <c r="AD98" i="27"/>
  <c r="AD99" i="27" s="1"/>
  <c r="AD97" i="27"/>
  <c r="AD60" i="27"/>
  <c r="AF59" i="27"/>
  <c r="AF60" i="27"/>
  <c r="AF61" i="27"/>
  <c r="AE61" i="27" s="1"/>
  <c r="AF62" i="27"/>
  <c r="AE62" i="27" s="1"/>
  <c r="AF63" i="27"/>
  <c r="AE63" i="27" s="1"/>
  <c r="AF64" i="27"/>
  <c r="AE64" i="27" s="1"/>
  <c r="AF65" i="27"/>
  <c r="AE65" i="27" s="1"/>
  <c r="AF66" i="27"/>
  <c r="AE66" i="27" s="1"/>
  <c r="AH59" i="27"/>
  <c r="AH61" i="27"/>
  <c r="AH62" i="27"/>
  <c r="AH63" i="27"/>
  <c r="AH65" i="27"/>
  <c r="AH66" i="27"/>
  <c r="AF82" i="27"/>
  <c r="AB82" i="27" s="1"/>
  <c r="AF83" i="27"/>
  <c r="AB83" i="27" s="1"/>
  <c r="AF84" i="27"/>
  <c r="AB84" i="27" s="1"/>
  <c r="AF85" i="27"/>
  <c r="AB85" i="27" s="1"/>
  <c r="AF86" i="27"/>
  <c r="AB86" i="27" s="1"/>
  <c r="AF87" i="27"/>
  <c r="AB87" i="27" s="1"/>
  <c r="AF88" i="27"/>
  <c r="AB88" i="27" s="1"/>
  <c r="AF89" i="27"/>
  <c r="AE89" i="27" s="1"/>
  <c r="AF90" i="27"/>
  <c r="AE90" i="27" s="1"/>
  <c r="AA97" i="27"/>
  <c r="M65" i="27"/>
  <c r="L72" i="27"/>
  <c r="L73" i="27"/>
  <c r="L74" i="27" s="1"/>
  <c r="N60" i="27"/>
  <c r="M60" i="27" s="1"/>
  <c r="H72" i="27"/>
  <c r="K61" i="27"/>
  <c r="H73" i="27"/>
  <c r="H74" i="27" s="1"/>
  <c r="I73" i="27"/>
  <c r="I74" i="27" s="1"/>
  <c r="K95" i="27"/>
  <c r="K94" i="27"/>
  <c r="J94" i="27"/>
  <c r="J95" i="27"/>
  <c r="M68" i="27"/>
  <c r="N66" i="27"/>
  <c r="M66" i="27" s="1"/>
  <c r="P62" i="27"/>
  <c r="J61" i="27"/>
  <c r="P63" i="27"/>
  <c r="N62" i="27"/>
  <c r="N63" i="27"/>
  <c r="M63" i="27" s="1"/>
  <c r="N59" i="27"/>
  <c r="P66" i="27"/>
  <c r="P67" i="27"/>
  <c r="N83" i="27"/>
  <c r="P83" i="27"/>
  <c r="N87" i="27"/>
  <c r="P87" i="27"/>
  <c r="N91" i="27"/>
  <c r="J91" i="27" s="1"/>
  <c r="P91" i="27"/>
  <c r="N84" i="27"/>
  <c r="J84" i="27" s="1"/>
  <c r="P84" i="27"/>
  <c r="N88" i="27"/>
  <c r="P88" i="27"/>
  <c r="N92" i="27"/>
  <c r="J92" i="27" s="1"/>
  <c r="P92" i="27"/>
  <c r="N85" i="27"/>
  <c r="J85" i="27" s="1"/>
  <c r="P85" i="27"/>
  <c r="N89" i="27"/>
  <c r="J89" i="27" s="1"/>
  <c r="P89" i="27"/>
  <c r="N93" i="27"/>
  <c r="P93" i="27"/>
  <c r="P59" i="27"/>
  <c r="P65" i="27"/>
  <c r="L83" i="27"/>
  <c r="N86" i="27"/>
  <c r="J86" i="27" s="1"/>
  <c r="P86" i="27"/>
  <c r="L87" i="27"/>
  <c r="N90" i="27"/>
  <c r="J90" i="27" s="1"/>
  <c r="P90" i="27"/>
  <c r="L91" i="27"/>
  <c r="P94" i="27"/>
  <c r="AE92" i="28" l="1"/>
  <c r="AB88" i="28"/>
  <c r="AB89" i="28"/>
  <c r="AB86" i="28"/>
  <c r="AE89" i="28"/>
  <c r="J67" i="27"/>
  <c r="J68" i="27"/>
  <c r="AE93" i="28"/>
  <c r="K67" i="27"/>
  <c r="K64" i="27"/>
  <c r="AE91" i="28"/>
  <c r="AC61" i="28"/>
  <c r="AC88" i="28"/>
  <c r="AB244" i="29"/>
  <c r="AB245" i="29" s="1"/>
  <c r="AC243" i="29"/>
  <c r="AB91" i="28"/>
  <c r="AE86" i="28"/>
  <c r="L70" i="28"/>
  <c r="L71" i="28" s="1"/>
  <c r="AE82" i="28"/>
  <c r="AC183" i="29"/>
  <c r="M214" i="29"/>
  <c r="M215" i="29" s="1"/>
  <c r="J60" i="27"/>
  <c r="AE84" i="28"/>
  <c r="J213" i="29"/>
  <c r="J64" i="27"/>
  <c r="K60" i="27"/>
  <c r="AD71" i="27"/>
  <c r="AB90" i="28"/>
  <c r="AC82" i="28"/>
  <c r="AC83" i="28"/>
  <c r="AC84" i="28"/>
  <c r="AD69" i="28"/>
  <c r="AB93" i="28"/>
  <c r="K214" i="29"/>
  <c r="K215" i="29" s="1"/>
  <c r="M213" i="29"/>
  <c r="K246" i="29"/>
  <c r="K247" i="29" s="1"/>
  <c r="K245" i="29"/>
  <c r="J66" i="27"/>
  <c r="J65" i="27"/>
  <c r="K213" i="29"/>
  <c r="AC184" i="29"/>
  <c r="AC185" i="29" s="1"/>
  <c r="K63" i="27"/>
  <c r="AD70" i="28"/>
  <c r="AD71" i="28" s="1"/>
  <c r="P69" i="28"/>
  <c r="P70" i="28"/>
  <c r="P71" i="28" s="1"/>
  <c r="AB87" i="28"/>
  <c r="AH69" i="28"/>
  <c r="AH70" i="28"/>
  <c r="AH71" i="28" s="1"/>
  <c r="M245" i="29"/>
  <c r="M246" i="29"/>
  <c r="M247" i="29" s="1"/>
  <c r="AC244" i="29"/>
  <c r="AC245" i="29" s="1"/>
  <c r="J214" i="29"/>
  <c r="J215" i="29" s="1"/>
  <c r="AB243" i="29"/>
  <c r="J83" i="27"/>
  <c r="N99" i="27"/>
  <c r="N100" i="27"/>
  <c r="N101" i="27" s="1"/>
  <c r="P95" i="28"/>
  <c r="P96" i="28"/>
  <c r="P97" i="28" s="1"/>
  <c r="L99" i="27"/>
  <c r="L100" i="27"/>
  <c r="L101" i="27" s="1"/>
  <c r="P99" i="27"/>
  <c r="P100" i="27"/>
  <c r="P101" i="27" s="1"/>
  <c r="AH71" i="27"/>
  <c r="AH72" i="27"/>
  <c r="AH73" i="27" s="1"/>
  <c r="AB59" i="27"/>
  <c r="AF71" i="27"/>
  <c r="AF72" i="27"/>
  <c r="AF73" i="27" s="1"/>
  <c r="J57" i="28"/>
  <c r="N69" i="28"/>
  <c r="N70" i="28"/>
  <c r="N71" i="28" s="1"/>
  <c r="AE243" i="29"/>
  <c r="AE244" i="29"/>
  <c r="AE245" i="29" s="1"/>
  <c r="J245" i="29"/>
  <c r="J246" i="29"/>
  <c r="J247" i="29" s="1"/>
  <c r="AB183" i="29"/>
  <c r="AB184" i="29"/>
  <c r="AB185" i="29" s="1"/>
  <c r="AD72" i="27"/>
  <c r="AD73" i="27" s="1"/>
  <c r="J80" i="28"/>
  <c r="N95" i="28"/>
  <c r="N96" i="28"/>
  <c r="N97" i="28" s="1"/>
  <c r="AC57" i="28"/>
  <c r="AF69" i="28"/>
  <c r="AF70" i="28"/>
  <c r="AF71" i="28" s="1"/>
  <c r="AE183" i="29"/>
  <c r="AE184" i="29"/>
  <c r="AE185" i="29" s="1"/>
  <c r="AC62" i="28"/>
  <c r="AB57" i="28"/>
  <c r="AB61" i="28"/>
  <c r="AH97" i="28"/>
  <c r="AB92" i="28"/>
  <c r="AE83" i="28"/>
  <c r="AE63" i="28"/>
  <c r="AB63" i="28"/>
  <c r="AB58" i="28"/>
  <c r="AE59" i="28"/>
  <c r="AB59" i="28"/>
  <c r="AE57" i="28"/>
  <c r="AB62" i="28"/>
  <c r="AC63" i="28"/>
  <c r="AF97" i="28"/>
  <c r="AC80" i="28"/>
  <c r="AB80" i="28"/>
  <c r="AF98" i="28"/>
  <c r="AF99" i="28" s="1"/>
  <c r="AE80" i="28"/>
  <c r="AC58" i="28"/>
  <c r="AE60" i="28"/>
  <c r="AB60" i="28"/>
  <c r="M82" i="28"/>
  <c r="K82" i="28"/>
  <c r="M58" i="28"/>
  <c r="K58" i="28"/>
  <c r="M59" i="28"/>
  <c r="K59" i="28"/>
  <c r="M57" i="28"/>
  <c r="K57" i="28"/>
  <c r="M80" i="28"/>
  <c r="K80" i="28"/>
  <c r="M81" i="28"/>
  <c r="K81" i="28"/>
  <c r="AB90" i="27"/>
  <c r="AH98" i="27"/>
  <c r="AH99" i="27" s="1"/>
  <c r="AH97" i="27"/>
  <c r="AC61" i="27"/>
  <c r="AC64" i="27"/>
  <c r="AC90" i="27"/>
  <c r="AB65" i="27"/>
  <c r="AB61" i="27"/>
  <c r="AB63" i="27"/>
  <c r="AC63" i="27"/>
  <c r="AE60" i="27"/>
  <c r="AC60" i="27"/>
  <c r="AB89" i="27"/>
  <c r="AB97" i="27" s="1"/>
  <c r="AB66" i="27"/>
  <c r="AB64" i="27"/>
  <c r="AB62" i="27"/>
  <c r="AB60" i="27"/>
  <c r="AC88" i="27"/>
  <c r="AE88" i="27"/>
  <c r="AC86" i="27"/>
  <c r="AE86" i="27"/>
  <c r="AC84" i="27"/>
  <c r="AE84" i="27"/>
  <c r="AF97" i="27"/>
  <c r="AC82" i="27"/>
  <c r="AF98" i="27"/>
  <c r="AF99" i="27" s="1"/>
  <c r="AE82" i="27"/>
  <c r="AE59" i="27"/>
  <c r="AC59" i="27"/>
  <c r="AC89" i="27"/>
  <c r="AC65" i="27"/>
  <c r="AC66" i="27"/>
  <c r="AC87" i="27"/>
  <c r="AE87" i="27"/>
  <c r="AC85" i="27"/>
  <c r="AE85" i="27"/>
  <c r="AC83" i="27"/>
  <c r="AE83" i="27"/>
  <c r="AC62" i="27"/>
  <c r="K59" i="27"/>
  <c r="N72" i="27"/>
  <c r="N73" i="27"/>
  <c r="N74" i="27" s="1"/>
  <c r="P72" i="27"/>
  <c r="P73" i="27"/>
  <c r="P74" i="27" s="1"/>
  <c r="J63" i="27"/>
  <c r="K66" i="27"/>
  <c r="M62" i="27"/>
  <c r="K62" i="27"/>
  <c r="J62" i="27"/>
  <c r="M93" i="27"/>
  <c r="K93" i="27"/>
  <c r="M88" i="27"/>
  <c r="K88" i="27"/>
  <c r="M87" i="27"/>
  <c r="K87" i="27"/>
  <c r="M92" i="27"/>
  <c r="K92" i="27"/>
  <c r="M91" i="27"/>
  <c r="K91" i="27"/>
  <c r="M85" i="27"/>
  <c r="K85" i="27"/>
  <c r="M90" i="27"/>
  <c r="K90" i="27"/>
  <c r="M86" i="27"/>
  <c r="K86" i="27"/>
  <c r="J93" i="27"/>
  <c r="M89" i="27"/>
  <c r="K89" i="27"/>
  <c r="J88" i="27"/>
  <c r="M84" i="27"/>
  <c r="K84" i="27"/>
  <c r="J87" i="27"/>
  <c r="M83" i="27"/>
  <c r="K83" i="27"/>
  <c r="M59" i="27"/>
  <c r="J59" i="27"/>
  <c r="O67" i="33"/>
  <c r="N67" i="33"/>
  <c r="M67" i="33"/>
  <c r="L67" i="33"/>
  <c r="O66" i="33"/>
  <c r="N66" i="33"/>
  <c r="M66" i="33"/>
  <c r="L66" i="33"/>
  <c r="G67" i="33"/>
  <c r="F67" i="33"/>
  <c r="E67" i="33"/>
  <c r="D67" i="33"/>
  <c r="G66" i="33"/>
  <c r="F66" i="33"/>
  <c r="E66" i="33"/>
  <c r="AB69" i="28" l="1"/>
  <c r="AB70" i="28"/>
  <c r="AB71" i="28" s="1"/>
  <c r="K99" i="27"/>
  <c r="K100" i="27"/>
  <c r="K101" i="27" s="1"/>
  <c r="K95" i="28"/>
  <c r="K96" i="28"/>
  <c r="K97" i="28" s="1"/>
  <c r="AE69" i="28"/>
  <c r="AE70" i="28"/>
  <c r="AE71" i="28" s="1"/>
  <c r="AC69" i="28"/>
  <c r="AC70" i="28"/>
  <c r="AC71" i="28" s="1"/>
  <c r="AB71" i="27"/>
  <c r="AB72" i="27"/>
  <c r="AB73" i="27" s="1"/>
  <c r="K69" i="28"/>
  <c r="K70" i="28"/>
  <c r="K71" i="28" s="1"/>
  <c r="M99" i="27"/>
  <c r="M100" i="27"/>
  <c r="M101" i="27" s="1"/>
  <c r="AC71" i="27"/>
  <c r="AC72" i="27"/>
  <c r="AC73" i="27" s="1"/>
  <c r="M95" i="28"/>
  <c r="M96" i="28"/>
  <c r="M97" i="28" s="1"/>
  <c r="J69" i="28"/>
  <c r="J70" i="28"/>
  <c r="J71" i="28" s="1"/>
  <c r="AE72" i="27"/>
  <c r="AE73" i="27" s="1"/>
  <c r="AE71" i="27"/>
  <c r="M69" i="28"/>
  <c r="M70" i="28"/>
  <c r="M71" i="28" s="1"/>
  <c r="J95" i="28"/>
  <c r="J96" i="28"/>
  <c r="J97" i="28" s="1"/>
  <c r="J99" i="27"/>
  <c r="J100" i="27"/>
  <c r="J101" i="27" s="1"/>
  <c r="AB97" i="28"/>
  <c r="AB98" i="28"/>
  <c r="AB99" i="28" s="1"/>
  <c r="AC98" i="28"/>
  <c r="AC99" i="28" s="1"/>
  <c r="AC97" i="28"/>
  <c r="AE98" i="28"/>
  <c r="AE99" i="28" s="1"/>
  <c r="AE97" i="28"/>
  <c r="AC98" i="27"/>
  <c r="AC99" i="27" s="1"/>
  <c r="AC97" i="27"/>
  <c r="AB98" i="27"/>
  <c r="AB99" i="27" s="1"/>
  <c r="AE98" i="27"/>
  <c r="AE99" i="27" s="1"/>
  <c r="AE97" i="27"/>
  <c r="J72" i="27"/>
  <c r="J73" i="27"/>
  <c r="J74" i="27" s="1"/>
  <c r="M72" i="27"/>
  <c r="M73" i="27"/>
  <c r="M74" i="27" s="1"/>
  <c r="K72" i="27"/>
  <c r="K73" i="27"/>
  <c r="K74" i="27" s="1"/>
  <c r="O67" i="46"/>
  <c r="O68" i="46"/>
  <c r="O69" i="46" s="1"/>
  <c r="H40" i="46"/>
  <c r="L40" i="46" s="1"/>
  <c r="I40" i="46"/>
  <c r="H41" i="46"/>
  <c r="L41" i="46" s="1"/>
  <c r="I41" i="46"/>
  <c r="H42" i="46"/>
  <c r="P42" i="46" s="1"/>
  <c r="I42" i="46"/>
  <c r="H43" i="46"/>
  <c r="L43" i="46" s="1"/>
  <c r="I43" i="46"/>
  <c r="H44" i="46"/>
  <c r="L44" i="46" s="1"/>
  <c r="I44" i="46"/>
  <c r="H45" i="46"/>
  <c r="L45" i="46" s="1"/>
  <c r="I45" i="46"/>
  <c r="H46" i="46"/>
  <c r="L46" i="46" s="1"/>
  <c r="I46" i="46"/>
  <c r="H47" i="46"/>
  <c r="L47" i="46" s="1"/>
  <c r="I47" i="46"/>
  <c r="H48" i="46"/>
  <c r="L48" i="46" s="1"/>
  <c r="I48" i="46"/>
  <c r="H49" i="46"/>
  <c r="L49" i="46" s="1"/>
  <c r="I49" i="46"/>
  <c r="H50" i="46"/>
  <c r="L50" i="46" s="1"/>
  <c r="I50" i="46"/>
  <c r="H51" i="46"/>
  <c r="L51" i="46" s="1"/>
  <c r="I51" i="46"/>
  <c r="H52" i="46"/>
  <c r="L52" i="46" s="1"/>
  <c r="I52" i="46"/>
  <c r="H53" i="46"/>
  <c r="L53" i="46" s="1"/>
  <c r="I53" i="46"/>
  <c r="H54" i="46"/>
  <c r="L54" i="46" s="1"/>
  <c r="I54" i="46"/>
  <c r="H55" i="46"/>
  <c r="P55" i="46" s="1"/>
  <c r="I55" i="46"/>
  <c r="H56" i="46"/>
  <c r="P56" i="46" s="1"/>
  <c r="I56" i="46"/>
  <c r="H57" i="46"/>
  <c r="L57" i="46" s="1"/>
  <c r="I57" i="46"/>
  <c r="H58" i="46"/>
  <c r="L58" i="46" s="1"/>
  <c r="I58" i="46"/>
  <c r="H59" i="46"/>
  <c r="L59" i="46" s="1"/>
  <c r="I59" i="46"/>
  <c r="H60" i="46"/>
  <c r="P60" i="46" s="1"/>
  <c r="I60" i="46"/>
  <c r="H61" i="46"/>
  <c r="P61" i="46" s="1"/>
  <c r="I61" i="46"/>
  <c r="H62" i="46"/>
  <c r="L62" i="46" s="1"/>
  <c r="I62" i="46"/>
  <c r="H63" i="46"/>
  <c r="L63" i="46" s="1"/>
  <c r="I63" i="46"/>
  <c r="O29" i="46"/>
  <c r="O30" i="46"/>
  <c r="O31" i="46" s="1"/>
  <c r="H25" i="46"/>
  <c r="P25" i="46" s="1"/>
  <c r="I25" i="46"/>
  <c r="I39" i="46"/>
  <c r="H39" i="46"/>
  <c r="P39" i="46" s="1"/>
  <c r="I24" i="46"/>
  <c r="H24" i="46"/>
  <c r="P24" i="46" s="1"/>
  <c r="I23" i="46"/>
  <c r="H23" i="46"/>
  <c r="P23" i="46" s="1"/>
  <c r="I22" i="46"/>
  <c r="H22" i="46"/>
  <c r="P22" i="46" s="1"/>
  <c r="I21" i="46"/>
  <c r="H21" i="46"/>
  <c r="P21" i="46" s="1"/>
  <c r="I20" i="46"/>
  <c r="H20" i="46"/>
  <c r="P20" i="46" s="1"/>
  <c r="I19" i="46"/>
  <c r="H19" i="46"/>
  <c r="P19" i="46" s="1"/>
  <c r="I18" i="46"/>
  <c r="H18" i="46"/>
  <c r="P18" i="46" s="1"/>
  <c r="I17" i="46"/>
  <c r="H17" i="46"/>
  <c r="P17" i="46" s="1"/>
  <c r="I16" i="46"/>
  <c r="H16" i="46"/>
  <c r="P16" i="46" s="1"/>
  <c r="I15" i="46"/>
  <c r="H15" i="46"/>
  <c r="P15" i="46" s="1"/>
  <c r="I14" i="46"/>
  <c r="H14" i="46"/>
  <c r="P14" i="46" s="1"/>
  <c r="I13" i="46"/>
  <c r="H13" i="46"/>
  <c r="P13" i="46" s="1"/>
  <c r="I12" i="46"/>
  <c r="H12" i="46"/>
  <c r="P12" i="46" s="1"/>
  <c r="I11" i="46"/>
  <c r="H11" i="46"/>
  <c r="P11" i="46" s="1"/>
  <c r="I10" i="46"/>
  <c r="H10" i="46"/>
  <c r="P10" i="46" s="1"/>
  <c r="I9" i="46"/>
  <c r="H9" i="46"/>
  <c r="P9" i="46" s="1"/>
  <c r="I8" i="46"/>
  <c r="H8" i="46"/>
  <c r="P8" i="46" s="1"/>
  <c r="I7" i="46"/>
  <c r="H7" i="46"/>
  <c r="P7" i="46" s="1"/>
  <c r="O52" i="45"/>
  <c r="O53" i="45"/>
  <c r="O54" i="45" s="1"/>
  <c r="H48" i="45"/>
  <c r="I47" i="45"/>
  <c r="H47" i="45"/>
  <c r="P47" i="45" s="1"/>
  <c r="I46" i="45"/>
  <c r="H46" i="45"/>
  <c r="P46" i="45" s="1"/>
  <c r="I45" i="45"/>
  <c r="H45" i="45"/>
  <c r="P45" i="45" s="1"/>
  <c r="I44" i="45"/>
  <c r="H44" i="45"/>
  <c r="P44" i="45" s="1"/>
  <c r="I43" i="45"/>
  <c r="H43" i="45"/>
  <c r="P43" i="45" s="1"/>
  <c r="I42" i="45"/>
  <c r="H42" i="45"/>
  <c r="P42" i="45" s="1"/>
  <c r="I41" i="45"/>
  <c r="H41" i="45"/>
  <c r="P41" i="45" s="1"/>
  <c r="I40" i="45"/>
  <c r="H40" i="45"/>
  <c r="P40" i="45" s="1"/>
  <c r="I39" i="45"/>
  <c r="H39" i="45"/>
  <c r="P39" i="45" s="1"/>
  <c r="O30" i="45"/>
  <c r="O31" i="45" s="1"/>
  <c r="O29" i="45"/>
  <c r="H25" i="45"/>
  <c r="I24" i="45"/>
  <c r="H24" i="45"/>
  <c r="P24" i="45" s="1"/>
  <c r="I23" i="45"/>
  <c r="H23" i="45"/>
  <c r="P23" i="45" s="1"/>
  <c r="I22" i="45"/>
  <c r="H22" i="45"/>
  <c r="P22" i="45" s="1"/>
  <c r="I21" i="45"/>
  <c r="H21" i="45"/>
  <c r="P21" i="45" s="1"/>
  <c r="I20" i="45"/>
  <c r="H20" i="45"/>
  <c r="P20" i="45" s="1"/>
  <c r="I19" i="45"/>
  <c r="H19" i="45"/>
  <c r="P19" i="45" s="1"/>
  <c r="I18" i="45"/>
  <c r="H18" i="45"/>
  <c r="P18" i="45" s="1"/>
  <c r="I17" i="45"/>
  <c r="H17" i="45"/>
  <c r="P17" i="45" s="1"/>
  <c r="I16" i="45"/>
  <c r="H16" i="45"/>
  <c r="P16" i="45" s="1"/>
  <c r="I15" i="45"/>
  <c r="H15" i="45"/>
  <c r="P15" i="45" s="1"/>
  <c r="I14" i="45"/>
  <c r="H14" i="45"/>
  <c r="P14" i="45" s="1"/>
  <c r="I13" i="45"/>
  <c r="H13" i="45"/>
  <c r="I12" i="45"/>
  <c r="H12" i="45"/>
  <c r="I11" i="45"/>
  <c r="H11" i="45"/>
  <c r="I10" i="45"/>
  <c r="H10" i="45"/>
  <c r="I9" i="45"/>
  <c r="H9" i="45"/>
  <c r="I8" i="45"/>
  <c r="H8" i="45"/>
  <c r="I7" i="45"/>
  <c r="H7" i="45"/>
  <c r="O71" i="44"/>
  <c r="O72" i="44"/>
  <c r="O73" i="44" s="1"/>
  <c r="H65" i="44"/>
  <c r="I64" i="44"/>
  <c r="H64" i="44"/>
  <c r="P64" i="44" s="1"/>
  <c r="I63" i="44"/>
  <c r="H63" i="44"/>
  <c r="P63" i="44" s="1"/>
  <c r="I62" i="44"/>
  <c r="H62" i="44"/>
  <c r="P62" i="44" s="1"/>
  <c r="I61" i="44"/>
  <c r="H61" i="44"/>
  <c r="P61" i="44" s="1"/>
  <c r="I60" i="44"/>
  <c r="H60" i="44"/>
  <c r="P60" i="44" s="1"/>
  <c r="I59" i="44"/>
  <c r="H59" i="44"/>
  <c r="P59" i="44" s="1"/>
  <c r="I58" i="44"/>
  <c r="H58" i="44"/>
  <c r="P58" i="44" s="1"/>
  <c r="I57" i="44"/>
  <c r="H57" i="44"/>
  <c r="P57" i="44" s="1"/>
  <c r="I56" i="44"/>
  <c r="H56" i="44"/>
  <c r="P56" i="44" s="1"/>
  <c r="I55" i="44"/>
  <c r="H55" i="44"/>
  <c r="P55" i="44" s="1"/>
  <c r="I54" i="44"/>
  <c r="H54" i="44"/>
  <c r="P54" i="44" s="1"/>
  <c r="I53" i="44"/>
  <c r="H53" i="44"/>
  <c r="P53" i="44" s="1"/>
  <c r="I52" i="44"/>
  <c r="H52" i="44"/>
  <c r="P52" i="44" s="1"/>
  <c r="I51" i="44"/>
  <c r="H51" i="44"/>
  <c r="P51" i="44" s="1"/>
  <c r="I50" i="44"/>
  <c r="H50" i="44"/>
  <c r="P50" i="44" s="1"/>
  <c r="I49" i="44"/>
  <c r="H49" i="44"/>
  <c r="P49" i="44" s="1"/>
  <c r="I48" i="44"/>
  <c r="H48" i="44"/>
  <c r="P48" i="44" s="1"/>
  <c r="I47" i="44"/>
  <c r="H47" i="44"/>
  <c r="P47" i="44" s="1"/>
  <c r="I46" i="44"/>
  <c r="H46" i="44"/>
  <c r="P46" i="44" s="1"/>
  <c r="I45" i="44"/>
  <c r="H45" i="44"/>
  <c r="P45" i="44" s="1"/>
  <c r="I44" i="44"/>
  <c r="H44" i="44"/>
  <c r="P44" i="44" s="1"/>
  <c r="O34" i="44"/>
  <c r="O35" i="44"/>
  <c r="O36" i="44" s="1"/>
  <c r="H29" i="44"/>
  <c r="I28" i="44"/>
  <c r="H28" i="44"/>
  <c r="P28" i="44" s="1"/>
  <c r="I27" i="44"/>
  <c r="H27" i="44"/>
  <c r="P27" i="44" s="1"/>
  <c r="I26" i="44"/>
  <c r="H26" i="44"/>
  <c r="I25" i="44"/>
  <c r="H25" i="44"/>
  <c r="L25" i="44" s="1"/>
  <c r="I24" i="44"/>
  <c r="H24" i="44"/>
  <c r="P24" i="44" s="1"/>
  <c r="I23" i="44"/>
  <c r="H23" i="44"/>
  <c r="P23" i="44" s="1"/>
  <c r="I22" i="44"/>
  <c r="H22" i="44"/>
  <c r="I21" i="44"/>
  <c r="H21" i="44"/>
  <c r="L21" i="44" s="1"/>
  <c r="I20" i="44"/>
  <c r="H20" i="44"/>
  <c r="P20" i="44" s="1"/>
  <c r="I19" i="44"/>
  <c r="H19" i="44"/>
  <c r="P19" i="44" s="1"/>
  <c r="I18" i="44"/>
  <c r="H18" i="44"/>
  <c r="P18" i="44" s="1"/>
  <c r="I17" i="44"/>
  <c r="H17" i="44"/>
  <c r="L17" i="44" s="1"/>
  <c r="I16" i="44"/>
  <c r="H16" i="44"/>
  <c r="P16" i="44" s="1"/>
  <c r="I15" i="44"/>
  <c r="H15" i="44"/>
  <c r="P15" i="44" s="1"/>
  <c r="I14" i="44"/>
  <c r="H14" i="44"/>
  <c r="I13" i="44"/>
  <c r="H13" i="44"/>
  <c r="I12" i="44"/>
  <c r="H12" i="44"/>
  <c r="I11" i="44"/>
  <c r="H11" i="44"/>
  <c r="P11" i="44" s="1"/>
  <c r="I10" i="44"/>
  <c r="H10" i="44"/>
  <c r="I9" i="44"/>
  <c r="H9" i="44"/>
  <c r="I8" i="44"/>
  <c r="H8" i="44"/>
  <c r="P8" i="44" s="1"/>
  <c r="I7" i="44"/>
  <c r="H7" i="44"/>
  <c r="P7" i="44" s="1"/>
  <c r="O120" i="1"/>
  <c r="L60" i="46" l="1"/>
  <c r="P54" i="46"/>
  <c r="P51" i="46"/>
  <c r="N44" i="46"/>
  <c r="M44" i="46" s="1"/>
  <c r="I71" i="44"/>
  <c r="I35" i="44"/>
  <c r="I36" i="44" s="1"/>
  <c r="N26" i="44"/>
  <c r="M26" i="44" s="1"/>
  <c r="N25" i="46"/>
  <c r="M25" i="46" s="1"/>
  <c r="H29" i="45"/>
  <c r="P40" i="46"/>
  <c r="P52" i="46"/>
  <c r="L42" i="46"/>
  <c r="N52" i="46"/>
  <c r="K52" i="46" s="1"/>
  <c r="N40" i="46"/>
  <c r="K40" i="46" s="1"/>
  <c r="P43" i="46"/>
  <c r="N60" i="46"/>
  <c r="M60" i="46" s="1"/>
  <c r="I72" i="44"/>
  <c r="I73" i="44" s="1"/>
  <c r="I67" i="46"/>
  <c r="N56" i="46"/>
  <c r="M56" i="46" s="1"/>
  <c r="N12" i="44"/>
  <c r="K12" i="44" s="1"/>
  <c r="N14" i="44"/>
  <c r="J14" i="44" s="1"/>
  <c r="P58" i="46"/>
  <c r="P48" i="46"/>
  <c r="K44" i="46"/>
  <c r="M52" i="46"/>
  <c r="H68" i="46"/>
  <c r="H69" i="46" s="1"/>
  <c r="I34" i="44"/>
  <c r="H71" i="44"/>
  <c r="P44" i="46"/>
  <c r="N63" i="46"/>
  <c r="J63" i="46" s="1"/>
  <c r="L56" i="46"/>
  <c r="N55" i="46"/>
  <c r="M55" i="46" s="1"/>
  <c r="N48" i="46"/>
  <c r="J48" i="46" s="1"/>
  <c r="N43" i="46"/>
  <c r="M43" i="46" s="1"/>
  <c r="H35" i="44"/>
  <c r="H36" i="44" s="1"/>
  <c r="N23" i="44"/>
  <c r="M23" i="44" s="1"/>
  <c r="P71" i="44"/>
  <c r="H72" i="44"/>
  <c r="H73" i="44" s="1"/>
  <c r="H30" i="45"/>
  <c r="H31" i="45" s="1"/>
  <c r="H52" i="45"/>
  <c r="P46" i="46"/>
  <c r="L25" i="46"/>
  <c r="L55" i="46"/>
  <c r="N47" i="46"/>
  <c r="J47" i="46" s="1"/>
  <c r="P25" i="44"/>
  <c r="H34" i="44"/>
  <c r="N17" i="45"/>
  <c r="J17" i="45" s="1"/>
  <c r="I29" i="46"/>
  <c r="P47" i="46"/>
  <c r="P50" i="46"/>
  <c r="N59" i="46"/>
  <c r="M59" i="46" s="1"/>
  <c r="N51" i="46"/>
  <c r="J51" i="46" s="1"/>
  <c r="H67" i="46"/>
  <c r="I68" i="46"/>
  <c r="I69" i="46" s="1"/>
  <c r="J43" i="46"/>
  <c r="P41" i="46"/>
  <c r="P45" i="46"/>
  <c r="J52" i="46"/>
  <c r="M51" i="46"/>
  <c r="P62" i="46"/>
  <c r="P57" i="46"/>
  <c r="P53" i="46"/>
  <c r="P49" i="46"/>
  <c r="N61" i="46"/>
  <c r="J61" i="46" s="1"/>
  <c r="N57" i="46"/>
  <c r="J57" i="46" s="1"/>
  <c r="N53" i="46"/>
  <c r="J53" i="46" s="1"/>
  <c r="N49" i="46"/>
  <c r="N45" i="46"/>
  <c r="J45" i="46" s="1"/>
  <c r="N41" i="46"/>
  <c r="J41" i="46" s="1"/>
  <c r="L61" i="46"/>
  <c r="N62" i="46"/>
  <c r="M62" i="46" s="1"/>
  <c r="N58" i="46"/>
  <c r="M58" i="46" s="1"/>
  <c r="N54" i="46"/>
  <c r="M54" i="46" s="1"/>
  <c r="N50" i="46"/>
  <c r="M50" i="46" s="1"/>
  <c r="N46" i="46"/>
  <c r="M46" i="46" s="1"/>
  <c r="N42" i="46"/>
  <c r="M42" i="46" s="1"/>
  <c r="P63" i="46"/>
  <c r="P59" i="46"/>
  <c r="I30" i="46"/>
  <c r="I31" i="46" s="1"/>
  <c r="H29" i="46"/>
  <c r="H30" i="46"/>
  <c r="H31" i="46" s="1"/>
  <c r="P29" i="46"/>
  <c r="P30" i="46"/>
  <c r="P31" i="46" s="1"/>
  <c r="L7" i="46"/>
  <c r="L8" i="46"/>
  <c r="L9" i="46"/>
  <c r="L10" i="46"/>
  <c r="L11" i="46"/>
  <c r="L12" i="46"/>
  <c r="L13" i="46"/>
  <c r="L14" i="46"/>
  <c r="L15" i="46"/>
  <c r="L16" i="46"/>
  <c r="L17" i="46"/>
  <c r="L18" i="46"/>
  <c r="L19" i="46"/>
  <c r="L20" i="46"/>
  <c r="L21" i="46"/>
  <c r="L22" i="46"/>
  <c r="L23" i="46"/>
  <c r="L24" i="46"/>
  <c r="L39" i="46"/>
  <c r="N7" i="46"/>
  <c r="J7" i="46" s="1"/>
  <c r="N8" i="46"/>
  <c r="N9" i="46"/>
  <c r="M9" i="46" s="1"/>
  <c r="N10" i="46"/>
  <c r="M10" i="46" s="1"/>
  <c r="N11" i="46"/>
  <c r="M11" i="46" s="1"/>
  <c r="N12" i="46"/>
  <c r="M12" i="46" s="1"/>
  <c r="N13" i="46"/>
  <c r="M13" i="46" s="1"/>
  <c r="N14" i="46"/>
  <c r="M14" i="46" s="1"/>
  <c r="N15" i="46"/>
  <c r="M15" i="46" s="1"/>
  <c r="N16" i="46"/>
  <c r="M16" i="46" s="1"/>
  <c r="N17" i="46"/>
  <c r="M17" i="46" s="1"/>
  <c r="N18" i="46"/>
  <c r="M18" i="46" s="1"/>
  <c r="N19" i="46"/>
  <c r="M19" i="46" s="1"/>
  <c r="N20" i="46"/>
  <c r="M20" i="46" s="1"/>
  <c r="N21" i="46"/>
  <c r="M21" i="46" s="1"/>
  <c r="N22" i="46"/>
  <c r="M22" i="46" s="1"/>
  <c r="N23" i="46"/>
  <c r="M23" i="46" s="1"/>
  <c r="N24" i="46"/>
  <c r="M24" i="46" s="1"/>
  <c r="N39" i="46"/>
  <c r="P52" i="45"/>
  <c r="P53" i="45"/>
  <c r="P54" i="45" s="1"/>
  <c r="I52" i="45"/>
  <c r="L22" i="45"/>
  <c r="L46" i="45"/>
  <c r="H53" i="45"/>
  <c r="H54" i="45" s="1"/>
  <c r="I53" i="45"/>
  <c r="I54" i="45" s="1"/>
  <c r="L40" i="45"/>
  <c r="L47" i="45"/>
  <c r="L20" i="45"/>
  <c r="L14" i="45"/>
  <c r="L16" i="45"/>
  <c r="P72" i="44"/>
  <c r="P73" i="44" s="1"/>
  <c r="L42" i="45"/>
  <c r="L45" i="45"/>
  <c r="L44" i="45"/>
  <c r="L18" i="45"/>
  <c r="N7" i="45"/>
  <c r="K7" i="45" s="1"/>
  <c r="N9" i="45"/>
  <c r="M9" i="45" s="1"/>
  <c r="N11" i="45"/>
  <c r="M11" i="45" s="1"/>
  <c r="N13" i="45"/>
  <c r="M13" i="45" s="1"/>
  <c r="N8" i="45"/>
  <c r="M8" i="45" s="1"/>
  <c r="N10" i="45"/>
  <c r="M10" i="45" s="1"/>
  <c r="N12" i="45"/>
  <c r="M12" i="45" s="1"/>
  <c r="L24" i="45"/>
  <c r="L9" i="45"/>
  <c r="L10" i="45"/>
  <c r="P7" i="45"/>
  <c r="P8" i="45"/>
  <c r="P9" i="45"/>
  <c r="P10" i="45"/>
  <c r="P11" i="45"/>
  <c r="P12" i="45"/>
  <c r="P13" i="45"/>
  <c r="L39" i="45"/>
  <c r="N40" i="45"/>
  <c r="K40" i="45" s="1"/>
  <c r="L41" i="45"/>
  <c r="N42" i="45"/>
  <c r="K42" i="45" s="1"/>
  <c r="L43" i="45"/>
  <c r="N44" i="45"/>
  <c r="N46" i="45"/>
  <c r="K46" i="45" s="1"/>
  <c r="N19" i="45"/>
  <c r="K19" i="45" s="1"/>
  <c r="N21" i="45"/>
  <c r="N23" i="45"/>
  <c r="K23" i="45" s="1"/>
  <c r="L7" i="45"/>
  <c r="L8" i="45"/>
  <c r="L11" i="45"/>
  <c r="L12" i="45"/>
  <c r="L13" i="45"/>
  <c r="N15" i="45"/>
  <c r="K15" i="45" s="1"/>
  <c r="I30" i="45"/>
  <c r="I31" i="45" s="1"/>
  <c r="I29" i="45"/>
  <c r="N39" i="45"/>
  <c r="N41" i="45"/>
  <c r="M41" i="45" s="1"/>
  <c r="N43" i="45"/>
  <c r="M43" i="45" s="1"/>
  <c r="N45" i="45"/>
  <c r="M45" i="45" s="1"/>
  <c r="N47" i="45"/>
  <c r="M47" i="45" s="1"/>
  <c r="N14" i="45"/>
  <c r="M14" i="45" s="1"/>
  <c r="L15" i="45"/>
  <c r="N16" i="45"/>
  <c r="M16" i="45" s="1"/>
  <c r="L17" i="45"/>
  <c r="N18" i="45"/>
  <c r="M18" i="45" s="1"/>
  <c r="L19" i="45"/>
  <c r="N20" i="45"/>
  <c r="M20" i="45" s="1"/>
  <c r="L21" i="45"/>
  <c r="N22" i="45"/>
  <c r="M22" i="45" s="1"/>
  <c r="L23" i="45"/>
  <c r="N24" i="45"/>
  <c r="M24" i="45" s="1"/>
  <c r="L64" i="44"/>
  <c r="L61" i="44"/>
  <c r="L51" i="44"/>
  <c r="L54" i="44"/>
  <c r="L57" i="44"/>
  <c r="L58" i="44"/>
  <c r="L60" i="44"/>
  <c r="L62" i="44"/>
  <c r="L63" i="44"/>
  <c r="N44" i="44"/>
  <c r="N45" i="44"/>
  <c r="M45" i="44" s="1"/>
  <c r="N46" i="44"/>
  <c r="M46" i="44" s="1"/>
  <c r="N47" i="44"/>
  <c r="M47" i="44" s="1"/>
  <c r="N48" i="44"/>
  <c r="M48" i="44" s="1"/>
  <c r="N49" i="44"/>
  <c r="M49" i="44" s="1"/>
  <c r="N50" i="44"/>
  <c r="M50" i="44" s="1"/>
  <c r="N51" i="44"/>
  <c r="M51" i="44" s="1"/>
  <c r="N52" i="44"/>
  <c r="M52" i="44" s="1"/>
  <c r="N53" i="44"/>
  <c r="M53" i="44" s="1"/>
  <c r="N54" i="44"/>
  <c r="M54" i="44" s="1"/>
  <c r="N55" i="44"/>
  <c r="M55" i="44" s="1"/>
  <c r="N56" i="44"/>
  <c r="M56" i="44" s="1"/>
  <c r="N57" i="44"/>
  <c r="M57" i="44" s="1"/>
  <c r="N58" i="44"/>
  <c r="M58" i="44" s="1"/>
  <c r="N59" i="44"/>
  <c r="M59" i="44" s="1"/>
  <c r="N60" i="44"/>
  <c r="M60" i="44" s="1"/>
  <c r="N61" i="44"/>
  <c r="M61" i="44" s="1"/>
  <c r="N62" i="44"/>
  <c r="M62" i="44" s="1"/>
  <c r="N63" i="44"/>
  <c r="M63" i="44" s="1"/>
  <c r="N64" i="44"/>
  <c r="M64" i="44" s="1"/>
  <c r="L44" i="44"/>
  <c r="L45" i="44"/>
  <c r="L46" i="44"/>
  <c r="L47" i="44"/>
  <c r="L48" i="44"/>
  <c r="L49" i="44"/>
  <c r="L50" i="44"/>
  <c r="L52" i="44"/>
  <c r="L53" i="44"/>
  <c r="L55" i="44"/>
  <c r="L56" i="44"/>
  <c r="L59" i="44"/>
  <c r="N15" i="44"/>
  <c r="J15" i="44" s="1"/>
  <c r="N17" i="44"/>
  <c r="M17" i="44" s="1"/>
  <c r="P17" i="44"/>
  <c r="N22" i="44"/>
  <c r="M22" i="44" s="1"/>
  <c r="N9" i="44"/>
  <c r="N19" i="44"/>
  <c r="M19" i="44" s="1"/>
  <c r="N10" i="44"/>
  <c r="J10" i="44" s="1"/>
  <c r="N13" i="44"/>
  <c r="K13" i="44" s="1"/>
  <c r="N8" i="44"/>
  <c r="J8" i="44" s="1"/>
  <c r="P12" i="44"/>
  <c r="P10" i="44"/>
  <c r="P9" i="44"/>
  <c r="N11" i="44"/>
  <c r="M11" i="44" s="1"/>
  <c r="P13" i="44"/>
  <c r="N18" i="44"/>
  <c r="M18" i="44" s="1"/>
  <c r="P21" i="44"/>
  <c r="N25" i="44"/>
  <c r="M25" i="44" s="1"/>
  <c r="P26" i="44"/>
  <c r="N27" i="44"/>
  <c r="M27" i="44" s="1"/>
  <c r="P14" i="44"/>
  <c r="N21" i="44"/>
  <c r="M21" i="44" s="1"/>
  <c r="P22" i="44"/>
  <c r="J26" i="44"/>
  <c r="M12" i="44"/>
  <c r="L20" i="44"/>
  <c r="L24" i="44"/>
  <c r="L7" i="44"/>
  <c r="L8" i="44"/>
  <c r="L9" i="44"/>
  <c r="L10" i="44"/>
  <c r="L11" i="44"/>
  <c r="L12" i="44"/>
  <c r="L13" i="44"/>
  <c r="L14" i="44"/>
  <c r="L15" i="44"/>
  <c r="N16" i="44"/>
  <c r="J16" i="44" s="1"/>
  <c r="L19" i="44"/>
  <c r="N20" i="44"/>
  <c r="J20" i="44" s="1"/>
  <c r="L23" i="44"/>
  <c r="N24" i="44"/>
  <c r="J24" i="44" s="1"/>
  <c r="L27" i="44"/>
  <c r="N28" i="44"/>
  <c r="J28" i="44" s="1"/>
  <c r="L16" i="44"/>
  <c r="L28" i="44"/>
  <c r="L18" i="44"/>
  <c r="L22" i="44"/>
  <c r="L26" i="44"/>
  <c r="N7" i="44"/>
  <c r="G137" i="16"/>
  <c r="G138" i="16"/>
  <c r="G136" i="16"/>
  <c r="G149" i="16"/>
  <c r="G148" i="16"/>
  <c r="G147" i="16"/>
  <c r="G162" i="16"/>
  <c r="G161" i="16"/>
  <c r="G160" i="16"/>
  <c r="G159" i="16"/>
  <c r="G158" i="16"/>
  <c r="G176" i="16"/>
  <c r="G172" i="16"/>
  <c r="G173" i="16"/>
  <c r="G174" i="16"/>
  <c r="G175" i="16"/>
  <c r="G171" i="16"/>
  <c r="G185" i="16"/>
  <c r="G186" i="16"/>
  <c r="G187" i="16"/>
  <c r="G188" i="16"/>
  <c r="G189" i="16"/>
  <c r="G190" i="16"/>
  <c r="G191" i="16"/>
  <c r="G192" i="16"/>
  <c r="G201" i="16"/>
  <c r="G202" i="16"/>
  <c r="G203" i="16"/>
  <c r="G204" i="16"/>
  <c r="G205" i="16"/>
  <c r="G206" i="16"/>
  <c r="G207" i="16"/>
  <c r="G208" i="16"/>
  <c r="G209" i="16"/>
  <c r="G210" i="16"/>
  <c r="EL61" i="16"/>
  <c r="EM61" i="16"/>
  <c r="EL62" i="16"/>
  <c r="EM62" i="16"/>
  <c r="EE63" i="16"/>
  <c r="EF63" i="16"/>
  <c r="EG63" i="16"/>
  <c r="EH63" i="16"/>
  <c r="EI63" i="16"/>
  <c r="EJ63" i="16"/>
  <c r="EK63" i="16"/>
  <c r="EL63" i="16"/>
  <c r="EM63" i="16"/>
  <c r="EE64" i="16"/>
  <c r="EF64" i="16"/>
  <c r="EG64" i="16"/>
  <c r="EH64" i="16"/>
  <c r="EI64" i="16"/>
  <c r="EJ64" i="16"/>
  <c r="EK64" i="16"/>
  <c r="EL64" i="16"/>
  <c r="EM64" i="16"/>
  <c r="EE65" i="16"/>
  <c r="EF65" i="16"/>
  <c r="EG65" i="16"/>
  <c r="EH65" i="16"/>
  <c r="EI65" i="16"/>
  <c r="EJ65" i="16"/>
  <c r="EK65" i="16"/>
  <c r="EL65" i="16"/>
  <c r="EM65" i="16"/>
  <c r="EE66" i="16"/>
  <c r="EF66" i="16"/>
  <c r="EG66" i="16"/>
  <c r="EH66" i="16"/>
  <c r="EI66" i="16"/>
  <c r="EJ66" i="16"/>
  <c r="EK66" i="16"/>
  <c r="EL66" i="16"/>
  <c r="EM66" i="16"/>
  <c r="EE67" i="16"/>
  <c r="EF67" i="16"/>
  <c r="EG67" i="16"/>
  <c r="EH67" i="16"/>
  <c r="EI67" i="16"/>
  <c r="EJ67" i="16"/>
  <c r="EK67" i="16"/>
  <c r="EL67" i="16"/>
  <c r="EM67" i="16"/>
  <c r="EE68" i="16"/>
  <c r="EF68" i="16"/>
  <c r="EG68" i="16"/>
  <c r="EH68" i="16"/>
  <c r="EI68" i="16"/>
  <c r="EJ68" i="16"/>
  <c r="EK68" i="16"/>
  <c r="EL68" i="16"/>
  <c r="EM68" i="16"/>
  <c r="EE69" i="16"/>
  <c r="EF69" i="16"/>
  <c r="EG69" i="16"/>
  <c r="EH69" i="16"/>
  <c r="EI69" i="16"/>
  <c r="EJ69" i="16"/>
  <c r="EK69" i="16"/>
  <c r="EL69" i="16"/>
  <c r="EM69" i="16"/>
  <c r="EE70" i="16"/>
  <c r="EF70" i="16"/>
  <c r="EG70" i="16"/>
  <c r="EH70" i="16"/>
  <c r="EI70" i="16"/>
  <c r="EJ70" i="16"/>
  <c r="EK70" i="16"/>
  <c r="EL70" i="16"/>
  <c r="EM70" i="16"/>
  <c r="EE71" i="16"/>
  <c r="EF71" i="16"/>
  <c r="EG71" i="16"/>
  <c r="EH71" i="16"/>
  <c r="EI71" i="16"/>
  <c r="EJ71" i="16"/>
  <c r="EK71" i="16"/>
  <c r="EL71" i="16"/>
  <c r="EM71" i="16"/>
  <c r="EE72" i="16"/>
  <c r="EF72" i="16"/>
  <c r="EG72" i="16"/>
  <c r="EH72" i="16"/>
  <c r="EI72" i="16"/>
  <c r="EJ72" i="16"/>
  <c r="EK72" i="16"/>
  <c r="EL72" i="16"/>
  <c r="EM72" i="16"/>
  <c r="EE73" i="16"/>
  <c r="EF73" i="16"/>
  <c r="EG73" i="16"/>
  <c r="EH73" i="16"/>
  <c r="EI73" i="16"/>
  <c r="EJ73" i="16"/>
  <c r="EK73" i="16"/>
  <c r="EL73" i="16"/>
  <c r="EM73" i="16"/>
  <c r="EE74" i="16"/>
  <c r="EF74" i="16"/>
  <c r="EG74" i="16"/>
  <c r="EH74" i="16"/>
  <c r="EI74" i="16"/>
  <c r="EJ74" i="16"/>
  <c r="EK74" i="16"/>
  <c r="EL74" i="16"/>
  <c r="EM74" i="16"/>
  <c r="EE75" i="16"/>
  <c r="EF75" i="16"/>
  <c r="EG75" i="16"/>
  <c r="EH75" i="16"/>
  <c r="EI75" i="16"/>
  <c r="EJ75" i="16"/>
  <c r="EK75" i="16"/>
  <c r="EL75" i="16"/>
  <c r="EM75" i="16"/>
  <c r="EL60" i="16"/>
  <c r="EM60" i="16"/>
  <c r="EL34" i="16"/>
  <c r="EM34" i="16"/>
  <c r="EL35" i="16"/>
  <c r="EM35" i="16"/>
  <c r="EE36" i="16"/>
  <c r="EF36" i="16"/>
  <c r="EG36" i="16"/>
  <c r="EH36" i="16"/>
  <c r="EI36" i="16"/>
  <c r="EJ36" i="16"/>
  <c r="EK36" i="16"/>
  <c r="EL36" i="16"/>
  <c r="EM36" i="16"/>
  <c r="EE37" i="16"/>
  <c r="EF37" i="16"/>
  <c r="EG37" i="16"/>
  <c r="EH37" i="16"/>
  <c r="EI37" i="16"/>
  <c r="EJ37" i="16"/>
  <c r="EK37" i="16"/>
  <c r="EL37" i="16"/>
  <c r="EM37" i="16"/>
  <c r="EE38" i="16"/>
  <c r="EF38" i="16"/>
  <c r="EG38" i="16"/>
  <c r="EH38" i="16"/>
  <c r="EI38" i="16"/>
  <c r="EJ38" i="16"/>
  <c r="EK38" i="16"/>
  <c r="EL38" i="16"/>
  <c r="EM38" i="16"/>
  <c r="EE39" i="16"/>
  <c r="EF39" i="16"/>
  <c r="EG39" i="16"/>
  <c r="EH39" i="16"/>
  <c r="EI39" i="16"/>
  <c r="EJ39" i="16"/>
  <c r="EK39" i="16"/>
  <c r="EL39" i="16"/>
  <c r="EM39" i="16"/>
  <c r="EE40" i="16"/>
  <c r="EF40" i="16"/>
  <c r="EG40" i="16"/>
  <c r="EH40" i="16"/>
  <c r="EI40" i="16"/>
  <c r="EJ40" i="16"/>
  <c r="EK40" i="16"/>
  <c r="EL40" i="16"/>
  <c r="EM40" i="16"/>
  <c r="EE41" i="16"/>
  <c r="EF41" i="16"/>
  <c r="EG41" i="16"/>
  <c r="EH41" i="16"/>
  <c r="EI41" i="16"/>
  <c r="EJ41" i="16"/>
  <c r="EK41" i="16"/>
  <c r="EL41" i="16"/>
  <c r="EM41" i="16"/>
  <c r="EE42" i="16"/>
  <c r="EF42" i="16"/>
  <c r="EG42" i="16"/>
  <c r="EH42" i="16"/>
  <c r="EI42" i="16"/>
  <c r="EJ42" i="16"/>
  <c r="EK42" i="16"/>
  <c r="EL42" i="16"/>
  <c r="EM42" i="16"/>
  <c r="EE43" i="16"/>
  <c r="EF43" i="16"/>
  <c r="EG43" i="16"/>
  <c r="EH43" i="16"/>
  <c r="EI43" i="16"/>
  <c r="EJ43" i="16"/>
  <c r="EK43" i="16"/>
  <c r="EL43" i="16"/>
  <c r="EM43" i="16"/>
  <c r="EE44" i="16"/>
  <c r="EF44" i="16"/>
  <c r="EG44" i="16"/>
  <c r="EH44" i="16"/>
  <c r="EI44" i="16"/>
  <c r="EJ44" i="16"/>
  <c r="EK44" i="16"/>
  <c r="EL44" i="16"/>
  <c r="EM44" i="16"/>
  <c r="EE45" i="16"/>
  <c r="EF45" i="16"/>
  <c r="EG45" i="16"/>
  <c r="EH45" i="16"/>
  <c r="EI45" i="16"/>
  <c r="EJ45" i="16"/>
  <c r="EK45" i="16"/>
  <c r="EL45" i="16"/>
  <c r="EM45" i="16"/>
  <c r="EE46" i="16"/>
  <c r="EF46" i="16"/>
  <c r="EG46" i="16"/>
  <c r="EH46" i="16"/>
  <c r="EI46" i="16"/>
  <c r="EJ46" i="16"/>
  <c r="EK46" i="16"/>
  <c r="EL46" i="16"/>
  <c r="EM46" i="16"/>
  <c r="EE47" i="16"/>
  <c r="EF47" i="16"/>
  <c r="EG47" i="16"/>
  <c r="EH47" i="16"/>
  <c r="EI47" i="16"/>
  <c r="EJ47" i="16"/>
  <c r="EK47" i="16"/>
  <c r="EL47" i="16"/>
  <c r="EM47" i="16"/>
  <c r="EE48" i="16"/>
  <c r="EF48" i="16"/>
  <c r="EG48" i="16"/>
  <c r="EH48" i="16"/>
  <c r="EI48" i="16"/>
  <c r="EJ48" i="16"/>
  <c r="EK48" i="16"/>
  <c r="EL48" i="16"/>
  <c r="EM48" i="16"/>
  <c r="EL33" i="16"/>
  <c r="EM33" i="16"/>
  <c r="EL9" i="16"/>
  <c r="EM9" i="16"/>
  <c r="EL10" i="16"/>
  <c r="EM10" i="16"/>
  <c r="EE11" i="16"/>
  <c r="EF11" i="16"/>
  <c r="EG11" i="16"/>
  <c r="EH11" i="16"/>
  <c r="EI11" i="16"/>
  <c r="EJ11" i="16"/>
  <c r="EK11" i="16"/>
  <c r="EL11" i="16"/>
  <c r="EM11" i="16"/>
  <c r="EE12" i="16"/>
  <c r="EF12" i="16"/>
  <c r="EG12" i="16"/>
  <c r="EH12" i="16"/>
  <c r="EI12" i="16"/>
  <c r="EJ12" i="16"/>
  <c r="EK12" i="16"/>
  <c r="EL12" i="16"/>
  <c r="EM12" i="16"/>
  <c r="EE13" i="16"/>
  <c r="EF13" i="16"/>
  <c r="EG13" i="16"/>
  <c r="EH13" i="16"/>
  <c r="EI13" i="16"/>
  <c r="EJ13" i="16"/>
  <c r="EK13" i="16"/>
  <c r="EL13" i="16"/>
  <c r="EM13" i="16"/>
  <c r="EE14" i="16"/>
  <c r="EF14" i="16"/>
  <c r="EG14" i="16"/>
  <c r="EH14" i="16"/>
  <c r="EI14" i="16"/>
  <c r="EJ14" i="16"/>
  <c r="EK14" i="16"/>
  <c r="EL14" i="16"/>
  <c r="EM14" i="16"/>
  <c r="EE15" i="16"/>
  <c r="EF15" i="16"/>
  <c r="EG15" i="16"/>
  <c r="EH15" i="16"/>
  <c r="EI15" i="16"/>
  <c r="EJ15" i="16"/>
  <c r="EK15" i="16"/>
  <c r="EL15" i="16"/>
  <c r="EM15" i="16"/>
  <c r="EE16" i="16"/>
  <c r="EF16" i="16"/>
  <c r="EG16" i="16"/>
  <c r="EH16" i="16"/>
  <c r="EI16" i="16"/>
  <c r="EJ16" i="16"/>
  <c r="EK16" i="16"/>
  <c r="EL16" i="16"/>
  <c r="EM16" i="16"/>
  <c r="EE17" i="16"/>
  <c r="EF17" i="16"/>
  <c r="EG17" i="16"/>
  <c r="EH17" i="16"/>
  <c r="EI17" i="16"/>
  <c r="EJ17" i="16"/>
  <c r="EK17" i="16"/>
  <c r="EL17" i="16"/>
  <c r="EM17" i="16"/>
  <c r="EE18" i="16"/>
  <c r="EF18" i="16"/>
  <c r="EG18" i="16"/>
  <c r="EH18" i="16"/>
  <c r="EI18" i="16"/>
  <c r="EJ18" i="16"/>
  <c r="EK18" i="16"/>
  <c r="EL18" i="16"/>
  <c r="EM18" i="16"/>
  <c r="EE19" i="16"/>
  <c r="EF19" i="16"/>
  <c r="EG19" i="16"/>
  <c r="EH19" i="16"/>
  <c r="EI19" i="16"/>
  <c r="EJ19" i="16"/>
  <c r="EK19" i="16"/>
  <c r="EL19" i="16"/>
  <c r="EM19" i="16"/>
  <c r="EE20" i="16"/>
  <c r="EF20" i="16"/>
  <c r="EG20" i="16"/>
  <c r="EH20" i="16"/>
  <c r="EI20" i="16"/>
  <c r="EJ20" i="16"/>
  <c r="EK20" i="16"/>
  <c r="EL20" i="16"/>
  <c r="EM20" i="16"/>
  <c r="EE21" i="16"/>
  <c r="EF21" i="16"/>
  <c r="EG21" i="16"/>
  <c r="EH21" i="16"/>
  <c r="EI21" i="16"/>
  <c r="EJ21" i="16"/>
  <c r="EK21" i="16"/>
  <c r="EL21" i="16"/>
  <c r="EM21" i="16"/>
  <c r="EE22" i="16"/>
  <c r="EF22" i="16"/>
  <c r="EG22" i="16"/>
  <c r="EH22" i="16"/>
  <c r="EI22" i="16"/>
  <c r="EJ22" i="16"/>
  <c r="EK22" i="16"/>
  <c r="EL22" i="16"/>
  <c r="EM22" i="16"/>
  <c r="EE23" i="16"/>
  <c r="EF23" i="16"/>
  <c r="EG23" i="16"/>
  <c r="EH23" i="16"/>
  <c r="EI23" i="16"/>
  <c r="EJ23" i="16"/>
  <c r="EK23" i="16"/>
  <c r="EL23" i="16"/>
  <c r="EM23" i="16"/>
  <c r="EL8" i="16"/>
  <c r="EM8" i="16"/>
  <c r="DT61" i="16"/>
  <c r="DU61" i="16"/>
  <c r="DV61" i="16"/>
  <c r="DT62" i="16"/>
  <c r="DU62" i="16"/>
  <c r="DV62" i="16"/>
  <c r="DT63" i="16"/>
  <c r="DU63" i="16"/>
  <c r="DV63" i="16"/>
  <c r="DT64" i="16"/>
  <c r="DU64" i="16"/>
  <c r="DV64" i="16"/>
  <c r="DT65" i="16"/>
  <c r="DU65" i="16"/>
  <c r="DV65" i="16"/>
  <c r="DT66" i="16"/>
  <c r="DU66" i="16"/>
  <c r="DV66" i="16"/>
  <c r="DT67" i="16"/>
  <c r="DU67" i="16"/>
  <c r="DV67" i="16"/>
  <c r="DT68" i="16"/>
  <c r="DU68" i="16"/>
  <c r="DV68" i="16"/>
  <c r="DT69" i="16"/>
  <c r="DU69" i="16"/>
  <c r="DV69" i="16"/>
  <c r="DT70" i="16"/>
  <c r="DU70" i="16"/>
  <c r="DV70" i="16"/>
  <c r="DT71" i="16"/>
  <c r="DU71" i="16"/>
  <c r="DV71" i="16"/>
  <c r="DT72" i="16"/>
  <c r="DU72" i="16"/>
  <c r="DV72" i="16"/>
  <c r="DT73" i="16"/>
  <c r="DU73" i="16"/>
  <c r="DV73" i="16"/>
  <c r="DT74" i="16"/>
  <c r="DU74" i="16"/>
  <c r="DV74" i="16"/>
  <c r="DT75" i="16"/>
  <c r="DU75" i="16"/>
  <c r="DV75" i="16"/>
  <c r="DU60" i="16"/>
  <c r="DV60" i="16"/>
  <c r="DT34" i="16"/>
  <c r="DU34" i="16"/>
  <c r="DV34" i="16"/>
  <c r="DT35" i="16"/>
  <c r="DU35" i="16"/>
  <c r="DV35" i="16"/>
  <c r="DT36" i="16"/>
  <c r="DU36" i="16"/>
  <c r="DV36" i="16"/>
  <c r="DT37" i="16"/>
  <c r="DU37" i="16"/>
  <c r="DV37" i="16"/>
  <c r="DT38" i="16"/>
  <c r="DU38" i="16"/>
  <c r="DV38" i="16"/>
  <c r="DT39" i="16"/>
  <c r="DU39" i="16"/>
  <c r="DV39" i="16"/>
  <c r="DT40" i="16"/>
  <c r="DU40" i="16"/>
  <c r="DV40" i="16"/>
  <c r="DT41" i="16"/>
  <c r="DU41" i="16"/>
  <c r="DV41" i="16"/>
  <c r="DT42" i="16"/>
  <c r="DU42" i="16"/>
  <c r="DV42" i="16"/>
  <c r="DT43" i="16"/>
  <c r="DU43" i="16"/>
  <c r="DV43" i="16"/>
  <c r="DT44" i="16"/>
  <c r="DU44" i="16"/>
  <c r="DV44" i="16"/>
  <c r="DT45" i="16"/>
  <c r="DU45" i="16"/>
  <c r="DV45" i="16"/>
  <c r="DT46" i="16"/>
  <c r="DU46" i="16"/>
  <c r="DV46" i="16"/>
  <c r="DT47" i="16"/>
  <c r="DU47" i="16"/>
  <c r="DV47" i="16"/>
  <c r="DT48" i="16"/>
  <c r="DU48" i="16"/>
  <c r="DV48" i="16"/>
  <c r="DU33" i="16"/>
  <c r="DV33" i="16"/>
  <c r="DT9" i="16"/>
  <c r="DU9" i="16"/>
  <c r="DV9" i="16"/>
  <c r="DT10" i="16"/>
  <c r="DU10" i="16"/>
  <c r="DV10" i="16"/>
  <c r="DT11" i="16"/>
  <c r="DU11" i="16"/>
  <c r="DV11" i="16"/>
  <c r="DT12" i="16"/>
  <c r="DU12" i="16"/>
  <c r="DV12" i="16"/>
  <c r="DT13" i="16"/>
  <c r="DU13" i="16"/>
  <c r="DV13" i="16"/>
  <c r="DT14" i="16"/>
  <c r="DU14" i="16"/>
  <c r="DV14" i="16"/>
  <c r="DT15" i="16"/>
  <c r="DU15" i="16"/>
  <c r="DV15" i="16"/>
  <c r="DT16" i="16"/>
  <c r="DU16" i="16"/>
  <c r="DV16" i="16"/>
  <c r="DT17" i="16"/>
  <c r="DU17" i="16"/>
  <c r="DV17" i="16"/>
  <c r="DT18" i="16"/>
  <c r="DU18" i="16"/>
  <c r="DV18" i="16"/>
  <c r="DT19" i="16"/>
  <c r="DU19" i="16"/>
  <c r="DV19" i="16"/>
  <c r="DT20" i="16"/>
  <c r="DU20" i="16"/>
  <c r="DV20" i="16"/>
  <c r="DT21" i="16"/>
  <c r="DU21" i="16"/>
  <c r="DV21" i="16"/>
  <c r="DT22" i="16"/>
  <c r="DU22" i="16"/>
  <c r="DV22" i="16"/>
  <c r="DT23" i="16"/>
  <c r="DU23" i="16"/>
  <c r="DV23" i="16"/>
  <c r="DU8" i="16"/>
  <c r="DV8" i="16"/>
  <c r="O114" i="43"/>
  <c r="O115" i="43"/>
  <c r="O116" i="43" s="1"/>
  <c r="O109" i="43"/>
  <c r="O110" i="43"/>
  <c r="O111" i="43" s="1"/>
  <c r="O104" i="43"/>
  <c r="O105" i="43"/>
  <c r="O106" i="43" s="1"/>
  <c r="D94" i="43"/>
  <c r="D92" i="43"/>
  <c r="D90" i="43"/>
  <c r="D85" i="43"/>
  <c r="D84" i="43"/>
  <c r="D83" i="43"/>
  <c r="D81" i="43"/>
  <c r="D80" i="43"/>
  <c r="D75" i="43"/>
  <c r="D74" i="43"/>
  <c r="D72" i="43"/>
  <c r="D71" i="43"/>
  <c r="D70" i="43"/>
  <c r="D68" i="43"/>
  <c r="D63" i="43"/>
  <c r="D58" i="43"/>
  <c r="D53" i="43"/>
  <c r="O41" i="43"/>
  <c r="H54" i="43"/>
  <c r="I54" i="43"/>
  <c r="H55" i="43"/>
  <c r="P55" i="43" s="1"/>
  <c r="I55" i="43"/>
  <c r="H56" i="43"/>
  <c r="I56" i="43"/>
  <c r="H57" i="43"/>
  <c r="I57" i="43"/>
  <c r="H58" i="43"/>
  <c r="L58" i="43" s="1"/>
  <c r="I58" i="43"/>
  <c r="H59" i="43"/>
  <c r="P59" i="43" s="1"/>
  <c r="I59" i="43"/>
  <c r="H60" i="43"/>
  <c r="L60" i="43" s="1"/>
  <c r="I60" i="43"/>
  <c r="H61" i="43"/>
  <c r="P61" i="43" s="1"/>
  <c r="I61" i="43"/>
  <c r="H62" i="43"/>
  <c r="P62" i="43" s="1"/>
  <c r="I62" i="43"/>
  <c r="H63" i="43"/>
  <c r="L63" i="43" s="1"/>
  <c r="I63" i="43"/>
  <c r="H64" i="43"/>
  <c r="L64" i="43" s="1"/>
  <c r="I64" i="43"/>
  <c r="H65" i="43"/>
  <c r="P65" i="43" s="1"/>
  <c r="I65" i="43"/>
  <c r="H66" i="43"/>
  <c r="I66" i="43"/>
  <c r="H67" i="43"/>
  <c r="I67" i="43"/>
  <c r="H68" i="43"/>
  <c r="L68" i="43" s="1"/>
  <c r="I68" i="43"/>
  <c r="H69" i="43"/>
  <c r="I69" i="43"/>
  <c r="H70" i="43"/>
  <c r="L70" i="43" s="1"/>
  <c r="I70" i="43"/>
  <c r="H71" i="43"/>
  <c r="L71" i="43" s="1"/>
  <c r="I71" i="43"/>
  <c r="H72" i="43"/>
  <c r="L72" i="43" s="1"/>
  <c r="I72" i="43"/>
  <c r="H73" i="43"/>
  <c r="P73" i="43" s="1"/>
  <c r="I73" i="43"/>
  <c r="H74" i="43"/>
  <c r="I74" i="43"/>
  <c r="H75" i="43"/>
  <c r="L75" i="43" s="1"/>
  <c r="I75" i="43"/>
  <c r="H76" i="43"/>
  <c r="L76" i="43" s="1"/>
  <c r="I76" i="43"/>
  <c r="H77" i="43"/>
  <c r="P77" i="43" s="1"/>
  <c r="I77" i="43"/>
  <c r="H78" i="43"/>
  <c r="I78" i="43"/>
  <c r="H79" i="43"/>
  <c r="L79" i="43" s="1"/>
  <c r="I79" i="43"/>
  <c r="H80" i="43"/>
  <c r="I80" i="43"/>
  <c r="H81" i="43"/>
  <c r="P81" i="43" s="1"/>
  <c r="I81" i="43"/>
  <c r="H82" i="43"/>
  <c r="L82" i="43" s="1"/>
  <c r="I82" i="43"/>
  <c r="H83" i="43"/>
  <c r="I83" i="43"/>
  <c r="H84" i="43"/>
  <c r="L84" i="43" s="1"/>
  <c r="I84" i="43"/>
  <c r="H85" i="43"/>
  <c r="I85" i="43"/>
  <c r="H86" i="43"/>
  <c r="I86" i="43"/>
  <c r="H87" i="43"/>
  <c r="L87" i="43" s="1"/>
  <c r="I87" i="43"/>
  <c r="H88" i="43"/>
  <c r="L88" i="43" s="1"/>
  <c r="I88" i="43"/>
  <c r="H89" i="43"/>
  <c r="P89" i="43" s="1"/>
  <c r="I89" i="43"/>
  <c r="H90" i="43"/>
  <c r="L90" i="43" s="1"/>
  <c r="I90" i="43"/>
  <c r="H91" i="43"/>
  <c r="L91" i="43" s="1"/>
  <c r="I91" i="43"/>
  <c r="H92" i="43"/>
  <c r="L92" i="43" s="1"/>
  <c r="I92" i="43"/>
  <c r="H93" i="43"/>
  <c r="P93" i="43" s="1"/>
  <c r="I93" i="43"/>
  <c r="H94" i="43"/>
  <c r="I94" i="43"/>
  <c r="H95" i="43"/>
  <c r="L95" i="43" s="1"/>
  <c r="I95" i="43"/>
  <c r="H96" i="43"/>
  <c r="L96" i="43" s="1"/>
  <c r="I96" i="43"/>
  <c r="H97" i="43"/>
  <c r="I97" i="43"/>
  <c r="I53" i="43"/>
  <c r="H98" i="43"/>
  <c r="O42" i="43"/>
  <c r="O43" i="43" s="1"/>
  <c r="H8" i="43"/>
  <c r="L8" i="43" s="1"/>
  <c r="I8" i="43"/>
  <c r="H9" i="43"/>
  <c r="L9" i="43" s="1"/>
  <c r="I9" i="43"/>
  <c r="H10" i="43"/>
  <c r="L10" i="43" s="1"/>
  <c r="I10" i="43"/>
  <c r="H11" i="43"/>
  <c r="P11" i="43" s="1"/>
  <c r="I11" i="43"/>
  <c r="H12" i="43"/>
  <c r="L12" i="43" s="1"/>
  <c r="I12" i="43"/>
  <c r="H13" i="43"/>
  <c r="L13" i="43" s="1"/>
  <c r="I13" i="43"/>
  <c r="H14" i="43"/>
  <c r="I14" i="43"/>
  <c r="H15" i="43"/>
  <c r="L15" i="43" s="1"/>
  <c r="I15" i="43"/>
  <c r="H16" i="43"/>
  <c r="L16" i="43" s="1"/>
  <c r="I16" i="43"/>
  <c r="H17" i="43"/>
  <c r="L17" i="43" s="1"/>
  <c r="I17" i="43"/>
  <c r="H18" i="43"/>
  <c r="L18" i="43" s="1"/>
  <c r="I18" i="43"/>
  <c r="H19" i="43"/>
  <c r="L19" i="43" s="1"/>
  <c r="I19" i="43"/>
  <c r="H20" i="43"/>
  <c r="I20" i="43"/>
  <c r="H21" i="43"/>
  <c r="L21" i="43" s="1"/>
  <c r="I21" i="43"/>
  <c r="H22" i="43"/>
  <c r="L22" i="43" s="1"/>
  <c r="I22" i="43"/>
  <c r="H23" i="43"/>
  <c r="P23" i="43" s="1"/>
  <c r="I23" i="43"/>
  <c r="H24" i="43"/>
  <c r="L24" i="43" s="1"/>
  <c r="I24" i="43"/>
  <c r="H25" i="43"/>
  <c r="I25" i="43"/>
  <c r="H26" i="43"/>
  <c r="L26" i="43" s="1"/>
  <c r="I26" i="43"/>
  <c r="H27" i="43"/>
  <c r="I27" i="43"/>
  <c r="H28" i="43"/>
  <c r="L28" i="43" s="1"/>
  <c r="I28" i="43"/>
  <c r="H29" i="43"/>
  <c r="I29" i="43"/>
  <c r="H30" i="43"/>
  <c r="L30" i="43" s="1"/>
  <c r="I30" i="43"/>
  <c r="H31" i="43"/>
  <c r="I31" i="43"/>
  <c r="H32" i="43"/>
  <c r="L32" i="43" s="1"/>
  <c r="I32" i="43"/>
  <c r="H33" i="43"/>
  <c r="I33" i="43"/>
  <c r="H34" i="43"/>
  <c r="L34" i="43" s="1"/>
  <c r="I34" i="43"/>
  <c r="H35" i="43"/>
  <c r="I35" i="43"/>
  <c r="H36" i="43"/>
  <c r="L36" i="43" s="1"/>
  <c r="I36" i="43"/>
  <c r="H37" i="43"/>
  <c r="H53" i="43"/>
  <c r="P53" i="43" s="1"/>
  <c r="I7" i="43"/>
  <c r="H7" i="43"/>
  <c r="P7" i="43" s="1"/>
  <c r="O59" i="25"/>
  <c r="O60" i="25"/>
  <c r="O61" i="25" s="1"/>
  <c r="O64" i="25"/>
  <c r="O41" i="24"/>
  <c r="O33" i="1"/>
  <c r="O34" i="1"/>
  <c r="O58" i="1"/>
  <c r="O59" i="1"/>
  <c r="O60" i="1"/>
  <c r="O16" i="1"/>
  <c r="X4" i="9"/>
  <c r="X5" i="9"/>
  <c r="L5" i="9"/>
  <c r="L4" i="9"/>
  <c r="J56" i="46" l="1"/>
  <c r="P75" i="43"/>
  <c r="J44" i="46"/>
  <c r="J19" i="44"/>
  <c r="K26" i="44"/>
  <c r="J12" i="44"/>
  <c r="P95" i="43"/>
  <c r="J22" i="44"/>
  <c r="P58" i="43"/>
  <c r="K22" i="44"/>
  <c r="J13" i="44"/>
  <c r="P90" i="43"/>
  <c r="J41" i="45"/>
  <c r="P82" i="43"/>
  <c r="N74" i="43"/>
  <c r="M74" i="43" s="1"/>
  <c r="N54" i="43"/>
  <c r="M54" i="43" s="1"/>
  <c r="K23" i="44"/>
  <c r="M47" i="46"/>
  <c r="M63" i="46"/>
  <c r="J55" i="46"/>
  <c r="K43" i="46"/>
  <c r="K63" i="46"/>
  <c r="N90" i="43"/>
  <c r="M90" i="43" s="1"/>
  <c r="J59" i="46"/>
  <c r="P91" i="43"/>
  <c r="P70" i="43"/>
  <c r="N82" i="43"/>
  <c r="M82" i="43" s="1"/>
  <c r="J23" i="44"/>
  <c r="J13" i="45"/>
  <c r="K25" i="46"/>
  <c r="K55" i="46"/>
  <c r="J25" i="46"/>
  <c r="P24" i="43"/>
  <c r="P87" i="43"/>
  <c r="P71" i="43"/>
  <c r="L74" i="43"/>
  <c r="L61" i="43"/>
  <c r="J27" i="44"/>
  <c r="M13" i="44"/>
  <c r="K14" i="44"/>
  <c r="M40" i="46"/>
  <c r="K56" i="46"/>
  <c r="P67" i="46"/>
  <c r="N71" i="43"/>
  <c r="M71" i="43" s="1"/>
  <c r="M14" i="44"/>
  <c r="J40" i="46"/>
  <c r="P74" i="43"/>
  <c r="L73" i="43"/>
  <c r="N63" i="43"/>
  <c r="M63" i="43" s="1"/>
  <c r="N62" i="43"/>
  <c r="M62" i="43" s="1"/>
  <c r="J55" i="44"/>
  <c r="K60" i="46"/>
  <c r="P79" i="43"/>
  <c r="N79" i="43"/>
  <c r="M79" i="43" s="1"/>
  <c r="L62" i="43"/>
  <c r="L59" i="43"/>
  <c r="P32" i="43"/>
  <c r="K63" i="44"/>
  <c r="J60" i="46"/>
  <c r="P63" i="43"/>
  <c r="N91" i="43"/>
  <c r="M91" i="43" s="1"/>
  <c r="P28" i="43"/>
  <c r="G178" i="16"/>
  <c r="K59" i="44"/>
  <c r="K17" i="45"/>
  <c r="M17" i="45"/>
  <c r="N95" i="43"/>
  <c r="M95" i="43" s="1"/>
  <c r="N75" i="43"/>
  <c r="J75" i="43" s="1"/>
  <c r="P36" i="43"/>
  <c r="P68" i="46"/>
  <c r="P69" i="46" s="1"/>
  <c r="J58" i="46"/>
  <c r="K59" i="46"/>
  <c r="N34" i="44"/>
  <c r="N35" i="44"/>
  <c r="N36" i="44" s="1"/>
  <c r="L29" i="43"/>
  <c r="P29" i="43"/>
  <c r="P83" i="43"/>
  <c r="L83" i="43"/>
  <c r="N83" i="43"/>
  <c r="M83" i="43" s="1"/>
  <c r="L78" i="43"/>
  <c r="N78" i="43"/>
  <c r="M78" i="43" s="1"/>
  <c r="P78" i="43"/>
  <c r="N59" i="43"/>
  <c r="M59" i="43" s="1"/>
  <c r="L35" i="43"/>
  <c r="P35" i="43"/>
  <c r="L33" i="43"/>
  <c r="P33" i="43"/>
  <c r="L31" i="43"/>
  <c r="P31" i="43"/>
  <c r="L27" i="43"/>
  <c r="P27" i="43"/>
  <c r="L25" i="43"/>
  <c r="P25" i="43"/>
  <c r="P67" i="43"/>
  <c r="L67" i="43"/>
  <c r="N67" i="43"/>
  <c r="M67" i="43" s="1"/>
  <c r="I115" i="43"/>
  <c r="I116" i="43" s="1"/>
  <c r="H115" i="43"/>
  <c r="H116" i="43" s="1"/>
  <c r="L94" i="43"/>
  <c r="N94" i="43"/>
  <c r="M94" i="43" s="1"/>
  <c r="P94" i="43"/>
  <c r="N70" i="43"/>
  <c r="M70" i="43" s="1"/>
  <c r="H114" i="43"/>
  <c r="L55" i="43"/>
  <c r="N55" i="43"/>
  <c r="K55" i="43" s="1"/>
  <c r="P85" i="43"/>
  <c r="L85" i="43"/>
  <c r="H104" i="43"/>
  <c r="L35" i="44"/>
  <c r="L36" i="44" s="1"/>
  <c r="L34" i="44"/>
  <c r="M48" i="46"/>
  <c r="K48" i="46"/>
  <c r="P57" i="43"/>
  <c r="L57" i="43"/>
  <c r="H109" i="43"/>
  <c r="I114" i="43"/>
  <c r="J9" i="44"/>
  <c r="M9" i="44"/>
  <c r="M15" i="44"/>
  <c r="K15" i="44"/>
  <c r="L72" i="44"/>
  <c r="L73" i="44" s="1"/>
  <c r="L71" i="44"/>
  <c r="I104" i="43"/>
  <c r="L66" i="43"/>
  <c r="N66" i="43"/>
  <c r="M66" i="43" s="1"/>
  <c r="I109" i="43"/>
  <c r="P66" i="43"/>
  <c r="N87" i="43"/>
  <c r="M87" i="43" s="1"/>
  <c r="L86" i="43"/>
  <c r="N86" i="43"/>
  <c r="J86" i="43" s="1"/>
  <c r="P86" i="43"/>
  <c r="P69" i="43"/>
  <c r="L69" i="43"/>
  <c r="N58" i="43"/>
  <c r="M58" i="43" s="1"/>
  <c r="L54" i="43"/>
  <c r="P54" i="43"/>
  <c r="H110" i="43"/>
  <c r="H111" i="43" s="1"/>
  <c r="L53" i="43"/>
  <c r="K90" i="43"/>
  <c r="H105" i="43"/>
  <c r="H106" i="43" s="1"/>
  <c r="I110" i="43"/>
  <c r="I111" i="43" s="1"/>
  <c r="K17" i="44"/>
  <c r="P34" i="44"/>
  <c r="K11" i="45"/>
  <c r="J42" i="46"/>
  <c r="K51" i="46"/>
  <c r="P34" i="43"/>
  <c r="P30" i="43"/>
  <c r="P26" i="43"/>
  <c r="I105" i="43"/>
  <c r="I106" i="43" s="1"/>
  <c r="J17" i="44"/>
  <c r="J53" i="44"/>
  <c r="J12" i="45"/>
  <c r="L67" i="46"/>
  <c r="L68" i="46"/>
  <c r="L69" i="46" s="1"/>
  <c r="N72" i="44"/>
  <c r="N73" i="44" s="1"/>
  <c r="N71" i="44"/>
  <c r="N67" i="46"/>
  <c r="N68" i="46"/>
  <c r="N69" i="46" s="1"/>
  <c r="K42" i="46"/>
  <c r="J62" i="46"/>
  <c r="K47" i="46"/>
  <c r="M49" i="46"/>
  <c r="K49" i="46"/>
  <c r="J50" i="46"/>
  <c r="M45" i="46"/>
  <c r="K45" i="46"/>
  <c r="K62" i="46"/>
  <c r="J49" i="46"/>
  <c r="J54" i="46"/>
  <c r="K50" i="46"/>
  <c r="M57" i="46"/>
  <c r="K57" i="46"/>
  <c r="M41" i="46"/>
  <c r="K41" i="46"/>
  <c r="M53" i="46"/>
  <c r="K53" i="46"/>
  <c r="M61" i="46"/>
  <c r="K61" i="46"/>
  <c r="K54" i="46"/>
  <c r="J46" i="46"/>
  <c r="K46" i="46"/>
  <c r="K58" i="46"/>
  <c r="M8" i="46"/>
  <c r="N30" i="46"/>
  <c r="N31" i="46" s="1"/>
  <c r="N29" i="46"/>
  <c r="K15" i="46"/>
  <c r="L30" i="46"/>
  <c r="L31" i="46" s="1"/>
  <c r="L29" i="46"/>
  <c r="J17" i="46"/>
  <c r="J15" i="46"/>
  <c r="J23" i="46"/>
  <c r="J9" i="46"/>
  <c r="K19" i="46"/>
  <c r="J19" i="46"/>
  <c r="J11" i="46"/>
  <c r="K13" i="46"/>
  <c r="J21" i="46"/>
  <c r="J13" i="46"/>
  <c r="K16" i="46"/>
  <c r="K10" i="46"/>
  <c r="K18" i="46"/>
  <c r="K17" i="46"/>
  <c r="M39" i="46"/>
  <c r="J24" i="46"/>
  <c r="J22" i="46"/>
  <c r="J20" i="46"/>
  <c r="J18" i="46"/>
  <c r="J16" i="46"/>
  <c r="J14" i="46"/>
  <c r="J12" i="46"/>
  <c r="J10" i="46"/>
  <c r="J8" i="46"/>
  <c r="K22" i="46"/>
  <c r="K12" i="46"/>
  <c r="K23" i="46"/>
  <c r="K9" i="46"/>
  <c r="K24" i="46"/>
  <c r="K39" i="46"/>
  <c r="J39" i="46"/>
  <c r="M7" i="46"/>
  <c r="K14" i="46"/>
  <c r="K20" i="46"/>
  <c r="K7" i="46"/>
  <c r="K8" i="46"/>
  <c r="K21" i="46"/>
  <c r="K11" i="46"/>
  <c r="N52" i="45"/>
  <c r="N53" i="45"/>
  <c r="N54" i="45" s="1"/>
  <c r="L52" i="45"/>
  <c r="L53" i="45"/>
  <c r="L54" i="45" s="1"/>
  <c r="J43" i="45"/>
  <c r="K41" i="45"/>
  <c r="K12" i="45"/>
  <c r="J11" i="45"/>
  <c r="K10" i="45"/>
  <c r="K18" i="45"/>
  <c r="J10" i="45"/>
  <c r="J45" i="45"/>
  <c r="K45" i="45"/>
  <c r="M7" i="45"/>
  <c r="J7" i="45"/>
  <c r="K20" i="45"/>
  <c r="J9" i="45"/>
  <c r="K9" i="45"/>
  <c r="K8" i="45"/>
  <c r="J8" i="45"/>
  <c r="J18" i="45"/>
  <c r="K13" i="45"/>
  <c r="J21" i="45"/>
  <c r="M21" i="45"/>
  <c r="N30" i="45"/>
  <c r="N31" i="45" s="1"/>
  <c r="L30" i="45"/>
  <c r="L31" i="45" s="1"/>
  <c r="L29" i="45"/>
  <c r="M46" i="45"/>
  <c r="J46" i="45"/>
  <c r="M40" i="45"/>
  <c r="J40" i="45"/>
  <c r="J20" i="45"/>
  <c r="K22" i="45"/>
  <c r="J14" i="45"/>
  <c r="M39" i="45"/>
  <c r="K21" i="45"/>
  <c r="M44" i="45"/>
  <c r="J44" i="45"/>
  <c r="J24" i="45"/>
  <c r="P29" i="45"/>
  <c r="P30" i="45"/>
  <c r="P31" i="45" s="1"/>
  <c r="M42" i="45"/>
  <c r="J42" i="45"/>
  <c r="J47" i="45"/>
  <c r="J39" i="45"/>
  <c r="K24" i="45"/>
  <c r="K16" i="45"/>
  <c r="K47" i="45"/>
  <c r="K43" i="45"/>
  <c r="K39" i="45"/>
  <c r="J15" i="45"/>
  <c r="M15" i="45"/>
  <c r="J23" i="45"/>
  <c r="M23" i="45"/>
  <c r="J19" i="45"/>
  <c r="M19" i="45"/>
  <c r="K44" i="45"/>
  <c r="J22" i="45"/>
  <c r="J16" i="45"/>
  <c r="K14" i="45"/>
  <c r="N29" i="45"/>
  <c r="J61" i="44"/>
  <c r="J63" i="44"/>
  <c r="J47" i="44"/>
  <c r="J45" i="44"/>
  <c r="K61" i="44"/>
  <c r="K45" i="44"/>
  <c r="J57" i="44"/>
  <c r="J49" i="44"/>
  <c r="K53" i="44"/>
  <c r="J59" i="44"/>
  <c r="J51" i="44"/>
  <c r="K51" i="44"/>
  <c r="M44" i="44"/>
  <c r="K60" i="44"/>
  <c r="K52" i="44"/>
  <c r="K44" i="44"/>
  <c r="J64" i="44"/>
  <c r="J62" i="44"/>
  <c r="J60" i="44"/>
  <c r="J58" i="44"/>
  <c r="J56" i="44"/>
  <c r="J54" i="44"/>
  <c r="J52" i="44"/>
  <c r="J50" i="44"/>
  <c r="J48" i="44"/>
  <c r="J46" i="44"/>
  <c r="J44" i="44"/>
  <c r="K64" i="44"/>
  <c r="K50" i="44"/>
  <c r="K57" i="44"/>
  <c r="K49" i="44"/>
  <c r="K62" i="44"/>
  <c r="K56" i="44"/>
  <c r="K48" i="44"/>
  <c r="K58" i="44"/>
  <c r="K55" i="44"/>
  <c r="K47" i="44"/>
  <c r="K54" i="44"/>
  <c r="K46" i="44"/>
  <c r="P35" i="44"/>
  <c r="P36" i="44" s="1"/>
  <c r="K9" i="44"/>
  <c r="K19" i="44"/>
  <c r="K8" i="44"/>
  <c r="K10" i="44"/>
  <c r="J11" i="44"/>
  <c r="K25" i="44"/>
  <c r="M10" i="44"/>
  <c r="J18" i="44"/>
  <c r="M8" i="44"/>
  <c r="K18" i="44"/>
  <c r="K21" i="44"/>
  <c r="J21" i="44"/>
  <c r="K11" i="44"/>
  <c r="J25" i="44"/>
  <c r="K27" i="44"/>
  <c r="M24" i="44"/>
  <c r="K24" i="44"/>
  <c r="M20" i="44"/>
  <c r="K20" i="44"/>
  <c r="M7" i="44"/>
  <c r="K7" i="44"/>
  <c r="M28" i="44"/>
  <c r="K28" i="44"/>
  <c r="J7" i="44"/>
  <c r="M16" i="44"/>
  <c r="K16" i="44"/>
  <c r="N96" i="43"/>
  <c r="N92" i="43"/>
  <c r="P92" i="43"/>
  <c r="L97" i="43"/>
  <c r="L93" i="43"/>
  <c r="L81" i="43"/>
  <c r="L77" i="43"/>
  <c r="J63" i="43"/>
  <c r="P88" i="43"/>
  <c r="P84" i="43"/>
  <c r="P80" i="43"/>
  <c r="P76" i="43"/>
  <c r="P72" i="43"/>
  <c r="P68" i="43"/>
  <c r="P64" i="43"/>
  <c r="P60" i="43"/>
  <c r="P56" i="43"/>
  <c r="N97" i="43"/>
  <c r="M97" i="43" s="1"/>
  <c r="N93" i="43"/>
  <c r="M93" i="43" s="1"/>
  <c r="N89" i="43"/>
  <c r="M89" i="43" s="1"/>
  <c r="N85" i="43"/>
  <c r="M85" i="43" s="1"/>
  <c r="N81" i="43"/>
  <c r="M81" i="43" s="1"/>
  <c r="N77" i="43"/>
  <c r="M77" i="43" s="1"/>
  <c r="N73" i="43"/>
  <c r="M73" i="43" s="1"/>
  <c r="N69" i="43"/>
  <c r="M69" i="43" s="1"/>
  <c r="N65" i="43"/>
  <c r="M65" i="43" s="1"/>
  <c r="N61" i="43"/>
  <c r="M61" i="43" s="1"/>
  <c r="N57" i="43"/>
  <c r="M57" i="43" s="1"/>
  <c r="L80" i="43"/>
  <c r="L56" i="43"/>
  <c r="L89" i="43"/>
  <c r="J71" i="43"/>
  <c r="L65" i="43"/>
  <c r="N88" i="43"/>
  <c r="J88" i="43" s="1"/>
  <c r="N84" i="43"/>
  <c r="N80" i="43"/>
  <c r="N76" i="43"/>
  <c r="N72" i="43"/>
  <c r="N68" i="43"/>
  <c r="J68" i="43" s="1"/>
  <c r="N64" i="43"/>
  <c r="J64" i="43" s="1"/>
  <c r="N60" i="43"/>
  <c r="N56" i="43"/>
  <c r="P97" i="43"/>
  <c r="P96" i="43"/>
  <c r="N17" i="43"/>
  <c r="M17" i="43" s="1"/>
  <c r="N33" i="43"/>
  <c r="M33" i="43" s="1"/>
  <c r="N32" i="43"/>
  <c r="M32" i="43" s="1"/>
  <c r="N20" i="43"/>
  <c r="M20" i="43" s="1"/>
  <c r="N9" i="43"/>
  <c r="M9" i="43" s="1"/>
  <c r="N21" i="43"/>
  <c r="M21" i="43" s="1"/>
  <c r="I42" i="43"/>
  <c r="I43" i="43" s="1"/>
  <c r="N28" i="43"/>
  <c r="M28" i="43" s="1"/>
  <c r="I41" i="43"/>
  <c r="P8" i="43"/>
  <c r="N29" i="43"/>
  <c r="M29" i="43" s="1"/>
  <c r="H42" i="43"/>
  <c r="H43" i="43" s="1"/>
  <c r="N16" i="43"/>
  <c r="M16" i="43" s="1"/>
  <c r="H41" i="43"/>
  <c r="N25" i="43"/>
  <c r="M25" i="43" s="1"/>
  <c r="L20" i="43"/>
  <c r="N13" i="43"/>
  <c r="M13" i="43" s="1"/>
  <c r="N8" i="43"/>
  <c r="N36" i="43"/>
  <c r="M36" i="43" s="1"/>
  <c r="N24" i="43"/>
  <c r="M24" i="43" s="1"/>
  <c r="N12" i="43"/>
  <c r="M12" i="43" s="1"/>
  <c r="L11" i="43"/>
  <c r="L14" i="43"/>
  <c r="L23" i="43"/>
  <c r="N35" i="43"/>
  <c r="M35" i="43" s="1"/>
  <c r="N31" i="43"/>
  <c r="M31" i="43" s="1"/>
  <c r="N27" i="43"/>
  <c r="M27" i="43" s="1"/>
  <c r="N23" i="43"/>
  <c r="M23" i="43" s="1"/>
  <c r="N19" i="43"/>
  <c r="M19" i="43" s="1"/>
  <c r="N15" i="43"/>
  <c r="M15" i="43" s="1"/>
  <c r="N11" i="43"/>
  <c r="M11" i="43" s="1"/>
  <c r="N34" i="43"/>
  <c r="J34" i="43" s="1"/>
  <c r="N30" i="43"/>
  <c r="N26" i="43"/>
  <c r="J26" i="43" s="1"/>
  <c r="N22" i="43"/>
  <c r="N18" i="43"/>
  <c r="N14" i="43"/>
  <c r="N10" i="43"/>
  <c r="P16" i="43"/>
  <c r="P9" i="43"/>
  <c r="P12" i="43"/>
  <c r="N53" i="43"/>
  <c r="L7" i="43"/>
  <c r="P10" i="43"/>
  <c r="N7" i="43"/>
  <c r="P14" i="43"/>
  <c r="P13" i="43"/>
  <c r="P15" i="43"/>
  <c r="P17" i="43"/>
  <c r="P18" i="43"/>
  <c r="P19" i="43"/>
  <c r="P20" i="43"/>
  <c r="P21" i="43"/>
  <c r="P22" i="43"/>
  <c r="O22" i="2"/>
  <c r="O21" i="2"/>
  <c r="O20" i="2"/>
  <c r="O31" i="3"/>
  <c r="O30" i="3"/>
  <c r="O29" i="3"/>
  <c r="O28" i="3"/>
  <c r="J95" i="43" l="1"/>
  <c r="J90" i="43"/>
  <c r="K82" i="43"/>
  <c r="K74" i="43"/>
  <c r="J74" i="43"/>
  <c r="J82" i="43"/>
  <c r="J58" i="43"/>
  <c r="J70" i="43"/>
  <c r="K54" i="43"/>
  <c r="M75" i="43"/>
  <c r="K71" i="43"/>
  <c r="J62" i="43"/>
  <c r="K95" i="43"/>
  <c r="J55" i="43"/>
  <c r="M86" i="43"/>
  <c r="J54" i="43"/>
  <c r="K63" i="43"/>
  <c r="J91" i="43"/>
  <c r="J57" i="43"/>
  <c r="K69" i="43"/>
  <c r="J94" i="43"/>
  <c r="K67" i="43"/>
  <c r="K79" i="43"/>
  <c r="J67" i="43"/>
  <c r="J79" i="43"/>
  <c r="J81" i="43"/>
  <c r="K62" i="43"/>
  <c r="K94" i="43"/>
  <c r="J17" i="43"/>
  <c r="J65" i="43"/>
  <c r="J89" i="43"/>
  <c r="P114" i="43"/>
  <c r="K52" i="45"/>
  <c r="K75" i="43"/>
  <c r="K59" i="43"/>
  <c r="K89" i="43"/>
  <c r="K83" i="43"/>
  <c r="K9" i="43"/>
  <c r="P105" i="43"/>
  <c r="P106" i="43" s="1"/>
  <c r="J83" i="43"/>
  <c r="K91" i="43"/>
  <c r="J72" i="44"/>
  <c r="J73" i="44" s="1"/>
  <c r="J71" i="44"/>
  <c r="K67" i="46"/>
  <c r="K68" i="46"/>
  <c r="K69" i="46" s="1"/>
  <c r="L109" i="43"/>
  <c r="L110" i="43"/>
  <c r="L111" i="43" s="1"/>
  <c r="N110" i="43"/>
  <c r="N111" i="43" s="1"/>
  <c r="P104" i="43"/>
  <c r="K86" i="43"/>
  <c r="K66" i="43"/>
  <c r="M55" i="43"/>
  <c r="N114" i="43"/>
  <c r="N115" i="43"/>
  <c r="N116" i="43" s="1"/>
  <c r="K70" i="43"/>
  <c r="P115" i="43"/>
  <c r="P116" i="43" s="1"/>
  <c r="L104" i="43"/>
  <c r="L105" i="43"/>
  <c r="L106" i="43" s="1"/>
  <c r="N109" i="43"/>
  <c r="K87" i="43"/>
  <c r="M53" i="43"/>
  <c r="N104" i="43"/>
  <c r="N105" i="43"/>
  <c r="N106" i="43" s="1"/>
  <c r="K53" i="43"/>
  <c r="J53" i="43"/>
  <c r="J33" i="43"/>
  <c r="J66" i="43"/>
  <c r="K34" i="44"/>
  <c r="K35" i="44"/>
  <c r="K36" i="44" s="1"/>
  <c r="M71" i="44"/>
  <c r="M72" i="44"/>
  <c r="M73" i="44" s="1"/>
  <c r="J78" i="43"/>
  <c r="J73" i="43"/>
  <c r="J59" i="43"/>
  <c r="K73" i="43"/>
  <c r="J34" i="44"/>
  <c r="J35" i="44"/>
  <c r="J36" i="44" s="1"/>
  <c r="M35" i="44"/>
  <c r="M36" i="44" s="1"/>
  <c r="M34" i="44"/>
  <c r="K72" i="44"/>
  <c r="K73" i="44" s="1"/>
  <c r="K71" i="44"/>
  <c r="J67" i="46"/>
  <c r="J68" i="46"/>
  <c r="J69" i="46" s="1"/>
  <c r="M67" i="46"/>
  <c r="M68" i="46"/>
  <c r="M69" i="46" s="1"/>
  <c r="P109" i="43"/>
  <c r="P110" i="43"/>
  <c r="P111" i="43" s="1"/>
  <c r="K58" i="43"/>
  <c r="K78" i="43"/>
  <c r="L114" i="43"/>
  <c r="L115" i="43"/>
  <c r="L116" i="43" s="1"/>
  <c r="J87" i="43"/>
  <c r="K30" i="46"/>
  <c r="K31" i="46" s="1"/>
  <c r="K29" i="46"/>
  <c r="J30" i="46"/>
  <c r="J31" i="46" s="1"/>
  <c r="J29" i="46"/>
  <c r="M29" i="46"/>
  <c r="M30" i="46"/>
  <c r="M31" i="46" s="1"/>
  <c r="K53" i="45"/>
  <c r="K54" i="45" s="1"/>
  <c r="J52" i="45"/>
  <c r="J53" i="45"/>
  <c r="J54" i="45" s="1"/>
  <c r="M52" i="45"/>
  <c r="M53" i="45"/>
  <c r="M54" i="45" s="1"/>
  <c r="J29" i="45"/>
  <c r="K30" i="45"/>
  <c r="K31" i="45" s="1"/>
  <c r="M30" i="45"/>
  <c r="M31" i="45" s="1"/>
  <c r="K29" i="45"/>
  <c r="M29" i="45"/>
  <c r="J30" i="45"/>
  <c r="J31" i="45" s="1"/>
  <c r="K72" i="43"/>
  <c r="M72" i="43"/>
  <c r="J97" i="43"/>
  <c r="M96" i="43"/>
  <c r="K96" i="43"/>
  <c r="M76" i="43"/>
  <c r="K76" i="43"/>
  <c r="K68" i="43"/>
  <c r="M68" i="43"/>
  <c r="M84" i="43"/>
  <c r="K84" i="43"/>
  <c r="K57" i="43"/>
  <c r="K85" i="43"/>
  <c r="K77" i="43"/>
  <c r="J72" i="43"/>
  <c r="K56" i="43"/>
  <c r="M56" i="43"/>
  <c r="K88" i="43"/>
  <c r="M88" i="43"/>
  <c r="K92" i="43"/>
  <c r="M92" i="43"/>
  <c r="M60" i="43"/>
  <c r="K60" i="43"/>
  <c r="J56" i="43"/>
  <c r="K65" i="43"/>
  <c r="J60" i="43"/>
  <c r="K81" i="43"/>
  <c r="J92" i="43"/>
  <c r="J96" i="43"/>
  <c r="M64" i="43"/>
  <c r="M109" i="43" s="1"/>
  <c r="K64" i="43"/>
  <c r="M80" i="43"/>
  <c r="K80" i="43"/>
  <c r="J61" i="43"/>
  <c r="J69" i="43"/>
  <c r="J77" i="43"/>
  <c r="J85" i="43"/>
  <c r="J93" i="43"/>
  <c r="J80" i="43"/>
  <c r="J84" i="43"/>
  <c r="J76" i="43"/>
  <c r="K61" i="43"/>
  <c r="K93" i="43"/>
  <c r="K97" i="43"/>
  <c r="K36" i="43"/>
  <c r="K28" i="43"/>
  <c r="J25" i="43"/>
  <c r="K17" i="43"/>
  <c r="K33" i="43"/>
  <c r="J28" i="43"/>
  <c r="K32" i="43"/>
  <c r="J9" i="43"/>
  <c r="K16" i="43"/>
  <c r="J12" i="43"/>
  <c r="K20" i="43"/>
  <c r="L41" i="43"/>
  <c r="J13" i="43"/>
  <c r="J29" i="43"/>
  <c r="J20" i="43"/>
  <c r="J36" i="43"/>
  <c r="J21" i="43"/>
  <c r="J32" i="43"/>
  <c r="K21" i="43"/>
  <c r="K29" i="43"/>
  <c r="J31" i="43"/>
  <c r="M8" i="43"/>
  <c r="N41" i="43"/>
  <c r="N42" i="43"/>
  <c r="N43" i="43" s="1"/>
  <c r="K8" i="43"/>
  <c r="P41" i="43"/>
  <c r="P42" i="43"/>
  <c r="P43" i="43" s="1"/>
  <c r="J16" i="43"/>
  <c r="J15" i="43"/>
  <c r="J8" i="43"/>
  <c r="K23" i="43"/>
  <c r="L42" i="43"/>
  <c r="L43" i="43" s="1"/>
  <c r="K25" i="43"/>
  <c r="J24" i="43"/>
  <c r="K11" i="43"/>
  <c r="K15" i="43"/>
  <c r="K12" i="43"/>
  <c r="J27" i="43"/>
  <c r="K24" i="43"/>
  <c r="J11" i="43"/>
  <c r="K13" i="43"/>
  <c r="K30" i="43"/>
  <c r="M30" i="43"/>
  <c r="M22" i="43"/>
  <c r="K22" i="43"/>
  <c r="J23" i="43"/>
  <c r="K19" i="43"/>
  <c r="J30" i="43"/>
  <c r="K14" i="43"/>
  <c r="M14" i="43"/>
  <c r="M18" i="43"/>
  <c r="K18" i="43"/>
  <c r="K34" i="43"/>
  <c r="M34" i="43"/>
  <c r="J19" i="43"/>
  <c r="J18" i="43"/>
  <c r="J14" i="43"/>
  <c r="M10" i="43"/>
  <c r="K10" i="43"/>
  <c r="K26" i="43"/>
  <c r="M26" i="43"/>
  <c r="J10" i="43"/>
  <c r="J35" i="43"/>
  <c r="J22" i="43"/>
  <c r="K35" i="43"/>
  <c r="K31" i="43"/>
  <c r="K27" i="43"/>
  <c r="M7" i="43"/>
  <c r="K7" i="43"/>
  <c r="J7" i="43"/>
  <c r="O46" i="20"/>
  <c r="O47" i="20"/>
  <c r="O48" i="20" s="1"/>
  <c r="J115" i="43" l="1"/>
  <c r="J116" i="43" s="1"/>
  <c r="J109" i="43"/>
  <c r="M110" i="43"/>
  <c r="M111" i="43" s="1"/>
  <c r="K114" i="43"/>
  <c r="K109" i="43"/>
  <c r="K115" i="43"/>
  <c r="K116" i="43" s="1"/>
  <c r="J114" i="43"/>
  <c r="K105" i="43"/>
  <c r="K106" i="43" s="1"/>
  <c r="K104" i="43"/>
  <c r="M115" i="43"/>
  <c r="M116" i="43" s="1"/>
  <c r="M114" i="43"/>
  <c r="J110" i="43"/>
  <c r="J111" i="43" s="1"/>
  <c r="K110" i="43"/>
  <c r="K111" i="43" s="1"/>
  <c r="J104" i="43"/>
  <c r="J105" i="43"/>
  <c r="J106" i="43" s="1"/>
  <c r="M104" i="43"/>
  <c r="M105" i="43"/>
  <c r="M106" i="43" s="1"/>
  <c r="M41" i="43"/>
  <c r="M42" i="43"/>
  <c r="M43" i="43" s="1"/>
  <c r="K41" i="43"/>
  <c r="K42" i="43"/>
  <c r="K43" i="43" s="1"/>
  <c r="J42" i="43"/>
  <c r="J43" i="43" s="1"/>
  <c r="J41" i="43"/>
  <c r="FM61" i="16"/>
  <c r="FN61" i="16"/>
  <c r="FO61" i="16"/>
  <c r="FP61" i="16"/>
  <c r="FQ61" i="16"/>
  <c r="FR61" i="16"/>
  <c r="FS61" i="16"/>
  <c r="FT61" i="16"/>
  <c r="FU61" i="16"/>
  <c r="FM62" i="16"/>
  <c r="FN62" i="16"/>
  <c r="FO62" i="16"/>
  <c r="FP62" i="16"/>
  <c r="FQ62" i="16"/>
  <c r="FR62" i="16"/>
  <c r="FS62" i="16"/>
  <c r="FT62" i="16"/>
  <c r="FU62" i="16"/>
  <c r="FM63" i="16"/>
  <c r="FN63" i="16"/>
  <c r="FO63" i="16"/>
  <c r="FP63" i="16"/>
  <c r="FQ63" i="16"/>
  <c r="FR63" i="16"/>
  <c r="FS63" i="16"/>
  <c r="FT63" i="16"/>
  <c r="FU63" i="16"/>
  <c r="FM64" i="16"/>
  <c r="FN64" i="16"/>
  <c r="FO64" i="16"/>
  <c r="FP64" i="16"/>
  <c r="FQ64" i="16"/>
  <c r="FR64" i="16"/>
  <c r="FS64" i="16"/>
  <c r="FT64" i="16"/>
  <c r="FU64" i="16"/>
  <c r="FM65" i="16"/>
  <c r="FN65" i="16"/>
  <c r="FO65" i="16"/>
  <c r="FP65" i="16"/>
  <c r="FQ65" i="16"/>
  <c r="FR65" i="16"/>
  <c r="FS65" i="16"/>
  <c r="FT65" i="16"/>
  <c r="FU65" i="16"/>
  <c r="FN60" i="16"/>
  <c r="FO60" i="16"/>
  <c r="FP60" i="16"/>
  <c r="FQ60" i="16"/>
  <c r="FR60" i="16"/>
  <c r="FS60" i="16"/>
  <c r="FT60" i="16"/>
  <c r="FU60" i="16"/>
  <c r="FM60" i="16"/>
  <c r="FM34" i="16"/>
  <c r="FN34" i="16"/>
  <c r="FO34" i="16"/>
  <c r="FP34" i="16"/>
  <c r="FQ34" i="16"/>
  <c r="FR34" i="16"/>
  <c r="FS34" i="16"/>
  <c r="FT34" i="16"/>
  <c r="FU34" i="16"/>
  <c r="FM35" i="16"/>
  <c r="FN35" i="16"/>
  <c r="FO35" i="16"/>
  <c r="FP35" i="16"/>
  <c r="FQ35" i="16"/>
  <c r="FR35" i="16"/>
  <c r="FS35" i="16"/>
  <c r="FT35" i="16"/>
  <c r="FU35" i="16"/>
  <c r="FM36" i="16"/>
  <c r="FN36" i="16"/>
  <c r="FO36" i="16"/>
  <c r="FP36" i="16"/>
  <c r="FQ36" i="16"/>
  <c r="FR36" i="16"/>
  <c r="FS36" i="16"/>
  <c r="FT36" i="16"/>
  <c r="FU36" i="16"/>
  <c r="FM37" i="16"/>
  <c r="FN37" i="16"/>
  <c r="FO37" i="16"/>
  <c r="FP37" i="16"/>
  <c r="FQ37" i="16"/>
  <c r="FR37" i="16"/>
  <c r="FS37" i="16"/>
  <c r="FT37" i="16"/>
  <c r="FU37" i="16"/>
  <c r="FM38" i="16"/>
  <c r="FN38" i="16"/>
  <c r="FO38" i="16"/>
  <c r="FP38" i="16"/>
  <c r="FQ38" i="16"/>
  <c r="FR38" i="16"/>
  <c r="FS38" i="16"/>
  <c r="FT38" i="16"/>
  <c r="FU38" i="16"/>
  <c r="FN33" i="16"/>
  <c r="FO33" i="16"/>
  <c r="FP33" i="16"/>
  <c r="FQ33" i="16"/>
  <c r="FR33" i="16"/>
  <c r="FS33" i="16"/>
  <c r="FT33" i="16"/>
  <c r="FU33" i="16"/>
  <c r="FM33" i="16"/>
  <c r="FM9" i="16"/>
  <c r="FN9" i="16"/>
  <c r="FO9" i="16"/>
  <c r="FP9" i="16"/>
  <c r="FQ9" i="16"/>
  <c r="FR9" i="16"/>
  <c r="FS9" i="16"/>
  <c r="FT9" i="16"/>
  <c r="FU9" i="16"/>
  <c r="FM10" i="16"/>
  <c r="FN10" i="16"/>
  <c r="FO10" i="16"/>
  <c r="FP10" i="16"/>
  <c r="FQ10" i="16"/>
  <c r="FR10" i="16"/>
  <c r="FS10" i="16"/>
  <c r="FT10" i="16"/>
  <c r="FU10" i="16"/>
  <c r="FM11" i="16"/>
  <c r="FN11" i="16"/>
  <c r="FO11" i="16"/>
  <c r="FP11" i="16"/>
  <c r="FQ11" i="16"/>
  <c r="FR11" i="16"/>
  <c r="FS11" i="16"/>
  <c r="FT11" i="16"/>
  <c r="FU11" i="16"/>
  <c r="FM12" i="16"/>
  <c r="FN12" i="16"/>
  <c r="FO12" i="16"/>
  <c r="FP12" i="16"/>
  <c r="FQ12" i="16"/>
  <c r="FR12" i="16"/>
  <c r="FS12" i="16"/>
  <c r="FT12" i="16"/>
  <c r="FU12" i="16"/>
  <c r="FM13" i="16"/>
  <c r="FN13" i="16"/>
  <c r="FO13" i="16"/>
  <c r="FP13" i="16"/>
  <c r="FQ13" i="16"/>
  <c r="FR13" i="16"/>
  <c r="FS13" i="16"/>
  <c r="FT13" i="16"/>
  <c r="FU13" i="16"/>
  <c r="FN8" i="16"/>
  <c r="FO8" i="16"/>
  <c r="FP8" i="16"/>
  <c r="FQ8" i="16"/>
  <c r="FR8" i="16"/>
  <c r="FS8" i="16"/>
  <c r="FT8" i="16"/>
  <c r="FU8" i="16"/>
  <c r="FM8" i="16"/>
  <c r="EV33" i="16"/>
  <c r="EV61" i="16"/>
  <c r="EW61" i="16"/>
  <c r="EX61" i="16"/>
  <c r="EY61" i="16"/>
  <c r="EZ61" i="16"/>
  <c r="FA61" i="16"/>
  <c r="FB61" i="16"/>
  <c r="FC61" i="16"/>
  <c r="FD61" i="16"/>
  <c r="EV62" i="16"/>
  <c r="EW62" i="16"/>
  <c r="EX62" i="16"/>
  <c r="EY62" i="16"/>
  <c r="EZ62" i="16"/>
  <c r="FA62" i="16"/>
  <c r="FB62" i="16"/>
  <c r="FC62" i="16"/>
  <c r="FD62" i="16"/>
  <c r="EV63" i="16"/>
  <c r="EW63" i="16"/>
  <c r="EX63" i="16"/>
  <c r="EY63" i="16"/>
  <c r="EZ63" i="16"/>
  <c r="FA63" i="16"/>
  <c r="FB63" i="16"/>
  <c r="FC63" i="16"/>
  <c r="FD63" i="16"/>
  <c r="EV64" i="16"/>
  <c r="EW64" i="16"/>
  <c r="EX64" i="16"/>
  <c r="EY64" i="16"/>
  <c r="EZ64" i="16"/>
  <c r="FA64" i="16"/>
  <c r="FB64" i="16"/>
  <c r="FC64" i="16"/>
  <c r="FD64" i="16"/>
  <c r="EV65" i="16"/>
  <c r="EW65" i="16"/>
  <c r="EX65" i="16"/>
  <c r="EY65" i="16"/>
  <c r="EZ65" i="16"/>
  <c r="FA65" i="16"/>
  <c r="FB65" i="16"/>
  <c r="FC65" i="16"/>
  <c r="FD65" i="16"/>
  <c r="EW60" i="16"/>
  <c r="EX60" i="16"/>
  <c r="EY60" i="16"/>
  <c r="EZ60" i="16"/>
  <c r="FA60" i="16"/>
  <c r="FB60" i="16"/>
  <c r="FC60" i="16"/>
  <c r="FD60" i="16"/>
  <c r="EV60" i="16"/>
  <c r="DN33" i="16"/>
  <c r="DN61" i="16"/>
  <c r="DO61" i="16"/>
  <c r="DP61" i="16"/>
  <c r="DQ61" i="16"/>
  <c r="DR61" i="16"/>
  <c r="DS61" i="16"/>
  <c r="DN62" i="16"/>
  <c r="DO62" i="16"/>
  <c r="DP62" i="16"/>
  <c r="DQ62" i="16"/>
  <c r="DR62" i="16"/>
  <c r="DS62" i="16"/>
  <c r="DN63" i="16"/>
  <c r="DO63" i="16"/>
  <c r="DP63" i="16"/>
  <c r="DQ63" i="16"/>
  <c r="DR63" i="16"/>
  <c r="DS63" i="16"/>
  <c r="DN64" i="16"/>
  <c r="DO64" i="16"/>
  <c r="DP64" i="16"/>
  <c r="DQ64" i="16"/>
  <c r="DR64" i="16"/>
  <c r="DS64" i="16"/>
  <c r="DN65" i="16"/>
  <c r="DO65" i="16"/>
  <c r="DP65" i="16"/>
  <c r="DQ65" i="16"/>
  <c r="DR65" i="16"/>
  <c r="DS65" i="16"/>
  <c r="DN66" i="16"/>
  <c r="DO66" i="16"/>
  <c r="DP66" i="16"/>
  <c r="DQ66" i="16"/>
  <c r="DR66" i="16"/>
  <c r="DS66" i="16"/>
  <c r="DN67" i="16"/>
  <c r="DO67" i="16"/>
  <c r="DP67" i="16"/>
  <c r="DQ67" i="16"/>
  <c r="DR67" i="16"/>
  <c r="DS67" i="16"/>
  <c r="DN68" i="16"/>
  <c r="DO68" i="16"/>
  <c r="DP68" i="16"/>
  <c r="DQ68" i="16"/>
  <c r="DR68" i="16"/>
  <c r="DS68" i="16"/>
  <c r="DN69" i="16"/>
  <c r="DO69" i="16"/>
  <c r="DP69" i="16"/>
  <c r="DQ69" i="16"/>
  <c r="DR69" i="16"/>
  <c r="DS69" i="16"/>
  <c r="DN70" i="16"/>
  <c r="DO70" i="16"/>
  <c r="DP70" i="16"/>
  <c r="DQ70" i="16"/>
  <c r="DR70" i="16"/>
  <c r="DS70" i="16"/>
  <c r="DN71" i="16"/>
  <c r="DO71" i="16"/>
  <c r="DP71" i="16"/>
  <c r="DQ71" i="16"/>
  <c r="DR71" i="16"/>
  <c r="DS71" i="16"/>
  <c r="DN72" i="16"/>
  <c r="DO72" i="16"/>
  <c r="DP72" i="16"/>
  <c r="DQ72" i="16"/>
  <c r="DR72" i="16"/>
  <c r="DS72" i="16"/>
  <c r="DN73" i="16"/>
  <c r="DO73" i="16"/>
  <c r="DP73" i="16"/>
  <c r="DQ73" i="16"/>
  <c r="DR73" i="16"/>
  <c r="DS73" i="16"/>
  <c r="DN74" i="16"/>
  <c r="DO74" i="16"/>
  <c r="DP74" i="16"/>
  <c r="DQ74" i="16"/>
  <c r="DR74" i="16"/>
  <c r="DS74" i="16"/>
  <c r="DN75" i="16"/>
  <c r="DO75" i="16"/>
  <c r="DP75" i="16"/>
  <c r="DQ75" i="16"/>
  <c r="DR75" i="16"/>
  <c r="DS75" i="16"/>
  <c r="DO60" i="16"/>
  <c r="DP60" i="16"/>
  <c r="DQ60" i="16"/>
  <c r="DR60" i="16"/>
  <c r="DS60" i="16"/>
  <c r="DT60" i="16"/>
  <c r="DN60" i="16"/>
  <c r="EV34" i="16"/>
  <c r="EW34" i="16"/>
  <c r="EX34" i="16"/>
  <c r="EY34" i="16"/>
  <c r="EZ34" i="16"/>
  <c r="FA34" i="16"/>
  <c r="FB34" i="16"/>
  <c r="FC34" i="16"/>
  <c r="FD34" i="16"/>
  <c r="EV35" i="16"/>
  <c r="EW35" i="16"/>
  <c r="EX35" i="16"/>
  <c r="EY35" i="16"/>
  <c r="EZ35" i="16"/>
  <c r="FA35" i="16"/>
  <c r="FB35" i="16"/>
  <c r="FC35" i="16"/>
  <c r="FD35" i="16"/>
  <c r="EV36" i="16"/>
  <c r="EW36" i="16"/>
  <c r="EX36" i="16"/>
  <c r="EY36" i="16"/>
  <c r="EZ36" i="16"/>
  <c r="FA36" i="16"/>
  <c r="FB36" i="16"/>
  <c r="FC36" i="16"/>
  <c r="FD36" i="16"/>
  <c r="EV37" i="16"/>
  <c r="EW37" i="16"/>
  <c r="EX37" i="16"/>
  <c r="EY37" i="16"/>
  <c r="EZ37" i="16"/>
  <c r="FA37" i="16"/>
  <c r="FB37" i="16"/>
  <c r="FC37" i="16"/>
  <c r="FD37" i="16"/>
  <c r="EV38" i="16"/>
  <c r="EW38" i="16"/>
  <c r="EX38" i="16"/>
  <c r="EY38" i="16"/>
  <c r="EZ38" i="16"/>
  <c r="FA38" i="16"/>
  <c r="FB38" i="16"/>
  <c r="FC38" i="16"/>
  <c r="FD38" i="16"/>
  <c r="EW33" i="16"/>
  <c r="EX33" i="16"/>
  <c r="EY33" i="16"/>
  <c r="EZ33" i="16"/>
  <c r="FA33" i="16"/>
  <c r="FB33" i="16"/>
  <c r="FC33" i="16"/>
  <c r="FD33" i="16"/>
  <c r="EV9" i="16"/>
  <c r="EW9" i="16"/>
  <c r="EX9" i="16"/>
  <c r="EY9" i="16"/>
  <c r="EZ9" i="16"/>
  <c r="FA9" i="16"/>
  <c r="FB9" i="16"/>
  <c r="FC9" i="16"/>
  <c r="FD9" i="16"/>
  <c r="EV10" i="16"/>
  <c r="EW10" i="16"/>
  <c r="EX10" i="16"/>
  <c r="EY10" i="16"/>
  <c r="EZ10" i="16"/>
  <c r="FA10" i="16"/>
  <c r="FB10" i="16"/>
  <c r="FC10" i="16"/>
  <c r="FD10" i="16"/>
  <c r="EV11" i="16"/>
  <c r="EW11" i="16"/>
  <c r="EX11" i="16"/>
  <c r="EY11" i="16"/>
  <c r="EZ11" i="16"/>
  <c r="FA11" i="16"/>
  <c r="FB11" i="16"/>
  <c r="FC11" i="16"/>
  <c r="FD11" i="16"/>
  <c r="EV12" i="16"/>
  <c r="EW12" i="16"/>
  <c r="EX12" i="16"/>
  <c r="EY12" i="16"/>
  <c r="EZ12" i="16"/>
  <c r="FA12" i="16"/>
  <c r="FB12" i="16"/>
  <c r="FC12" i="16"/>
  <c r="FD12" i="16"/>
  <c r="EV13" i="16"/>
  <c r="EW13" i="16"/>
  <c r="EX13" i="16"/>
  <c r="EY13" i="16"/>
  <c r="EZ13" i="16"/>
  <c r="FA13" i="16"/>
  <c r="FB13" i="16"/>
  <c r="FC13" i="16"/>
  <c r="FD13" i="16"/>
  <c r="EW8" i="16"/>
  <c r="EX8" i="16"/>
  <c r="EY8" i="16"/>
  <c r="EZ8" i="16"/>
  <c r="FA8" i="16"/>
  <c r="FB8" i="16"/>
  <c r="FC8" i="16"/>
  <c r="FD8" i="16"/>
  <c r="EV8" i="16"/>
  <c r="DN34" i="16"/>
  <c r="DO34" i="16"/>
  <c r="DP34" i="16"/>
  <c r="DQ34" i="16"/>
  <c r="DR34" i="16"/>
  <c r="DS34" i="16"/>
  <c r="DN35" i="16"/>
  <c r="DO35" i="16"/>
  <c r="DP35" i="16"/>
  <c r="DQ35" i="16"/>
  <c r="DR35" i="16"/>
  <c r="DS35" i="16"/>
  <c r="DN36" i="16"/>
  <c r="DO36" i="16"/>
  <c r="DP36" i="16"/>
  <c r="DQ36" i="16"/>
  <c r="DR36" i="16"/>
  <c r="DS36" i="16"/>
  <c r="DN37" i="16"/>
  <c r="DO37" i="16"/>
  <c r="DP37" i="16"/>
  <c r="DQ37" i="16"/>
  <c r="DR37" i="16"/>
  <c r="DS37" i="16"/>
  <c r="DN38" i="16"/>
  <c r="DO38" i="16"/>
  <c r="DP38" i="16"/>
  <c r="DQ38" i="16"/>
  <c r="DR38" i="16"/>
  <c r="DS38" i="16"/>
  <c r="DN39" i="16"/>
  <c r="DO39" i="16"/>
  <c r="DP39" i="16"/>
  <c r="DQ39" i="16"/>
  <c r="DR39" i="16"/>
  <c r="DS39" i="16"/>
  <c r="DN40" i="16"/>
  <c r="DO40" i="16"/>
  <c r="DP40" i="16"/>
  <c r="DQ40" i="16"/>
  <c r="DR40" i="16"/>
  <c r="DS40" i="16"/>
  <c r="DN41" i="16"/>
  <c r="DO41" i="16"/>
  <c r="DP41" i="16"/>
  <c r="DQ41" i="16"/>
  <c r="DR41" i="16"/>
  <c r="DS41" i="16"/>
  <c r="DN42" i="16"/>
  <c r="DO42" i="16"/>
  <c r="DP42" i="16"/>
  <c r="DQ42" i="16"/>
  <c r="DR42" i="16"/>
  <c r="DS42" i="16"/>
  <c r="DN43" i="16"/>
  <c r="DO43" i="16"/>
  <c r="DP43" i="16"/>
  <c r="DQ43" i="16"/>
  <c r="DR43" i="16"/>
  <c r="DS43" i="16"/>
  <c r="DN44" i="16"/>
  <c r="DO44" i="16"/>
  <c r="DP44" i="16"/>
  <c r="DQ44" i="16"/>
  <c r="DR44" i="16"/>
  <c r="DS44" i="16"/>
  <c r="DN45" i="16"/>
  <c r="DO45" i="16"/>
  <c r="DP45" i="16"/>
  <c r="DQ45" i="16"/>
  <c r="DR45" i="16"/>
  <c r="DS45" i="16"/>
  <c r="DN46" i="16"/>
  <c r="DO46" i="16"/>
  <c r="DP46" i="16"/>
  <c r="DQ46" i="16"/>
  <c r="DR46" i="16"/>
  <c r="DS46" i="16"/>
  <c r="DN47" i="16"/>
  <c r="DO47" i="16"/>
  <c r="DP47" i="16"/>
  <c r="DQ47" i="16"/>
  <c r="DR47" i="16"/>
  <c r="DS47" i="16"/>
  <c r="DN48" i="16"/>
  <c r="DO48" i="16"/>
  <c r="DP48" i="16"/>
  <c r="DQ48" i="16"/>
  <c r="DR48" i="16"/>
  <c r="DS48" i="16"/>
  <c r="DO33" i="16"/>
  <c r="DP33" i="16"/>
  <c r="DQ33" i="16"/>
  <c r="DR33" i="16"/>
  <c r="DS33" i="16"/>
  <c r="DT33" i="16"/>
  <c r="DO9" i="16"/>
  <c r="DP9" i="16"/>
  <c r="DQ9" i="16"/>
  <c r="DR9" i="16"/>
  <c r="DS9" i="16"/>
  <c r="DO10" i="16"/>
  <c r="DP10" i="16"/>
  <c r="DQ10" i="16"/>
  <c r="DR10" i="16"/>
  <c r="DS10" i="16"/>
  <c r="DO11" i="16"/>
  <c r="DP11" i="16"/>
  <c r="DQ11" i="16"/>
  <c r="DR11" i="16"/>
  <c r="DS11" i="16"/>
  <c r="DO12" i="16"/>
  <c r="DP12" i="16"/>
  <c r="DQ12" i="16"/>
  <c r="DR12" i="16"/>
  <c r="DS12" i="16"/>
  <c r="DO13" i="16"/>
  <c r="DP13" i="16"/>
  <c r="DQ13" i="16"/>
  <c r="DR13" i="16"/>
  <c r="DS13" i="16"/>
  <c r="DO14" i="16"/>
  <c r="DP14" i="16"/>
  <c r="DQ14" i="16"/>
  <c r="DR14" i="16"/>
  <c r="DS14" i="16"/>
  <c r="DO15" i="16"/>
  <c r="DP15" i="16"/>
  <c r="DQ15" i="16"/>
  <c r="DR15" i="16"/>
  <c r="DS15" i="16"/>
  <c r="DO16" i="16"/>
  <c r="DP16" i="16"/>
  <c r="DQ16" i="16"/>
  <c r="DR16" i="16"/>
  <c r="DS16" i="16"/>
  <c r="DO17" i="16"/>
  <c r="DP17" i="16"/>
  <c r="DQ17" i="16"/>
  <c r="DR17" i="16"/>
  <c r="DS17" i="16"/>
  <c r="DO18" i="16"/>
  <c r="DP18" i="16"/>
  <c r="DQ18" i="16"/>
  <c r="DR18" i="16"/>
  <c r="DS18" i="16"/>
  <c r="DO19" i="16"/>
  <c r="DP19" i="16"/>
  <c r="DQ19" i="16"/>
  <c r="DR19" i="16"/>
  <c r="DS19" i="16"/>
  <c r="DO20" i="16"/>
  <c r="DP20" i="16"/>
  <c r="DQ20" i="16"/>
  <c r="DR20" i="16"/>
  <c r="DS20" i="16"/>
  <c r="DO21" i="16"/>
  <c r="DP21" i="16"/>
  <c r="DQ21" i="16"/>
  <c r="DR21" i="16"/>
  <c r="DS21" i="16"/>
  <c r="DO22" i="16"/>
  <c r="DP22" i="16"/>
  <c r="DQ22" i="16"/>
  <c r="DR22" i="16"/>
  <c r="DS22" i="16"/>
  <c r="DO23" i="16"/>
  <c r="DP23" i="16"/>
  <c r="DQ23" i="16"/>
  <c r="DR23" i="16"/>
  <c r="DS23" i="16"/>
  <c r="DP8" i="16"/>
  <c r="DQ8" i="16"/>
  <c r="DR8" i="16"/>
  <c r="DS8" i="16"/>
  <c r="DT8" i="16"/>
  <c r="DT25" i="16" s="1"/>
  <c r="DO8" i="16"/>
  <c r="DN9" i="16"/>
  <c r="DN10" i="16"/>
  <c r="DN11" i="16"/>
  <c r="DN12" i="16"/>
  <c r="DN13" i="16"/>
  <c r="DN14" i="16"/>
  <c r="DN15" i="16"/>
  <c r="DN16" i="16"/>
  <c r="DN17" i="16"/>
  <c r="DN18" i="16"/>
  <c r="DN19" i="16"/>
  <c r="DN20" i="16"/>
  <c r="DN21" i="16"/>
  <c r="DN22" i="16"/>
  <c r="DN23" i="16"/>
  <c r="DN8" i="16"/>
  <c r="EM78" i="16"/>
  <c r="EM79" i="16" s="1"/>
  <c r="EL78" i="16"/>
  <c r="EL79" i="16" s="1"/>
  <c r="DV78" i="16"/>
  <c r="DV79" i="16" s="1"/>
  <c r="DU78" i="16"/>
  <c r="DU79" i="16" s="1"/>
  <c r="EM77" i="16"/>
  <c r="EL77" i="16"/>
  <c r="DV77" i="16"/>
  <c r="DU77" i="16"/>
  <c r="EM51" i="16"/>
  <c r="EM52" i="16" s="1"/>
  <c r="DV51" i="16"/>
  <c r="DV52" i="16" s="1"/>
  <c r="DU51" i="16"/>
  <c r="DU52" i="16" s="1"/>
  <c r="EM50" i="16"/>
  <c r="DV50" i="16"/>
  <c r="DU50" i="16"/>
  <c r="EM26" i="16"/>
  <c r="EM27" i="16" s="1"/>
  <c r="DV26" i="16"/>
  <c r="DV27" i="16" s="1"/>
  <c r="DU26" i="16"/>
  <c r="DU27" i="16" s="1"/>
  <c r="EM25" i="16"/>
  <c r="DV25" i="16"/>
  <c r="DU25" i="16"/>
  <c r="J212" i="16"/>
  <c r="K212" i="16"/>
  <c r="P212" i="16"/>
  <c r="Q212" i="16"/>
  <c r="R212" i="16"/>
  <c r="J213" i="16"/>
  <c r="K213" i="16"/>
  <c r="P213" i="16"/>
  <c r="Q213" i="16"/>
  <c r="R213" i="16"/>
  <c r="I213" i="16"/>
  <c r="I212" i="16"/>
  <c r="M205" i="16"/>
  <c r="N205" i="16"/>
  <c r="T205" i="16"/>
  <c r="U205" i="16"/>
  <c r="M206" i="16"/>
  <c r="N206" i="16"/>
  <c r="T206" i="16"/>
  <c r="U206" i="16"/>
  <c r="M207" i="16"/>
  <c r="N207" i="16"/>
  <c r="T207" i="16"/>
  <c r="U207" i="16"/>
  <c r="M208" i="16"/>
  <c r="N208" i="16"/>
  <c r="T208" i="16"/>
  <c r="U208" i="16"/>
  <c r="M209" i="16"/>
  <c r="N209" i="16"/>
  <c r="T209" i="16"/>
  <c r="U209" i="16"/>
  <c r="M210" i="16"/>
  <c r="N210" i="16"/>
  <c r="T210" i="16"/>
  <c r="U210" i="16"/>
  <c r="G213" i="16"/>
  <c r="G212" i="16"/>
  <c r="U192" i="16"/>
  <c r="N192" i="16"/>
  <c r="T192" i="16"/>
  <c r="M192" i="16"/>
  <c r="N190" i="16"/>
  <c r="N191" i="16"/>
  <c r="M191" i="16"/>
  <c r="U191" i="16"/>
  <c r="T191" i="16"/>
  <c r="U190" i="16"/>
  <c r="M190" i="16"/>
  <c r="T190" i="16"/>
  <c r="K194" i="16"/>
  <c r="P194" i="16"/>
  <c r="Q194" i="16"/>
  <c r="R194" i="16"/>
  <c r="J195" i="16"/>
  <c r="K195" i="16"/>
  <c r="P195" i="16"/>
  <c r="Q195" i="16"/>
  <c r="R195" i="16"/>
  <c r="I195" i="16"/>
  <c r="I194" i="16"/>
  <c r="G195" i="16"/>
  <c r="G194" i="16"/>
  <c r="U189" i="16"/>
  <c r="T189" i="16"/>
  <c r="N189" i="16"/>
  <c r="M189" i="16"/>
  <c r="U188" i="16"/>
  <c r="T188" i="16"/>
  <c r="N188" i="16"/>
  <c r="M188" i="16"/>
  <c r="U187" i="16"/>
  <c r="T187" i="16"/>
  <c r="N187" i="16"/>
  <c r="M187" i="16"/>
  <c r="U185" i="16"/>
  <c r="T185" i="16"/>
  <c r="N185" i="16"/>
  <c r="M185" i="16"/>
  <c r="EV51" i="16" l="1"/>
  <c r="EV52" i="16" s="1"/>
  <c r="FS26" i="16"/>
  <c r="FS27" i="16" s="1"/>
  <c r="T194" i="16"/>
  <c r="DS51" i="16"/>
  <c r="DS52" i="16" s="1"/>
  <c r="FB25" i="16"/>
  <c r="FS25" i="16"/>
  <c r="DR50" i="16"/>
  <c r="EX26" i="16"/>
  <c r="EX27" i="16" s="1"/>
  <c r="FB51" i="16"/>
  <c r="FB52" i="16" s="1"/>
  <c r="FC51" i="16"/>
  <c r="FC52" i="16" s="1"/>
  <c r="EY51" i="16"/>
  <c r="EY52" i="16" s="1"/>
  <c r="FD51" i="16"/>
  <c r="FD52" i="16" s="1"/>
  <c r="EZ51" i="16"/>
  <c r="EZ52" i="16" s="1"/>
  <c r="EV50" i="16"/>
  <c r="DN51" i="16"/>
  <c r="DN52" i="16" s="1"/>
  <c r="DO26" i="16"/>
  <c r="DO27" i="16" s="1"/>
  <c r="DQ26" i="16"/>
  <c r="DQ27" i="16" s="1"/>
  <c r="DO77" i="16"/>
  <c r="DP77" i="16"/>
  <c r="FC77" i="16"/>
  <c r="FU26" i="16"/>
  <c r="FU27" i="16" s="1"/>
  <c r="FQ26" i="16"/>
  <c r="FQ27" i="16" s="1"/>
  <c r="FM26" i="16"/>
  <c r="FM27" i="16" s="1"/>
  <c r="FR26" i="16"/>
  <c r="FR27" i="16" s="1"/>
  <c r="FN25" i="16"/>
  <c r="FO51" i="16"/>
  <c r="FO52" i="16" s="1"/>
  <c r="FS77" i="16"/>
  <c r="FO78" i="16"/>
  <c r="FO79" i="16" s="1"/>
  <c r="FT77" i="16"/>
  <c r="FP77" i="16"/>
  <c r="FU77" i="16"/>
  <c r="FQ77" i="16"/>
  <c r="FM78" i="16"/>
  <c r="FM79" i="16" s="1"/>
  <c r="DO50" i="16"/>
  <c r="DT50" i="16"/>
  <c r="DQ77" i="16"/>
  <c r="EL26" i="16"/>
  <c r="EL27" i="16" s="1"/>
  <c r="FR25" i="16"/>
  <c r="FN26" i="16"/>
  <c r="FN27" i="16" s="1"/>
  <c r="FC26" i="16"/>
  <c r="FC27" i="16" s="1"/>
  <c r="EY26" i="16"/>
  <c r="EY27" i="16" s="1"/>
  <c r="FD25" i="16"/>
  <c r="EZ25" i="16"/>
  <c r="EV25" i="16"/>
  <c r="FB26" i="16"/>
  <c r="FB27" i="16" s="1"/>
  <c r="EX25" i="16"/>
  <c r="FB78" i="16"/>
  <c r="FB79" i="16" s="1"/>
  <c r="EY77" i="16"/>
  <c r="DP26" i="16"/>
  <c r="DP27" i="16" s="1"/>
  <c r="DS50" i="16"/>
  <c r="DN50" i="16"/>
  <c r="DS77" i="16"/>
  <c r="DN77" i="16"/>
  <c r="FS78" i="16"/>
  <c r="FS79" i="16" s="1"/>
  <c r="FO77" i="16"/>
  <c r="FM25" i="16"/>
  <c r="EL50" i="16"/>
  <c r="FB50" i="16"/>
  <c r="FM77" i="16"/>
  <c r="DN25" i="16"/>
  <c r="DS25" i="16"/>
  <c r="DQ25" i="16"/>
  <c r="EX77" i="16"/>
  <c r="FT51" i="16"/>
  <c r="FT52" i="16" s="1"/>
  <c r="FP51" i="16"/>
  <c r="FP52" i="16" s="1"/>
  <c r="FM51" i="16"/>
  <c r="FM52" i="16" s="1"/>
  <c r="FR51" i="16"/>
  <c r="FR52" i="16" s="1"/>
  <c r="FN51" i="16"/>
  <c r="FN52" i="16" s="1"/>
  <c r="FS51" i="16"/>
  <c r="FS52" i="16" s="1"/>
  <c r="DT26" i="16"/>
  <c r="DT27" i="16" s="1"/>
  <c r="DR51" i="16"/>
  <c r="DR52" i="16" s="1"/>
  <c r="DP51" i="16"/>
  <c r="DP52" i="16" s="1"/>
  <c r="EX50" i="16"/>
  <c r="DR77" i="16"/>
  <c r="FO25" i="16"/>
  <c r="M194" i="16"/>
  <c r="N195" i="16"/>
  <c r="FO50" i="16"/>
  <c r="DN26" i="16"/>
  <c r="DN27" i="16" s="1"/>
  <c r="FT78" i="16"/>
  <c r="FT79" i="16" s="1"/>
  <c r="FP78" i="16"/>
  <c r="FP79" i="16" s="1"/>
  <c r="FR78" i="16"/>
  <c r="FR79" i="16" s="1"/>
  <c r="FN78" i="16"/>
  <c r="FN79" i="16" s="1"/>
  <c r="FU78" i="16"/>
  <c r="FU79" i="16" s="1"/>
  <c r="FQ78" i="16"/>
  <c r="FQ79" i="16" s="1"/>
  <c r="FN77" i="16"/>
  <c r="FR77" i="16"/>
  <c r="FR50" i="16"/>
  <c r="FM50" i="16"/>
  <c r="FS50" i="16"/>
  <c r="FN50" i="16"/>
  <c r="FU51" i="16"/>
  <c r="FU52" i="16" s="1"/>
  <c r="FQ51" i="16"/>
  <c r="FQ52" i="16" s="1"/>
  <c r="FP50" i="16"/>
  <c r="FT50" i="16"/>
  <c r="FQ50" i="16"/>
  <c r="FU50" i="16"/>
  <c r="FT26" i="16"/>
  <c r="FT27" i="16" s="1"/>
  <c r="FP26" i="16"/>
  <c r="FP27" i="16" s="1"/>
  <c r="FO26" i="16"/>
  <c r="FO27" i="16" s="1"/>
  <c r="FU25" i="16"/>
  <c r="FQ25" i="16"/>
  <c r="FP25" i="16"/>
  <c r="FT25" i="16"/>
  <c r="EY78" i="16"/>
  <c r="EY79" i="16" s="1"/>
  <c r="FA77" i="16"/>
  <c r="EW78" i="16"/>
  <c r="EW79" i="16" s="1"/>
  <c r="FA78" i="16"/>
  <c r="FA79" i="16" s="1"/>
  <c r="DQ78" i="16"/>
  <c r="DQ79" i="16" s="1"/>
  <c r="DT77" i="16"/>
  <c r="DS78" i="16"/>
  <c r="DS79" i="16" s="1"/>
  <c r="DO78" i="16"/>
  <c r="DO79" i="16" s="1"/>
  <c r="EX78" i="16"/>
  <c r="EX79" i="16" s="1"/>
  <c r="FC78" i="16"/>
  <c r="FC79" i="16" s="1"/>
  <c r="EW77" i="16"/>
  <c r="FB77" i="16"/>
  <c r="EV77" i="16"/>
  <c r="FD77" i="16"/>
  <c r="EZ78" i="16"/>
  <c r="EZ79" i="16" s="1"/>
  <c r="FD78" i="16"/>
  <c r="FD79" i="16" s="1"/>
  <c r="EZ77" i="16"/>
  <c r="EV78" i="16"/>
  <c r="EV79" i="16" s="1"/>
  <c r="EY50" i="16"/>
  <c r="FC50" i="16"/>
  <c r="EX51" i="16"/>
  <c r="EX52" i="16" s="1"/>
  <c r="FA50" i="16"/>
  <c r="EW50" i="16"/>
  <c r="FD50" i="16"/>
  <c r="EZ50" i="16"/>
  <c r="EW51" i="16"/>
  <c r="EW52" i="16" s="1"/>
  <c r="FA51" i="16"/>
  <c r="FA52" i="16" s="1"/>
  <c r="EV26" i="16"/>
  <c r="EV27" i="16" s="1"/>
  <c r="FC25" i="16"/>
  <c r="EY25" i="16"/>
  <c r="FA26" i="16"/>
  <c r="FA27" i="16" s="1"/>
  <c r="EW26" i="16"/>
  <c r="EW27" i="16" s="1"/>
  <c r="FD26" i="16"/>
  <c r="FD27" i="16" s="1"/>
  <c r="EZ26" i="16"/>
  <c r="EZ27" i="16" s="1"/>
  <c r="EW25" i="16"/>
  <c r="FA25" i="16"/>
  <c r="DT78" i="16"/>
  <c r="DT79" i="16" s="1"/>
  <c r="DP78" i="16"/>
  <c r="DP79" i="16" s="1"/>
  <c r="DR78" i="16"/>
  <c r="DR79" i="16" s="1"/>
  <c r="DN78" i="16"/>
  <c r="DN79" i="16" s="1"/>
  <c r="DP50" i="16"/>
  <c r="DQ51" i="16"/>
  <c r="DQ52" i="16" s="1"/>
  <c r="DO51" i="16"/>
  <c r="DO52" i="16" s="1"/>
  <c r="DT51" i="16"/>
  <c r="DT52" i="16" s="1"/>
  <c r="DQ50" i="16"/>
  <c r="DS26" i="16"/>
  <c r="DS27" i="16" s="1"/>
  <c r="DP25" i="16"/>
  <c r="DR25" i="16"/>
  <c r="DR26" i="16"/>
  <c r="DR27" i="16" s="1"/>
  <c r="DO25" i="16"/>
  <c r="EL51" i="16"/>
  <c r="EL52" i="16" s="1"/>
  <c r="EL25" i="16"/>
  <c r="N213" i="16"/>
  <c r="U213" i="16"/>
  <c r="N212" i="16"/>
  <c r="M213" i="16"/>
  <c r="T212" i="16"/>
  <c r="U212" i="16"/>
  <c r="T213" i="16"/>
  <c r="M212" i="16"/>
  <c r="U195" i="16"/>
  <c r="N194" i="16"/>
  <c r="U194" i="16"/>
  <c r="T195" i="16"/>
  <c r="M195" i="16"/>
  <c r="BA121" i="39"/>
  <c r="BA122" i="39"/>
  <c r="BA123" i="39" s="1"/>
  <c r="BA115" i="39"/>
  <c r="BA116" i="39"/>
  <c r="BA117" i="39" s="1"/>
  <c r="AT93" i="39"/>
  <c r="AX93" i="39" s="1"/>
  <c r="AU93" i="39"/>
  <c r="AT94" i="39"/>
  <c r="AX94" i="39" s="1"/>
  <c r="AU94" i="39"/>
  <c r="AT95" i="39"/>
  <c r="AU95" i="39"/>
  <c r="AT96" i="39"/>
  <c r="AX96" i="39" s="1"/>
  <c r="AU96" i="39"/>
  <c r="AT97" i="39"/>
  <c r="AX97" i="39" s="1"/>
  <c r="AU97" i="39"/>
  <c r="AT98" i="39"/>
  <c r="AX98" i="39" s="1"/>
  <c r="AU98" i="39"/>
  <c r="AT99" i="39"/>
  <c r="AX99" i="39" s="1"/>
  <c r="AU99" i="39"/>
  <c r="AT100" i="39"/>
  <c r="AX100" i="39" s="1"/>
  <c r="AU100" i="39"/>
  <c r="AT101" i="39"/>
  <c r="AX101" i="39" s="1"/>
  <c r="AU101" i="39"/>
  <c r="AT102" i="39"/>
  <c r="AX102" i="39" s="1"/>
  <c r="AU102" i="39"/>
  <c r="AT103" i="39"/>
  <c r="AX103" i="39" s="1"/>
  <c r="AU103" i="39"/>
  <c r="AT104" i="39"/>
  <c r="AU104" i="39"/>
  <c r="AT105" i="39"/>
  <c r="AX105" i="39" s="1"/>
  <c r="AU105" i="39"/>
  <c r="AT106" i="39"/>
  <c r="AX106" i="39" s="1"/>
  <c r="AU106" i="39"/>
  <c r="AT107" i="39"/>
  <c r="AX107" i="39" s="1"/>
  <c r="AU107" i="39"/>
  <c r="AT108" i="39"/>
  <c r="BB108" i="39" s="1"/>
  <c r="AU108" i="39"/>
  <c r="AU92" i="39"/>
  <c r="AT92" i="39"/>
  <c r="BB92" i="39" s="1"/>
  <c r="BA82" i="39"/>
  <c r="BA83" i="39"/>
  <c r="BA84" i="39" s="1"/>
  <c r="BA76" i="39"/>
  <c r="BA77" i="39"/>
  <c r="BA78" i="39" s="1"/>
  <c r="AT69" i="39"/>
  <c r="AU68" i="39"/>
  <c r="AT68" i="39"/>
  <c r="AX68" i="39" s="1"/>
  <c r="AU67" i="39"/>
  <c r="AT67" i="39"/>
  <c r="AX67" i="39" s="1"/>
  <c r="AU66" i="39"/>
  <c r="AT66" i="39"/>
  <c r="AX66" i="39" s="1"/>
  <c r="AU65" i="39"/>
  <c r="AT65" i="39"/>
  <c r="AX65" i="39" s="1"/>
  <c r="AU64" i="39"/>
  <c r="AT64" i="39"/>
  <c r="AX64" i="39" s="1"/>
  <c r="AU63" i="39"/>
  <c r="AT63" i="39"/>
  <c r="AX63" i="39" s="1"/>
  <c r="AU62" i="39"/>
  <c r="AT62" i="39"/>
  <c r="AX62" i="39" s="1"/>
  <c r="AU61" i="39"/>
  <c r="AT61" i="39"/>
  <c r="AX61" i="39" s="1"/>
  <c r="AU60" i="39"/>
  <c r="AT60" i="39"/>
  <c r="AX60" i="39" s="1"/>
  <c r="AU59" i="39"/>
  <c r="AT59" i="39"/>
  <c r="AX59" i="39" s="1"/>
  <c r="AU58" i="39"/>
  <c r="AT58" i="39"/>
  <c r="BB58" i="39" s="1"/>
  <c r="AU57" i="39"/>
  <c r="AT57" i="39"/>
  <c r="BB57" i="39" s="1"/>
  <c r="AU56" i="39"/>
  <c r="AT56" i="39"/>
  <c r="BB56" i="39" s="1"/>
  <c r="AU55" i="39"/>
  <c r="AT55" i="39"/>
  <c r="BB55" i="39" s="1"/>
  <c r="AU54" i="39"/>
  <c r="AT54" i="39"/>
  <c r="BB54" i="39" s="1"/>
  <c r="AU53" i="39"/>
  <c r="AT53" i="39"/>
  <c r="AX53" i="39" s="1"/>
  <c r="BA37" i="39"/>
  <c r="BA38" i="39"/>
  <c r="BA39" i="39" s="1"/>
  <c r="AT28" i="39"/>
  <c r="AU27" i="39"/>
  <c r="AT27" i="39"/>
  <c r="BB27" i="39" s="1"/>
  <c r="AU26" i="39"/>
  <c r="AT26" i="39"/>
  <c r="BB26" i="39" s="1"/>
  <c r="AU25" i="39"/>
  <c r="AT25" i="39"/>
  <c r="BB25" i="39" s="1"/>
  <c r="AU24" i="39"/>
  <c r="AT24" i="39"/>
  <c r="BB24" i="39" s="1"/>
  <c r="AU23" i="39"/>
  <c r="AT23" i="39"/>
  <c r="BB23" i="39" s="1"/>
  <c r="AU22" i="39"/>
  <c r="AT22" i="39"/>
  <c r="BB22" i="39" s="1"/>
  <c r="AU21" i="39"/>
  <c r="AT21" i="39"/>
  <c r="BB21" i="39" s="1"/>
  <c r="AU20" i="39"/>
  <c r="AT20" i="39"/>
  <c r="BB20" i="39" s="1"/>
  <c r="AU19" i="39"/>
  <c r="AT19" i="39"/>
  <c r="BB19" i="39" s="1"/>
  <c r="AU18" i="39"/>
  <c r="AT18" i="39"/>
  <c r="BB18" i="39" s="1"/>
  <c r="AU17" i="39"/>
  <c r="AT17" i="39"/>
  <c r="BB17" i="39" s="1"/>
  <c r="AU16" i="39"/>
  <c r="AT16" i="39"/>
  <c r="BB16" i="39" s="1"/>
  <c r="AU15" i="39"/>
  <c r="AT15" i="39"/>
  <c r="BB15" i="39" s="1"/>
  <c r="AU14" i="39"/>
  <c r="AT14" i="39"/>
  <c r="BB14" i="39" s="1"/>
  <c r="AU13" i="39"/>
  <c r="AT13" i="39"/>
  <c r="BB13" i="39" s="1"/>
  <c r="AU12" i="39"/>
  <c r="AT12" i="39"/>
  <c r="BB12" i="39" s="1"/>
  <c r="AU11" i="39"/>
  <c r="AT11" i="39"/>
  <c r="BB11" i="39" s="1"/>
  <c r="AU10" i="39"/>
  <c r="AT10" i="39"/>
  <c r="BB10" i="39" s="1"/>
  <c r="AU9" i="39"/>
  <c r="AT9" i="39"/>
  <c r="BB9" i="39" s="1"/>
  <c r="AU8" i="39"/>
  <c r="AT8" i="39"/>
  <c r="BB8" i="39" s="1"/>
  <c r="AU7" i="39"/>
  <c r="AT7" i="39"/>
  <c r="BB7" i="39" s="1"/>
  <c r="AO77" i="16"/>
  <c r="AZ131" i="36"/>
  <c r="AZ132" i="36"/>
  <c r="AZ133" i="36" s="1"/>
  <c r="AZ124" i="36"/>
  <c r="AZ125" i="36"/>
  <c r="AZ126" i="36" s="1"/>
  <c r="AZ117" i="36"/>
  <c r="AZ118" i="36"/>
  <c r="AZ119" i="36" s="1"/>
  <c r="AT111" i="36"/>
  <c r="AS111" i="36"/>
  <c r="AW111" i="36" s="1"/>
  <c r="AT110" i="36"/>
  <c r="AS110" i="36"/>
  <c r="AW110" i="36" s="1"/>
  <c r="AT109" i="36"/>
  <c r="AS109" i="36"/>
  <c r="AW109" i="36" s="1"/>
  <c r="AT108" i="36"/>
  <c r="AS108" i="36"/>
  <c r="AW108" i="36" s="1"/>
  <c r="AT107" i="36"/>
  <c r="AS107" i="36"/>
  <c r="AW107" i="36" s="1"/>
  <c r="AT106" i="36"/>
  <c r="AS106" i="36"/>
  <c r="AW106" i="36" s="1"/>
  <c r="AT105" i="36"/>
  <c r="AS105" i="36"/>
  <c r="AW105" i="36" s="1"/>
  <c r="AT104" i="36"/>
  <c r="AS104" i="36"/>
  <c r="AW104" i="36" s="1"/>
  <c r="AT103" i="36"/>
  <c r="AS103" i="36"/>
  <c r="AW103" i="36" s="1"/>
  <c r="AT102" i="36"/>
  <c r="AS102" i="36"/>
  <c r="AT101" i="36"/>
  <c r="AS101" i="36"/>
  <c r="BA101" i="36" s="1"/>
  <c r="AT100" i="36"/>
  <c r="AS100" i="36"/>
  <c r="AW100" i="36" s="1"/>
  <c r="AT99" i="36"/>
  <c r="AS99" i="36"/>
  <c r="AW99" i="36" s="1"/>
  <c r="AT98" i="36"/>
  <c r="AS98" i="36"/>
  <c r="AW98" i="36" s="1"/>
  <c r="AT97" i="36"/>
  <c r="AS97" i="36"/>
  <c r="AW97" i="36" s="1"/>
  <c r="AT96" i="36"/>
  <c r="AS96" i="36"/>
  <c r="AW96" i="36" s="1"/>
  <c r="AZ83" i="36"/>
  <c r="AZ84" i="36"/>
  <c r="AZ85" i="36" s="1"/>
  <c r="AZ76" i="36"/>
  <c r="AZ77" i="36"/>
  <c r="AZ78" i="36" s="1"/>
  <c r="AZ69" i="36"/>
  <c r="AZ70" i="36"/>
  <c r="AZ71" i="36" s="1"/>
  <c r="AS40" i="36"/>
  <c r="AW40" i="36" s="1"/>
  <c r="AT40" i="36"/>
  <c r="AS41" i="36"/>
  <c r="AW41" i="36" s="1"/>
  <c r="AT41" i="36"/>
  <c r="AS42" i="36"/>
  <c r="AW42" i="36" s="1"/>
  <c r="AT42" i="36"/>
  <c r="AS43" i="36"/>
  <c r="AW43" i="36" s="1"/>
  <c r="AT43" i="36"/>
  <c r="AS44" i="36"/>
  <c r="AW44" i="36" s="1"/>
  <c r="AT44" i="36"/>
  <c r="AS45" i="36"/>
  <c r="BA45" i="36" s="1"/>
  <c r="AT45" i="36"/>
  <c r="AS46" i="36"/>
  <c r="AW46" i="36" s="1"/>
  <c r="AT46" i="36"/>
  <c r="AS47" i="36"/>
  <c r="AW47" i="36" s="1"/>
  <c r="AT47" i="36"/>
  <c r="AS48" i="36"/>
  <c r="BA48" i="36" s="1"/>
  <c r="AT48" i="36"/>
  <c r="AS49" i="36"/>
  <c r="AT49" i="36"/>
  <c r="AS50" i="36"/>
  <c r="AW50" i="36" s="1"/>
  <c r="AT50" i="36"/>
  <c r="AS51" i="36"/>
  <c r="AW51" i="36" s="1"/>
  <c r="AT51" i="36"/>
  <c r="AS52" i="36"/>
  <c r="AT52" i="36"/>
  <c r="AS53" i="36"/>
  <c r="AW53" i="36" s="1"/>
  <c r="AT53" i="36"/>
  <c r="AS54" i="36"/>
  <c r="AW54" i="36" s="1"/>
  <c r="AT54" i="36"/>
  <c r="AS55" i="36"/>
  <c r="AW55" i="36" s="1"/>
  <c r="AT55" i="36"/>
  <c r="AS56" i="36"/>
  <c r="AT56" i="36"/>
  <c r="AS57" i="36"/>
  <c r="BA57" i="36" s="1"/>
  <c r="AT57" i="36"/>
  <c r="AS58" i="36"/>
  <c r="BA58" i="36" s="1"/>
  <c r="AT58" i="36"/>
  <c r="AS59" i="36"/>
  <c r="AW59" i="36" s="1"/>
  <c r="AT59" i="36"/>
  <c r="AS60" i="36"/>
  <c r="AW60" i="36" s="1"/>
  <c r="AT60" i="36"/>
  <c r="AS61" i="36"/>
  <c r="BA61" i="36" s="1"/>
  <c r="AT61" i="36"/>
  <c r="AS62" i="36"/>
  <c r="BA62" i="36" s="1"/>
  <c r="AT62" i="36"/>
  <c r="AT39" i="36"/>
  <c r="AS39" i="36"/>
  <c r="AZ21" i="36"/>
  <c r="AZ22" i="36"/>
  <c r="AZ23" i="36" s="1"/>
  <c r="AS16" i="36"/>
  <c r="AT15" i="36"/>
  <c r="AS15" i="36"/>
  <c r="BA15" i="36" s="1"/>
  <c r="AT14" i="36"/>
  <c r="AS14" i="36"/>
  <c r="BA14" i="36" s="1"/>
  <c r="AT13" i="36"/>
  <c r="AS13" i="36"/>
  <c r="AT12" i="36"/>
  <c r="AS12" i="36"/>
  <c r="AT11" i="36"/>
  <c r="AS11" i="36"/>
  <c r="AT10" i="36"/>
  <c r="AS10" i="36"/>
  <c r="AW10" i="36" s="1"/>
  <c r="AT9" i="36"/>
  <c r="AS9" i="36"/>
  <c r="AW9" i="36" s="1"/>
  <c r="AT8" i="36"/>
  <c r="AS8" i="36"/>
  <c r="AT7" i="36"/>
  <c r="AS7" i="36"/>
  <c r="AF47" i="19"/>
  <c r="AF48" i="19"/>
  <c r="AF49" i="19" s="1"/>
  <c r="AF41" i="19"/>
  <c r="AF42" i="19"/>
  <c r="AF43" i="19" s="1"/>
  <c r="AF143" i="19"/>
  <c r="AF144" i="19"/>
  <c r="AF145" i="19" s="1"/>
  <c r="AF137" i="19"/>
  <c r="AF138" i="19"/>
  <c r="AF139" i="19" s="1"/>
  <c r="Y127" i="19"/>
  <c r="AC127" i="19" s="1"/>
  <c r="Z127" i="19"/>
  <c r="Y128" i="19"/>
  <c r="Z128" i="19"/>
  <c r="Y129" i="19"/>
  <c r="AC129" i="19" s="1"/>
  <c r="Z129" i="19"/>
  <c r="Y130" i="19"/>
  <c r="AG130" i="19" s="1"/>
  <c r="Z130" i="19"/>
  <c r="Y131" i="19"/>
  <c r="Z131" i="19"/>
  <c r="Y132" i="19"/>
  <c r="AC132" i="19" s="1"/>
  <c r="Z132" i="19"/>
  <c r="Y133" i="19"/>
  <c r="Z133" i="19"/>
  <c r="Y134" i="19"/>
  <c r="Z126" i="19"/>
  <c r="Y126" i="19"/>
  <c r="AI51" i="26"/>
  <c r="AI41" i="26"/>
  <c r="AG92" i="17"/>
  <c r="AG93" i="17"/>
  <c r="AG94" i="17" s="1"/>
  <c r="AG86" i="17"/>
  <c r="AG87" i="17"/>
  <c r="AG88" i="17" s="1"/>
  <c r="AG80" i="17"/>
  <c r="AG81" i="17"/>
  <c r="AG82" i="17" s="1"/>
  <c r="BN78" i="16"/>
  <c r="BN79" i="16" s="1"/>
  <c r="BM78" i="16"/>
  <c r="BM79" i="16" s="1"/>
  <c r="BL78" i="16"/>
  <c r="BL79" i="16" s="1"/>
  <c r="BK78" i="16"/>
  <c r="BK79" i="16" s="1"/>
  <c r="BJ78" i="16"/>
  <c r="BJ79" i="16" s="1"/>
  <c r="BI78" i="16"/>
  <c r="BI79" i="16" s="1"/>
  <c r="BH78" i="16"/>
  <c r="BH79" i="16" s="1"/>
  <c r="BG78" i="16"/>
  <c r="BG79" i="16" s="1"/>
  <c r="BF78" i="16"/>
  <c r="BF79" i="16" s="1"/>
  <c r="BN77" i="16"/>
  <c r="BM77" i="16"/>
  <c r="BL77" i="16"/>
  <c r="BK77" i="16"/>
  <c r="BJ77" i="16"/>
  <c r="BI77" i="16"/>
  <c r="BH77" i="16"/>
  <c r="BG77" i="16"/>
  <c r="BF77" i="16"/>
  <c r="BN51" i="16"/>
  <c r="BN52" i="16" s="1"/>
  <c r="BM51" i="16"/>
  <c r="BM52" i="16" s="1"/>
  <c r="BL51" i="16"/>
  <c r="BL52" i="16" s="1"/>
  <c r="BK51" i="16"/>
  <c r="BK52" i="16" s="1"/>
  <c r="BJ51" i="16"/>
  <c r="BJ52" i="16" s="1"/>
  <c r="BI51" i="16"/>
  <c r="BI52" i="16" s="1"/>
  <c r="BH51" i="16"/>
  <c r="BH52" i="16" s="1"/>
  <c r="BG51" i="16"/>
  <c r="BG52" i="16" s="1"/>
  <c r="BF51" i="16"/>
  <c r="BF52" i="16" s="1"/>
  <c r="BN50" i="16"/>
  <c r="BM50" i="16"/>
  <c r="BL50" i="16"/>
  <c r="BK50" i="16"/>
  <c r="BJ50" i="16"/>
  <c r="BI50" i="16"/>
  <c r="BH50" i="16"/>
  <c r="BG50" i="16"/>
  <c r="BF50" i="16"/>
  <c r="BN26" i="16"/>
  <c r="BN27" i="16" s="1"/>
  <c r="BM26" i="16"/>
  <c r="BM27" i="16" s="1"/>
  <c r="BL26" i="16"/>
  <c r="BL27" i="16" s="1"/>
  <c r="BK26" i="16"/>
  <c r="BK27" i="16" s="1"/>
  <c r="BJ26" i="16"/>
  <c r="BJ27" i="16" s="1"/>
  <c r="BI26" i="16"/>
  <c r="BI27" i="16" s="1"/>
  <c r="BH26" i="16"/>
  <c r="BH27" i="16" s="1"/>
  <c r="BG26" i="16"/>
  <c r="BG27" i="16" s="1"/>
  <c r="BF26" i="16"/>
  <c r="BF27" i="16" s="1"/>
  <c r="BN25" i="16"/>
  <c r="BM25" i="16"/>
  <c r="BL25" i="16"/>
  <c r="BK25" i="16"/>
  <c r="BJ25" i="16"/>
  <c r="BI25" i="16"/>
  <c r="BH25" i="16"/>
  <c r="BG25" i="16"/>
  <c r="BF25" i="16"/>
  <c r="AU25" i="16"/>
  <c r="AT26" i="16"/>
  <c r="AT27" i="16" s="1"/>
  <c r="AQ25" i="16"/>
  <c r="AP26" i="16"/>
  <c r="AP27" i="16" s="1"/>
  <c r="AH163" i="18"/>
  <c r="AH164" i="18"/>
  <c r="AH165" i="18" s="1"/>
  <c r="AH158" i="18"/>
  <c r="AH159" i="18"/>
  <c r="AH160" i="18" s="1"/>
  <c r="AH153" i="18"/>
  <c r="AH154" i="18"/>
  <c r="AH155" i="18" s="1"/>
  <c r="AH142" i="18"/>
  <c r="AH143" i="18"/>
  <c r="AH144" i="18" s="1"/>
  <c r="AH137" i="18"/>
  <c r="AH138" i="18"/>
  <c r="AH139" i="18" s="1"/>
  <c r="AH132" i="18"/>
  <c r="AH133" i="18"/>
  <c r="AH134" i="18" s="1"/>
  <c r="AW78" i="16"/>
  <c r="AW79" i="16" s="1"/>
  <c r="AV78" i="16"/>
  <c r="AV79" i="16" s="1"/>
  <c r="AU78" i="16"/>
  <c r="AU79" i="16" s="1"/>
  <c r="AT78" i="16"/>
  <c r="AT79" i="16" s="1"/>
  <c r="AS78" i="16"/>
  <c r="AS79" i="16" s="1"/>
  <c r="AR78" i="16"/>
  <c r="AR79" i="16" s="1"/>
  <c r="AQ78" i="16"/>
  <c r="AQ79" i="16" s="1"/>
  <c r="AP78" i="16"/>
  <c r="AP79" i="16" s="1"/>
  <c r="AO78" i="16"/>
  <c r="AO79" i="16" s="1"/>
  <c r="AW77" i="16"/>
  <c r="AV77" i="16"/>
  <c r="AU77" i="16"/>
  <c r="AT77" i="16"/>
  <c r="AS77" i="16"/>
  <c r="AR77" i="16"/>
  <c r="AQ77" i="16"/>
  <c r="AP77" i="16"/>
  <c r="AW51" i="16"/>
  <c r="AW52" i="16" s="1"/>
  <c r="AV51" i="16"/>
  <c r="AV52" i="16" s="1"/>
  <c r="AU51" i="16"/>
  <c r="AU52" i="16" s="1"/>
  <c r="AT51" i="16"/>
  <c r="AT52" i="16" s="1"/>
  <c r="AS51" i="16"/>
  <c r="AS52" i="16" s="1"/>
  <c r="AR51" i="16"/>
  <c r="AR52" i="16" s="1"/>
  <c r="AQ51" i="16"/>
  <c r="AQ52" i="16" s="1"/>
  <c r="AP51" i="16"/>
  <c r="AP52" i="16" s="1"/>
  <c r="AO51" i="16"/>
  <c r="AO52" i="16" s="1"/>
  <c r="AW50" i="16"/>
  <c r="AV50" i="16"/>
  <c r="AU50" i="16"/>
  <c r="AT50" i="16"/>
  <c r="AS50" i="16"/>
  <c r="AR50" i="16"/>
  <c r="AQ50" i="16"/>
  <c r="AP50" i="16"/>
  <c r="AO50" i="16"/>
  <c r="AW26" i="16"/>
  <c r="AW27" i="16" s="1"/>
  <c r="AV26" i="16"/>
  <c r="AV27" i="16" s="1"/>
  <c r="AU26" i="16"/>
  <c r="AU27" i="16" s="1"/>
  <c r="AS26" i="16"/>
  <c r="AS27" i="16" s="1"/>
  <c r="AR26" i="16"/>
  <c r="AR27" i="16" s="1"/>
  <c r="AQ26" i="16"/>
  <c r="AQ27" i="16" s="1"/>
  <c r="AO26" i="16"/>
  <c r="AO27" i="16" s="1"/>
  <c r="AW25" i="16"/>
  <c r="AV25" i="16"/>
  <c r="AT25" i="16"/>
  <c r="AS25" i="16"/>
  <c r="AR25" i="16"/>
  <c r="AO25" i="16"/>
  <c r="AG127" i="19" l="1"/>
  <c r="AZ105" i="39"/>
  <c r="AY105" i="39" s="1"/>
  <c r="AZ96" i="39"/>
  <c r="AV96" i="39" s="1"/>
  <c r="BA46" i="36"/>
  <c r="Y144" i="19"/>
  <c r="Y145" i="19" s="1"/>
  <c r="BB37" i="39"/>
  <c r="AG126" i="19"/>
  <c r="AE133" i="19"/>
  <c r="AD133" i="19" s="1"/>
  <c r="BA54" i="36"/>
  <c r="BA42" i="36"/>
  <c r="AS21" i="36"/>
  <c r="BA50" i="36"/>
  <c r="BA40" i="36"/>
  <c r="AY49" i="36"/>
  <c r="AX49" i="36" s="1"/>
  <c r="AS83" i="36"/>
  <c r="BA53" i="36"/>
  <c r="AZ104" i="39"/>
  <c r="AY104" i="39" s="1"/>
  <c r="AZ101" i="39"/>
  <c r="AW101" i="39" s="1"/>
  <c r="AZ97" i="39"/>
  <c r="AV97" i="39" s="1"/>
  <c r="AC130" i="19"/>
  <c r="AZ100" i="39"/>
  <c r="AY100" i="39" s="1"/>
  <c r="Y143" i="19"/>
  <c r="AT21" i="36"/>
  <c r="AW131" i="36"/>
  <c r="AU82" i="39"/>
  <c r="AY101" i="39"/>
  <c r="BA60" i="36"/>
  <c r="BA44" i="36"/>
  <c r="AY61" i="36"/>
  <c r="AX61" i="36" s="1"/>
  <c r="AT116" i="39"/>
  <c r="AT117" i="39" s="1"/>
  <c r="AY45" i="36"/>
  <c r="AX45" i="36" s="1"/>
  <c r="AG133" i="19"/>
  <c r="AC133" i="19"/>
  <c r="AS22" i="36"/>
  <c r="AS23" i="36" s="1"/>
  <c r="BA41" i="36"/>
  <c r="AW61" i="36"/>
  <c r="AY60" i="36"/>
  <c r="AX60" i="36" s="1"/>
  <c r="AY57" i="36"/>
  <c r="AX57" i="36" s="1"/>
  <c r="AY56" i="36"/>
  <c r="AX56" i="36" s="1"/>
  <c r="AW45" i="36"/>
  <c r="AY44" i="36"/>
  <c r="AX44" i="36" s="1"/>
  <c r="AT124" i="36"/>
  <c r="AT118" i="36"/>
  <c r="AT119" i="36" s="1"/>
  <c r="AT122" i="39"/>
  <c r="AT123" i="39" s="1"/>
  <c r="AG129" i="19"/>
  <c r="AT22" i="36"/>
  <c r="AT23" i="36" s="1"/>
  <c r="AU37" i="39"/>
  <c r="AU76" i="39"/>
  <c r="AU115" i="39"/>
  <c r="AZ93" i="39"/>
  <c r="AY93" i="39" s="1"/>
  <c r="Z143" i="19"/>
  <c r="AT69" i="36"/>
  <c r="AT76" i="36"/>
  <c r="AT77" i="36"/>
  <c r="AT78" i="36" s="1"/>
  <c r="AY40" i="36"/>
  <c r="AX40" i="36" s="1"/>
  <c r="AE130" i="19"/>
  <c r="AD130" i="19" s="1"/>
  <c r="AY41" i="36"/>
  <c r="AX41" i="36" s="1"/>
  <c r="AC128" i="19"/>
  <c r="Y138" i="19"/>
  <c r="Y139" i="19" s="1"/>
  <c r="Y137" i="19"/>
  <c r="AS70" i="36"/>
  <c r="AS71" i="36" s="1"/>
  <c r="AC131" i="19"/>
  <c r="AG131" i="19"/>
  <c r="Z137" i="19"/>
  <c r="Z138" i="19"/>
  <c r="Z139" i="19" s="1"/>
  <c r="AE129" i="19"/>
  <c r="AD129" i="19" s="1"/>
  <c r="AY52" i="36"/>
  <c r="AX52" i="36" s="1"/>
  <c r="BA52" i="36"/>
  <c r="AW52" i="36"/>
  <c r="AW48" i="36"/>
  <c r="AS69" i="36"/>
  <c r="AY48" i="36"/>
  <c r="AX48" i="36" s="1"/>
  <c r="BA56" i="36"/>
  <c r="BA49" i="36"/>
  <c r="AW56" i="36"/>
  <c r="AW49" i="36"/>
  <c r="AS76" i="36"/>
  <c r="AS77" i="36"/>
  <c r="AS78" i="36" s="1"/>
  <c r="AT117" i="36"/>
  <c r="AT125" i="36"/>
  <c r="AT126" i="36" s="1"/>
  <c r="Z144" i="19"/>
  <c r="Z145" i="19" s="1"/>
  <c r="AW39" i="36"/>
  <c r="AS84" i="36"/>
  <c r="AS85" i="36" s="1"/>
  <c r="AT70" i="36"/>
  <c r="AT71" i="36" s="1"/>
  <c r="AT131" i="36"/>
  <c r="AT132" i="36"/>
  <c r="AT133" i="36" s="1"/>
  <c r="AS117" i="36"/>
  <c r="AT83" i="36"/>
  <c r="AT84" i="36"/>
  <c r="AT85" i="36" s="1"/>
  <c r="AW57" i="36"/>
  <c r="AY53" i="36"/>
  <c r="AX53" i="36" s="1"/>
  <c r="AS118" i="36"/>
  <c r="AS119" i="36" s="1"/>
  <c r="AS124" i="36"/>
  <c r="AS131" i="36"/>
  <c r="AW132" i="36"/>
  <c r="AW133" i="36" s="1"/>
  <c r="AT38" i="39"/>
  <c r="AT39" i="39" s="1"/>
  <c r="AT76" i="39"/>
  <c r="AT83" i="39"/>
  <c r="AT84" i="39" s="1"/>
  <c r="AZ108" i="39"/>
  <c r="AY108" i="39" s="1"/>
  <c r="AX104" i="39"/>
  <c r="AT115" i="39"/>
  <c r="AU116" i="39"/>
  <c r="AU117" i="39" s="1"/>
  <c r="AT121" i="39"/>
  <c r="AU122" i="39"/>
  <c r="AU123" i="39" s="1"/>
  <c r="AU38" i="39"/>
  <c r="AU39" i="39" s="1"/>
  <c r="AT77" i="39"/>
  <c r="AT78" i="39" s="1"/>
  <c r="AU83" i="39"/>
  <c r="AU84" i="39" s="1"/>
  <c r="AX108" i="39"/>
  <c r="AX95" i="39"/>
  <c r="AS125" i="36"/>
  <c r="AS126" i="36" s="1"/>
  <c r="AS132" i="36"/>
  <c r="AS133" i="36" s="1"/>
  <c r="BB38" i="39"/>
  <c r="BB39" i="39" s="1"/>
  <c r="AT37" i="39"/>
  <c r="AU77" i="39"/>
  <c r="AU78" i="39" s="1"/>
  <c r="AT82" i="39"/>
  <c r="AU121" i="39"/>
  <c r="AV105" i="39"/>
  <c r="BB94" i="39"/>
  <c r="AZ106" i="39"/>
  <c r="AZ102" i="39"/>
  <c r="AZ98" i="39"/>
  <c r="AZ94" i="39"/>
  <c r="AZ107" i="39"/>
  <c r="AY107" i="39" s="1"/>
  <c r="AZ103" i="39"/>
  <c r="AY103" i="39" s="1"/>
  <c r="AZ99" i="39"/>
  <c r="AY99" i="39" s="1"/>
  <c r="AZ95" i="39"/>
  <c r="AV95" i="39" s="1"/>
  <c r="AX92" i="39"/>
  <c r="BB93" i="39"/>
  <c r="BB95" i="39"/>
  <c r="BB96" i="39"/>
  <c r="BB97" i="39"/>
  <c r="BB98" i="39"/>
  <c r="BB99" i="39"/>
  <c r="BB100" i="39"/>
  <c r="BB101" i="39"/>
  <c r="BB102" i="39"/>
  <c r="BB103" i="39"/>
  <c r="BB104" i="39"/>
  <c r="BB105" i="39"/>
  <c r="BB106" i="39"/>
  <c r="BB107" i="39"/>
  <c r="AZ92" i="39"/>
  <c r="AY92" i="39" s="1"/>
  <c r="AX56" i="39"/>
  <c r="AX55" i="39"/>
  <c r="AX54" i="39"/>
  <c r="AX58" i="39"/>
  <c r="AX57" i="39"/>
  <c r="AZ54" i="39"/>
  <c r="AZ56" i="39"/>
  <c r="AZ58" i="39"/>
  <c r="BB53" i="39"/>
  <c r="BB59" i="39"/>
  <c r="AZ59" i="39"/>
  <c r="AY59" i="39" s="1"/>
  <c r="AZ53" i="39"/>
  <c r="AV53" i="39" s="1"/>
  <c r="AZ55" i="39"/>
  <c r="AY55" i="39" s="1"/>
  <c r="AZ57" i="39"/>
  <c r="BB60" i="39"/>
  <c r="AZ60" i="39"/>
  <c r="AY60" i="39" s="1"/>
  <c r="BB61" i="39"/>
  <c r="AZ61" i="39"/>
  <c r="AY61" i="39" s="1"/>
  <c r="BB62" i="39"/>
  <c r="AZ62" i="39"/>
  <c r="AY62" i="39" s="1"/>
  <c r="BB63" i="39"/>
  <c r="AZ63" i="39"/>
  <c r="AY63" i="39" s="1"/>
  <c r="BB64" i="39"/>
  <c r="AZ64" i="39"/>
  <c r="AY64" i="39" s="1"/>
  <c r="BB65" i="39"/>
  <c r="AZ65" i="39"/>
  <c r="AY65" i="39" s="1"/>
  <c r="BB66" i="39"/>
  <c r="AZ66" i="39"/>
  <c r="AY66" i="39" s="1"/>
  <c r="BB67" i="39"/>
  <c r="AZ67" i="39"/>
  <c r="AY67" i="39" s="1"/>
  <c r="BB68" i="39"/>
  <c r="AZ68" i="39"/>
  <c r="AY68" i="39" s="1"/>
  <c r="BB69" i="39"/>
  <c r="AZ12" i="39"/>
  <c r="AW12" i="39" s="1"/>
  <c r="AZ16" i="39"/>
  <c r="AZ24" i="39"/>
  <c r="AW24" i="39" s="1"/>
  <c r="AZ7" i="39"/>
  <c r="AZ11" i="39"/>
  <c r="AW11" i="39" s="1"/>
  <c r="AZ15" i="39"/>
  <c r="AZ9" i="39"/>
  <c r="AW9" i="39" s="1"/>
  <c r="AZ13" i="39"/>
  <c r="AZ17" i="39"/>
  <c r="AW17" i="39" s="1"/>
  <c r="AZ21" i="39"/>
  <c r="AZ25" i="39"/>
  <c r="AW25" i="39" s="1"/>
  <c r="AZ8" i="39"/>
  <c r="AZ20" i="39"/>
  <c r="AW20" i="39" s="1"/>
  <c r="AZ19" i="39"/>
  <c r="AZ23" i="39"/>
  <c r="AW23" i="39" s="1"/>
  <c r="AZ27" i="39"/>
  <c r="AZ10" i="39"/>
  <c r="AZ14" i="39"/>
  <c r="AW14" i="39" s="1"/>
  <c r="AZ18" i="39"/>
  <c r="AZ22" i="39"/>
  <c r="AW22" i="39" s="1"/>
  <c r="AZ26" i="39"/>
  <c r="AX7" i="39"/>
  <c r="AX8" i="39"/>
  <c r="AX9" i="39"/>
  <c r="AX10" i="39"/>
  <c r="AX11" i="39"/>
  <c r="AX12" i="39"/>
  <c r="AX13" i="39"/>
  <c r="AX14" i="39"/>
  <c r="AX15" i="39"/>
  <c r="AX16" i="39"/>
  <c r="AX17" i="39"/>
  <c r="AX18" i="39"/>
  <c r="AX19" i="39"/>
  <c r="AX20" i="39"/>
  <c r="AX21" i="39"/>
  <c r="AX22" i="39"/>
  <c r="AX23" i="39"/>
  <c r="AX24" i="39"/>
  <c r="AX25" i="39"/>
  <c r="AX26" i="39"/>
  <c r="AX27" i="39"/>
  <c r="AY96" i="36"/>
  <c r="AV96" i="36" s="1"/>
  <c r="AY100" i="36"/>
  <c r="AX100" i="36" s="1"/>
  <c r="AY108" i="36"/>
  <c r="AU108" i="36" s="1"/>
  <c r="BA105" i="36"/>
  <c r="AY104" i="36"/>
  <c r="AU104" i="36" s="1"/>
  <c r="BA109" i="36"/>
  <c r="BA97" i="36"/>
  <c r="AY98" i="36"/>
  <c r="AU98" i="36" s="1"/>
  <c r="AY102" i="36"/>
  <c r="AU102" i="36" s="1"/>
  <c r="AY106" i="36"/>
  <c r="AU106" i="36" s="1"/>
  <c r="AY110" i="36"/>
  <c r="AU110" i="36" s="1"/>
  <c r="BA99" i="36"/>
  <c r="BA103" i="36"/>
  <c r="BA107" i="36"/>
  <c r="BA111" i="36"/>
  <c r="BA96" i="36"/>
  <c r="BA98" i="36"/>
  <c r="BA100" i="36"/>
  <c r="BA102" i="36"/>
  <c r="BA104" i="36"/>
  <c r="BA106" i="36"/>
  <c r="BA108" i="36"/>
  <c r="BA110" i="36"/>
  <c r="AX98" i="36"/>
  <c r="AY97" i="36"/>
  <c r="AY99" i="36"/>
  <c r="AY101" i="36"/>
  <c r="AV101" i="36" s="1"/>
  <c r="AY103" i="36"/>
  <c r="AV103" i="36" s="1"/>
  <c r="AY105" i="36"/>
  <c r="AY107" i="36"/>
  <c r="AV107" i="36" s="1"/>
  <c r="AY109" i="36"/>
  <c r="AV109" i="36" s="1"/>
  <c r="AY111" i="36"/>
  <c r="AW101" i="36"/>
  <c r="AW117" i="36" s="1"/>
  <c r="AW102" i="36"/>
  <c r="AW124" i="36" s="1"/>
  <c r="AW62" i="36"/>
  <c r="AW58" i="36"/>
  <c r="BA59" i="36"/>
  <c r="BA55" i="36"/>
  <c r="BA51" i="36"/>
  <c r="BA47" i="36"/>
  <c r="BA43" i="36"/>
  <c r="AY59" i="36"/>
  <c r="AX59" i="36" s="1"/>
  <c r="AY55" i="36"/>
  <c r="AX55" i="36" s="1"/>
  <c r="AY51" i="36"/>
  <c r="AX51" i="36" s="1"/>
  <c r="AY47" i="36"/>
  <c r="AX47" i="36" s="1"/>
  <c r="AY43" i="36"/>
  <c r="AX43" i="36" s="1"/>
  <c r="AY62" i="36"/>
  <c r="AU62" i="36" s="1"/>
  <c r="AY58" i="36"/>
  <c r="AY54" i="36"/>
  <c r="AY50" i="36"/>
  <c r="AU50" i="36" s="1"/>
  <c r="AY46" i="36"/>
  <c r="AU46" i="36" s="1"/>
  <c r="AY42" i="36"/>
  <c r="AU42" i="36" s="1"/>
  <c r="BA39" i="36"/>
  <c r="AY39" i="36"/>
  <c r="BA8" i="36"/>
  <c r="AY8" i="36"/>
  <c r="AX8" i="36" s="1"/>
  <c r="BA12" i="36"/>
  <c r="AY12" i="36"/>
  <c r="AX12" i="36" s="1"/>
  <c r="BA7" i="36"/>
  <c r="AY7" i="36"/>
  <c r="AU7" i="36" s="1"/>
  <c r="BA11" i="36"/>
  <c r="AY11" i="36"/>
  <c r="AX11" i="36" s="1"/>
  <c r="AW8" i="36"/>
  <c r="BA10" i="36"/>
  <c r="AY10" i="36"/>
  <c r="AX10" i="36" s="1"/>
  <c r="AW12" i="36"/>
  <c r="AW7" i="36"/>
  <c r="BA9" i="36"/>
  <c r="AY9" i="36"/>
  <c r="AX9" i="36" s="1"/>
  <c r="AW11" i="36"/>
  <c r="BA13" i="36"/>
  <c r="AY13" i="36"/>
  <c r="AX13" i="36" s="1"/>
  <c r="AW13" i="36"/>
  <c r="AW14" i="36"/>
  <c r="AW15" i="36"/>
  <c r="AY14" i="36"/>
  <c r="AX14" i="36" s="1"/>
  <c r="AY15" i="36"/>
  <c r="AX15" i="36" s="1"/>
  <c r="AE131" i="19"/>
  <c r="AE127" i="19"/>
  <c r="AG132" i="19"/>
  <c r="AG128" i="19"/>
  <c r="AE132" i="19"/>
  <c r="AD132" i="19" s="1"/>
  <c r="AE128" i="19"/>
  <c r="AC126" i="19"/>
  <c r="AE126" i="19"/>
  <c r="AP25" i="16"/>
  <c r="R179" i="16"/>
  <c r="Q179" i="16"/>
  <c r="P179" i="16"/>
  <c r="K179" i="16"/>
  <c r="J179" i="16"/>
  <c r="I179" i="16"/>
  <c r="G179" i="16"/>
  <c r="R178" i="16"/>
  <c r="Q178" i="16"/>
  <c r="P178" i="16"/>
  <c r="K178" i="16"/>
  <c r="J178" i="16"/>
  <c r="I178" i="16"/>
  <c r="M174" i="16"/>
  <c r="N174" i="16"/>
  <c r="M175" i="16"/>
  <c r="N175" i="16"/>
  <c r="T174" i="16"/>
  <c r="U174" i="16"/>
  <c r="T175" i="16"/>
  <c r="U175" i="16"/>
  <c r="U173" i="16"/>
  <c r="T173" i="16"/>
  <c r="U172" i="16"/>
  <c r="T172" i="16"/>
  <c r="U171" i="16"/>
  <c r="T171" i="16"/>
  <c r="N173" i="16"/>
  <c r="M173" i="16"/>
  <c r="N172" i="16"/>
  <c r="M172" i="16"/>
  <c r="N171" i="16"/>
  <c r="M171" i="16"/>
  <c r="I165" i="16"/>
  <c r="J165" i="16"/>
  <c r="K165" i="16"/>
  <c r="P165" i="16"/>
  <c r="Q165" i="16"/>
  <c r="R165" i="16"/>
  <c r="I164" i="16"/>
  <c r="J164" i="16"/>
  <c r="K164" i="16"/>
  <c r="P164" i="16"/>
  <c r="Q164" i="16"/>
  <c r="R164" i="16"/>
  <c r="G165" i="16"/>
  <c r="G164" i="16"/>
  <c r="T161" i="16"/>
  <c r="U161" i="16"/>
  <c r="T162" i="16"/>
  <c r="U162" i="16"/>
  <c r="M161" i="16"/>
  <c r="N161" i="16"/>
  <c r="M162" i="16"/>
  <c r="N162" i="16"/>
  <c r="U160" i="16"/>
  <c r="T160" i="16"/>
  <c r="U159" i="16"/>
  <c r="T159" i="16"/>
  <c r="U158" i="16"/>
  <c r="T158" i="16"/>
  <c r="N160" i="16"/>
  <c r="M160" i="16"/>
  <c r="N159" i="16"/>
  <c r="M159" i="16"/>
  <c r="N158" i="16"/>
  <c r="M158" i="16"/>
  <c r="T149" i="16"/>
  <c r="U149" i="16"/>
  <c r="M149" i="16"/>
  <c r="N149" i="16"/>
  <c r="G152" i="16"/>
  <c r="G151" i="16"/>
  <c r="R152" i="16"/>
  <c r="Q152" i="16"/>
  <c r="P152" i="16"/>
  <c r="K152" i="16"/>
  <c r="J152" i="16"/>
  <c r="I152" i="16"/>
  <c r="R151" i="16"/>
  <c r="Q151" i="16"/>
  <c r="P151" i="16"/>
  <c r="K151" i="16"/>
  <c r="J151" i="16"/>
  <c r="I151" i="16"/>
  <c r="T148" i="16"/>
  <c r="U148" i="16"/>
  <c r="N148" i="16"/>
  <c r="M148" i="16"/>
  <c r="U147" i="16"/>
  <c r="T147" i="16"/>
  <c r="N147" i="16"/>
  <c r="M147" i="16"/>
  <c r="I141" i="16"/>
  <c r="J141" i="16"/>
  <c r="K141" i="16"/>
  <c r="P141" i="16"/>
  <c r="Q141" i="16"/>
  <c r="R141" i="16"/>
  <c r="I140" i="16"/>
  <c r="J140" i="16"/>
  <c r="K140" i="16"/>
  <c r="P140" i="16"/>
  <c r="Q140" i="16"/>
  <c r="R140" i="16"/>
  <c r="U138" i="16"/>
  <c r="T138" i="16"/>
  <c r="U137" i="16"/>
  <c r="T137" i="16"/>
  <c r="N138" i="16"/>
  <c r="M138" i="16"/>
  <c r="N137" i="16"/>
  <c r="M137" i="16"/>
  <c r="G141" i="16"/>
  <c r="G140" i="16"/>
  <c r="AB133" i="19" l="1"/>
  <c r="AV100" i="39"/>
  <c r="AY96" i="39"/>
  <c r="AY97" i="39"/>
  <c r="AW105" i="39"/>
  <c r="AV44" i="36"/>
  <c r="AU52" i="36"/>
  <c r="AU41" i="36"/>
  <c r="AA133" i="19"/>
  <c r="AW96" i="39"/>
  <c r="AV93" i="39"/>
  <c r="N151" i="16"/>
  <c r="M140" i="16"/>
  <c r="AU8" i="36"/>
  <c r="T140" i="16"/>
  <c r="M152" i="16"/>
  <c r="BA70" i="36"/>
  <c r="BA71" i="36" s="1"/>
  <c r="AW104" i="39"/>
  <c r="AW97" i="39"/>
  <c r="AA129" i="19"/>
  <c r="AW93" i="39"/>
  <c r="AV60" i="36"/>
  <c r="AG143" i="19"/>
  <c r="AV48" i="36"/>
  <c r="AV61" i="36"/>
  <c r="AU53" i="36"/>
  <c r="AU61" i="36"/>
  <c r="AU60" i="36"/>
  <c r="AU96" i="36"/>
  <c r="AV49" i="36"/>
  <c r="AU49" i="36"/>
  <c r="U152" i="16"/>
  <c r="T152" i="16"/>
  <c r="AU44" i="36"/>
  <c r="AV102" i="36"/>
  <c r="AV101" i="39"/>
  <c r="M151" i="16"/>
  <c r="AZ121" i="39"/>
  <c r="N140" i="16"/>
  <c r="U141" i="16"/>
  <c r="AU56" i="36"/>
  <c r="AU45" i="36"/>
  <c r="AV104" i="39"/>
  <c r="AW100" i="39"/>
  <c r="AV56" i="36"/>
  <c r="AV45" i="36"/>
  <c r="AU9" i="36"/>
  <c r="AU59" i="36"/>
  <c r="AW70" i="36"/>
  <c r="AW71" i="36" s="1"/>
  <c r="AX121" i="39"/>
  <c r="N141" i="16"/>
  <c r="U140" i="16"/>
  <c r="AV57" i="36"/>
  <c r="AU48" i="36"/>
  <c r="BA77" i="36"/>
  <c r="BA78" i="36" s="1"/>
  <c r="AU57" i="36"/>
  <c r="AV43" i="36"/>
  <c r="BB83" i="39"/>
  <c r="BB84" i="39" s="1"/>
  <c r="AW77" i="36"/>
  <c r="AW78" i="36" s="1"/>
  <c r="BA76" i="36"/>
  <c r="AB129" i="19"/>
  <c r="T141" i="16"/>
  <c r="N152" i="16"/>
  <c r="AA130" i="19"/>
  <c r="AU55" i="36"/>
  <c r="BB77" i="39"/>
  <c r="BB78" i="39" s="1"/>
  <c r="AV41" i="36"/>
  <c r="M165" i="16"/>
  <c r="T165" i="16"/>
  <c r="U164" i="16"/>
  <c r="M178" i="16"/>
  <c r="T178" i="16"/>
  <c r="U179" i="16"/>
  <c r="N178" i="16"/>
  <c r="N164" i="16"/>
  <c r="N179" i="16"/>
  <c r="M164" i="16"/>
  <c r="T179" i="16"/>
  <c r="U165" i="16"/>
  <c r="U178" i="16"/>
  <c r="N165" i="16"/>
  <c r="T164" i="16"/>
  <c r="AD128" i="19"/>
  <c r="AE137" i="19"/>
  <c r="AE138" i="19"/>
  <c r="AE139" i="19" s="1"/>
  <c r="AU12" i="36"/>
  <c r="AV110" i="36"/>
  <c r="AX104" i="36"/>
  <c r="AU100" i="36"/>
  <c r="AY124" i="36"/>
  <c r="AY125" i="36"/>
  <c r="AY126" i="36" s="1"/>
  <c r="AW7" i="39"/>
  <c r="AZ37" i="39"/>
  <c r="AZ38" i="39"/>
  <c r="AZ39" i="39" s="1"/>
  <c r="AW61" i="39"/>
  <c r="AV67" i="39"/>
  <c r="AX76" i="39"/>
  <c r="AX77" i="39"/>
  <c r="AX78" i="39" s="1"/>
  <c r="AW108" i="39"/>
  <c r="AX116" i="39"/>
  <c r="AX117" i="39" s="1"/>
  <c r="AX115" i="39"/>
  <c r="AX122" i="39"/>
  <c r="AX123" i="39" s="1"/>
  <c r="AW69" i="36"/>
  <c r="AW83" i="36"/>
  <c r="AW84" i="36"/>
  <c r="AW85" i="36" s="1"/>
  <c r="AZ122" i="39"/>
  <c r="AZ123" i="39" s="1"/>
  <c r="AX77" i="36"/>
  <c r="AX78" i="36" s="1"/>
  <c r="AX76" i="36"/>
  <c r="BA69" i="36"/>
  <c r="AY69" i="36"/>
  <c r="AW118" i="36"/>
  <c r="AW119" i="36" s="1"/>
  <c r="U151" i="16"/>
  <c r="BA21" i="36"/>
  <c r="BA22" i="36"/>
  <c r="BA23" i="36" s="1"/>
  <c r="BA83" i="36"/>
  <c r="BA84" i="36"/>
  <c r="BA85" i="36" s="1"/>
  <c r="AY95" i="39"/>
  <c r="AZ116" i="39"/>
  <c r="AZ117" i="39" s="1"/>
  <c r="AZ115" i="39"/>
  <c r="T151" i="16"/>
  <c r="AA128" i="19"/>
  <c r="AV99" i="36"/>
  <c r="AY117" i="36"/>
  <c r="AY118" i="36"/>
  <c r="AY119" i="36" s="1"/>
  <c r="AY57" i="39"/>
  <c r="AZ82" i="39"/>
  <c r="AZ83" i="39"/>
  <c r="AZ84" i="39" s="1"/>
  <c r="AZ76" i="39"/>
  <c r="AZ77" i="39"/>
  <c r="AZ78" i="39" s="1"/>
  <c r="AW95" i="39"/>
  <c r="BB82" i="39"/>
  <c r="AY70" i="36"/>
  <c r="AY71" i="36" s="1"/>
  <c r="AC143" i="19"/>
  <c r="AC144" i="19"/>
  <c r="AC145" i="19" s="1"/>
  <c r="M141" i="16"/>
  <c r="M179" i="16"/>
  <c r="AX96" i="36"/>
  <c r="AY131" i="36"/>
  <c r="AY132" i="36"/>
  <c r="AY133" i="36" s="1"/>
  <c r="AA126" i="19"/>
  <c r="AE144" i="19"/>
  <c r="AE145" i="19" s="1"/>
  <c r="AE143" i="19"/>
  <c r="AG137" i="19"/>
  <c r="AG138" i="19"/>
  <c r="AG139" i="19" s="1"/>
  <c r="AB128" i="19"/>
  <c r="AW21" i="36"/>
  <c r="AW22" i="36"/>
  <c r="AW23" i="36" s="1"/>
  <c r="AV7" i="36"/>
  <c r="AY21" i="36"/>
  <c r="AY22" i="36"/>
  <c r="AY23" i="36" s="1"/>
  <c r="AV39" i="36"/>
  <c r="AY83" i="36"/>
  <c r="AY84" i="36"/>
  <c r="AY85" i="36" s="1"/>
  <c r="AU40" i="36"/>
  <c r="AV100" i="36"/>
  <c r="BA131" i="36"/>
  <c r="BA132" i="36"/>
  <c r="BA133" i="36" s="1"/>
  <c r="AX37" i="39"/>
  <c r="AX38" i="39"/>
  <c r="AX39" i="39" s="1"/>
  <c r="AX82" i="39"/>
  <c r="AX83" i="39"/>
  <c r="AX84" i="39" s="1"/>
  <c r="AV107" i="39"/>
  <c r="BB76" i="39"/>
  <c r="AY77" i="36"/>
  <c r="AY78" i="36" s="1"/>
  <c r="AC137" i="19"/>
  <c r="AC138" i="19"/>
  <c r="AC139" i="19" s="1"/>
  <c r="AV40" i="36"/>
  <c r="AG144" i="19"/>
  <c r="AG145" i="19" s="1"/>
  <c r="AV108" i="39"/>
  <c r="AW107" i="39"/>
  <c r="AY76" i="36"/>
  <c r="AV52" i="36"/>
  <c r="AW125" i="36"/>
  <c r="AW126" i="36" s="1"/>
  <c r="AW76" i="36"/>
  <c r="AB130" i="19"/>
  <c r="AV53" i="36"/>
  <c r="BB121" i="39"/>
  <c r="BB122" i="39"/>
  <c r="BB123" i="39" s="1"/>
  <c r="BB115" i="39"/>
  <c r="BB116" i="39"/>
  <c r="BB117" i="39" s="1"/>
  <c r="AY98" i="39"/>
  <c r="AW98" i="39"/>
  <c r="AY102" i="39"/>
  <c r="AW102" i="39"/>
  <c r="AV98" i="39"/>
  <c r="AV99" i="39"/>
  <c r="AY106" i="39"/>
  <c r="AW106" i="39"/>
  <c r="AW99" i="39"/>
  <c r="AV103" i="39"/>
  <c r="AV102" i="39"/>
  <c r="AY94" i="39"/>
  <c r="AW94" i="39"/>
  <c r="AV94" i="39"/>
  <c r="AV106" i="39"/>
  <c r="AW103" i="39"/>
  <c r="AW92" i="39"/>
  <c r="AV92" i="39"/>
  <c r="AV61" i="39"/>
  <c r="AW59" i="39"/>
  <c r="AV59" i="39"/>
  <c r="AW65" i="39"/>
  <c r="AV64" i="39"/>
  <c r="AW64" i="39"/>
  <c r="AV55" i="39"/>
  <c r="AV68" i="39"/>
  <c r="AV65" i="39"/>
  <c r="AW55" i="39"/>
  <c r="AW68" i="39"/>
  <c r="AW60" i="39"/>
  <c r="AV63" i="39"/>
  <c r="AV60" i="39"/>
  <c r="AY56" i="39"/>
  <c r="AV56" i="39"/>
  <c r="AY53" i="39"/>
  <c r="AW56" i="39"/>
  <c r="AW67" i="39"/>
  <c r="AW63" i="39"/>
  <c r="AW57" i="39"/>
  <c r="AY58" i="39"/>
  <c r="AV58" i="39"/>
  <c r="AY54" i="39"/>
  <c r="AV54" i="39"/>
  <c r="AW66" i="39"/>
  <c r="AW62" i="39"/>
  <c r="AV57" i="39"/>
  <c r="AV66" i="39"/>
  <c r="AV62" i="39"/>
  <c r="AW53" i="39"/>
  <c r="AW58" i="39"/>
  <c r="AW54" i="39"/>
  <c r="AV22" i="39"/>
  <c r="AY22" i="39"/>
  <c r="AV14" i="39"/>
  <c r="AY14" i="39"/>
  <c r="AV25" i="39"/>
  <c r="AY25" i="39"/>
  <c r="AV17" i="39"/>
  <c r="AY17" i="39"/>
  <c r="AV9" i="39"/>
  <c r="AY9" i="39"/>
  <c r="AV11" i="39"/>
  <c r="AY11" i="39"/>
  <c r="AV24" i="39"/>
  <c r="AY24" i="39"/>
  <c r="AV12" i="39"/>
  <c r="AY12" i="39"/>
  <c r="AV27" i="39"/>
  <c r="AY27" i="39"/>
  <c r="AV19" i="39"/>
  <c r="AY19" i="39"/>
  <c r="AV8" i="39"/>
  <c r="AY8" i="39"/>
  <c r="AV26" i="39"/>
  <c r="AY26" i="39"/>
  <c r="AV18" i="39"/>
  <c r="AY18" i="39"/>
  <c r="AV10" i="39"/>
  <c r="AY10" i="39"/>
  <c r="AW27" i="39"/>
  <c r="AW19" i="39"/>
  <c r="AW8" i="39"/>
  <c r="AV21" i="39"/>
  <c r="AY21" i="39"/>
  <c r="AV13" i="39"/>
  <c r="AY13" i="39"/>
  <c r="AV15" i="39"/>
  <c r="AY15" i="39"/>
  <c r="AV7" i="39"/>
  <c r="AY7" i="39"/>
  <c r="AV16" i="39"/>
  <c r="AY16" i="39"/>
  <c r="AW26" i="39"/>
  <c r="AW18" i="39"/>
  <c r="AW10" i="39"/>
  <c r="AV23" i="39"/>
  <c r="AY23" i="39"/>
  <c r="AV20" i="39"/>
  <c r="AY20" i="39"/>
  <c r="AW21" i="39"/>
  <c r="AW13" i="39"/>
  <c r="AW15" i="39"/>
  <c r="AW16" i="39"/>
  <c r="BA117" i="36"/>
  <c r="BA118" i="36"/>
  <c r="BA119" i="36" s="1"/>
  <c r="BA124" i="36"/>
  <c r="BA125" i="36"/>
  <c r="BA126" i="36" s="1"/>
  <c r="AV108" i="36"/>
  <c r="AV104" i="36"/>
  <c r="AX108" i="36"/>
  <c r="AV106" i="36"/>
  <c r="AX106" i="36"/>
  <c r="AX110" i="36"/>
  <c r="AX102" i="36"/>
  <c r="AV98" i="36"/>
  <c r="AX105" i="36"/>
  <c r="AU105" i="36"/>
  <c r="AU97" i="36"/>
  <c r="AX97" i="36"/>
  <c r="AU111" i="36"/>
  <c r="AX111" i="36"/>
  <c r="AU103" i="36"/>
  <c r="AX103" i="36"/>
  <c r="AV105" i="36"/>
  <c r="AX109" i="36"/>
  <c r="AU109" i="36"/>
  <c r="AU101" i="36"/>
  <c r="AX101" i="36"/>
  <c r="AV111" i="36"/>
  <c r="AV97" i="36"/>
  <c r="AU107" i="36"/>
  <c r="AX107" i="36"/>
  <c r="AU99" i="36"/>
  <c r="AX99" i="36"/>
  <c r="AV54" i="36"/>
  <c r="AX54" i="36"/>
  <c r="AX42" i="36"/>
  <c r="AV42" i="36"/>
  <c r="AX58" i="36"/>
  <c r="AV58" i="36"/>
  <c r="AU51" i="36"/>
  <c r="AX50" i="36"/>
  <c r="AV50" i="36"/>
  <c r="AU43" i="36"/>
  <c r="AU47" i="36"/>
  <c r="AV47" i="36"/>
  <c r="AV51" i="36"/>
  <c r="AX46" i="36"/>
  <c r="AV46" i="36"/>
  <c r="AX62" i="36"/>
  <c r="AV62" i="36"/>
  <c r="AU58" i="36"/>
  <c r="AV55" i="36"/>
  <c r="AV59" i="36"/>
  <c r="AU54" i="36"/>
  <c r="AU39" i="36"/>
  <c r="AX39" i="36"/>
  <c r="AU10" i="36"/>
  <c r="AV12" i="36"/>
  <c r="AV8" i="36"/>
  <c r="AU11" i="36"/>
  <c r="AV9" i="36"/>
  <c r="AV13" i="36"/>
  <c r="AU14" i="36"/>
  <c r="AV14" i="36"/>
  <c r="AU15" i="36"/>
  <c r="AU13" i="36"/>
  <c r="AV10" i="36"/>
  <c r="AV11" i="36"/>
  <c r="AX7" i="36"/>
  <c r="AV15" i="36"/>
  <c r="AD127" i="19"/>
  <c r="AB127" i="19"/>
  <c r="AD131" i="19"/>
  <c r="AB131" i="19"/>
  <c r="AA131" i="19"/>
  <c r="AB132" i="19"/>
  <c r="AA132" i="19"/>
  <c r="AA127" i="19"/>
  <c r="AB126" i="19"/>
  <c r="AD126" i="19"/>
  <c r="E130" i="35"/>
  <c r="AB233" i="35"/>
  <c r="AA233" i="35"/>
  <c r="Z233" i="35"/>
  <c r="Y233" i="35"/>
  <c r="X233" i="35"/>
  <c r="W233" i="35"/>
  <c r="V233" i="35"/>
  <c r="U233" i="35"/>
  <c r="T233" i="35"/>
  <c r="AB232" i="35"/>
  <c r="AA232" i="35"/>
  <c r="Z232" i="35"/>
  <c r="Y232" i="35"/>
  <c r="X232" i="35"/>
  <c r="W232" i="35"/>
  <c r="V232" i="35"/>
  <c r="U232" i="35"/>
  <c r="T232" i="35"/>
  <c r="AB231" i="35"/>
  <c r="AA231" i="35"/>
  <c r="Z231" i="35"/>
  <c r="Y231" i="35"/>
  <c r="X231" i="35"/>
  <c r="W231" i="35"/>
  <c r="V231" i="35"/>
  <c r="U231" i="35"/>
  <c r="T231" i="35"/>
  <c r="E231" i="35"/>
  <c r="M234" i="35"/>
  <c r="L234" i="35"/>
  <c r="K234" i="35"/>
  <c r="J234" i="35"/>
  <c r="I234" i="35"/>
  <c r="H234" i="35"/>
  <c r="G234" i="35"/>
  <c r="F234" i="35"/>
  <c r="E234" i="35"/>
  <c r="M233" i="35"/>
  <c r="L233" i="35"/>
  <c r="K233" i="35"/>
  <c r="J233" i="35"/>
  <c r="I233" i="35"/>
  <c r="H233" i="35"/>
  <c r="G233" i="35"/>
  <c r="F233" i="35"/>
  <c r="E233" i="35"/>
  <c r="M232" i="35"/>
  <c r="L232" i="35"/>
  <c r="K232" i="35"/>
  <c r="J232" i="35"/>
  <c r="I232" i="35"/>
  <c r="H232" i="35"/>
  <c r="G232" i="35"/>
  <c r="F232" i="35"/>
  <c r="E232" i="35"/>
  <c r="M231" i="35"/>
  <c r="L231" i="35"/>
  <c r="K231" i="35"/>
  <c r="J231" i="35"/>
  <c r="I231" i="35"/>
  <c r="H231" i="35"/>
  <c r="G231" i="35"/>
  <c r="F231" i="35"/>
  <c r="E214" i="35"/>
  <c r="M219" i="35"/>
  <c r="L219" i="35"/>
  <c r="K219" i="35"/>
  <c r="J219" i="35"/>
  <c r="I219" i="35"/>
  <c r="H219" i="35"/>
  <c r="G219" i="35"/>
  <c r="F219" i="35"/>
  <c r="E219" i="35"/>
  <c r="M218" i="35"/>
  <c r="L218" i="35"/>
  <c r="K218" i="35"/>
  <c r="J218" i="35"/>
  <c r="I218" i="35"/>
  <c r="H218" i="35"/>
  <c r="G218" i="35"/>
  <c r="F218" i="35"/>
  <c r="E218" i="35"/>
  <c r="M217" i="35"/>
  <c r="L217" i="35"/>
  <c r="K217" i="35"/>
  <c r="J217" i="35"/>
  <c r="I217" i="35"/>
  <c r="H217" i="35"/>
  <c r="G217" i="35"/>
  <c r="F217" i="35"/>
  <c r="E217" i="35"/>
  <c r="M216" i="35"/>
  <c r="L216" i="35"/>
  <c r="K216" i="35"/>
  <c r="J216" i="35"/>
  <c r="I216" i="35"/>
  <c r="H216" i="35"/>
  <c r="G216" i="35"/>
  <c r="F216" i="35"/>
  <c r="E216" i="35"/>
  <c r="M215" i="35"/>
  <c r="L215" i="35"/>
  <c r="K215" i="35"/>
  <c r="J215" i="35"/>
  <c r="I215" i="35"/>
  <c r="H215" i="35"/>
  <c r="G215" i="35"/>
  <c r="F215" i="35"/>
  <c r="E215" i="35"/>
  <c r="M214" i="35"/>
  <c r="L214" i="35"/>
  <c r="K214" i="35"/>
  <c r="J214" i="35"/>
  <c r="I214" i="35"/>
  <c r="H214" i="35"/>
  <c r="G214" i="35"/>
  <c r="F214" i="35"/>
  <c r="T193" i="35"/>
  <c r="T191" i="35"/>
  <c r="T190" i="35"/>
  <c r="T189" i="35"/>
  <c r="E196" i="35"/>
  <c r="E194" i="35"/>
  <c r="E192" i="35"/>
  <c r="E190" i="35"/>
  <c r="E189" i="35"/>
  <c r="E169" i="35"/>
  <c r="E167" i="35"/>
  <c r="E165" i="35"/>
  <c r="E163" i="35"/>
  <c r="E161" i="35"/>
  <c r="E159" i="35"/>
  <c r="E157" i="35"/>
  <c r="E156" i="35"/>
  <c r="AB126" i="35"/>
  <c r="AA126" i="35"/>
  <c r="Z126" i="35"/>
  <c r="Y126" i="35"/>
  <c r="X126" i="35"/>
  <c r="W126" i="35"/>
  <c r="V126" i="35"/>
  <c r="U126" i="35"/>
  <c r="T126" i="35"/>
  <c r="AB124" i="35"/>
  <c r="AA124" i="35"/>
  <c r="Z124" i="35"/>
  <c r="Y124" i="35"/>
  <c r="X124" i="35"/>
  <c r="W124" i="35"/>
  <c r="V124" i="35"/>
  <c r="U124" i="35"/>
  <c r="T124" i="35"/>
  <c r="AB122" i="35"/>
  <c r="AA122" i="35"/>
  <c r="Z122" i="35"/>
  <c r="Y122" i="35"/>
  <c r="X122" i="35"/>
  <c r="W122" i="35"/>
  <c r="V122" i="35"/>
  <c r="U122" i="35"/>
  <c r="T122" i="35"/>
  <c r="AB121" i="35"/>
  <c r="AA121" i="35"/>
  <c r="Z121" i="35"/>
  <c r="Y121" i="35"/>
  <c r="X121" i="35"/>
  <c r="W121" i="35"/>
  <c r="V121" i="35"/>
  <c r="U121" i="35"/>
  <c r="T121" i="35"/>
  <c r="E129" i="35"/>
  <c r="E127" i="35"/>
  <c r="E125" i="35"/>
  <c r="E123" i="35"/>
  <c r="E122" i="35"/>
  <c r="AB97" i="35"/>
  <c r="AA97" i="35"/>
  <c r="Z97" i="35"/>
  <c r="Y97" i="35"/>
  <c r="X97" i="35"/>
  <c r="W97" i="35"/>
  <c r="V97" i="35"/>
  <c r="U97" i="35"/>
  <c r="T97" i="35"/>
  <c r="AB96" i="35"/>
  <c r="AA96" i="35"/>
  <c r="Z96" i="35"/>
  <c r="Y96" i="35"/>
  <c r="X96" i="35"/>
  <c r="W96" i="35"/>
  <c r="V96" i="35"/>
  <c r="U96" i="35"/>
  <c r="T96" i="35"/>
  <c r="AB76" i="35"/>
  <c r="AA76" i="35"/>
  <c r="Z76" i="35"/>
  <c r="Y76" i="35"/>
  <c r="X76" i="35"/>
  <c r="W76" i="35"/>
  <c r="V76" i="35"/>
  <c r="U76" i="35"/>
  <c r="T76" i="35"/>
  <c r="AB74" i="35"/>
  <c r="AA74" i="35"/>
  <c r="Z74" i="35"/>
  <c r="Y74" i="35"/>
  <c r="X74" i="35"/>
  <c r="W74" i="35"/>
  <c r="V74" i="35"/>
  <c r="U74" i="35"/>
  <c r="T74" i="35"/>
  <c r="AB73" i="35"/>
  <c r="AA73" i="35"/>
  <c r="Z73" i="35"/>
  <c r="Y73" i="35"/>
  <c r="X73" i="35"/>
  <c r="W73" i="35"/>
  <c r="V73" i="35"/>
  <c r="U73" i="35"/>
  <c r="T73" i="35"/>
  <c r="E73" i="35"/>
  <c r="AB53" i="35"/>
  <c r="AA53" i="35"/>
  <c r="Z53" i="35"/>
  <c r="Y53" i="35"/>
  <c r="X53" i="35"/>
  <c r="W53" i="35"/>
  <c r="V53" i="35"/>
  <c r="U53" i="35"/>
  <c r="T53" i="35"/>
  <c r="AB52" i="35"/>
  <c r="AA52" i="35"/>
  <c r="Z52" i="35"/>
  <c r="Y52" i="35"/>
  <c r="X52" i="35"/>
  <c r="W52" i="35"/>
  <c r="V52" i="35"/>
  <c r="U52" i="35"/>
  <c r="T52" i="35"/>
  <c r="AB51" i="35"/>
  <c r="AA51" i="35"/>
  <c r="Z51" i="35"/>
  <c r="Y51" i="35"/>
  <c r="X51" i="35"/>
  <c r="W51" i="35"/>
  <c r="V51" i="35"/>
  <c r="U51" i="35"/>
  <c r="T51" i="35"/>
  <c r="AB50" i="35"/>
  <c r="AA50" i="35"/>
  <c r="Z50" i="35"/>
  <c r="Y50" i="35"/>
  <c r="X50" i="35"/>
  <c r="W50" i="35"/>
  <c r="V50" i="35"/>
  <c r="U50" i="35"/>
  <c r="T50" i="35"/>
  <c r="AB49" i="35"/>
  <c r="AA49" i="35"/>
  <c r="Z49" i="35"/>
  <c r="Y49" i="35"/>
  <c r="X49" i="35"/>
  <c r="W49" i="35"/>
  <c r="V49" i="35"/>
  <c r="U49" i="35"/>
  <c r="T49" i="35"/>
  <c r="AB48" i="35"/>
  <c r="AA48" i="35"/>
  <c r="Z48" i="35"/>
  <c r="Y48" i="35"/>
  <c r="X48" i="35"/>
  <c r="W48" i="35"/>
  <c r="V48" i="35"/>
  <c r="U48" i="35"/>
  <c r="T48" i="35"/>
  <c r="AB47" i="35"/>
  <c r="AA47" i="35"/>
  <c r="Z47" i="35"/>
  <c r="Y47" i="35"/>
  <c r="X47" i="35"/>
  <c r="W47" i="35"/>
  <c r="V47" i="35"/>
  <c r="U47" i="35"/>
  <c r="T47" i="35"/>
  <c r="F47" i="35"/>
  <c r="G47" i="35"/>
  <c r="H47" i="35"/>
  <c r="I47" i="35"/>
  <c r="J47" i="35"/>
  <c r="K47" i="35"/>
  <c r="L47" i="35"/>
  <c r="M47" i="35"/>
  <c r="F48" i="35"/>
  <c r="G48" i="35"/>
  <c r="H48" i="35"/>
  <c r="I48" i="35"/>
  <c r="J48" i="35"/>
  <c r="K48" i="35"/>
  <c r="L48" i="35"/>
  <c r="M48" i="35"/>
  <c r="F49" i="35"/>
  <c r="G49" i="35"/>
  <c r="H49" i="35"/>
  <c r="I49" i="35"/>
  <c r="J49" i="35"/>
  <c r="K49" i="35"/>
  <c r="L49" i="35"/>
  <c r="M49" i="35"/>
  <c r="F50" i="35"/>
  <c r="G50" i="35"/>
  <c r="H50" i="35"/>
  <c r="I50" i="35"/>
  <c r="J50" i="35"/>
  <c r="K50" i="35"/>
  <c r="L50" i="35"/>
  <c r="M50" i="35"/>
  <c r="F51" i="35"/>
  <c r="G51" i="35"/>
  <c r="H51" i="35"/>
  <c r="I51" i="35"/>
  <c r="J51" i="35"/>
  <c r="K51" i="35"/>
  <c r="L51" i="35"/>
  <c r="M51" i="35"/>
  <c r="F52" i="35"/>
  <c r="G52" i="35"/>
  <c r="H52" i="35"/>
  <c r="I52" i="35"/>
  <c r="J52" i="35"/>
  <c r="K52" i="35"/>
  <c r="L52" i="35"/>
  <c r="M52" i="35"/>
  <c r="F53" i="35"/>
  <c r="G53" i="35"/>
  <c r="H53" i="35"/>
  <c r="I53" i="35"/>
  <c r="J53" i="35"/>
  <c r="K53" i="35"/>
  <c r="L53" i="35"/>
  <c r="M53" i="35"/>
  <c r="F54" i="35"/>
  <c r="G54" i="35"/>
  <c r="H54" i="35"/>
  <c r="I54" i="35"/>
  <c r="J54" i="35"/>
  <c r="K54" i="35"/>
  <c r="L54" i="35"/>
  <c r="M54" i="35"/>
  <c r="F55" i="35"/>
  <c r="G55" i="35"/>
  <c r="H55" i="35"/>
  <c r="I55" i="35"/>
  <c r="J55" i="35"/>
  <c r="K55" i="35"/>
  <c r="L55" i="35"/>
  <c r="M55" i="35"/>
  <c r="E55" i="35"/>
  <c r="E54" i="35"/>
  <c r="E53" i="35"/>
  <c r="E52" i="35"/>
  <c r="E51" i="35"/>
  <c r="E50" i="35"/>
  <c r="E49" i="35"/>
  <c r="E48" i="35"/>
  <c r="E47" i="35"/>
  <c r="E19" i="35"/>
  <c r="U19" i="35"/>
  <c r="V19" i="35"/>
  <c r="W19" i="35"/>
  <c r="X19" i="35"/>
  <c r="Y19" i="35"/>
  <c r="Z19" i="35"/>
  <c r="AA19" i="35"/>
  <c r="AB19" i="35"/>
  <c r="U20" i="35"/>
  <c r="V20" i="35"/>
  <c r="W20" i="35"/>
  <c r="X20" i="35"/>
  <c r="Y20" i="35"/>
  <c r="Z20" i="35"/>
  <c r="AA20" i="35"/>
  <c r="AB20" i="35"/>
  <c r="U21" i="35"/>
  <c r="V21" i="35"/>
  <c r="W21" i="35"/>
  <c r="X21" i="35"/>
  <c r="Y21" i="35"/>
  <c r="Z21" i="35"/>
  <c r="AA21" i="35"/>
  <c r="AB21" i="35"/>
  <c r="U22" i="35"/>
  <c r="V22" i="35"/>
  <c r="W22" i="35"/>
  <c r="X22" i="35"/>
  <c r="Y22" i="35"/>
  <c r="Z22" i="35"/>
  <c r="AA22" i="35"/>
  <c r="AB22" i="35"/>
  <c r="U23" i="35"/>
  <c r="V23" i="35"/>
  <c r="W23" i="35"/>
  <c r="X23" i="35"/>
  <c r="Y23" i="35"/>
  <c r="Z23" i="35"/>
  <c r="AA23" i="35"/>
  <c r="AB23" i="35"/>
  <c r="U24" i="35"/>
  <c r="V24" i="35"/>
  <c r="W24" i="35"/>
  <c r="X24" i="35"/>
  <c r="Y24" i="35"/>
  <c r="Z24" i="35"/>
  <c r="AA24" i="35"/>
  <c r="AB24" i="35"/>
  <c r="U25" i="35"/>
  <c r="V25" i="35"/>
  <c r="W25" i="35"/>
  <c r="X25" i="35"/>
  <c r="Y25" i="35"/>
  <c r="Z25" i="35"/>
  <c r="AA25" i="35"/>
  <c r="AB25" i="35"/>
  <c r="U26" i="35"/>
  <c r="V26" i="35"/>
  <c r="W26" i="35"/>
  <c r="X26" i="35"/>
  <c r="Y26" i="35"/>
  <c r="Z26" i="35"/>
  <c r="AA26" i="35"/>
  <c r="AB26" i="35"/>
  <c r="U27" i="35"/>
  <c r="V27" i="35"/>
  <c r="W27" i="35"/>
  <c r="X27" i="35"/>
  <c r="Y27" i="35"/>
  <c r="Z27" i="35"/>
  <c r="AA27" i="35"/>
  <c r="AB27" i="35"/>
  <c r="U28" i="35"/>
  <c r="V28" i="35"/>
  <c r="W28" i="35"/>
  <c r="X28" i="35"/>
  <c r="Y28" i="35"/>
  <c r="Z28" i="35"/>
  <c r="AA28" i="35"/>
  <c r="AB28" i="35"/>
  <c r="U29" i="35"/>
  <c r="V29" i="35"/>
  <c r="W29" i="35"/>
  <c r="X29" i="35"/>
  <c r="Y29" i="35"/>
  <c r="Z29" i="35"/>
  <c r="AA29" i="35"/>
  <c r="AB29" i="35"/>
  <c r="T29" i="35"/>
  <c r="T28" i="35"/>
  <c r="T27" i="35"/>
  <c r="T26" i="35"/>
  <c r="T25" i="35"/>
  <c r="T24" i="35"/>
  <c r="T23" i="35"/>
  <c r="T22" i="35"/>
  <c r="T21" i="35"/>
  <c r="T20" i="35"/>
  <c r="T19" i="35"/>
  <c r="F19" i="35"/>
  <c r="G19" i="35"/>
  <c r="H19" i="35"/>
  <c r="I19" i="35"/>
  <c r="J19" i="35"/>
  <c r="K19" i="35"/>
  <c r="L19" i="35"/>
  <c r="M19" i="35"/>
  <c r="F20" i="35"/>
  <c r="G20" i="35"/>
  <c r="H20" i="35"/>
  <c r="I20" i="35"/>
  <c r="J20" i="35"/>
  <c r="K20" i="35"/>
  <c r="L20" i="35"/>
  <c r="M20" i="35"/>
  <c r="F21" i="35"/>
  <c r="G21" i="35"/>
  <c r="H21" i="35"/>
  <c r="I21" i="35"/>
  <c r="J21" i="35"/>
  <c r="K21" i="35"/>
  <c r="L21" i="35"/>
  <c r="M21" i="35"/>
  <c r="F22" i="35"/>
  <c r="G22" i="35"/>
  <c r="H22" i="35"/>
  <c r="I22" i="35"/>
  <c r="J22" i="35"/>
  <c r="K22" i="35"/>
  <c r="L22" i="35"/>
  <c r="M22" i="35"/>
  <c r="F23" i="35"/>
  <c r="G23" i="35"/>
  <c r="H23" i="35"/>
  <c r="I23" i="35"/>
  <c r="J23" i="35"/>
  <c r="K23" i="35"/>
  <c r="L23" i="35"/>
  <c r="M23" i="35"/>
  <c r="F24" i="35"/>
  <c r="G24" i="35"/>
  <c r="H24" i="35"/>
  <c r="I24" i="35"/>
  <c r="J24" i="35"/>
  <c r="K24" i="35"/>
  <c r="L24" i="35"/>
  <c r="M24" i="35"/>
  <c r="F25" i="35"/>
  <c r="G25" i="35"/>
  <c r="H25" i="35"/>
  <c r="I25" i="35"/>
  <c r="J25" i="35"/>
  <c r="K25" i="35"/>
  <c r="L25" i="35"/>
  <c r="M25" i="35"/>
  <c r="F26" i="35"/>
  <c r="G26" i="35"/>
  <c r="H26" i="35"/>
  <c r="I26" i="35"/>
  <c r="J26" i="35"/>
  <c r="K26" i="35"/>
  <c r="L26" i="35"/>
  <c r="M26" i="35"/>
  <c r="F27" i="35"/>
  <c r="G27" i="35"/>
  <c r="H27" i="35"/>
  <c r="I27" i="35"/>
  <c r="J27" i="35"/>
  <c r="K27" i="35"/>
  <c r="L27" i="35"/>
  <c r="M27" i="35"/>
  <c r="F28" i="35"/>
  <c r="G28" i="35"/>
  <c r="H28" i="35"/>
  <c r="I28" i="35"/>
  <c r="J28" i="35"/>
  <c r="K28" i="35"/>
  <c r="L28" i="35"/>
  <c r="M28" i="35"/>
  <c r="F29" i="35"/>
  <c r="G29" i="35"/>
  <c r="H29" i="35"/>
  <c r="I29" i="35"/>
  <c r="J29" i="35"/>
  <c r="K29" i="35"/>
  <c r="L29" i="35"/>
  <c r="M29" i="35"/>
  <c r="E29" i="35"/>
  <c r="E28" i="35"/>
  <c r="E27" i="35"/>
  <c r="E25" i="35"/>
  <c r="E26" i="35"/>
  <c r="E24" i="35"/>
  <c r="E23" i="35"/>
  <c r="E22" i="35"/>
  <c r="E21" i="35"/>
  <c r="E20" i="35"/>
  <c r="AY122" i="39" l="1"/>
  <c r="AY123" i="39" s="1"/>
  <c r="AU76" i="36"/>
  <c r="AV132" i="36"/>
  <c r="AV133" i="36" s="1"/>
  <c r="AW121" i="39"/>
  <c r="AU69" i="36"/>
  <c r="AU77" i="36"/>
  <c r="AU78" i="36" s="1"/>
  <c r="AU22" i="36"/>
  <c r="AU23" i="36" s="1"/>
  <c r="AV76" i="36"/>
  <c r="AX124" i="36"/>
  <c r="AV122" i="39"/>
  <c r="AV123" i="39" s="1"/>
  <c r="AU21" i="36"/>
  <c r="AU132" i="36"/>
  <c r="AU133" i="36" s="1"/>
  <c r="AX125" i="36"/>
  <c r="AX126" i="36" s="1"/>
  <c r="AV116" i="39"/>
  <c r="AV117" i="39" s="1"/>
  <c r="AV115" i="39"/>
  <c r="AX69" i="36"/>
  <c r="AU131" i="36"/>
  <c r="AW122" i="39"/>
  <c r="AW123" i="39" s="1"/>
  <c r="AV69" i="36"/>
  <c r="AX70" i="36"/>
  <c r="AX71" i="36" s="1"/>
  <c r="AV131" i="36"/>
  <c r="AB143" i="19"/>
  <c r="AB144" i="19"/>
  <c r="AB145" i="19" s="1"/>
  <c r="AU83" i="36"/>
  <c r="AU84" i="36"/>
  <c r="AU85" i="36" s="1"/>
  <c r="AV77" i="36"/>
  <c r="AV78" i="36" s="1"/>
  <c r="AV70" i="36"/>
  <c r="AV71" i="36" s="1"/>
  <c r="AY121" i="39"/>
  <c r="AW116" i="39"/>
  <c r="AW117" i="39" s="1"/>
  <c r="AW115" i="39"/>
  <c r="AV118" i="36"/>
  <c r="AV119" i="36" s="1"/>
  <c r="AV117" i="36"/>
  <c r="AW76" i="39"/>
  <c r="AW77" i="39"/>
  <c r="AW78" i="39" s="1"/>
  <c r="AV76" i="39"/>
  <c r="AV77" i="39"/>
  <c r="AV78" i="39" s="1"/>
  <c r="AW82" i="39"/>
  <c r="AW83" i="39"/>
  <c r="AW84" i="39" s="1"/>
  <c r="AV125" i="36"/>
  <c r="AV126" i="36" s="1"/>
  <c r="AV124" i="36"/>
  <c r="AB138" i="19"/>
  <c r="AB139" i="19" s="1"/>
  <c r="AB137" i="19"/>
  <c r="AX131" i="36"/>
  <c r="AX132" i="36"/>
  <c r="AX133" i="36" s="1"/>
  <c r="AY82" i="39"/>
  <c r="AY83" i="39"/>
  <c r="AY84" i="39" s="1"/>
  <c r="AU124" i="36"/>
  <c r="AU125" i="36"/>
  <c r="AU126" i="36" s="1"/>
  <c r="AX22" i="36"/>
  <c r="AX23" i="36" s="1"/>
  <c r="AX21" i="36"/>
  <c r="AX117" i="36"/>
  <c r="AX118" i="36"/>
  <c r="AX119" i="36" s="1"/>
  <c r="AY37" i="39"/>
  <c r="AY38" i="39"/>
  <c r="AY39" i="39" s="1"/>
  <c r="AV82" i="39"/>
  <c r="AV83" i="39"/>
  <c r="AV84" i="39" s="1"/>
  <c r="AY76" i="39"/>
  <c r="AY77" i="39"/>
  <c r="AY78" i="39" s="1"/>
  <c r="AV21" i="36"/>
  <c r="AV22" i="36"/>
  <c r="AV23" i="36" s="1"/>
  <c r="AA144" i="19"/>
  <c r="AA145" i="19" s="1"/>
  <c r="AA143" i="19"/>
  <c r="AU70" i="36"/>
  <c r="AU71" i="36" s="1"/>
  <c r="AV121" i="39"/>
  <c r="AW37" i="39"/>
  <c r="AW38" i="39"/>
  <c r="AW39" i="39" s="1"/>
  <c r="AD143" i="19"/>
  <c r="AD144" i="19"/>
  <c r="AD145" i="19" s="1"/>
  <c r="AX83" i="36"/>
  <c r="AX84" i="36"/>
  <c r="AX85" i="36" s="1"/>
  <c r="AU117" i="36"/>
  <c r="AU118" i="36"/>
  <c r="AU119" i="36" s="1"/>
  <c r="AV37" i="39"/>
  <c r="AV38" i="39"/>
  <c r="AV39" i="39" s="1"/>
  <c r="AV83" i="36"/>
  <c r="AV84" i="36"/>
  <c r="AV85" i="36" s="1"/>
  <c r="AA137" i="19"/>
  <c r="AA138" i="19"/>
  <c r="AA139" i="19" s="1"/>
  <c r="AY115" i="39"/>
  <c r="AY116" i="39"/>
  <c r="AY117" i="39" s="1"/>
  <c r="AD137" i="19"/>
  <c r="AD138" i="19"/>
  <c r="AD139" i="19" s="1"/>
  <c r="L369" i="35"/>
  <c r="L365" i="35"/>
  <c r="F364" i="35"/>
  <c r="G364" i="35"/>
  <c r="H364" i="35"/>
  <c r="I364" i="35"/>
  <c r="J364" i="35"/>
  <c r="K364" i="35"/>
  <c r="L364" i="35"/>
  <c r="M364" i="35"/>
  <c r="F365" i="35"/>
  <c r="G365" i="35"/>
  <c r="H365" i="35"/>
  <c r="I365" i="35"/>
  <c r="J365" i="35"/>
  <c r="K365" i="35"/>
  <c r="M365" i="35"/>
  <c r="F366" i="35"/>
  <c r="G366" i="35"/>
  <c r="H366" i="35"/>
  <c r="I366" i="35"/>
  <c r="J366" i="35"/>
  <c r="K366" i="35"/>
  <c r="L366" i="35"/>
  <c r="M366" i="35"/>
  <c r="F367" i="35"/>
  <c r="G367" i="35"/>
  <c r="H367" i="35"/>
  <c r="I367" i="35"/>
  <c r="J367" i="35"/>
  <c r="K367" i="35"/>
  <c r="L367" i="35"/>
  <c r="M367" i="35"/>
  <c r="F368" i="35"/>
  <c r="G368" i="35"/>
  <c r="H368" i="35"/>
  <c r="I368" i="35"/>
  <c r="J368" i="35"/>
  <c r="K368" i="35"/>
  <c r="L368" i="35"/>
  <c r="M368" i="35"/>
  <c r="F369" i="35"/>
  <c r="G369" i="35"/>
  <c r="H369" i="35"/>
  <c r="I369" i="35"/>
  <c r="J369" i="35"/>
  <c r="K369" i="35"/>
  <c r="M369" i="35"/>
  <c r="F370" i="35"/>
  <c r="G370" i="35"/>
  <c r="H370" i="35"/>
  <c r="I370" i="35"/>
  <c r="J370" i="35"/>
  <c r="K370" i="35"/>
  <c r="L370" i="35"/>
  <c r="M370" i="35"/>
  <c r="F371" i="35"/>
  <c r="G371" i="35"/>
  <c r="H371" i="35"/>
  <c r="I371" i="35"/>
  <c r="J371" i="35"/>
  <c r="K371" i="35"/>
  <c r="L371" i="35"/>
  <c r="M371" i="35"/>
  <c r="F372" i="35"/>
  <c r="G372" i="35"/>
  <c r="H372" i="35"/>
  <c r="I372" i="35"/>
  <c r="J372" i="35"/>
  <c r="K372" i="35"/>
  <c r="L372" i="35"/>
  <c r="M372" i="35"/>
  <c r="E372" i="35"/>
  <c r="E357" i="35"/>
  <c r="E371" i="35"/>
  <c r="E356" i="35"/>
  <c r="E370" i="35"/>
  <c r="E355" i="35"/>
  <c r="E369" i="35"/>
  <c r="E354" i="35"/>
  <c r="E368" i="35"/>
  <c r="E353" i="35"/>
  <c r="E367" i="35"/>
  <c r="E352" i="35"/>
  <c r="E366" i="35"/>
  <c r="E351" i="35"/>
  <c r="L363" i="35"/>
  <c r="E365" i="35"/>
  <c r="E350" i="35"/>
  <c r="E364" i="35"/>
  <c r="E349" i="35"/>
  <c r="E363" i="35"/>
  <c r="F363" i="35"/>
  <c r="G363" i="35"/>
  <c r="H363" i="35"/>
  <c r="I363" i="35"/>
  <c r="J363" i="35"/>
  <c r="K363" i="35"/>
  <c r="M363" i="35"/>
  <c r="E348" i="35"/>
  <c r="F357" i="35"/>
  <c r="G357" i="35"/>
  <c r="H357" i="35"/>
  <c r="I357" i="35"/>
  <c r="J357" i="35"/>
  <c r="K357" i="35"/>
  <c r="L357" i="35"/>
  <c r="M357" i="35"/>
  <c r="F356" i="35"/>
  <c r="G356" i="35"/>
  <c r="H356" i="35"/>
  <c r="I356" i="35"/>
  <c r="J356" i="35"/>
  <c r="K356" i="35"/>
  <c r="L356" i="35"/>
  <c r="M356" i="35"/>
  <c r="F355" i="35"/>
  <c r="G355" i="35"/>
  <c r="H355" i="35"/>
  <c r="I355" i="35"/>
  <c r="J355" i="35"/>
  <c r="K355" i="35"/>
  <c r="L355" i="35"/>
  <c r="M355" i="35"/>
  <c r="L354" i="35"/>
  <c r="F354" i="35"/>
  <c r="G354" i="35"/>
  <c r="H354" i="35"/>
  <c r="I354" i="35"/>
  <c r="J354" i="35"/>
  <c r="K354" i="35"/>
  <c r="M354" i="35"/>
  <c r="F353" i="35"/>
  <c r="G353" i="35"/>
  <c r="H353" i="35"/>
  <c r="I353" i="35"/>
  <c r="J353" i="35"/>
  <c r="K353" i="35"/>
  <c r="L353" i="35"/>
  <c r="M353" i="35"/>
  <c r="L350" i="35"/>
  <c r="F352" i="35"/>
  <c r="G352" i="35"/>
  <c r="H352" i="35"/>
  <c r="I352" i="35"/>
  <c r="J352" i="35"/>
  <c r="K352" i="35"/>
  <c r="L352" i="35"/>
  <c r="M352" i="35"/>
  <c r="F351" i="35"/>
  <c r="G351" i="35"/>
  <c r="H351" i="35"/>
  <c r="I351" i="35"/>
  <c r="J351" i="35"/>
  <c r="K351" i="35"/>
  <c r="L351" i="35"/>
  <c r="M351" i="35"/>
  <c r="F350" i="35"/>
  <c r="G350" i="35"/>
  <c r="H350" i="35"/>
  <c r="I350" i="35"/>
  <c r="J350" i="35"/>
  <c r="K350" i="35"/>
  <c r="M350" i="35"/>
  <c r="F349" i="35"/>
  <c r="G349" i="35"/>
  <c r="H349" i="35"/>
  <c r="I349" i="35"/>
  <c r="J349" i="35"/>
  <c r="K349" i="35"/>
  <c r="L349" i="35"/>
  <c r="M349" i="35"/>
  <c r="L348" i="35"/>
  <c r="F348" i="35"/>
  <c r="G348" i="35"/>
  <c r="H348" i="35"/>
  <c r="I348" i="35"/>
  <c r="J348" i="35"/>
  <c r="K348" i="35"/>
  <c r="M348" i="35"/>
  <c r="O80" i="32"/>
  <c r="O81" i="32"/>
  <c r="O82" i="32" s="1"/>
  <c r="O180" i="42"/>
  <c r="O181" i="42"/>
  <c r="O182" i="42" s="1"/>
  <c r="O159" i="42"/>
  <c r="O160" i="42"/>
  <c r="O161" i="42" s="1"/>
  <c r="O153" i="42"/>
  <c r="O154" i="42"/>
  <c r="O155" i="42" s="1"/>
  <c r="O123" i="42"/>
  <c r="O124" i="42"/>
  <c r="O125" i="42" s="1"/>
  <c r="O117" i="42"/>
  <c r="O118" i="42"/>
  <c r="O119" i="42" s="1"/>
  <c r="O89" i="42"/>
  <c r="O90" i="42"/>
  <c r="O91" i="42" s="1"/>
  <c r="O83" i="42"/>
  <c r="O84" i="42"/>
  <c r="O85" i="42" s="1"/>
  <c r="O54" i="42"/>
  <c r="O55" i="42"/>
  <c r="O56" i="42" s="1"/>
  <c r="O48" i="42"/>
  <c r="O49" i="42"/>
  <c r="O50" i="42" s="1"/>
  <c r="O19" i="42"/>
  <c r="O20" i="42"/>
  <c r="O21" i="42" s="1"/>
  <c r="H176" i="42"/>
  <c r="I175" i="42"/>
  <c r="H175" i="42"/>
  <c r="I174" i="42"/>
  <c r="H174" i="42"/>
  <c r="L174" i="42" s="1"/>
  <c r="I173" i="42"/>
  <c r="H173" i="42"/>
  <c r="P173" i="42" s="1"/>
  <c r="I172" i="42"/>
  <c r="H172" i="42"/>
  <c r="L172" i="42" s="1"/>
  <c r="I171" i="42"/>
  <c r="H171" i="42"/>
  <c r="I170" i="42"/>
  <c r="H170" i="42"/>
  <c r="L170" i="42" s="1"/>
  <c r="I169" i="42"/>
  <c r="H169" i="42"/>
  <c r="P169" i="42" s="1"/>
  <c r="I168" i="42"/>
  <c r="H168" i="42"/>
  <c r="L168" i="42" s="1"/>
  <c r="H149" i="42"/>
  <c r="I148" i="42"/>
  <c r="H148" i="42"/>
  <c r="L148" i="42" s="1"/>
  <c r="I147" i="42"/>
  <c r="H147" i="42"/>
  <c r="I146" i="42"/>
  <c r="H146" i="42"/>
  <c r="L146" i="42" s="1"/>
  <c r="I145" i="42"/>
  <c r="H145" i="42"/>
  <c r="L145" i="42" s="1"/>
  <c r="I144" i="42"/>
  <c r="H144" i="42"/>
  <c r="L144" i="42" s="1"/>
  <c r="I143" i="42"/>
  <c r="H143" i="42"/>
  <c r="L143" i="42" s="1"/>
  <c r="I142" i="42"/>
  <c r="H142" i="42"/>
  <c r="L142" i="42" s="1"/>
  <c r="I141" i="42"/>
  <c r="H141" i="42"/>
  <c r="L141" i="42" s="1"/>
  <c r="I140" i="42"/>
  <c r="H140" i="42"/>
  <c r="L140" i="42" s="1"/>
  <c r="I139" i="42"/>
  <c r="H139" i="42"/>
  <c r="L139" i="42" s="1"/>
  <c r="I138" i="42"/>
  <c r="H138" i="42"/>
  <c r="L138" i="42" s="1"/>
  <c r="I137" i="42"/>
  <c r="H137" i="42"/>
  <c r="L137" i="42" s="1"/>
  <c r="I136" i="42"/>
  <c r="H136" i="42"/>
  <c r="L136" i="42" s="1"/>
  <c r="I135" i="42"/>
  <c r="H135" i="42"/>
  <c r="L135" i="42" s="1"/>
  <c r="I134" i="42"/>
  <c r="H134" i="42"/>
  <c r="L134" i="42" s="1"/>
  <c r="I133" i="42"/>
  <c r="H133" i="42"/>
  <c r="H112" i="42"/>
  <c r="I111" i="42"/>
  <c r="H111" i="42"/>
  <c r="P111" i="42" s="1"/>
  <c r="I110" i="42"/>
  <c r="H110" i="42"/>
  <c r="I109" i="42"/>
  <c r="H109" i="42"/>
  <c r="P109" i="42" s="1"/>
  <c r="I108" i="42"/>
  <c r="H108" i="42"/>
  <c r="P108" i="42" s="1"/>
  <c r="I107" i="42"/>
  <c r="H107" i="42"/>
  <c r="P107" i="42" s="1"/>
  <c r="I106" i="42"/>
  <c r="H106" i="42"/>
  <c r="P106" i="42" s="1"/>
  <c r="I105" i="42"/>
  <c r="H105" i="42"/>
  <c r="P105" i="42" s="1"/>
  <c r="I104" i="42"/>
  <c r="H104" i="42"/>
  <c r="P104" i="42" s="1"/>
  <c r="I103" i="42"/>
  <c r="H103" i="42"/>
  <c r="P103" i="42" s="1"/>
  <c r="I102" i="42"/>
  <c r="H102" i="42"/>
  <c r="L102" i="42" s="1"/>
  <c r="I101" i="42"/>
  <c r="H101" i="42"/>
  <c r="L101" i="42" s="1"/>
  <c r="I100" i="42"/>
  <c r="H100" i="42"/>
  <c r="L100" i="42" s="1"/>
  <c r="I99" i="42"/>
  <c r="H99" i="42"/>
  <c r="L99" i="42" s="1"/>
  <c r="I98" i="42"/>
  <c r="H98" i="42"/>
  <c r="H79" i="42"/>
  <c r="I78" i="42"/>
  <c r="H78" i="42"/>
  <c r="P78" i="42" s="1"/>
  <c r="I77" i="42"/>
  <c r="H77" i="42"/>
  <c r="I76" i="42"/>
  <c r="H76" i="42"/>
  <c r="I75" i="42"/>
  <c r="H75" i="42"/>
  <c r="I74" i="42"/>
  <c r="H74" i="42"/>
  <c r="I73" i="42"/>
  <c r="H73" i="42"/>
  <c r="L73" i="42" s="1"/>
  <c r="I72" i="42"/>
  <c r="H72" i="42"/>
  <c r="L72" i="42" s="1"/>
  <c r="I71" i="42"/>
  <c r="H71" i="42"/>
  <c r="L71" i="42" s="1"/>
  <c r="I70" i="42"/>
  <c r="H70" i="42"/>
  <c r="P70" i="42" s="1"/>
  <c r="I69" i="42"/>
  <c r="H69" i="42"/>
  <c r="L69" i="42" s="1"/>
  <c r="I68" i="42"/>
  <c r="H68" i="42"/>
  <c r="L68" i="42" s="1"/>
  <c r="I67" i="42"/>
  <c r="H67" i="42"/>
  <c r="I66" i="42"/>
  <c r="H66" i="42"/>
  <c r="P66" i="42" s="1"/>
  <c r="I65" i="42"/>
  <c r="H65" i="42"/>
  <c r="L65" i="42" s="1"/>
  <c r="I64" i="42"/>
  <c r="H64" i="42"/>
  <c r="L64" i="42" s="1"/>
  <c r="I63" i="42"/>
  <c r="H63" i="42"/>
  <c r="L63" i="42" s="1"/>
  <c r="H45" i="42"/>
  <c r="I44" i="42"/>
  <c r="H44" i="42"/>
  <c r="L44" i="42" s="1"/>
  <c r="I43" i="42"/>
  <c r="H43" i="42"/>
  <c r="L43" i="42" s="1"/>
  <c r="I42" i="42"/>
  <c r="H42" i="42"/>
  <c r="P42" i="42" s="1"/>
  <c r="I41" i="42"/>
  <c r="H41" i="42"/>
  <c r="L41" i="42" s="1"/>
  <c r="I40" i="42"/>
  <c r="H40" i="42"/>
  <c r="L40" i="42" s="1"/>
  <c r="I39" i="42"/>
  <c r="H39" i="42"/>
  <c r="L39" i="42" s="1"/>
  <c r="I38" i="42"/>
  <c r="H38" i="42"/>
  <c r="L38" i="42" s="1"/>
  <c r="I37" i="42"/>
  <c r="H37" i="42"/>
  <c r="L37" i="42" s="1"/>
  <c r="I36" i="42"/>
  <c r="H36" i="42"/>
  <c r="L36" i="42" s="1"/>
  <c r="I35" i="42"/>
  <c r="H35" i="42"/>
  <c r="L35" i="42" s="1"/>
  <c r="I34" i="42"/>
  <c r="H34" i="42"/>
  <c r="L34" i="42" s="1"/>
  <c r="I33" i="42"/>
  <c r="H33" i="42"/>
  <c r="L33" i="42" s="1"/>
  <c r="I32" i="42"/>
  <c r="H32" i="42"/>
  <c r="L32" i="42" s="1"/>
  <c r="I31" i="42"/>
  <c r="H31" i="42"/>
  <c r="L31" i="42" s="1"/>
  <c r="I30" i="42"/>
  <c r="H30" i="42"/>
  <c r="L30" i="42" s="1"/>
  <c r="H14" i="42"/>
  <c r="I13" i="42"/>
  <c r="H13" i="42"/>
  <c r="L13" i="42" s="1"/>
  <c r="I12" i="42"/>
  <c r="H12" i="42"/>
  <c r="L12" i="42" s="1"/>
  <c r="I11" i="42"/>
  <c r="H11" i="42"/>
  <c r="L11" i="42" s="1"/>
  <c r="I10" i="42"/>
  <c r="H10" i="42"/>
  <c r="L10" i="42" s="1"/>
  <c r="I9" i="42"/>
  <c r="H9" i="42"/>
  <c r="L9" i="42" s="1"/>
  <c r="I8" i="42"/>
  <c r="H8" i="42"/>
  <c r="L8" i="42" s="1"/>
  <c r="I7" i="42"/>
  <c r="H7" i="42"/>
  <c r="L7" i="42" s="1"/>
  <c r="O54" i="41"/>
  <c r="O55" i="41"/>
  <c r="O56" i="41" s="1"/>
  <c r="O48" i="41"/>
  <c r="O49" i="41"/>
  <c r="O50" i="41" s="1"/>
  <c r="O20" i="41"/>
  <c r="O21" i="41"/>
  <c r="O22" i="41" s="1"/>
  <c r="H43" i="41"/>
  <c r="I42" i="41"/>
  <c r="H42" i="41"/>
  <c r="P42" i="41" s="1"/>
  <c r="I41" i="41"/>
  <c r="H41" i="41"/>
  <c r="I40" i="41"/>
  <c r="H40" i="41"/>
  <c r="P40" i="41" s="1"/>
  <c r="I39" i="41"/>
  <c r="H39" i="41"/>
  <c r="L39" i="41" s="1"/>
  <c r="I38" i="41"/>
  <c r="H38" i="41"/>
  <c r="L38" i="41" s="1"/>
  <c r="I37" i="41"/>
  <c r="H37" i="41"/>
  <c r="P37" i="41" s="1"/>
  <c r="I36" i="41"/>
  <c r="H36" i="41"/>
  <c r="L36" i="41" s="1"/>
  <c r="I35" i="41"/>
  <c r="H35" i="41"/>
  <c r="L35" i="41" s="1"/>
  <c r="I34" i="41"/>
  <c r="H34" i="41"/>
  <c r="P34" i="41" s="1"/>
  <c r="I33" i="41"/>
  <c r="H33" i="41"/>
  <c r="I32" i="41"/>
  <c r="H32" i="41"/>
  <c r="L32" i="41" s="1"/>
  <c r="I31" i="41"/>
  <c r="H31" i="41"/>
  <c r="L31" i="41" s="1"/>
  <c r="I30" i="41"/>
  <c r="H30" i="41"/>
  <c r="P30" i="41" s="1"/>
  <c r="H15" i="41"/>
  <c r="I14" i="41"/>
  <c r="H14" i="41"/>
  <c r="L14" i="41" s="1"/>
  <c r="I13" i="41"/>
  <c r="H13" i="41"/>
  <c r="L13" i="41" s="1"/>
  <c r="I12" i="41"/>
  <c r="H12" i="41"/>
  <c r="L12" i="41" s="1"/>
  <c r="I11" i="41"/>
  <c r="H11" i="41"/>
  <c r="L11" i="41" s="1"/>
  <c r="I10" i="41"/>
  <c r="H10" i="41"/>
  <c r="L10" i="41" s="1"/>
  <c r="I9" i="41"/>
  <c r="H9" i="41"/>
  <c r="L9" i="41" s="1"/>
  <c r="I8" i="41"/>
  <c r="H8" i="41"/>
  <c r="L8" i="41" s="1"/>
  <c r="I7" i="41"/>
  <c r="H7" i="41"/>
  <c r="I54" i="41" l="1"/>
  <c r="I159" i="42"/>
  <c r="I49" i="41"/>
  <c r="I50" i="41" s="1"/>
  <c r="I180" i="42"/>
  <c r="I55" i="41"/>
  <c r="I56" i="41" s="1"/>
  <c r="H20" i="41"/>
  <c r="I48" i="41"/>
  <c r="I117" i="42"/>
  <c r="H154" i="42"/>
  <c r="H155" i="42" s="1"/>
  <c r="I83" i="42"/>
  <c r="I89" i="42"/>
  <c r="H118" i="42"/>
  <c r="H119" i="42" s="1"/>
  <c r="H49" i="41"/>
  <c r="H50" i="41" s="1"/>
  <c r="H181" i="42"/>
  <c r="H182" i="42" s="1"/>
  <c r="I20" i="41"/>
  <c r="H54" i="41"/>
  <c r="H48" i="41"/>
  <c r="H55" i="41"/>
  <c r="H56" i="41" s="1"/>
  <c r="I181" i="42"/>
  <c r="I182" i="42" s="1"/>
  <c r="I153" i="42"/>
  <c r="H180" i="42"/>
  <c r="H117" i="42"/>
  <c r="I154" i="42"/>
  <c r="I155" i="42" s="1"/>
  <c r="H159" i="42"/>
  <c r="H153" i="42"/>
  <c r="H160" i="42"/>
  <c r="H161" i="42" s="1"/>
  <c r="N77" i="42"/>
  <c r="J77" i="42" s="1"/>
  <c r="I118" i="42"/>
  <c r="I119" i="42" s="1"/>
  <c r="I123" i="42"/>
  <c r="H123" i="42"/>
  <c r="I160" i="42"/>
  <c r="I161" i="42" s="1"/>
  <c r="I124" i="42"/>
  <c r="I125" i="42" s="1"/>
  <c r="H124" i="42"/>
  <c r="H125" i="42" s="1"/>
  <c r="I84" i="42"/>
  <c r="I85" i="42" s="1"/>
  <c r="P148" i="42"/>
  <c r="P137" i="42"/>
  <c r="H83" i="42"/>
  <c r="L48" i="42"/>
  <c r="N138" i="42"/>
  <c r="M138" i="42" s="1"/>
  <c r="N144" i="42"/>
  <c r="K144" i="42" s="1"/>
  <c r="H90" i="42"/>
  <c r="H91" i="42" s="1"/>
  <c r="H89" i="42"/>
  <c r="L19" i="42"/>
  <c r="I48" i="42"/>
  <c r="I54" i="42"/>
  <c r="H84" i="42"/>
  <c r="H85" i="42" s="1"/>
  <c r="I90" i="42"/>
  <c r="I91" i="42" s="1"/>
  <c r="I49" i="42"/>
  <c r="I50" i="42" s="1"/>
  <c r="H54" i="42"/>
  <c r="L20" i="42"/>
  <c r="L21" i="42" s="1"/>
  <c r="H48" i="42"/>
  <c r="H55" i="42"/>
  <c r="H56" i="42" s="1"/>
  <c r="L49" i="42"/>
  <c r="L50" i="42" s="1"/>
  <c r="P99" i="42"/>
  <c r="N133" i="42"/>
  <c r="K133" i="42" s="1"/>
  <c r="H49" i="42"/>
  <c r="H50" i="42" s="1"/>
  <c r="I55" i="42"/>
  <c r="I56" i="42" s="1"/>
  <c r="P69" i="42"/>
  <c r="I19" i="42"/>
  <c r="N69" i="42"/>
  <c r="J69" i="42" s="1"/>
  <c r="N74" i="42"/>
  <c r="M74" i="42" s="1"/>
  <c r="P133" i="42"/>
  <c r="N65" i="42"/>
  <c r="J65" i="42" s="1"/>
  <c r="N134" i="42"/>
  <c r="K134" i="42" s="1"/>
  <c r="N31" i="42"/>
  <c r="M31" i="42" s="1"/>
  <c r="P43" i="42"/>
  <c r="N42" i="42"/>
  <c r="M42" i="42" s="1"/>
  <c r="N43" i="42"/>
  <c r="M43" i="42" s="1"/>
  <c r="N32" i="42"/>
  <c r="M32" i="42" s="1"/>
  <c r="P39" i="42"/>
  <c r="P38" i="42"/>
  <c r="N37" i="42"/>
  <c r="J37" i="42" s="1"/>
  <c r="P30" i="42"/>
  <c r="P31" i="42"/>
  <c r="N34" i="42"/>
  <c r="M34" i="42" s="1"/>
  <c r="N35" i="42"/>
  <c r="M35" i="42" s="1"/>
  <c r="N40" i="42"/>
  <c r="J40" i="42" s="1"/>
  <c r="N64" i="42"/>
  <c r="K64" i="42" s="1"/>
  <c r="N66" i="42"/>
  <c r="K66" i="42" s="1"/>
  <c r="N70" i="42"/>
  <c r="J70" i="42" s="1"/>
  <c r="N73" i="42"/>
  <c r="N76" i="42"/>
  <c r="K76" i="42" s="1"/>
  <c r="L77" i="42"/>
  <c r="L103" i="42"/>
  <c r="L104" i="42"/>
  <c r="L105" i="42"/>
  <c r="L106" i="42"/>
  <c r="L107" i="42"/>
  <c r="L108" i="42"/>
  <c r="L109" i="42"/>
  <c r="L110" i="42"/>
  <c r="L111" i="42"/>
  <c r="N142" i="42"/>
  <c r="K142" i="42" s="1"/>
  <c r="N143" i="42"/>
  <c r="H20" i="42"/>
  <c r="H21" i="42" s="1"/>
  <c r="N30" i="42"/>
  <c r="N36" i="42"/>
  <c r="M36" i="42" s="1"/>
  <c r="H19" i="42"/>
  <c r="P34" i="42"/>
  <c r="P35" i="42"/>
  <c r="N38" i="42"/>
  <c r="N39" i="42"/>
  <c r="M39" i="42" s="1"/>
  <c r="N72" i="42"/>
  <c r="M72" i="42" s="1"/>
  <c r="P73" i="42"/>
  <c r="P74" i="42"/>
  <c r="P100" i="42"/>
  <c r="P110" i="42"/>
  <c r="P124" i="42" s="1"/>
  <c r="P125" i="42" s="1"/>
  <c r="N137" i="42"/>
  <c r="M137" i="42" s="1"/>
  <c r="P141" i="42"/>
  <c r="I20" i="42"/>
  <c r="I21" i="42" s="1"/>
  <c r="N136" i="42"/>
  <c r="M136" i="42" s="1"/>
  <c r="N33" i="42"/>
  <c r="J33" i="42" s="1"/>
  <c r="P65" i="42"/>
  <c r="P136" i="42"/>
  <c r="P32" i="42"/>
  <c r="P33" i="42"/>
  <c r="P36" i="42"/>
  <c r="P37" i="42"/>
  <c r="P40" i="42"/>
  <c r="P41" i="42"/>
  <c r="P44" i="42"/>
  <c r="P98" i="42"/>
  <c r="P102" i="42"/>
  <c r="P134" i="42"/>
  <c r="N135" i="42"/>
  <c r="J135" i="42" s="1"/>
  <c r="P138" i="42"/>
  <c r="N139" i="42"/>
  <c r="J139" i="42" s="1"/>
  <c r="P143" i="42"/>
  <c r="P144" i="42"/>
  <c r="N145" i="42"/>
  <c r="J145" i="42" s="1"/>
  <c r="N146" i="42"/>
  <c r="K146" i="42" s="1"/>
  <c r="P140" i="42"/>
  <c r="P147" i="42"/>
  <c r="N41" i="42"/>
  <c r="J41" i="42" s="1"/>
  <c r="P142" i="42"/>
  <c r="P13" i="42"/>
  <c r="N44" i="42"/>
  <c r="L78" i="42"/>
  <c r="P101" i="42"/>
  <c r="P135" i="42"/>
  <c r="P139" i="42"/>
  <c r="N140" i="42"/>
  <c r="M140" i="42" s="1"/>
  <c r="N141" i="42"/>
  <c r="K141" i="42" s="1"/>
  <c r="P145" i="42"/>
  <c r="P146" i="42"/>
  <c r="N147" i="42"/>
  <c r="K147" i="42" s="1"/>
  <c r="N148" i="42"/>
  <c r="M148" i="42" s="1"/>
  <c r="P9" i="42"/>
  <c r="N10" i="42"/>
  <c r="M10" i="42" s="1"/>
  <c r="N8" i="42"/>
  <c r="J8" i="42" s="1"/>
  <c r="N9" i="42"/>
  <c r="M9" i="42" s="1"/>
  <c r="N12" i="42"/>
  <c r="J12" i="42" s="1"/>
  <c r="N13" i="42"/>
  <c r="M13" i="42" s="1"/>
  <c r="N7" i="42"/>
  <c r="P8" i="42"/>
  <c r="N11" i="42"/>
  <c r="J11" i="42" s="1"/>
  <c r="P12" i="42"/>
  <c r="P7" i="42"/>
  <c r="P10" i="42"/>
  <c r="P11" i="42"/>
  <c r="P67" i="42"/>
  <c r="N67" i="42"/>
  <c r="P75" i="42"/>
  <c r="N75" i="42"/>
  <c r="P63" i="42"/>
  <c r="N63" i="42"/>
  <c r="P64" i="42"/>
  <c r="P71" i="42"/>
  <c r="N71" i="42"/>
  <c r="J71" i="42" s="1"/>
  <c r="P72" i="42"/>
  <c r="P68" i="42"/>
  <c r="P76" i="42"/>
  <c r="L76" i="42"/>
  <c r="L67" i="42"/>
  <c r="N68" i="42"/>
  <c r="J68" i="42" s="1"/>
  <c r="L75" i="42"/>
  <c r="P77" i="42"/>
  <c r="L66" i="42"/>
  <c r="L70" i="42"/>
  <c r="L74" i="42"/>
  <c r="N78" i="42"/>
  <c r="N171" i="42"/>
  <c r="J171" i="42" s="1"/>
  <c r="L171" i="42"/>
  <c r="P171" i="42"/>
  <c r="N175" i="42"/>
  <c r="J175" i="42" s="1"/>
  <c r="L175" i="42"/>
  <c r="P175" i="42"/>
  <c r="L42" i="42"/>
  <c r="N98" i="42"/>
  <c r="N99" i="42"/>
  <c r="M99" i="42" s="1"/>
  <c r="N100" i="42"/>
  <c r="J100" i="42" s="1"/>
  <c r="N101" i="42"/>
  <c r="M101" i="42" s="1"/>
  <c r="N102" i="42"/>
  <c r="M102" i="42" s="1"/>
  <c r="N104" i="42"/>
  <c r="M104" i="42" s="1"/>
  <c r="N106" i="42"/>
  <c r="M106" i="42" s="1"/>
  <c r="N108" i="42"/>
  <c r="M108" i="42" s="1"/>
  <c r="N110" i="42"/>
  <c r="K110" i="42" s="1"/>
  <c r="N169" i="42"/>
  <c r="L169" i="42"/>
  <c r="L98" i="42"/>
  <c r="N103" i="42"/>
  <c r="M103" i="42" s="1"/>
  <c r="N105" i="42"/>
  <c r="M105" i="42" s="1"/>
  <c r="N107" i="42"/>
  <c r="N109" i="42"/>
  <c r="M109" i="42" s="1"/>
  <c r="N111" i="42"/>
  <c r="M111" i="42" s="1"/>
  <c r="N173" i="42"/>
  <c r="J173" i="42" s="1"/>
  <c r="L173" i="42"/>
  <c r="N168" i="42"/>
  <c r="P168" i="42"/>
  <c r="N172" i="42"/>
  <c r="P172" i="42"/>
  <c r="N170" i="42"/>
  <c r="J170" i="42" s="1"/>
  <c r="P170" i="42"/>
  <c r="N174" i="42"/>
  <c r="J174" i="42" s="1"/>
  <c r="P174" i="42"/>
  <c r="L133" i="42"/>
  <c r="L147" i="42"/>
  <c r="L159" i="42" s="1"/>
  <c r="P36" i="41"/>
  <c r="I21" i="41"/>
  <c r="I22" i="41" s="1"/>
  <c r="H21" i="41"/>
  <c r="H22" i="41" s="1"/>
  <c r="L34" i="41"/>
  <c r="L30" i="41"/>
  <c r="L42" i="41"/>
  <c r="P32" i="41"/>
  <c r="P38" i="41"/>
  <c r="L40" i="41"/>
  <c r="N13" i="41"/>
  <c r="K13" i="41" s="1"/>
  <c r="N14" i="41"/>
  <c r="N11" i="41"/>
  <c r="K11" i="41" s="1"/>
  <c r="N9" i="41"/>
  <c r="M9" i="41" s="1"/>
  <c r="N10" i="41"/>
  <c r="K10" i="41" s="1"/>
  <c r="P8" i="41"/>
  <c r="P12" i="41"/>
  <c r="P9" i="41"/>
  <c r="P13" i="41"/>
  <c r="N7" i="41"/>
  <c r="P10" i="41"/>
  <c r="P14" i="41"/>
  <c r="P7" i="41"/>
  <c r="N8" i="41"/>
  <c r="M8" i="41" s="1"/>
  <c r="P11" i="41"/>
  <c r="N12" i="41"/>
  <c r="K12" i="41" s="1"/>
  <c r="N33" i="41"/>
  <c r="M33" i="41" s="1"/>
  <c r="P33" i="41"/>
  <c r="N37" i="41"/>
  <c r="M37" i="41" s="1"/>
  <c r="N41" i="41"/>
  <c r="M41" i="41" s="1"/>
  <c r="P41" i="41"/>
  <c r="L7" i="41"/>
  <c r="N31" i="41"/>
  <c r="M31" i="41" s="1"/>
  <c r="P31" i="41"/>
  <c r="L33" i="41"/>
  <c r="N35" i="41"/>
  <c r="M35" i="41" s="1"/>
  <c r="P35" i="41"/>
  <c r="L37" i="41"/>
  <c r="N39" i="41"/>
  <c r="P39" i="41"/>
  <c r="L41" i="41"/>
  <c r="N30" i="41"/>
  <c r="N32" i="41"/>
  <c r="M32" i="41" s="1"/>
  <c r="N34" i="41"/>
  <c r="N36" i="41"/>
  <c r="M36" i="41" s="1"/>
  <c r="N38" i="41"/>
  <c r="N40" i="41"/>
  <c r="M40" i="41" s="1"/>
  <c r="N42" i="41"/>
  <c r="O182" i="32"/>
  <c r="O183" i="32"/>
  <c r="O184" i="32" s="1"/>
  <c r="H177" i="32"/>
  <c r="I176" i="32"/>
  <c r="H176" i="32"/>
  <c r="L176" i="32" s="1"/>
  <c r="I175" i="32"/>
  <c r="H175" i="32"/>
  <c r="I174" i="32"/>
  <c r="H174" i="32"/>
  <c r="I173" i="32"/>
  <c r="H173" i="32"/>
  <c r="L173" i="32" s="1"/>
  <c r="O153" i="32"/>
  <c r="O154" i="32"/>
  <c r="O155" i="32" s="1"/>
  <c r="H148" i="32"/>
  <c r="I147" i="32"/>
  <c r="H147" i="32"/>
  <c r="I146" i="32"/>
  <c r="H146" i="32"/>
  <c r="I145" i="32"/>
  <c r="H145" i="32"/>
  <c r="I144" i="32"/>
  <c r="H144" i="32"/>
  <c r="I143" i="32"/>
  <c r="H143" i="32"/>
  <c r="O134" i="32"/>
  <c r="O135" i="32"/>
  <c r="O136" i="32" s="1"/>
  <c r="I127" i="32"/>
  <c r="H127" i="32"/>
  <c r="P127" i="32" s="1"/>
  <c r="I126" i="32"/>
  <c r="H126" i="32"/>
  <c r="P126" i="32" s="1"/>
  <c r="I125" i="32"/>
  <c r="H125" i="32"/>
  <c r="P125" i="32" s="1"/>
  <c r="I124" i="32"/>
  <c r="H124" i="32"/>
  <c r="P124" i="32" s="1"/>
  <c r="I123" i="32"/>
  <c r="H123" i="32"/>
  <c r="P123" i="32" s="1"/>
  <c r="I122" i="32"/>
  <c r="H122" i="32"/>
  <c r="P122" i="32" s="1"/>
  <c r="O111" i="32"/>
  <c r="O112" i="32"/>
  <c r="O113" i="32" s="1"/>
  <c r="H106" i="32"/>
  <c r="I105" i="32"/>
  <c r="H105" i="32"/>
  <c r="I104" i="32"/>
  <c r="H104" i="32"/>
  <c r="I103" i="32"/>
  <c r="H103" i="32"/>
  <c r="L103" i="32" s="1"/>
  <c r="I102" i="32"/>
  <c r="H102" i="32"/>
  <c r="I101" i="32"/>
  <c r="H101" i="32"/>
  <c r="I100" i="32"/>
  <c r="H100" i="32"/>
  <c r="I99" i="32"/>
  <c r="H99" i="32"/>
  <c r="H76" i="32"/>
  <c r="I75" i="32"/>
  <c r="H75" i="32"/>
  <c r="P75" i="32" s="1"/>
  <c r="I74" i="32"/>
  <c r="H74" i="32"/>
  <c r="P74" i="32" s="1"/>
  <c r="I73" i="32"/>
  <c r="H73" i="32"/>
  <c r="P73" i="32" s="1"/>
  <c r="I72" i="32"/>
  <c r="H72" i="32"/>
  <c r="P72" i="32" s="1"/>
  <c r="I71" i="32"/>
  <c r="H71" i="32"/>
  <c r="P71" i="32" s="1"/>
  <c r="I70" i="32"/>
  <c r="H70" i="32"/>
  <c r="I69" i="32"/>
  <c r="H69" i="32"/>
  <c r="I68" i="32"/>
  <c r="H68" i="32"/>
  <c r="P68" i="32" s="1"/>
  <c r="J13" i="41" l="1"/>
  <c r="L175" i="32"/>
  <c r="H194" i="32"/>
  <c r="H195" i="32"/>
  <c r="H196" i="32" s="1"/>
  <c r="I194" i="32"/>
  <c r="I195" i="32"/>
  <c r="I196" i="32" s="1"/>
  <c r="L174" i="32"/>
  <c r="L183" i="32" s="1"/>
  <c r="L184" i="32" s="1"/>
  <c r="H188" i="32"/>
  <c r="H189" i="32"/>
  <c r="H190" i="32" s="1"/>
  <c r="I188" i="32"/>
  <c r="I189" i="32"/>
  <c r="I190" i="32" s="1"/>
  <c r="I159" i="32"/>
  <c r="I160" i="32"/>
  <c r="I161" i="32" s="1"/>
  <c r="H166" i="32"/>
  <c r="H167" i="32" s="1"/>
  <c r="H165" i="32"/>
  <c r="I165" i="32"/>
  <c r="I166" i="32"/>
  <c r="I167" i="32" s="1"/>
  <c r="H160" i="32"/>
  <c r="H161" i="32" s="1"/>
  <c r="H159" i="32"/>
  <c r="I91" i="32"/>
  <c r="I92" i="32"/>
  <c r="I93" i="32" s="1"/>
  <c r="P70" i="32"/>
  <c r="H85" i="32"/>
  <c r="H86" i="32"/>
  <c r="H87" i="32" s="1"/>
  <c r="I85" i="32"/>
  <c r="I86" i="32"/>
  <c r="I87" i="32" s="1"/>
  <c r="H91" i="32"/>
  <c r="H92" i="32"/>
  <c r="H93" i="32" s="1"/>
  <c r="H80" i="32"/>
  <c r="I112" i="32"/>
  <c r="I113" i="32" s="1"/>
  <c r="H153" i="32"/>
  <c r="I183" i="32"/>
  <c r="I184" i="32" s="1"/>
  <c r="M77" i="42"/>
  <c r="I134" i="32"/>
  <c r="I154" i="32"/>
  <c r="I155" i="32" s="1"/>
  <c r="L89" i="42"/>
  <c r="K77" i="42"/>
  <c r="K138" i="42"/>
  <c r="J138" i="42"/>
  <c r="H112" i="32"/>
  <c r="H113" i="32" s="1"/>
  <c r="N105" i="32"/>
  <c r="M105" i="32" s="1"/>
  <c r="L54" i="41"/>
  <c r="I111" i="32"/>
  <c r="H111" i="32"/>
  <c r="I135" i="32"/>
  <c r="I136" i="32" s="1"/>
  <c r="P48" i="41"/>
  <c r="L181" i="42"/>
  <c r="L182" i="42" s="1"/>
  <c r="J144" i="42"/>
  <c r="P69" i="32"/>
  <c r="H81" i="32"/>
  <c r="H82" i="32" s="1"/>
  <c r="P134" i="32"/>
  <c r="H134" i="32"/>
  <c r="I80" i="32"/>
  <c r="I81" i="32"/>
  <c r="I82" i="32" s="1"/>
  <c r="H135" i="32"/>
  <c r="H136" i="32" s="1"/>
  <c r="N143" i="32"/>
  <c r="N145" i="32"/>
  <c r="M145" i="32" s="1"/>
  <c r="N147" i="32"/>
  <c r="M147" i="32" s="1"/>
  <c r="H154" i="32"/>
  <c r="H155" i="32" s="1"/>
  <c r="I153" i="32"/>
  <c r="J30" i="41"/>
  <c r="N48" i="41"/>
  <c r="N49" i="41"/>
  <c r="N50" i="41" s="1"/>
  <c r="P49" i="41"/>
  <c r="P50" i="41" s="1"/>
  <c r="I182" i="32"/>
  <c r="L48" i="41"/>
  <c r="L49" i="41"/>
  <c r="L50" i="41" s="1"/>
  <c r="L180" i="42"/>
  <c r="H182" i="32"/>
  <c r="P54" i="41"/>
  <c r="P55" i="41"/>
  <c r="P56" i="41" s="1"/>
  <c r="P180" i="42"/>
  <c r="P181" i="42"/>
  <c r="P182" i="42" s="1"/>
  <c r="L55" i="41"/>
  <c r="L56" i="41" s="1"/>
  <c r="H183" i="32"/>
  <c r="H184" i="32" s="1"/>
  <c r="M39" i="41"/>
  <c r="N54" i="41"/>
  <c r="N55" i="41"/>
  <c r="N56" i="41" s="1"/>
  <c r="N180" i="42"/>
  <c r="N181" i="42"/>
  <c r="N182" i="42" s="1"/>
  <c r="P135" i="32"/>
  <c r="P136" i="32" s="1"/>
  <c r="M133" i="42"/>
  <c r="N153" i="42"/>
  <c r="N154" i="42"/>
  <c r="N155" i="42" s="1"/>
  <c r="L160" i="42"/>
  <c r="L161" i="42" s="1"/>
  <c r="J143" i="42"/>
  <c r="N159" i="42"/>
  <c r="N160" i="42"/>
  <c r="N161" i="42" s="1"/>
  <c r="P153" i="42"/>
  <c r="P154" i="42"/>
  <c r="P155" i="42" s="1"/>
  <c r="P159" i="42"/>
  <c r="P160" i="42"/>
  <c r="P161" i="42" s="1"/>
  <c r="L153" i="42"/>
  <c r="L154" i="42"/>
  <c r="L155" i="42" s="1"/>
  <c r="M107" i="42"/>
  <c r="N124" i="42"/>
  <c r="N125" i="42" s="1"/>
  <c r="N123" i="42"/>
  <c r="K98" i="42"/>
  <c r="N118" i="42"/>
  <c r="N119" i="42" s="1"/>
  <c r="N117" i="42"/>
  <c r="L83" i="42"/>
  <c r="K148" i="42"/>
  <c r="P123" i="42"/>
  <c r="L124" i="42"/>
  <c r="L125" i="42" s="1"/>
  <c r="L123" i="42"/>
  <c r="J43" i="42"/>
  <c r="L118" i="42"/>
  <c r="L119" i="42" s="1"/>
  <c r="L117" i="42"/>
  <c r="M144" i="42"/>
  <c r="J133" i="42"/>
  <c r="J137" i="42"/>
  <c r="M143" i="42"/>
  <c r="K137" i="42"/>
  <c r="P117" i="42"/>
  <c r="P118" i="42"/>
  <c r="P119" i="42" s="1"/>
  <c r="L90" i="42"/>
  <c r="L91" i="42" s="1"/>
  <c r="L84" i="42"/>
  <c r="L85" i="42" s="1"/>
  <c r="K143" i="42"/>
  <c r="M146" i="42"/>
  <c r="P89" i="42"/>
  <c r="P90" i="42"/>
  <c r="P91" i="42" s="1"/>
  <c r="J73" i="42"/>
  <c r="N89" i="42"/>
  <c r="N90" i="42"/>
  <c r="N91" i="42" s="1"/>
  <c r="M135" i="42"/>
  <c r="J63" i="42"/>
  <c r="N83" i="42"/>
  <c r="N84" i="42"/>
  <c r="N85" i="42" s="1"/>
  <c r="K72" i="42"/>
  <c r="J105" i="42"/>
  <c r="P83" i="42"/>
  <c r="P84" i="42"/>
  <c r="P85" i="42" s="1"/>
  <c r="M30" i="42"/>
  <c r="N48" i="42"/>
  <c r="N49" i="42"/>
  <c r="N50" i="42" s="1"/>
  <c r="P54" i="42"/>
  <c r="P55" i="42"/>
  <c r="P56" i="42" s="1"/>
  <c r="K42" i="42"/>
  <c r="J72" i="42"/>
  <c r="J141" i="42"/>
  <c r="P48" i="42"/>
  <c r="P49" i="42"/>
  <c r="P50" i="42" s="1"/>
  <c r="M147" i="42"/>
  <c r="L55" i="42"/>
  <c r="L56" i="42" s="1"/>
  <c r="L54" i="42"/>
  <c r="M134" i="42"/>
  <c r="K69" i="42"/>
  <c r="K38" i="42"/>
  <c r="N54" i="42"/>
  <c r="N55" i="42"/>
  <c r="N56" i="42" s="1"/>
  <c r="J142" i="42"/>
  <c r="J134" i="42"/>
  <c r="K73" i="42"/>
  <c r="M73" i="42"/>
  <c r="J64" i="42"/>
  <c r="J74" i="42"/>
  <c r="K135" i="42"/>
  <c r="M145" i="42"/>
  <c r="M65" i="42"/>
  <c r="K74" i="42"/>
  <c r="M141" i="42"/>
  <c r="M64" i="42"/>
  <c r="M12" i="42"/>
  <c r="M69" i="42"/>
  <c r="K65" i="42"/>
  <c r="J76" i="42"/>
  <c r="K32" i="42"/>
  <c r="J39" i="42"/>
  <c r="K39" i="42"/>
  <c r="J31" i="42"/>
  <c r="J38" i="42"/>
  <c r="K34" i="42"/>
  <c r="K31" i="42"/>
  <c r="J42" i="42"/>
  <c r="K43" i="42"/>
  <c r="K37" i="42"/>
  <c r="K36" i="42"/>
  <c r="M37" i="42"/>
  <c r="J32" i="42"/>
  <c r="M38" i="42"/>
  <c r="M41" i="42"/>
  <c r="J34" i="42"/>
  <c r="K35" i="42"/>
  <c r="K41" i="42"/>
  <c r="J109" i="42"/>
  <c r="J110" i="42"/>
  <c r="J106" i="42"/>
  <c r="M142" i="42"/>
  <c r="K30" i="42"/>
  <c r="J148" i="42"/>
  <c r="P20" i="42"/>
  <c r="P21" i="42" s="1"/>
  <c r="P19" i="42"/>
  <c r="M70" i="42"/>
  <c r="K70" i="42"/>
  <c r="J36" i="42"/>
  <c r="K7" i="42"/>
  <c r="N19" i="42"/>
  <c r="N20" i="42"/>
  <c r="N21" i="42" s="1"/>
  <c r="M66" i="42"/>
  <c r="J66" i="42"/>
  <c r="J108" i="42"/>
  <c r="J104" i="42"/>
  <c r="K105" i="42"/>
  <c r="J35" i="42"/>
  <c r="M76" i="42"/>
  <c r="J30" i="42"/>
  <c r="K33" i="42"/>
  <c r="M33" i="42"/>
  <c r="K10" i="42"/>
  <c r="M40" i="42"/>
  <c r="K40" i="42"/>
  <c r="J140" i="42"/>
  <c r="K139" i="42"/>
  <c r="J146" i="42"/>
  <c r="J136" i="42"/>
  <c r="K140" i="42"/>
  <c r="J111" i="42"/>
  <c r="J107" i="42"/>
  <c r="J103" i="42"/>
  <c r="K145" i="42"/>
  <c r="M139" i="42"/>
  <c r="K111" i="42"/>
  <c r="K109" i="42"/>
  <c r="M7" i="42"/>
  <c r="M44" i="42"/>
  <c r="K44" i="42"/>
  <c r="J44" i="42"/>
  <c r="J147" i="42"/>
  <c r="K136" i="42"/>
  <c r="J10" i="42"/>
  <c r="K12" i="42"/>
  <c r="K9" i="42"/>
  <c r="K8" i="42"/>
  <c r="J13" i="42"/>
  <c r="M8" i="42"/>
  <c r="J7" i="42"/>
  <c r="K13" i="42"/>
  <c r="K11" i="42"/>
  <c r="M11" i="42"/>
  <c r="J9" i="42"/>
  <c r="M172" i="42"/>
  <c r="K172" i="42"/>
  <c r="M168" i="42"/>
  <c r="K168" i="42"/>
  <c r="M169" i="42"/>
  <c r="K169" i="42"/>
  <c r="M170" i="42"/>
  <c r="K170" i="42"/>
  <c r="M110" i="42"/>
  <c r="J102" i="42"/>
  <c r="J98" i="42"/>
  <c r="K106" i="42"/>
  <c r="M71" i="42"/>
  <c r="K71" i="42"/>
  <c r="M75" i="42"/>
  <c r="K75" i="42"/>
  <c r="M174" i="42"/>
  <c r="K174" i="42"/>
  <c r="M175" i="42"/>
  <c r="K175" i="42"/>
  <c r="M171" i="42"/>
  <c r="K171" i="42"/>
  <c r="M67" i="42"/>
  <c r="K67" i="42"/>
  <c r="J172" i="42"/>
  <c r="J168" i="42"/>
  <c r="M173" i="42"/>
  <c r="K173" i="42"/>
  <c r="J169" i="42"/>
  <c r="J101" i="42"/>
  <c r="J99" i="42"/>
  <c r="K108" i="42"/>
  <c r="K104" i="42"/>
  <c r="K78" i="42"/>
  <c r="M78" i="42"/>
  <c r="J78" i="42"/>
  <c r="M68" i="42"/>
  <c r="K68" i="42"/>
  <c r="M63" i="42"/>
  <c r="K63" i="42"/>
  <c r="K99" i="42"/>
  <c r="J75" i="42"/>
  <c r="J67" i="42"/>
  <c r="M100" i="42"/>
  <c r="K100" i="42"/>
  <c r="M98" i="42"/>
  <c r="K107" i="42"/>
  <c r="K103" i="42"/>
  <c r="K101" i="42"/>
  <c r="K102" i="42"/>
  <c r="M11" i="41"/>
  <c r="N21" i="41"/>
  <c r="N22" i="41" s="1"/>
  <c r="N20" i="41"/>
  <c r="J11" i="41"/>
  <c r="L21" i="41"/>
  <c r="L22" i="41" s="1"/>
  <c r="L20" i="41"/>
  <c r="J36" i="41"/>
  <c r="J41" i="41"/>
  <c r="J33" i="41"/>
  <c r="P20" i="41"/>
  <c r="P21" i="41"/>
  <c r="P22" i="41" s="1"/>
  <c r="K37" i="41"/>
  <c r="J40" i="41"/>
  <c r="J9" i="41"/>
  <c r="K32" i="41"/>
  <c r="J32" i="41"/>
  <c r="K41" i="41"/>
  <c r="J37" i="41"/>
  <c r="K40" i="41"/>
  <c r="M13" i="41"/>
  <c r="M12" i="41"/>
  <c r="K9" i="41"/>
  <c r="M14" i="41"/>
  <c r="J14" i="41"/>
  <c r="K14" i="41"/>
  <c r="J10" i="41"/>
  <c r="M10" i="41"/>
  <c r="J8" i="41"/>
  <c r="J7" i="41"/>
  <c r="K8" i="41"/>
  <c r="J12" i="41"/>
  <c r="K7" i="41"/>
  <c r="M7" i="41"/>
  <c r="M42" i="41"/>
  <c r="K42" i="41"/>
  <c r="M38" i="41"/>
  <c r="K38" i="41"/>
  <c r="M34" i="41"/>
  <c r="K34" i="41"/>
  <c r="K35" i="41"/>
  <c r="M30" i="41"/>
  <c r="K30" i="41"/>
  <c r="J42" i="41"/>
  <c r="J38" i="41"/>
  <c r="J34" i="41"/>
  <c r="J39" i="41"/>
  <c r="J35" i="41"/>
  <c r="J31" i="41"/>
  <c r="K33" i="41"/>
  <c r="K39" i="41"/>
  <c r="K31" i="41"/>
  <c r="K36" i="41"/>
  <c r="N173" i="32"/>
  <c r="K173" i="32" s="1"/>
  <c r="N174" i="32"/>
  <c r="N175" i="32"/>
  <c r="N176" i="32"/>
  <c r="M176" i="32" s="1"/>
  <c r="P173" i="32"/>
  <c r="P174" i="32"/>
  <c r="P175" i="32"/>
  <c r="P176" i="32"/>
  <c r="N144" i="32"/>
  <c r="M144" i="32" s="1"/>
  <c r="N146" i="32"/>
  <c r="L144" i="32"/>
  <c r="L145" i="32"/>
  <c r="L146" i="32"/>
  <c r="P143" i="32"/>
  <c r="P144" i="32"/>
  <c r="P145" i="32"/>
  <c r="P146" i="32"/>
  <c r="P147" i="32"/>
  <c r="L143" i="32"/>
  <c r="L147" i="32"/>
  <c r="N122" i="32"/>
  <c r="N123" i="32"/>
  <c r="N124" i="32"/>
  <c r="N125" i="32"/>
  <c r="N127" i="32"/>
  <c r="K127" i="32" s="1"/>
  <c r="L122" i="32"/>
  <c r="L123" i="32"/>
  <c r="L124" i="32"/>
  <c r="L125" i="32"/>
  <c r="L126" i="32"/>
  <c r="L127" i="32"/>
  <c r="N126" i="32"/>
  <c r="K122" i="32"/>
  <c r="N104" i="32"/>
  <c r="M104" i="32" s="1"/>
  <c r="N100" i="32"/>
  <c r="M100" i="32" s="1"/>
  <c r="N102" i="32"/>
  <c r="M102" i="32" s="1"/>
  <c r="N99" i="32"/>
  <c r="N101" i="32"/>
  <c r="M101" i="32" s="1"/>
  <c r="N103" i="32"/>
  <c r="M103" i="32" s="1"/>
  <c r="L100" i="32"/>
  <c r="L101" i="32"/>
  <c r="L102" i="32"/>
  <c r="P99" i="32"/>
  <c r="P100" i="32"/>
  <c r="P101" i="32"/>
  <c r="P102" i="32"/>
  <c r="P103" i="32"/>
  <c r="P104" i="32"/>
  <c r="P105" i="32"/>
  <c r="L99" i="32"/>
  <c r="L104" i="32"/>
  <c r="L105" i="32"/>
  <c r="L68" i="32"/>
  <c r="L69" i="32"/>
  <c r="L70" i="32"/>
  <c r="L71" i="32"/>
  <c r="L72" i="32"/>
  <c r="L73" i="32"/>
  <c r="L74" i="32"/>
  <c r="L75" i="32"/>
  <c r="N68" i="32"/>
  <c r="K68" i="32" s="1"/>
  <c r="N69" i="32"/>
  <c r="N70" i="32"/>
  <c r="N71" i="32"/>
  <c r="M71" i="32" s="1"/>
  <c r="N72" i="32"/>
  <c r="M72" i="32" s="1"/>
  <c r="N73" i="32"/>
  <c r="M73" i="32" s="1"/>
  <c r="N74" i="32"/>
  <c r="M74" i="32" s="1"/>
  <c r="N75" i="32"/>
  <c r="M75" i="32" s="1"/>
  <c r="S32" i="33"/>
  <c r="V33" i="33"/>
  <c r="U33" i="33"/>
  <c r="T33" i="33"/>
  <c r="S33" i="33"/>
  <c r="V32" i="33"/>
  <c r="U32" i="33"/>
  <c r="T32" i="33"/>
  <c r="O33" i="33"/>
  <c r="N33" i="33"/>
  <c r="M33" i="33"/>
  <c r="L33" i="33"/>
  <c r="O32" i="33"/>
  <c r="N32" i="33"/>
  <c r="M32" i="33"/>
  <c r="L32" i="33"/>
  <c r="E32" i="33"/>
  <c r="F32" i="33"/>
  <c r="G32" i="33"/>
  <c r="E33" i="33"/>
  <c r="F33" i="33"/>
  <c r="G33" i="33"/>
  <c r="D33" i="33"/>
  <c r="D32" i="33"/>
  <c r="L15" i="33"/>
  <c r="O16" i="33"/>
  <c r="N16" i="33"/>
  <c r="M16" i="33"/>
  <c r="L16" i="33"/>
  <c r="O15" i="33"/>
  <c r="M15" i="33"/>
  <c r="E16" i="33"/>
  <c r="F16" i="33"/>
  <c r="G16" i="33"/>
  <c r="D16" i="33"/>
  <c r="E15" i="33"/>
  <c r="F15" i="33"/>
  <c r="G15" i="33"/>
  <c r="D15" i="33"/>
  <c r="L182" i="32" l="1"/>
  <c r="P194" i="32"/>
  <c r="P195" i="32"/>
  <c r="P196" i="32" s="1"/>
  <c r="M175" i="32"/>
  <c r="N194" i="32"/>
  <c r="N195" i="32"/>
  <c r="N196" i="32" s="1"/>
  <c r="L189" i="32"/>
  <c r="L190" i="32" s="1"/>
  <c r="L188" i="32"/>
  <c r="P188" i="32"/>
  <c r="P189" i="32"/>
  <c r="P190" i="32" s="1"/>
  <c r="M174" i="32"/>
  <c r="N188" i="32"/>
  <c r="N189" i="32"/>
  <c r="N190" i="32" s="1"/>
  <c r="L194" i="32"/>
  <c r="L195" i="32"/>
  <c r="L196" i="32" s="1"/>
  <c r="L159" i="32"/>
  <c r="L160" i="32"/>
  <c r="L161" i="32" s="1"/>
  <c r="P159" i="32"/>
  <c r="P160" i="32"/>
  <c r="P161" i="32" s="1"/>
  <c r="M146" i="32"/>
  <c r="N165" i="32"/>
  <c r="N166" i="32"/>
  <c r="N167" i="32" s="1"/>
  <c r="P165" i="32"/>
  <c r="P166" i="32"/>
  <c r="P167" i="32" s="1"/>
  <c r="L165" i="32"/>
  <c r="L166" i="32"/>
  <c r="L167" i="32" s="1"/>
  <c r="M143" i="32"/>
  <c r="N159" i="32"/>
  <c r="N160" i="32"/>
  <c r="N161" i="32" s="1"/>
  <c r="M173" i="32"/>
  <c r="M70" i="32"/>
  <c r="N85" i="32"/>
  <c r="N86" i="32"/>
  <c r="N87" i="32" s="1"/>
  <c r="L85" i="32"/>
  <c r="L86" i="32"/>
  <c r="L87" i="32" s="1"/>
  <c r="N91" i="32"/>
  <c r="N92" i="32"/>
  <c r="N93" i="32" s="1"/>
  <c r="L91" i="32"/>
  <c r="L92" i="32"/>
  <c r="L93" i="32" s="1"/>
  <c r="P91" i="32"/>
  <c r="P92" i="32"/>
  <c r="P93" i="32" s="1"/>
  <c r="P85" i="32"/>
  <c r="P86" i="32"/>
  <c r="P87" i="32" s="1"/>
  <c r="J147" i="32"/>
  <c r="J102" i="32"/>
  <c r="K147" i="32"/>
  <c r="J105" i="32"/>
  <c r="J143" i="32"/>
  <c r="K143" i="32"/>
  <c r="J173" i="32"/>
  <c r="K104" i="32"/>
  <c r="K105" i="32"/>
  <c r="K103" i="32"/>
  <c r="K145" i="32"/>
  <c r="K154" i="42"/>
  <c r="K155" i="42" s="1"/>
  <c r="J103" i="32"/>
  <c r="J145" i="32"/>
  <c r="J174" i="32"/>
  <c r="K102" i="32"/>
  <c r="L112" i="32"/>
  <c r="L113" i="32" s="1"/>
  <c r="L111" i="32"/>
  <c r="J180" i="42"/>
  <c r="J181" i="42"/>
  <c r="J182" i="42" s="1"/>
  <c r="J100" i="32"/>
  <c r="M99" i="32"/>
  <c r="N111" i="32"/>
  <c r="N112" i="32"/>
  <c r="N113" i="32" s="1"/>
  <c r="L135" i="32"/>
  <c r="L136" i="32" s="1"/>
  <c r="L134" i="32"/>
  <c r="J176" i="32"/>
  <c r="K153" i="42"/>
  <c r="J146" i="32"/>
  <c r="J104" i="32"/>
  <c r="K100" i="32"/>
  <c r="N135" i="32"/>
  <c r="N136" i="32" s="1"/>
  <c r="N134" i="32"/>
  <c r="L153" i="32"/>
  <c r="L154" i="32"/>
  <c r="L155" i="32" s="1"/>
  <c r="K54" i="41"/>
  <c r="K55" i="41"/>
  <c r="K56" i="41" s="1"/>
  <c r="J54" i="41"/>
  <c r="J55" i="41"/>
  <c r="J56" i="41" s="1"/>
  <c r="K48" i="41"/>
  <c r="K49" i="41"/>
  <c r="K50" i="41" s="1"/>
  <c r="K180" i="42"/>
  <c r="K181" i="42"/>
  <c r="K182" i="42" s="1"/>
  <c r="M54" i="41"/>
  <c r="M55" i="41"/>
  <c r="M56" i="41" s="1"/>
  <c r="J48" i="41"/>
  <c r="J49" i="41"/>
  <c r="J50" i="41" s="1"/>
  <c r="M69" i="32"/>
  <c r="N80" i="32"/>
  <c r="N81" i="32"/>
  <c r="N82" i="32" s="1"/>
  <c r="L80" i="32"/>
  <c r="L81" i="32"/>
  <c r="L82" i="32" s="1"/>
  <c r="J144" i="32"/>
  <c r="K144" i="32"/>
  <c r="K176" i="32"/>
  <c r="N183" i="32"/>
  <c r="N184" i="32" s="1"/>
  <c r="N182" i="32"/>
  <c r="M48" i="41"/>
  <c r="M49" i="41"/>
  <c r="M50" i="41" s="1"/>
  <c r="M180" i="42"/>
  <c r="M181" i="42"/>
  <c r="M182" i="42" s="1"/>
  <c r="N154" i="32"/>
  <c r="N155" i="32" s="1"/>
  <c r="N153" i="32"/>
  <c r="P80" i="32"/>
  <c r="P81" i="32"/>
  <c r="P82" i="32" s="1"/>
  <c r="P182" i="32"/>
  <c r="P183" i="32"/>
  <c r="P184" i="32" s="1"/>
  <c r="P153" i="32"/>
  <c r="P154" i="32"/>
  <c r="P155" i="32" s="1"/>
  <c r="P111" i="32"/>
  <c r="P112" i="32"/>
  <c r="P113" i="32" s="1"/>
  <c r="K159" i="42"/>
  <c r="K160" i="42"/>
  <c r="K161" i="42" s="1"/>
  <c r="J153" i="42"/>
  <c r="J154" i="42"/>
  <c r="J155" i="42" s="1"/>
  <c r="M159" i="42"/>
  <c r="M160" i="42"/>
  <c r="M161" i="42" s="1"/>
  <c r="J159" i="42"/>
  <c r="J160" i="42"/>
  <c r="J161" i="42" s="1"/>
  <c r="M153" i="42"/>
  <c r="M154" i="42"/>
  <c r="M155" i="42" s="1"/>
  <c r="K118" i="42"/>
  <c r="K119" i="42" s="1"/>
  <c r="K117" i="42"/>
  <c r="J124" i="42"/>
  <c r="J125" i="42" s="1"/>
  <c r="J123" i="42"/>
  <c r="M117" i="42"/>
  <c r="M118" i="42"/>
  <c r="M119" i="42" s="1"/>
  <c r="J118" i="42"/>
  <c r="J119" i="42" s="1"/>
  <c r="J117" i="42"/>
  <c r="K124" i="42"/>
  <c r="K125" i="42" s="1"/>
  <c r="K123" i="42"/>
  <c r="M123" i="42"/>
  <c r="M124" i="42"/>
  <c r="M125" i="42" s="1"/>
  <c r="M83" i="42"/>
  <c r="M84" i="42"/>
  <c r="M85" i="42" s="1"/>
  <c r="K89" i="42"/>
  <c r="K90" i="42"/>
  <c r="K91" i="42" s="1"/>
  <c r="J83" i="42"/>
  <c r="J84" i="42"/>
  <c r="J85" i="42" s="1"/>
  <c r="J90" i="42"/>
  <c r="J91" i="42" s="1"/>
  <c r="J89" i="42"/>
  <c r="K84" i="42"/>
  <c r="K85" i="42" s="1"/>
  <c r="K83" i="42"/>
  <c r="M89" i="42"/>
  <c r="M90" i="42"/>
  <c r="M91" i="42" s="1"/>
  <c r="J48" i="42"/>
  <c r="J49" i="42"/>
  <c r="J50" i="42" s="1"/>
  <c r="J54" i="42"/>
  <c r="J55" i="42"/>
  <c r="J56" i="42" s="1"/>
  <c r="M54" i="42"/>
  <c r="M55" i="42"/>
  <c r="M56" i="42" s="1"/>
  <c r="K48" i="42"/>
  <c r="K49" i="42"/>
  <c r="K50" i="42" s="1"/>
  <c r="K54" i="42"/>
  <c r="K55" i="42"/>
  <c r="K56" i="42" s="1"/>
  <c r="M48" i="42"/>
  <c r="M49" i="42"/>
  <c r="M50" i="42" s="1"/>
  <c r="K19" i="42"/>
  <c r="K20" i="42"/>
  <c r="K21" i="42" s="1"/>
  <c r="J19" i="42"/>
  <c r="J20" i="42"/>
  <c r="J21" i="42" s="1"/>
  <c r="M19" i="42"/>
  <c r="M20" i="42"/>
  <c r="M21" i="42" s="1"/>
  <c r="M20" i="41"/>
  <c r="M21" i="41"/>
  <c r="M22" i="41" s="1"/>
  <c r="J21" i="41"/>
  <c r="J22" i="41" s="1"/>
  <c r="J20" i="41"/>
  <c r="K21" i="41"/>
  <c r="K22" i="41" s="1"/>
  <c r="K20" i="41"/>
  <c r="K174" i="32"/>
  <c r="J175" i="32"/>
  <c r="K175" i="32"/>
  <c r="K146" i="32"/>
  <c r="J125" i="32"/>
  <c r="M125" i="32"/>
  <c r="J126" i="32"/>
  <c r="M126" i="32"/>
  <c r="J124" i="32"/>
  <c r="M124" i="32"/>
  <c r="K126" i="32"/>
  <c r="J123" i="32"/>
  <c r="M123" i="32"/>
  <c r="K124" i="32"/>
  <c r="M127" i="32"/>
  <c r="J127" i="32"/>
  <c r="J122" i="32"/>
  <c r="M122" i="32"/>
  <c r="K123" i="32"/>
  <c r="K125" i="32"/>
  <c r="J99" i="32"/>
  <c r="K99" i="32"/>
  <c r="J101" i="32"/>
  <c r="K101" i="32"/>
  <c r="K74" i="32"/>
  <c r="K75" i="32"/>
  <c r="J75" i="32"/>
  <c r="J73" i="32"/>
  <c r="J71" i="32"/>
  <c r="J69" i="32"/>
  <c r="K73" i="32"/>
  <c r="M68" i="32"/>
  <c r="K71" i="32"/>
  <c r="K72" i="32"/>
  <c r="J74" i="32"/>
  <c r="J72" i="32"/>
  <c r="J70" i="32"/>
  <c r="J68" i="32"/>
  <c r="K69" i="32"/>
  <c r="K70" i="32"/>
  <c r="M183" i="32" l="1"/>
  <c r="M184" i="32" s="1"/>
  <c r="M153" i="32"/>
  <c r="K194" i="32"/>
  <c r="K195" i="32"/>
  <c r="K196" i="32" s="1"/>
  <c r="M194" i="32"/>
  <c r="M195" i="32"/>
  <c r="M196" i="32" s="1"/>
  <c r="M188" i="32"/>
  <c r="M189" i="32"/>
  <c r="M190" i="32" s="1"/>
  <c r="J194" i="32"/>
  <c r="J195" i="32"/>
  <c r="J196" i="32" s="1"/>
  <c r="K188" i="32"/>
  <c r="K189" i="32"/>
  <c r="K190" i="32" s="1"/>
  <c r="J188" i="32"/>
  <c r="J189" i="32"/>
  <c r="J190" i="32" s="1"/>
  <c r="M159" i="32"/>
  <c r="M160" i="32"/>
  <c r="M161" i="32" s="1"/>
  <c r="K165" i="32"/>
  <c r="K166" i="32"/>
  <c r="K167" i="32" s="1"/>
  <c r="J165" i="32"/>
  <c r="J166" i="32"/>
  <c r="J167" i="32" s="1"/>
  <c r="M154" i="32"/>
  <c r="M155" i="32" s="1"/>
  <c r="K159" i="32"/>
  <c r="K160" i="32"/>
  <c r="K161" i="32" s="1"/>
  <c r="J159" i="32"/>
  <c r="J160" i="32"/>
  <c r="J161" i="32" s="1"/>
  <c r="M165" i="32"/>
  <c r="M166" i="32"/>
  <c r="M167" i="32" s="1"/>
  <c r="J183" i="32"/>
  <c r="J184" i="32" s="1"/>
  <c r="M182" i="32"/>
  <c r="K85" i="32"/>
  <c r="K86" i="32"/>
  <c r="K87" i="32" s="1"/>
  <c r="K91" i="32"/>
  <c r="K92" i="32"/>
  <c r="K93" i="32" s="1"/>
  <c r="M91" i="32"/>
  <c r="M92" i="32"/>
  <c r="M93" i="32" s="1"/>
  <c r="M85" i="32"/>
  <c r="M86" i="32"/>
  <c r="M87" i="32" s="1"/>
  <c r="J91" i="32"/>
  <c r="J92" i="32"/>
  <c r="J93" i="32" s="1"/>
  <c r="J85" i="32"/>
  <c r="J86" i="32"/>
  <c r="J87" i="32" s="1"/>
  <c r="K182" i="32"/>
  <c r="K153" i="32"/>
  <c r="J154" i="32"/>
  <c r="J155" i="32" s="1"/>
  <c r="K135" i="32"/>
  <c r="K136" i="32" s="1"/>
  <c r="K80" i="32"/>
  <c r="K81" i="32"/>
  <c r="K82" i="32" s="1"/>
  <c r="J80" i="32"/>
  <c r="J81" i="32"/>
  <c r="J82" i="32" s="1"/>
  <c r="K111" i="32"/>
  <c r="K112" i="32"/>
  <c r="K113" i="32" s="1"/>
  <c r="M135" i="32"/>
  <c r="M136" i="32" s="1"/>
  <c r="M134" i="32"/>
  <c r="J111" i="32"/>
  <c r="J112" i="32"/>
  <c r="J113" i="32" s="1"/>
  <c r="J135" i="32"/>
  <c r="J136" i="32" s="1"/>
  <c r="J134" i="32"/>
  <c r="J182" i="32"/>
  <c r="M80" i="32"/>
  <c r="M81" i="32"/>
  <c r="M82" i="32" s="1"/>
  <c r="M111" i="32"/>
  <c r="M112" i="32"/>
  <c r="M113" i="32" s="1"/>
  <c r="K154" i="32"/>
  <c r="K155" i="32" s="1"/>
  <c r="K134" i="32"/>
  <c r="J153" i="32"/>
  <c r="K183" i="32"/>
  <c r="K184" i="32" s="1"/>
  <c r="O427" i="26"/>
  <c r="O362" i="26"/>
  <c r="O26" i="26" l="1"/>
  <c r="AH176" i="39" l="1"/>
  <c r="AH177" i="39"/>
  <c r="AH178" i="39" s="1"/>
  <c r="AH157" i="39"/>
  <c r="AH158" i="39"/>
  <c r="AH159" i="39" s="1"/>
  <c r="AA153" i="39"/>
  <c r="AB152" i="39"/>
  <c r="AA152" i="39"/>
  <c r="AI152" i="39" s="1"/>
  <c r="AB151" i="39"/>
  <c r="AA151" i="39"/>
  <c r="AB150" i="39"/>
  <c r="AA150" i="39"/>
  <c r="AI150" i="39" s="1"/>
  <c r="AB149" i="39"/>
  <c r="AA149" i="39"/>
  <c r="AB148" i="39"/>
  <c r="AA148" i="39"/>
  <c r="AB147" i="39"/>
  <c r="AA147" i="39"/>
  <c r="AB146" i="39"/>
  <c r="AA146" i="39"/>
  <c r="AI146" i="39" s="1"/>
  <c r="AB145" i="39"/>
  <c r="AA145" i="39"/>
  <c r="AB144" i="39"/>
  <c r="AA144" i="39"/>
  <c r="AB143" i="39"/>
  <c r="AA143" i="39"/>
  <c r="AB142" i="39"/>
  <c r="AA142" i="39"/>
  <c r="AI142" i="39" s="1"/>
  <c r="AB141" i="39"/>
  <c r="AA141" i="39"/>
  <c r="AE141" i="39" s="1"/>
  <c r="AB140" i="39"/>
  <c r="AA140" i="39"/>
  <c r="AE140" i="39" s="1"/>
  <c r="AB139" i="39"/>
  <c r="AA139" i="39"/>
  <c r="AH118" i="39"/>
  <c r="AH119" i="39"/>
  <c r="AH120" i="39" s="1"/>
  <c r="AH100" i="39"/>
  <c r="AH101" i="39"/>
  <c r="AH102" i="39" s="1"/>
  <c r="AA75" i="39"/>
  <c r="AE75" i="39" s="1"/>
  <c r="AB75" i="39"/>
  <c r="AA76" i="39"/>
  <c r="AB76" i="39"/>
  <c r="AA77" i="39"/>
  <c r="AB77" i="39"/>
  <c r="AA78" i="39"/>
  <c r="AE78" i="39" s="1"/>
  <c r="AB78" i="39"/>
  <c r="AA79" i="39"/>
  <c r="AB79" i="39"/>
  <c r="AA80" i="39"/>
  <c r="AE80" i="39" s="1"/>
  <c r="AB80" i="39"/>
  <c r="AA81" i="39"/>
  <c r="AI81" i="39" s="1"/>
  <c r="AB81" i="39"/>
  <c r="AA82" i="39"/>
  <c r="AB82" i="39"/>
  <c r="AA83" i="39"/>
  <c r="AB83" i="39"/>
  <c r="AA84" i="39"/>
  <c r="AB84" i="39"/>
  <c r="AA85" i="39"/>
  <c r="AB85" i="39"/>
  <c r="AA86" i="39"/>
  <c r="AE86" i="39" s="1"/>
  <c r="AB86" i="39"/>
  <c r="AA87" i="39"/>
  <c r="AB87" i="39"/>
  <c r="AA88" i="39"/>
  <c r="AI88" i="39" s="1"/>
  <c r="AB88" i="39"/>
  <c r="AA89" i="39"/>
  <c r="AE89" i="39" s="1"/>
  <c r="AB89" i="39"/>
  <c r="AA90" i="39"/>
  <c r="AE90" i="39" s="1"/>
  <c r="AB90" i="39"/>
  <c r="AA91" i="39"/>
  <c r="AI91" i="39" s="1"/>
  <c r="AB91" i="39"/>
  <c r="AA92" i="39"/>
  <c r="AE92" i="39" s="1"/>
  <c r="AB92" i="39"/>
  <c r="AA93" i="39"/>
  <c r="AI93" i="39" s="1"/>
  <c r="AB93" i="39"/>
  <c r="AA94" i="39"/>
  <c r="AB74" i="39"/>
  <c r="AA74" i="39"/>
  <c r="AH64" i="39"/>
  <c r="AH65" i="39"/>
  <c r="AH66" i="39" s="1"/>
  <c r="AB15" i="39"/>
  <c r="AB18" i="39"/>
  <c r="AB20" i="39"/>
  <c r="AB24" i="39"/>
  <c r="AH30" i="39"/>
  <c r="AH31" i="39"/>
  <c r="AH32" i="39" s="1"/>
  <c r="AA8" i="39"/>
  <c r="AE8" i="39" s="1"/>
  <c r="AB8" i="39"/>
  <c r="AA9" i="39"/>
  <c r="AB9" i="39"/>
  <c r="AA10" i="39"/>
  <c r="AE10" i="39" s="1"/>
  <c r="AB10" i="39"/>
  <c r="AA11" i="39"/>
  <c r="AE11" i="39" s="1"/>
  <c r="AB11" i="39"/>
  <c r="AA12" i="39"/>
  <c r="AE12" i="39" s="1"/>
  <c r="AB12" i="39"/>
  <c r="AA13" i="39"/>
  <c r="AB13" i="39"/>
  <c r="AA14" i="39"/>
  <c r="AB14" i="39"/>
  <c r="AA15" i="39"/>
  <c r="AA16" i="39"/>
  <c r="AB16" i="39"/>
  <c r="AA17" i="39"/>
  <c r="AB17" i="39"/>
  <c r="AA18" i="39"/>
  <c r="AG18" i="39" s="1"/>
  <c r="AC18" i="39" s="1"/>
  <c r="AA19" i="39"/>
  <c r="AB19" i="39"/>
  <c r="AA20" i="39"/>
  <c r="AA21" i="39"/>
  <c r="AB21" i="39"/>
  <c r="AA22" i="39"/>
  <c r="AB22" i="39"/>
  <c r="AA23" i="39"/>
  <c r="AB23" i="39"/>
  <c r="AA24" i="39"/>
  <c r="AG24" i="39" s="1"/>
  <c r="AC24" i="39" s="1"/>
  <c r="AA25" i="39"/>
  <c r="AB25" i="39"/>
  <c r="AA26" i="39"/>
  <c r="O297" i="39"/>
  <c r="O298" i="39"/>
  <c r="O299" i="39" s="1"/>
  <c r="O291" i="39"/>
  <c r="O292" i="39"/>
  <c r="O293" i="39" s="1"/>
  <c r="H286" i="39"/>
  <c r="I285" i="39"/>
  <c r="H285" i="39"/>
  <c r="I284" i="39"/>
  <c r="H284" i="39"/>
  <c r="I283" i="39"/>
  <c r="H283" i="39"/>
  <c r="P283" i="39" s="1"/>
  <c r="I282" i="39"/>
  <c r="H282" i="39"/>
  <c r="P282" i="39" s="1"/>
  <c r="I281" i="39"/>
  <c r="H281" i="39"/>
  <c r="I280" i="39"/>
  <c r="H280" i="39"/>
  <c r="I279" i="39"/>
  <c r="H279" i="39"/>
  <c r="P279" i="39" s="1"/>
  <c r="I278" i="39"/>
  <c r="H278" i="39"/>
  <c r="P278" i="39" s="1"/>
  <c r="I277" i="39"/>
  <c r="H277" i="39"/>
  <c r="I276" i="39"/>
  <c r="H276" i="39"/>
  <c r="I275" i="39"/>
  <c r="H275" i="39"/>
  <c r="P275" i="39" s="1"/>
  <c r="I274" i="39"/>
  <c r="H274" i="39"/>
  <c r="P274" i="39" s="1"/>
  <c r="I273" i="39"/>
  <c r="H273" i="39"/>
  <c r="I272" i="39"/>
  <c r="H272" i="39"/>
  <c r="I271" i="39"/>
  <c r="H271" i="39"/>
  <c r="P271" i="39" s="1"/>
  <c r="I270" i="39"/>
  <c r="H270" i="39"/>
  <c r="P270" i="39" s="1"/>
  <c r="I269" i="39"/>
  <c r="H269" i="39"/>
  <c r="O227" i="39"/>
  <c r="O228" i="39"/>
  <c r="O229" i="39" s="1"/>
  <c r="H222" i="39"/>
  <c r="I221" i="39"/>
  <c r="H221" i="39"/>
  <c r="L221" i="39" s="1"/>
  <c r="I220" i="39"/>
  <c r="H220" i="39"/>
  <c r="L220" i="39" s="1"/>
  <c r="I219" i="39"/>
  <c r="H219" i="39"/>
  <c r="L219" i="39" s="1"/>
  <c r="I218" i="39"/>
  <c r="H218" i="39"/>
  <c r="L218" i="39" s="1"/>
  <c r="I217" i="39"/>
  <c r="H217" i="39"/>
  <c r="L217" i="39" s="1"/>
  <c r="I216" i="39"/>
  <c r="H216" i="39"/>
  <c r="L216" i="39" s="1"/>
  <c r="I215" i="39"/>
  <c r="H215" i="39"/>
  <c r="I214" i="39"/>
  <c r="H214" i="39"/>
  <c r="I213" i="39"/>
  <c r="H213" i="39"/>
  <c r="L213" i="39" s="1"/>
  <c r="I212" i="39"/>
  <c r="H212" i="39"/>
  <c r="P212" i="39" s="1"/>
  <c r="I211" i="39"/>
  <c r="H211" i="39"/>
  <c r="L211" i="39" s="1"/>
  <c r="I210" i="39"/>
  <c r="H210" i="39"/>
  <c r="L210" i="39" s="1"/>
  <c r="I209" i="39"/>
  <c r="H209" i="39"/>
  <c r="L209" i="39" s="1"/>
  <c r="I208" i="39"/>
  <c r="H208" i="39"/>
  <c r="L208" i="39" s="1"/>
  <c r="I207" i="39"/>
  <c r="H207" i="39"/>
  <c r="L207" i="39" s="1"/>
  <c r="I206" i="39"/>
  <c r="H206" i="39"/>
  <c r="L206" i="39" s="1"/>
  <c r="I205" i="39"/>
  <c r="H205" i="39"/>
  <c r="L205" i="39" s="1"/>
  <c r="I204" i="39"/>
  <c r="H204" i="39"/>
  <c r="I203" i="39"/>
  <c r="H203" i="39"/>
  <c r="L203" i="39" s="1"/>
  <c r="I202" i="39"/>
  <c r="H202" i="39"/>
  <c r="L202" i="39" s="1"/>
  <c r="I201" i="39"/>
  <c r="H201" i="39"/>
  <c r="I200" i="39"/>
  <c r="H200" i="39"/>
  <c r="O180" i="39"/>
  <c r="O181" i="39"/>
  <c r="O182" i="39" s="1"/>
  <c r="O162" i="39"/>
  <c r="O163" i="39"/>
  <c r="O164" i="39" s="1"/>
  <c r="H134" i="39"/>
  <c r="L134" i="39" s="1"/>
  <c r="I134" i="39"/>
  <c r="H135" i="39"/>
  <c r="L135" i="39" s="1"/>
  <c r="I135" i="39"/>
  <c r="H136" i="39"/>
  <c r="L136" i="39" s="1"/>
  <c r="I136" i="39"/>
  <c r="H137" i="39"/>
  <c r="I137" i="39"/>
  <c r="H138" i="39"/>
  <c r="I138" i="39"/>
  <c r="H139" i="39"/>
  <c r="L139" i="39" s="1"/>
  <c r="I139" i="39"/>
  <c r="H140" i="39"/>
  <c r="L140" i="39" s="1"/>
  <c r="I140" i="39"/>
  <c r="H141" i="39"/>
  <c r="I141" i="39"/>
  <c r="H142" i="39"/>
  <c r="L142" i="39" s="1"/>
  <c r="I142" i="39"/>
  <c r="H143" i="39"/>
  <c r="L143" i="39" s="1"/>
  <c r="I143" i="39"/>
  <c r="H144" i="39"/>
  <c r="L144" i="39" s="1"/>
  <c r="I144" i="39"/>
  <c r="H145" i="39"/>
  <c r="I145" i="39"/>
  <c r="H146" i="39"/>
  <c r="I146" i="39"/>
  <c r="H147" i="39"/>
  <c r="L147" i="39" s="1"/>
  <c r="I147" i="39"/>
  <c r="H148" i="39"/>
  <c r="L148" i="39" s="1"/>
  <c r="I148" i="39"/>
  <c r="H149" i="39"/>
  <c r="I149" i="39"/>
  <c r="H150" i="39"/>
  <c r="L150" i="39" s="1"/>
  <c r="I150" i="39"/>
  <c r="H151" i="39"/>
  <c r="L151" i="39" s="1"/>
  <c r="I151" i="39"/>
  <c r="H152" i="39"/>
  <c r="L152" i="39" s="1"/>
  <c r="I152" i="39"/>
  <c r="H153" i="39"/>
  <c r="L153" i="39" s="1"/>
  <c r="I153" i="39"/>
  <c r="H154" i="39"/>
  <c r="L154" i="39" s="1"/>
  <c r="I154" i="39"/>
  <c r="H155" i="39"/>
  <c r="L155" i="39" s="1"/>
  <c r="I155" i="39"/>
  <c r="H156" i="39"/>
  <c r="L156" i="39" s="1"/>
  <c r="I156" i="39"/>
  <c r="H157" i="39"/>
  <c r="L157" i="39" s="1"/>
  <c r="I157" i="39"/>
  <c r="H158" i="39"/>
  <c r="O124" i="39"/>
  <c r="O125" i="39"/>
  <c r="O126" i="39" s="1"/>
  <c r="H93" i="39"/>
  <c r="P93" i="39" s="1"/>
  <c r="I93" i="39"/>
  <c r="H94" i="39"/>
  <c r="P94" i="39" s="1"/>
  <c r="I94" i="39"/>
  <c r="H95" i="39"/>
  <c r="P95" i="39" s="1"/>
  <c r="I95" i="39"/>
  <c r="H96" i="39"/>
  <c r="L96" i="39" s="1"/>
  <c r="I96" i="39"/>
  <c r="H97" i="39"/>
  <c r="I97" i="39"/>
  <c r="H98" i="39"/>
  <c r="L98" i="39" s="1"/>
  <c r="I98" i="39"/>
  <c r="H99" i="39"/>
  <c r="L99" i="39" s="1"/>
  <c r="I99" i="39"/>
  <c r="H100" i="39"/>
  <c r="L100" i="39" s="1"/>
  <c r="I100" i="39"/>
  <c r="H101" i="39"/>
  <c r="I101" i="39"/>
  <c r="H102" i="39"/>
  <c r="L102" i="39" s="1"/>
  <c r="I102" i="39"/>
  <c r="H103" i="39"/>
  <c r="L103" i="39" s="1"/>
  <c r="I103" i="39"/>
  <c r="H104" i="39"/>
  <c r="L104" i="39" s="1"/>
  <c r="I104" i="39"/>
  <c r="H105" i="39"/>
  <c r="I105" i="39"/>
  <c r="H106" i="39"/>
  <c r="L106" i="39" s="1"/>
  <c r="I106" i="39"/>
  <c r="H107" i="39"/>
  <c r="L107" i="39" s="1"/>
  <c r="I107" i="39"/>
  <c r="H108" i="39"/>
  <c r="L108" i="39" s="1"/>
  <c r="I108" i="39"/>
  <c r="H109" i="39"/>
  <c r="I109" i="39"/>
  <c r="H110" i="39"/>
  <c r="L110" i="39" s="1"/>
  <c r="I110" i="39"/>
  <c r="H111" i="39"/>
  <c r="L111" i="39" s="1"/>
  <c r="I111" i="39"/>
  <c r="H112" i="39"/>
  <c r="P112" i="39" s="1"/>
  <c r="I112" i="39"/>
  <c r="H113" i="39"/>
  <c r="P113" i="39" s="1"/>
  <c r="I113" i="39"/>
  <c r="H114" i="39"/>
  <c r="P114" i="39" s="1"/>
  <c r="I114" i="39"/>
  <c r="H115" i="39"/>
  <c r="I92" i="39"/>
  <c r="H92" i="39"/>
  <c r="L92" i="39" s="1"/>
  <c r="O83" i="39"/>
  <c r="O84" i="39"/>
  <c r="O85" i="39" s="1"/>
  <c r="O77" i="39"/>
  <c r="O78" i="39"/>
  <c r="O79" i="39" s="1"/>
  <c r="H53" i="39"/>
  <c r="L53" i="39" s="1"/>
  <c r="I53" i="39"/>
  <c r="H54" i="39"/>
  <c r="I54" i="39"/>
  <c r="H55" i="39"/>
  <c r="P55" i="39" s="1"/>
  <c r="I55" i="39"/>
  <c r="H56" i="39"/>
  <c r="I56" i="39"/>
  <c r="H57" i="39"/>
  <c r="P57" i="39" s="1"/>
  <c r="I57" i="39"/>
  <c r="H58" i="39"/>
  <c r="I58" i="39"/>
  <c r="H59" i="39"/>
  <c r="P59" i="39" s="1"/>
  <c r="I59" i="39"/>
  <c r="H60" i="39"/>
  <c r="I60" i="39"/>
  <c r="H61" i="39"/>
  <c r="P61" i="39" s="1"/>
  <c r="I61" i="39"/>
  <c r="H62" i="39"/>
  <c r="I62" i="39"/>
  <c r="H63" i="39"/>
  <c r="P63" i="39" s="1"/>
  <c r="I63" i="39"/>
  <c r="H64" i="39"/>
  <c r="I64" i="39"/>
  <c r="H65" i="39"/>
  <c r="P65" i="39" s="1"/>
  <c r="I65" i="39"/>
  <c r="H66" i="39"/>
  <c r="I66" i="39"/>
  <c r="H67" i="39"/>
  <c r="P67" i="39" s="1"/>
  <c r="I67" i="39"/>
  <c r="H68" i="39"/>
  <c r="I68" i="39"/>
  <c r="H69" i="39"/>
  <c r="P69" i="39" s="1"/>
  <c r="I69" i="39"/>
  <c r="H70" i="39"/>
  <c r="I70" i="39"/>
  <c r="H71" i="39"/>
  <c r="P71" i="39" s="1"/>
  <c r="I71" i="39"/>
  <c r="H72" i="39"/>
  <c r="I72" i="39"/>
  <c r="H73" i="39"/>
  <c r="P73" i="39" s="1"/>
  <c r="I73" i="39"/>
  <c r="H74" i="39"/>
  <c r="I74" i="39"/>
  <c r="H75" i="39"/>
  <c r="O37" i="39"/>
  <c r="O38" i="39"/>
  <c r="O39" i="39" s="1"/>
  <c r="H15" i="39"/>
  <c r="L15" i="39" s="1"/>
  <c r="I15" i="39"/>
  <c r="H16" i="39"/>
  <c r="L16" i="39" s="1"/>
  <c r="I16" i="39"/>
  <c r="H17" i="39"/>
  <c r="L17" i="39" s="1"/>
  <c r="I17" i="39"/>
  <c r="H18" i="39"/>
  <c r="L18" i="39" s="1"/>
  <c r="I18" i="39"/>
  <c r="H19" i="39"/>
  <c r="L19" i="39" s="1"/>
  <c r="I19" i="39"/>
  <c r="H20" i="39"/>
  <c r="L20" i="39" s="1"/>
  <c r="I20" i="39"/>
  <c r="H21" i="39"/>
  <c r="P21" i="39" s="1"/>
  <c r="I21" i="39"/>
  <c r="H22" i="39"/>
  <c r="L22" i="39" s="1"/>
  <c r="I22" i="39"/>
  <c r="H23" i="39"/>
  <c r="P23" i="39" s="1"/>
  <c r="I23" i="39"/>
  <c r="H24" i="39"/>
  <c r="L24" i="39" s="1"/>
  <c r="I24" i="39"/>
  <c r="H25" i="39"/>
  <c r="I25" i="39"/>
  <c r="H26" i="39"/>
  <c r="L26" i="39" s="1"/>
  <c r="I26" i="39"/>
  <c r="H27" i="39"/>
  <c r="P27" i="39" s="1"/>
  <c r="I27" i="39"/>
  <c r="H28" i="39"/>
  <c r="P28" i="39" s="1"/>
  <c r="I28" i="39"/>
  <c r="H29" i="39"/>
  <c r="P29" i="39" s="1"/>
  <c r="I29" i="39"/>
  <c r="H30" i="39"/>
  <c r="L30" i="39" s="1"/>
  <c r="I30" i="39"/>
  <c r="H31" i="39"/>
  <c r="H239" i="39" l="1"/>
  <c r="AB188" i="39"/>
  <c r="AB189" i="39"/>
  <c r="AB190" i="39" s="1"/>
  <c r="AB182" i="39"/>
  <c r="AB183" i="39"/>
  <c r="AB184" i="39" s="1"/>
  <c r="AA189" i="39"/>
  <c r="AA190" i="39" s="1"/>
  <c r="AA188" i="39"/>
  <c r="AA183" i="39"/>
  <c r="AA184" i="39" s="1"/>
  <c r="AA182" i="39"/>
  <c r="AB164" i="39"/>
  <c r="AB165" i="39" s="1"/>
  <c r="AB163" i="39"/>
  <c r="AI139" i="39"/>
  <c r="AA163" i="39"/>
  <c r="AA164" i="39"/>
  <c r="AA165" i="39" s="1"/>
  <c r="AA112" i="39"/>
  <c r="AA113" i="39"/>
  <c r="AI85" i="39"/>
  <c r="AA131" i="39"/>
  <c r="AA130" i="39"/>
  <c r="AA107" i="39"/>
  <c r="AA108" i="39" s="1"/>
  <c r="AA106" i="39"/>
  <c r="AB112" i="39"/>
  <c r="AB113" i="39"/>
  <c r="AB124" i="39"/>
  <c r="AB125" i="39"/>
  <c r="AB126" i="39" s="1"/>
  <c r="AI84" i="39"/>
  <c r="AA125" i="39"/>
  <c r="AA126" i="39" s="1"/>
  <c r="AA124" i="39"/>
  <c r="AB130" i="39"/>
  <c r="AB131" i="39"/>
  <c r="AB106" i="39"/>
  <c r="AB107" i="39"/>
  <c r="AB108" i="39" s="1"/>
  <c r="AE79" i="39"/>
  <c r="I233" i="39"/>
  <c r="I234" i="39"/>
  <c r="I235" i="39" s="1"/>
  <c r="I239" i="39"/>
  <c r="I240" i="39"/>
  <c r="I241" i="39" s="1"/>
  <c r="I252" i="39"/>
  <c r="I253" i="39"/>
  <c r="I254" i="39" s="1"/>
  <c r="I246" i="39"/>
  <c r="I247" i="39"/>
  <c r="I248" i="39" s="1"/>
  <c r="L201" i="39"/>
  <c r="H234" i="39"/>
  <c r="H235" i="39" s="1"/>
  <c r="H233" i="39"/>
  <c r="L215" i="39"/>
  <c r="H258" i="39"/>
  <c r="H259" i="39"/>
  <c r="H260" i="39" s="1"/>
  <c r="I258" i="39"/>
  <c r="I259" i="39"/>
  <c r="I260" i="39" s="1"/>
  <c r="AB36" i="39"/>
  <c r="AB37" i="39"/>
  <c r="AB38" i="39" s="1"/>
  <c r="H240" i="39"/>
  <c r="H241" i="39" s="1"/>
  <c r="H253" i="39"/>
  <c r="H254" i="39" s="1"/>
  <c r="H246" i="39"/>
  <c r="H247" i="39"/>
  <c r="H248" i="39" s="1"/>
  <c r="H252" i="39"/>
  <c r="AE9" i="39"/>
  <c r="AA37" i="39"/>
  <c r="AA38" i="39" s="1"/>
  <c r="AA36" i="39"/>
  <c r="L204" i="39"/>
  <c r="I191" i="39"/>
  <c r="I192" i="39"/>
  <c r="I193" i="39" s="1"/>
  <c r="L145" i="39"/>
  <c r="H192" i="39"/>
  <c r="H193" i="39" s="1"/>
  <c r="H191" i="39"/>
  <c r="L146" i="39"/>
  <c r="H186" i="39"/>
  <c r="H187" i="39" s="1"/>
  <c r="H185" i="39"/>
  <c r="I185" i="39"/>
  <c r="I186" i="39"/>
  <c r="I187" i="39" s="1"/>
  <c r="L138" i="39"/>
  <c r="H167" i="39"/>
  <c r="H168" i="39"/>
  <c r="H169" i="39" s="1"/>
  <c r="I167" i="39"/>
  <c r="I168" i="39"/>
  <c r="I169" i="39" s="1"/>
  <c r="L149" i="39"/>
  <c r="L137" i="39"/>
  <c r="AG78" i="39"/>
  <c r="AF78" i="39" s="1"/>
  <c r="N58" i="39"/>
  <c r="K58" i="39" s="1"/>
  <c r="N53" i="39"/>
  <c r="M53" i="39" s="1"/>
  <c r="P19" i="39"/>
  <c r="L29" i="39"/>
  <c r="N59" i="39"/>
  <c r="J59" i="39" s="1"/>
  <c r="N56" i="39"/>
  <c r="M56" i="39" s="1"/>
  <c r="N54" i="39"/>
  <c r="K54" i="39" s="1"/>
  <c r="AG16" i="39"/>
  <c r="AF16" i="39" s="1"/>
  <c r="N74" i="39"/>
  <c r="M74" i="39" s="1"/>
  <c r="H297" i="39"/>
  <c r="P24" i="39"/>
  <c r="AG25" i="39"/>
  <c r="AD25" i="39" s="1"/>
  <c r="AG17" i="39"/>
  <c r="AC17" i="39" s="1"/>
  <c r="N70" i="39"/>
  <c r="J70" i="39" s="1"/>
  <c r="N66" i="39"/>
  <c r="J66" i="39" s="1"/>
  <c r="N64" i="39"/>
  <c r="K64" i="39" s="1"/>
  <c r="N60" i="39"/>
  <c r="K60" i="39" s="1"/>
  <c r="AG14" i="39"/>
  <c r="AC14" i="39" s="1"/>
  <c r="P26" i="39"/>
  <c r="N73" i="39"/>
  <c r="M73" i="39" s="1"/>
  <c r="N67" i="39"/>
  <c r="J67" i="39" s="1"/>
  <c r="N63" i="39"/>
  <c r="M63" i="39" s="1"/>
  <c r="N57" i="39"/>
  <c r="J57" i="39" s="1"/>
  <c r="N94" i="39"/>
  <c r="J94" i="39" s="1"/>
  <c r="N272" i="39"/>
  <c r="M272" i="39" s="1"/>
  <c r="AG22" i="39"/>
  <c r="AC22" i="39" s="1"/>
  <c r="AG82" i="39"/>
  <c r="AF82" i="39" s="1"/>
  <c r="N69" i="39"/>
  <c r="M69" i="39" s="1"/>
  <c r="N68" i="39"/>
  <c r="M68" i="39" s="1"/>
  <c r="I84" i="39"/>
  <c r="I85" i="39" s="1"/>
  <c r="AG23" i="39"/>
  <c r="AF23" i="39" s="1"/>
  <c r="AG21" i="39"/>
  <c r="AC21" i="39" s="1"/>
  <c r="AG83" i="39"/>
  <c r="AD83" i="39" s="1"/>
  <c r="N93" i="39"/>
  <c r="M93" i="39" s="1"/>
  <c r="N15" i="39"/>
  <c r="J15" i="39" s="1"/>
  <c r="P53" i="39"/>
  <c r="I83" i="39"/>
  <c r="N92" i="39"/>
  <c r="J92" i="39" s="1"/>
  <c r="H118" i="39"/>
  <c r="AG13" i="39"/>
  <c r="AD13" i="39" s="1"/>
  <c r="AI11" i="39"/>
  <c r="AI10" i="39"/>
  <c r="AI9" i="39"/>
  <c r="AI8" i="39"/>
  <c r="P22" i="39"/>
  <c r="L21" i="39"/>
  <c r="N71" i="39"/>
  <c r="M71" i="39" s="1"/>
  <c r="N65" i="39"/>
  <c r="M65" i="39" s="1"/>
  <c r="N61" i="39"/>
  <c r="M61" i="39" s="1"/>
  <c r="N55" i="39"/>
  <c r="M55" i="39" s="1"/>
  <c r="P92" i="39"/>
  <c r="N114" i="39"/>
  <c r="M114" i="39" s="1"/>
  <c r="N113" i="39"/>
  <c r="M113" i="39" s="1"/>
  <c r="N112" i="39"/>
  <c r="M112" i="39" s="1"/>
  <c r="L95" i="39"/>
  <c r="L94" i="39"/>
  <c r="L93" i="39"/>
  <c r="N144" i="39"/>
  <c r="J144" i="39" s="1"/>
  <c r="N137" i="39"/>
  <c r="H292" i="39"/>
  <c r="H293" i="39" s="1"/>
  <c r="H291" i="39"/>
  <c r="N277" i="39"/>
  <c r="M277" i="39" s="1"/>
  <c r="AE85" i="39"/>
  <c r="AE82" i="39"/>
  <c r="AI90" i="39"/>
  <c r="AG145" i="39"/>
  <c r="AF145" i="39" s="1"/>
  <c r="N19" i="39"/>
  <c r="K19" i="39" s="1"/>
  <c r="L114" i="39"/>
  <c r="L113" i="39"/>
  <c r="L112" i="39"/>
  <c r="N140" i="39"/>
  <c r="J140" i="39" s="1"/>
  <c r="AG12" i="39"/>
  <c r="AF12" i="39" s="1"/>
  <c r="AI82" i="39"/>
  <c r="AB176" i="39"/>
  <c r="L62" i="39"/>
  <c r="P62" i="39"/>
  <c r="P25" i="39"/>
  <c r="L25" i="39"/>
  <c r="L72" i="39"/>
  <c r="P72" i="39"/>
  <c r="L74" i="39"/>
  <c r="P74" i="39"/>
  <c r="L66" i="39"/>
  <c r="P66" i="39"/>
  <c r="N62" i="39"/>
  <c r="J62" i="39" s="1"/>
  <c r="L58" i="39"/>
  <c r="P58" i="39"/>
  <c r="N72" i="39"/>
  <c r="J72" i="39" s="1"/>
  <c r="L68" i="39"/>
  <c r="P68" i="39"/>
  <c r="L60" i="39"/>
  <c r="P60" i="39"/>
  <c r="P109" i="39"/>
  <c r="N109" i="39"/>
  <c r="J109" i="39" s="1"/>
  <c r="L109" i="39"/>
  <c r="P101" i="39"/>
  <c r="N101" i="39"/>
  <c r="M101" i="39" s="1"/>
  <c r="L101" i="39"/>
  <c r="N141" i="39"/>
  <c r="K141" i="39" s="1"/>
  <c r="L141" i="39"/>
  <c r="L70" i="39"/>
  <c r="P70" i="39"/>
  <c r="L54" i="39"/>
  <c r="P54" i="39"/>
  <c r="L64" i="39"/>
  <c r="H84" i="39"/>
  <c r="H85" i="39" s="1"/>
  <c r="P64" i="39"/>
  <c r="H83" i="39"/>
  <c r="L56" i="39"/>
  <c r="P56" i="39"/>
  <c r="P105" i="39"/>
  <c r="N105" i="39"/>
  <c r="M105" i="39" s="1"/>
  <c r="H124" i="39"/>
  <c r="H125" i="39"/>
  <c r="H126" i="39" s="1"/>
  <c r="L105" i="39"/>
  <c r="P97" i="39"/>
  <c r="N97" i="39"/>
  <c r="M97" i="39" s="1"/>
  <c r="L97" i="39"/>
  <c r="I297" i="39"/>
  <c r="I298" i="39"/>
  <c r="I299" i="39" s="1"/>
  <c r="AE19" i="39"/>
  <c r="AI19" i="39"/>
  <c r="AG11" i="39"/>
  <c r="AF11" i="39" s="1"/>
  <c r="AG10" i="39"/>
  <c r="AF10" i="39" s="1"/>
  <c r="AG8" i="39"/>
  <c r="AF8" i="39" s="1"/>
  <c r="AI87" i="39"/>
  <c r="AE87" i="39"/>
  <c r="AB157" i="39"/>
  <c r="AB158" i="39"/>
  <c r="AB159" i="39" s="1"/>
  <c r="P111" i="39"/>
  <c r="N111" i="39"/>
  <c r="M111" i="39" s="1"/>
  <c r="P107" i="39"/>
  <c r="N107" i="39"/>
  <c r="M107" i="39" s="1"/>
  <c r="I124" i="39"/>
  <c r="I125" i="39"/>
  <c r="I126" i="39" s="1"/>
  <c r="P103" i="39"/>
  <c r="N103" i="39"/>
  <c r="M103" i="39" s="1"/>
  <c r="P99" i="39"/>
  <c r="N99" i="39"/>
  <c r="J99" i="39" s="1"/>
  <c r="N95" i="39"/>
  <c r="AE25" i="39"/>
  <c r="AI25" i="39"/>
  <c r="AG19" i="39"/>
  <c r="AF19" i="39" s="1"/>
  <c r="AI14" i="39"/>
  <c r="AE14" i="39"/>
  <c r="AG87" i="39"/>
  <c r="AE77" i="39"/>
  <c r="AI77" i="39"/>
  <c r="AG75" i="39"/>
  <c r="AF75" i="39" s="1"/>
  <c r="AB100" i="39"/>
  <c r="AB101" i="39"/>
  <c r="AB102" i="39" s="1"/>
  <c r="AA100" i="39"/>
  <c r="P20" i="39"/>
  <c r="L28" i="39"/>
  <c r="L73" i="39"/>
  <c r="L71" i="39"/>
  <c r="L69" i="39"/>
  <c r="L67" i="39"/>
  <c r="L65" i="39"/>
  <c r="L63" i="39"/>
  <c r="L61" i="39"/>
  <c r="L59" i="39"/>
  <c r="L57" i="39"/>
  <c r="L55" i="39"/>
  <c r="P108" i="39"/>
  <c r="N108" i="39"/>
  <c r="M108" i="39" s="1"/>
  <c r="P104" i="39"/>
  <c r="N104" i="39"/>
  <c r="K104" i="39" s="1"/>
  <c r="P100" i="39"/>
  <c r="N100" i="39"/>
  <c r="J100" i="39" s="1"/>
  <c r="P96" i="39"/>
  <c r="N96" i="39"/>
  <c r="J96" i="39" s="1"/>
  <c r="I181" i="39"/>
  <c r="I182" i="39" s="1"/>
  <c r="H180" i="39"/>
  <c r="I180" i="39"/>
  <c r="I227" i="39"/>
  <c r="I228" i="39"/>
  <c r="I229" i="39" s="1"/>
  <c r="AI15" i="39"/>
  <c r="AE15" i="39"/>
  <c r="AG15" i="39"/>
  <c r="AF15" i="39" s="1"/>
  <c r="AE74" i="39"/>
  <c r="AA101" i="39"/>
  <c r="AA102" i="39" s="1"/>
  <c r="AB118" i="39"/>
  <c r="AE83" i="39"/>
  <c r="AI83" i="39"/>
  <c r="AG9" i="39"/>
  <c r="AG143" i="39"/>
  <c r="AF143" i="39" s="1"/>
  <c r="AA158" i="39"/>
  <c r="AA159" i="39" s="1"/>
  <c r="AA176" i="39"/>
  <c r="AA177" i="39"/>
  <c r="AA178" i="39" s="1"/>
  <c r="P110" i="39"/>
  <c r="N110" i="39"/>
  <c r="M110" i="39" s="1"/>
  <c r="P106" i="39"/>
  <c r="N106" i="39"/>
  <c r="M106" i="39" s="1"/>
  <c r="P102" i="39"/>
  <c r="N102" i="39"/>
  <c r="M102" i="39" s="1"/>
  <c r="P98" i="39"/>
  <c r="N98" i="39"/>
  <c r="M98" i="39" s="1"/>
  <c r="H228" i="39"/>
  <c r="H229" i="39" s="1"/>
  <c r="AE20" i="39"/>
  <c r="AI20" i="39"/>
  <c r="AG20" i="39"/>
  <c r="AC20" i="39" s="1"/>
  <c r="AE13" i="39"/>
  <c r="AI13" i="39"/>
  <c r="AI86" i="39"/>
  <c r="AG86" i="39"/>
  <c r="AF86" i="39" s="1"/>
  <c r="AA119" i="39"/>
  <c r="AA120" i="39" s="1"/>
  <c r="AB119" i="39"/>
  <c r="AB120" i="39" s="1"/>
  <c r="N152" i="39"/>
  <c r="J152" i="39" s="1"/>
  <c r="N145" i="39"/>
  <c r="N136" i="39"/>
  <c r="M136" i="39" s="1"/>
  <c r="H181" i="39"/>
  <c r="H182" i="39" s="1"/>
  <c r="H227" i="39"/>
  <c r="L214" i="39"/>
  <c r="I291" i="39"/>
  <c r="I292" i="39"/>
  <c r="I293" i="39" s="1"/>
  <c r="AI24" i="39"/>
  <c r="AE24" i="39"/>
  <c r="AI23" i="39"/>
  <c r="AE23" i="39"/>
  <c r="AE22" i="39"/>
  <c r="AI22" i="39"/>
  <c r="AI21" i="39"/>
  <c r="AE21" i="39"/>
  <c r="AI18" i="39"/>
  <c r="AE18" i="39"/>
  <c r="AI17" i="39"/>
  <c r="AE17" i="39"/>
  <c r="AE16" i="39"/>
  <c r="AI16" i="39"/>
  <c r="AG79" i="39"/>
  <c r="N285" i="39"/>
  <c r="K285" i="39" s="1"/>
  <c r="AD24" i="39"/>
  <c r="N280" i="39"/>
  <c r="H298" i="39"/>
  <c r="H299" i="39" s="1"/>
  <c r="AI12" i="39"/>
  <c r="AE81" i="39"/>
  <c r="AA118" i="39"/>
  <c r="AA157" i="39"/>
  <c r="AB177" i="39"/>
  <c r="AB178" i="39" s="1"/>
  <c r="AI141" i="39"/>
  <c r="AI145" i="39"/>
  <c r="AG147" i="39"/>
  <c r="AC147" i="39" s="1"/>
  <c r="AG149" i="39"/>
  <c r="AG151" i="39"/>
  <c r="AC151" i="39" s="1"/>
  <c r="AI140" i="39"/>
  <c r="AI143" i="39"/>
  <c r="AI147" i="39"/>
  <c r="AI151" i="39"/>
  <c r="AG141" i="39"/>
  <c r="AF141" i="39" s="1"/>
  <c r="AG144" i="39"/>
  <c r="AF144" i="39" s="1"/>
  <c r="AG148" i="39"/>
  <c r="AG152" i="39"/>
  <c r="AF152" i="39" s="1"/>
  <c r="AI149" i="39"/>
  <c r="AG139" i="39"/>
  <c r="AG140" i="39"/>
  <c r="AF140" i="39" s="1"/>
  <c r="AG142" i="39"/>
  <c r="AC142" i="39" s="1"/>
  <c r="AI144" i="39"/>
  <c r="AG146" i="39"/>
  <c r="AF146" i="39" s="1"/>
  <c r="AI148" i="39"/>
  <c r="AG150" i="39"/>
  <c r="AD150" i="39" s="1"/>
  <c r="AE139" i="39"/>
  <c r="AE142" i="39"/>
  <c r="AE143" i="39"/>
  <c r="AE144" i="39"/>
  <c r="AE145" i="39"/>
  <c r="AE146" i="39"/>
  <c r="AE147" i="39"/>
  <c r="AE148" i="39"/>
  <c r="AE149" i="39"/>
  <c r="AE150" i="39"/>
  <c r="AE151" i="39"/>
  <c r="AE152" i="39"/>
  <c r="AE93" i="39"/>
  <c r="AG91" i="39"/>
  <c r="AF91" i="39" s="1"/>
  <c r="AI89" i="39"/>
  <c r="AE91" i="39"/>
  <c r="AG90" i="39"/>
  <c r="AC90" i="39" s="1"/>
  <c r="AI92" i="39"/>
  <c r="AE88" i="39"/>
  <c r="AE84" i="39"/>
  <c r="AE76" i="39"/>
  <c r="AG92" i="39"/>
  <c r="AG88" i="39"/>
  <c r="AG84" i="39"/>
  <c r="AG80" i="39"/>
  <c r="AC80" i="39" s="1"/>
  <c r="AG76" i="39"/>
  <c r="AC76" i="39" s="1"/>
  <c r="AG93" i="39"/>
  <c r="AF93" i="39" s="1"/>
  <c r="AG89" i="39"/>
  <c r="AF89" i="39" s="1"/>
  <c r="AG85" i="39"/>
  <c r="AG81" i="39"/>
  <c r="AF81" i="39" s="1"/>
  <c r="AG77" i="39"/>
  <c r="AI74" i="39"/>
  <c r="AI78" i="39"/>
  <c r="AI76" i="39"/>
  <c r="AI80" i="39"/>
  <c r="AI75" i="39"/>
  <c r="AI79" i="39"/>
  <c r="AG74" i="39"/>
  <c r="AD18" i="39"/>
  <c r="AF24" i="39"/>
  <c r="AF18" i="39"/>
  <c r="N273" i="39"/>
  <c r="J273" i="39" s="1"/>
  <c r="N276" i="39"/>
  <c r="K276" i="39" s="1"/>
  <c r="N281" i="39"/>
  <c r="J281" i="39" s="1"/>
  <c r="N284" i="39"/>
  <c r="K284" i="39" s="1"/>
  <c r="N283" i="39"/>
  <c r="K283" i="39" s="1"/>
  <c r="P269" i="39"/>
  <c r="N271" i="39"/>
  <c r="M271" i="39" s="1"/>
  <c r="P273" i="39"/>
  <c r="N275" i="39"/>
  <c r="K275" i="39" s="1"/>
  <c r="P277" i="39"/>
  <c r="N279" i="39"/>
  <c r="K279" i="39" s="1"/>
  <c r="P281" i="39"/>
  <c r="P285" i="39"/>
  <c r="N270" i="39"/>
  <c r="M270" i="39" s="1"/>
  <c r="P272" i="39"/>
  <c r="N274" i="39"/>
  <c r="M274" i="39" s="1"/>
  <c r="P276" i="39"/>
  <c r="N278" i="39"/>
  <c r="M278" i="39" s="1"/>
  <c r="P280" i="39"/>
  <c r="N282" i="39"/>
  <c r="M282" i="39" s="1"/>
  <c r="P284" i="39"/>
  <c r="L269" i="39"/>
  <c r="L270" i="39"/>
  <c r="L271" i="39"/>
  <c r="L272" i="39"/>
  <c r="L273" i="39"/>
  <c r="L274" i="39"/>
  <c r="L275" i="39"/>
  <c r="L276" i="39"/>
  <c r="L277" i="39"/>
  <c r="L278" i="39"/>
  <c r="L279" i="39"/>
  <c r="L280" i="39"/>
  <c r="L281" i="39"/>
  <c r="L282" i="39"/>
  <c r="L283" i="39"/>
  <c r="L284" i="39"/>
  <c r="L285" i="39"/>
  <c r="N269" i="39"/>
  <c r="N215" i="39"/>
  <c r="P204" i="39"/>
  <c r="P216" i="39"/>
  <c r="N205" i="39"/>
  <c r="M205" i="39" s="1"/>
  <c r="P220" i="39"/>
  <c r="N219" i="39"/>
  <c r="M219" i="39" s="1"/>
  <c r="N203" i="39"/>
  <c r="M203" i="39" s="1"/>
  <c r="N211" i="39"/>
  <c r="M211" i="39" s="1"/>
  <c r="P215" i="39"/>
  <c r="N218" i="39"/>
  <c r="M218" i="39" s="1"/>
  <c r="P219" i="39"/>
  <c r="P206" i="39"/>
  <c r="P211" i="39"/>
  <c r="P201" i="39"/>
  <c r="N204" i="39"/>
  <c r="N207" i="39"/>
  <c r="M207" i="39" s="1"/>
  <c r="P209" i="39"/>
  <c r="P213" i="39"/>
  <c r="P217" i="39"/>
  <c r="P221" i="39"/>
  <c r="N202" i="39"/>
  <c r="J202" i="39" s="1"/>
  <c r="N214" i="39"/>
  <c r="N200" i="39"/>
  <c r="P202" i="39"/>
  <c r="P205" i="39"/>
  <c r="N208" i="39"/>
  <c r="P210" i="39"/>
  <c r="P214" i="39"/>
  <c r="P218" i="39"/>
  <c r="P207" i="39"/>
  <c r="N210" i="39"/>
  <c r="J210" i="39" s="1"/>
  <c r="P200" i="39"/>
  <c r="N201" i="39"/>
  <c r="P203" i="39"/>
  <c r="N206" i="39"/>
  <c r="P208" i="39"/>
  <c r="N209" i="39"/>
  <c r="M209" i="39" s="1"/>
  <c r="N212" i="39"/>
  <c r="J212" i="39" s="1"/>
  <c r="N213" i="39"/>
  <c r="M213" i="39" s="1"/>
  <c r="N216" i="39"/>
  <c r="K216" i="39" s="1"/>
  <c r="N217" i="39"/>
  <c r="M217" i="39" s="1"/>
  <c r="N220" i="39"/>
  <c r="N221" i="39"/>
  <c r="M221" i="39" s="1"/>
  <c r="L200" i="39"/>
  <c r="L212" i="39"/>
  <c r="N157" i="39"/>
  <c r="K157" i="39" s="1"/>
  <c r="N156" i="39"/>
  <c r="K156" i="39" s="1"/>
  <c r="N153" i="39"/>
  <c r="K153" i="39" s="1"/>
  <c r="N149" i="39"/>
  <c r="N148" i="39"/>
  <c r="M148" i="39" s="1"/>
  <c r="N154" i="39"/>
  <c r="N150" i="39"/>
  <c r="N146" i="39"/>
  <c r="N142" i="39"/>
  <c r="N138" i="39"/>
  <c r="N134" i="39"/>
  <c r="N155" i="39"/>
  <c r="M155" i="39" s="1"/>
  <c r="N151" i="39"/>
  <c r="M151" i="39" s="1"/>
  <c r="N147" i="39"/>
  <c r="M147" i="39" s="1"/>
  <c r="N143" i="39"/>
  <c r="M143" i="39" s="1"/>
  <c r="N139" i="39"/>
  <c r="M139" i="39" s="1"/>
  <c r="N135" i="39"/>
  <c r="M135" i="39" s="1"/>
  <c r="N30" i="39"/>
  <c r="J30" i="39" s="1"/>
  <c r="N26" i="39"/>
  <c r="M26" i="39" s="1"/>
  <c r="N22" i="39"/>
  <c r="M22" i="39" s="1"/>
  <c r="L27" i="39"/>
  <c r="L23" i="39"/>
  <c r="N18" i="39"/>
  <c r="M18" i="39" s="1"/>
  <c r="N27" i="39"/>
  <c r="J27" i="39" s="1"/>
  <c r="N23" i="39"/>
  <c r="M23" i="39" s="1"/>
  <c r="P30" i="39"/>
  <c r="N24" i="39"/>
  <c r="N20" i="39"/>
  <c r="J20" i="39" s="1"/>
  <c r="N16" i="39"/>
  <c r="J16" i="39" s="1"/>
  <c r="N28" i="39"/>
  <c r="N29" i="39"/>
  <c r="M29" i="39" s="1"/>
  <c r="N25" i="39"/>
  <c r="M25" i="39" s="1"/>
  <c r="N21" i="39"/>
  <c r="M21" i="39" s="1"/>
  <c r="N17" i="39"/>
  <c r="M17" i="39" s="1"/>
  <c r="AI433" i="38"/>
  <c r="AI434" i="38"/>
  <c r="AI435" i="38" s="1"/>
  <c r="AB386" i="38"/>
  <c r="AF386" i="38" s="1"/>
  <c r="AC386" i="38"/>
  <c r="AB387" i="38"/>
  <c r="AF387" i="38" s="1"/>
  <c r="AC387" i="38"/>
  <c r="AB388" i="38"/>
  <c r="AC388" i="38"/>
  <c r="AB389" i="38"/>
  <c r="AF389" i="38" s="1"/>
  <c r="AC389" i="38"/>
  <c r="AB390" i="38"/>
  <c r="AC390" i="38"/>
  <c r="AB391" i="38"/>
  <c r="AC391" i="38"/>
  <c r="AB392" i="38"/>
  <c r="AC392" i="38"/>
  <c r="AB393" i="38"/>
  <c r="AF393" i="38" s="1"/>
  <c r="AC393" i="38"/>
  <c r="AB394" i="38"/>
  <c r="AF394" i="38" s="1"/>
  <c r="AC394" i="38"/>
  <c r="AB395" i="38"/>
  <c r="AF395" i="38" s="1"/>
  <c r="AC395" i="38"/>
  <c r="AB396" i="38"/>
  <c r="AF396" i="38" s="1"/>
  <c r="AC396" i="38"/>
  <c r="AB397" i="38"/>
  <c r="AF397" i="38" s="1"/>
  <c r="AC397" i="38"/>
  <c r="AB398" i="38"/>
  <c r="AF398" i="38" s="1"/>
  <c r="AC398" i="38"/>
  <c r="AB399" i="38"/>
  <c r="AC399" i="38"/>
  <c r="AB400" i="38"/>
  <c r="AC400" i="38"/>
  <c r="AB401" i="38"/>
  <c r="AC401" i="38"/>
  <c r="AB402" i="38"/>
  <c r="AF402" i="38" s="1"/>
  <c r="AC402" i="38"/>
  <c r="AB403" i="38"/>
  <c r="AF403" i="38" s="1"/>
  <c r="AC403" i="38"/>
  <c r="AB404" i="38"/>
  <c r="AF404" i="38" s="1"/>
  <c r="AC404" i="38"/>
  <c r="AB405" i="38"/>
  <c r="AF405" i="38" s="1"/>
  <c r="AC405" i="38"/>
  <c r="AB406" i="38"/>
  <c r="AF406" i="38" s="1"/>
  <c r="AC406" i="38"/>
  <c r="AB407" i="38"/>
  <c r="AF407" i="38" s="1"/>
  <c r="AC407" i="38"/>
  <c r="AB408" i="38"/>
  <c r="AF408" i="38" s="1"/>
  <c r="AC408" i="38"/>
  <c r="AB409" i="38"/>
  <c r="AI413" i="38"/>
  <c r="AI414" i="38"/>
  <c r="AI415" i="38" s="1"/>
  <c r="AC385" i="38"/>
  <c r="AB385" i="38"/>
  <c r="AF385" i="38" s="1"/>
  <c r="AC384" i="38"/>
  <c r="AB384" i="38"/>
  <c r="AF384" i="38" s="1"/>
  <c r="AC383" i="38"/>
  <c r="AB383" i="38"/>
  <c r="AF383" i="38" s="1"/>
  <c r="AC382" i="38"/>
  <c r="AB382" i="38"/>
  <c r="AF382" i="38" s="1"/>
  <c r="AC381" i="38"/>
  <c r="AB381" i="38"/>
  <c r="AF381" i="38" s="1"/>
  <c r="AC380" i="38"/>
  <c r="AB380" i="38"/>
  <c r="AC379" i="38"/>
  <c r="AB379" i="38"/>
  <c r="AI359" i="38"/>
  <c r="AI360" i="38" s="1"/>
  <c r="AI358" i="38"/>
  <c r="AI340" i="38"/>
  <c r="AI341" i="38" s="1"/>
  <c r="AI339" i="38"/>
  <c r="AB335" i="38"/>
  <c r="AC334" i="38"/>
  <c r="AB334" i="38"/>
  <c r="AF334" i="38" s="1"/>
  <c r="AC333" i="38"/>
  <c r="AB333" i="38"/>
  <c r="AF333" i="38" s="1"/>
  <c r="AC332" i="38"/>
  <c r="AB332" i="38"/>
  <c r="AF332" i="38" s="1"/>
  <c r="AC331" i="38"/>
  <c r="AB331" i="38"/>
  <c r="AC330" i="38"/>
  <c r="AB330" i="38"/>
  <c r="AF330" i="38" s="1"/>
  <c r="AC329" i="38"/>
  <c r="AB329" i="38"/>
  <c r="AF329" i="38" s="1"/>
  <c r="AC328" i="38"/>
  <c r="AB328" i="38"/>
  <c r="AF328" i="38" s="1"/>
  <c r="AC327" i="38"/>
  <c r="AB327" i="38"/>
  <c r="AC326" i="38"/>
  <c r="AB326" i="38"/>
  <c r="AF326" i="38" s="1"/>
  <c r="AC325" i="38"/>
  <c r="AB325" i="38"/>
  <c r="AC324" i="38"/>
  <c r="AB324" i="38"/>
  <c r="AF324" i="38" s="1"/>
  <c r="AC323" i="38"/>
  <c r="AB323" i="38"/>
  <c r="AC322" i="38"/>
  <c r="AB322" i="38"/>
  <c r="AF322" i="38" s="1"/>
  <c r="AC321" i="38"/>
  <c r="AB321" i="38"/>
  <c r="AF321" i="38" s="1"/>
  <c r="AC320" i="38"/>
  <c r="AB320" i="38"/>
  <c r="AF320" i="38" s="1"/>
  <c r="AC319" i="38"/>
  <c r="AB319" i="38"/>
  <c r="AC318" i="38"/>
  <c r="AB318" i="38"/>
  <c r="AC317" i="38"/>
  <c r="AB317" i="38"/>
  <c r="AC316" i="38"/>
  <c r="AB316" i="38"/>
  <c r="AF316" i="38" s="1"/>
  <c r="AC315" i="38"/>
  <c r="AB315" i="38"/>
  <c r="AC314" i="38"/>
  <c r="AB314" i="38"/>
  <c r="AI294" i="38"/>
  <c r="AI295" i="38" s="1"/>
  <c r="AI293" i="38"/>
  <c r="AI274" i="38"/>
  <c r="AI275" i="38" s="1"/>
  <c r="AI273" i="38"/>
  <c r="AB269" i="38"/>
  <c r="AC268" i="38"/>
  <c r="AB268" i="38"/>
  <c r="AF268" i="38" s="1"/>
  <c r="AC267" i="38"/>
  <c r="AB267" i="38"/>
  <c r="AF267" i="38" s="1"/>
  <c r="AC266" i="38"/>
  <c r="AB266" i="38"/>
  <c r="AF266" i="38" s="1"/>
  <c r="AC265" i="38"/>
  <c r="AB265" i="38"/>
  <c r="AF265" i="38" s="1"/>
  <c r="AC264" i="38"/>
  <c r="AB264" i="38"/>
  <c r="AF264" i="38" s="1"/>
  <c r="AC263" i="38"/>
  <c r="AB263" i="38"/>
  <c r="AF263" i="38" s="1"/>
  <c r="AC262" i="38"/>
  <c r="AB262" i="38"/>
  <c r="AF262" i="38" s="1"/>
  <c r="AC261" i="38"/>
  <c r="AB261" i="38"/>
  <c r="AF261" i="38" s="1"/>
  <c r="AC260" i="38"/>
  <c r="AB260" i="38"/>
  <c r="AC259" i="38"/>
  <c r="AB259" i="38"/>
  <c r="AC258" i="38"/>
  <c r="AB258" i="38"/>
  <c r="AF258" i="38" s="1"/>
  <c r="AC257" i="38"/>
  <c r="AB257" i="38"/>
  <c r="AF257" i="38" s="1"/>
  <c r="AC256" i="38"/>
  <c r="AB256" i="38"/>
  <c r="AF256" i="38" s="1"/>
  <c r="AC255" i="38"/>
  <c r="AB255" i="38"/>
  <c r="AF255" i="38" s="1"/>
  <c r="AC254" i="38"/>
  <c r="AB254" i="38"/>
  <c r="AC253" i="38"/>
  <c r="AB253" i="38"/>
  <c r="AF253" i="38" s="1"/>
  <c r="AC252" i="38"/>
  <c r="AB252" i="38"/>
  <c r="AF252" i="38" s="1"/>
  <c r="AC251" i="38"/>
  <c r="AB251" i="38"/>
  <c r="AC250" i="38"/>
  <c r="AB250" i="38"/>
  <c r="AF250" i="38" s="1"/>
  <c r="AC249" i="38"/>
  <c r="AB249" i="38"/>
  <c r="AF249" i="38" s="1"/>
  <c r="AC248" i="38"/>
  <c r="AB248" i="38"/>
  <c r="AI229" i="38"/>
  <c r="AI230" i="38" s="1"/>
  <c r="AI228" i="38"/>
  <c r="AI210" i="38"/>
  <c r="AI211" i="38" s="1"/>
  <c r="AI209" i="38"/>
  <c r="AB205" i="38"/>
  <c r="AC204" i="38"/>
  <c r="AB204" i="38"/>
  <c r="AC203" i="38"/>
  <c r="AB203" i="38"/>
  <c r="AF203" i="38" s="1"/>
  <c r="AC202" i="38"/>
  <c r="AB202" i="38"/>
  <c r="AF202" i="38" s="1"/>
  <c r="AC201" i="38"/>
  <c r="AB201" i="38"/>
  <c r="AC200" i="38"/>
  <c r="AB200" i="38"/>
  <c r="AC199" i="38"/>
  <c r="AB199" i="38"/>
  <c r="AF199" i="38" s="1"/>
  <c r="AC198" i="38"/>
  <c r="AB198" i="38"/>
  <c r="AF198" i="38" s="1"/>
  <c r="AC197" i="38"/>
  <c r="AB197" i="38"/>
  <c r="AC196" i="38"/>
  <c r="AB196" i="38"/>
  <c r="AC195" i="38"/>
  <c r="AB195" i="38"/>
  <c r="AC194" i="38"/>
  <c r="AB194" i="38"/>
  <c r="AF194" i="38" s="1"/>
  <c r="AC193" i="38"/>
  <c r="AB193" i="38"/>
  <c r="AC192" i="38"/>
  <c r="AB192" i="38"/>
  <c r="AC191" i="38"/>
  <c r="AB191" i="38"/>
  <c r="AF191" i="38" s="1"/>
  <c r="AC190" i="38"/>
  <c r="AB190" i="38"/>
  <c r="AF190" i="38" s="1"/>
  <c r="AC189" i="38"/>
  <c r="AB189" i="38"/>
  <c r="AC188" i="38"/>
  <c r="AB188" i="38"/>
  <c r="AC187" i="38"/>
  <c r="AB187" i="38"/>
  <c r="AF187" i="38" s="1"/>
  <c r="AC186" i="38"/>
  <c r="AB186" i="38"/>
  <c r="AC185" i="38"/>
  <c r="AB185" i="38"/>
  <c r="AC184" i="38"/>
  <c r="AB184" i="38"/>
  <c r="AI164" i="38"/>
  <c r="AI165" i="38"/>
  <c r="AI166" i="38" s="1"/>
  <c r="AI146" i="38"/>
  <c r="AI147" i="38" s="1"/>
  <c r="AI145" i="38"/>
  <c r="AB141" i="38"/>
  <c r="AC140" i="38"/>
  <c r="AB140" i="38"/>
  <c r="AF140" i="38" s="1"/>
  <c r="AC139" i="38"/>
  <c r="AB139" i="38"/>
  <c r="AF139" i="38" s="1"/>
  <c r="AC138" i="38"/>
  <c r="AB138" i="38"/>
  <c r="AC137" i="38"/>
  <c r="AB137" i="38"/>
  <c r="AF137" i="38" s="1"/>
  <c r="AC136" i="38"/>
  <c r="AB136" i="38"/>
  <c r="AF136" i="38" s="1"/>
  <c r="AC135" i="38"/>
  <c r="AB135" i="38"/>
  <c r="AF135" i="38" s="1"/>
  <c r="AC134" i="38"/>
  <c r="AB134" i="38"/>
  <c r="AC133" i="38"/>
  <c r="AB133" i="38"/>
  <c r="AC132" i="38"/>
  <c r="AB132" i="38"/>
  <c r="AC131" i="38"/>
  <c r="AB131" i="38"/>
  <c r="AC130" i="38"/>
  <c r="AB130" i="38"/>
  <c r="AC129" i="38"/>
  <c r="AB129" i="38"/>
  <c r="AC128" i="38"/>
  <c r="AB128" i="38"/>
  <c r="AF128" i="38" s="1"/>
  <c r="AC127" i="38"/>
  <c r="AB127" i="38"/>
  <c r="AC126" i="38"/>
  <c r="AB126" i="38"/>
  <c r="AF126" i="38" s="1"/>
  <c r="AC125" i="38"/>
  <c r="AB125" i="38"/>
  <c r="AC124" i="38"/>
  <c r="AB124" i="38"/>
  <c r="AF124" i="38" s="1"/>
  <c r="AC123" i="38"/>
  <c r="AB123" i="38"/>
  <c r="AC122" i="38"/>
  <c r="AB122" i="38"/>
  <c r="AC121" i="38"/>
  <c r="AB121" i="38"/>
  <c r="AC120" i="38"/>
  <c r="AB120" i="38"/>
  <c r="AF120" i="38" s="1"/>
  <c r="AI97" i="38"/>
  <c r="AI98" i="38"/>
  <c r="AI99" i="38" s="1"/>
  <c r="AI76" i="38"/>
  <c r="AI77" i="38"/>
  <c r="AI78" i="38" s="1"/>
  <c r="AB62" i="38"/>
  <c r="AC62" i="38"/>
  <c r="AB63" i="38"/>
  <c r="AC63" i="38"/>
  <c r="AB64" i="38"/>
  <c r="AF64" i="38" s="1"/>
  <c r="AC64" i="38"/>
  <c r="AB65" i="38"/>
  <c r="AC65" i="38"/>
  <c r="AB66" i="38"/>
  <c r="AF66" i="38" s="1"/>
  <c r="AC66" i="38"/>
  <c r="AB67" i="38"/>
  <c r="AF67" i="38" s="1"/>
  <c r="AC67" i="38"/>
  <c r="AB68" i="38"/>
  <c r="AF68" i="38" s="1"/>
  <c r="AC68" i="38"/>
  <c r="AB69" i="38"/>
  <c r="AC69" i="38"/>
  <c r="AB70" i="38"/>
  <c r="AF70" i="38" s="1"/>
  <c r="AC70" i="38"/>
  <c r="AB71" i="38"/>
  <c r="AF71" i="38" s="1"/>
  <c r="AC71" i="38"/>
  <c r="AB72" i="38"/>
  <c r="AF72" i="38" s="1"/>
  <c r="AC72" i="38"/>
  <c r="AB73" i="38"/>
  <c r="AI31" i="38"/>
  <c r="AI32" i="38"/>
  <c r="AI33" i="38" s="1"/>
  <c r="AB8" i="38"/>
  <c r="AC8" i="38"/>
  <c r="AB9" i="38"/>
  <c r="AF9" i="38" s="1"/>
  <c r="AC9" i="38"/>
  <c r="AB10" i="38"/>
  <c r="AF10" i="38" s="1"/>
  <c r="AC10" i="38"/>
  <c r="AB11" i="38"/>
  <c r="AF11" i="38" s="1"/>
  <c r="AC11" i="38"/>
  <c r="AB12" i="38"/>
  <c r="AC12" i="38"/>
  <c r="AB13" i="38"/>
  <c r="AF13" i="38" s="1"/>
  <c r="AC13" i="38"/>
  <c r="AB14" i="38"/>
  <c r="AF14" i="38" s="1"/>
  <c r="AC14" i="38"/>
  <c r="AB15" i="38"/>
  <c r="AF15" i="38" s="1"/>
  <c r="AC15" i="38"/>
  <c r="AB16" i="38"/>
  <c r="AF16" i="38" s="1"/>
  <c r="AC16" i="38"/>
  <c r="AB17" i="38"/>
  <c r="AF17" i="38" s="1"/>
  <c r="AC17" i="38"/>
  <c r="AB18" i="38"/>
  <c r="AC18" i="38"/>
  <c r="AB19" i="38"/>
  <c r="AC19" i="38"/>
  <c r="AB20" i="38"/>
  <c r="AF20" i="38" s="1"/>
  <c r="AC20" i="38"/>
  <c r="AB21" i="38"/>
  <c r="AF21" i="38" s="1"/>
  <c r="AC21" i="38"/>
  <c r="AB22" i="38"/>
  <c r="AF22" i="38" s="1"/>
  <c r="AC22" i="38"/>
  <c r="AB23" i="38"/>
  <c r="AF23" i="38" s="1"/>
  <c r="AC23" i="38"/>
  <c r="AB24" i="38"/>
  <c r="AF24" i="38" s="1"/>
  <c r="AC24" i="38"/>
  <c r="AB25" i="38"/>
  <c r="AJ25" i="38" s="1"/>
  <c r="AC25" i="38"/>
  <c r="AB26" i="38"/>
  <c r="AJ26" i="38" s="1"/>
  <c r="AC26" i="38"/>
  <c r="AB27" i="38"/>
  <c r="AC27" i="38"/>
  <c r="AB28" i="38"/>
  <c r="O478" i="38"/>
  <c r="O479" i="38"/>
  <c r="O480" i="38" s="1"/>
  <c r="O459" i="38"/>
  <c r="O460" i="38"/>
  <c r="O461" i="38" s="1"/>
  <c r="H453" i="38"/>
  <c r="L453" i="38" s="1"/>
  <c r="I453" i="38"/>
  <c r="H454" i="38"/>
  <c r="I454" i="38"/>
  <c r="H455" i="38"/>
  <c r="I455" i="38"/>
  <c r="H456" i="38"/>
  <c r="I452" i="38"/>
  <c r="H452" i="38"/>
  <c r="I451" i="38"/>
  <c r="H451" i="38"/>
  <c r="I450" i="38"/>
  <c r="H450" i="38"/>
  <c r="I449" i="38"/>
  <c r="H449" i="38"/>
  <c r="L449" i="38" s="1"/>
  <c r="I448" i="38"/>
  <c r="H448" i="38"/>
  <c r="L448" i="38" s="1"/>
  <c r="I447" i="38"/>
  <c r="H447" i="38"/>
  <c r="L447" i="38" s="1"/>
  <c r="I446" i="38"/>
  <c r="H446" i="38"/>
  <c r="I445" i="38"/>
  <c r="H445" i="38"/>
  <c r="L445" i="38" s="1"/>
  <c r="I444" i="38"/>
  <c r="H444" i="38"/>
  <c r="L444" i="38" s="1"/>
  <c r="H443" i="38"/>
  <c r="I442" i="38"/>
  <c r="H442" i="38"/>
  <c r="I441" i="38"/>
  <c r="H441" i="38"/>
  <c r="L441" i="38" s="1"/>
  <c r="I440" i="38"/>
  <c r="H440" i="38"/>
  <c r="I439" i="38"/>
  <c r="H439" i="38"/>
  <c r="L439" i="38" s="1"/>
  <c r="I438" i="38"/>
  <c r="H438" i="38"/>
  <c r="I437" i="38"/>
  <c r="H437" i="38"/>
  <c r="L437" i="38" s="1"/>
  <c r="I436" i="38"/>
  <c r="H436" i="38"/>
  <c r="I435" i="38"/>
  <c r="H435" i="38"/>
  <c r="L435" i="38" s="1"/>
  <c r="I434" i="38"/>
  <c r="H434" i="38"/>
  <c r="I433" i="38"/>
  <c r="H433" i="38"/>
  <c r="I432" i="38"/>
  <c r="H432" i="38"/>
  <c r="I431" i="38"/>
  <c r="H431" i="38"/>
  <c r="O411" i="38"/>
  <c r="O412" i="38"/>
  <c r="O413" i="38" s="1"/>
  <c r="O392" i="38"/>
  <c r="O393" i="38"/>
  <c r="H388" i="38"/>
  <c r="I387" i="38"/>
  <c r="H387" i="38"/>
  <c r="L387" i="38" s="1"/>
  <c r="I386" i="38"/>
  <c r="H386" i="38"/>
  <c r="L386" i="38" s="1"/>
  <c r="I385" i="38"/>
  <c r="H385" i="38"/>
  <c r="I384" i="38"/>
  <c r="H384" i="38"/>
  <c r="I383" i="38"/>
  <c r="H383" i="38"/>
  <c r="L383" i="38" s="1"/>
  <c r="I382" i="38"/>
  <c r="H382" i="38"/>
  <c r="L382" i="38" s="1"/>
  <c r="I381" i="38"/>
  <c r="H381" i="38"/>
  <c r="I380" i="38"/>
  <c r="H380" i="38"/>
  <c r="L380" i="38" s="1"/>
  <c r="I379" i="38"/>
  <c r="H379" i="38"/>
  <c r="L379" i="38" s="1"/>
  <c r="I378" i="38"/>
  <c r="H378" i="38"/>
  <c r="L378" i="38" s="1"/>
  <c r="I377" i="38"/>
  <c r="H377" i="38"/>
  <c r="I376" i="38"/>
  <c r="H376" i="38"/>
  <c r="L376" i="38" s="1"/>
  <c r="I375" i="38"/>
  <c r="H375" i="38"/>
  <c r="L375" i="38" s="1"/>
  <c r="I374" i="38"/>
  <c r="H374" i="38"/>
  <c r="L374" i="38" s="1"/>
  <c r="I373" i="38"/>
  <c r="H373" i="38"/>
  <c r="I372" i="38"/>
  <c r="H372" i="38"/>
  <c r="I371" i="38"/>
  <c r="H371" i="38"/>
  <c r="L371" i="38" s="1"/>
  <c r="I370" i="38"/>
  <c r="H370" i="38"/>
  <c r="L370" i="38" s="1"/>
  <c r="I369" i="38"/>
  <c r="H369" i="38"/>
  <c r="I368" i="38"/>
  <c r="H368" i="38"/>
  <c r="L368" i="38" s="1"/>
  <c r="I367" i="38"/>
  <c r="H367" i="38"/>
  <c r="I366" i="38"/>
  <c r="H366" i="38"/>
  <c r="I365" i="38"/>
  <c r="H365" i="38"/>
  <c r="O346" i="38"/>
  <c r="O347" i="38"/>
  <c r="O348" i="38" s="1"/>
  <c r="H323" i="38"/>
  <c r="P323" i="38" s="1"/>
  <c r="I323" i="38"/>
  <c r="H324" i="38"/>
  <c r="O329" i="38"/>
  <c r="O328" i="38"/>
  <c r="I322" i="38"/>
  <c r="H322" i="38"/>
  <c r="L322" i="38" s="1"/>
  <c r="I321" i="38"/>
  <c r="H321" i="38"/>
  <c r="I320" i="38"/>
  <c r="H320" i="38"/>
  <c r="I319" i="38"/>
  <c r="H319" i="38"/>
  <c r="I318" i="38"/>
  <c r="H318" i="38"/>
  <c r="L318" i="38" s="1"/>
  <c r="I317" i="38"/>
  <c r="H317" i="38"/>
  <c r="L317" i="38" s="1"/>
  <c r="I316" i="38"/>
  <c r="H316" i="38"/>
  <c r="L316" i="38" s="1"/>
  <c r="I315" i="38"/>
  <c r="H315" i="38"/>
  <c r="I314" i="38"/>
  <c r="H314" i="38"/>
  <c r="L314" i="38" s="1"/>
  <c r="I313" i="38"/>
  <c r="H313" i="38"/>
  <c r="L313" i="38" s="1"/>
  <c r="I312" i="38"/>
  <c r="H312" i="38"/>
  <c r="L312" i="38" s="1"/>
  <c r="I311" i="38"/>
  <c r="H311" i="38"/>
  <c r="I310" i="38"/>
  <c r="H310" i="38"/>
  <c r="L310" i="38" s="1"/>
  <c r="I309" i="38"/>
  <c r="H309" i="38"/>
  <c r="L309" i="38" s="1"/>
  <c r="I308" i="38"/>
  <c r="H308" i="38"/>
  <c r="I307" i="38"/>
  <c r="H307" i="38"/>
  <c r="L307" i="38" s="1"/>
  <c r="I306" i="38"/>
  <c r="H306" i="38"/>
  <c r="I305" i="38"/>
  <c r="H305" i="38"/>
  <c r="I304" i="38"/>
  <c r="H304" i="38"/>
  <c r="I303" i="38"/>
  <c r="H303" i="38"/>
  <c r="I302" i="38"/>
  <c r="H302" i="38"/>
  <c r="I301" i="38"/>
  <c r="H301" i="38"/>
  <c r="O280" i="38"/>
  <c r="O281" i="38"/>
  <c r="O282" i="38" s="1"/>
  <c r="O262" i="38"/>
  <c r="O263" i="38"/>
  <c r="H256" i="38"/>
  <c r="I256" i="38"/>
  <c r="H257" i="38"/>
  <c r="L257" i="38" s="1"/>
  <c r="I257" i="38"/>
  <c r="H258" i="38"/>
  <c r="L258" i="38" s="1"/>
  <c r="I258" i="38"/>
  <c r="H259" i="38"/>
  <c r="I255" i="38"/>
  <c r="H255" i="38"/>
  <c r="I254" i="38"/>
  <c r="H254" i="38"/>
  <c r="P254" i="38" s="1"/>
  <c r="I253" i="38"/>
  <c r="H253" i="38"/>
  <c r="P253" i="38" s="1"/>
  <c r="I252" i="38"/>
  <c r="H252" i="38"/>
  <c r="P252" i="38" s="1"/>
  <c r="I251" i="38"/>
  <c r="H251" i="38"/>
  <c r="I250" i="38"/>
  <c r="H250" i="38"/>
  <c r="I249" i="38"/>
  <c r="H249" i="38"/>
  <c r="I248" i="38"/>
  <c r="H248" i="38"/>
  <c r="L248" i="38" s="1"/>
  <c r="I247" i="38"/>
  <c r="H247" i="38"/>
  <c r="I246" i="38"/>
  <c r="H246" i="38"/>
  <c r="L246" i="38" s="1"/>
  <c r="I245" i="38"/>
  <c r="H245" i="38"/>
  <c r="L245" i="38" s="1"/>
  <c r="I244" i="38"/>
  <c r="H244" i="38"/>
  <c r="L244" i="38" s="1"/>
  <c r="I243" i="38"/>
  <c r="H243" i="38"/>
  <c r="I242" i="38"/>
  <c r="H242" i="38"/>
  <c r="L242" i="38" s="1"/>
  <c r="I241" i="38"/>
  <c r="H241" i="38"/>
  <c r="L241" i="38" s="1"/>
  <c r="I240" i="38"/>
  <c r="H240" i="38"/>
  <c r="L240" i="38" s="1"/>
  <c r="I239" i="38"/>
  <c r="H239" i="38"/>
  <c r="I238" i="38"/>
  <c r="H238" i="38"/>
  <c r="I237" i="38"/>
  <c r="H237" i="38"/>
  <c r="O215" i="38"/>
  <c r="O216" i="38"/>
  <c r="O217" i="38" s="1"/>
  <c r="O131" i="38"/>
  <c r="O132" i="38"/>
  <c r="H114" i="38"/>
  <c r="L114" i="38" s="1"/>
  <c r="I114" i="38"/>
  <c r="H115" i="38"/>
  <c r="L115" i="38" s="1"/>
  <c r="I115" i="38"/>
  <c r="H116" i="38"/>
  <c r="I116" i="38"/>
  <c r="H117" i="38"/>
  <c r="L117" i="38" s="1"/>
  <c r="I117" i="38"/>
  <c r="H118" i="38"/>
  <c r="I118" i="38"/>
  <c r="H119" i="38"/>
  <c r="L119" i="38" s="1"/>
  <c r="I119" i="38"/>
  <c r="H120" i="38"/>
  <c r="I120" i="38"/>
  <c r="H121" i="38"/>
  <c r="P121" i="38" s="1"/>
  <c r="I121" i="38"/>
  <c r="H122" i="38"/>
  <c r="I122" i="38"/>
  <c r="H123" i="38"/>
  <c r="P123" i="38" s="1"/>
  <c r="I123" i="38"/>
  <c r="H124" i="38"/>
  <c r="L124" i="38" s="1"/>
  <c r="I124" i="38"/>
  <c r="H125" i="38"/>
  <c r="I125" i="38"/>
  <c r="H126" i="38"/>
  <c r="I126" i="38"/>
  <c r="H127" i="38"/>
  <c r="O83" i="38"/>
  <c r="O84" i="38"/>
  <c r="O85" i="38" s="1"/>
  <c r="O63" i="38"/>
  <c r="O64" i="38"/>
  <c r="H39" i="38"/>
  <c r="I39" i="38"/>
  <c r="H40" i="38"/>
  <c r="I40" i="38"/>
  <c r="H41" i="38"/>
  <c r="L41" i="38" s="1"/>
  <c r="I41" i="38"/>
  <c r="H42" i="38"/>
  <c r="L42" i="38" s="1"/>
  <c r="I42" i="38"/>
  <c r="H43" i="38"/>
  <c r="I43" i="38"/>
  <c r="H44" i="38"/>
  <c r="I44" i="38"/>
  <c r="H45" i="38"/>
  <c r="L45" i="38" s="1"/>
  <c r="I45" i="38"/>
  <c r="H46" i="38"/>
  <c r="L46" i="38" s="1"/>
  <c r="I46" i="38"/>
  <c r="H47" i="38"/>
  <c r="I47" i="38"/>
  <c r="H48" i="38"/>
  <c r="I48" i="38"/>
  <c r="H49" i="38"/>
  <c r="P49" i="38" s="1"/>
  <c r="I49" i="38"/>
  <c r="H50" i="38"/>
  <c r="I50" i="38"/>
  <c r="H51" i="38"/>
  <c r="I51" i="38"/>
  <c r="H52" i="38"/>
  <c r="P52" i="38" s="1"/>
  <c r="I52" i="38"/>
  <c r="H53" i="38"/>
  <c r="P53" i="38" s="1"/>
  <c r="I53" i="38"/>
  <c r="H54" i="38"/>
  <c r="P54" i="38" s="1"/>
  <c r="I54" i="38"/>
  <c r="H55" i="38"/>
  <c r="I55" i="38"/>
  <c r="H56" i="38"/>
  <c r="P56" i="38" s="1"/>
  <c r="I56" i="38"/>
  <c r="H57" i="38"/>
  <c r="P57" i="38" s="1"/>
  <c r="I57" i="38"/>
  <c r="H58" i="38"/>
  <c r="P58" i="38" s="1"/>
  <c r="I58" i="38"/>
  <c r="H59" i="38"/>
  <c r="L59" i="38" s="1"/>
  <c r="I59" i="38"/>
  <c r="H60" i="38"/>
  <c r="O24" i="38"/>
  <c r="O25" i="38"/>
  <c r="O26" i="38" s="1"/>
  <c r="H8" i="38"/>
  <c r="P8" i="38" s="1"/>
  <c r="I8" i="38"/>
  <c r="H9" i="38"/>
  <c r="L9" i="38" s="1"/>
  <c r="I9" i="38"/>
  <c r="H10" i="38"/>
  <c r="P10" i="38" s="1"/>
  <c r="I10" i="38"/>
  <c r="H11" i="38"/>
  <c r="L11" i="38" s="1"/>
  <c r="I11" i="38"/>
  <c r="H12" i="38"/>
  <c r="I12" i="38"/>
  <c r="H13" i="38"/>
  <c r="I13" i="38"/>
  <c r="H14" i="38"/>
  <c r="I14" i="38"/>
  <c r="H15" i="38"/>
  <c r="L15" i="38" s="1"/>
  <c r="I15" i="38"/>
  <c r="H16" i="38"/>
  <c r="P16" i="38" s="1"/>
  <c r="I16" i="38"/>
  <c r="H17" i="38"/>
  <c r="L17" i="38" s="1"/>
  <c r="I17" i="38"/>
  <c r="H18" i="38"/>
  <c r="P18" i="38" s="1"/>
  <c r="I18" i="38"/>
  <c r="H19" i="38"/>
  <c r="L19" i="38" s="1"/>
  <c r="I19" i="38"/>
  <c r="H20" i="38"/>
  <c r="I20" i="38"/>
  <c r="H21" i="38"/>
  <c r="AH257" i="37"/>
  <c r="AH258" i="37"/>
  <c r="AH259" i="37" s="1"/>
  <c r="AH251" i="37"/>
  <c r="AH252" i="37"/>
  <c r="AH253" i="37" s="1"/>
  <c r="AB247" i="37"/>
  <c r="AA247" i="37"/>
  <c r="AE247" i="37" s="1"/>
  <c r="AB246" i="37"/>
  <c r="AA246" i="37"/>
  <c r="AE246" i="37" s="1"/>
  <c r="AB245" i="37"/>
  <c r="AA245" i="37"/>
  <c r="AE245" i="37" s="1"/>
  <c r="AB244" i="37"/>
  <c r="AA244" i="37"/>
  <c r="AE244" i="37" s="1"/>
  <c r="AB243" i="37"/>
  <c r="AA243" i="37"/>
  <c r="AB242" i="37"/>
  <c r="AA242" i="37"/>
  <c r="AE242" i="37" s="1"/>
  <c r="AB241" i="37"/>
  <c r="AA241" i="37"/>
  <c r="AE241" i="37" s="1"/>
  <c r="AB240" i="37"/>
  <c r="AA240" i="37"/>
  <c r="AB239" i="37"/>
  <c r="AA239" i="37"/>
  <c r="AE239" i="37" s="1"/>
  <c r="AB238" i="37"/>
  <c r="AA238" i="37"/>
  <c r="AE238" i="37" s="1"/>
  <c r="AB237" i="37"/>
  <c r="AA237" i="37"/>
  <c r="AE237" i="37" s="1"/>
  <c r="AB236" i="37"/>
  <c r="AA236" i="37"/>
  <c r="AE236" i="37" s="1"/>
  <c r="AB235" i="37"/>
  <c r="AA235" i="37"/>
  <c r="AE235" i="37" s="1"/>
  <c r="AB234" i="37"/>
  <c r="AA234" i="37"/>
  <c r="AI234" i="37" s="1"/>
  <c r="AB233" i="37"/>
  <c r="AA233" i="37"/>
  <c r="AI233" i="37" s="1"/>
  <c r="AB232" i="37"/>
  <c r="AA232" i="37"/>
  <c r="AH222" i="37"/>
  <c r="AH223" i="37"/>
  <c r="AH224" i="37" s="1"/>
  <c r="AH203" i="37"/>
  <c r="AH204" i="37"/>
  <c r="AH205" i="37" s="1"/>
  <c r="AA196" i="37"/>
  <c r="AA151" i="37"/>
  <c r="AB151" i="37"/>
  <c r="AA152" i="37"/>
  <c r="AE152" i="37" s="1"/>
  <c r="AB152" i="37"/>
  <c r="AA153" i="37"/>
  <c r="AE153" i="37" s="1"/>
  <c r="AB153" i="37"/>
  <c r="AA154" i="37"/>
  <c r="AE154" i="37" s="1"/>
  <c r="AB154" i="37"/>
  <c r="AA155" i="37"/>
  <c r="AE155" i="37" s="1"/>
  <c r="AB155" i="37"/>
  <c r="AA156" i="37"/>
  <c r="AB156" i="37"/>
  <c r="AA157" i="37"/>
  <c r="AE157" i="37" s="1"/>
  <c r="AB157" i="37"/>
  <c r="AA158" i="37"/>
  <c r="AE158" i="37" s="1"/>
  <c r="AB158" i="37"/>
  <c r="AA159" i="37"/>
  <c r="AB159" i="37"/>
  <c r="AA160" i="37"/>
  <c r="AE160" i="37" s="1"/>
  <c r="AB160" i="37"/>
  <c r="AA161" i="37"/>
  <c r="AB161" i="37"/>
  <c r="AA162" i="37"/>
  <c r="AB162" i="37"/>
  <c r="AA163" i="37"/>
  <c r="AE163" i="37" s="1"/>
  <c r="AB163" i="37"/>
  <c r="AA164" i="37"/>
  <c r="AE164" i="37" s="1"/>
  <c r="AB164" i="37"/>
  <c r="AA165" i="37"/>
  <c r="AB165" i="37"/>
  <c r="AA166" i="37"/>
  <c r="AE166" i="37" s="1"/>
  <c r="AB166" i="37"/>
  <c r="AA167" i="37"/>
  <c r="AE167" i="37" s="1"/>
  <c r="AB167" i="37"/>
  <c r="AA168" i="37"/>
  <c r="AB168" i="37"/>
  <c r="AA169" i="37"/>
  <c r="AI169" i="37" s="1"/>
  <c r="AB169" i="37"/>
  <c r="AA170" i="37"/>
  <c r="AB170" i="37"/>
  <c r="AA171" i="37"/>
  <c r="AB171" i="37"/>
  <c r="AA172" i="37"/>
  <c r="AE172" i="37" s="1"/>
  <c r="AB172" i="37"/>
  <c r="AA173" i="37"/>
  <c r="AB173" i="37"/>
  <c r="AA174" i="37"/>
  <c r="AB174" i="37"/>
  <c r="AA175" i="37"/>
  <c r="AE175" i="37" s="1"/>
  <c r="AB175" i="37"/>
  <c r="AA176" i="37"/>
  <c r="AE176" i="37" s="1"/>
  <c r="AB176" i="37"/>
  <c r="AA177" i="37"/>
  <c r="AB177" i="37"/>
  <c r="AA178" i="37"/>
  <c r="AB178" i="37"/>
  <c r="AA179" i="37"/>
  <c r="AE179" i="37" s="1"/>
  <c r="AB179" i="37"/>
  <c r="AA180" i="37"/>
  <c r="AB180" i="37"/>
  <c r="AA181" i="37"/>
  <c r="AB181" i="37"/>
  <c r="AA182" i="37"/>
  <c r="AE182" i="37" s="1"/>
  <c r="AB182" i="37"/>
  <c r="AA183" i="37"/>
  <c r="AB183" i="37"/>
  <c r="AA184" i="37"/>
  <c r="AB184" i="37"/>
  <c r="AA185" i="37"/>
  <c r="AI185" i="37" s="1"/>
  <c r="AB185" i="37"/>
  <c r="AA186" i="37"/>
  <c r="AB186" i="37"/>
  <c r="AA187" i="37"/>
  <c r="AB187" i="37"/>
  <c r="AA188" i="37"/>
  <c r="AE188" i="37" s="1"/>
  <c r="AB188" i="37"/>
  <c r="AA189" i="37"/>
  <c r="AE189" i="37" s="1"/>
  <c r="AB189" i="37"/>
  <c r="AA190" i="37"/>
  <c r="AB190" i="37"/>
  <c r="AA191" i="37"/>
  <c r="AB191" i="37"/>
  <c r="AA192" i="37"/>
  <c r="AE192" i="37" s="1"/>
  <c r="AB192" i="37"/>
  <c r="AA193" i="37"/>
  <c r="AI193" i="37" s="1"/>
  <c r="AB193" i="37"/>
  <c r="AA194" i="37"/>
  <c r="AI194" i="37" s="1"/>
  <c r="AB194" i="37"/>
  <c r="AA195" i="37"/>
  <c r="AI195" i="37" s="1"/>
  <c r="AB195" i="37"/>
  <c r="AB150" i="37"/>
  <c r="AA150" i="37"/>
  <c r="AH129" i="37"/>
  <c r="AH130" i="37"/>
  <c r="AH131" i="37" s="1"/>
  <c r="AH109" i="37"/>
  <c r="AH110" i="37"/>
  <c r="AH111" i="37" s="1"/>
  <c r="AA74" i="37"/>
  <c r="AB74" i="37"/>
  <c r="AA75" i="37"/>
  <c r="AE75" i="37" s="1"/>
  <c r="AB75" i="37"/>
  <c r="AA76" i="37"/>
  <c r="AE76" i="37" s="1"/>
  <c r="AB76" i="37"/>
  <c r="AA77" i="37"/>
  <c r="AE77" i="37" s="1"/>
  <c r="AB77" i="37"/>
  <c r="AA78" i="37"/>
  <c r="AB78" i="37"/>
  <c r="AA79" i="37"/>
  <c r="AE79" i="37" s="1"/>
  <c r="AB79" i="37"/>
  <c r="AA80" i="37"/>
  <c r="AE80" i="37" s="1"/>
  <c r="AB80" i="37"/>
  <c r="AA81" i="37"/>
  <c r="AE81" i="37" s="1"/>
  <c r="AB81" i="37"/>
  <c r="AA82" i="37"/>
  <c r="AB82" i="37"/>
  <c r="AA83" i="37"/>
  <c r="AB83" i="37"/>
  <c r="AA84" i="37"/>
  <c r="AE84" i="37" s="1"/>
  <c r="AB84" i="37"/>
  <c r="AA85" i="37"/>
  <c r="AE85" i="37" s="1"/>
  <c r="AB85" i="37"/>
  <c r="AA86" i="37"/>
  <c r="AB86" i="37"/>
  <c r="AA87" i="37"/>
  <c r="AE87" i="37" s="1"/>
  <c r="AB87" i="37"/>
  <c r="AA88" i="37"/>
  <c r="AE88" i="37" s="1"/>
  <c r="AB88" i="37"/>
  <c r="AA89" i="37"/>
  <c r="AE89" i="37" s="1"/>
  <c r="AB89" i="37"/>
  <c r="AA90" i="37"/>
  <c r="AB90" i="37"/>
  <c r="AA91" i="37"/>
  <c r="AE91" i="37" s="1"/>
  <c r="AB91" i="37"/>
  <c r="AA92" i="37"/>
  <c r="AB92" i="37"/>
  <c r="AA93" i="37"/>
  <c r="AE93" i="37" s="1"/>
  <c r="AB93" i="37"/>
  <c r="AA94" i="37"/>
  <c r="AB94" i="37"/>
  <c r="AA95" i="37"/>
  <c r="AE95" i="37" s="1"/>
  <c r="AB95" i="37"/>
  <c r="AA96" i="37"/>
  <c r="AE96" i="37" s="1"/>
  <c r="AB96" i="37"/>
  <c r="AA97" i="37"/>
  <c r="AE97" i="37" s="1"/>
  <c r="AB97" i="37"/>
  <c r="AA98" i="37"/>
  <c r="AB98" i="37"/>
  <c r="AA99" i="37"/>
  <c r="AE99" i="37" s="1"/>
  <c r="AB99" i="37"/>
  <c r="AA100" i="37"/>
  <c r="AE100" i="37" s="1"/>
  <c r="AB100" i="37"/>
  <c r="AA101" i="37"/>
  <c r="AE101" i="37" s="1"/>
  <c r="AB101" i="37"/>
  <c r="AA102" i="37"/>
  <c r="AB102" i="37"/>
  <c r="AA103" i="37"/>
  <c r="AI103" i="37" s="1"/>
  <c r="AB103" i="37"/>
  <c r="AA104" i="37"/>
  <c r="AI104" i="37" s="1"/>
  <c r="AB104" i="37"/>
  <c r="AA105" i="37"/>
  <c r="AH51" i="37"/>
  <c r="AH52" i="37"/>
  <c r="AH53" i="37" s="1"/>
  <c r="AA8" i="37"/>
  <c r="AI8" i="37" s="1"/>
  <c r="AB8" i="37"/>
  <c r="AA9" i="37"/>
  <c r="AE9" i="37" s="1"/>
  <c r="AB9" i="37"/>
  <c r="AA10" i="37"/>
  <c r="AI10" i="37" s="1"/>
  <c r="AB10" i="37"/>
  <c r="AA11" i="37"/>
  <c r="AE11" i="37" s="1"/>
  <c r="AB11" i="37"/>
  <c r="AA12" i="37"/>
  <c r="AI12" i="37" s="1"/>
  <c r="AB12" i="37"/>
  <c r="AA13" i="37"/>
  <c r="AE13" i="37" s="1"/>
  <c r="AB13" i="37"/>
  <c r="AA14" i="37"/>
  <c r="AI14" i="37" s="1"/>
  <c r="AB14" i="37"/>
  <c r="AA15" i="37"/>
  <c r="AE15" i="37" s="1"/>
  <c r="AB15" i="37"/>
  <c r="AA16" i="37"/>
  <c r="AI16" i="37" s="1"/>
  <c r="AB16" i="37"/>
  <c r="AA17" i="37"/>
  <c r="AE17" i="37" s="1"/>
  <c r="AB17" i="37"/>
  <c r="AA18" i="37"/>
  <c r="AI18" i="37" s="1"/>
  <c r="AB18" i="37"/>
  <c r="AA19" i="37"/>
  <c r="AE19" i="37" s="1"/>
  <c r="AB19" i="37"/>
  <c r="AA20" i="37"/>
  <c r="AI20" i="37" s="1"/>
  <c r="AB20" i="37"/>
  <c r="AA21" i="37"/>
  <c r="AE21" i="37" s="1"/>
  <c r="AB21" i="37"/>
  <c r="AA22" i="37"/>
  <c r="AI22" i="37" s="1"/>
  <c r="AB22" i="37"/>
  <c r="AA23" i="37"/>
  <c r="AE23" i="37" s="1"/>
  <c r="AB23" i="37"/>
  <c r="AA24" i="37"/>
  <c r="AI24" i="37" s="1"/>
  <c r="AB24" i="37"/>
  <c r="AA25" i="37"/>
  <c r="AE25" i="37" s="1"/>
  <c r="AB25" i="37"/>
  <c r="AA26" i="37"/>
  <c r="AB26" i="37"/>
  <c r="AA27" i="37"/>
  <c r="AE27" i="37" s="1"/>
  <c r="AB27" i="37"/>
  <c r="AA28" i="37"/>
  <c r="AI28" i="37" s="1"/>
  <c r="AB28" i="37"/>
  <c r="AA29" i="37"/>
  <c r="AE29" i="37" s="1"/>
  <c r="AB29" i="37"/>
  <c r="AA30" i="37"/>
  <c r="AI30" i="37" s="1"/>
  <c r="AB30" i="37"/>
  <c r="AA31" i="37"/>
  <c r="AE31" i="37" s="1"/>
  <c r="AB31" i="37"/>
  <c r="AA32" i="37"/>
  <c r="AI32" i="37" s="1"/>
  <c r="AB32" i="37"/>
  <c r="AA33" i="37"/>
  <c r="AI33" i="37" s="1"/>
  <c r="AB33" i="37"/>
  <c r="AA34" i="37"/>
  <c r="AE34" i="37" s="1"/>
  <c r="AB34" i="37"/>
  <c r="AA35" i="37"/>
  <c r="AE35" i="37" s="1"/>
  <c r="AB35" i="37"/>
  <c r="AA36" i="37"/>
  <c r="AE36" i="37" s="1"/>
  <c r="AB36" i="37"/>
  <c r="AA37" i="37"/>
  <c r="AE37" i="37" s="1"/>
  <c r="AB37" i="37"/>
  <c r="AA38" i="37"/>
  <c r="AE38" i="37" s="1"/>
  <c r="AB38" i="37"/>
  <c r="AA39" i="37"/>
  <c r="AE39" i="37" s="1"/>
  <c r="AB39" i="37"/>
  <c r="AA40" i="37"/>
  <c r="AE40" i="37" s="1"/>
  <c r="AB40" i="37"/>
  <c r="AA41" i="37"/>
  <c r="AE41" i="37" s="1"/>
  <c r="AB41" i="37"/>
  <c r="AA42" i="37"/>
  <c r="AE42" i="37" s="1"/>
  <c r="AB42" i="37"/>
  <c r="AA43" i="37"/>
  <c r="AE43" i="37" s="1"/>
  <c r="AB43" i="37"/>
  <c r="AA44" i="37"/>
  <c r="AE44" i="37" s="1"/>
  <c r="AB44" i="37"/>
  <c r="AA45" i="37"/>
  <c r="AE45" i="37" s="1"/>
  <c r="AB45" i="37"/>
  <c r="AA46" i="37"/>
  <c r="AI46" i="37" s="1"/>
  <c r="AB46" i="37"/>
  <c r="AA47" i="37"/>
  <c r="O296" i="37"/>
  <c r="O297" i="37"/>
  <c r="O298" i="37" s="1"/>
  <c r="H292" i="37"/>
  <c r="I291" i="37"/>
  <c r="H291" i="37"/>
  <c r="I290" i="37"/>
  <c r="H290" i="37"/>
  <c r="I289" i="37"/>
  <c r="H289" i="37"/>
  <c r="I288" i="37"/>
  <c r="H288" i="37"/>
  <c r="I287" i="37"/>
  <c r="H287" i="37"/>
  <c r="I286" i="37"/>
  <c r="H286" i="37"/>
  <c r="I285" i="37"/>
  <c r="H285" i="37"/>
  <c r="I284" i="37"/>
  <c r="H284" i="37"/>
  <c r="I283" i="37"/>
  <c r="H283" i="37"/>
  <c r="I282" i="37"/>
  <c r="H282" i="37"/>
  <c r="I281" i="37"/>
  <c r="H281" i="37"/>
  <c r="O234" i="37"/>
  <c r="O235" i="37"/>
  <c r="O236" i="37" s="1"/>
  <c r="O253" i="37"/>
  <c r="O254" i="37"/>
  <c r="O255" i="37" s="1"/>
  <c r="O272" i="37"/>
  <c r="O273" i="37"/>
  <c r="O274" i="37" s="1"/>
  <c r="H211" i="37"/>
  <c r="I211" i="37"/>
  <c r="H212" i="37"/>
  <c r="I212" i="37"/>
  <c r="H213" i="37"/>
  <c r="L213" i="37" s="1"/>
  <c r="I213" i="37"/>
  <c r="H214" i="37"/>
  <c r="L214" i="37" s="1"/>
  <c r="I214" i="37"/>
  <c r="H215" i="37"/>
  <c r="I215" i="37"/>
  <c r="H216" i="37"/>
  <c r="I216" i="37"/>
  <c r="H217" i="37"/>
  <c r="L217" i="37" s="1"/>
  <c r="I217" i="37"/>
  <c r="H218" i="37"/>
  <c r="L218" i="37" s="1"/>
  <c r="I218" i="37"/>
  <c r="H219" i="37"/>
  <c r="I219" i="37"/>
  <c r="H220" i="37"/>
  <c r="I220" i="37"/>
  <c r="H221" i="37"/>
  <c r="L221" i="37" s="1"/>
  <c r="I221" i="37"/>
  <c r="H222" i="37"/>
  <c r="P222" i="37" s="1"/>
  <c r="I222" i="37"/>
  <c r="H223" i="37"/>
  <c r="P223" i="37" s="1"/>
  <c r="I223" i="37"/>
  <c r="H224" i="37"/>
  <c r="P224" i="37" s="1"/>
  <c r="I224" i="37"/>
  <c r="H225" i="37"/>
  <c r="P225" i="37" s="1"/>
  <c r="I225" i="37"/>
  <c r="H226" i="37"/>
  <c r="L226" i="37" s="1"/>
  <c r="I226" i="37"/>
  <c r="H227" i="37"/>
  <c r="P227" i="37" s="1"/>
  <c r="I227" i="37"/>
  <c r="H228" i="37"/>
  <c r="P228" i="37" s="1"/>
  <c r="I228" i="37"/>
  <c r="H229" i="37"/>
  <c r="P229" i="37" s="1"/>
  <c r="I229" i="37"/>
  <c r="H230" i="37"/>
  <c r="L230" i="37" s="1"/>
  <c r="I230" i="37"/>
  <c r="H231" i="37"/>
  <c r="I210" i="37"/>
  <c r="H210" i="37"/>
  <c r="O202" i="37"/>
  <c r="O203" i="37"/>
  <c r="O204" i="37" s="1"/>
  <c r="O184" i="37"/>
  <c r="O185" i="37"/>
  <c r="O186" i="37" s="1"/>
  <c r="O148" i="37"/>
  <c r="O149" i="37"/>
  <c r="O150" i="37" s="1"/>
  <c r="O131" i="37"/>
  <c r="O132" i="37"/>
  <c r="O133" i="37" s="1"/>
  <c r="O72" i="37"/>
  <c r="O73" i="37"/>
  <c r="O74" i="37" s="1"/>
  <c r="O89" i="37"/>
  <c r="O90" i="37"/>
  <c r="O91" i="37" s="1"/>
  <c r="H49" i="37"/>
  <c r="I49" i="37"/>
  <c r="H50" i="37"/>
  <c r="I50" i="37"/>
  <c r="H51" i="37"/>
  <c r="L51" i="37" s="1"/>
  <c r="I51" i="37"/>
  <c r="H52" i="37"/>
  <c r="L52" i="37" s="1"/>
  <c r="I52" i="37"/>
  <c r="H53" i="37"/>
  <c r="L53" i="37" s="1"/>
  <c r="I53" i="37"/>
  <c r="H54" i="37"/>
  <c r="L54" i="37" s="1"/>
  <c r="I54" i="37"/>
  <c r="H55" i="37"/>
  <c r="L55" i="37" s="1"/>
  <c r="I55" i="37"/>
  <c r="H56" i="37"/>
  <c r="L56" i="37" s="1"/>
  <c r="I56" i="37"/>
  <c r="H57" i="37"/>
  <c r="L57" i="37" s="1"/>
  <c r="I57" i="37"/>
  <c r="H58" i="37"/>
  <c r="I58" i="37"/>
  <c r="H59" i="37"/>
  <c r="L59" i="37" s="1"/>
  <c r="I59" i="37"/>
  <c r="H60" i="37"/>
  <c r="I60" i="37"/>
  <c r="H61" i="37"/>
  <c r="I61" i="37"/>
  <c r="H62" i="37"/>
  <c r="L62" i="37" s="1"/>
  <c r="I62" i="37"/>
  <c r="H63" i="37"/>
  <c r="I63" i="37"/>
  <c r="H64" i="37"/>
  <c r="L64" i="37" s="1"/>
  <c r="I64" i="37"/>
  <c r="H65" i="37"/>
  <c r="L65" i="37" s="1"/>
  <c r="I65" i="37"/>
  <c r="H66" i="37"/>
  <c r="L66" i="37" s="1"/>
  <c r="I66" i="37"/>
  <c r="H67" i="37"/>
  <c r="I67" i="37"/>
  <c r="H68" i="37"/>
  <c r="I68" i="37"/>
  <c r="H69" i="37"/>
  <c r="L69" i="37" s="1"/>
  <c r="I69" i="37"/>
  <c r="H70" i="37"/>
  <c r="O29" i="37"/>
  <c r="O30" i="37"/>
  <c r="O31" i="37" s="1"/>
  <c r="H8" i="37"/>
  <c r="I8" i="37"/>
  <c r="H9" i="37"/>
  <c r="I9" i="37"/>
  <c r="H10" i="37"/>
  <c r="L10" i="37" s="1"/>
  <c r="I10" i="37"/>
  <c r="H11" i="37"/>
  <c r="L11" i="37" s="1"/>
  <c r="I11" i="37"/>
  <c r="H12" i="37"/>
  <c r="I12" i="37"/>
  <c r="H13" i="37"/>
  <c r="I13" i="37"/>
  <c r="H14" i="37"/>
  <c r="L14" i="37" s="1"/>
  <c r="I14" i="37"/>
  <c r="H15" i="37"/>
  <c r="L15" i="37" s="1"/>
  <c r="I15" i="37"/>
  <c r="H16" i="37"/>
  <c r="I16" i="37"/>
  <c r="H17" i="37"/>
  <c r="I17" i="37"/>
  <c r="H18" i="37"/>
  <c r="L18" i="37" s="1"/>
  <c r="I18" i="37"/>
  <c r="H19" i="37"/>
  <c r="L19" i="37" s="1"/>
  <c r="I19" i="37"/>
  <c r="H20" i="37"/>
  <c r="I20" i="37"/>
  <c r="H21" i="37"/>
  <c r="I21" i="37"/>
  <c r="H22" i="37"/>
  <c r="P22" i="37" s="1"/>
  <c r="I22" i="37"/>
  <c r="H23" i="37"/>
  <c r="P23" i="37" s="1"/>
  <c r="I23" i="37"/>
  <c r="H24" i="37"/>
  <c r="P24" i="37" s="1"/>
  <c r="I24" i="37"/>
  <c r="H25" i="37"/>
  <c r="I25" i="37"/>
  <c r="H26" i="37"/>
  <c r="P157" i="39"/>
  <c r="P152" i="39"/>
  <c r="P149" i="39"/>
  <c r="P146" i="39"/>
  <c r="P141" i="39"/>
  <c r="P140" i="39"/>
  <c r="P138" i="39"/>
  <c r="P134" i="39"/>
  <c r="I133" i="39"/>
  <c r="I173" i="39" s="1"/>
  <c r="H133" i="39"/>
  <c r="O119" i="39"/>
  <c r="O120" i="39" s="1"/>
  <c r="O118" i="39"/>
  <c r="AA60" i="39"/>
  <c r="AB59" i="39"/>
  <c r="AA59" i="39"/>
  <c r="AB58" i="39"/>
  <c r="AA58" i="39"/>
  <c r="AE58" i="39" s="1"/>
  <c r="AB57" i="39"/>
  <c r="AA57" i="39"/>
  <c r="AE57" i="39" s="1"/>
  <c r="AB56" i="39"/>
  <c r="AA56" i="39"/>
  <c r="AE56" i="39" s="1"/>
  <c r="AB55" i="39"/>
  <c r="AA55" i="39"/>
  <c r="AB54" i="39"/>
  <c r="AA54" i="39"/>
  <c r="AE54" i="39" s="1"/>
  <c r="AB53" i="39"/>
  <c r="AA53" i="39"/>
  <c r="I52" i="39"/>
  <c r="H52" i="39"/>
  <c r="I14" i="39"/>
  <c r="H14" i="39"/>
  <c r="I13" i="39"/>
  <c r="H13" i="39"/>
  <c r="I12" i="39"/>
  <c r="H12" i="39"/>
  <c r="I11" i="39"/>
  <c r="H11" i="39"/>
  <c r="I10" i="39"/>
  <c r="H10" i="39"/>
  <c r="I9" i="39"/>
  <c r="H9" i="39"/>
  <c r="I8" i="39"/>
  <c r="H8" i="39"/>
  <c r="AB7" i="39"/>
  <c r="AA7" i="39"/>
  <c r="I7" i="39"/>
  <c r="H7" i="39"/>
  <c r="H191" i="38"/>
  <c r="I190" i="38"/>
  <c r="H190" i="38"/>
  <c r="L190" i="38" s="1"/>
  <c r="I189" i="38"/>
  <c r="H189" i="38"/>
  <c r="I188" i="38"/>
  <c r="H188" i="38"/>
  <c r="I187" i="38"/>
  <c r="H187" i="38"/>
  <c r="L187" i="38" s="1"/>
  <c r="I186" i="38"/>
  <c r="H186" i="38"/>
  <c r="L186" i="38" s="1"/>
  <c r="I185" i="38"/>
  <c r="H185" i="38"/>
  <c r="L185" i="38" s="1"/>
  <c r="I184" i="38"/>
  <c r="H184" i="38"/>
  <c r="L184" i="38" s="1"/>
  <c r="I183" i="38"/>
  <c r="H183" i="38"/>
  <c r="I182" i="38"/>
  <c r="H182" i="38"/>
  <c r="L182" i="38" s="1"/>
  <c r="I181" i="38"/>
  <c r="H181" i="38"/>
  <c r="I180" i="38"/>
  <c r="H180" i="38"/>
  <c r="L180" i="38" s="1"/>
  <c r="I179" i="38"/>
  <c r="H179" i="38"/>
  <c r="L179" i="38" s="1"/>
  <c r="I178" i="38"/>
  <c r="H178" i="38"/>
  <c r="L178" i="38" s="1"/>
  <c r="I177" i="38"/>
  <c r="H177" i="38"/>
  <c r="L177" i="38" s="1"/>
  <c r="I176" i="38"/>
  <c r="H176" i="38"/>
  <c r="L176" i="38" s="1"/>
  <c r="I175" i="38"/>
  <c r="H175" i="38"/>
  <c r="L175" i="38" s="1"/>
  <c r="I174" i="38"/>
  <c r="H174" i="38"/>
  <c r="L174" i="38" s="1"/>
  <c r="I173" i="38"/>
  <c r="H173" i="38"/>
  <c r="I172" i="38"/>
  <c r="H172" i="38"/>
  <c r="I113" i="38"/>
  <c r="H113" i="38"/>
  <c r="L113" i="38" s="1"/>
  <c r="I112" i="38"/>
  <c r="H112" i="38"/>
  <c r="L112" i="38" s="1"/>
  <c r="I111" i="38"/>
  <c r="H111" i="38"/>
  <c r="L111" i="38" s="1"/>
  <c r="I110" i="38"/>
  <c r="H110" i="38"/>
  <c r="L110" i="38" s="1"/>
  <c r="I109" i="38"/>
  <c r="H109" i="38"/>
  <c r="L109" i="38" s="1"/>
  <c r="I108" i="38"/>
  <c r="H108" i="38"/>
  <c r="L108" i="38" s="1"/>
  <c r="I107" i="38"/>
  <c r="H107" i="38"/>
  <c r="I106" i="38"/>
  <c r="H106" i="38"/>
  <c r="I105" i="38"/>
  <c r="H105" i="38"/>
  <c r="L105" i="38" s="1"/>
  <c r="I104" i="38"/>
  <c r="H104" i="38"/>
  <c r="L104" i="38" s="1"/>
  <c r="I103" i="38"/>
  <c r="H103" i="38"/>
  <c r="AC61" i="38"/>
  <c r="AB61" i="38"/>
  <c r="AF61" i="38" s="1"/>
  <c r="AC60" i="38"/>
  <c r="AB60" i="38"/>
  <c r="AJ60" i="38" s="1"/>
  <c r="AC59" i="38"/>
  <c r="AB59" i="38"/>
  <c r="AF59" i="38" s="1"/>
  <c r="AC58" i="38"/>
  <c r="AB58" i="38"/>
  <c r="AF58" i="38" s="1"/>
  <c r="AC57" i="38"/>
  <c r="AB57" i="38"/>
  <c r="AF57" i="38" s="1"/>
  <c r="AC56" i="38"/>
  <c r="AB56" i="38"/>
  <c r="AF56" i="38" s="1"/>
  <c r="AC55" i="38"/>
  <c r="AB55" i="38"/>
  <c r="AC54" i="38"/>
  <c r="AB54" i="38"/>
  <c r="AF54" i="38" s="1"/>
  <c r="AC53" i="38"/>
  <c r="AB53" i="38"/>
  <c r="AC52" i="38"/>
  <c r="AB52" i="38"/>
  <c r="AF52" i="38" s="1"/>
  <c r="AC51" i="38"/>
  <c r="AB51" i="38"/>
  <c r="I38" i="38"/>
  <c r="H38" i="38"/>
  <c r="AC7" i="38"/>
  <c r="AB7" i="38"/>
  <c r="I7" i="38"/>
  <c r="H7" i="38"/>
  <c r="H181" i="37"/>
  <c r="I180" i="37"/>
  <c r="H180" i="37"/>
  <c r="I179" i="37"/>
  <c r="H179" i="37"/>
  <c r="I178" i="37"/>
  <c r="H178" i="37"/>
  <c r="P178" i="37" s="1"/>
  <c r="I177" i="37"/>
  <c r="H177" i="37"/>
  <c r="I176" i="37"/>
  <c r="H176" i="37"/>
  <c r="L176" i="37" s="1"/>
  <c r="I175" i="37"/>
  <c r="H175" i="37"/>
  <c r="I174" i="37"/>
  <c r="H174" i="37"/>
  <c r="P174" i="37" s="1"/>
  <c r="I173" i="37"/>
  <c r="H173" i="37"/>
  <c r="P173" i="37" s="1"/>
  <c r="I172" i="37"/>
  <c r="H172" i="37"/>
  <c r="I171" i="37"/>
  <c r="H171" i="37"/>
  <c r="I170" i="37"/>
  <c r="H170" i="37"/>
  <c r="I169" i="37"/>
  <c r="H169" i="37"/>
  <c r="H126" i="37"/>
  <c r="I125" i="37"/>
  <c r="H125" i="37"/>
  <c r="L125" i="37" s="1"/>
  <c r="I124" i="37"/>
  <c r="H124" i="37"/>
  <c r="L124" i="37" s="1"/>
  <c r="I123" i="37"/>
  <c r="H123" i="37"/>
  <c r="P123" i="37" s="1"/>
  <c r="I122" i="37"/>
  <c r="H122" i="37"/>
  <c r="P122" i="37" s="1"/>
  <c r="I121" i="37"/>
  <c r="H121" i="37"/>
  <c r="I120" i="37"/>
  <c r="H120" i="37"/>
  <c r="P120" i="37" s="1"/>
  <c r="I119" i="37"/>
  <c r="H119" i="37"/>
  <c r="I118" i="37"/>
  <c r="H118" i="37"/>
  <c r="P118" i="37" s="1"/>
  <c r="I117" i="37"/>
  <c r="H117" i="37"/>
  <c r="P117" i="37" s="1"/>
  <c r="I116" i="37"/>
  <c r="H116" i="37"/>
  <c r="P116" i="37" s="1"/>
  <c r="I115" i="37"/>
  <c r="H115" i="37"/>
  <c r="P115" i="37" s="1"/>
  <c r="I114" i="37"/>
  <c r="H114" i="37"/>
  <c r="P114" i="37" s="1"/>
  <c r="I113" i="37"/>
  <c r="H113" i="37"/>
  <c r="P113" i="37" s="1"/>
  <c r="I112" i="37"/>
  <c r="H112" i="37"/>
  <c r="I111" i="37"/>
  <c r="H111" i="37"/>
  <c r="AB73" i="37"/>
  <c r="AA73" i="37"/>
  <c r="I48" i="37"/>
  <c r="H48" i="37"/>
  <c r="AB7" i="37"/>
  <c r="AA7" i="37"/>
  <c r="I7" i="37"/>
  <c r="H7" i="37"/>
  <c r="AB433" i="38" l="1"/>
  <c r="AC425" i="38"/>
  <c r="AC426" i="38"/>
  <c r="AC427" i="38" s="1"/>
  <c r="AC439" i="38"/>
  <c r="AC440" i="38"/>
  <c r="AC441" i="38" s="1"/>
  <c r="I136" i="37"/>
  <c r="I137" i="37"/>
  <c r="I138" i="37" s="1"/>
  <c r="AF379" i="38"/>
  <c r="AB420" i="38"/>
  <c r="AB421" i="38" s="1"/>
  <c r="AB413" i="38"/>
  <c r="AB419" i="38"/>
  <c r="AF391" i="38"/>
  <c r="AB440" i="38"/>
  <c r="AB441" i="38" s="1"/>
  <c r="AB439" i="38"/>
  <c r="AF380" i="38"/>
  <c r="AB426" i="38"/>
  <c r="AB427" i="38" s="1"/>
  <c r="AB425" i="38"/>
  <c r="AB446" i="38"/>
  <c r="AB447" i="38" s="1"/>
  <c r="AB445" i="38"/>
  <c r="H136" i="37"/>
  <c r="AC445" i="38"/>
  <c r="AC446" i="38"/>
  <c r="AC447" i="38" s="1"/>
  <c r="AE151" i="37"/>
  <c r="AA210" i="37"/>
  <c r="AA211" i="37" s="1"/>
  <c r="AA209" i="37"/>
  <c r="AA215" i="37"/>
  <c r="AA216" i="37"/>
  <c r="AA217" i="37" s="1"/>
  <c r="AB209" i="37"/>
  <c r="AB210" i="37"/>
  <c r="AB211" i="37" s="1"/>
  <c r="AB215" i="37"/>
  <c r="AB216" i="37"/>
  <c r="AB217" i="37" s="1"/>
  <c r="AA121" i="37"/>
  <c r="AA122" i="37"/>
  <c r="AA123" i="37" s="1"/>
  <c r="AB141" i="37"/>
  <c r="AB142" i="37"/>
  <c r="AB143" i="37" s="1"/>
  <c r="AE92" i="37"/>
  <c r="AA142" i="37"/>
  <c r="AA143" i="37" s="1"/>
  <c r="AA141" i="37"/>
  <c r="AB115" i="37"/>
  <c r="AB116" i="37"/>
  <c r="AB117" i="37" s="1"/>
  <c r="AB135" i="37"/>
  <c r="AB136" i="37"/>
  <c r="AB137" i="37" s="1"/>
  <c r="AB121" i="37"/>
  <c r="AB122" i="37"/>
  <c r="AB123" i="37" s="1"/>
  <c r="AA136" i="37"/>
  <c r="AA137" i="37" s="1"/>
  <c r="AA135" i="37"/>
  <c r="AE83" i="37"/>
  <c r="AA116" i="37"/>
  <c r="AA117" i="37" s="1"/>
  <c r="AA115" i="37"/>
  <c r="AA64" i="37"/>
  <c r="AA65" i="37" s="1"/>
  <c r="AA63" i="37"/>
  <c r="I308" i="37"/>
  <c r="I309" i="37"/>
  <c r="I310" i="37" s="1"/>
  <c r="H302" i="37"/>
  <c r="H303" i="37"/>
  <c r="H304" i="37" s="1"/>
  <c r="I302" i="37"/>
  <c r="I303" i="37"/>
  <c r="I304" i="37" s="1"/>
  <c r="AI26" i="37"/>
  <c r="AA57" i="37"/>
  <c r="AA58" i="37"/>
  <c r="AA59" i="37" s="1"/>
  <c r="AB63" i="37"/>
  <c r="AB64" i="37"/>
  <c r="AB65" i="37" s="1"/>
  <c r="H309" i="37"/>
  <c r="H310" i="37" s="1"/>
  <c r="H308" i="37"/>
  <c r="AB57" i="37"/>
  <c r="AB58" i="37"/>
  <c r="AB59" i="37" s="1"/>
  <c r="H266" i="37"/>
  <c r="H267" i="37" s="1"/>
  <c r="H265" i="37"/>
  <c r="H259" i="37"/>
  <c r="H260" i="37"/>
  <c r="H261" i="37" s="1"/>
  <c r="I265" i="37"/>
  <c r="I266" i="37"/>
  <c r="I267" i="37" s="1"/>
  <c r="I259" i="37"/>
  <c r="I260" i="37"/>
  <c r="I261" i="37" s="1"/>
  <c r="L210" i="37"/>
  <c r="H240" i="37"/>
  <c r="H241" i="37" s="1"/>
  <c r="H239" i="37"/>
  <c r="I239" i="37"/>
  <c r="I240" i="37"/>
  <c r="I241" i="37" s="1"/>
  <c r="I245" i="37"/>
  <c r="I246" i="37"/>
  <c r="I247" i="37" s="1"/>
  <c r="H245" i="37"/>
  <c r="H246" i="37"/>
  <c r="H247" i="37" s="1"/>
  <c r="I190" i="37"/>
  <c r="I191" i="37"/>
  <c r="I192" i="37" s="1"/>
  <c r="P170" i="37"/>
  <c r="H196" i="37"/>
  <c r="H197" i="37"/>
  <c r="H198" i="37" s="1"/>
  <c r="I196" i="37"/>
  <c r="I197" i="37"/>
  <c r="I198" i="37" s="1"/>
  <c r="H191" i="37"/>
  <c r="H192" i="37" s="1"/>
  <c r="H190" i="37"/>
  <c r="P112" i="37"/>
  <c r="H142" i="37"/>
  <c r="H143" i="37"/>
  <c r="H144" i="37" s="1"/>
  <c r="I142" i="37"/>
  <c r="I143" i="37"/>
  <c r="I144" i="37" s="1"/>
  <c r="H137" i="37"/>
  <c r="H138" i="37" s="1"/>
  <c r="H155" i="37"/>
  <c r="H156" i="37" s="1"/>
  <c r="H154" i="37"/>
  <c r="P121" i="37"/>
  <c r="H161" i="37"/>
  <c r="H162" i="37" s="1"/>
  <c r="H160" i="37"/>
  <c r="I154" i="37"/>
  <c r="I155" i="37"/>
  <c r="I156" i="37" s="1"/>
  <c r="I160" i="37"/>
  <c r="I161" i="37"/>
  <c r="I162" i="37" s="1"/>
  <c r="I101" i="37"/>
  <c r="I102" i="37"/>
  <c r="P60" i="37"/>
  <c r="H102" i="37"/>
  <c r="H101" i="37"/>
  <c r="H78" i="37"/>
  <c r="H79" i="37" s="1"/>
  <c r="H77" i="37"/>
  <c r="I95" i="37"/>
  <c r="I96" i="37"/>
  <c r="I97" i="37" s="1"/>
  <c r="I83" i="37"/>
  <c r="I84" i="37"/>
  <c r="I85" i="37" s="1"/>
  <c r="I77" i="37"/>
  <c r="I78" i="37"/>
  <c r="I79" i="37" s="1"/>
  <c r="L61" i="37"/>
  <c r="H96" i="37"/>
  <c r="H97" i="37" s="1"/>
  <c r="H95" i="37"/>
  <c r="H84" i="37"/>
  <c r="H85" i="37" s="1"/>
  <c r="H83" i="37"/>
  <c r="L68" i="37"/>
  <c r="P50" i="37"/>
  <c r="L49" i="37"/>
  <c r="I35" i="37"/>
  <c r="I36" i="37"/>
  <c r="I37" i="37" s="1"/>
  <c r="I41" i="37"/>
  <c r="I42" i="37"/>
  <c r="I43" i="37" s="1"/>
  <c r="H36" i="37"/>
  <c r="H37" i="37" s="1"/>
  <c r="H35" i="37"/>
  <c r="H42" i="37"/>
  <c r="H43" i="37" s="1"/>
  <c r="H41" i="37"/>
  <c r="AE182" i="39"/>
  <c r="AE183" i="39"/>
  <c r="AE184" i="39" s="1"/>
  <c r="AI182" i="39"/>
  <c r="AI183" i="39"/>
  <c r="AI184" i="39" s="1"/>
  <c r="AE188" i="39"/>
  <c r="AE189" i="39"/>
  <c r="AE190" i="39" s="1"/>
  <c r="AI188" i="39"/>
  <c r="AI189" i="39"/>
  <c r="AI190" i="39" s="1"/>
  <c r="AF148" i="39"/>
  <c r="AG188" i="39"/>
  <c r="AG189" i="39"/>
  <c r="AG190" i="39" s="1"/>
  <c r="AF149" i="39"/>
  <c r="AG182" i="39"/>
  <c r="AG183" i="39"/>
  <c r="AG184" i="39" s="1"/>
  <c r="AI163" i="39"/>
  <c r="AI164" i="39"/>
  <c r="AI165" i="39" s="1"/>
  <c r="AE163" i="39"/>
  <c r="AE164" i="39"/>
  <c r="AE165" i="39" s="1"/>
  <c r="AF139" i="39"/>
  <c r="AG164" i="39"/>
  <c r="AG165" i="39" s="1"/>
  <c r="AG163" i="39"/>
  <c r="AB132" i="39"/>
  <c r="AB169" i="39" s="1"/>
  <c r="AA132" i="39"/>
  <c r="AA169" i="39" s="1"/>
  <c r="AG107" i="39"/>
  <c r="AG108" i="39" s="1"/>
  <c r="AG106" i="39"/>
  <c r="AI106" i="39"/>
  <c r="AI107" i="39"/>
  <c r="AI108" i="39" s="1"/>
  <c r="AD74" i="39"/>
  <c r="AG112" i="39"/>
  <c r="AG113" i="39"/>
  <c r="AG114" i="39" s="1"/>
  <c r="AE106" i="39"/>
  <c r="AE107" i="39"/>
  <c r="AE108" i="39" s="1"/>
  <c r="AE130" i="39"/>
  <c r="AE131" i="39"/>
  <c r="AI124" i="39"/>
  <c r="AI125" i="39"/>
  <c r="AI126" i="39" s="1"/>
  <c r="AF85" i="39"/>
  <c r="AG130" i="39"/>
  <c r="AG131" i="39"/>
  <c r="AI130" i="39"/>
  <c r="AI131" i="39"/>
  <c r="AH114" i="39"/>
  <c r="AI112" i="39"/>
  <c r="AI113" i="39"/>
  <c r="AI114" i="39" s="1"/>
  <c r="AG124" i="39"/>
  <c r="AG125" i="39"/>
  <c r="AG126" i="39" s="1"/>
  <c r="AE124" i="39"/>
  <c r="AE125" i="39"/>
  <c r="AE126" i="39" s="1"/>
  <c r="AE112" i="39"/>
  <c r="AE113" i="39"/>
  <c r="AF77" i="39"/>
  <c r="AF79" i="39"/>
  <c r="M201" i="39"/>
  <c r="N233" i="39"/>
  <c r="N234" i="39"/>
  <c r="N235" i="39" s="1"/>
  <c r="P258" i="39"/>
  <c r="P259" i="39"/>
  <c r="P260" i="39" s="1"/>
  <c r="M215" i="39"/>
  <c r="N258" i="39"/>
  <c r="N259" i="39"/>
  <c r="N260" i="39" s="1"/>
  <c r="L246" i="39"/>
  <c r="L247" i="39"/>
  <c r="L248" i="39" s="1"/>
  <c r="L252" i="39"/>
  <c r="L253" i="39"/>
  <c r="L254" i="39" s="1"/>
  <c r="AC9" i="39"/>
  <c r="AG36" i="39"/>
  <c r="AG37" i="39"/>
  <c r="AG38" i="39" s="1"/>
  <c r="L258" i="39"/>
  <c r="L259" i="39"/>
  <c r="L260" i="39" s="1"/>
  <c r="AA42" i="39"/>
  <c r="AA30" i="39"/>
  <c r="AA43" i="39"/>
  <c r="L239" i="39"/>
  <c r="L240" i="39"/>
  <c r="L241" i="39" s="1"/>
  <c r="P239" i="39"/>
  <c r="P240" i="39"/>
  <c r="P241" i="39" s="1"/>
  <c r="P246" i="39"/>
  <c r="P247" i="39"/>
  <c r="P248" i="39" s="1"/>
  <c r="P252" i="39"/>
  <c r="P253" i="39"/>
  <c r="P254" i="39" s="1"/>
  <c r="AB30" i="39"/>
  <c r="AB42" i="39"/>
  <c r="AB43" i="39"/>
  <c r="N239" i="39"/>
  <c r="N240" i="39"/>
  <c r="N241" i="39" s="1"/>
  <c r="N252" i="39"/>
  <c r="N253" i="39"/>
  <c r="N254" i="39" s="1"/>
  <c r="N246" i="39"/>
  <c r="N247" i="39"/>
  <c r="N248" i="39" s="1"/>
  <c r="P233" i="39"/>
  <c r="P234" i="39"/>
  <c r="P235" i="39" s="1"/>
  <c r="AI36" i="39"/>
  <c r="AI37" i="39"/>
  <c r="AI38" i="39" s="1"/>
  <c r="AE36" i="39"/>
  <c r="AE37" i="39"/>
  <c r="AE38" i="39" s="1"/>
  <c r="L233" i="39"/>
  <c r="L234" i="39"/>
  <c r="L235" i="39" s="1"/>
  <c r="M204" i="39"/>
  <c r="L181" i="39"/>
  <c r="L182" i="39" s="1"/>
  <c r="J54" i="39"/>
  <c r="L191" i="39"/>
  <c r="L192" i="39"/>
  <c r="L193" i="39" s="1"/>
  <c r="L185" i="39"/>
  <c r="L186" i="39"/>
  <c r="L187" i="39" s="1"/>
  <c r="M145" i="39"/>
  <c r="N191" i="39"/>
  <c r="N192" i="39"/>
  <c r="N193" i="39" s="1"/>
  <c r="J146" i="39"/>
  <c r="N185" i="39"/>
  <c r="N186" i="39"/>
  <c r="N187" i="39" s="1"/>
  <c r="J107" i="39"/>
  <c r="L180" i="39"/>
  <c r="I174" i="39"/>
  <c r="I175" i="39" s="1"/>
  <c r="AD78" i="39"/>
  <c r="J138" i="39"/>
  <c r="N167" i="39"/>
  <c r="N168" i="39"/>
  <c r="N169" i="39" s="1"/>
  <c r="AC16" i="39"/>
  <c r="AC78" i="39"/>
  <c r="H174" i="39"/>
  <c r="H175" i="39" s="1"/>
  <c r="H173" i="39"/>
  <c r="L167" i="39"/>
  <c r="L168" i="39"/>
  <c r="L169" i="39" s="1"/>
  <c r="AF20" i="39"/>
  <c r="K149" i="39"/>
  <c r="AC82" i="39"/>
  <c r="M64" i="39"/>
  <c r="M58" i="39"/>
  <c r="K137" i="39"/>
  <c r="K66" i="39"/>
  <c r="J105" i="39"/>
  <c r="K101" i="39"/>
  <c r="M19" i="39"/>
  <c r="AF14" i="39"/>
  <c r="AF22" i="39"/>
  <c r="M66" i="39"/>
  <c r="K111" i="39"/>
  <c r="AD14" i="39"/>
  <c r="M54" i="39"/>
  <c r="K92" i="39"/>
  <c r="K136" i="39"/>
  <c r="J136" i="39"/>
  <c r="J53" i="39"/>
  <c r="J56" i="39"/>
  <c r="M141" i="39"/>
  <c r="K272" i="39"/>
  <c r="M70" i="39"/>
  <c r="J58" i="39"/>
  <c r="J110" i="39"/>
  <c r="J114" i="39"/>
  <c r="K140" i="39"/>
  <c r="J141" i="39"/>
  <c r="AC75" i="39"/>
  <c r="K15" i="39"/>
  <c r="J65" i="39"/>
  <c r="J102" i="39"/>
  <c r="AD20" i="39"/>
  <c r="K105" i="39"/>
  <c r="AD23" i="39"/>
  <c r="K53" i="39"/>
  <c r="AC11" i="39"/>
  <c r="K113" i="39"/>
  <c r="AF401" i="38"/>
  <c r="AF399" i="38"/>
  <c r="AC420" i="38"/>
  <c r="AC421" i="38" s="1"/>
  <c r="AC419" i="38"/>
  <c r="AF392" i="38"/>
  <c r="AF388" i="38"/>
  <c r="AF325" i="38"/>
  <c r="AB365" i="38"/>
  <c r="AB366" i="38" s="1"/>
  <c r="AB364" i="38"/>
  <c r="AB370" i="38"/>
  <c r="AB371" i="38"/>
  <c r="AB372" i="38" s="1"/>
  <c r="AC364" i="38"/>
  <c r="AC365" i="38"/>
  <c r="AC366" i="38" s="1"/>
  <c r="AC370" i="38"/>
  <c r="AC371" i="38"/>
  <c r="AC372" i="38" s="1"/>
  <c r="AB346" i="38"/>
  <c r="AB347" i="38" s="1"/>
  <c r="AB345" i="38"/>
  <c r="AF318" i="38"/>
  <c r="AB352" i="38"/>
  <c r="AB353" i="38" s="1"/>
  <c r="AB351" i="38"/>
  <c r="AC345" i="38"/>
  <c r="AC346" i="38"/>
  <c r="AC347" i="38" s="1"/>
  <c r="AC351" i="38"/>
  <c r="AC352" i="38"/>
  <c r="AC353" i="38" s="1"/>
  <c r="AF314" i="38"/>
  <c r="AC299" i="38"/>
  <c r="AC300" i="38"/>
  <c r="AC301" i="38" s="1"/>
  <c r="AC305" i="38"/>
  <c r="AC306" i="38"/>
  <c r="AC307" i="38" s="1"/>
  <c r="AF260" i="38"/>
  <c r="AB300" i="38"/>
  <c r="AB301" i="38" s="1"/>
  <c r="AB299" i="38"/>
  <c r="AB306" i="38"/>
  <c r="AB307" i="38" s="1"/>
  <c r="AB305" i="38"/>
  <c r="AC285" i="38"/>
  <c r="AC286" i="38"/>
  <c r="AC287" i="38" s="1"/>
  <c r="AB280" i="38"/>
  <c r="AB281" i="38" s="1"/>
  <c r="AB279" i="38"/>
  <c r="AC279" i="38"/>
  <c r="AC280" i="38"/>
  <c r="AC281" i="38" s="1"/>
  <c r="AF251" i="38"/>
  <c r="AB286" i="38"/>
  <c r="AB287" i="38" s="1"/>
  <c r="AB285" i="38"/>
  <c r="AC221" i="38"/>
  <c r="AC222" i="38"/>
  <c r="AC223" i="38" s="1"/>
  <c r="AB222" i="38"/>
  <c r="AB223" i="38" s="1"/>
  <c r="AB221" i="38"/>
  <c r="AB216" i="38"/>
  <c r="AB217" i="38" s="1"/>
  <c r="AB215" i="38"/>
  <c r="AB228" i="38"/>
  <c r="AB235" i="38"/>
  <c r="AB236" i="38" s="1"/>
  <c r="AB234" i="38"/>
  <c r="AB240" i="38"/>
  <c r="AB241" i="38"/>
  <c r="AB242" i="38" s="1"/>
  <c r="AC215" i="38"/>
  <c r="AC216" i="38"/>
  <c r="AC217" i="38" s="1"/>
  <c r="AC234" i="38"/>
  <c r="AC235" i="38"/>
  <c r="AC236" i="38" s="1"/>
  <c r="AC240" i="38"/>
  <c r="AC241" i="38"/>
  <c r="AC242" i="38" s="1"/>
  <c r="AF186" i="38"/>
  <c r="AC151" i="38"/>
  <c r="AC152" i="38"/>
  <c r="AC153" i="38" s="1"/>
  <c r="AC176" i="38"/>
  <c r="AC177" i="38"/>
  <c r="AC178" i="38" s="1"/>
  <c r="AF122" i="38"/>
  <c r="AB157" i="38"/>
  <c r="AB158" i="38"/>
  <c r="AB159" i="38" s="1"/>
  <c r="AB171" i="38"/>
  <c r="AB172" i="38" s="1"/>
  <c r="AB170" i="38"/>
  <c r="AC157" i="38"/>
  <c r="AC158" i="38"/>
  <c r="AC159" i="38" s="1"/>
  <c r="AC170" i="38"/>
  <c r="AC171" i="38"/>
  <c r="AC172" i="38" s="1"/>
  <c r="AB152" i="38"/>
  <c r="AB153" i="38" s="1"/>
  <c r="AB151" i="38"/>
  <c r="AF131" i="38"/>
  <c r="AB177" i="38"/>
  <c r="AB178" i="38" s="1"/>
  <c r="AB176" i="38"/>
  <c r="AF129" i="38"/>
  <c r="AB83" i="38"/>
  <c r="AB84" i="38"/>
  <c r="AB85" i="38" s="1"/>
  <c r="AF55" i="38"/>
  <c r="AB90" i="38"/>
  <c r="AB91" i="38" s="1"/>
  <c r="AB89" i="38"/>
  <c r="AC83" i="38"/>
  <c r="AC84" i="38"/>
  <c r="AC85" i="38" s="1"/>
  <c r="AC89" i="38"/>
  <c r="AC90" i="38"/>
  <c r="AC91" i="38" s="1"/>
  <c r="AF63" i="38"/>
  <c r="AB104" i="38"/>
  <c r="AB105" i="38" s="1"/>
  <c r="AB103" i="38"/>
  <c r="AB110" i="38"/>
  <c r="AB111" i="38" s="1"/>
  <c r="AB109" i="38"/>
  <c r="AB97" i="38"/>
  <c r="AC103" i="38"/>
  <c r="AC104" i="38"/>
  <c r="AC105" i="38" s="1"/>
  <c r="AC109" i="38"/>
  <c r="AC110" i="38"/>
  <c r="AC111" i="38" s="1"/>
  <c r="AF65" i="38"/>
  <c r="AB38" i="38"/>
  <c r="AB39" i="38" s="1"/>
  <c r="AB37" i="38"/>
  <c r="AC43" i="38"/>
  <c r="AC44" i="38"/>
  <c r="AC45" i="38" s="1"/>
  <c r="AC37" i="38"/>
  <c r="AC38" i="38"/>
  <c r="AC39" i="38" s="1"/>
  <c r="AF19" i="38"/>
  <c r="AB44" i="38"/>
  <c r="AB45" i="38" s="1"/>
  <c r="AB43" i="38"/>
  <c r="AF8" i="38"/>
  <c r="I484" i="38"/>
  <c r="I485" i="38"/>
  <c r="I486" i="38" s="1"/>
  <c r="I490" i="38"/>
  <c r="I491" i="38"/>
  <c r="I492" i="38" s="1"/>
  <c r="H491" i="38"/>
  <c r="H492" i="38" s="1"/>
  <c r="H490" i="38"/>
  <c r="H485" i="38"/>
  <c r="H486" i="38" s="1"/>
  <c r="H484" i="38"/>
  <c r="H471" i="38"/>
  <c r="H472" i="38"/>
  <c r="H473" i="38" s="1"/>
  <c r="I465" i="38"/>
  <c r="I466" i="38"/>
  <c r="I467" i="38" s="1"/>
  <c r="L451" i="38"/>
  <c r="I471" i="38"/>
  <c r="I472" i="38"/>
  <c r="I473" i="38" s="1"/>
  <c r="L452" i="38"/>
  <c r="H466" i="38"/>
  <c r="H467" i="38" s="1"/>
  <c r="H465" i="38"/>
  <c r="I398" i="38"/>
  <c r="I399" i="38"/>
  <c r="I400" i="38" s="1"/>
  <c r="I417" i="38"/>
  <c r="I418" i="38"/>
  <c r="I419" i="38" s="1"/>
  <c r="I404" i="38"/>
  <c r="I405" i="38"/>
  <c r="I406" i="38" s="1"/>
  <c r="I423" i="38"/>
  <c r="I424" i="38"/>
  <c r="I425" i="38" s="1"/>
  <c r="L433" i="38"/>
  <c r="H405" i="38"/>
  <c r="H406" i="38" s="1"/>
  <c r="H404" i="38"/>
  <c r="H424" i="38"/>
  <c r="H425" i="38" s="1"/>
  <c r="H423" i="38"/>
  <c r="H399" i="38"/>
  <c r="H400" i="38" s="1"/>
  <c r="H398" i="38"/>
  <c r="H417" i="38"/>
  <c r="H418" i="38"/>
  <c r="H419" i="38" s="1"/>
  <c r="O394" i="38"/>
  <c r="I358" i="38"/>
  <c r="I359" i="38"/>
  <c r="I360" i="38" s="1"/>
  <c r="L367" i="38"/>
  <c r="I352" i="38"/>
  <c r="I353" i="38"/>
  <c r="I354" i="38" s="1"/>
  <c r="L366" i="38"/>
  <c r="H358" i="38"/>
  <c r="H359" i="38"/>
  <c r="H360" i="38" s="1"/>
  <c r="H352" i="38"/>
  <c r="H353" i="38"/>
  <c r="H354" i="38" s="1"/>
  <c r="I333" i="38"/>
  <c r="I334" i="38"/>
  <c r="I335" i="38" s="1"/>
  <c r="O330" i="38"/>
  <c r="H339" i="38"/>
  <c r="H340" i="38"/>
  <c r="H341" i="38" s="1"/>
  <c r="L320" i="38"/>
  <c r="I339" i="38"/>
  <c r="I340" i="38"/>
  <c r="I341" i="38" s="1"/>
  <c r="P301" i="38"/>
  <c r="H334" i="38"/>
  <c r="H335" i="38" s="1"/>
  <c r="H333" i="38"/>
  <c r="L321" i="38"/>
  <c r="H287" i="38"/>
  <c r="H288" i="38" s="1"/>
  <c r="H286" i="38"/>
  <c r="H292" i="38"/>
  <c r="H293" i="38"/>
  <c r="H294" i="38" s="1"/>
  <c r="I286" i="38"/>
  <c r="I287" i="38"/>
  <c r="I288" i="38" s="1"/>
  <c r="L303" i="38"/>
  <c r="I292" i="38"/>
  <c r="I293" i="38"/>
  <c r="I294" i="38" s="1"/>
  <c r="P255" i="38"/>
  <c r="P256" i="38"/>
  <c r="O264" i="38"/>
  <c r="H221" i="38"/>
  <c r="H222" i="38"/>
  <c r="H223" i="38" s="1"/>
  <c r="H274" i="38"/>
  <c r="H275" i="38"/>
  <c r="H276" i="38" s="1"/>
  <c r="I195" i="38"/>
  <c r="I196" i="38"/>
  <c r="I197" i="38" s="1"/>
  <c r="I201" i="38"/>
  <c r="I202" i="38"/>
  <c r="I203" i="38" s="1"/>
  <c r="I221" i="38"/>
  <c r="I222" i="38"/>
  <c r="I223" i="38" s="1"/>
  <c r="I274" i="38"/>
  <c r="I275" i="38"/>
  <c r="I276" i="38" s="1"/>
  <c r="H196" i="38"/>
  <c r="H197" i="38" s="1"/>
  <c r="H201" i="38"/>
  <c r="H202" i="38"/>
  <c r="H203" i="38" s="1"/>
  <c r="H195" i="38"/>
  <c r="H207" i="38"/>
  <c r="H208" i="38"/>
  <c r="H209" i="38" s="1"/>
  <c r="L183" i="38"/>
  <c r="H227" i="38"/>
  <c r="H228" i="38"/>
  <c r="H229" i="38" s="1"/>
  <c r="H268" i="38"/>
  <c r="H269" i="38"/>
  <c r="H270" i="38" s="1"/>
  <c r="I207" i="38"/>
  <c r="I208" i="38"/>
  <c r="I209" i="38" s="1"/>
  <c r="I227" i="38"/>
  <c r="I228" i="38"/>
  <c r="I229" i="38" s="1"/>
  <c r="I268" i="38"/>
  <c r="I269" i="38"/>
  <c r="I270" i="38" s="1"/>
  <c r="L238" i="38"/>
  <c r="L189" i="38"/>
  <c r="L188" i="38"/>
  <c r="I163" i="38"/>
  <c r="I164" i="38"/>
  <c r="I165" i="38" s="1"/>
  <c r="P125" i="38"/>
  <c r="H163" i="38"/>
  <c r="H164" i="38"/>
  <c r="H165" i="38" s="1"/>
  <c r="I157" i="38"/>
  <c r="I158" i="38"/>
  <c r="I159" i="38" s="1"/>
  <c r="H157" i="38"/>
  <c r="H158" i="38"/>
  <c r="H159" i="38" s="1"/>
  <c r="O133" i="38"/>
  <c r="L126" i="38"/>
  <c r="I143" i="38"/>
  <c r="I144" i="38"/>
  <c r="I145" i="38" s="1"/>
  <c r="H143" i="38"/>
  <c r="H144" i="38"/>
  <c r="H145" i="38" s="1"/>
  <c r="H138" i="38"/>
  <c r="H139" i="38" s="1"/>
  <c r="H137" i="38"/>
  <c r="I137" i="38"/>
  <c r="I138" i="38"/>
  <c r="I139" i="38" s="1"/>
  <c r="L107" i="38"/>
  <c r="I152" i="38"/>
  <c r="I153" i="38" s="1"/>
  <c r="I151" i="38"/>
  <c r="L106" i="38"/>
  <c r="H152" i="38"/>
  <c r="H153" i="38" s="1"/>
  <c r="H151" i="38"/>
  <c r="I95" i="38"/>
  <c r="I96" i="38"/>
  <c r="I97" i="38" s="1"/>
  <c r="I75" i="38"/>
  <c r="I76" i="38"/>
  <c r="I77" i="38" s="1"/>
  <c r="L51" i="38"/>
  <c r="H96" i="38"/>
  <c r="H97" i="38" s="1"/>
  <c r="H95" i="38"/>
  <c r="H75" i="38"/>
  <c r="H76" i="38"/>
  <c r="H77" i="38" s="1"/>
  <c r="I69" i="38"/>
  <c r="I70" i="38"/>
  <c r="I71" i="38" s="1"/>
  <c r="I89" i="38"/>
  <c r="I90" i="38"/>
  <c r="I91" i="38" s="1"/>
  <c r="H90" i="38"/>
  <c r="H91" i="38" s="1"/>
  <c r="H89" i="38"/>
  <c r="H83" i="38"/>
  <c r="H70" i="38"/>
  <c r="H71" i="38" s="1"/>
  <c r="H69" i="38"/>
  <c r="O65" i="38"/>
  <c r="P50" i="38"/>
  <c r="K67" i="39"/>
  <c r="AH16" i="38"/>
  <c r="AD16" i="38" s="1"/>
  <c r="AJ67" i="38"/>
  <c r="AD22" i="39"/>
  <c r="J19" i="39"/>
  <c r="M96" i="39"/>
  <c r="AC13" i="39"/>
  <c r="AC25" i="39"/>
  <c r="AF13" i="39"/>
  <c r="J64" i="39"/>
  <c r="AI75" i="37"/>
  <c r="P126" i="38"/>
  <c r="AJ65" i="38"/>
  <c r="M140" i="39"/>
  <c r="AF25" i="39"/>
  <c r="AC23" i="39"/>
  <c r="AD82" i="39"/>
  <c r="AD16" i="39"/>
  <c r="K114" i="39"/>
  <c r="M67" i="39"/>
  <c r="AC83" i="39"/>
  <c r="AF83" i="39"/>
  <c r="K70" i="39"/>
  <c r="AH397" i="38"/>
  <c r="AG397" i="38" s="1"/>
  <c r="J68" i="39"/>
  <c r="J272" i="39"/>
  <c r="K112" i="39"/>
  <c r="K68" i="39"/>
  <c r="K56" i="39"/>
  <c r="AI76" i="37"/>
  <c r="M30" i="39"/>
  <c r="J112" i="39"/>
  <c r="AD15" i="39"/>
  <c r="AG91" i="37"/>
  <c r="AF91" i="37" s="1"/>
  <c r="AI77" i="37"/>
  <c r="M15" i="39"/>
  <c r="J61" i="39"/>
  <c r="M92" i="39"/>
  <c r="K152" i="39"/>
  <c r="AD12" i="39"/>
  <c r="AC12" i="39"/>
  <c r="K97" i="39"/>
  <c r="K74" i="39"/>
  <c r="AH408" i="38"/>
  <c r="AG408" i="38" s="1"/>
  <c r="J113" i="39"/>
  <c r="M276" i="39"/>
  <c r="AD147" i="39"/>
  <c r="AI39" i="37"/>
  <c r="AI36" i="37"/>
  <c r="AI35" i="37"/>
  <c r="M59" i="39"/>
  <c r="M99" i="39"/>
  <c r="M152" i="39"/>
  <c r="K217" i="39"/>
  <c r="J285" i="39"/>
  <c r="AD145" i="39"/>
  <c r="K99" i="39"/>
  <c r="K109" i="39"/>
  <c r="M60" i="39"/>
  <c r="J74" i="39"/>
  <c r="AD17" i="39"/>
  <c r="AI40" i="37"/>
  <c r="AG104" i="37"/>
  <c r="AF104" i="37" s="1"/>
  <c r="AI88" i="37"/>
  <c r="AI153" i="37"/>
  <c r="K27" i="39"/>
  <c r="M109" i="39"/>
  <c r="J111" i="39"/>
  <c r="J137" i="39"/>
  <c r="M156" i="39"/>
  <c r="J277" i="39"/>
  <c r="K277" i="39"/>
  <c r="AF90" i="39"/>
  <c r="AC145" i="39"/>
  <c r="K93" i="39"/>
  <c r="K59" i="39"/>
  <c r="AH396" i="38"/>
  <c r="AG396" i="38" s="1"/>
  <c r="J71" i="39"/>
  <c r="J97" i="39"/>
  <c r="J104" i="39"/>
  <c r="M137" i="39"/>
  <c r="M285" i="39"/>
  <c r="AC144" i="39"/>
  <c r="AD11" i="39"/>
  <c r="AI34" i="37"/>
  <c r="AG33" i="37"/>
  <c r="AF33" i="37" s="1"/>
  <c r="AG27" i="37"/>
  <c r="AF27" i="37" s="1"/>
  <c r="AI25" i="37"/>
  <c r="AG92" i="37"/>
  <c r="J55" i="39"/>
  <c r="J60" i="39"/>
  <c r="M94" i="39"/>
  <c r="J93" i="39"/>
  <c r="J284" i="39"/>
  <c r="K103" i="39"/>
  <c r="AD21" i="39"/>
  <c r="AI92" i="37"/>
  <c r="AI91" i="37"/>
  <c r="AG76" i="37"/>
  <c r="AF76" i="37" s="1"/>
  <c r="J18" i="39"/>
  <c r="J101" i="39"/>
  <c r="J108" i="39"/>
  <c r="M144" i="39"/>
  <c r="AF17" i="39"/>
  <c r="AF21" i="39"/>
  <c r="AC10" i="39"/>
  <c r="N84" i="39"/>
  <c r="N85" i="39" s="1"/>
  <c r="AE33" i="37"/>
  <c r="AI95" i="37"/>
  <c r="AG88" i="37"/>
  <c r="AF88" i="37" s="1"/>
  <c r="N121" i="38"/>
  <c r="M121" i="38" s="1"/>
  <c r="AF25" i="38"/>
  <c r="K26" i="39"/>
  <c r="J103" i="39"/>
  <c r="K144" i="39"/>
  <c r="M153" i="39"/>
  <c r="K215" i="39"/>
  <c r="J271" i="39"/>
  <c r="AD151" i="39"/>
  <c r="K107" i="39"/>
  <c r="AD75" i="39"/>
  <c r="J63" i="39"/>
  <c r="K63" i="39"/>
  <c r="AG75" i="37"/>
  <c r="AF75" i="37" s="1"/>
  <c r="P51" i="38"/>
  <c r="M27" i="39"/>
  <c r="K30" i="39"/>
  <c r="AD86" i="39"/>
  <c r="AC143" i="39"/>
  <c r="H64" i="38"/>
  <c r="I63" i="38"/>
  <c r="AI43" i="37"/>
  <c r="AI29" i="37"/>
  <c r="AG28" i="37"/>
  <c r="AF28" i="37" s="1"/>
  <c r="AG87" i="37"/>
  <c r="AF87" i="37" s="1"/>
  <c r="AI85" i="37"/>
  <c r="N16" i="38"/>
  <c r="M16" i="38" s="1"/>
  <c r="P124" i="38"/>
  <c r="J145" i="39"/>
  <c r="M275" i="39"/>
  <c r="AC86" i="39"/>
  <c r="AD143" i="39"/>
  <c r="AC141" i="39"/>
  <c r="AD79" i="39"/>
  <c r="J69" i="39"/>
  <c r="K69" i="39"/>
  <c r="J73" i="39"/>
  <c r="K73" i="39"/>
  <c r="AA51" i="37"/>
  <c r="L60" i="37"/>
  <c r="AE30" i="37"/>
  <c r="AH21" i="38"/>
  <c r="AG21" i="38" s="1"/>
  <c r="AH264" i="38"/>
  <c r="AE264" i="38" s="1"/>
  <c r="J98" i="39"/>
  <c r="J276" i="39"/>
  <c r="M284" i="39"/>
  <c r="AC8" i="39"/>
  <c r="AC15" i="39"/>
  <c r="AC79" i="39"/>
  <c r="AF151" i="39"/>
  <c r="AD142" i="39"/>
  <c r="K94" i="39"/>
  <c r="M57" i="39"/>
  <c r="K57" i="39"/>
  <c r="AD77" i="39"/>
  <c r="K71" i="39"/>
  <c r="AI44" i="37"/>
  <c r="AI31" i="37"/>
  <c r="AI97" i="37"/>
  <c r="AI96" i="37"/>
  <c r="AG195" i="37"/>
  <c r="AC195" i="37" s="1"/>
  <c r="AG190" i="37"/>
  <c r="AF190" i="37" s="1"/>
  <c r="AG178" i="37"/>
  <c r="AF178" i="37" s="1"/>
  <c r="AI188" i="37"/>
  <c r="AH12" i="38"/>
  <c r="AG12" i="38" s="1"/>
  <c r="AH261" i="38"/>
  <c r="AD261" i="38" s="1"/>
  <c r="J157" i="39"/>
  <c r="K211" i="39"/>
  <c r="J275" i="39"/>
  <c r="K273" i="39"/>
  <c r="AC81" i="39"/>
  <c r="AD10" i="39"/>
  <c r="AI45" i="37"/>
  <c r="AG44" i="37"/>
  <c r="AF44" i="37" s="1"/>
  <c r="AI41" i="37"/>
  <c r="AG39" i="37"/>
  <c r="AF39" i="37" s="1"/>
  <c r="AG36" i="37"/>
  <c r="AF36" i="37" s="1"/>
  <c r="AG30" i="37"/>
  <c r="AF30" i="37" s="1"/>
  <c r="AI27" i="37"/>
  <c r="AI23" i="37"/>
  <c r="AG22" i="37"/>
  <c r="AF22" i="37" s="1"/>
  <c r="AI100" i="37"/>
  <c r="AG96" i="37"/>
  <c r="AF96" i="37" s="1"/>
  <c r="AI93" i="37"/>
  <c r="AI81" i="37"/>
  <c r="AI80" i="37"/>
  <c r="AI79" i="37"/>
  <c r="AE195" i="37"/>
  <c r="AG194" i="37"/>
  <c r="AF194" i="37" s="1"/>
  <c r="AG179" i="37"/>
  <c r="AF179" i="37" s="1"/>
  <c r="L323" i="38"/>
  <c r="AH8" i="38"/>
  <c r="AB209" i="38"/>
  <c r="AJ263" i="38"/>
  <c r="AH393" i="38"/>
  <c r="AG393" i="38" s="1"/>
  <c r="J215" i="39"/>
  <c r="K203" i="39"/>
  <c r="J282" i="39"/>
  <c r="J274" i="39"/>
  <c r="M283" i="39"/>
  <c r="AI157" i="39"/>
  <c r="AI119" i="39"/>
  <c r="AI120" i="39" s="1"/>
  <c r="K55" i="39"/>
  <c r="I273" i="37"/>
  <c r="I274" i="37" s="1"/>
  <c r="AG46" i="37"/>
  <c r="AF46" i="37" s="1"/>
  <c r="AG31" i="37"/>
  <c r="AF31" i="37" s="1"/>
  <c r="AE24" i="37"/>
  <c r="AG103" i="37"/>
  <c r="AC103" i="37" s="1"/>
  <c r="AI101" i="37"/>
  <c r="AI87" i="37"/>
  <c r="AI84" i="37"/>
  <c r="AG80" i="37"/>
  <c r="AF80" i="37" s="1"/>
  <c r="AE194" i="37"/>
  <c r="P15" i="38"/>
  <c r="AJ23" i="38"/>
  <c r="AJ70" i="38"/>
  <c r="J148" i="39"/>
  <c r="J211" i="39"/>
  <c r="AC148" i="39"/>
  <c r="K61" i="39"/>
  <c r="K65" i="39"/>
  <c r="P133" i="39"/>
  <c r="H162" i="39"/>
  <c r="H163" i="39"/>
  <c r="H164" i="39" s="1"/>
  <c r="AC97" i="38"/>
  <c r="P292" i="39"/>
  <c r="P293" i="39" s="1"/>
  <c r="P291" i="39"/>
  <c r="AB31" i="39"/>
  <c r="AB32" i="39" s="1"/>
  <c r="AI100" i="39"/>
  <c r="AI101" i="39"/>
  <c r="AI102" i="39" s="1"/>
  <c r="AG118" i="39"/>
  <c r="AG119" i="39"/>
  <c r="AG120" i="39" s="1"/>
  <c r="AE157" i="39"/>
  <c r="AE158" i="39"/>
  <c r="AE159" i="39" s="1"/>
  <c r="N298" i="39"/>
  <c r="N299" i="39" s="1"/>
  <c r="N297" i="39"/>
  <c r="AE100" i="39"/>
  <c r="AE101" i="39"/>
  <c r="AE102" i="39" s="1"/>
  <c r="P125" i="39"/>
  <c r="P126" i="39" s="1"/>
  <c r="P124" i="39"/>
  <c r="AF87" i="39"/>
  <c r="AD87" i="39"/>
  <c r="M95" i="39"/>
  <c r="J95" i="39"/>
  <c r="L124" i="39"/>
  <c r="L125" i="39"/>
  <c r="L126" i="39" s="1"/>
  <c r="L83" i="39"/>
  <c r="L84" i="39"/>
  <c r="L85" i="39" s="1"/>
  <c r="AI21" i="37"/>
  <c r="AE7" i="39"/>
  <c r="AA31" i="39"/>
  <c r="AA32" i="39" s="1"/>
  <c r="P52" i="39"/>
  <c r="H78" i="39"/>
  <c r="H79" i="39" s="1"/>
  <c r="H77" i="39"/>
  <c r="I162" i="39"/>
  <c r="I163" i="39"/>
  <c r="I164" i="39" s="1"/>
  <c r="N54" i="37"/>
  <c r="M54" i="37" s="1"/>
  <c r="N50" i="37"/>
  <c r="P230" i="37"/>
  <c r="P272" i="37" s="1"/>
  <c r="H272" i="37"/>
  <c r="I253" i="37"/>
  <c r="H273" i="37"/>
  <c r="H274" i="37" s="1"/>
  <c r="H297" i="37"/>
  <c r="H298" i="37" s="1"/>
  <c r="AE46" i="37"/>
  <c r="AI42" i="37"/>
  <c r="AG40" i="37"/>
  <c r="AF40" i="37" s="1"/>
  <c r="AI37" i="37"/>
  <c r="AG35" i="37"/>
  <c r="AC35" i="37" s="1"/>
  <c r="AG29" i="37"/>
  <c r="AC29" i="37" s="1"/>
  <c r="AE22" i="37"/>
  <c r="AG20" i="37"/>
  <c r="AF20" i="37" s="1"/>
  <c r="AI19" i="37"/>
  <c r="AG18" i="37"/>
  <c r="AF18" i="37" s="1"/>
  <c r="AI17" i="37"/>
  <c r="AG16" i="37"/>
  <c r="AF16" i="37" s="1"/>
  <c r="AI15" i="37"/>
  <c r="AG14" i="37"/>
  <c r="AF14" i="37" s="1"/>
  <c r="AI13" i="37"/>
  <c r="AG12" i="37"/>
  <c r="AF12" i="37" s="1"/>
  <c r="AI11" i="37"/>
  <c r="AG10" i="37"/>
  <c r="AF10" i="37" s="1"/>
  <c r="AI9" i="37"/>
  <c r="AG8" i="37"/>
  <c r="AF8" i="37" s="1"/>
  <c r="AG100" i="37"/>
  <c r="AF100" i="37" s="1"/>
  <c r="AI99" i="37"/>
  <c r="AG95" i="37"/>
  <c r="AF95" i="37" s="1"/>
  <c r="AI89" i="37"/>
  <c r="AG84" i="37"/>
  <c r="AF84" i="37" s="1"/>
  <c r="AI83" i="37"/>
  <c r="AG79" i="37"/>
  <c r="AC79" i="37" s="1"/>
  <c r="AG170" i="37"/>
  <c r="AF170" i="37" s="1"/>
  <c r="AG166" i="37"/>
  <c r="AF166" i="37" s="1"/>
  <c r="P17" i="38"/>
  <c r="P59" i="38"/>
  <c r="N124" i="38"/>
  <c r="M124" i="38" s="1"/>
  <c r="N119" i="38"/>
  <c r="M119" i="38" s="1"/>
  <c r="P117" i="38"/>
  <c r="AH17" i="38"/>
  <c r="AG17" i="38" s="1"/>
  <c r="AF12" i="38"/>
  <c r="AH9" i="38"/>
  <c r="AG9" i="38" s="1"/>
  <c r="AH65" i="38"/>
  <c r="AB145" i="38"/>
  <c r="AH250" i="38"/>
  <c r="AG250" i="38" s="1"/>
  <c r="AH252" i="38"/>
  <c r="AG252" i="38" s="1"/>
  <c r="AH258" i="38"/>
  <c r="AG258" i="38" s="1"/>
  <c r="AH260" i="38"/>
  <c r="AH401" i="38"/>
  <c r="AH392" i="38"/>
  <c r="K17" i="39"/>
  <c r="J17" i="39"/>
  <c r="K23" i="39"/>
  <c r="K135" i="39"/>
  <c r="J156" i="39"/>
  <c r="J203" i="39"/>
  <c r="P227" i="39"/>
  <c r="P228" i="39"/>
  <c r="P229" i="39" s="1"/>
  <c r="J280" i="39"/>
  <c r="N292" i="39"/>
  <c r="N293" i="39" s="1"/>
  <c r="N291" i="39"/>
  <c r="K280" i="39"/>
  <c r="AG100" i="39"/>
  <c r="AG101" i="39"/>
  <c r="AG102" i="39" s="1"/>
  <c r="AD81" i="39"/>
  <c r="AD152" i="39"/>
  <c r="AI176" i="39"/>
  <c r="AI177" i="39"/>
  <c r="AI178" i="39" s="1"/>
  <c r="AI158" i="39"/>
  <c r="AI159" i="39" s="1"/>
  <c r="K95" i="39"/>
  <c r="K100" i="39"/>
  <c r="K108" i="39"/>
  <c r="AI118" i="39"/>
  <c r="AD8" i="39"/>
  <c r="K110" i="39"/>
  <c r="K102" i="39"/>
  <c r="AB64" i="39"/>
  <c r="AB65" i="39"/>
  <c r="AB66" i="39" s="1"/>
  <c r="N7" i="38"/>
  <c r="J7" i="38" s="1"/>
  <c r="I77" i="39"/>
  <c r="I78" i="39"/>
  <c r="I79" i="39" s="1"/>
  <c r="L222" i="37"/>
  <c r="H254" i="37"/>
  <c r="H255" i="37" s="1"/>
  <c r="I296" i="37"/>
  <c r="AG41" i="37"/>
  <c r="AF41" i="37" s="1"/>
  <c r="AI38" i="37"/>
  <c r="AE32" i="37"/>
  <c r="AG25" i="37"/>
  <c r="AF25" i="37" s="1"/>
  <c r="AG23" i="37"/>
  <c r="AF23" i="37" s="1"/>
  <c r="AE20" i="37"/>
  <c r="AE18" i="37"/>
  <c r="AE16" i="37"/>
  <c r="AE14" i="37"/>
  <c r="AE12" i="37"/>
  <c r="AE10" i="37"/>
  <c r="AE8" i="37"/>
  <c r="AG99" i="37"/>
  <c r="AC99" i="37" s="1"/>
  <c r="AG83" i="37"/>
  <c r="AE178" i="37"/>
  <c r="AG154" i="37"/>
  <c r="AF154" i="37" s="1"/>
  <c r="AI192" i="37"/>
  <c r="AI237" i="37"/>
  <c r="N18" i="38"/>
  <c r="M18" i="38" s="1"/>
  <c r="N8" i="38"/>
  <c r="M8" i="38" s="1"/>
  <c r="N125" i="38"/>
  <c r="P115" i="38"/>
  <c r="H459" i="38"/>
  <c r="AH13" i="38"/>
  <c r="AG13" i="38" s="1"/>
  <c r="AJ66" i="38"/>
  <c r="M200" i="39"/>
  <c r="N228" i="39"/>
  <c r="N229" i="39" s="1"/>
  <c r="N227" i="39"/>
  <c r="J279" i="39"/>
  <c r="L291" i="39"/>
  <c r="L292" i="39"/>
  <c r="L293" i="39" s="1"/>
  <c r="K271" i="39"/>
  <c r="M280" i="39"/>
  <c r="AF9" i="39"/>
  <c r="AC87" i="39"/>
  <c r="AC152" i="39"/>
  <c r="AE176" i="39"/>
  <c r="AE177" i="39"/>
  <c r="AE178" i="39" s="1"/>
  <c r="AG157" i="39"/>
  <c r="AG158" i="39"/>
  <c r="AG159" i="39" s="1"/>
  <c r="K145" i="39"/>
  <c r="N181" i="39"/>
  <c r="N182" i="39" s="1"/>
  <c r="N180" i="39"/>
  <c r="K96" i="39"/>
  <c r="K98" i="39"/>
  <c r="P83" i="39"/>
  <c r="P84" i="39"/>
  <c r="P85" i="39" s="1"/>
  <c r="M72" i="39"/>
  <c r="K72" i="39"/>
  <c r="M62" i="39"/>
  <c r="K62" i="39"/>
  <c r="N83" i="39"/>
  <c r="AE53" i="39"/>
  <c r="AA64" i="39"/>
  <c r="AA65" i="39"/>
  <c r="AA66" i="39" s="1"/>
  <c r="I234" i="37"/>
  <c r="I254" i="37"/>
  <c r="I255" i="37" s="1"/>
  <c r="I235" i="37"/>
  <c r="I236" i="37" s="1"/>
  <c r="N282" i="37"/>
  <c r="N284" i="37"/>
  <c r="M284" i="37" s="1"/>
  <c r="N286" i="37"/>
  <c r="M286" i="37" s="1"/>
  <c r="N288" i="37"/>
  <c r="M288" i="37" s="1"/>
  <c r="N290" i="37"/>
  <c r="M290" i="37" s="1"/>
  <c r="AG43" i="37"/>
  <c r="AF43" i="37" s="1"/>
  <c r="AG37" i="37"/>
  <c r="AF37" i="37" s="1"/>
  <c r="AG21" i="37"/>
  <c r="AF21" i="37" s="1"/>
  <c r="AB204" i="37"/>
  <c r="AB205" i="37" s="1"/>
  <c r="AG167" i="37"/>
  <c r="AF167" i="37" s="1"/>
  <c r="AG155" i="37"/>
  <c r="AC155" i="37" s="1"/>
  <c r="AJ71" i="38"/>
  <c r="M100" i="39"/>
  <c r="J106" i="39"/>
  <c r="L227" i="39"/>
  <c r="L228" i="39"/>
  <c r="L229" i="39" s="1"/>
  <c r="J214" i="39"/>
  <c r="L297" i="39"/>
  <c r="L298" i="39"/>
  <c r="L299" i="39" s="1"/>
  <c r="K278" i="39"/>
  <c r="P298" i="39"/>
  <c r="P299" i="39" s="1"/>
  <c r="P297" i="39"/>
  <c r="AE118" i="39"/>
  <c r="AE119" i="39"/>
  <c r="AE120" i="39" s="1"/>
  <c r="AD141" i="39"/>
  <c r="AF147" i="39"/>
  <c r="AG177" i="39"/>
  <c r="AG178" i="39" s="1"/>
  <c r="AG176" i="39"/>
  <c r="AD9" i="39"/>
  <c r="M104" i="39"/>
  <c r="N124" i="39"/>
  <c r="N125" i="39"/>
  <c r="N126" i="39" s="1"/>
  <c r="AC19" i="39"/>
  <c r="AD19" i="39"/>
  <c r="K106" i="39"/>
  <c r="AF142" i="39"/>
  <c r="AD140" i="39"/>
  <c r="AD149" i="39"/>
  <c r="AC149" i="39"/>
  <c r="AC140" i="39"/>
  <c r="AD146" i="39"/>
  <c r="AD139" i="39"/>
  <c r="AC139" i="39"/>
  <c r="AC150" i="39"/>
  <c r="AC146" i="39"/>
  <c r="AF150" i="39"/>
  <c r="AD148" i="39"/>
  <c r="AD144" i="39"/>
  <c r="AC93" i="39"/>
  <c r="AD85" i="39"/>
  <c r="AC91" i="39"/>
  <c r="AD90" i="39"/>
  <c r="AD91" i="39"/>
  <c r="AF80" i="39"/>
  <c r="AD80" i="39"/>
  <c r="AF92" i="39"/>
  <c r="AD92" i="39"/>
  <c r="AC77" i="39"/>
  <c r="AF88" i="39"/>
  <c r="AD88" i="39"/>
  <c r="AC85" i="39"/>
  <c r="AD93" i="39"/>
  <c r="AF84" i="39"/>
  <c r="AD84" i="39"/>
  <c r="AF76" i="39"/>
  <c r="AD76" i="39"/>
  <c r="AC92" i="39"/>
  <c r="AC88" i="39"/>
  <c r="AC89" i="39"/>
  <c r="AD89" i="39"/>
  <c r="AC84" i="39"/>
  <c r="AF74" i="39"/>
  <c r="AC74" i="39"/>
  <c r="K281" i="39"/>
  <c r="J278" i="39"/>
  <c r="J270" i="39"/>
  <c r="K270" i="39"/>
  <c r="M273" i="39"/>
  <c r="M279" i="39"/>
  <c r="J283" i="39"/>
  <c r="M281" i="39"/>
  <c r="K282" i="39"/>
  <c r="K274" i="39"/>
  <c r="K269" i="39"/>
  <c r="M269" i="39"/>
  <c r="J269" i="39"/>
  <c r="K219" i="39"/>
  <c r="J219" i="39"/>
  <c r="K205" i="39"/>
  <c r="J205" i="39"/>
  <c r="J217" i="39"/>
  <c r="J209" i="39"/>
  <c r="J201" i="39"/>
  <c r="K212" i="39"/>
  <c r="J207" i="39"/>
  <c r="K207" i="39"/>
  <c r="M212" i="39"/>
  <c r="J218" i="39"/>
  <c r="J204" i="39"/>
  <c r="K221" i="39"/>
  <c r="J221" i="39"/>
  <c r="J213" i="39"/>
  <c r="K218" i="39"/>
  <c r="K213" i="39"/>
  <c r="M220" i="39"/>
  <c r="J220" i="39"/>
  <c r="M210" i="39"/>
  <c r="K210" i="39"/>
  <c r="M202" i="39"/>
  <c r="K202" i="39"/>
  <c r="K201" i="39"/>
  <c r="K204" i="39"/>
  <c r="M216" i="39"/>
  <c r="J216" i="39"/>
  <c r="M206" i="39"/>
  <c r="J206" i="39"/>
  <c r="M208" i="39"/>
  <c r="K208" i="39"/>
  <c r="J208" i="39"/>
  <c r="K200" i="39"/>
  <c r="J200" i="39"/>
  <c r="M214" i="39"/>
  <c r="K214" i="39"/>
  <c r="K206" i="39"/>
  <c r="K209" i="39"/>
  <c r="K220" i="39"/>
  <c r="M149" i="39"/>
  <c r="M157" i="39"/>
  <c r="J153" i="39"/>
  <c r="J155" i="39"/>
  <c r="K148" i="39"/>
  <c r="J149" i="39"/>
  <c r="M134" i="39"/>
  <c r="K134" i="39"/>
  <c r="M142" i="39"/>
  <c r="K142" i="39"/>
  <c r="M150" i="39"/>
  <c r="K150" i="39"/>
  <c r="J150" i="39"/>
  <c r="J139" i="39"/>
  <c r="K151" i="39"/>
  <c r="J135" i="39"/>
  <c r="K147" i="39"/>
  <c r="J142" i="39"/>
  <c r="M138" i="39"/>
  <c r="K138" i="39"/>
  <c r="M146" i="39"/>
  <c r="K146" i="39"/>
  <c r="M154" i="39"/>
  <c r="K154" i="39"/>
  <c r="K139" i="39"/>
  <c r="J154" i="39"/>
  <c r="J151" i="39"/>
  <c r="K143" i="39"/>
  <c r="J134" i="39"/>
  <c r="J143" i="39"/>
  <c r="K155" i="39"/>
  <c r="J147" i="39"/>
  <c r="I37" i="39"/>
  <c r="I38" i="39"/>
  <c r="I39" i="39" s="1"/>
  <c r="K22" i="39"/>
  <c r="J22" i="39"/>
  <c r="J26" i="39"/>
  <c r="J23" i="39"/>
  <c r="L7" i="39"/>
  <c r="H38" i="39"/>
  <c r="H39" i="39" s="1"/>
  <c r="H37" i="39"/>
  <c r="K25" i="39"/>
  <c r="K18" i="39"/>
  <c r="M24" i="39"/>
  <c r="K24" i="39"/>
  <c r="M28" i="39"/>
  <c r="K28" i="39"/>
  <c r="J24" i="39"/>
  <c r="J21" i="39"/>
  <c r="M16" i="39"/>
  <c r="K16" i="39"/>
  <c r="K21" i="39"/>
  <c r="J29" i="39"/>
  <c r="K29" i="39"/>
  <c r="M20" i="39"/>
  <c r="K20" i="39"/>
  <c r="J25" i="39"/>
  <c r="J28" i="39"/>
  <c r="P18" i="39"/>
  <c r="P8" i="39"/>
  <c r="L8" i="39"/>
  <c r="N8" i="39"/>
  <c r="P10" i="39"/>
  <c r="N10" i="39"/>
  <c r="K10" i="39" s="1"/>
  <c r="L10" i="39"/>
  <c r="N11" i="39"/>
  <c r="L11" i="39"/>
  <c r="P11" i="39"/>
  <c r="P17" i="39"/>
  <c r="L9" i="39"/>
  <c r="N9" i="39"/>
  <c r="K9" i="39" s="1"/>
  <c r="P9" i="39"/>
  <c r="P12" i="39"/>
  <c r="L12" i="39"/>
  <c r="N12" i="39"/>
  <c r="K12" i="39" s="1"/>
  <c r="L13" i="39"/>
  <c r="N13" i="39"/>
  <c r="K13" i="39" s="1"/>
  <c r="P13" i="39"/>
  <c r="P14" i="39"/>
  <c r="N14" i="39"/>
  <c r="L14" i="39"/>
  <c r="P15" i="39"/>
  <c r="P16" i="39"/>
  <c r="AG54" i="39"/>
  <c r="AC54" i="39" s="1"/>
  <c r="AG56" i="39"/>
  <c r="AC56" i="39" s="1"/>
  <c r="P144" i="39"/>
  <c r="P150" i="39"/>
  <c r="P156" i="39"/>
  <c r="N52" i="39"/>
  <c r="AA110" i="37"/>
  <c r="AA111" i="37" s="1"/>
  <c r="AA109" i="37"/>
  <c r="I131" i="38"/>
  <c r="I215" i="38"/>
  <c r="P136" i="39"/>
  <c r="P142" i="39"/>
  <c r="P148" i="39"/>
  <c r="P154" i="39"/>
  <c r="I297" i="37"/>
  <c r="I298" i="37" s="1"/>
  <c r="AE102" i="37"/>
  <c r="AG102" i="37"/>
  <c r="AF102" i="37" s="1"/>
  <c r="AE98" i="37"/>
  <c r="AG98" i="37"/>
  <c r="AF98" i="37" s="1"/>
  <c r="AE94" i="37"/>
  <c r="AG94" i="37"/>
  <c r="AC94" i="37" s="1"/>
  <c r="AA129" i="37"/>
  <c r="AE90" i="37"/>
  <c r="AG90" i="37"/>
  <c r="AE86" i="37"/>
  <c r="AG86" i="37"/>
  <c r="AC86" i="37" s="1"/>
  <c r="AE82" i="37"/>
  <c r="AG82" i="37"/>
  <c r="AF82" i="37" s="1"/>
  <c r="AE78" i="37"/>
  <c r="AG78" i="37"/>
  <c r="AF78" i="37" s="1"/>
  <c r="AE74" i="37"/>
  <c r="AG74" i="37"/>
  <c r="AF74" i="37" s="1"/>
  <c r="AI191" i="37"/>
  <c r="AE191" i="37"/>
  <c r="AE7" i="37"/>
  <c r="AA52" i="37"/>
  <c r="AA53" i="37" s="1"/>
  <c r="AB32" i="38"/>
  <c r="AB33" i="38" s="1"/>
  <c r="AB31" i="38"/>
  <c r="AJ51" i="38"/>
  <c r="AB76" i="38"/>
  <c r="AB77" i="38"/>
  <c r="AB78" i="38" s="1"/>
  <c r="L172" i="38"/>
  <c r="P226" i="37"/>
  <c r="H234" i="37"/>
  <c r="I272" i="37"/>
  <c r="AG45" i="37"/>
  <c r="AF45" i="37" s="1"/>
  <c r="AG42" i="37"/>
  <c r="AF42" i="37" s="1"/>
  <c r="AG38" i="37"/>
  <c r="AF38" i="37" s="1"/>
  <c r="AG34" i="37"/>
  <c r="AF34" i="37" s="1"/>
  <c r="AE28" i="37"/>
  <c r="AG26" i="37"/>
  <c r="AA203" i="37"/>
  <c r="AI187" i="37"/>
  <c r="AA223" i="37"/>
  <c r="AA224" i="37" s="1"/>
  <c r="AA222" i="37"/>
  <c r="AE187" i="37"/>
  <c r="AI183" i="37"/>
  <c r="AE183" i="37"/>
  <c r="AG183" i="37"/>
  <c r="AF183" i="37" s="1"/>
  <c r="AE171" i="37"/>
  <c r="AG171" i="37"/>
  <c r="AC171" i="37" s="1"/>
  <c r="AE159" i="37"/>
  <c r="AG159" i="37"/>
  <c r="AF159" i="37" s="1"/>
  <c r="AB51" i="37"/>
  <c r="AB52" i="37"/>
  <c r="AB53" i="37" s="1"/>
  <c r="AB109" i="37"/>
  <c r="AB110" i="37"/>
  <c r="AB111" i="37" s="1"/>
  <c r="AC31" i="38"/>
  <c r="AC32" i="38"/>
  <c r="AC33" i="38" s="1"/>
  <c r="AC76" i="38"/>
  <c r="AC77" i="38"/>
  <c r="AC78" i="38" s="1"/>
  <c r="AI54" i="39"/>
  <c r="AI56" i="39"/>
  <c r="AG58" i="39"/>
  <c r="AC58" i="39" s="1"/>
  <c r="H235" i="37"/>
  <c r="H236" i="37" s="1"/>
  <c r="H253" i="37"/>
  <c r="H296" i="37"/>
  <c r="AG32" i="37"/>
  <c r="AF32" i="37" s="1"/>
  <c r="AE26" i="37"/>
  <c r="AG24" i="37"/>
  <c r="AF24" i="37" s="1"/>
  <c r="AG19" i="37"/>
  <c r="AF19" i="37" s="1"/>
  <c r="AG17" i="37"/>
  <c r="AF17" i="37" s="1"/>
  <c r="AG15" i="37"/>
  <c r="AF15" i="37" s="1"/>
  <c r="AG13" i="37"/>
  <c r="AF13" i="37" s="1"/>
  <c r="AG11" i="37"/>
  <c r="AF11" i="37" s="1"/>
  <c r="AG9" i="37"/>
  <c r="AF9" i="37" s="1"/>
  <c r="AI102" i="37"/>
  <c r="AI98" i="37"/>
  <c r="AI94" i="37"/>
  <c r="AI90" i="37"/>
  <c r="AI86" i="37"/>
  <c r="AI82" i="37"/>
  <c r="AI78" i="37"/>
  <c r="AI74" i="37"/>
  <c r="AB203" i="37"/>
  <c r="AG191" i="37"/>
  <c r="AC191" i="37" s="1"/>
  <c r="H131" i="38"/>
  <c r="AI58" i="39"/>
  <c r="I118" i="39"/>
  <c r="N66" i="37"/>
  <c r="M66" i="37" s="1"/>
  <c r="N64" i="37"/>
  <c r="M64" i="37" s="1"/>
  <c r="AG101" i="37"/>
  <c r="AC101" i="37" s="1"/>
  <c r="AG97" i="37"/>
  <c r="AF97" i="37" s="1"/>
  <c r="AG93" i="37"/>
  <c r="AF93" i="37" s="1"/>
  <c r="AB129" i="37"/>
  <c r="AG89" i="37"/>
  <c r="AF89" i="37" s="1"/>
  <c r="AG85" i="37"/>
  <c r="AC85" i="37" s="1"/>
  <c r="AG81" i="37"/>
  <c r="AC81" i="37" s="1"/>
  <c r="AG77" i="37"/>
  <c r="AF77" i="37" s="1"/>
  <c r="AA130" i="37"/>
  <c r="AA131" i="37" s="1"/>
  <c r="AG187" i="37"/>
  <c r="AC187" i="37" s="1"/>
  <c r="AE186" i="37"/>
  <c r="AG186" i="37"/>
  <c r="AF186" i="37" s="1"/>
  <c r="AE184" i="37"/>
  <c r="AI184" i="37"/>
  <c r="AG175" i="37"/>
  <c r="AF175" i="37" s="1"/>
  <c r="AE174" i="37"/>
  <c r="AG174" i="37"/>
  <c r="AC174" i="37" s="1"/>
  <c r="AG163" i="37"/>
  <c r="AF163" i="37" s="1"/>
  <c r="AE162" i="37"/>
  <c r="AG162" i="37"/>
  <c r="AF162" i="37" s="1"/>
  <c r="AI186" i="37"/>
  <c r="AB251" i="37"/>
  <c r="AB252" i="37"/>
  <c r="AB253" i="37" s="1"/>
  <c r="AI240" i="37"/>
  <c r="AA258" i="37"/>
  <c r="AA259" i="37" s="1"/>
  <c r="AA257" i="37"/>
  <c r="AA251" i="37"/>
  <c r="AE104" i="37"/>
  <c r="AE103" i="37"/>
  <c r="AB130" i="37"/>
  <c r="AB131" i="37" s="1"/>
  <c r="AE190" i="37"/>
  <c r="AG182" i="37"/>
  <c r="AF182" i="37" s="1"/>
  <c r="AE170" i="37"/>
  <c r="AG158" i="37"/>
  <c r="AF158" i="37" s="1"/>
  <c r="AI190" i="37"/>
  <c r="AB258" i="37"/>
  <c r="AB259" i="37" s="1"/>
  <c r="AE150" i="37"/>
  <c r="AA204" i="37"/>
  <c r="AA205" i="37" s="1"/>
  <c r="AG151" i="37"/>
  <c r="AI189" i="37"/>
  <c r="AB222" i="37"/>
  <c r="AI182" i="37"/>
  <c r="AI232" i="37"/>
  <c r="AA252" i="37"/>
  <c r="AA253" i="37" s="1"/>
  <c r="L13" i="38"/>
  <c r="P13" i="38"/>
  <c r="P55" i="38"/>
  <c r="L55" i="38"/>
  <c r="I393" i="38"/>
  <c r="I394" i="38" s="1"/>
  <c r="P455" i="38"/>
  <c r="L455" i="38"/>
  <c r="AF27" i="38"/>
  <c r="AJ27" i="38"/>
  <c r="AJ24" i="38"/>
  <c r="AH66" i="38"/>
  <c r="AG66" i="38" s="1"/>
  <c r="AC98" i="38"/>
  <c r="AC99" i="38" s="1"/>
  <c r="AH400" i="38"/>
  <c r="AF400" i="38"/>
  <c r="AB434" i="38"/>
  <c r="AB435" i="38" s="1"/>
  <c r="AF390" i="38"/>
  <c r="P20" i="38"/>
  <c r="N20" i="38"/>
  <c r="M20" i="38" s="1"/>
  <c r="P14" i="38"/>
  <c r="N14" i="38"/>
  <c r="M14" i="38" s="1"/>
  <c r="L120" i="38"/>
  <c r="N120" i="38"/>
  <c r="M120" i="38" s="1"/>
  <c r="H412" i="38"/>
  <c r="H413" i="38" s="1"/>
  <c r="AH69" i="38"/>
  <c r="AG69" i="38" s="1"/>
  <c r="AJ69" i="38"/>
  <c r="AF133" i="38"/>
  <c r="AB165" i="38"/>
  <c r="AB166" i="38" s="1"/>
  <c r="AF195" i="38"/>
  <c r="AH388" i="38"/>
  <c r="AB257" i="37"/>
  <c r="P19" i="38"/>
  <c r="N17" i="38"/>
  <c r="M17" i="38" s="1"/>
  <c r="N13" i="38"/>
  <c r="M13" i="38" s="1"/>
  <c r="P12" i="38"/>
  <c r="N12" i="38"/>
  <c r="M12" i="38" s="1"/>
  <c r="N10" i="38"/>
  <c r="J10" i="38" s="1"/>
  <c r="P9" i="38"/>
  <c r="P119" i="38"/>
  <c r="P114" i="38"/>
  <c r="P305" i="38"/>
  <c r="L305" i="38"/>
  <c r="AB98" i="38"/>
  <c r="AB99" i="38" s="1"/>
  <c r="AF62" i="38"/>
  <c r="AC164" i="38"/>
  <c r="AC165" i="38"/>
  <c r="AC166" i="38" s="1"/>
  <c r="AF254" i="38"/>
  <c r="AH254" i="38"/>
  <c r="AG254" i="38" s="1"/>
  <c r="AH404" i="38"/>
  <c r="AG404" i="38" s="1"/>
  <c r="AH389" i="38"/>
  <c r="AG389" i="38" s="1"/>
  <c r="AB223" i="37"/>
  <c r="AB224" i="37" s="1"/>
  <c r="AG243" i="37"/>
  <c r="AF243" i="37" s="1"/>
  <c r="P11" i="38"/>
  <c r="N9" i="38"/>
  <c r="M9" i="38" s="1"/>
  <c r="N123" i="38"/>
  <c r="M123" i="38" s="1"/>
  <c r="L122" i="38"/>
  <c r="P122" i="38"/>
  <c r="P120" i="38"/>
  <c r="L118" i="38"/>
  <c r="P118" i="38"/>
  <c r="N114" i="38"/>
  <c r="M114" i="38" s="1"/>
  <c r="AH25" i="38"/>
  <c r="AG25" i="38" s="1"/>
  <c r="AH24" i="38"/>
  <c r="AG24" i="38" s="1"/>
  <c r="AH20" i="38"/>
  <c r="AG20" i="38" s="1"/>
  <c r="AH70" i="38"/>
  <c r="AD70" i="38" s="1"/>
  <c r="AF69" i="38"/>
  <c r="AH62" i="38"/>
  <c r="AB164" i="38"/>
  <c r="AC273" i="38"/>
  <c r="AB358" i="38"/>
  <c r="AH405" i="38"/>
  <c r="AG405" i="38" s="1"/>
  <c r="AC433" i="38"/>
  <c r="AC434" i="38"/>
  <c r="AC435" i="38" s="1"/>
  <c r="I25" i="38"/>
  <c r="I26" i="38" s="1"/>
  <c r="N115" i="38"/>
  <c r="J115" i="38" s="1"/>
  <c r="I281" i="38"/>
  <c r="I282" i="38" s="1"/>
  <c r="I459" i="38"/>
  <c r="AF132" i="38"/>
  <c r="AJ253" i="38"/>
  <c r="AB294" i="38"/>
  <c r="AB295" i="38" s="1"/>
  <c r="AH265" i="38"/>
  <c r="AE265" i="38" s="1"/>
  <c r="AB339" i="38"/>
  <c r="AB414" i="38"/>
  <c r="AB415" i="38" s="1"/>
  <c r="AH406" i="38"/>
  <c r="AH402" i="38"/>
  <c r="AH398" i="38"/>
  <c r="AH394" i="38"/>
  <c r="AH390" i="38"/>
  <c r="AH386" i="38"/>
  <c r="AD386" i="38" s="1"/>
  <c r="AH407" i="38"/>
  <c r="AG407" i="38" s="1"/>
  <c r="AH403" i="38"/>
  <c r="AG403" i="38" s="1"/>
  <c r="AH399" i="38"/>
  <c r="AH395" i="38"/>
  <c r="AG395" i="38" s="1"/>
  <c r="AH391" i="38"/>
  <c r="AH387" i="38"/>
  <c r="AG387" i="38" s="1"/>
  <c r="AH379" i="38"/>
  <c r="AG379" i="38" s="1"/>
  <c r="AJ379" i="38"/>
  <c r="AH380" i="38"/>
  <c r="AJ380" i="38"/>
  <c r="AH381" i="38"/>
  <c r="AG381" i="38" s="1"/>
  <c r="AJ381" i="38"/>
  <c r="AH382" i="38"/>
  <c r="AG382" i="38" s="1"/>
  <c r="AJ382" i="38"/>
  <c r="AH383" i="38"/>
  <c r="AG383" i="38" s="1"/>
  <c r="AJ383" i="38"/>
  <c r="AJ387" i="38"/>
  <c r="AJ391" i="38"/>
  <c r="AJ395" i="38"/>
  <c r="AC413" i="38"/>
  <c r="AC414" i="38"/>
  <c r="AC415" i="38" s="1"/>
  <c r="AJ386" i="38"/>
  <c r="AJ390" i="38"/>
  <c r="AJ394" i="38"/>
  <c r="AJ398" i="38"/>
  <c r="AH385" i="38"/>
  <c r="AG385" i="38" s="1"/>
  <c r="AJ385" i="38"/>
  <c r="AJ389" i="38"/>
  <c r="AJ393" i="38"/>
  <c r="AJ397" i="38"/>
  <c r="AH384" i="38"/>
  <c r="AG384" i="38" s="1"/>
  <c r="AJ384" i="38"/>
  <c r="AJ388" i="38"/>
  <c r="AJ392" i="38"/>
  <c r="AJ396" i="38"/>
  <c r="AC359" i="38"/>
  <c r="AC360" i="38" s="1"/>
  <c r="AH315" i="38"/>
  <c r="AG315" i="38" s="1"/>
  <c r="AH317" i="38"/>
  <c r="AH319" i="38"/>
  <c r="AG319" i="38" s="1"/>
  <c r="AJ319" i="38"/>
  <c r="AH323" i="38"/>
  <c r="AD323" i="38" s="1"/>
  <c r="AJ323" i="38"/>
  <c r="AH327" i="38"/>
  <c r="AJ327" i="38"/>
  <c r="AH331" i="38"/>
  <c r="AD331" i="38" s="1"/>
  <c r="AJ331" i="38"/>
  <c r="AJ315" i="38"/>
  <c r="AJ317" i="38"/>
  <c r="AH320" i="38"/>
  <c r="AJ320" i="38"/>
  <c r="AH324" i="38"/>
  <c r="AD324" i="38" s="1"/>
  <c r="AJ324" i="38"/>
  <c r="AH328" i="38"/>
  <c r="AD328" i="38" s="1"/>
  <c r="AJ328" i="38"/>
  <c r="AH332" i="38"/>
  <c r="AD332" i="38" s="1"/>
  <c r="AJ332" i="38"/>
  <c r="AC340" i="38"/>
  <c r="AC341" i="38" s="1"/>
  <c r="AB340" i="38"/>
  <c r="AB341" i="38" s="1"/>
  <c r="AH314" i="38"/>
  <c r="AH316" i="38"/>
  <c r="AD316" i="38" s="1"/>
  <c r="AH318" i="38"/>
  <c r="AH321" i="38"/>
  <c r="AD321" i="38" s="1"/>
  <c r="AJ321" i="38"/>
  <c r="AH325" i="38"/>
  <c r="AB359" i="38"/>
  <c r="AB360" i="38" s="1"/>
  <c r="AJ325" i="38"/>
  <c r="AH329" i="38"/>
  <c r="AD329" i="38" s="1"/>
  <c r="AJ329" i="38"/>
  <c r="AH333" i="38"/>
  <c r="AD333" i="38" s="1"/>
  <c r="AJ333" i="38"/>
  <c r="AC339" i="38"/>
  <c r="AJ314" i="38"/>
  <c r="AF315" i="38"/>
  <c r="AJ316" i="38"/>
  <c r="AF317" i="38"/>
  <c r="AJ318" i="38"/>
  <c r="AF319" i="38"/>
  <c r="AH322" i="38"/>
  <c r="AD322" i="38" s="1"/>
  <c r="AJ322" i="38"/>
  <c r="AF323" i="38"/>
  <c r="AH326" i="38"/>
  <c r="AD326" i="38" s="1"/>
  <c r="AJ326" i="38"/>
  <c r="AF327" i="38"/>
  <c r="AH330" i="38"/>
  <c r="AD330" i="38" s="1"/>
  <c r="AJ330" i="38"/>
  <c r="AF331" i="38"/>
  <c r="AH334" i="38"/>
  <c r="AD334" i="38" s="1"/>
  <c r="AJ334" i="38"/>
  <c r="AC358" i="38"/>
  <c r="AH266" i="38"/>
  <c r="AD266" i="38" s="1"/>
  <c r="AB273" i="38"/>
  <c r="AJ248" i="38"/>
  <c r="AH251" i="38"/>
  <c r="AJ256" i="38"/>
  <c r="AH259" i="38"/>
  <c r="AJ262" i="38"/>
  <c r="AJ268" i="38"/>
  <c r="AB274" i="38"/>
  <c r="AB275" i="38" s="1"/>
  <c r="AH249" i="38"/>
  <c r="AD249" i="38" s="1"/>
  <c r="AJ251" i="38"/>
  <c r="AJ254" i="38"/>
  <c r="AH257" i="38"/>
  <c r="AD257" i="38" s="1"/>
  <c r="AC293" i="38"/>
  <c r="AJ259" i="38"/>
  <c r="AJ264" i="38"/>
  <c r="AC274" i="38"/>
  <c r="AC275" i="38" s="1"/>
  <c r="AC294" i="38"/>
  <c r="AC295" i="38" s="1"/>
  <c r="AJ249" i="38"/>
  <c r="AJ252" i="38"/>
  <c r="AH255" i="38"/>
  <c r="AJ257" i="38"/>
  <c r="AJ260" i="38"/>
  <c r="AJ265" i="38"/>
  <c r="AH267" i="38"/>
  <c r="AE267" i="38" s="1"/>
  <c r="AH248" i="38"/>
  <c r="AJ250" i="38"/>
  <c r="AH253" i="38"/>
  <c r="AE253" i="38" s="1"/>
  <c r="AJ255" i="38"/>
  <c r="AH256" i="38"/>
  <c r="AG256" i="38" s="1"/>
  <c r="AJ258" i="38"/>
  <c r="AJ261" i="38"/>
  <c r="AH262" i="38"/>
  <c r="AD262" i="38" s="1"/>
  <c r="AH263" i="38"/>
  <c r="AD263" i="38" s="1"/>
  <c r="AJ266" i="38"/>
  <c r="AJ267" i="38"/>
  <c r="AH268" i="38"/>
  <c r="AD268" i="38" s="1"/>
  <c r="AF248" i="38"/>
  <c r="AF259" i="38"/>
  <c r="AB293" i="38"/>
  <c r="AC229" i="38"/>
  <c r="AC230" i="38" s="1"/>
  <c r="AC209" i="38"/>
  <c r="AH185" i="38"/>
  <c r="AJ185" i="38"/>
  <c r="AH189" i="38"/>
  <c r="AG189" i="38" s="1"/>
  <c r="AJ189" i="38"/>
  <c r="AH193" i="38"/>
  <c r="AG193" i="38" s="1"/>
  <c r="AJ193" i="38"/>
  <c r="AH197" i="38"/>
  <c r="AJ197" i="38"/>
  <c r="AH201" i="38"/>
  <c r="AG201" i="38" s="1"/>
  <c r="AJ201" i="38"/>
  <c r="AB210" i="38"/>
  <c r="AB211" i="38" s="1"/>
  <c r="AH184" i="38"/>
  <c r="AE184" i="38" s="1"/>
  <c r="AJ184" i="38"/>
  <c r="AH188" i="38"/>
  <c r="AG188" i="38" s="1"/>
  <c r="AJ188" i="38"/>
  <c r="AH192" i="38"/>
  <c r="AG192" i="38" s="1"/>
  <c r="AJ192" i="38"/>
  <c r="AH196" i="38"/>
  <c r="AJ196" i="38"/>
  <c r="AH200" i="38"/>
  <c r="AG200" i="38" s="1"/>
  <c r="AJ200" i="38"/>
  <c r="AH204" i="38"/>
  <c r="AG204" i="38" s="1"/>
  <c r="AJ204" i="38"/>
  <c r="AF185" i="38"/>
  <c r="AH187" i="38"/>
  <c r="AG187" i="38" s="1"/>
  <c r="AJ187" i="38"/>
  <c r="AF189" i="38"/>
  <c r="AH191" i="38"/>
  <c r="AG191" i="38" s="1"/>
  <c r="AJ191" i="38"/>
  <c r="AF193" i="38"/>
  <c r="AH195" i="38"/>
  <c r="AB229" i="38"/>
  <c r="AB230" i="38" s="1"/>
  <c r="AJ195" i="38"/>
  <c r="AF197" i="38"/>
  <c r="AH199" i="38"/>
  <c r="AG199" i="38" s="1"/>
  <c r="AJ199" i="38"/>
  <c r="AF201" i="38"/>
  <c r="AH203" i="38"/>
  <c r="AG203" i="38" s="1"/>
  <c r="AJ203" i="38"/>
  <c r="AF184" i="38"/>
  <c r="AH186" i="38"/>
  <c r="AJ186" i="38"/>
  <c r="AF188" i="38"/>
  <c r="AH190" i="38"/>
  <c r="AG190" i="38" s="1"/>
  <c r="AJ190" i="38"/>
  <c r="AF192" i="38"/>
  <c r="AH194" i="38"/>
  <c r="AG194" i="38" s="1"/>
  <c r="AJ194" i="38"/>
  <c r="AF196" i="38"/>
  <c r="AH198" i="38"/>
  <c r="AG198" i="38" s="1"/>
  <c r="AJ198" i="38"/>
  <c r="AF200" i="38"/>
  <c r="AH202" i="38"/>
  <c r="AG202" i="38" s="1"/>
  <c r="AJ202" i="38"/>
  <c r="AF204" i="38"/>
  <c r="AC210" i="38"/>
  <c r="AC211" i="38" s="1"/>
  <c r="AC228" i="38"/>
  <c r="AH121" i="38"/>
  <c r="AH123" i="38"/>
  <c r="AH125" i="38"/>
  <c r="AG125" i="38" s="1"/>
  <c r="AH127" i="38"/>
  <c r="AG127" i="38" s="1"/>
  <c r="AH130" i="38"/>
  <c r="AJ130" i="38"/>
  <c r="AH134" i="38"/>
  <c r="AD134" i="38" s="1"/>
  <c r="AJ134" i="38"/>
  <c r="AH138" i="38"/>
  <c r="AJ138" i="38"/>
  <c r="AJ121" i="38"/>
  <c r="AJ123" i="38"/>
  <c r="AJ125" i="38"/>
  <c r="AJ127" i="38"/>
  <c r="AH131" i="38"/>
  <c r="AJ131" i="38"/>
  <c r="AH135" i="38"/>
  <c r="AD135" i="38" s="1"/>
  <c r="AJ135" i="38"/>
  <c r="AH139" i="38"/>
  <c r="AJ139" i="38"/>
  <c r="AC146" i="38"/>
  <c r="AC147" i="38" s="1"/>
  <c r="AB146" i="38"/>
  <c r="AB147" i="38" s="1"/>
  <c r="AH120" i="38"/>
  <c r="AD120" i="38" s="1"/>
  <c r="AH122" i="38"/>
  <c r="AH124" i="38"/>
  <c r="AD124" i="38" s="1"/>
  <c r="AH126" i="38"/>
  <c r="AD126" i="38" s="1"/>
  <c r="AH128" i="38"/>
  <c r="AD128" i="38" s="1"/>
  <c r="AJ128" i="38"/>
  <c r="AH132" i="38"/>
  <c r="AJ132" i="38"/>
  <c r="AH136" i="38"/>
  <c r="AD136" i="38" s="1"/>
  <c r="AJ136" i="38"/>
  <c r="AH140" i="38"/>
  <c r="AJ140" i="38"/>
  <c r="AC145" i="38"/>
  <c r="AJ120" i="38"/>
  <c r="AF121" i="38"/>
  <c r="AJ122" i="38"/>
  <c r="AF123" i="38"/>
  <c r="AJ124" i="38"/>
  <c r="AF125" i="38"/>
  <c r="AJ126" i="38"/>
  <c r="AF127" i="38"/>
  <c r="AH129" i="38"/>
  <c r="AJ129" i="38"/>
  <c r="AF130" i="38"/>
  <c r="AH133" i="38"/>
  <c r="AJ133" i="38"/>
  <c r="AF134" i="38"/>
  <c r="AH137" i="38"/>
  <c r="AJ137" i="38"/>
  <c r="AF138" i="38"/>
  <c r="AH71" i="38"/>
  <c r="AH67" i="38"/>
  <c r="AD67" i="38" s="1"/>
  <c r="AH63" i="38"/>
  <c r="AJ72" i="38"/>
  <c r="AJ68" i="38"/>
  <c r="AJ64" i="38"/>
  <c r="AH72" i="38"/>
  <c r="AG72" i="38" s="1"/>
  <c r="AH68" i="38"/>
  <c r="AG68" i="38" s="1"/>
  <c r="AH64" i="38"/>
  <c r="AG64" i="38" s="1"/>
  <c r="AH59" i="38"/>
  <c r="AD59" i="38" s="1"/>
  <c r="AJ54" i="38"/>
  <c r="AH27" i="38"/>
  <c r="AG27" i="38" s="1"/>
  <c r="AH23" i="38"/>
  <c r="AG23" i="38" s="1"/>
  <c r="AH19" i="38"/>
  <c r="AH15" i="38"/>
  <c r="AG15" i="38" s="1"/>
  <c r="AH11" i="38"/>
  <c r="AG11" i="38" s="1"/>
  <c r="AF26" i="38"/>
  <c r="AF18" i="38"/>
  <c r="AJ22" i="38"/>
  <c r="AH26" i="38"/>
  <c r="AH22" i="38"/>
  <c r="AH18" i="38"/>
  <c r="AD18" i="38" s="1"/>
  <c r="AH14" i="38"/>
  <c r="AH10" i="38"/>
  <c r="AD10" i="38" s="1"/>
  <c r="AH55" i="38"/>
  <c r="AJ61" i="38"/>
  <c r="AJ52" i="38"/>
  <c r="AJ55" i="38"/>
  <c r="AJ58" i="38"/>
  <c r="H63" i="38"/>
  <c r="N117" i="38"/>
  <c r="M117" i="38" s="1"/>
  <c r="L256" i="38"/>
  <c r="N256" i="38"/>
  <c r="AF53" i="38"/>
  <c r="AJ53" i="38"/>
  <c r="AF60" i="38"/>
  <c r="AH60" i="38"/>
  <c r="AJ62" i="38"/>
  <c r="L20" i="38"/>
  <c r="L16" i="38"/>
  <c r="L12" i="38"/>
  <c r="L8" i="38"/>
  <c r="H24" i="38"/>
  <c r="I83" i="38"/>
  <c r="I84" i="38"/>
  <c r="I85" i="38" s="1"/>
  <c r="I64" i="38"/>
  <c r="H84" i="38"/>
  <c r="H85" i="38" s="1"/>
  <c r="L123" i="38"/>
  <c r="N116" i="38"/>
  <c r="I216" i="38"/>
  <c r="I217" i="38" s="1"/>
  <c r="I347" i="38"/>
  <c r="I348" i="38" s="1"/>
  <c r="I346" i="38"/>
  <c r="P454" i="38"/>
  <c r="L454" i="38"/>
  <c r="I460" i="38"/>
  <c r="I461" i="38" s="1"/>
  <c r="H478" i="38"/>
  <c r="P38" i="38"/>
  <c r="AH53" i="38"/>
  <c r="AH57" i="38"/>
  <c r="AE57" i="38" s="1"/>
  <c r="N19" i="38"/>
  <c r="M19" i="38" s="1"/>
  <c r="N15" i="38"/>
  <c r="M15" i="38" s="1"/>
  <c r="N11" i="38"/>
  <c r="M11" i="38" s="1"/>
  <c r="H25" i="38"/>
  <c r="H26" i="38" s="1"/>
  <c r="N126" i="38"/>
  <c r="N122" i="38"/>
  <c r="M122" i="38" s="1"/>
  <c r="N118" i="38"/>
  <c r="M118" i="38" s="1"/>
  <c r="P116" i="38"/>
  <c r="I132" i="38"/>
  <c r="I133" i="38" s="1"/>
  <c r="L237" i="38"/>
  <c r="H263" i="38"/>
  <c r="H264" i="38" s="1"/>
  <c r="H262" i="38"/>
  <c r="L249" i="38"/>
  <c r="H281" i="38"/>
  <c r="H282" i="38" s="1"/>
  <c r="I280" i="38"/>
  <c r="H346" i="38"/>
  <c r="H393" i="38"/>
  <c r="H394" i="38" s="1"/>
  <c r="H479" i="38"/>
  <c r="H480" i="38" s="1"/>
  <c r="AJ20" i="38"/>
  <c r="AJ56" i="38"/>
  <c r="AJ57" i="38"/>
  <c r="AH58" i="38"/>
  <c r="AH61" i="38"/>
  <c r="AE61" i="38" s="1"/>
  <c r="P103" i="38"/>
  <c r="H132" i="38"/>
  <c r="H133" i="38" s="1"/>
  <c r="L173" i="38"/>
  <c r="L181" i="38"/>
  <c r="H215" i="38"/>
  <c r="H216" i="38"/>
  <c r="H217" i="38" s="1"/>
  <c r="L18" i="38"/>
  <c r="L14" i="38"/>
  <c r="L10" i="38"/>
  <c r="I24" i="38"/>
  <c r="L125" i="38"/>
  <c r="L121" i="38"/>
  <c r="L116" i="38"/>
  <c r="H280" i="38"/>
  <c r="H347" i="38"/>
  <c r="H348" i="38" s="1"/>
  <c r="I392" i="38"/>
  <c r="N453" i="38"/>
  <c r="M453" i="38" s="1"/>
  <c r="I262" i="38"/>
  <c r="I411" i="38"/>
  <c r="I412" i="38"/>
  <c r="I413" i="38" s="1"/>
  <c r="I478" i="38"/>
  <c r="AH52" i="38"/>
  <c r="AD52" i="38" s="1"/>
  <c r="AJ59" i="38"/>
  <c r="AJ63" i="38"/>
  <c r="P258" i="38"/>
  <c r="N323" i="38"/>
  <c r="M323" i="38" s="1"/>
  <c r="H392" i="38"/>
  <c r="H411" i="38"/>
  <c r="L431" i="38"/>
  <c r="H460" i="38"/>
  <c r="H461" i="38" s="1"/>
  <c r="I263" i="38"/>
  <c r="I264" i="38" s="1"/>
  <c r="H328" i="38"/>
  <c r="I479" i="38"/>
  <c r="I480" i="38" s="1"/>
  <c r="AJ19" i="38"/>
  <c r="AH7" i="38"/>
  <c r="AJ14" i="38"/>
  <c r="AJ7" i="38"/>
  <c r="AJ9" i="38"/>
  <c r="AJ11" i="38"/>
  <c r="AJ15" i="38"/>
  <c r="AJ12" i="38"/>
  <c r="AJ16" i="38"/>
  <c r="AJ18" i="38"/>
  <c r="AJ8" i="38"/>
  <c r="AJ10" i="38"/>
  <c r="AJ13" i="38"/>
  <c r="AJ17" i="38"/>
  <c r="N454" i="38"/>
  <c r="N455" i="38"/>
  <c r="M455" i="38" s="1"/>
  <c r="N432" i="38"/>
  <c r="N434" i="38"/>
  <c r="M434" i="38" s="1"/>
  <c r="N436" i="38"/>
  <c r="M436" i="38" s="1"/>
  <c r="N438" i="38"/>
  <c r="M438" i="38" s="1"/>
  <c r="N440" i="38"/>
  <c r="M440" i="38" s="1"/>
  <c r="N442" i="38"/>
  <c r="M442" i="38" s="1"/>
  <c r="P442" i="38"/>
  <c r="N446" i="38"/>
  <c r="P446" i="38"/>
  <c r="N450" i="38"/>
  <c r="J450" i="38" s="1"/>
  <c r="P450" i="38"/>
  <c r="P432" i="38"/>
  <c r="P434" i="38"/>
  <c r="P436" i="38"/>
  <c r="P438" i="38"/>
  <c r="P440" i="38"/>
  <c r="P443" i="38"/>
  <c r="N447" i="38"/>
  <c r="J447" i="38" s="1"/>
  <c r="P447" i="38"/>
  <c r="N451" i="38"/>
  <c r="P451" i="38"/>
  <c r="N431" i="38"/>
  <c r="N433" i="38"/>
  <c r="N435" i="38"/>
  <c r="J435" i="38" s="1"/>
  <c r="N437" i="38"/>
  <c r="J437" i="38" s="1"/>
  <c r="N439" i="38"/>
  <c r="J439" i="38" s="1"/>
  <c r="N441" i="38"/>
  <c r="J441" i="38" s="1"/>
  <c r="N444" i="38"/>
  <c r="P444" i="38"/>
  <c r="N448" i="38"/>
  <c r="J448" i="38" s="1"/>
  <c r="P448" i="38"/>
  <c r="N452" i="38"/>
  <c r="P452" i="38"/>
  <c r="P431" i="38"/>
  <c r="L432" i="38"/>
  <c r="P433" i="38"/>
  <c r="L434" i="38"/>
  <c r="P435" i="38"/>
  <c r="L436" i="38"/>
  <c r="P437" i="38"/>
  <c r="L438" i="38"/>
  <c r="P439" i="38"/>
  <c r="L440" i="38"/>
  <c r="P441" i="38"/>
  <c r="L442" i="38"/>
  <c r="N445" i="38"/>
  <c r="J445" i="38" s="1"/>
  <c r="P445" i="38"/>
  <c r="L446" i="38"/>
  <c r="N449" i="38"/>
  <c r="J449" i="38" s="1"/>
  <c r="P449" i="38"/>
  <c r="L450" i="38"/>
  <c r="P453" i="38"/>
  <c r="N365" i="38"/>
  <c r="P365" i="38"/>
  <c r="N372" i="38"/>
  <c r="M372" i="38" s="1"/>
  <c r="P372" i="38"/>
  <c r="N384" i="38"/>
  <c r="P384" i="38"/>
  <c r="N366" i="38"/>
  <c r="P366" i="38"/>
  <c r="N370" i="38"/>
  <c r="M370" i="38" s="1"/>
  <c r="P370" i="38"/>
  <c r="L372" i="38"/>
  <c r="N374" i="38"/>
  <c r="M374" i="38" s="1"/>
  <c r="P374" i="38"/>
  <c r="N378" i="38"/>
  <c r="P378" i="38"/>
  <c r="N382" i="38"/>
  <c r="M382" i="38" s="1"/>
  <c r="P382" i="38"/>
  <c r="L384" i="38"/>
  <c r="N386" i="38"/>
  <c r="M386" i="38" s="1"/>
  <c r="P386" i="38"/>
  <c r="N369" i="38"/>
  <c r="M369" i="38" s="1"/>
  <c r="P369" i="38"/>
  <c r="N373" i="38"/>
  <c r="M373" i="38" s="1"/>
  <c r="P373" i="38"/>
  <c r="N377" i="38"/>
  <c r="M377" i="38" s="1"/>
  <c r="P377" i="38"/>
  <c r="N381" i="38"/>
  <c r="M381" i="38" s="1"/>
  <c r="P381" i="38"/>
  <c r="N385" i="38"/>
  <c r="P385" i="38"/>
  <c r="N368" i="38"/>
  <c r="M368" i="38" s="1"/>
  <c r="P368" i="38"/>
  <c r="N376" i="38"/>
  <c r="J376" i="38" s="1"/>
  <c r="P376" i="38"/>
  <c r="N380" i="38"/>
  <c r="M380" i="38" s="1"/>
  <c r="P380" i="38"/>
  <c r="L365" i="38"/>
  <c r="N367" i="38"/>
  <c r="P367" i="38"/>
  <c r="L369" i="38"/>
  <c r="N371" i="38"/>
  <c r="M371" i="38" s="1"/>
  <c r="P371" i="38"/>
  <c r="L373" i="38"/>
  <c r="N375" i="38"/>
  <c r="M375" i="38" s="1"/>
  <c r="P375" i="38"/>
  <c r="L377" i="38"/>
  <c r="N379" i="38"/>
  <c r="M379" i="38" s="1"/>
  <c r="P379" i="38"/>
  <c r="L381" i="38"/>
  <c r="N383" i="38"/>
  <c r="M383" i="38" s="1"/>
  <c r="P383" i="38"/>
  <c r="L385" i="38"/>
  <c r="N387" i="38"/>
  <c r="M387" i="38" s="1"/>
  <c r="P387" i="38"/>
  <c r="L301" i="38"/>
  <c r="I328" i="38"/>
  <c r="P303" i="38"/>
  <c r="P307" i="38"/>
  <c r="N302" i="38"/>
  <c r="N304" i="38"/>
  <c r="M304" i="38" s="1"/>
  <c r="N306" i="38"/>
  <c r="M306" i="38" s="1"/>
  <c r="N308" i="38"/>
  <c r="M308" i="38" s="1"/>
  <c r="N311" i="38"/>
  <c r="J311" i="38" s="1"/>
  <c r="P311" i="38"/>
  <c r="N315" i="38"/>
  <c r="J315" i="38" s="1"/>
  <c r="P315" i="38"/>
  <c r="N319" i="38"/>
  <c r="P319" i="38"/>
  <c r="P302" i="38"/>
  <c r="P304" i="38"/>
  <c r="P306" i="38"/>
  <c r="P308" i="38"/>
  <c r="N312" i="38"/>
  <c r="P312" i="38"/>
  <c r="N316" i="38"/>
  <c r="J316" i="38" s="1"/>
  <c r="P316" i="38"/>
  <c r="N320" i="38"/>
  <c r="P320" i="38"/>
  <c r="I329" i="38"/>
  <c r="I330" i="38" s="1"/>
  <c r="H329" i="38"/>
  <c r="H330" i="38" s="1"/>
  <c r="N301" i="38"/>
  <c r="N303" i="38"/>
  <c r="N305" i="38"/>
  <c r="J305" i="38" s="1"/>
  <c r="N307" i="38"/>
  <c r="J307" i="38" s="1"/>
  <c r="N309" i="38"/>
  <c r="J309" i="38" s="1"/>
  <c r="P309" i="38"/>
  <c r="N313" i="38"/>
  <c r="J313" i="38" s="1"/>
  <c r="P313" i="38"/>
  <c r="N317" i="38"/>
  <c r="J317" i="38" s="1"/>
  <c r="P317" i="38"/>
  <c r="N321" i="38"/>
  <c r="P321" i="38"/>
  <c r="L302" i="38"/>
  <c r="L304" i="38"/>
  <c r="L306" i="38"/>
  <c r="L308" i="38"/>
  <c r="N310" i="38"/>
  <c r="J310" i="38" s="1"/>
  <c r="P310" i="38"/>
  <c r="L311" i="38"/>
  <c r="N314" i="38"/>
  <c r="J314" i="38" s="1"/>
  <c r="P314" i="38"/>
  <c r="L315" i="38"/>
  <c r="N318" i="38"/>
  <c r="J318" i="38" s="1"/>
  <c r="P318" i="38"/>
  <c r="L319" i="38"/>
  <c r="N322" i="38"/>
  <c r="J322" i="38" s="1"/>
  <c r="P322" i="38"/>
  <c r="P257" i="38"/>
  <c r="N257" i="38"/>
  <c r="N258" i="38"/>
  <c r="M258" i="38" s="1"/>
  <c r="N252" i="38"/>
  <c r="M252" i="38" s="1"/>
  <c r="N254" i="38"/>
  <c r="M254" i="38" s="1"/>
  <c r="N253" i="38"/>
  <c r="M253" i="38" s="1"/>
  <c r="N255" i="38"/>
  <c r="L255" i="38"/>
  <c r="N239" i="38"/>
  <c r="M239" i="38" s="1"/>
  <c r="P239" i="38"/>
  <c r="N243" i="38"/>
  <c r="M243" i="38" s="1"/>
  <c r="P243" i="38"/>
  <c r="N247" i="38"/>
  <c r="M247" i="38" s="1"/>
  <c r="P247" i="38"/>
  <c r="N240" i="38"/>
  <c r="M240" i="38" s="1"/>
  <c r="P240" i="38"/>
  <c r="N244" i="38"/>
  <c r="M244" i="38" s="1"/>
  <c r="P244" i="38"/>
  <c r="N248" i="38"/>
  <c r="P248" i="38"/>
  <c r="N251" i="38"/>
  <c r="M251" i="38" s="1"/>
  <c r="P251" i="38"/>
  <c r="L251" i="38"/>
  <c r="N238" i="38"/>
  <c r="P238" i="38"/>
  <c r="N242" i="38"/>
  <c r="M242" i="38" s="1"/>
  <c r="P242" i="38"/>
  <c r="N246" i="38"/>
  <c r="J246" i="38" s="1"/>
  <c r="P246" i="38"/>
  <c r="N250" i="38"/>
  <c r="M250" i="38" s="1"/>
  <c r="L250" i="38"/>
  <c r="P250" i="38"/>
  <c r="N237" i="38"/>
  <c r="P237" i="38"/>
  <c r="L239" i="38"/>
  <c r="N241" i="38"/>
  <c r="M241" i="38" s="1"/>
  <c r="P241" i="38"/>
  <c r="L243" i="38"/>
  <c r="N245" i="38"/>
  <c r="M245" i="38" s="1"/>
  <c r="P245" i="38"/>
  <c r="L247" i="38"/>
  <c r="N249" i="38"/>
  <c r="M249" i="38" s="1"/>
  <c r="P249" i="38"/>
  <c r="L252" i="38"/>
  <c r="L253" i="38"/>
  <c r="L254" i="38"/>
  <c r="N111" i="38"/>
  <c r="M111" i="38" s="1"/>
  <c r="P111" i="38"/>
  <c r="N103" i="38"/>
  <c r="N107" i="38"/>
  <c r="P107" i="38"/>
  <c r="N106" i="38"/>
  <c r="N110" i="38"/>
  <c r="M110" i="38" s="1"/>
  <c r="P106" i="38"/>
  <c r="P110" i="38"/>
  <c r="N104" i="38"/>
  <c r="N105" i="38"/>
  <c r="M105" i="38" s="1"/>
  <c r="N108" i="38"/>
  <c r="N109" i="38"/>
  <c r="M109" i="38" s="1"/>
  <c r="N112" i="38"/>
  <c r="N113" i="38"/>
  <c r="K113" i="38" s="1"/>
  <c r="P104" i="38"/>
  <c r="P105" i="38"/>
  <c r="P108" i="38"/>
  <c r="P109" i="38"/>
  <c r="P112" i="38"/>
  <c r="P113" i="38"/>
  <c r="N58" i="38"/>
  <c r="J58" i="38" s="1"/>
  <c r="N54" i="38"/>
  <c r="N50" i="38"/>
  <c r="N47" i="38"/>
  <c r="P47" i="38"/>
  <c r="N43" i="38"/>
  <c r="P43" i="38"/>
  <c r="N39" i="38"/>
  <c r="P39" i="38"/>
  <c r="L58" i="38"/>
  <c r="N57" i="38"/>
  <c r="J57" i="38" s="1"/>
  <c r="L54" i="38"/>
  <c r="N53" i="38"/>
  <c r="L50" i="38"/>
  <c r="N49" i="38"/>
  <c r="N48" i="38"/>
  <c r="J48" i="38" s="1"/>
  <c r="N44" i="38"/>
  <c r="P44" i="38"/>
  <c r="N40" i="38"/>
  <c r="P40" i="38"/>
  <c r="L57" i="38"/>
  <c r="N56" i="38"/>
  <c r="L53" i="38"/>
  <c r="N52" i="38"/>
  <c r="L49" i="38"/>
  <c r="P48" i="38"/>
  <c r="L47" i="38"/>
  <c r="N45" i="38"/>
  <c r="P45" i="38"/>
  <c r="L43" i="38"/>
  <c r="N41" i="38"/>
  <c r="P41" i="38"/>
  <c r="L39" i="38"/>
  <c r="N59" i="38"/>
  <c r="J59" i="38" s="1"/>
  <c r="L56" i="38"/>
  <c r="N55" i="38"/>
  <c r="L52" i="38"/>
  <c r="N51" i="38"/>
  <c r="L48" i="38"/>
  <c r="N46" i="38"/>
  <c r="P46" i="38"/>
  <c r="L44" i="38"/>
  <c r="N42" i="38"/>
  <c r="P42" i="38"/>
  <c r="L40" i="38"/>
  <c r="P7" i="38"/>
  <c r="AG236" i="37"/>
  <c r="AF236" i="37" s="1"/>
  <c r="AI235" i="37"/>
  <c r="AI245" i="37"/>
  <c r="AG246" i="37"/>
  <c r="AF246" i="37" s="1"/>
  <c r="AG238" i="37"/>
  <c r="AF238" i="37" s="1"/>
  <c r="AG244" i="37"/>
  <c r="AF244" i="37" s="1"/>
  <c r="AG242" i="37"/>
  <c r="AF242" i="37" s="1"/>
  <c r="AE240" i="37"/>
  <c r="AG240" i="37"/>
  <c r="AE243" i="37"/>
  <c r="AI243" i="37"/>
  <c r="AI238" i="37"/>
  <c r="AG241" i="37"/>
  <c r="AC241" i="37" s="1"/>
  <c r="AI246" i="37"/>
  <c r="AI236" i="37"/>
  <c r="AG239" i="37"/>
  <c r="AI241" i="37"/>
  <c r="AI244" i="37"/>
  <c r="AG247" i="37"/>
  <c r="AG237" i="37"/>
  <c r="AD237" i="37" s="1"/>
  <c r="AI239" i="37"/>
  <c r="AI242" i="37"/>
  <c r="AG245" i="37"/>
  <c r="AI247" i="37"/>
  <c r="AE234" i="37"/>
  <c r="AE233" i="37"/>
  <c r="AG234" i="37"/>
  <c r="AC234" i="37" s="1"/>
  <c r="AE232" i="37"/>
  <c r="AG233" i="37"/>
  <c r="AC233" i="37" s="1"/>
  <c r="AG232" i="37"/>
  <c r="AG235" i="37"/>
  <c r="AE180" i="37"/>
  <c r="AE168" i="37"/>
  <c r="AE156" i="37"/>
  <c r="AE185" i="37"/>
  <c r="AE181" i="37"/>
  <c r="AE161" i="37"/>
  <c r="AI161" i="37"/>
  <c r="AG192" i="37"/>
  <c r="AC192" i="37" s="1"/>
  <c r="AG188" i="37"/>
  <c r="AG184" i="37"/>
  <c r="AC184" i="37" s="1"/>
  <c r="AG180" i="37"/>
  <c r="AG176" i="37"/>
  <c r="AG172" i="37"/>
  <c r="AC172" i="37" s="1"/>
  <c r="AG168" i="37"/>
  <c r="AC168" i="37" s="1"/>
  <c r="AG164" i="37"/>
  <c r="AC164" i="37" s="1"/>
  <c r="AG160" i="37"/>
  <c r="AC160" i="37" s="1"/>
  <c r="AG156" i="37"/>
  <c r="AC156" i="37" s="1"/>
  <c r="AG152" i="37"/>
  <c r="AC152" i="37" s="1"/>
  <c r="AE193" i="37"/>
  <c r="AE177" i="37"/>
  <c r="AE173" i="37"/>
  <c r="AE169" i="37"/>
  <c r="AE165" i="37"/>
  <c r="AI165" i="37"/>
  <c r="AG193" i="37"/>
  <c r="AF193" i="37" s="1"/>
  <c r="AG189" i="37"/>
  <c r="AF189" i="37" s="1"/>
  <c r="AG185" i="37"/>
  <c r="AF185" i="37" s="1"/>
  <c r="AG181" i="37"/>
  <c r="AF181" i="37" s="1"/>
  <c r="AG177" i="37"/>
  <c r="AF177" i="37" s="1"/>
  <c r="AG173" i="37"/>
  <c r="AF173" i="37" s="1"/>
  <c r="AG169" i="37"/>
  <c r="AF169" i="37" s="1"/>
  <c r="AG165" i="37"/>
  <c r="AF165" i="37" s="1"/>
  <c r="AG161" i="37"/>
  <c r="AF161" i="37" s="1"/>
  <c r="AG157" i="37"/>
  <c r="AF157" i="37" s="1"/>
  <c r="AG153" i="37"/>
  <c r="AF153" i="37" s="1"/>
  <c r="AI178" i="37"/>
  <c r="AI179" i="37"/>
  <c r="AI180" i="37"/>
  <c r="AI181" i="37"/>
  <c r="AI152" i="37"/>
  <c r="AI156" i="37"/>
  <c r="AI160" i="37"/>
  <c r="AI164" i="37"/>
  <c r="AI151" i="37"/>
  <c r="AI155" i="37"/>
  <c r="AI159" i="37"/>
  <c r="AI163" i="37"/>
  <c r="AI167" i="37"/>
  <c r="AI171" i="37"/>
  <c r="AI175" i="37"/>
  <c r="AI168" i="37"/>
  <c r="AI172" i="37"/>
  <c r="AI176" i="37"/>
  <c r="AI157" i="37"/>
  <c r="AI173" i="37"/>
  <c r="AI177" i="37"/>
  <c r="AG150" i="37"/>
  <c r="AI150" i="37"/>
  <c r="AI154" i="37"/>
  <c r="AI158" i="37"/>
  <c r="AI162" i="37"/>
  <c r="AI166" i="37"/>
  <c r="AI170" i="37"/>
  <c r="AI174" i="37"/>
  <c r="N283" i="37"/>
  <c r="M283" i="37" s="1"/>
  <c r="N285" i="37"/>
  <c r="M285" i="37" s="1"/>
  <c r="N287" i="37"/>
  <c r="M287" i="37" s="1"/>
  <c r="N289" i="37"/>
  <c r="M289" i="37" s="1"/>
  <c r="N291" i="37"/>
  <c r="M291" i="37" s="1"/>
  <c r="L291" i="37"/>
  <c r="P281" i="37"/>
  <c r="P282" i="37"/>
  <c r="P283" i="37"/>
  <c r="P284" i="37"/>
  <c r="P285" i="37"/>
  <c r="P286" i="37"/>
  <c r="P287" i="37"/>
  <c r="P288" i="37"/>
  <c r="P289" i="37"/>
  <c r="P290" i="37"/>
  <c r="P291" i="37"/>
  <c r="L281" i="37"/>
  <c r="L282" i="37"/>
  <c r="L283" i="37"/>
  <c r="L284" i="37"/>
  <c r="L285" i="37"/>
  <c r="L286" i="37"/>
  <c r="L287" i="37"/>
  <c r="L288" i="37"/>
  <c r="L289" i="37"/>
  <c r="L290" i="37"/>
  <c r="N281" i="37"/>
  <c r="N229" i="37"/>
  <c r="J229" i="37" s="1"/>
  <c r="N225" i="37"/>
  <c r="N219" i="37"/>
  <c r="P219" i="37"/>
  <c r="N215" i="37"/>
  <c r="P215" i="37"/>
  <c r="N211" i="37"/>
  <c r="P211" i="37"/>
  <c r="L229" i="37"/>
  <c r="N228" i="37"/>
  <c r="L225" i="37"/>
  <c r="N224" i="37"/>
  <c r="N220" i="37"/>
  <c r="P220" i="37"/>
  <c r="N216" i="37"/>
  <c r="P216" i="37"/>
  <c r="N212" i="37"/>
  <c r="P212" i="37"/>
  <c r="L228" i="37"/>
  <c r="N227" i="37"/>
  <c r="L224" i="37"/>
  <c r="N223" i="37"/>
  <c r="N221" i="37"/>
  <c r="J221" i="37" s="1"/>
  <c r="P221" i="37"/>
  <c r="L219" i="37"/>
  <c r="N217" i="37"/>
  <c r="J217" i="37" s="1"/>
  <c r="P217" i="37"/>
  <c r="L215" i="37"/>
  <c r="N213" i="37"/>
  <c r="J213" i="37" s="1"/>
  <c r="P213" i="37"/>
  <c r="L211" i="37"/>
  <c r="N230" i="37"/>
  <c r="L227" i="37"/>
  <c r="N226" i="37"/>
  <c r="J226" i="37" s="1"/>
  <c r="L223" i="37"/>
  <c r="N222" i="37"/>
  <c r="L220" i="37"/>
  <c r="N218" i="37"/>
  <c r="P218" i="37"/>
  <c r="L216" i="37"/>
  <c r="N214" i="37"/>
  <c r="P214" i="37"/>
  <c r="L212" i="37"/>
  <c r="AI7" i="37"/>
  <c r="N61" i="37"/>
  <c r="P56" i="37"/>
  <c r="N56" i="37"/>
  <c r="M56" i="37" s="1"/>
  <c r="P54" i="37"/>
  <c r="P62" i="37"/>
  <c r="N55" i="37"/>
  <c r="M55" i="37" s="1"/>
  <c r="P53" i="37"/>
  <c r="P52" i="37"/>
  <c r="H131" i="37"/>
  <c r="I184" i="37"/>
  <c r="I202" i="37"/>
  <c r="N68" i="37"/>
  <c r="P66" i="37"/>
  <c r="N62" i="37"/>
  <c r="J62" i="37" s="1"/>
  <c r="K56" i="37"/>
  <c r="N53" i="37"/>
  <c r="M53" i="37" s="1"/>
  <c r="L50" i="37"/>
  <c r="L169" i="37"/>
  <c r="H185" i="37"/>
  <c r="H186" i="37" s="1"/>
  <c r="H184" i="37"/>
  <c r="P177" i="37"/>
  <c r="H203" i="37"/>
  <c r="H204" i="37" s="1"/>
  <c r="H202" i="37"/>
  <c r="L58" i="37"/>
  <c r="P58" i="37"/>
  <c r="L25" i="37"/>
  <c r="P25" i="37"/>
  <c r="H29" i="37"/>
  <c r="N67" i="37"/>
  <c r="N63" i="37"/>
  <c r="M63" i="37" s="1"/>
  <c r="P68" i="37"/>
  <c r="P67" i="37"/>
  <c r="P64" i="37"/>
  <c r="P63" i="37"/>
  <c r="I203" i="37"/>
  <c r="I204" i="37" s="1"/>
  <c r="P69" i="37"/>
  <c r="L67" i="37"/>
  <c r="P65" i="37"/>
  <c r="L63" i="37"/>
  <c r="P61" i="37"/>
  <c r="N58" i="37"/>
  <c r="M58" i="37" s="1"/>
  <c r="N52" i="37"/>
  <c r="J52" i="37" s="1"/>
  <c r="I185" i="37"/>
  <c r="I186" i="37" s="1"/>
  <c r="N210" i="37"/>
  <c r="P210" i="37"/>
  <c r="N180" i="37"/>
  <c r="M180" i="37" s="1"/>
  <c r="P119" i="37"/>
  <c r="H149" i="37"/>
  <c r="H150" i="37" s="1"/>
  <c r="H89" i="37"/>
  <c r="I30" i="37"/>
  <c r="I31" i="37" s="1"/>
  <c r="H73" i="37"/>
  <c r="H74" i="37" s="1"/>
  <c r="H72" i="37"/>
  <c r="I132" i="37"/>
  <c r="I133" i="37" s="1"/>
  <c r="I131" i="37"/>
  <c r="I149" i="37"/>
  <c r="I150" i="37" s="1"/>
  <c r="I148" i="37"/>
  <c r="H30" i="37"/>
  <c r="H31" i="37" s="1"/>
  <c r="N69" i="37"/>
  <c r="M69" i="37" s="1"/>
  <c r="N65" i="37"/>
  <c r="M65" i="37" s="1"/>
  <c r="P59" i="37"/>
  <c r="P51" i="37"/>
  <c r="I73" i="37"/>
  <c r="I74" i="37" s="1"/>
  <c r="H90" i="37"/>
  <c r="H91" i="37" s="1"/>
  <c r="I90" i="37"/>
  <c r="I91" i="37" s="1"/>
  <c r="I72" i="37"/>
  <c r="I29" i="37"/>
  <c r="N59" i="37"/>
  <c r="M59" i="37" s="1"/>
  <c r="P57" i="37"/>
  <c r="N51" i="37"/>
  <c r="M51" i="37" s="1"/>
  <c r="P49" i="37"/>
  <c r="I89" i="37"/>
  <c r="N57" i="37"/>
  <c r="M57" i="37" s="1"/>
  <c r="P55" i="37"/>
  <c r="N49" i="37"/>
  <c r="H132" i="37"/>
  <c r="H133" i="37" s="1"/>
  <c r="H148" i="37"/>
  <c r="N60" i="37"/>
  <c r="L173" i="37"/>
  <c r="L178" i="37"/>
  <c r="L174" i="37"/>
  <c r="N176" i="37"/>
  <c r="M176" i="37" s="1"/>
  <c r="L177" i="37"/>
  <c r="N179" i="37"/>
  <c r="M179" i="37" s="1"/>
  <c r="N116" i="37"/>
  <c r="J116" i="37" s="1"/>
  <c r="N121" i="37"/>
  <c r="N117" i="37"/>
  <c r="J117" i="37" s="1"/>
  <c r="N24" i="37"/>
  <c r="J24" i="37" s="1"/>
  <c r="N20" i="37"/>
  <c r="P20" i="37"/>
  <c r="N16" i="37"/>
  <c r="P16" i="37"/>
  <c r="N12" i="37"/>
  <c r="J12" i="37" s="1"/>
  <c r="P12" i="37"/>
  <c r="N8" i="37"/>
  <c r="P8" i="37"/>
  <c r="L24" i="37"/>
  <c r="N23" i="37"/>
  <c r="N21" i="37"/>
  <c r="P21" i="37"/>
  <c r="N17" i="37"/>
  <c r="J17" i="37" s="1"/>
  <c r="P17" i="37"/>
  <c r="N13" i="37"/>
  <c r="P13" i="37"/>
  <c r="N9" i="37"/>
  <c r="P9" i="37"/>
  <c r="L23" i="37"/>
  <c r="N22" i="37"/>
  <c r="J22" i="37" s="1"/>
  <c r="L20" i="37"/>
  <c r="N18" i="37"/>
  <c r="P18" i="37"/>
  <c r="L16" i="37"/>
  <c r="N14" i="37"/>
  <c r="P14" i="37"/>
  <c r="L12" i="37"/>
  <c r="N10" i="37"/>
  <c r="P10" i="37"/>
  <c r="L8" i="37"/>
  <c r="N25" i="37"/>
  <c r="J25" i="37" s="1"/>
  <c r="L22" i="37"/>
  <c r="L21" i="37"/>
  <c r="N19" i="37"/>
  <c r="J19" i="37" s="1"/>
  <c r="P19" i="37"/>
  <c r="L17" i="37"/>
  <c r="N15" i="37"/>
  <c r="J15" i="37" s="1"/>
  <c r="P15" i="37"/>
  <c r="L13" i="37"/>
  <c r="N11" i="37"/>
  <c r="J11" i="37" s="1"/>
  <c r="P11" i="37"/>
  <c r="L9" i="37"/>
  <c r="N114" i="37"/>
  <c r="M114" i="37" s="1"/>
  <c r="N118" i="37"/>
  <c r="M118" i="37" s="1"/>
  <c r="N120" i="37"/>
  <c r="J120" i="37" s="1"/>
  <c r="N125" i="37"/>
  <c r="M125" i="37" s="1"/>
  <c r="N122" i="37"/>
  <c r="K122" i="37" s="1"/>
  <c r="L170" i="37"/>
  <c r="L180" i="37"/>
  <c r="N112" i="37"/>
  <c r="N113" i="37"/>
  <c r="P124" i="37"/>
  <c r="P125" i="37"/>
  <c r="AI55" i="39"/>
  <c r="AG55" i="39"/>
  <c r="AI59" i="39"/>
  <c r="AG59" i="39"/>
  <c r="P153" i="39"/>
  <c r="P7" i="39"/>
  <c r="N7" i="39"/>
  <c r="AI7" i="39"/>
  <c r="AG7" i="39"/>
  <c r="AE55" i="39"/>
  <c r="AE59" i="39"/>
  <c r="P145" i="39"/>
  <c r="H119" i="39"/>
  <c r="H120" i="39" s="1"/>
  <c r="P137" i="39"/>
  <c r="N133" i="39"/>
  <c r="L133" i="39"/>
  <c r="AI53" i="39"/>
  <c r="AG53" i="39"/>
  <c r="AI57" i="39"/>
  <c r="AG57" i="39"/>
  <c r="I119" i="39"/>
  <c r="I120" i="39" s="1"/>
  <c r="P135" i="39"/>
  <c r="P139" i="39"/>
  <c r="P143" i="39"/>
  <c r="P147" i="39"/>
  <c r="P151" i="39"/>
  <c r="P155" i="39"/>
  <c r="L52" i="39"/>
  <c r="AJ21" i="38"/>
  <c r="N38" i="38"/>
  <c r="AH54" i="38"/>
  <c r="AE54" i="38" s="1"/>
  <c r="AH56" i="38"/>
  <c r="L7" i="38"/>
  <c r="AF7" i="38"/>
  <c r="AH51" i="38"/>
  <c r="L38" i="38"/>
  <c r="AF51" i="38"/>
  <c r="L103" i="38"/>
  <c r="N172" i="38"/>
  <c r="P172" i="38"/>
  <c r="N173" i="38"/>
  <c r="P173" i="38"/>
  <c r="N174" i="38"/>
  <c r="M174" i="38" s="1"/>
  <c r="P174" i="38"/>
  <c r="N175" i="38"/>
  <c r="M175" i="38" s="1"/>
  <c r="P175" i="38"/>
  <c r="N176" i="38"/>
  <c r="M176" i="38" s="1"/>
  <c r="P176" i="38"/>
  <c r="N177" i="38"/>
  <c r="M177" i="38" s="1"/>
  <c r="P177" i="38"/>
  <c r="N178" i="38"/>
  <c r="M178" i="38" s="1"/>
  <c r="P178" i="38"/>
  <c r="N179" i="38"/>
  <c r="M179" i="38" s="1"/>
  <c r="P179" i="38"/>
  <c r="N180" i="38"/>
  <c r="M180" i="38" s="1"/>
  <c r="P180" i="38"/>
  <c r="N181" i="38"/>
  <c r="P181" i="38"/>
  <c r="N182" i="38"/>
  <c r="M182" i="38" s="1"/>
  <c r="P182" i="38"/>
  <c r="N183" i="38"/>
  <c r="P183" i="38"/>
  <c r="N184" i="38"/>
  <c r="K184" i="38" s="1"/>
  <c r="P184" i="38"/>
  <c r="N185" i="38"/>
  <c r="M185" i="38" s="1"/>
  <c r="P185" i="38"/>
  <c r="N186" i="38"/>
  <c r="M186" i="38" s="1"/>
  <c r="P186" i="38"/>
  <c r="N187" i="38"/>
  <c r="M187" i="38" s="1"/>
  <c r="P187" i="38"/>
  <c r="N188" i="38"/>
  <c r="P188" i="38"/>
  <c r="N189" i="38"/>
  <c r="P189" i="38"/>
  <c r="N190" i="38"/>
  <c r="M190" i="38" s="1"/>
  <c r="P190" i="38"/>
  <c r="N7" i="37"/>
  <c r="L7" i="37"/>
  <c r="P171" i="37"/>
  <c r="L171" i="37"/>
  <c r="N171" i="37"/>
  <c r="M171" i="37" s="1"/>
  <c r="AG7" i="37"/>
  <c r="N119" i="37"/>
  <c r="N48" i="37"/>
  <c r="P48" i="37"/>
  <c r="AG73" i="37"/>
  <c r="AI73" i="37"/>
  <c r="N115" i="37"/>
  <c r="K115" i="37" s="1"/>
  <c r="N111" i="37"/>
  <c r="N124" i="37"/>
  <c r="K124" i="37" s="1"/>
  <c r="P7" i="37"/>
  <c r="L48" i="37"/>
  <c r="AE73" i="37"/>
  <c r="N123" i="37"/>
  <c r="P172" i="37"/>
  <c r="L172" i="37"/>
  <c r="N172" i="37"/>
  <c r="M172" i="37" s="1"/>
  <c r="P175" i="37"/>
  <c r="L175" i="37"/>
  <c r="N175" i="37"/>
  <c r="M175" i="37" s="1"/>
  <c r="P176" i="37"/>
  <c r="P179" i="37"/>
  <c r="L179" i="37"/>
  <c r="P180" i="37"/>
  <c r="L111" i="37"/>
  <c r="L112" i="37"/>
  <c r="L113" i="37"/>
  <c r="L114" i="37"/>
  <c r="L115" i="37"/>
  <c r="L116" i="37"/>
  <c r="L117" i="37"/>
  <c r="L118" i="37"/>
  <c r="L119" i="37"/>
  <c r="L120" i="37"/>
  <c r="L121" i="37"/>
  <c r="L122" i="37"/>
  <c r="L123" i="37"/>
  <c r="N170" i="37"/>
  <c r="N174" i="37"/>
  <c r="K174" i="37" s="1"/>
  <c r="N178" i="37"/>
  <c r="K178" i="37" s="1"/>
  <c r="P111" i="37"/>
  <c r="P169" i="37"/>
  <c r="N169" i="37"/>
  <c r="N173" i="37"/>
  <c r="K173" i="37" s="1"/>
  <c r="N177" i="37"/>
  <c r="AH62" i="36"/>
  <c r="AH63" i="36"/>
  <c r="AH64" i="36" s="1"/>
  <c r="AA52" i="36"/>
  <c r="AB51" i="36"/>
  <c r="AA51" i="36"/>
  <c r="AE51" i="36" s="1"/>
  <c r="AB50" i="36"/>
  <c r="AA50" i="36"/>
  <c r="AE50" i="36" s="1"/>
  <c r="AB49" i="36"/>
  <c r="AA49" i="36"/>
  <c r="AE49" i="36" s="1"/>
  <c r="AB48" i="36"/>
  <c r="AA48" i="36"/>
  <c r="AE48" i="36" s="1"/>
  <c r="AB47" i="36"/>
  <c r="AA47" i="36"/>
  <c r="AB46" i="36"/>
  <c r="AA46" i="36"/>
  <c r="AE46" i="36" s="1"/>
  <c r="AB45" i="36"/>
  <c r="AA45" i="36"/>
  <c r="AE45" i="36" s="1"/>
  <c r="AB44" i="36"/>
  <c r="AA44" i="36"/>
  <c r="AE44" i="36" s="1"/>
  <c r="AB43" i="36"/>
  <c r="AA43" i="36"/>
  <c r="AE43" i="36" s="1"/>
  <c r="AB42" i="36"/>
  <c r="AA42" i="36"/>
  <c r="AE42" i="36" s="1"/>
  <c r="AB41" i="36"/>
  <c r="AA41" i="36"/>
  <c r="AE41" i="36" s="1"/>
  <c r="AB40" i="36"/>
  <c r="AA40" i="36"/>
  <c r="AE40" i="36" s="1"/>
  <c r="AB39" i="36"/>
  <c r="AA39" i="36"/>
  <c r="AE39" i="36" s="1"/>
  <c r="O180" i="36"/>
  <c r="O181" i="36"/>
  <c r="O182" i="36" s="1"/>
  <c r="O174" i="36"/>
  <c r="O175" i="36"/>
  <c r="O176" i="36" s="1"/>
  <c r="H146" i="36"/>
  <c r="I146" i="36"/>
  <c r="H147" i="36"/>
  <c r="I147" i="36"/>
  <c r="H148" i="36"/>
  <c r="L148" i="36" s="1"/>
  <c r="I148" i="36"/>
  <c r="H149" i="36"/>
  <c r="L149" i="36" s="1"/>
  <c r="I149" i="36"/>
  <c r="H150" i="36"/>
  <c r="I150" i="36"/>
  <c r="H151" i="36"/>
  <c r="P151" i="36" s="1"/>
  <c r="I151" i="36"/>
  <c r="H152" i="36"/>
  <c r="P152" i="36" s="1"/>
  <c r="I152" i="36"/>
  <c r="H153" i="36"/>
  <c r="L153" i="36" s="1"/>
  <c r="I153" i="36"/>
  <c r="H154" i="36"/>
  <c r="P154" i="36" s="1"/>
  <c r="I154" i="36"/>
  <c r="H155" i="36"/>
  <c r="P155" i="36" s="1"/>
  <c r="I155" i="36"/>
  <c r="H156" i="36"/>
  <c r="P156" i="36" s="1"/>
  <c r="I156" i="36"/>
  <c r="H157" i="36"/>
  <c r="L157" i="36" s="1"/>
  <c r="I157" i="36"/>
  <c r="H158" i="36"/>
  <c r="P158" i="36" s="1"/>
  <c r="I158" i="36"/>
  <c r="H159" i="36"/>
  <c r="P159" i="36" s="1"/>
  <c r="I159" i="36"/>
  <c r="H160" i="36"/>
  <c r="P160" i="36" s="1"/>
  <c r="I160" i="36"/>
  <c r="H161" i="36"/>
  <c r="P161" i="36" s="1"/>
  <c r="I161" i="36"/>
  <c r="H162" i="36"/>
  <c r="P162" i="36" s="1"/>
  <c r="I162" i="36"/>
  <c r="H163" i="36"/>
  <c r="P163" i="36" s="1"/>
  <c r="I163" i="36"/>
  <c r="H164" i="36"/>
  <c r="P164" i="36" s="1"/>
  <c r="I164" i="36"/>
  <c r="H165" i="36"/>
  <c r="L165" i="36" s="1"/>
  <c r="I165" i="36"/>
  <c r="H166" i="36"/>
  <c r="P166" i="36" s="1"/>
  <c r="I166" i="36"/>
  <c r="H167" i="36"/>
  <c r="P167" i="36" s="1"/>
  <c r="I167" i="36"/>
  <c r="H168" i="36"/>
  <c r="P168" i="36" s="1"/>
  <c r="I168" i="36"/>
  <c r="H169" i="36"/>
  <c r="L169" i="36" s="1"/>
  <c r="I169" i="36"/>
  <c r="H170" i="36"/>
  <c r="O123" i="36"/>
  <c r="O124" i="36"/>
  <c r="O125" i="36" s="1"/>
  <c r="O103" i="36"/>
  <c r="O105" i="36"/>
  <c r="H78" i="36"/>
  <c r="I78" i="36"/>
  <c r="H79" i="36"/>
  <c r="I79" i="36"/>
  <c r="H80" i="36"/>
  <c r="L80" i="36" s="1"/>
  <c r="I80" i="36"/>
  <c r="H81" i="36"/>
  <c r="L81" i="36" s="1"/>
  <c r="I81" i="36"/>
  <c r="H82" i="36"/>
  <c r="I82" i="36"/>
  <c r="H83" i="36"/>
  <c r="I83" i="36"/>
  <c r="H84" i="36"/>
  <c r="L84" i="36" s="1"/>
  <c r="I84" i="36"/>
  <c r="H85" i="36"/>
  <c r="L85" i="36" s="1"/>
  <c r="I85" i="36"/>
  <c r="H86" i="36"/>
  <c r="P86" i="36" s="1"/>
  <c r="I86" i="36"/>
  <c r="H87" i="36"/>
  <c r="P87" i="36" s="1"/>
  <c r="I87" i="36"/>
  <c r="H88" i="36"/>
  <c r="P88" i="36" s="1"/>
  <c r="I88" i="36"/>
  <c r="H89" i="36"/>
  <c r="I89" i="36"/>
  <c r="H90" i="36"/>
  <c r="I90" i="36"/>
  <c r="H91" i="36"/>
  <c r="L91" i="36" s="1"/>
  <c r="I91" i="36"/>
  <c r="H92" i="36"/>
  <c r="P92" i="36" s="1"/>
  <c r="I92" i="36"/>
  <c r="H93" i="36"/>
  <c r="P93" i="36" s="1"/>
  <c r="I93" i="36"/>
  <c r="H94" i="36"/>
  <c r="P94" i="36" s="1"/>
  <c r="I94" i="36"/>
  <c r="H95" i="36"/>
  <c r="P95" i="36" s="1"/>
  <c r="I95" i="36"/>
  <c r="H96" i="36"/>
  <c r="P96" i="36" s="1"/>
  <c r="I96" i="36"/>
  <c r="H97" i="36"/>
  <c r="P97" i="36" s="1"/>
  <c r="I97" i="36"/>
  <c r="H98" i="36"/>
  <c r="P98" i="36" s="1"/>
  <c r="I98" i="36"/>
  <c r="H99" i="36"/>
  <c r="O68" i="36"/>
  <c r="O69" i="36"/>
  <c r="O70" i="36" s="1"/>
  <c r="O63" i="36"/>
  <c r="O64" i="36" s="1"/>
  <c r="O62" i="36"/>
  <c r="H39" i="36"/>
  <c r="L39" i="36" s="1"/>
  <c r="I39" i="36"/>
  <c r="H40" i="36"/>
  <c r="P40" i="36" s="1"/>
  <c r="I40" i="36"/>
  <c r="H41" i="36"/>
  <c r="P41" i="36" s="1"/>
  <c r="I41" i="36"/>
  <c r="H42" i="36"/>
  <c r="L42" i="36" s="1"/>
  <c r="I42" i="36"/>
  <c r="H43" i="36"/>
  <c r="P43" i="36" s="1"/>
  <c r="I43" i="36"/>
  <c r="H44" i="36"/>
  <c r="L44" i="36" s="1"/>
  <c r="I44" i="36"/>
  <c r="H45" i="36"/>
  <c r="L45" i="36" s="1"/>
  <c r="I45" i="36"/>
  <c r="H46" i="36"/>
  <c r="L46" i="36" s="1"/>
  <c r="I46" i="36"/>
  <c r="H47" i="36"/>
  <c r="I47" i="36"/>
  <c r="H48" i="36"/>
  <c r="L48" i="36" s="1"/>
  <c r="I48" i="36"/>
  <c r="H49" i="36"/>
  <c r="I49" i="36"/>
  <c r="H50" i="36"/>
  <c r="P50" i="36" s="1"/>
  <c r="I50" i="36"/>
  <c r="H51" i="36"/>
  <c r="P51" i="36" s="1"/>
  <c r="I51" i="36"/>
  <c r="H52" i="36"/>
  <c r="P52" i="36" s="1"/>
  <c r="I52" i="36"/>
  <c r="H53" i="36"/>
  <c r="P53" i="36" s="1"/>
  <c r="I53" i="36"/>
  <c r="H54" i="36"/>
  <c r="P54" i="36" s="1"/>
  <c r="I54" i="36"/>
  <c r="H55" i="36"/>
  <c r="P55" i="36" s="1"/>
  <c r="I55" i="36"/>
  <c r="H56" i="36"/>
  <c r="P56" i="36" s="1"/>
  <c r="I56" i="36"/>
  <c r="H57" i="36"/>
  <c r="P57" i="36" s="1"/>
  <c r="I57" i="36"/>
  <c r="H58" i="36"/>
  <c r="P58" i="36" s="1"/>
  <c r="I58" i="36"/>
  <c r="H59" i="36"/>
  <c r="O22" i="36"/>
  <c r="O23" i="36" s="1"/>
  <c r="O21" i="36"/>
  <c r="I145" i="36"/>
  <c r="H145" i="36"/>
  <c r="I77" i="36"/>
  <c r="H77" i="36"/>
  <c r="I38" i="36"/>
  <c r="H38" i="36"/>
  <c r="AA23" i="36"/>
  <c r="AB22" i="36"/>
  <c r="AA22" i="36"/>
  <c r="AE22" i="36" s="1"/>
  <c r="AB21" i="36"/>
  <c r="AA21" i="36"/>
  <c r="AE21" i="36" s="1"/>
  <c r="AB20" i="36"/>
  <c r="AA20" i="36"/>
  <c r="AB19" i="36"/>
  <c r="AA19" i="36"/>
  <c r="AE19" i="36" s="1"/>
  <c r="AB18" i="36"/>
  <c r="AA18" i="36"/>
  <c r="AE18" i="36" s="1"/>
  <c r="H18" i="36"/>
  <c r="AB17" i="36"/>
  <c r="AA17" i="36"/>
  <c r="AE17" i="36" s="1"/>
  <c r="I17" i="36"/>
  <c r="H17" i="36"/>
  <c r="L17" i="36" s="1"/>
  <c r="AB16" i="36"/>
  <c r="AA16" i="36"/>
  <c r="AE16" i="36" s="1"/>
  <c r="I16" i="36"/>
  <c r="H16" i="36"/>
  <c r="L16" i="36" s="1"/>
  <c r="AB15" i="36"/>
  <c r="AA15" i="36"/>
  <c r="I15" i="36"/>
  <c r="H15" i="36"/>
  <c r="L15" i="36" s="1"/>
  <c r="AB14" i="36"/>
  <c r="AA14" i="36"/>
  <c r="AE14" i="36" s="1"/>
  <c r="I14" i="36"/>
  <c r="H14" i="36"/>
  <c r="L14" i="36" s="1"/>
  <c r="AB13" i="36"/>
  <c r="AA13" i="36"/>
  <c r="AE13" i="36" s="1"/>
  <c r="I13" i="36"/>
  <c r="H13" i="36"/>
  <c r="L13" i="36" s="1"/>
  <c r="AB12" i="36"/>
  <c r="AA12" i="36"/>
  <c r="AE12" i="36" s="1"/>
  <c r="I12" i="36"/>
  <c r="H12" i="36"/>
  <c r="L12" i="36" s="1"/>
  <c r="AB11" i="36"/>
  <c r="AA11" i="36"/>
  <c r="I11" i="36"/>
  <c r="H11" i="36"/>
  <c r="L11" i="36" s="1"/>
  <c r="AB10" i="36"/>
  <c r="AA10" i="36"/>
  <c r="AE10" i="36" s="1"/>
  <c r="I10" i="36"/>
  <c r="H10" i="36"/>
  <c r="L10" i="36" s="1"/>
  <c r="AB9" i="36"/>
  <c r="AA9" i="36"/>
  <c r="AE9" i="36" s="1"/>
  <c r="I9" i="36"/>
  <c r="H9" i="36"/>
  <c r="L9" i="36" s="1"/>
  <c r="AB8" i="36"/>
  <c r="AA8" i="36"/>
  <c r="AE8" i="36" s="1"/>
  <c r="I8" i="36"/>
  <c r="H8" i="36"/>
  <c r="AB7" i="36"/>
  <c r="AA7" i="36"/>
  <c r="I7" i="36"/>
  <c r="H7" i="36"/>
  <c r="L7" i="36" s="1"/>
  <c r="AA170" i="39" l="1"/>
  <c r="AF157" i="39"/>
  <c r="AF414" i="38"/>
  <c r="AF415" i="38" s="1"/>
  <c r="H109" i="36"/>
  <c r="H110" i="36"/>
  <c r="H111" i="36" s="1"/>
  <c r="P90" i="36"/>
  <c r="H136" i="36"/>
  <c r="H137" i="36" s="1"/>
  <c r="H135" i="36"/>
  <c r="H116" i="36"/>
  <c r="H117" i="36" s="1"/>
  <c r="H115" i="36"/>
  <c r="AF439" i="38"/>
  <c r="AF440" i="38"/>
  <c r="AF441" i="38" s="1"/>
  <c r="I129" i="36"/>
  <c r="I130" i="36"/>
  <c r="I131" i="36" s="1"/>
  <c r="P137" i="37"/>
  <c r="P138" i="37" s="1"/>
  <c r="P136" i="37"/>
  <c r="L136" i="37"/>
  <c r="L137" i="37"/>
  <c r="L138" i="37" s="1"/>
  <c r="N136" i="37"/>
  <c r="N137" i="37"/>
  <c r="N138" i="37" s="1"/>
  <c r="AJ445" i="38"/>
  <c r="AJ446" i="38"/>
  <c r="AJ447" i="38" s="1"/>
  <c r="AF425" i="38"/>
  <c r="AF426" i="38"/>
  <c r="AF427" i="38" s="1"/>
  <c r="I135" i="36"/>
  <c r="I136" i="36"/>
  <c r="I137" i="36" s="1"/>
  <c r="I115" i="36"/>
  <c r="I116" i="36"/>
  <c r="I117" i="36" s="1"/>
  <c r="I109" i="36"/>
  <c r="I110" i="36"/>
  <c r="I111" i="36" s="1"/>
  <c r="H129" i="36"/>
  <c r="H130" i="36"/>
  <c r="H131" i="36" s="1"/>
  <c r="AJ439" i="38"/>
  <c r="AJ440" i="38"/>
  <c r="AJ441" i="38" s="1"/>
  <c r="AJ425" i="38"/>
  <c r="AJ426" i="38"/>
  <c r="AJ427" i="38" s="1"/>
  <c r="AF445" i="38"/>
  <c r="AF446" i="38"/>
  <c r="AF447" i="38" s="1"/>
  <c r="AG380" i="38"/>
  <c r="AH425" i="38"/>
  <c r="AH426" i="38"/>
  <c r="AH427" i="38" s="1"/>
  <c r="AG391" i="38"/>
  <c r="AH439" i="38"/>
  <c r="AH440" i="38"/>
  <c r="AH441" i="38" s="1"/>
  <c r="AG400" i="38"/>
  <c r="AH445" i="38"/>
  <c r="AH446" i="38"/>
  <c r="AH447" i="38" s="1"/>
  <c r="AI215" i="37"/>
  <c r="AI216" i="37"/>
  <c r="AI217" i="37" s="1"/>
  <c r="AG215" i="37"/>
  <c r="AG216" i="37"/>
  <c r="AG217" i="37" s="1"/>
  <c r="AE215" i="37"/>
  <c r="AE216" i="37"/>
  <c r="AE217" i="37" s="1"/>
  <c r="AF151" i="37"/>
  <c r="AG209" i="37"/>
  <c r="AG210" i="37"/>
  <c r="AG211" i="37" s="1"/>
  <c r="AI209" i="37"/>
  <c r="AI210" i="37"/>
  <c r="AI211" i="37" s="1"/>
  <c r="AE210" i="37"/>
  <c r="AE211" i="37" s="1"/>
  <c r="AE209" i="37"/>
  <c r="AG121" i="37"/>
  <c r="AG122" i="37"/>
  <c r="AG123" i="37" s="1"/>
  <c r="AE135" i="37"/>
  <c r="AE136" i="37"/>
  <c r="AE137" i="37" s="1"/>
  <c r="AF83" i="37"/>
  <c r="AG115" i="37"/>
  <c r="AG116" i="37"/>
  <c r="AG117" i="37" s="1"/>
  <c r="AE115" i="37"/>
  <c r="AE116" i="37"/>
  <c r="AE117" i="37" s="1"/>
  <c r="AI121" i="37"/>
  <c r="AI122" i="37"/>
  <c r="AI123" i="37" s="1"/>
  <c r="AI135" i="37"/>
  <c r="AI136" i="37"/>
  <c r="AI137" i="37" s="1"/>
  <c r="AI141" i="37"/>
  <c r="AI142" i="37"/>
  <c r="AI143" i="37" s="1"/>
  <c r="AF92" i="37"/>
  <c r="AG141" i="37"/>
  <c r="AG142" i="37"/>
  <c r="AG143" i="37" s="1"/>
  <c r="AE121" i="37"/>
  <c r="AE122" i="37"/>
  <c r="AE123" i="37" s="1"/>
  <c r="AD90" i="37"/>
  <c r="AG135" i="37"/>
  <c r="AG136" i="37"/>
  <c r="AG137" i="37" s="1"/>
  <c r="AI115" i="37"/>
  <c r="AI116" i="37"/>
  <c r="AI117" i="37" s="1"/>
  <c r="AE141" i="37"/>
  <c r="AE142" i="37"/>
  <c r="AE143" i="37" s="1"/>
  <c r="AG63" i="37"/>
  <c r="AG64" i="37"/>
  <c r="AG65" i="37" s="1"/>
  <c r="L302" i="37"/>
  <c r="L303" i="37"/>
  <c r="L304" i="37" s="1"/>
  <c r="AI63" i="37"/>
  <c r="AI64" i="37"/>
  <c r="AI65" i="37" s="1"/>
  <c r="N302" i="37"/>
  <c r="N303" i="37"/>
  <c r="N304" i="37" s="1"/>
  <c r="P308" i="37"/>
  <c r="P309" i="37"/>
  <c r="P310" i="37" s="1"/>
  <c r="AE57" i="37"/>
  <c r="AE58" i="37"/>
  <c r="AE59" i="37" s="1"/>
  <c r="AF26" i="37"/>
  <c r="AG58" i="37"/>
  <c r="AG59" i="37" s="1"/>
  <c r="AG57" i="37"/>
  <c r="AE63" i="37"/>
  <c r="AE64" i="37"/>
  <c r="AE65" i="37" s="1"/>
  <c r="M282" i="37"/>
  <c r="N308" i="37"/>
  <c r="N309" i="37"/>
  <c r="N310" i="37" s="1"/>
  <c r="L308" i="37"/>
  <c r="L309" i="37"/>
  <c r="L310" i="37" s="1"/>
  <c r="P302" i="37"/>
  <c r="P303" i="37"/>
  <c r="P304" i="37" s="1"/>
  <c r="AI57" i="37"/>
  <c r="AI58" i="37"/>
  <c r="AI59" i="37" s="1"/>
  <c r="N265" i="37"/>
  <c r="N266" i="37"/>
  <c r="N267" i="37" s="1"/>
  <c r="P259" i="37"/>
  <c r="P260" i="37"/>
  <c r="P261" i="37" s="1"/>
  <c r="L259" i="37"/>
  <c r="L260" i="37"/>
  <c r="L261" i="37" s="1"/>
  <c r="L265" i="37"/>
  <c r="L266" i="37"/>
  <c r="L267" i="37" s="1"/>
  <c r="N260" i="37"/>
  <c r="N261" i="37" s="1"/>
  <c r="N259" i="37"/>
  <c r="P266" i="37"/>
  <c r="P267" i="37" s="1"/>
  <c r="P265" i="37"/>
  <c r="N239" i="37"/>
  <c r="N240" i="37"/>
  <c r="N241" i="37" s="1"/>
  <c r="L239" i="37"/>
  <c r="L240" i="37"/>
  <c r="L241" i="37" s="1"/>
  <c r="L245" i="37"/>
  <c r="L246" i="37"/>
  <c r="L247" i="37" s="1"/>
  <c r="N245" i="37"/>
  <c r="N246" i="37"/>
  <c r="N247" i="37" s="1"/>
  <c r="P245" i="37"/>
  <c r="P246" i="37"/>
  <c r="P247" i="37" s="1"/>
  <c r="P239" i="37"/>
  <c r="P240" i="37"/>
  <c r="P241" i="37" s="1"/>
  <c r="P190" i="37"/>
  <c r="P191" i="37"/>
  <c r="P192" i="37" s="1"/>
  <c r="N196" i="37"/>
  <c r="N197" i="37"/>
  <c r="N198" i="37" s="1"/>
  <c r="L190" i="37"/>
  <c r="L191" i="37"/>
  <c r="L192" i="37" s="1"/>
  <c r="N190" i="37"/>
  <c r="N191" i="37"/>
  <c r="N192" i="37" s="1"/>
  <c r="L196" i="37"/>
  <c r="L197" i="37"/>
  <c r="L198" i="37" s="1"/>
  <c r="P196" i="37"/>
  <c r="P197" i="37"/>
  <c r="P198" i="37" s="1"/>
  <c r="L160" i="37"/>
  <c r="L161" i="37"/>
  <c r="L162" i="37" s="1"/>
  <c r="N154" i="37"/>
  <c r="N155" i="37"/>
  <c r="N156" i="37" s="1"/>
  <c r="P154" i="37"/>
  <c r="P155" i="37"/>
  <c r="P156" i="37" s="1"/>
  <c r="P160" i="37"/>
  <c r="P161" i="37"/>
  <c r="P162" i="37" s="1"/>
  <c r="L142" i="37"/>
  <c r="L143" i="37"/>
  <c r="L144" i="37" s="1"/>
  <c r="P142" i="37"/>
  <c r="P143" i="37"/>
  <c r="P144" i="37" s="1"/>
  <c r="L154" i="37"/>
  <c r="L155" i="37"/>
  <c r="L156" i="37" s="1"/>
  <c r="M112" i="37"/>
  <c r="N142" i="37"/>
  <c r="N143" i="37"/>
  <c r="N144" i="37" s="1"/>
  <c r="K121" i="37"/>
  <c r="N160" i="37"/>
  <c r="N161" i="37"/>
  <c r="N162" i="37" s="1"/>
  <c r="H103" i="37"/>
  <c r="I103" i="37"/>
  <c r="AC162" i="37"/>
  <c r="L78" i="37"/>
  <c r="L79" i="37" s="1"/>
  <c r="L77" i="37"/>
  <c r="P95" i="37"/>
  <c r="P96" i="37"/>
  <c r="P97" i="37" s="1"/>
  <c r="L101" i="37"/>
  <c r="L102" i="37"/>
  <c r="P101" i="37"/>
  <c r="P102" i="37"/>
  <c r="N77" i="37"/>
  <c r="N78" i="37"/>
  <c r="N79" i="37" s="1"/>
  <c r="N83" i="37"/>
  <c r="N84" i="37"/>
  <c r="N85" i="37" s="1"/>
  <c r="P83" i="37"/>
  <c r="P84" i="37"/>
  <c r="P85" i="37" s="1"/>
  <c r="L95" i="37"/>
  <c r="L96" i="37"/>
  <c r="L97" i="37" s="1"/>
  <c r="P78" i="37"/>
  <c r="P79" i="37" s="1"/>
  <c r="P77" i="37"/>
  <c r="N101" i="37"/>
  <c r="N102" i="37"/>
  <c r="M61" i="37"/>
  <c r="N95" i="37"/>
  <c r="N96" i="37"/>
  <c r="N97" i="37" s="1"/>
  <c r="L83" i="37"/>
  <c r="L84" i="37"/>
  <c r="L85" i="37" s="1"/>
  <c r="M67" i="37"/>
  <c r="M68" i="37"/>
  <c r="AC170" i="37"/>
  <c r="AD103" i="37"/>
  <c r="AC28" i="37"/>
  <c r="AD155" i="37"/>
  <c r="M50" i="37"/>
  <c r="AC32" i="37"/>
  <c r="M49" i="37"/>
  <c r="AC33" i="37"/>
  <c r="L35" i="37"/>
  <c r="L36" i="37"/>
  <c r="L37" i="37" s="1"/>
  <c r="N35" i="37"/>
  <c r="N36" i="37"/>
  <c r="N37" i="37" s="1"/>
  <c r="L41" i="37"/>
  <c r="L42" i="37"/>
  <c r="L43" i="37" s="1"/>
  <c r="AC8" i="37"/>
  <c r="AD96" i="37"/>
  <c r="P273" i="37"/>
  <c r="P274" i="37" s="1"/>
  <c r="AC20" i="37"/>
  <c r="AD8" i="37"/>
  <c r="P35" i="37"/>
  <c r="P36" i="37"/>
  <c r="P37" i="37" s="1"/>
  <c r="P41" i="37"/>
  <c r="P42" i="37"/>
  <c r="P43" i="37" s="1"/>
  <c r="J286" i="37"/>
  <c r="K286" i="37"/>
  <c r="AC26" i="37"/>
  <c r="AC167" i="37"/>
  <c r="AD37" i="37"/>
  <c r="N41" i="37"/>
  <c r="N42" i="37"/>
  <c r="N43" i="37" s="1"/>
  <c r="AD162" i="37"/>
  <c r="AC91" i="37"/>
  <c r="AC186" i="37"/>
  <c r="AF85" i="37"/>
  <c r="AD154" i="37"/>
  <c r="AC40" i="37"/>
  <c r="AF101" i="37"/>
  <c r="AC154" i="37"/>
  <c r="J282" i="37"/>
  <c r="K290" i="37"/>
  <c r="AC10" i="37"/>
  <c r="AC77" i="37"/>
  <c r="AC80" i="37"/>
  <c r="AC182" i="37"/>
  <c r="AF174" i="37"/>
  <c r="AC11" i="37"/>
  <c r="AC25" i="37"/>
  <c r="AC44" i="37"/>
  <c r="AC95" i="37"/>
  <c r="AC151" i="37"/>
  <c r="AC179" i="37"/>
  <c r="AC190" i="37"/>
  <c r="AD44" i="37"/>
  <c r="J54" i="37"/>
  <c r="K54" i="37"/>
  <c r="AC14" i="37"/>
  <c r="AC30" i="37"/>
  <c r="AC36" i="37"/>
  <c r="AC98" i="37"/>
  <c r="AD98" i="37"/>
  <c r="AD190" i="37"/>
  <c r="AC18" i="37"/>
  <c r="AC27" i="37"/>
  <c r="AC31" i="37"/>
  <c r="AC39" i="37"/>
  <c r="AC88" i="37"/>
  <c r="AC75" i="37"/>
  <c r="AD28" i="37"/>
  <c r="AD40" i="37"/>
  <c r="AF182" i="39"/>
  <c r="AF183" i="39"/>
  <c r="AF184" i="39" s="1"/>
  <c r="AD188" i="39"/>
  <c r="AD189" i="39"/>
  <c r="AD190" i="39" s="1"/>
  <c r="AC182" i="39"/>
  <c r="AC183" i="39"/>
  <c r="AC184" i="39" s="1"/>
  <c r="AB44" i="39"/>
  <c r="AD182" i="39"/>
  <c r="AD183" i="39"/>
  <c r="AD184" i="39" s="1"/>
  <c r="AC188" i="39"/>
  <c r="AC189" i="39"/>
  <c r="AC190" i="39" s="1"/>
  <c r="AA44" i="39"/>
  <c r="AF188" i="39"/>
  <c r="AF189" i="39"/>
  <c r="AF190" i="39" s="1"/>
  <c r="AE132" i="39"/>
  <c r="AE170" i="39" s="1"/>
  <c r="AC163" i="39"/>
  <c r="AC164" i="39"/>
  <c r="AC165" i="39" s="1"/>
  <c r="AI132" i="39"/>
  <c r="AH171" i="39" s="1"/>
  <c r="AD164" i="39"/>
  <c r="AD165" i="39" s="1"/>
  <c r="AD163" i="39"/>
  <c r="AB170" i="39"/>
  <c r="AG132" i="39"/>
  <c r="AG169" i="39" s="1"/>
  <c r="AF164" i="39"/>
  <c r="AF165" i="39" s="1"/>
  <c r="AF163" i="39"/>
  <c r="AC112" i="39"/>
  <c r="AC113" i="39"/>
  <c r="AC114" i="39" s="1"/>
  <c r="AC130" i="39"/>
  <c r="AC131" i="39"/>
  <c r="AF106" i="39"/>
  <c r="AF107" i="39"/>
  <c r="AF108" i="39" s="1"/>
  <c r="AD112" i="39"/>
  <c r="AD113" i="39"/>
  <c r="AD114" i="39" s="1"/>
  <c r="AF112" i="39"/>
  <c r="AF113" i="39"/>
  <c r="AF114" i="39" s="1"/>
  <c r="AD124" i="39"/>
  <c r="AD125" i="39"/>
  <c r="AD126" i="39" s="1"/>
  <c r="AA114" i="39"/>
  <c r="AB114" i="39"/>
  <c r="AC124" i="39"/>
  <c r="AC125" i="39"/>
  <c r="AC126" i="39" s="1"/>
  <c r="AF124" i="39"/>
  <c r="AF125" i="39"/>
  <c r="AF126" i="39" s="1"/>
  <c r="AE114" i="39"/>
  <c r="AC107" i="39"/>
  <c r="AC108" i="39" s="1"/>
  <c r="AC106" i="39"/>
  <c r="AD130" i="39"/>
  <c r="AD131" i="39"/>
  <c r="AD106" i="39"/>
  <c r="AD107" i="39"/>
  <c r="AD108" i="39" s="1"/>
  <c r="AF130" i="39"/>
  <c r="AF131" i="39"/>
  <c r="M258" i="39"/>
  <c r="M259" i="39"/>
  <c r="M260" i="39" s="1"/>
  <c r="AG43" i="39"/>
  <c r="AG42" i="39"/>
  <c r="M246" i="39"/>
  <c r="M247" i="39"/>
  <c r="M248" i="39" s="1"/>
  <c r="M252" i="39"/>
  <c r="M253" i="39"/>
  <c r="M254" i="39" s="1"/>
  <c r="K258" i="39"/>
  <c r="K259" i="39"/>
  <c r="K260" i="39" s="1"/>
  <c r="AI42" i="39"/>
  <c r="AI43" i="39"/>
  <c r="J239" i="39"/>
  <c r="J240" i="39"/>
  <c r="J241" i="39" s="1"/>
  <c r="J233" i="39"/>
  <c r="J234" i="39"/>
  <c r="J235" i="39" s="1"/>
  <c r="AD36" i="39"/>
  <c r="AD37" i="39"/>
  <c r="AD38" i="39" s="1"/>
  <c r="J252" i="39"/>
  <c r="J253" i="39"/>
  <c r="J254" i="39" s="1"/>
  <c r="J246" i="39"/>
  <c r="J247" i="39"/>
  <c r="J248" i="39" s="1"/>
  <c r="AE42" i="39"/>
  <c r="AE43" i="39"/>
  <c r="K239" i="39"/>
  <c r="K240" i="39"/>
  <c r="K241" i="39" s="1"/>
  <c r="K246" i="39"/>
  <c r="K247" i="39"/>
  <c r="K248" i="39" s="1"/>
  <c r="K252" i="39"/>
  <c r="K253" i="39"/>
  <c r="K254" i="39" s="1"/>
  <c r="K234" i="39"/>
  <c r="K235" i="39" s="1"/>
  <c r="K233" i="39"/>
  <c r="AF36" i="39"/>
  <c r="AF37" i="39"/>
  <c r="AF38" i="39" s="1"/>
  <c r="M239" i="39"/>
  <c r="M240" i="39"/>
  <c r="M241" i="39" s="1"/>
  <c r="J258" i="39"/>
  <c r="J259" i="39"/>
  <c r="J260" i="39" s="1"/>
  <c r="AC36" i="39"/>
  <c r="AC37" i="39"/>
  <c r="AC38" i="39" s="1"/>
  <c r="M233" i="39"/>
  <c r="M234" i="39"/>
  <c r="M235" i="39" s="1"/>
  <c r="P185" i="39"/>
  <c r="P191" i="39"/>
  <c r="P192" i="39"/>
  <c r="P193" i="39" s="1"/>
  <c r="J191" i="39"/>
  <c r="J192" i="39"/>
  <c r="J193" i="39" s="1"/>
  <c r="K186" i="39"/>
  <c r="K187" i="39" s="1"/>
  <c r="K185" i="39"/>
  <c r="K191" i="39"/>
  <c r="K192" i="39"/>
  <c r="K193" i="39" s="1"/>
  <c r="M192" i="39"/>
  <c r="M193" i="39" s="1"/>
  <c r="M191" i="39"/>
  <c r="M185" i="39"/>
  <c r="M186" i="39"/>
  <c r="M187" i="39" s="1"/>
  <c r="J185" i="39"/>
  <c r="J186" i="39"/>
  <c r="J187" i="39" s="1"/>
  <c r="P186" i="39"/>
  <c r="P187" i="39" s="1"/>
  <c r="P168" i="39"/>
  <c r="P169" i="39" s="1"/>
  <c r="N173" i="39"/>
  <c r="N174" i="39"/>
  <c r="N175" i="39" s="1"/>
  <c r="P167" i="39"/>
  <c r="K167" i="39"/>
  <c r="K168" i="39"/>
  <c r="K169" i="39" s="1"/>
  <c r="P173" i="39"/>
  <c r="P174" i="39"/>
  <c r="P175" i="39" s="1"/>
  <c r="J167" i="39"/>
  <c r="J168" i="39"/>
  <c r="J169" i="39" s="1"/>
  <c r="L173" i="39"/>
  <c r="L174" i="39"/>
  <c r="L175" i="39" s="1"/>
  <c r="M167" i="39"/>
  <c r="M168" i="39"/>
  <c r="M169" i="39" s="1"/>
  <c r="M83" i="39"/>
  <c r="AG399" i="38"/>
  <c r="AG401" i="38"/>
  <c r="AJ420" i="38"/>
  <c r="AJ421" i="38" s="1"/>
  <c r="AJ419" i="38"/>
  <c r="AG388" i="38"/>
  <c r="AH419" i="38"/>
  <c r="AH420" i="38"/>
  <c r="AH421" i="38" s="1"/>
  <c r="AG392" i="38"/>
  <c r="AF420" i="38"/>
  <c r="AF421" i="38" s="1"/>
  <c r="AF419" i="38"/>
  <c r="AD318" i="38"/>
  <c r="AH351" i="38"/>
  <c r="AH352" i="38"/>
  <c r="AH353" i="38" s="1"/>
  <c r="AF351" i="38"/>
  <c r="AF352" i="38"/>
  <c r="AF353" i="38" s="1"/>
  <c r="AJ351" i="38"/>
  <c r="AJ352" i="38"/>
  <c r="AJ353" i="38" s="1"/>
  <c r="AJ345" i="38"/>
  <c r="AJ346" i="38"/>
  <c r="AJ347" i="38" s="1"/>
  <c r="AD325" i="38"/>
  <c r="AH364" i="38"/>
  <c r="AH365" i="38"/>
  <c r="AH366" i="38" s="1"/>
  <c r="AJ370" i="38"/>
  <c r="AJ371" i="38"/>
  <c r="AJ372" i="38" s="1"/>
  <c r="AF345" i="38"/>
  <c r="AF346" i="38"/>
  <c r="AF347" i="38" s="1"/>
  <c r="AF370" i="38"/>
  <c r="AF371" i="38"/>
  <c r="AF372" i="38" s="1"/>
  <c r="AH345" i="38"/>
  <c r="AH346" i="38"/>
  <c r="AH347" i="38" s="1"/>
  <c r="AD327" i="38"/>
  <c r="AH370" i="38"/>
  <c r="AH371" i="38"/>
  <c r="AH372" i="38" s="1"/>
  <c r="AJ364" i="38"/>
  <c r="AJ365" i="38"/>
  <c r="AJ366" i="38" s="1"/>
  <c r="AF364" i="38"/>
  <c r="AF365" i="38"/>
  <c r="AF366" i="38" s="1"/>
  <c r="AG317" i="38"/>
  <c r="AG260" i="38"/>
  <c r="AH299" i="38"/>
  <c r="AH300" i="38"/>
  <c r="AH301" i="38" s="1"/>
  <c r="AF299" i="38"/>
  <c r="AF300" i="38"/>
  <c r="AF301" i="38" s="1"/>
  <c r="AF305" i="38"/>
  <c r="AF306" i="38"/>
  <c r="AF307" i="38" s="1"/>
  <c r="AJ299" i="38"/>
  <c r="AJ300" i="38"/>
  <c r="AJ301" i="38" s="1"/>
  <c r="AJ305" i="38"/>
  <c r="AJ306" i="38"/>
  <c r="AJ307" i="38" s="1"/>
  <c r="AD259" i="38"/>
  <c r="AH305" i="38"/>
  <c r="AH306" i="38"/>
  <c r="AH307" i="38" s="1"/>
  <c r="AF279" i="38"/>
  <c r="AF280" i="38"/>
  <c r="AF281" i="38" s="1"/>
  <c r="AE248" i="38"/>
  <c r="AH279" i="38"/>
  <c r="AH280" i="38"/>
  <c r="AH281" i="38" s="1"/>
  <c r="AG251" i="38"/>
  <c r="AH285" i="38"/>
  <c r="AH286" i="38"/>
  <c r="AH287" i="38" s="1"/>
  <c r="AJ285" i="38"/>
  <c r="AJ286" i="38"/>
  <c r="AJ287" i="38" s="1"/>
  <c r="AJ279" i="38"/>
  <c r="AJ280" i="38"/>
  <c r="AJ281" i="38" s="1"/>
  <c r="AF285" i="38"/>
  <c r="AF286" i="38"/>
  <c r="AF287" i="38" s="1"/>
  <c r="AJ221" i="38"/>
  <c r="AJ222" i="38"/>
  <c r="AJ223" i="38" s="1"/>
  <c r="AF240" i="38"/>
  <c r="AF241" i="38"/>
  <c r="AF242" i="38" s="1"/>
  <c r="AJ215" i="38"/>
  <c r="AJ216" i="38"/>
  <c r="AJ217" i="38" s="1"/>
  <c r="AH234" i="38"/>
  <c r="AH235" i="38"/>
  <c r="AH236" i="38" s="1"/>
  <c r="AG197" i="38"/>
  <c r="AH240" i="38"/>
  <c r="AH241" i="38"/>
  <c r="AH242" i="38" s="1"/>
  <c r="AF234" i="38"/>
  <c r="AF235" i="38"/>
  <c r="AF236" i="38" s="1"/>
  <c r="AH221" i="38"/>
  <c r="AH222" i="38"/>
  <c r="AH223" i="38" s="1"/>
  <c r="AJ234" i="38"/>
  <c r="AJ235" i="38"/>
  <c r="AJ236" i="38" s="1"/>
  <c r="AH215" i="38"/>
  <c r="AH216" i="38"/>
  <c r="AH217" i="38" s="1"/>
  <c r="AF221" i="38"/>
  <c r="AF222" i="38"/>
  <c r="AF223" i="38" s="1"/>
  <c r="AF215" i="38"/>
  <c r="AF216" i="38"/>
  <c r="AF217" i="38" s="1"/>
  <c r="AJ241" i="38"/>
  <c r="AJ242" i="38" s="1"/>
  <c r="AJ240" i="38"/>
  <c r="AD195" i="38"/>
  <c r="AG186" i="38"/>
  <c r="AG185" i="38"/>
  <c r="AG196" i="38"/>
  <c r="AF176" i="38"/>
  <c r="AF177" i="38"/>
  <c r="AF178" i="38" s="1"/>
  <c r="AJ157" i="38"/>
  <c r="AJ158" i="38"/>
  <c r="AJ159" i="38" s="1"/>
  <c r="AJ170" i="38"/>
  <c r="AJ171" i="38"/>
  <c r="AJ172" i="38" s="1"/>
  <c r="AJ151" i="38"/>
  <c r="AJ152" i="38"/>
  <c r="AJ153" i="38" s="1"/>
  <c r="AF170" i="38"/>
  <c r="AF171" i="38"/>
  <c r="AF172" i="38" s="1"/>
  <c r="AD131" i="38"/>
  <c r="AH176" i="38"/>
  <c r="AH177" i="38"/>
  <c r="AH178" i="38" s="1"/>
  <c r="AF151" i="38"/>
  <c r="AF152" i="38"/>
  <c r="AF153" i="38" s="1"/>
  <c r="AD132" i="38"/>
  <c r="AH170" i="38"/>
  <c r="AH171" i="38"/>
  <c r="AH172" i="38" s="1"/>
  <c r="AH151" i="38"/>
  <c r="AH152" i="38"/>
  <c r="AH153" i="38" s="1"/>
  <c r="AD122" i="38"/>
  <c r="AH157" i="38"/>
  <c r="AH158" i="38"/>
  <c r="AH159" i="38" s="1"/>
  <c r="AJ176" i="38"/>
  <c r="AJ177" i="38"/>
  <c r="AJ178" i="38" s="1"/>
  <c r="AF157" i="38"/>
  <c r="AF158" i="38"/>
  <c r="AF159" i="38" s="1"/>
  <c r="AD130" i="38"/>
  <c r="AG123" i="38"/>
  <c r="AG121" i="38"/>
  <c r="AJ103" i="38"/>
  <c r="AJ104" i="38"/>
  <c r="AJ105" i="38" s="1"/>
  <c r="AD55" i="38"/>
  <c r="AH89" i="38"/>
  <c r="AH90" i="38"/>
  <c r="AH91" i="38" s="1"/>
  <c r="AD62" i="38"/>
  <c r="AH109" i="38"/>
  <c r="AH110" i="38"/>
  <c r="AH111" i="38" s="1"/>
  <c r="AF109" i="38"/>
  <c r="AF110" i="38"/>
  <c r="AF111" i="38" s="1"/>
  <c r="AJ83" i="38"/>
  <c r="AJ84" i="38"/>
  <c r="AJ85" i="38" s="1"/>
  <c r="AF89" i="38"/>
  <c r="AF90" i="38"/>
  <c r="AF91" i="38" s="1"/>
  <c r="AJ89" i="38"/>
  <c r="AJ90" i="38"/>
  <c r="AJ91" i="38" s="1"/>
  <c r="AF103" i="38"/>
  <c r="AF104" i="38"/>
  <c r="AF105" i="38" s="1"/>
  <c r="AJ109" i="38"/>
  <c r="AJ110" i="38"/>
  <c r="AJ111" i="38" s="1"/>
  <c r="AF83" i="38"/>
  <c r="AF84" i="38"/>
  <c r="AF85" i="38" s="1"/>
  <c r="AH83" i="38"/>
  <c r="AH84" i="38"/>
  <c r="AH85" i="38" s="1"/>
  <c r="AH103" i="38"/>
  <c r="AH104" i="38"/>
  <c r="AH105" i="38" s="1"/>
  <c r="AG65" i="38"/>
  <c r="AD53" i="38"/>
  <c r="AH37" i="38"/>
  <c r="AH38" i="38"/>
  <c r="AH39" i="38" s="1"/>
  <c r="AJ43" i="38"/>
  <c r="AJ44" i="38"/>
  <c r="AJ45" i="38" s="1"/>
  <c r="AF43" i="38"/>
  <c r="AF44" i="38"/>
  <c r="AF45" i="38" s="1"/>
  <c r="AJ37" i="38"/>
  <c r="AJ38" i="38"/>
  <c r="AJ39" i="38" s="1"/>
  <c r="AF37" i="38"/>
  <c r="AF38" i="38"/>
  <c r="AF39" i="38" s="1"/>
  <c r="AG19" i="38"/>
  <c r="AH43" i="38"/>
  <c r="AH44" i="38"/>
  <c r="AH45" i="38" s="1"/>
  <c r="AG8" i="38"/>
  <c r="P484" i="38"/>
  <c r="P485" i="38"/>
  <c r="P486" i="38" s="1"/>
  <c r="P490" i="38"/>
  <c r="P491" i="38"/>
  <c r="P492" i="38" s="1"/>
  <c r="L490" i="38"/>
  <c r="L491" i="38"/>
  <c r="L492" i="38" s="1"/>
  <c r="L484" i="38"/>
  <c r="L485" i="38"/>
  <c r="L486" i="38" s="1"/>
  <c r="N484" i="38"/>
  <c r="N485" i="38"/>
  <c r="N486" i="38" s="1"/>
  <c r="N490" i="38"/>
  <c r="N491" i="38"/>
  <c r="N492" i="38" s="1"/>
  <c r="P471" i="38"/>
  <c r="P472" i="38"/>
  <c r="P473" i="38" s="1"/>
  <c r="J452" i="38"/>
  <c r="P465" i="38"/>
  <c r="P466" i="38"/>
  <c r="P467" i="38" s="1"/>
  <c r="L465" i="38"/>
  <c r="L466" i="38"/>
  <c r="L467" i="38" s="1"/>
  <c r="N471" i="38"/>
  <c r="N472" i="38"/>
  <c r="N473" i="38" s="1"/>
  <c r="L472" i="38"/>
  <c r="L473" i="38" s="1"/>
  <c r="L471" i="38"/>
  <c r="N465" i="38"/>
  <c r="N466" i="38"/>
  <c r="N467" i="38" s="1"/>
  <c r="N404" i="38"/>
  <c r="N405" i="38"/>
  <c r="N406" i="38" s="1"/>
  <c r="J433" i="38"/>
  <c r="P417" i="38"/>
  <c r="P418" i="38"/>
  <c r="P419" i="38" s="1"/>
  <c r="L423" i="38"/>
  <c r="L424" i="38"/>
  <c r="L425" i="38" s="1"/>
  <c r="P423" i="38"/>
  <c r="P424" i="38"/>
  <c r="P425" i="38" s="1"/>
  <c r="P398" i="38"/>
  <c r="P399" i="38"/>
  <c r="P400" i="38" s="1"/>
  <c r="L404" i="38"/>
  <c r="L405" i="38"/>
  <c r="L406" i="38" s="1"/>
  <c r="L398" i="38"/>
  <c r="L399" i="38"/>
  <c r="L400" i="38" s="1"/>
  <c r="N417" i="38"/>
  <c r="N418" i="38"/>
  <c r="N419" i="38" s="1"/>
  <c r="N423" i="38"/>
  <c r="N424" i="38"/>
  <c r="N425" i="38" s="1"/>
  <c r="N399" i="38"/>
  <c r="N400" i="38" s="1"/>
  <c r="N398" i="38"/>
  <c r="M432" i="38"/>
  <c r="L418" i="38"/>
  <c r="L419" i="38" s="1"/>
  <c r="L417" i="38"/>
  <c r="P404" i="38"/>
  <c r="P405" i="38"/>
  <c r="P406" i="38" s="1"/>
  <c r="M385" i="38"/>
  <c r="M384" i="38"/>
  <c r="L358" i="38"/>
  <c r="L359" i="38"/>
  <c r="L360" i="38" s="1"/>
  <c r="N352" i="38"/>
  <c r="N353" i="38"/>
  <c r="N354" i="38" s="1"/>
  <c r="M366" i="38"/>
  <c r="P352" i="38"/>
  <c r="P353" i="38"/>
  <c r="P354" i="38" s="1"/>
  <c r="P358" i="38"/>
  <c r="P359" i="38"/>
  <c r="P360" i="38" s="1"/>
  <c r="M367" i="38"/>
  <c r="L352" i="38"/>
  <c r="L353" i="38"/>
  <c r="L354" i="38" s="1"/>
  <c r="N358" i="38"/>
  <c r="N359" i="38"/>
  <c r="N360" i="38" s="1"/>
  <c r="L339" i="38"/>
  <c r="L340" i="38"/>
  <c r="L341" i="38" s="1"/>
  <c r="J301" i="38"/>
  <c r="N333" i="38"/>
  <c r="N334" i="38"/>
  <c r="N335" i="38" s="1"/>
  <c r="P339" i="38"/>
  <c r="P340" i="38"/>
  <c r="P341" i="38" s="1"/>
  <c r="N339" i="38"/>
  <c r="N340" i="38"/>
  <c r="N341" i="38" s="1"/>
  <c r="L333" i="38"/>
  <c r="L334" i="38"/>
  <c r="L335" i="38" s="1"/>
  <c r="P333" i="38"/>
  <c r="P334" i="38"/>
  <c r="P335" i="38" s="1"/>
  <c r="M302" i="38"/>
  <c r="N286" i="38"/>
  <c r="N287" i="38"/>
  <c r="N288" i="38" s="1"/>
  <c r="J303" i="38"/>
  <c r="N292" i="38"/>
  <c r="N293" i="38"/>
  <c r="N294" i="38" s="1"/>
  <c r="L292" i="38"/>
  <c r="L293" i="38"/>
  <c r="L294" i="38" s="1"/>
  <c r="P292" i="38"/>
  <c r="P293" i="38"/>
  <c r="P294" i="38" s="1"/>
  <c r="P286" i="38"/>
  <c r="P287" i="38"/>
  <c r="P288" i="38" s="1"/>
  <c r="L286" i="38"/>
  <c r="L287" i="38"/>
  <c r="L288" i="38" s="1"/>
  <c r="M255" i="38"/>
  <c r="M256" i="38"/>
  <c r="N201" i="38"/>
  <c r="N202" i="38"/>
  <c r="N203" i="38" s="1"/>
  <c r="N196" i="38"/>
  <c r="N197" i="38" s="1"/>
  <c r="N195" i="38"/>
  <c r="M183" i="38"/>
  <c r="N227" i="38"/>
  <c r="N228" i="38"/>
  <c r="N229" i="38" s="1"/>
  <c r="N207" i="38"/>
  <c r="N208" i="38"/>
  <c r="N209" i="38" s="1"/>
  <c r="L207" i="38"/>
  <c r="L208" i="38"/>
  <c r="L209" i="38" s="1"/>
  <c r="L268" i="38"/>
  <c r="L269" i="38"/>
  <c r="L270" i="38" s="1"/>
  <c r="L221" i="38"/>
  <c r="L222" i="38"/>
  <c r="L223" i="38" s="1"/>
  <c r="P221" i="38"/>
  <c r="P222" i="38"/>
  <c r="P223" i="38" s="1"/>
  <c r="P201" i="38"/>
  <c r="P202" i="38"/>
  <c r="P203" i="38" s="1"/>
  <c r="P195" i="38"/>
  <c r="P196" i="38"/>
  <c r="P197" i="38" s="1"/>
  <c r="P269" i="38"/>
  <c r="P270" i="38" s="1"/>
  <c r="P268" i="38"/>
  <c r="L227" i="38"/>
  <c r="L228" i="38"/>
  <c r="L229" i="38" s="1"/>
  <c r="N221" i="38"/>
  <c r="N222" i="38"/>
  <c r="N223" i="38" s="1"/>
  <c r="N268" i="38"/>
  <c r="N269" i="38"/>
  <c r="N270" i="38" s="1"/>
  <c r="P274" i="38"/>
  <c r="P275" i="38"/>
  <c r="P276" i="38" s="1"/>
  <c r="L201" i="38"/>
  <c r="L202" i="38"/>
  <c r="L203" i="38" s="1"/>
  <c r="L195" i="38"/>
  <c r="L196" i="38"/>
  <c r="L197" i="38" s="1"/>
  <c r="L274" i="38"/>
  <c r="L275" i="38"/>
  <c r="L276" i="38" s="1"/>
  <c r="P227" i="38"/>
  <c r="P228" i="38"/>
  <c r="P229" i="38" s="1"/>
  <c r="P207" i="38"/>
  <c r="P208" i="38"/>
  <c r="P209" i="38" s="1"/>
  <c r="N275" i="38"/>
  <c r="N276" i="38" s="1"/>
  <c r="N274" i="38"/>
  <c r="M238" i="38"/>
  <c r="M189" i="38"/>
  <c r="M173" i="38"/>
  <c r="L163" i="38"/>
  <c r="L164" i="38"/>
  <c r="L165" i="38" s="1"/>
  <c r="L157" i="38"/>
  <c r="L158" i="38"/>
  <c r="L159" i="38" s="1"/>
  <c r="P163" i="38"/>
  <c r="P164" i="38"/>
  <c r="P165" i="38" s="1"/>
  <c r="N157" i="38"/>
  <c r="N158" i="38"/>
  <c r="N159" i="38" s="1"/>
  <c r="M125" i="38"/>
  <c r="N163" i="38"/>
  <c r="N164" i="38"/>
  <c r="N165" i="38" s="1"/>
  <c r="P157" i="38"/>
  <c r="P158" i="38"/>
  <c r="P159" i="38" s="1"/>
  <c r="M126" i="38"/>
  <c r="N137" i="38"/>
  <c r="N138" i="38"/>
  <c r="N139" i="38" s="1"/>
  <c r="P137" i="38"/>
  <c r="P138" i="38"/>
  <c r="P139" i="38" s="1"/>
  <c r="N143" i="38"/>
  <c r="N144" i="38"/>
  <c r="N145" i="38" s="1"/>
  <c r="L137" i="38"/>
  <c r="L138" i="38"/>
  <c r="L139" i="38" s="1"/>
  <c r="P143" i="38"/>
  <c r="P144" i="38"/>
  <c r="P145" i="38" s="1"/>
  <c r="L143" i="38"/>
  <c r="L144" i="38"/>
  <c r="L145" i="38" s="1"/>
  <c r="L151" i="38"/>
  <c r="L152" i="38"/>
  <c r="L153" i="38" s="1"/>
  <c r="K116" i="38"/>
  <c r="N151" i="38"/>
  <c r="N152" i="38"/>
  <c r="N153" i="38" s="1"/>
  <c r="M107" i="38"/>
  <c r="M106" i="38"/>
  <c r="P152" i="38"/>
  <c r="P153" i="38" s="1"/>
  <c r="P151" i="38"/>
  <c r="AG261" i="38"/>
  <c r="L69" i="38"/>
  <c r="L70" i="38"/>
  <c r="L71" i="38" s="1"/>
  <c r="N89" i="38"/>
  <c r="N90" i="38"/>
  <c r="N91" i="38" s="1"/>
  <c r="N95" i="38"/>
  <c r="N96" i="38"/>
  <c r="N97" i="38" s="1"/>
  <c r="L89" i="38"/>
  <c r="L90" i="38"/>
  <c r="L91" i="38" s="1"/>
  <c r="N69" i="38"/>
  <c r="N70" i="38"/>
  <c r="N71" i="38" s="1"/>
  <c r="L75" i="38"/>
  <c r="L76" i="38"/>
  <c r="L77" i="38" s="1"/>
  <c r="P75" i="38"/>
  <c r="P76" i="38"/>
  <c r="P77" i="38" s="1"/>
  <c r="P69" i="38"/>
  <c r="P70" i="38"/>
  <c r="P71" i="38" s="1"/>
  <c r="J39" i="38"/>
  <c r="N75" i="38"/>
  <c r="N76" i="38"/>
  <c r="N77" i="38" s="1"/>
  <c r="P89" i="38"/>
  <c r="P90" i="38"/>
  <c r="P91" i="38" s="1"/>
  <c r="P95" i="38"/>
  <c r="P96" i="38"/>
  <c r="P97" i="38" s="1"/>
  <c r="L95" i="38"/>
  <c r="L96" i="38"/>
  <c r="L97" i="38" s="1"/>
  <c r="J8" i="38"/>
  <c r="I65" i="38"/>
  <c r="H65" i="38"/>
  <c r="K8" i="38"/>
  <c r="AD392" i="38"/>
  <c r="J9" i="38"/>
  <c r="AE392" i="38"/>
  <c r="AG264" i="38"/>
  <c r="AE396" i="38"/>
  <c r="J12" i="38"/>
  <c r="J116" i="38"/>
  <c r="K123" i="38"/>
  <c r="AE258" i="38"/>
  <c r="AD265" i="38"/>
  <c r="J16" i="38"/>
  <c r="J123" i="38"/>
  <c r="AG265" i="38"/>
  <c r="J118" i="38"/>
  <c r="K124" i="38"/>
  <c r="AD21" i="38"/>
  <c r="AG16" i="38"/>
  <c r="AD65" i="38"/>
  <c r="AE261" i="38"/>
  <c r="AE400" i="38"/>
  <c r="AE65" i="38"/>
  <c r="AE401" i="38"/>
  <c r="AE59" i="38"/>
  <c r="AD13" i="38"/>
  <c r="AD258" i="38"/>
  <c r="AD408" i="38"/>
  <c r="AE397" i="38"/>
  <c r="AD397" i="38"/>
  <c r="AE408" i="38"/>
  <c r="K17" i="38"/>
  <c r="J17" i="38"/>
  <c r="AE53" i="38"/>
  <c r="AE16" i="38"/>
  <c r="P89" i="36"/>
  <c r="K61" i="37"/>
  <c r="AD400" i="38"/>
  <c r="AE254" i="38"/>
  <c r="L38" i="36"/>
  <c r="H62" i="36"/>
  <c r="L49" i="36"/>
  <c r="H68" i="36"/>
  <c r="AC15" i="37"/>
  <c r="AC34" i="37"/>
  <c r="AC42" i="37"/>
  <c r="AC84" i="37"/>
  <c r="J119" i="38"/>
  <c r="AD94" i="37"/>
  <c r="AD87" i="37"/>
  <c r="AD34" i="37"/>
  <c r="AC46" i="37"/>
  <c r="AF81" i="37"/>
  <c r="AC76" i="37"/>
  <c r="J18" i="38"/>
  <c r="AD25" i="38"/>
  <c r="AD252" i="38"/>
  <c r="AD104" i="37"/>
  <c r="AD42" i="37"/>
  <c r="AD22" i="37"/>
  <c r="AD36" i="37"/>
  <c r="M7" i="38"/>
  <c r="AC104" i="37"/>
  <c r="AD9" i="38"/>
  <c r="AE12" i="38"/>
  <c r="AE55" i="38"/>
  <c r="J56" i="37"/>
  <c r="AC12" i="37"/>
  <c r="AC82" i="37"/>
  <c r="AC183" i="37"/>
  <c r="AD8" i="38"/>
  <c r="AE187" i="38"/>
  <c r="AD174" i="37"/>
  <c r="AD91" i="37"/>
  <c r="AD20" i="37"/>
  <c r="AC21" i="37"/>
  <c r="AF103" i="37"/>
  <c r="AC83" i="37"/>
  <c r="J124" i="38"/>
  <c r="AD250" i="38"/>
  <c r="AE8" i="38"/>
  <c r="AD170" i="37"/>
  <c r="AD83" i="37"/>
  <c r="AD80" i="37"/>
  <c r="AD33" i="37"/>
  <c r="AD12" i="37"/>
  <c r="AD54" i="39"/>
  <c r="J290" i="37"/>
  <c r="K282" i="37"/>
  <c r="AC16" i="37"/>
  <c r="AE250" i="38"/>
  <c r="AD401" i="38"/>
  <c r="AD159" i="37"/>
  <c r="AD88" i="37"/>
  <c r="J125" i="39"/>
  <c r="J126" i="39" s="1"/>
  <c r="AD16" i="37"/>
  <c r="AD39" i="37"/>
  <c r="J84" i="39"/>
  <c r="J85" i="39" s="1"/>
  <c r="J453" i="38"/>
  <c r="J50" i="37"/>
  <c r="K288" i="37"/>
  <c r="AC13" i="37"/>
  <c r="AC24" i="37"/>
  <c r="AC37" i="37"/>
  <c r="AF79" i="37"/>
  <c r="AF99" i="37"/>
  <c r="AF191" i="37"/>
  <c r="AC178" i="37"/>
  <c r="AC243" i="37"/>
  <c r="AD17" i="38"/>
  <c r="AE204" i="38"/>
  <c r="AG268" i="38"/>
  <c r="AG263" i="38"/>
  <c r="AD264" i="38"/>
  <c r="AD393" i="38"/>
  <c r="K125" i="38"/>
  <c r="AD78" i="37"/>
  <c r="AD99" i="37"/>
  <c r="J83" i="39"/>
  <c r="K50" i="37"/>
  <c r="J288" i="37"/>
  <c r="AC78" i="37"/>
  <c r="AC92" i="37"/>
  <c r="AF171" i="37"/>
  <c r="AD243" i="37"/>
  <c r="J13" i="38"/>
  <c r="J125" i="38"/>
  <c r="K120" i="38"/>
  <c r="AD260" i="38"/>
  <c r="AD396" i="38"/>
  <c r="P83" i="38"/>
  <c r="AD86" i="37"/>
  <c r="AD92" i="37"/>
  <c r="J66" i="37"/>
  <c r="K66" i="37"/>
  <c r="AC23" i="37"/>
  <c r="AC41" i="37"/>
  <c r="AC96" i="37"/>
  <c r="AF86" i="37"/>
  <c r="AF155" i="37"/>
  <c r="K16" i="38"/>
  <c r="K13" i="38"/>
  <c r="AE263" i="38"/>
  <c r="AE260" i="38"/>
  <c r="AD389" i="38"/>
  <c r="AD388" i="38"/>
  <c r="AD79" i="37"/>
  <c r="AD95" i="37"/>
  <c r="AD178" i="37"/>
  <c r="AD41" i="37"/>
  <c r="M180" i="39"/>
  <c r="J181" i="39"/>
  <c r="J182" i="39" s="1"/>
  <c r="AD177" i="39"/>
  <c r="AD178" i="39" s="1"/>
  <c r="AC176" i="39"/>
  <c r="J64" i="37"/>
  <c r="K68" i="37"/>
  <c r="J284" i="37"/>
  <c r="K284" i="37"/>
  <c r="AC19" i="37"/>
  <c r="AF94" i="37"/>
  <c r="AC93" i="37"/>
  <c r="AF195" i="37"/>
  <c r="K7" i="38"/>
  <c r="AD20" i="38"/>
  <c r="K18" i="38"/>
  <c r="AD76" i="37"/>
  <c r="AD27" i="37"/>
  <c r="M84" i="39"/>
  <c r="M85" i="39" s="1"/>
  <c r="K84" i="39"/>
  <c r="K85" i="39" s="1"/>
  <c r="AC87" i="37"/>
  <c r="AC166" i="37"/>
  <c r="J19" i="38"/>
  <c r="J121" i="38"/>
  <c r="K20" i="38"/>
  <c r="AE262" i="38"/>
  <c r="AE252" i="38"/>
  <c r="AE9" i="38"/>
  <c r="K121" i="38"/>
  <c r="AD166" i="37"/>
  <c r="AD194" i="37"/>
  <c r="AD84" i="37"/>
  <c r="AD100" i="37"/>
  <c r="J61" i="37"/>
  <c r="K64" i="37"/>
  <c r="J285" i="37"/>
  <c r="AC22" i="37"/>
  <c r="AC43" i="37"/>
  <c r="AC102" i="37"/>
  <c r="AC100" i="37"/>
  <c r="AC158" i="37"/>
  <c r="AC194" i="37"/>
  <c r="AC159" i="37"/>
  <c r="J20" i="38"/>
  <c r="AD12" i="38"/>
  <c r="K119" i="38"/>
  <c r="AD46" i="37"/>
  <c r="AF54" i="39"/>
  <c r="AC38" i="37"/>
  <c r="AC90" i="37"/>
  <c r="AC97" i="37"/>
  <c r="J11" i="38"/>
  <c r="J15" i="38"/>
  <c r="J114" i="38"/>
  <c r="J438" i="38"/>
  <c r="P84" i="38"/>
  <c r="P85" i="38" s="1"/>
  <c r="AE192" i="38"/>
  <c r="AD254" i="38"/>
  <c r="AE13" i="38"/>
  <c r="AD75" i="37"/>
  <c r="AD167" i="37"/>
  <c r="AD25" i="37"/>
  <c r="AD38" i="37"/>
  <c r="AD10" i="37"/>
  <c r="AD18" i="37"/>
  <c r="J120" i="38"/>
  <c r="AD69" i="38"/>
  <c r="AD193" i="38"/>
  <c r="AE69" i="38"/>
  <c r="AD74" i="37"/>
  <c r="AD14" i="37"/>
  <c r="P165" i="36"/>
  <c r="AC9" i="37"/>
  <c r="AC17" i="37"/>
  <c r="AC45" i="37"/>
  <c r="AC74" i="37"/>
  <c r="AC89" i="37"/>
  <c r="J14" i="38"/>
  <c r="K114" i="38"/>
  <c r="K9" i="38"/>
  <c r="AD66" i="38"/>
  <c r="AD102" i="37"/>
  <c r="AD89" i="37"/>
  <c r="AD179" i="37"/>
  <c r="AD30" i="37"/>
  <c r="AE21" i="38"/>
  <c r="AD31" i="37"/>
  <c r="L50" i="36"/>
  <c r="J67" i="37"/>
  <c r="L51" i="36"/>
  <c r="N50" i="36"/>
  <c r="M50" i="36" s="1"/>
  <c r="AC246" i="37"/>
  <c r="J374" i="38"/>
  <c r="J384" i="38"/>
  <c r="K12" i="38"/>
  <c r="AD24" i="38"/>
  <c r="AD203" i="38"/>
  <c r="AD200" i="38"/>
  <c r="AE193" i="38"/>
  <c r="AE268" i="38"/>
  <c r="AH273" i="38"/>
  <c r="AD183" i="37"/>
  <c r="AD82" i="37"/>
  <c r="AD19" i="37"/>
  <c r="K125" i="39"/>
  <c r="K126" i="39" s="1"/>
  <c r="AE393" i="38"/>
  <c r="J387" i="38"/>
  <c r="J383" i="38"/>
  <c r="AD384" i="38"/>
  <c r="P153" i="36"/>
  <c r="AC161" i="37"/>
  <c r="AD391" i="38"/>
  <c r="AE189" i="38"/>
  <c r="AD26" i="37"/>
  <c r="AD11" i="37"/>
  <c r="J180" i="39"/>
  <c r="AD100" i="39"/>
  <c r="AD195" i="37"/>
  <c r="AG64" i="39"/>
  <c r="AG65" i="39"/>
  <c r="AG66" i="39" s="1"/>
  <c r="AI31" i="39"/>
  <c r="AI32" i="39" s="1"/>
  <c r="AI30" i="39"/>
  <c r="N56" i="36"/>
  <c r="M56" i="36" s="1"/>
  <c r="L54" i="36"/>
  <c r="P169" i="36"/>
  <c r="K112" i="37"/>
  <c r="AI65" i="39"/>
  <c r="AI66" i="39" s="1"/>
  <c r="AI64" i="39"/>
  <c r="J63" i="37"/>
  <c r="K58" i="37"/>
  <c r="L90" i="37"/>
  <c r="L91" i="37" s="1"/>
  <c r="AD242" i="37"/>
  <c r="J122" i="38"/>
  <c r="AD251" i="38"/>
  <c r="AD405" i="38"/>
  <c r="AE391" i="38"/>
  <c r="AE404" i="38"/>
  <c r="AD182" i="37"/>
  <c r="J292" i="39"/>
  <c r="J293" i="39" s="1"/>
  <c r="J291" i="39"/>
  <c r="AF101" i="39"/>
  <c r="AF102" i="39" s="1"/>
  <c r="AF100" i="39"/>
  <c r="AD118" i="39"/>
  <c r="AD119" i="39"/>
  <c r="AD120" i="39" s="1"/>
  <c r="M124" i="39"/>
  <c r="M125" i="39"/>
  <c r="M126" i="39" s="1"/>
  <c r="AF176" i="39"/>
  <c r="AF177" i="39"/>
  <c r="AF178" i="39" s="1"/>
  <c r="AD101" i="39"/>
  <c r="AD102" i="39" s="1"/>
  <c r="AF35" i="37"/>
  <c r="AD35" i="37"/>
  <c r="P77" i="39"/>
  <c r="P78" i="39"/>
  <c r="P79" i="39" s="1"/>
  <c r="AD176" i="39"/>
  <c r="AD43" i="37"/>
  <c r="AD21" i="37"/>
  <c r="I180" i="36"/>
  <c r="L58" i="36"/>
  <c r="L55" i="36"/>
  <c r="I175" i="36"/>
  <c r="I176" i="36" s="1"/>
  <c r="L77" i="39"/>
  <c r="L78" i="39"/>
  <c r="L79" i="39" s="1"/>
  <c r="L162" i="39"/>
  <c r="L163" i="39"/>
  <c r="L164" i="39" s="1"/>
  <c r="P181" i="39"/>
  <c r="P182" i="39" s="1"/>
  <c r="P180" i="39"/>
  <c r="AC238" i="37"/>
  <c r="L346" i="38"/>
  <c r="J308" i="38"/>
  <c r="J377" i="38"/>
  <c r="L479" i="38"/>
  <c r="L480" i="38" s="1"/>
  <c r="AE23" i="38"/>
  <c r="AF145" i="38"/>
  <c r="AE191" i="38"/>
  <c r="AE266" i="38"/>
  <c r="AD404" i="38"/>
  <c r="AD186" i="37"/>
  <c r="AD158" i="37"/>
  <c r="J227" i="39"/>
  <c r="J228" i="39"/>
  <c r="J229" i="39" s="1"/>
  <c r="M291" i="39"/>
  <c r="M292" i="39"/>
  <c r="M293" i="39" s="1"/>
  <c r="AC118" i="39"/>
  <c r="AC119" i="39"/>
  <c r="AC120" i="39" s="1"/>
  <c r="AF119" i="39"/>
  <c r="AF120" i="39" s="1"/>
  <c r="AF118" i="39"/>
  <c r="AC157" i="39"/>
  <c r="AC158" i="39"/>
  <c r="AC159" i="39" s="1"/>
  <c r="K83" i="39"/>
  <c r="AF158" i="39"/>
  <c r="AF159" i="39" s="1"/>
  <c r="AC177" i="39"/>
  <c r="AC178" i="39" s="1"/>
  <c r="K124" i="39"/>
  <c r="AA27" i="36"/>
  <c r="AA28" i="36" s="1"/>
  <c r="H104" i="36"/>
  <c r="H105" i="36" s="1"/>
  <c r="H174" i="36"/>
  <c r="N163" i="39"/>
  <c r="N164" i="39" s="1"/>
  <c r="N162" i="39"/>
  <c r="AC7" i="39"/>
  <c r="AG30" i="39"/>
  <c r="AG31" i="39"/>
  <c r="AG32" i="39" s="1"/>
  <c r="AD23" i="38"/>
  <c r="AD185" i="38"/>
  <c r="AD191" i="37"/>
  <c r="AD81" i="37"/>
  <c r="AD15" i="37"/>
  <c r="K227" i="39"/>
  <c r="K228" i="39"/>
  <c r="K229" i="39" s="1"/>
  <c r="K291" i="39"/>
  <c r="K292" i="39"/>
  <c r="K293" i="39" s="1"/>
  <c r="AD158" i="39"/>
  <c r="AD159" i="39" s="1"/>
  <c r="AD157" i="39"/>
  <c r="M227" i="39"/>
  <c r="M228" i="39"/>
  <c r="M229" i="39" s="1"/>
  <c r="J298" i="39"/>
  <c r="J299" i="39" s="1"/>
  <c r="J297" i="39"/>
  <c r="J124" i="39"/>
  <c r="M181" i="39"/>
  <c r="M182" i="39" s="1"/>
  <c r="M52" i="39"/>
  <c r="N77" i="39"/>
  <c r="N78" i="39"/>
  <c r="N79" i="39" s="1"/>
  <c r="AC100" i="39"/>
  <c r="AC101" i="39"/>
  <c r="AC102" i="39" s="1"/>
  <c r="AE65" i="39"/>
  <c r="AE66" i="39" s="1"/>
  <c r="AE64" i="39"/>
  <c r="K180" i="39"/>
  <c r="K181" i="39"/>
  <c r="K182" i="39" s="1"/>
  <c r="M297" i="39"/>
  <c r="M298" i="39"/>
  <c r="M299" i="39" s="1"/>
  <c r="K297" i="39"/>
  <c r="K298" i="39"/>
  <c r="K299" i="39" s="1"/>
  <c r="AF29" i="37"/>
  <c r="AD29" i="37"/>
  <c r="AE31" i="39"/>
  <c r="AE32" i="39" s="1"/>
  <c r="AE30" i="39"/>
  <c r="P162" i="39"/>
  <c r="P163" i="39"/>
  <c r="P164" i="39" s="1"/>
  <c r="AE17" i="38"/>
  <c r="AD23" i="37"/>
  <c r="J52" i="39"/>
  <c r="AD58" i="39"/>
  <c r="J7" i="39"/>
  <c r="N37" i="39"/>
  <c r="N38" i="39"/>
  <c r="N39" i="39" s="1"/>
  <c r="K52" i="39"/>
  <c r="AF58" i="39"/>
  <c r="P37" i="39"/>
  <c r="P38" i="39"/>
  <c r="P39" i="39" s="1"/>
  <c r="AD56" i="39"/>
  <c r="L38" i="39"/>
  <c r="L39" i="39" s="1"/>
  <c r="L37" i="39"/>
  <c r="J12" i="39"/>
  <c r="M12" i="39"/>
  <c r="J8" i="39"/>
  <c r="M8" i="39"/>
  <c r="J11" i="39"/>
  <c r="M11" i="39"/>
  <c r="J13" i="39"/>
  <c r="M13" i="39"/>
  <c r="J9" i="39"/>
  <c r="M9" i="39"/>
  <c r="K8" i="39"/>
  <c r="J14" i="39"/>
  <c r="M14" i="39"/>
  <c r="K11" i="39"/>
  <c r="J10" i="39"/>
  <c r="M10" i="39"/>
  <c r="K14" i="39"/>
  <c r="AF56" i="39"/>
  <c r="AB26" i="36"/>
  <c r="AB27" i="36"/>
  <c r="AB28" i="36" s="1"/>
  <c r="P145" i="36"/>
  <c r="H180" i="36"/>
  <c r="L56" i="36"/>
  <c r="L52" i="36"/>
  <c r="L53" i="36"/>
  <c r="L161" i="36"/>
  <c r="P157" i="36"/>
  <c r="H175" i="36"/>
  <c r="H176" i="36" s="1"/>
  <c r="I174" i="36"/>
  <c r="AA26" i="36"/>
  <c r="AI44" i="36"/>
  <c r="AA62" i="36"/>
  <c r="AE109" i="37"/>
  <c r="AE110" i="37"/>
  <c r="AE111" i="37" s="1"/>
  <c r="AC73" i="37"/>
  <c r="AG109" i="37"/>
  <c r="AG110" i="37"/>
  <c r="AG111" i="37" s="1"/>
  <c r="AD7" i="37"/>
  <c r="AG51" i="37"/>
  <c r="AG52" i="37"/>
  <c r="AG53" i="37" s="1"/>
  <c r="AH77" i="38"/>
  <c r="AH78" i="38" s="1"/>
  <c r="AH76" i="38"/>
  <c r="H181" i="36"/>
  <c r="H182" i="36" s="1"/>
  <c r="I181" i="36"/>
  <c r="I182" i="36" s="1"/>
  <c r="AB62" i="36"/>
  <c r="AB63" i="36"/>
  <c r="AB64" i="36" s="1"/>
  <c r="AE47" i="36"/>
  <c r="AE63" i="36" s="1"/>
  <c r="AE64" i="36" s="1"/>
  <c r="AI47" i="36"/>
  <c r="AA63" i="36"/>
  <c r="AA64" i="36" s="1"/>
  <c r="AF76" i="38"/>
  <c r="AF77" i="38"/>
  <c r="AF78" i="38" s="1"/>
  <c r="AF31" i="38"/>
  <c r="AF32" i="38"/>
  <c r="AF33" i="38" s="1"/>
  <c r="M188" i="38"/>
  <c r="J188" i="38"/>
  <c r="AI109" i="37"/>
  <c r="AI110" i="37"/>
  <c r="AI111" i="37" s="1"/>
  <c r="J58" i="37"/>
  <c r="AI51" i="37"/>
  <c r="AI52" i="37"/>
  <c r="AI53" i="37" s="1"/>
  <c r="L296" i="37"/>
  <c r="L297" i="37"/>
  <c r="L298" i="37" s="1"/>
  <c r="K289" i="37"/>
  <c r="P296" i="37"/>
  <c r="P297" i="37"/>
  <c r="P298" i="37" s="1"/>
  <c r="AD189" i="37"/>
  <c r="AG251" i="37"/>
  <c r="AG252" i="37"/>
  <c r="AG253" i="37" s="1"/>
  <c r="AE258" i="37"/>
  <c r="AE259" i="37" s="1"/>
  <c r="AE257" i="37"/>
  <c r="K380" i="38"/>
  <c r="J382" i="38"/>
  <c r="AD7" i="38"/>
  <c r="AH31" i="38"/>
  <c r="AH32" i="38"/>
  <c r="AH33" i="38" s="1"/>
  <c r="K118" i="38"/>
  <c r="K453" i="38"/>
  <c r="K15" i="38"/>
  <c r="AD15" i="38"/>
  <c r="AH164" i="38"/>
  <c r="AH165" i="38"/>
  <c r="AH166" i="38" s="1"/>
  <c r="AD127" i="38"/>
  <c r="AD123" i="38"/>
  <c r="AD202" i="38"/>
  <c r="AD198" i="38"/>
  <c r="AD194" i="38"/>
  <c r="AE200" i="38"/>
  <c r="AD196" i="38"/>
  <c r="AD192" i="38"/>
  <c r="AD188" i="38"/>
  <c r="AD267" i="38"/>
  <c r="AJ433" i="38"/>
  <c r="AJ434" i="38"/>
  <c r="AJ435" i="38" s="1"/>
  <c r="AD379" i="38"/>
  <c r="AH433" i="38"/>
  <c r="AH434" i="38"/>
  <c r="AH435" i="38" s="1"/>
  <c r="AD395" i="38"/>
  <c r="AE405" i="38"/>
  <c r="AE389" i="38"/>
  <c r="AF97" i="38"/>
  <c r="AF98" i="38"/>
  <c r="AF99" i="38" s="1"/>
  <c r="AE388" i="38"/>
  <c r="AE66" i="38"/>
  <c r="AE204" i="37"/>
  <c r="AE205" i="37" s="1"/>
  <c r="AE203" i="37"/>
  <c r="AI258" i="37"/>
  <c r="AI259" i="37" s="1"/>
  <c r="AI257" i="37"/>
  <c r="AD151" i="37"/>
  <c r="AD93" i="37"/>
  <c r="AD101" i="37"/>
  <c r="AI222" i="37"/>
  <c r="AI223" i="37"/>
  <c r="AI224" i="37" s="1"/>
  <c r="AD171" i="37"/>
  <c r="AE129" i="37"/>
  <c r="AE130" i="37"/>
  <c r="AE131" i="37" s="1"/>
  <c r="AD24" i="37"/>
  <c r="L273" i="37"/>
  <c r="L274" i="37" s="1"/>
  <c r="L272" i="37"/>
  <c r="N254" i="37"/>
  <c r="N255" i="37" s="1"/>
  <c r="N253" i="37"/>
  <c r="AI203" i="37"/>
  <c r="AI204" i="37"/>
  <c r="AI205" i="37" s="1"/>
  <c r="AD173" i="37"/>
  <c r="L347" i="38"/>
  <c r="L348" i="38" s="1"/>
  <c r="L280" i="38"/>
  <c r="AE403" i="38"/>
  <c r="AF165" i="38"/>
  <c r="AF166" i="38" s="1"/>
  <c r="AF164" i="38"/>
  <c r="AG70" i="38"/>
  <c r="AE70" i="38"/>
  <c r="AE20" i="38"/>
  <c r="AI251" i="37"/>
  <c r="AI252" i="37"/>
  <c r="AI253" i="37" s="1"/>
  <c r="AI129" i="37"/>
  <c r="AI130" i="37"/>
  <c r="AI131" i="37" s="1"/>
  <c r="AE222" i="37"/>
  <c r="AE223" i="37"/>
  <c r="AE224" i="37" s="1"/>
  <c r="AD32" i="37"/>
  <c r="AD45" i="37"/>
  <c r="J210" i="37"/>
  <c r="N235" i="37"/>
  <c r="N236" i="37" s="1"/>
  <c r="N234" i="37"/>
  <c r="L235" i="37"/>
  <c r="L236" i="37" s="1"/>
  <c r="L253" i="37"/>
  <c r="L254" i="37"/>
  <c r="L255" i="37" s="1"/>
  <c r="N273" i="37"/>
  <c r="N274" i="37" s="1"/>
  <c r="N272" i="37"/>
  <c r="J219" i="37"/>
  <c r="N296" i="37"/>
  <c r="N297" i="37"/>
  <c r="N298" i="37" s="1"/>
  <c r="K285" i="37"/>
  <c r="AG203" i="37"/>
  <c r="AG204" i="37"/>
  <c r="AG205" i="37" s="1"/>
  <c r="AC177" i="37"/>
  <c r="AC189" i="37"/>
  <c r="J244" i="38"/>
  <c r="J368" i="38"/>
  <c r="J369" i="38"/>
  <c r="J434" i="38"/>
  <c r="AJ31" i="38"/>
  <c r="AJ32" i="38"/>
  <c r="AJ33" i="38" s="1"/>
  <c r="AJ97" i="38"/>
  <c r="AJ98" i="38"/>
  <c r="AJ99" i="38" s="1"/>
  <c r="K126" i="38"/>
  <c r="AD72" i="38"/>
  <c r="AJ164" i="38"/>
  <c r="AJ165" i="38"/>
  <c r="AJ166" i="38" s="1"/>
  <c r="AD125" i="38"/>
  <c r="AD121" i="38"/>
  <c r="AD187" i="38"/>
  <c r="AD204" i="38"/>
  <c r="AD201" i="38"/>
  <c r="AD189" i="38"/>
  <c r="AD317" i="38"/>
  <c r="AD407" i="38"/>
  <c r="M115" i="38"/>
  <c r="K115" i="38"/>
  <c r="AG62" i="38"/>
  <c r="AH97" i="38"/>
  <c r="AH98" i="38"/>
  <c r="AH99" i="38" s="1"/>
  <c r="AE62" i="38"/>
  <c r="AE25" i="38"/>
  <c r="AC175" i="37"/>
  <c r="AD175" i="37"/>
  <c r="AD97" i="37"/>
  <c r="AD9" i="37"/>
  <c r="AD13" i="37"/>
  <c r="AD17" i="37"/>
  <c r="AE251" i="37"/>
  <c r="AE252" i="37"/>
  <c r="AE253" i="37" s="1"/>
  <c r="AF240" i="37"/>
  <c r="AG258" i="37"/>
  <c r="AG259" i="37" s="1"/>
  <c r="AG257" i="37"/>
  <c r="AE15" i="38"/>
  <c r="M10" i="38"/>
  <c r="K10" i="38"/>
  <c r="AF433" i="38"/>
  <c r="AF434" i="38"/>
  <c r="AF435" i="38" s="1"/>
  <c r="AE24" i="38"/>
  <c r="K14" i="38"/>
  <c r="AC163" i="37"/>
  <c r="AD163" i="37"/>
  <c r="AF187" i="37"/>
  <c r="AG222" i="37"/>
  <c r="AG223" i="37"/>
  <c r="AG224" i="37" s="1"/>
  <c r="AD187" i="37"/>
  <c r="AD77" i="37"/>
  <c r="AD85" i="37"/>
  <c r="AJ76" i="38"/>
  <c r="AJ77" i="38"/>
  <c r="AJ78" i="38" s="1"/>
  <c r="AE51" i="37"/>
  <c r="AE52" i="37"/>
  <c r="AE53" i="37" s="1"/>
  <c r="AF90" i="37"/>
  <c r="AG129" i="37"/>
  <c r="AG130" i="37"/>
  <c r="AG131" i="37" s="1"/>
  <c r="L234" i="37"/>
  <c r="AG390" i="38"/>
  <c r="AE390" i="38"/>
  <c r="AG406" i="38"/>
  <c r="AE406" i="38"/>
  <c r="AE399" i="38"/>
  <c r="AG394" i="38"/>
  <c r="AE394" i="38"/>
  <c r="AD403" i="38"/>
  <c r="AE387" i="38"/>
  <c r="AG398" i="38"/>
  <c r="AE398" i="38"/>
  <c r="AD394" i="38"/>
  <c r="AD387" i="38"/>
  <c r="AD406" i="38"/>
  <c r="AD399" i="38"/>
  <c r="AG386" i="38"/>
  <c r="AE386" i="38"/>
  <c r="AG402" i="38"/>
  <c r="AE402" i="38"/>
  <c r="AD398" i="38"/>
  <c r="AE395" i="38"/>
  <c r="AD390" i="38"/>
  <c r="AE407" i="38"/>
  <c r="AD402" i="38"/>
  <c r="AE383" i="38"/>
  <c r="AE379" i="38"/>
  <c r="AD383" i="38"/>
  <c r="AE385" i="38"/>
  <c r="AF413" i="38"/>
  <c r="AE381" i="38"/>
  <c r="AE380" i="38"/>
  <c r="AD380" i="38"/>
  <c r="AD382" i="38"/>
  <c r="AH413" i="38"/>
  <c r="AH414" i="38"/>
  <c r="AH415" i="38" s="1"/>
  <c r="AD385" i="38"/>
  <c r="AE382" i="38"/>
  <c r="AE384" i="38"/>
  <c r="AD381" i="38"/>
  <c r="AJ414" i="38"/>
  <c r="AJ415" i="38" s="1"/>
  <c r="AJ413" i="38"/>
  <c r="AF359" i="38"/>
  <c r="AF360" i="38" s="1"/>
  <c r="AF340" i="38"/>
  <c r="AF341" i="38" s="1"/>
  <c r="AF339" i="38"/>
  <c r="AH339" i="38"/>
  <c r="AG314" i="38"/>
  <c r="AH340" i="38"/>
  <c r="AH341" i="38" s="1"/>
  <c r="AE314" i="38"/>
  <c r="AG320" i="38"/>
  <c r="AE320" i="38"/>
  <c r="AG334" i="38"/>
  <c r="AE334" i="38"/>
  <c r="AG330" i="38"/>
  <c r="AE330" i="38"/>
  <c r="AG326" i="38"/>
  <c r="AE326" i="38"/>
  <c r="AG322" i="38"/>
  <c r="AE322" i="38"/>
  <c r="AG321" i="38"/>
  <c r="AE321" i="38"/>
  <c r="AG316" i="38"/>
  <c r="AE316" i="38"/>
  <c r="AG328" i="38"/>
  <c r="AE328" i="38"/>
  <c r="AG324" i="38"/>
  <c r="AE324" i="38"/>
  <c r="AG323" i="38"/>
  <c r="AE323" i="38"/>
  <c r="AE319" i="38"/>
  <c r="AG329" i="38"/>
  <c r="AE329" i="38"/>
  <c r="AH358" i="38"/>
  <c r="AG325" i="38"/>
  <c r="AH359" i="38"/>
  <c r="AH360" i="38" s="1"/>
  <c r="AE325" i="38"/>
  <c r="AF358" i="38"/>
  <c r="AG332" i="38"/>
  <c r="AE332" i="38"/>
  <c r="AG327" i="38"/>
  <c r="AE327" i="38"/>
  <c r="AE317" i="38"/>
  <c r="AJ340" i="38"/>
  <c r="AJ341" i="38" s="1"/>
  <c r="AJ339" i="38"/>
  <c r="AG333" i="38"/>
  <c r="AE333" i="38"/>
  <c r="AJ359" i="38"/>
  <c r="AJ360" i="38" s="1"/>
  <c r="AJ358" i="38"/>
  <c r="AG318" i="38"/>
  <c r="AE318" i="38"/>
  <c r="AD314" i="38"/>
  <c r="AD320" i="38"/>
  <c r="AG331" i="38"/>
  <c r="AE331" i="38"/>
  <c r="AD319" i="38"/>
  <c r="AD315" i="38"/>
  <c r="AE315" i="38"/>
  <c r="AJ294" i="38"/>
  <c r="AJ295" i="38" s="1"/>
  <c r="AJ273" i="38"/>
  <c r="AH274" i="38"/>
  <c r="AH275" i="38" s="1"/>
  <c r="AH294" i="38"/>
  <c r="AH295" i="38" s="1"/>
  <c r="AG266" i="38"/>
  <c r="AG259" i="38"/>
  <c r="AG248" i="38"/>
  <c r="AJ293" i="38"/>
  <c r="AD248" i="38"/>
  <c r="AG267" i="38"/>
  <c r="AG262" i="38"/>
  <c r="AG257" i="38"/>
  <c r="AE257" i="38"/>
  <c r="AG249" i="38"/>
  <c r="AE249" i="38"/>
  <c r="AE256" i="38"/>
  <c r="AH293" i="38"/>
  <c r="AD256" i="38"/>
  <c r="AE259" i="38"/>
  <c r="AG255" i="38"/>
  <c r="AE255" i="38"/>
  <c r="AD255" i="38"/>
  <c r="AJ274" i="38"/>
  <c r="AJ275" i="38" s="1"/>
  <c r="AG253" i="38"/>
  <c r="AD253" i="38"/>
  <c r="AE251" i="38"/>
  <c r="AF294" i="38"/>
  <c r="AF295" i="38" s="1"/>
  <c r="AF293" i="38"/>
  <c r="AF273" i="38"/>
  <c r="AF274" i="38"/>
  <c r="AF275" i="38" s="1"/>
  <c r="AE196" i="38"/>
  <c r="AE188" i="38"/>
  <c r="AE201" i="38"/>
  <c r="AE197" i="38"/>
  <c r="AE185" i="38"/>
  <c r="AD199" i="38"/>
  <c r="AD191" i="38"/>
  <c r="AD197" i="38"/>
  <c r="AF228" i="38"/>
  <c r="AF229" i="38"/>
  <c r="AF230" i="38" s="1"/>
  <c r="AD190" i="38"/>
  <c r="AE194" i="38"/>
  <c r="AE190" i="38"/>
  <c r="AH209" i="38"/>
  <c r="AG184" i="38"/>
  <c r="AH210" i="38"/>
  <c r="AH211" i="38" s="1"/>
  <c r="AE186" i="38"/>
  <c r="AF210" i="38"/>
  <c r="AF211" i="38" s="1"/>
  <c r="AF209" i="38"/>
  <c r="AJ229" i="38"/>
  <c r="AJ230" i="38" s="1"/>
  <c r="AJ228" i="38"/>
  <c r="AH228" i="38"/>
  <c r="AH229" i="38"/>
  <c r="AH230" i="38" s="1"/>
  <c r="AG195" i="38"/>
  <c r="AE203" i="38"/>
  <c r="AJ210" i="38"/>
  <c r="AJ211" i="38" s="1"/>
  <c r="AJ209" i="38"/>
  <c r="AE202" i="38"/>
  <c r="AE198" i="38"/>
  <c r="AE195" i="38"/>
  <c r="AE199" i="38"/>
  <c r="AD186" i="38"/>
  <c r="AD184" i="38"/>
  <c r="AE121" i="38"/>
  <c r="AF146" i="38"/>
  <c r="AF147" i="38" s="1"/>
  <c r="AE125" i="38"/>
  <c r="AG137" i="38"/>
  <c r="AE137" i="38"/>
  <c r="AG133" i="38"/>
  <c r="AE133" i="38"/>
  <c r="AG129" i="38"/>
  <c r="AE129" i="38"/>
  <c r="AJ146" i="38"/>
  <c r="AJ147" i="38" s="1"/>
  <c r="AJ145" i="38"/>
  <c r="AG140" i="38"/>
  <c r="AE140" i="38"/>
  <c r="AG139" i="38"/>
  <c r="AE139" i="38"/>
  <c r="AG138" i="38"/>
  <c r="AE138" i="38"/>
  <c r="AG128" i="38"/>
  <c r="AE128" i="38"/>
  <c r="AG124" i="38"/>
  <c r="AE124" i="38"/>
  <c r="AE127" i="38"/>
  <c r="AG132" i="38"/>
  <c r="AE132" i="38"/>
  <c r="AH145" i="38"/>
  <c r="AG120" i="38"/>
  <c r="AH146" i="38"/>
  <c r="AH147" i="38" s="1"/>
  <c r="AE120" i="38"/>
  <c r="AD137" i="38"/>
  <c r="AD133" i="38"/>
  <c r="AD129" i="38"/>
  <c r="AD140" i="38"/>
  <c r="AG136" i="38"/>
  <c r="AE136" i="38"/>
  <c r="AG126" i="38"/>
  <c r="AE126" i="38"/>
  <c r="AG122" i="38"/>
  <c r="AE122" i="38"/>
  <c r="AD139" i="38"/>
  <c r="AG135" i="38"/>
  <c r="AE135" i="38"/>
  <c r="AG131" i="38"/>
  <c r="AE131" i="38"/>
  <c r="AD138" i="38"/>
  <c r="AG134" i="38"/>
  <c r="AE134" i="38"/>
  <c r="AG130" i="38"/>
  <c r="AE130" i="38"/>
  <c r="AE123" i="38"/>
  <c r="AG71" i="38"/>
  <c r="AE71" i="38"/>
  <c r="AE68" i="38"/>
  <c r="AD68" i="38"/>
  <c r="AG63" i="38"/>
  <c r="AE63" i="38"/>
  <c r="AD63" i="38"/>
  <c r="AD71" i="38"/>
  <c r="AG67" i="38"/>
  <c r="AE67" i="38"/>
  <c r="AD64" i="38"/>
  <c r="AE64" i="38"/>
  <c r="AE72" i="38"/>
  <c r="AG59" i="38"/>
  <c r="AG55" i="38"/>
  <c r="AE26" i="38"/>
  <c r="AG26" i="38"/>
  <c r="AE27" i="38"/>
  <c r="AE19" i="38"/>
  <c r="AE22" i="38"/>
  <c r="AG22" i="38"/>
  <c r="AD11" i="38"/>
  <c r="AD19" i="38"/>
  <c r="AD27" i="38"/>
  <c r="AE10" i="38"/>
  <c r="AG10" i="38"/>
  <c r="AE11" i="38"/>
  <c r="AE14" i="38"/>
  <c r="AG14" i="38"/>
  <c r="AG18" i="38"/>
  <c r="AE18" i="38"/>
  <c r="AD26" i="38"/>
  <c r="AD14" i="38"/>
  <c r="AD22" i="38"/>
  <c r="AE52" i="38"/>
  <c r="AG52" i="38"/>
  <c r="L64" i="38"/>
  <c r="L63" i="38"/>
  <c r="K38" i="38"/>
  <c r="N63" i="38"/>
  <c r="N64" i="38"/>
  <c r="J312" i="38"/>
  <c r="N347" i="38"/>
  <c r="N348" i="38" s="1"/>
  <c r="N346" i="38"/>
  <c r="M378" i="38"/>
  <c r="N411" i="38"/>
  <c r="N412" i="38"/>
  <c r="N413" i="38" s="1"/>
  <c r="J444" i="38"/>
  <c r="N479" i="38"/>
  <c r="N480" i="38" s="1"/>
  <c r="N478" i="38"/>
  <c r="AD61" i="38"/>
  <c r="AG61" i="38"/>
  <c r="AD57" i="38"/>
  <c r="AG57" i="38"/>
  <c r="AD60" i="38"/>
  <c r="AG60" i="38"/>
  <c r="K323" i="38"/>
  <c r="AE60" i="38"/>
  <c r="L24" i="38"/>
  <c r="L25" i="38"/>
  <c r="L26" i="38" s="1"/>
  <c r="J117" i="38"/>
  <c r="P262" i="38"/>
  <c r="P263" i="38"/>
  <c r="P264" i="38" s="1"/>
  <c r="P280" i="38"/>
  <c r="P281" i="38"/>
  <c r="P282" i="38" s="1"/>
  <c r="L393" i="38"/>
  <c r="L394" i="38" s="1"/>
  <c r="L392" i="38"/>
  <c r="J431" i="38"/>
  <c r="N459" i="38"/>
  <c r="N460" i="38"/>
  <c r="N461" i="38" s="1"/>
  <c r="L460" i="38"/>
  <c r="L461" i="38" s="1"/>
  <c r="L459" i="38"/>
  <c r="L478" i="38"/>
  <c r="P216" i="38"/>
  <c r="P217" i="38" s="1"/>
  <c r="P215" i="38"/>
  <c r="L131" i="38"/>
  <c r="L132" i="38"/>
  <c r="L133" i="38" s="1"/>
  <c r="AG53" i="38"/>
  <c r="J50" i="38"/>
  <c r="N84" i="38"/>
  <c r="N85" i="38" s="1"/>
  <c r="N83" i="38"/>
  <c r="J126" i="38"/>
  <c r="J237" i="38"/>
  <c r="N263" i="38"/>
  <c r="N264" i="38" s="1"/>
  <c r="N262" i="38"/>
  <c r="M248" i="38"/>
  <c r="N281" i="38"/>
  <c r="N282" i="38" s="1"/>
  <c r="N280" i="38"/>
  <c r="J256" i="38"/>
  <c r="J323" i="38"/>
  <c r="P412" i="38"/>
  <c r="P413" i="38" s="1"/>
  <c r="P411" i="38"/>
  <c r="P393" i="38"/>
  <c r="P394" i="38" s="1"/>
  <c r="P392" i="38"/>
  <c r="P459" i="38"/>
  <c r="P460" i="38"/>
  <c r="P461" i="38" s="1"/>
  <c r="L281" i="38"/>
  <c r="L282" i="38" s="1"/>
  <c r="L216" i="38"/>
  <c r="L217" i="38" s="1"/>
  <c r="L215" i="38"/>
  <c r="P131" i="38"/>
  <c r="P132" i="38"/>
  <c r="P133" i="38" s="1"/>
  <c r="AD58" i="38"/>
  <c r="AG58" i="38"/>
  <c r="N25" i="38"/>
  <c r="N26" i="38" s="1"/>
  <c r="P63" i="38"/>
  <c r="P64" i="38"/>
  <c r="K11" i="38"/>
  <c r="M181" i="38"/>
  <c r="N215" i="38"/>
  <c r="N216" i="38"/>
  <c r="N217" i="38" s="1"/>
  <c r="AE58" i="38"/>
  <c r="K107" i="38"/>
  <c r="L84" i="38"/>
  <c r="L85" i="38" s="1"/>
  <c r="L83" i="38"/>
  <c r="M103" i="38"/>
  <c r="N131" i="38"/>
  <c r="N132" i="38"/>
  <c r="N133" i="38" s="1"/>
  <c r="J252" i="38"/>
  <c r="K252" i="38"/>
  <c r="J238" i="38"/>
  <c r="J251" i="38"/>
  <c r="P346" i="38"/>
  <c r="P347" i="38"/>
  <c r="P348" i="38" s="1"/>
  <c r="J304" i="38"/>
  <c r="K376" i="38"/>
  <c r="L412" i="38"/>
  <c r="L413" i="38" s="1"/>
  <c r="L411" i="38"/>
  <c r="J367" i="38"/>
  <c r="J380" i="38"/>
  <c r="J385" i="38"/>
  <c r="J373" i="38"/>
  <c r="J378" i="38"/>
  <c r="J365" i="38"/>
  <c r="N392" i="38"/>
  <c r="N393" i="38"/>
  <c r="N394" i="38" s="1"/>
  <c r="P478" i="38"/>
  <c r="P479" i="38"/>
  <c r="P480" i="38" s="1"/>
  <c r="J442" i="38"/>
  <c r="K256" i="38"/>
  <c r="L262" i="38"/>
  <c r="L263" i="38"/>
  <c r="L264" i="38" s="1"/>
  <c r="N24" i="38"/>
  <c r="M116" i="38"/>
  <c r="K117" i="38"/>
  <c r="K19" i="38"/>
  <c r="K122" i="38"/>
  <c r="AG7" i="38"/>
  <c r="AE7" i="38"/>
  <c r="J455" i="38"/>
  <c r="M454" i="38"/>
  <c r="K454" i="38"/>
  <c r="J454" i="38"/>
  <c r="K455" i="38"/>
  <c r="K434" i="38"/>
  <c r="J440" i="38"/>
  <c r="J436" i="38"/>
  <c r="J432" i="38"/>
  <c r="M451" i="38"/>
  <c r="K451" i="38"/>
  <c r="M446" i="38"/>
  <c r="K446" i="38"/>
  <c r="M448" i="38"/>
  <c r="K448" i="38"/>
  <c r="M444" i="38"/>
  <c r="K444" i="38"/>
  <c r="M439" i="38"/>
  <c r="K439" i="38"/>
  <c r="M435" i="38"/>
  <c r="K435" i="38"/>
  <c r="M450" i="38"/>
  <c r="K450" i="38"/>
  <c r="K440" i="38"/>
  <c r="M449" i="38"/>
  <c r="K449" i="38"/>
  <c r="M445" i="38"/>
  <c r="K445" i="38"/>
  <c r="M452" i="38"/>
  <c r="K452" i="38"/>
  <c r="M431" i="38"/>
  <c r="K431" i="38"/>
  <c r="K436" i="38"/>
  <c r="K432" i="38"/>
  <c r="M441" i="38"/>
  <c r="K441" i="38"/>
  <c r="M437" i="38"/>
  <c r="K437" i="38"/>
  <c r="M433" i="38"/>
  <c r="K433" i="38"/>
  <c r="J451" i="38"/>
  <c r="M447" i="38"/>
  <c r="K447" i="38"/>
  <c r="J446" i="38"/>
  <c r="K442" i="38"/>
  <c r="K438" i="38"/>
  <c r="K365" i="38"/>
  <c r="J381" i="38"/>
  <c r="J372" i="38"/>
  <c r="K383" i="38"/>
  <c r="K379" i="38"/>
  <c r="K375" i="38"/>
  <c r="K377" i="38"/>
  <c r="K384" i="38"/>
  <c r="K372" i="38"/>
  <c r="K381" i="38"/>
  <c r="K373" i="38"/>
  <c r="K386" i="38"/>
  <c r="K382" i="38"/>
  <c r="K378" i="38"/>
  <c r="K374" i="38"/>
  <c r="J386" i="38"/>
  <c r="J371" i="38"/>
  <c r="K385" i="38"/>
  <c r="K387" i="38"/>
  <c r="J370" i="38"/>
  <c r="J366" i="38"/>
  <c r="M365" i="38"/>
  <c r="M376" i="38"/>
  <c r="K371" i="38"/>
  <c r="K367" i="38"/>
  <c r="J379" i="38"/>
  <c r="J375" i="38"/>
  <c r="K368" i="38"/>
  <c r="K369" i="38"/>
  <c r="K370" i="38"/>
  <c r="K366" i="38"/>
  <c r="P328" i="38"/>
  <c r="K308" i="38"/>
  <c r="L329" i="38"/>
  <c r="L330" i="38" s="1"/>
  <c r="J306" i="38"/>
  <c r="J302" i="38"/>
  <c r="L328" i="38"/>
  <c r="K306" i="38"/>
  <c r="P329" i="38"/>
  <c r="P330" i="38" s="1"/>
  <c r="M321" i="38"/>
  <c r="K321" i="38"/>
  <c r="M320" i="38"/>
  <c r="K320" i="38"/>
  <c r="M319" i="38"/>
  <c r="K319" i="38"/>
  <c r="M309" i="38"/>
  <c r="K309" i="38"/>
  <c r="M305" i="38"/>
  <c r="K305" i="38"/>
  <c r="K304" i="38"/>
  <c r="M313" i="38"/>
  <c r="K313" i="38"/>
  <c r="N328" i="38"/>
  <c r="M301" i="38"/>
  <c r="N329" i="38"/>
  <c r="N330" i="38" s="1"/>
  <c r="K301" i="38"/>
  <c r="M322" i="38"/>
  <c r="K322" i="38"/>
  <c r="M318" i="38"/>
  <c r="K318" i="38"/>
  <c r="M314" i="38"/>
  <c r="K314" i="38"/>
  <c r="M310" i="38"/>
  <c r="K310" i="38"/>
  <c r="J321" i="38"/>
  <c r="M317" i="38"/>
  <c r="K317" i="38"/>
  <c r="M307" i="38"/>
  <c r="K307" i="38"/>
  <c r="M303" i="38"/>
  <c r="K303" i="38"/>
  <c r="J320" i="38"/>
  <c r="M316" i="38"/>
  <c r="K316" i="38"/>
  <c r="M312" i="38"/>
  <c r="K312" i="38"/>
  <c r="J319" i="38"/>
  <c r="M315" i="38"/>
  <c r="K315" i="38"/>
  <c r="M311" i="38"/>
  <c r="K311" i="38"/>
  <c r="K302" i="38"/>
  <c r="M257" i="38"/>
  <c r="K257" i="38"/>
  <c r="J258" i="38"/>
  <c r="J257" i="38"/>
  <c r="K258" i="38"/>
  <c r="K254" i="38"/>
  <c r="K250" i="38"/>
  <c r="J250" i="38"/>
  <c r="J248" i="38"/>
  <c r="J254" i="38"/>
  <c r="K246" i="38"/>
  <c r="K242" i="38"/>
  <c r="J253" i="38"/>
  <c r="J249" i="38"/>
  <c r="J245" i="38"/>
  <c r="J242" i="38"/>
  <c r="K255" i="38"/>
  <c r="K253" i="38"/>
  <c r="J255" i="38"/>
  <c r="K249" i="38"/>
  <c r="K245" i="38"/>
  <c r="K240" i="38"/>
  <c r="K237" i="38"/>
  <c r="K251" i="38"/>
  <c r="K244" i="38"/>
  <c r="K247" i="38"/>
  <c r="K248" i="38"/>
  <c r="J240" i="38"/>
  <c r="J241" i="38"/>
  <c r="J247" i="38"/>
  <c r="J243" i="38"/>
  <c r="J239" i="38"/>
  <c r="K241" i="38"/>
  <c r="M246" i="38"/>
  <c r="K238" i="38"/>
  <c r="M237" i="38"/>
  <c r="K243" i="38"/>
  <c r="K239" i="38"/>
  <c r="J187" i="38"/>
  <c r="J178" i="38"/>
  <c r="K189" i="38"/>
  <c r="K179" i="38"/>
  <c r="J179" i="38"/>
  <c r="K188" i="38"/>
  <c r="K175" i="38"/>
  <c r="J184" i="38"/>
  <c r="J183" i="38"/>
  <c r="J175" i="38"/>
  <c r="K182" i="38"/>
  <c r="J182" i="38"/>
  <c r="J174" i="38"/>
  <c r="K185" i="38"/>
  <c r="K183" i="38"/>
  <c r="K111" i="38"/>
  <c r="K103" i="38"/>
  <c r="J111" i="38"/>
  <c r="J103" i="38"/>
  <c r="K109" i="38"/>
  <c r="J109" i="38"/>
  <c r="J107" i="38"/>
  <c r="K105" i="38"/>
  <c r="J105" i="38"/>
  <c r="J110" i="38"/>
  <c r="J113" i="38"/>
  <c r="M108" i="38"/>
  <c r="K108" i="38"/>
  <c r="J108" i="38"/>
  <c r="M113" i="38"/>
  <c r="M112" i="38"/>
  <c r="K112" i="38"/>
  <c r="J112" i="38"/>
  <c r="J106" i="38"/>
  <c r="K106" i="38"/>
  <c r="M104" i="38"/>
  <c r="K104" i="38"/>
  <c r="J104" i="38"/>
  <c r="K110" i="38"/>
  <c r="M55" i="38"/>
  <c r="K55" i="38"/>
  <c r="M41" i="38"/>
  <c r="K41" i="38"/>
  <c r="M45" i="38"/>
  <c r="K45" i="38"/>
  <c r="M56" i="38"/>
  <c r="K56" i="38"/>
  <c r="M53" i="38"/>
  <c r="K53" i="38"/>
  <c r="M51" i="38"/>
  <c r="K51" i="38"/>
  <c r="J55" i="38"/>
  <c r="J41" i="38"/>
  <c r="J45" i="38"/>
  <c r="M52" i="38"/>
  <c r="K52" i="38"/>
  <c r="J56" i="38"/>
  <c r="M44" i="38"/>
  <c r="K44" i="38"/>
  <c r="M49" i="38"/>
  <c r="K49" i="38"/>
  <c r="J53" i="38"/>
  <c r="M47" i="38"/>
  <c r="K47" i="38"/>
  <c r="M54" i="38"/>
  <c r="K54" i="38"/>
  <c r="M42" i="38"/>
  <c r="K42" i="38"/>
  <c r="M46" i="38"/>
  <c r="K46" i="38"/>
  <c r="J51" i="38"/>
  <c r="J52" i="38"/>
  <c r="M40" i="38"/>
  <c r="K40" i="38"/>
  <c r="J44" i="38"/>
  <c r="J49" i="38"/>
  <c r="M43" i="38"/>
  <c r="K43" i="38"/>
  <c r="J47" i="38"/>
  <c r="J54" i="38"/>
  <c r="J42" i="38"/>
  <c r="J46" i="38"/>
  <c r="M59" i="38"/>
  <c r="K59" i="38"/>
  <c r="J40" i="38"/>
  <c r="M48" i="38"/>
  <c r="K48" i="38"/>
  <c r="M57" i="38"/>
  <c r="K57" i="38"/>
  <c r="M39" i="38"/>
  <c r="K39" i="38"/>
  <c r="J43" i="38"/>
  <c r="M50" i="38"/>
  <c r="K50" i="38"/>
  <c r="M58" i="38"/>
  <c r="K58" i="38"/>
  <c r="P24" i="38"/>
  <c r="P25" i="38"/>
  <c r="P26" i="38" s="1"/>
  <c r="AC240" i="37"/>
  <c r="AC236" i="37"/>
  <c r="AD236" i="37"/>
  <c r="AD238" i="37"/>
  <c r="AC242" i="37"/>
  <c r="AD240" i="37"/>
  <c r="AD246" i="37"/>
  <c r="AC244" i="37"/>
  <c r="AD244" i="37"/>
  <c r="AF239" i="37"/>
  <c r="AD239" i="37"/>
  <c r="AC239" i="37"/>
  <c r="AF247" i="37"/>
  <c r="AD247" i="37"/>
  <c r="AC247" i="37"/>
  <c r="AF241" i="37"/>
  <c r="AD241" i="37"/>
  <c r="AF245" i="37"/>
  <c r="AC245" i="37"/>
  <c r="AF237" i="37"/>
  <c r="AC237" i="37"/>
  <c r="AD245" i="37"/>
  <c r="AF232" i="37"/>
  <c r="AD232" i="37"/>
  <c r="AC232" i="37"/>
  <c r="AF233" i="37"/>
  <c r="AD233" i="37"/>
  <c r="AF234" i="37"/>
  <c r="AD234" i="37"/>
  <c r="AF235" i="37"/>
  <c r="AD235" i="37"/>
  <c r="AC235" i="37"/>
  <c r="AF180" i="37"/>
  <c r="AD180" i="37"/>
  <c r="AD181" i="37"/>
  <c r="AD169" i="37"/>
  <c r="AF164" i="37"/>
  <c r="AD164" i="37"/>
  <c r="AF184" i="37"/>
  <c r="AD184" i="37"/>
  <c r="AF192" i="37"/>
  <c r="AD192" i="37"/>
  <c r="AC193" i="37"/>
  <c r="AD157" i="37"/>
  <c r="AD161" i="37"/>
  <c r="AC180" i="37"/>
  <c r="AD193" i="37"/>
  <c r="AD177" i="37"/>
  <c r="AF188" i="37"/>
  <c r="AD188" i="37"/>
  <c r="AD165" i="37"/>
  <c r="AF156" i="37"/>
  <c r="AD156" i="37"/>
  <c r="AF172" i="37"/>
  <c r="AD172" i="37"/>
  <c r="AC185" i="37"/>
  <c r="AD153" i="37"/>
  <c r="AF152" i="37"/>
  <c r="AD152" i="37"/>
  <c r="AF160" i="37"/>
  <c r="AD160" i="37"/>
  <c r="AF168" i="37"/>
  <c r="AD168" i="37"/>
  <c r="AF176" i="37"/>
  <c r="AD176" i="37"/>
  <c r="AC188" i="37"/>
  <c r="AC153" i="37"/>
  <c r="AC173" i="37"/>
  <c r="AC157" i="37"/>
  <c r="AC176" i="37"/>
  <c r="AC165" i="37"/>
  <c r="AD185" i="37"/>
  <c r="AC169" i="37"/>
  <c r="AC181" i="37"/>
  <c r="AF150" i="37"/>
  <c r="AD150" i="37"/>
  <c r="AC150" i="37"/>
  <c r="J289" i="37"/>
  <c r="J287" i="37"/>
  <c r="K283" i="37"/>
  <c r="J291" i="37"/>
  <c r="J283" i="37"/>
  <c r="K291" i="37"/>
  <c r="K287" i="37"/>
  <c r="M281" i="37"/>
  <c r="K281" i="37"/>
  <c r="J281" i="37"/>
  <c r="P253" i="37"/>
  <c r="P254" i="37"/>
  <c r="P255" i="37" s="1"/>
  <c r="P234" i="37"/>
  <c r="P235" i="37"/>
  <c r="P236" i="37" s="1"/>
  <c r="M222" i="37"/>
  <c r="K222" i="37"/>
  <c r="M227" i="37"/>
  <c r="K227" i="37"/>
  <c r="M220" i="37"/>
  <c r="K220" i="37"/>
  <c r="M215" i="37"/>
  <c r="K215" i="37"/>
  <c r="M214" i="37"/>
  <c r="K214" i="37"/>
  <c r="M218" i="37"/>
  <c r="K218" i="37"/>
  <c r="J222" i="37"/>
  <c r="M223" i="37"/>
  <c r="K223" i="37"/>
  <c r="J227" i="37"/>
  <c r="M216" i="37"/>
  <c r="K216" i="37"/>
  <c r="J220" i="37"/>
  <c r="M228" i="37"/>
  <c r="K228" i="37"/>
  <c r="M211" i="37"/>
  <c r="K211" i="37"/>
  <c r="J215" i="37"/>
  <c r="M225" i="37"/>
  <c r="K225" i="37"/>
  <c r="J214" i="37"/>
  <c r="J218" i="37"/>
  <c r="M230" i="37"/>
  <c r="K230" i="37"/>
  <c r="J223" i="37"/>
  <c r="M212" i="37"/>
  <c r="K212" i="37"/>
  <c r="J216" i="37"/>
  <c r="M224" i="37"/>
  <c r="K224" i="37"/>
  <c r="J228" i="37"/>
  <c r="J211" i="37"/>
  <c r="J225" i="37"/>
  <c r="M226" i="37"/>
  <c r="K226" i="37"/>
  <c r="J230" i="37"/>
  <c r="M213" i="37"/>
  <c r="K213" i="37"/>
  <c r="M217" i="37"/>
  <c r="K217" i="37"/>
  <c r="M221" i="37"/>
  <c r="K221" i="37"/>
  <c r="J212" i="37"/>
  <c r="J224" i="37"/>
  <c r="M219" i="37"/>
  <c r="K219" i="37"/>
  <c r="M229" i="37"/>
  <c r="K229" i="37"/>
  <c r="K55" i="37"/>
  <c r="J55" i="37"/>
  <c r="J53" i="37"/>
  <c r="J57" i="37"/>
  <c r="J68" i="37"/>
  <c r="K53" i="37"/>
  <c r="P89" i="37"/>
  <c r="J49" i="37"/>
  <c r="P90" i="37"/>
  <c r="P91" i="37" s="1"/>
  <c r="M62" i="37"/>
  <c r="K62" i="37"/>
  <c r="J180" i="37"/>
  <c r="K65" i="37"/>
  <c r="K63" i="37"/>
  <c r="K177" i="37"/>
  <c r="N202" i="37"/>
  <c r="N203" i="37"/>
  <c r="N204" i="37" s="1"/>
  <c r="L89" i="37"/>
  <c r="P202" i="37"/>
  <c r="P203" i="37"/>
  <c r="P204" i="37" s="1"/>
  <c r="L202" i="37"/>
  <c r="L203" i="37"/>
  <c r="L204" i="37" s="1"/>
  <c r="M52" i="37"/>
  <c r="K52" i="37"/>
  <c r="K169" i="37"/>
  <c r="N184" i="37"/>
  <c r="N185" i="37"/>
  <c r="N186" i="37" s="1"/>
  <c r="K179" i="37"/>
  <c r="K180" i="37"/>
  <c r="P184" i="37"/>
  <c r="P185" i="37"/>
  <c r="P186" i="37" s="1"/>
  <c r="J65" i="37"/>
  <c r="J69" i="37"/>
  <c r="K67" i="37"/>
  <c r="L184" i="37"/>
  <c r="L185" i="37"/>
  <c r="L186" i="37" s="1"/>
  <c r="M210" i="37"/>
  <c r="K210" i="37"/>
  <c r="K171" i="37"/>
  <c r="J176" i="37"/>
  <c r="L148" i="37"/>
  <c r="L149" i="37"/>
  <c r="L150" i="37" s="1"/>
  <c r="L131" i="37"/>
  <c r="L132" i="37"/>
  <c r="L133" i="37" s="1"/>
  <c r="N149" i="37"/>
  <c r="N150" i="37" s="1"/>
  <c r="N148" i="37"/>
  <c r="K7" i="37"/>
  <c r="N29" i="37"/>
  <c r="N30" i="37"/>
  <c r="N31" i="37" s="1"/>
  <c r="M60" i="37"/>
  <c r="N90" i="37"/>
  <c r="N91" i="37" s="1"/>
  <c r="N89" i="37"/>
  <c r="K60" i="37"/>
  <c r="K57" i="37"/>
  <c r="L73" i="37"/>
  <c r="L74" i="37" s="1"/>
  <c r="L72" i="37"/>
  <c r="M116" i="37"/>
  <c r="P72" i="37"/>
  <c r="K116" i="37"/>
  <c r="AD73" i="37"/>
  <c r="J48" i="37"/>
  <c r="N72" i="37"/>
  <c r="N73" i="37"/>
  <c r="N74" i="37" s="1"/>
  <c r="J51" i="37"/>
  <c r="J59" i="37"/>
  <c r="K51" i="37"/>
  <c r="K59" i="37"/>
  <c r="N132" i="37"/>
  <c r="N133" i="37" s="1"/>
  <c r="N131" i="37"/>
  <c r="AC7" i="37"/>
  <c r="L29" i="37"/>
  <c r="L30" i="37"/>
  <c r="L31" i="37" s="1"/>
  <c r="J60" i="37"/>
  <c r="K69" i="37"/>
  <c r="K49" i="37"/>
  <c r="J179" i="37"/>
  <c r="K176" i="37"/>
  <c r="P131" i="37"/>
  <c r="P132" i="37"/>
  <c r="P133" i="37" s="1"/>
  <c r="P148" i="37"/>
  <c r="P149" i="37"/>
  <c r="P150" i="37" s="1"/>
  <c r="J121" i="37"/>
  <c r="M121" i="37"/>
  <c r="K117" i="37"/>
  <c r="K120" i="37"/>
  <c r="M117" i="37"/>
  <c r="J112" i="37"/>
  <c r="J118" i="37"/>
  <c r="K118" i="37"/>
  <c r="J114" i="37"/>
  <c r="P73" i="37"/>
  <c r="P74" i="37" s="1"/>
  <c r="M120" i="37"/>
  <c r="P29" i="37"/>
  <c r="P30" i="37"/>
  <c r="P31" i="37" s="1"/>
  <c r="M10" i="37"/>
  <c r="K10" i="37"/>
  <c r="M14" i="37"/>
  <c r="K14" i="37"/>
  <c r="M18" i="37"/>
  <c r="K18" i="37"/>
  <c r="M13" i="37"/>
  <c r="K13" i="37"/>
  <c r="M23" i="37"/>
  <c r="K23" i="37"/>
  <c r="M8" i="37"/>
  <c r="K8" i="37"/>
  <c r="J10" i="37"/>
  <c r="J14" i="37"/>
  <c r="J18" i="37"/>
  <c r="M9" i="37"/>
  <c r="K9" i="37"/>
  <c r="J13" i="37"/>
  <c r="J23" i="37"/>
  <c r="J8" i="37"/>
  <c r="M20" i="37"/>
  <c r="K20" i="37"/>
  <c r="J9" i="37"/>
  <c r="M21" i="37"/>
  <c r="K21" i="37"/>
  <c r="M16" i="37"/>
  <c r="K16" i="37"/>
  <c r="J20" i="37"/>
  <c r="M11" i="37"/>
  <c r="K11" i="37"/>
  <c r="M15" i="37"/>
  <c r="K15" i="37"/>
  <c r="M19" i="37"/>
  <c r="K19" i="37"/>
  <c r="M25" i="37"/>
  <c r="K25" i="37"/>
  <c r="M22" i="37"/>
  <c r="K22" i="37"/>
  <c r="M17" i="37"/>
  <c r="K17" i="37"/>
  <c r="J21" i="37"/>
  <c r="M12" i="37"/>
  <c r="K12" i="37"/>
  <c r="J16" i="37"/>
  <c r="M24" i="37"/>
  <c r="K24" i="37"/>
  <c r="J7" i="37"/>
  <c r="J125" i="37"/>
  <c r="K114" i="37"/>
  <c r="J113" i="37"/>
  <c r="M113" i="37"/>
  <c r="K125" i="37"/>
  <c r="K113" i="37"/>
  <c r="M122" i="37"/>
  <c r="J122" i="37"/>
  <c r="M133" i="39"/>
  <c r="L118" i="39"/>
  <c r="L119" i="39"/>
  <c r="L120" i="39" s="1"/>
  <c r="N119" i="39"/>
  <c r="N120" i="39" s="1"/>
  <c r="N118" i="39"/>
  <c r="AF59" i="39"/>
  <c r="AD59" i="39"/>
  <c r="AF55" i="39"/>
  <c r="AD55" i="39"/>
  <c r="K133" i="39"/>
  <c r="AF57" i="39"/>
  <c r="AD57" i="39"/>
  <c r="AF7" i="39"/>
  <c r="AC59" i="39"/>
  <c r="AC55" i="39"/>
  <c r="AC57" i="39"/>
  <c r="AF53" i="39"/>
  <c r="AD53" i="39"/>
  <c r="AD7" i="39"/>
  <c r="P118" i="39"/>
  <c r="P119" i="39"/>
  <c r="P120" i="39" s="1"/>
  <c r="M7" i="39"/>
  <c r="AC53" i="39"/>
  <c r="K7" i="39"/>
  <c r="J133" i="39"/>
  <c r="J190" i="38"/>
  <c r="J186" i="38"/>
  <c r="J181" i="38"/>
  <c r="J177" i="38"/>
  <c r="J173" i="38"/>
  <c r="M172" i="38"/>
  <c r="K190" i="38"/>
  <c r="K186" i="38"/>
  <c r="K180" i="38"/>
  <c r="K176" i="38"/>
  <c r="K172" i="38"/>
  <c r="AG51" i="38"/>
  <c r="AE51" i="38"/>
  <c r="AD51" i="38"/>
  <c r="J38" i="38"/>
  <c r="M38" i="38"/>
  <c r="K178" i="38"/>
  <c r="K174" i="38"/>
  <c r="AD56" i="38"/>
  <c r="AG56" i="38"/>
  <c r="AE56" i="38"/>
  <c r="J189" i="38"/>
  <c r="J185" i="38"/>
  <c r="M184" i="38"/>
  <c r="J180" i="38"/>
  <c r="J176" i="38"/>
  <c r="J172" i="38"/>
  <c r="K187" i="38"/>
  <c r="K181" i="38"/>
  <c r="K177" i="38"/>
  <c r="K173" i="38"/>
  <c r="AD54" i="38"/>
  <c r="AG54" i="38"/>
  <c r="M123" i="37"/>
  <c r="J123" i="37"/>
  <c r="K172" i="37"/>
  <c r="M124" i="37"/>
  <c r="J124" i="37"/>
  <c r="K175" i="37"/>
  <c r="J171" i="37"/>
  <c r="M173" i="37"/>
  <c r="J173" i="37"/>
  <c r="M178" i="37"/>
  <c r="J178" i="37"/>
  <c r="M170" i="37"/>
  <c r="J170" i="37"/>
  <c r="M119" i="37"/>
  <c r="J119" i="37"/>
  <c r="K123" i="37"/>
  <c r="M111" i="37"/>
  <c r="J111" i="37"/>
  <c r="M48" i="37"/>
  <c r="K119" i="37"/>
  <c r="AF7" i="37"/>
  <c r="M177" i="37"/>
  <c r="J177" i="37"/>
  <c r="M169" i="37"/>
  <c r="J169" i="37"/>
  <c r="M174" i="37"/>
  <c r="J174" i="37"/>
  <c r="K170" i="37"/>
  <c r="J175" i="37"/>
  <c r="J172" i="37"/>
  <c r="K111" i="37"/>
  <c r="K48" i="37"/>
  <c r="M115" i="37"/>
  <c r="J115" i="37"/>
  <c r="AF73" i="37"/>
  <c r="M7" i="37"/>
  <c r="AI39" i="36"/>
  <c r="AI40" i="36"/>
  <c r="AI48" i="36"/>
  <c r="AI43" i="36"/>
  <c r="AI51" i="36"/>
  <c r="AI42" i="36"/>
  <c r="AI46" i="36"/>
  <c r="AI50" i="36"/>
  <c r="AI41" i="36"/>
  <c r="AI45" i="36"/>
  <c r="AI49" i="36"/>
  <c r="AG39" i="36"/>
  <c r="AG40" i="36"/>
  <c r="AG41" i="36"/>
  <c r="AG42" i="36"/>
  <c r="AG43" i="36"/>
  <c r="AD43" i="36" s="1"/>
  <c r="AG44" i="36"/>
  <c r="AG45" i="36"/>
  <c r="AG46" i="36"/>
  <c r="AG47" i="36"/>
  <c r="AD47" i="36" s="1"/>
  <c r="AG48" i="36"/>
  <c r="AD48" i="36" s="1"/>
  <c r="AG49" i="36"/>
  <c r="AG50" i="36"/>
  <c r="AG51" i="36"/>
  <c r="AD51" i="36" s="1"/>
  <c r="N168" i="36"/>
  <c r="J168" i="36" s="1"/>
  <c r="N164" i="36"/>
  <c r="N160" i="36"/>
  <c r="J160" i="36" s="1"/>
  <c r="N156" i="36"/>
  <c r="N152" i="36"/>
  <c r="J152" i="36" s="1"/>
  <c r="N150" i="36"/>
  <c r="P150" i="36"/>
  <c r="N146" i="36"/>
  <c r="P146" i="36"/>
  <c r="L168" i="36"/>
  <c r="N167" i="36"/>
  <c r="L164" i="36"/>
  <c r="N163" i="36"/>
  <c r="J163" i="36" s="1"/>
  <c r="L160" i="36"/>
  <c r="N159" i="36"/>
  <c r="L156" i="36"/>
  <c r="N155" i="36"/>
  <c r="L152" i="36"/>
  <c r="N151" i="36"/>
  <c r="N147" i="36"/>
  <c r="P147" i="36"/>
  <c r="L167" i="36"/>
  <c r="N166" i="36"/>
  <c r="L163" i="36"/>
  <c r="N162" i="36"/>
  <c r="J162" i="36" s="1"/>
  <c r="L159" i="36"/>
  <c r="N158" i="36"/>
  <c r="L155" i="36"/>
  <c r="N154" i="36"/>
  <c r="L151" i="36"/>
  <c r="L150" i="36"/>
  <c r="N148" i="36"/>
  <c r="P148" i="36"/>
  <c r="L146" i="36"/>
  <c r="N169" i="36"/>
  <c r="L166" i="36"/>
  <c r="N165" i="36"/>
  <c r="L162" i="36"/>
  <c r="N161" i="36"/>
  <c r="L158" i="36"/>
  <c r="N157" i="36"/>
  <c r="L154" i="36"/>
  <c r="N153" i="36"/>
  <c r="N149" i="36"/>
  <c r="P149" i="36"/>
  <c r="L147" i="36"/>
  <c r="H103" i="36"/>
  <c r="N46" i="36"/>
  <c r="M46" i="36" s="1"/>
  <c r="I123" i="36"/>
  <c r="I103" i="36"/>
  <c r="P46" i="36"/>
  <c r="L41" i="36"/>
  <c r="L57" i="36"/>
  <c r="N55" i="36"/>
  <c r="M55" i="36" s="1"/>
  <c r="N54" i="36"/>
  <c r="M54" i="36" s="1"/>
  <c r="N53" i="36"/>
  <c r="M53" i="36" s="1"/>
  <c r="N52" i="36"/>
  <c r="M52" i="36" s="1"/>
  <c r="N51" i="36"/>
  <c r="M51" i="36" s="1"/>
  <c r="P49" i="36"/>
  <c r="P68" i="36" s="1"/>
  <c r="N41" i="36"/>
  <c r="M41" i="36" s="1"/>
  <c r="P42" i="36"/>
  <c r="H124" i="36"/>
  <c r="H125" i="36" s="1"/>
  <c r="N42" i="36"/>
  <c r="M42" i="36" s="1"/>
  <c r="L87" i="36"/>
  <c r="I104" i="36"/>
  <c r="I105" i="36" s="1"/>
  <c r="H123" i="36"/>
  <c r="I124" i="36"/>
  <c r="I125" i="36" s="1"/>
  <c r="P91" i="36"/>
  <c r="L95" i="36"/>
  <c r="N98" i="36"/>
  <c r="J98" i="36" s="1"/>
  <c r="N94" i="36"/>
  <c r="N90" i="36"/>
  <c r="N86" i="36"/>
  <c r="N82" i="36"/>
  <c r="J82" i="36" s="1"/>
  <c r="P82" i="36"/>
  <c r="N78" i="36"/>
  <c r="P78" i="36"/>
  <c r="L98" i="36"/>
  <c r="N97" i="36"/>
  <c r="L94" i="36"/>
  <c r="N93" i="36"/>
  <c r="L90" i="36"/>
  <c r="N89" i="36"/>
  <c r="L86" i="36"/>
  <c r="N83" i="36"/>
  <c r="P83" i="36"/>
  <c r="N79" i="36"/>
  <c r="P79" i="36"/>
  <c r="L97" i="36"/>
  <c r="N96" i="36"/>
  <c r="L93" i="36"/>
  <c r="N92" i="36"/>
  <c r="J92" i="36" s="1"/>
  <c r="L89" i="36"/>
  <c r="N88" i="36"/>
  <c r="N84" i="36"/>
  <c r="P84" i="36"/>
  <c r="L82" i="36"/>
  <c r="N80" i="36"/>
  <c r="P80" i="36"/>
  <c r="L78" i="36"/>
  <c r="L96" i="36"/>
  <c r="N95" i="36"/>
  <c r="L92" i="36"/>
  <c r="N91" i="36"/>
  <c r="J91" i="36" s="1"/>
  <c r="L88" i="36"/>
  <c r="N87" i="36"/>
  <c r="N85" i="36"/>
  <c r="P85" i="36"/>
  <c r="L83" i="36"/>
  <c r="N81" i="36"/>
  <c r="P81" i="36"/>
  <c r="L79" i="36"/>
  <c r="N47" i="36"/>
  <c r="J47" i="36" s="1"/>
  <c r="I63" i="36"/>
  <c r="I64" i="36" s="1"/>
  <c r="N58" i="36"/>
  <c r="M58" i="36" s="1"/>
  <c r="P48" i="36"/>
  <c r="L47" i="36"/>
  <c r="P45" i="36"/>
  <c r="N44" i="36"/>
  <c r="M44" i="36" s="1"/>
  <c r="L43" i="36"/>
  <c r="N40" i="36"/>
  <c r="M40" i="36" s="1"/>
  <c r="P47" i="36"/>
  <c r="P44" i="36"/>
  <c r="P39" i="36"/>
  <c r="L40" i="36"/>
  <c r="N39" i="36"/>
  <c r="M39" i="36" s="1"/>
  <c r="I62" i="36"/>
  <c r="H69" i="36"/>
  <c r="H70" i="36" s="1"/>
  <c r="N49" i="36"/>
  <c r="N45" i="36"/>
  <c r="M45" i="36" s="1"/>
  <c r="N48" i="36"/>
  <c r="M48" i="36" s="1"/>
  <c r="AI8" i="36"/>
  <c r="N57" i="36"/>
  <c r="M57" i="36" s="1"/>
  <c r="N43" i="36"/>
  <c r="M43" i="36" s="1"/>
  <c r="H63" i="36"/>
  <c r="H64" i="36" s="1"/>
  <c r="I69" i="36"/>
  <c r="I70" i="36" s="1"/>
  <c r="I68" i="36"/>
  <c r="AG7" i="36"/>
  <c r="AG13" i="36"/>
  <c r="AD13" i="36" s="1"/>
  <c r="AI13" i="36"/>
  <c r="AG17" i="36"/>
  <c r="AD17" i="36" s="1"/>
  <c r="AI21" i="36"/>
  <c r="AI17" i="36"/>
  <c r="AI18" i="36"/>
  <c r="AG9" i="36"/>
  <c r="AD9" i="36" s="1"/>
  <c r="AI12" i="36"/>
  <c r="AI22" i="36"/>
  <c r="AI9" i="36"/>
  <c r="AE20" i="36"/>
  <c r="AI20" i="36"/>
  <c r="L8" i="36"/>
  <c r="L22" i="36" s="1"/>
  <c r="L23" i="36" s="1"/>
  <c r="H21" i="36"/>
  <c r="AE15" i="36"/>
  <c r="AI15" i="36"/>
  <c r="I22" i="36"/>
  <c r="I23" i="36" s="1"/>
  <c r="I21" i="36"/>
  <c r="AE11" i="36"/>
  <c r="AI11" i="36"/>
  <c r="AI14" i="36"/>
  <c r="AG15" i="36"/>
  <c r="AF15" i="36" s="1"/>
  <c r="AE7" i="36"/>
  <c r="AI7" i="36"/>
  <c r="AI10" i="36"/>
  <c r="AG11" i="36"/>
  <c r="AD11" i="36" s="1"/>
  <c r="AI16" i="36"/>
  <c r="AI19" i="36"/>
  <c r="AG21" i="36"/>
  <c r="AC21" i="36" s="1"/>
  <c r="AG19" i="36"/>
  <c r="AD19" i="36" s="1"/>
  <c r="H22" i="36"/>
  <c r="H23" i="36" s="1"/>
  <c r="P9" i="36"/>
  <c r="P7" i="36"/>
  <c r="P17" i="36"/>
  <c r="P15" i="36"/>
  <c r="P13" i="36"/>
  <c r="P11" i="36"/>
  <c r="N38" i="36"/>
  <c r="P38" i="36"/>
  <c r="N8" i="36"/>
  <c r="J8" i="36" s="1"/>
  <c r="N10" i="36"/>
  <c r="M10" i="36" s="1"/>
  <c r="N12" i="36"/>
  <c r="K12" i="36" s="1"/>
  <c r="N14" i="36"/>
  <c r="J14" i="36" s="1"/>
  <c r="N16" i="36"/>
  <c r="M16" i="36" s="1"/>
  <c r="P8" i="36"/>
  <c r="P10" i="36"/>
  <c r="P12" i="36"/>
  <c r="P14" i="36"/>
  <c r="P16" i="36"/>
  <c r="N7" i="36"/>
  <c r="N9" i="36"/>
  <c r="K9" i="36" s="1"/>
  <c r="N11" i="36"/>
  <c r="N13" i="36"/>
  <c r="N15" i="36"/>
  <c r="K15" i="36" s="1"/>
  <c r="N17" i="36"/>
  <c r="K17" i="36" s="1"/>
  <c r="AG8" i="36"/>
  <c r="AG10" i="36"/>
  <c r="AD10" i="36" s="1"/>
  <c r="AG12" i="36"/>
  <c r="AD12" i="36" s="1"/>
  <c r="AG14" i="36"/>
  <c r="AD14" i="36" s="1"/>
  <c r="AG16" i="36"/>
  <c r="AG18" i="36"/>
  <c r="AD18" i="36" s="1"/>
  <c r="AG20" i="36"/>
  <c r="AD20" i="36" s="1"/>
  <c r="AG22" i="36"/>
  <c r="AD22" i="36" s="1"/>
  <c r="N145" i="36"/>
  <c r="P77" i="36"/>
  <c r="L77" i="36"/>
  <c r="N77" i="36"/>
  <c r="L145" i="36"/>
  <c r="O306" i="19"/>
  <c r="O307" i="19"/>
  <c r="O308" i="19" s="1"/>
  <c r="O289" i="19"/>
  <c r="O290" i="19"/>
  <c r="O291" i="19" s="1"/>
  <c r="AH310" i="34"/>
  <c r="AH311" i="34"/>
  <c r="AH312" i="34" s="1"/>
  <c r="AH304" i="34"/>
  <c r="AH305" i="34"/>
  <c r="AH306" i="34" s="1"/>
  <c r="AH298" i="34"/>
  <c r="AH299" i="34"/>
  <c r="AH300" i="34" s="1"/>
  <c r="AA214" i="34"/>
  <c r="AI214" i="34" s="1"/>
  <c r="AB214" i="34"/>
  <c r="AA215" i="34"/>
  <c r="AE215" i="34" s="1"/>
  <c r="AB215" i="34"/>
  <c r="AA216" i="34"/>
  <c r="AE216" i="34" s="1"/>
  <c r="AB216" i="34"/>
  <c r="AA217" i="34"/>
  <c r="AI217" i="34" s="1"/>
  <c r="AB217" i="34"/>
  <c r="AA218" i="34"/>
  <c r="AE218" i="34" s="1"/>
  <c r="AB218" i="34"/>
  <c r="AA219" i="34"/>
  <c r="AE219" i="34" s="1"/>
  <c r="AB219" i="34"/>
  <c r="AA220" i="34"/>
  <c r="AE220" i="34" s="1"/>
  <c r="AB220" i="34"/>
  <c r="AA221" i="34"/>
  <c r="AE221" i="34" s="1"/>
  <c r="AB221" i="34"/>
  <c r="AA222" i="34"/>
  <c r="AE222" i="34" s="1"/>
  <c r="AB222" i="34"/>
  <c r="AA223" i="34"/>
  <c r="AE223" i="34" s="1"/>
  <c r="AB223" i="34"/>
  <c r="AA224" i="34"/>
  <c r="AE224" i="34" s="1"/>
  <c r="AB224" i="34"/>
  <c r="AA225" i="34"/>
  <c r="AI225" i="34" s="1"/>
  <c r="AB225" i="34"/>
  <c r="AA226" i="34"/>
  <c r="AE226" i="34" s="1"/>
  <c r="AB226" i="34"/>
  <c r="AA227" i="34"/>
  <c r="AI227" i="34" s="1"/>
  <c r="AB227" i="34"/>
  <c r="AA228" i="34"/>
  <c r="AI228" i="34" s="1"/>
  <c r="AB228" i="34"/>
  <c r="AA229" i="34"/>
  <c r="AI229" i="34" s="1"/>
  <c r="AB229" i="34"/>
  <c r="AA230" i="34"/>
  <c r="AI230" i="34" s="1"/>
  <c r="AB230" i="34"/>
  <c r="AA231" i="34"/>
  <c r="AI231" i="34" s="1"/>
  <c r="AB231" i="34"/>
  <c r="AA232" i="34"/>
  <c r="AI232" i="34" s="1"/>
  <c r="AB232" i="34"/>
  <c r="AA233" i="34"/>
  <c r="AI233" i="34" s="1"/>
  <c r="AB233" i="34"/>
  <c r="AA234" i="34"/>
  <c r="AI234" i="34" s="1"/>
  <c r="AB234" i="34"/>
  <c r="AA235" i="34"/>
  <c r="AI235" i="34" s="1"/>
  <c r="AB235" i="34"/>
  <c r="AA236" i="34"/>
  <c r="AI236" i="34" s="1"/>
  <c r="AB236" i="34"/>
  <c r="AA237" i="34"/>
  <c r="AI237" i="34" s="1"/>
  <c r="AB237" i="34"/>
  <c r="AA238" i="34"/>
  <c r="AI238" i="34" s="1"/>
  <c r="AB238" i="34"/>
  <c r="AA239" i="34"/>
  <c r="AI239" i="34" s="1"/>
  <c r="AB239" i="34"/>
  <c r="AA240" i="34"/>
  <c r="AI240" i="34" s="1"/>
  <c r="AB240" i="34"/>
  <c r="AA241" i="34"/>
  <c r="AI241" i="34" s="1"/>
  <c r="AB241" i="34"/>
  <c r="AA242" i="34"/>
  <c r="AI242" i="34" s="1"/>
  <c r="AB242" i="34"/>
  <c r="AA243" i="34"/>
  <c r="AI243" i="34" s="1"/>
  <c r="AB243" i="34"/>
  <c r="AA244" i="34"/>
  <c r="AE244" i="34" s="1"/>
  <c r="AB244" i="34"/>
  <c r="AA245" i="34"/>
  <c r="AI245" i="34" s="1"/>
  <c r="AB245" i="34"/>
  <c r="AA246" i="34"/>
  <c r="AI246" i="34" s="1"/>
  <c r="AB246" i="34"/>
  <c r="AA247" i="34"/>
  <c r="AE247" i="34" s="1"/>
  <c r="AB247" i="34"/>
  <c r="AA248" i="34"/>
  <c r="AE248" i="34" s="1"/>
  <c r="AB248" i="34"/>
  <c r="AA249" i="34"/>
  <c r="AI249" i="34" s="1"/>
  <c r="AB249" i="34"/>
  <c r="AA250" i="34"/>
  <c r="AI250" i="34" s="1"/>
  <c r="AB250" i="34"/>
  <c r="AA251" i="34"/>
  <c r="AI251" i="34" s="1"/>
  <c r="AB251" i="34"/>
  <c r="AA252" i="34"/>
  <c r="AI252" i="34" s="1"/>
  <c r="AB252" i="34"/>
  <c r="AA253" i="34"/>
  <c r="AI253" i="34" s="1"/>
  <c r="AB253" i="34"/>
  <c r="AA254" i="34"/>
  <c r="AI254" i="34" s="1"/>
  <c r="AB254" i="34"/>
  <c r="AA255" i="34"/>
  <c r="AI255" i="34" s="1"/>
  <c r="AB255" i="34"/>
  <c r="AA256" i="34"/>
  <c r="AI256" i="34" s="1"/>
  <c r="AB256" i="34"/>
  <c r="AA257" i="34"/>
  <c r="AI257" i="34" s="1"/>
  <c r="AB257" i="34"/>
  <c r="AA258" i="34"/>
  <c r="AI258" i="34" s="1"/>
  <c r="AB258" i="34"/>
  <c r="AA259" i="34"/>
  <c r="AI259" i="34" s="1"/>
  <c r="AB259" i="34"/>
  <c r="AA260" i="34"/>
  <c r="AI260" i="34" s="1"/>
  <c r="AB260" i="34"/>
  <c r="AA261" i="34"/>
  <c r="AI261" i="34" s="1"/>
  <c r="AB261" i="34"/>
  <c r="AA262" i="34"/>
  <c r="AI262" i="34" s="1"/>
  <c r="AB262" i="34"/>
  <c r="AA263" i="34"/>
  <c r="AI263" i="34" s="1"/>
  <c r="AB263" i="34"/>
  <c r="AA264" i="34"/>
  <c r="AE264" i="34" s="1"/>
  <c r="AB264" i="34"/>
  <c r="AA265" i="34"/>
  <c r="AE265" i="34" s="1"/>
  <c r="AB265" i="34"/>
  <c r="AA266" i="34"/>
  <c r="AI266" i="34" s="1"/>
  <c r="AB266" i="34"/>
  <c r="AA267" i="34"/>
  <c r="AE267" i="34" s="1"/>
  <c r="AB267" i="34"/>
  <c r="AA268" i="34"/>
  <c r="AE268" i="34" s="1"/>
  <c r="AB268" i="34"/>
  <c r="AA269" i="34"/>
  <c r="AE269" i="34" s="1"/>
  <c r="AB269" i="34"/>
  <c r="AA270" i="34"/>
  <c r="AE270" i="34" s="1"/>
  <c r="AB270" i="34"/>
  <c r="AA271" i="34"/>
  <c r="AE271" i="34" s="1"/>
  <c r="AB271" i="34"/>
  <c r="AA272" i="34"/>
  <c r="AI272" i="34" s="1"/>
  <c r="AB272" i="34"/>
  <c r="AA273" i="34"/>
  <c r="AE273" i="34" s="1"/>
  <c r="AB273" i="34"/>
  <c r="AA274" i="34"/>
  <c r="AE274" i="34" s="1"/>
  <c r="AB274" i="34"/>
  <c r="AA275" i="34"/>
  <c r="AE275" i="34" s="1"/>
  <c r="AB275" i="34"/>
  <c r="AA276" i="34"/>
  <c r="AE276" i="34" s="1"/>
  <c r="AB276" i="34"/>
  <c r="AA277" i="34"/>
  <c r="AE277" i="34" s="1"/>
  <c r="AB277" i="34"/>
  <c r="AA278" i="34"/>
  <c r="AE278" i="34" s="1"/>
  <c r="AB278" i="34"/>
  <c r="AA279" i="34"/>
  <c r="AE279" i="34" s="1"/>
  <c r="AB279" i="34"/>
  <c r="AA280" i="34"/>
  <c r="AE280" i="34" s="1"/>
  <c r="AB280" i="34"/>
  <c r="AA281" i="34"/>
  <c r="AE281" i="34" s="1"/>
  <c r="AB281" i="34"/>
  <c r="AA282" i="34"/>
  <c r="AE282" i="34" s="1"/>
  <c r="AB282" i="34"/>
  <c r="AA283" i="34"/>
  <c r="AE283" i="34" s="1"/>
  <c r="AB283" i="34"/>
  <c r="AA284" i="34"/>
  <c r="AE284" i="34" s="1"/>
  <c r="AB284" i="34"/>
  <c r="AA285" i="34"/>
  <c r="AE285" i="34" s="1"/>
  <c r="AB285" i="34"/>
  <c r="AA286" i="34"/>
  <c r="AE286" i="34" s="1"/>
  <c r="AB286" i="34"/>
  <c r="AA287" i="34"/>
  <c r="AE287" i="34" s="1"/>
  <c r="AB287" i="34"/>
  <c r="AA288" i="34"/>
  <c r="AE288" i="34" s="1"/>
  <c r="AB288" i="34"/>
  <c r="AA289" i="34"/>
  <c r="AI289" i="34" s="1"/>
  <c r="AB289" i="34"/>
  <c r="AA290" i="34"/>
  <c r="AB290" i="34"/>
  <c r="AA291" i="34"/>
  <c r="AE291" i="34" s="1"/>
  <c r="AB291" i="34"/>
  <c r="AA292" i="34"/>
  <c r="AE292" i="34" s="1"/>
  <c r="AB292" i="34"/>
  <c r="AA293" i="34"/>
  <c r="AI293" i="34" s="1"/>
  <c r="AB293" i="34"/>
  <c r="AA294" i="34"/>
  <c r="AB213" i="34"/>
  <c r="AA213" i="34"/>
  <c r="AI213" i="34" s="1"/>
  <c r="AH203" i="34"/>
  <c r="AH204" i="34"/>
  <c r="AH205" i="34" s="1"/>
  <c r="AH197" i="34"/>
  <c r="AH198" i="34"/>
  <c r="AH199" i="34" s="1"/>
  <c r="AA189" i="34"/>
  <c r="AB188" i="34"/>
  <c r="AA188" i="34"/>
  <c r="AI188" i="34" s="1"/>
  <c r="AB187" i="34"/>
  <c r="AA187" i="34"/>
  <c r="AI187" i="34" s="1"/>
  <c r="AB186" i="34"/>
  <c r="AA186" i="34"/>
  <c r="AI186" i="34" s="1"/>
  <c r="AB185" i="34"/>
  <c r="AA185" i="34"/>
  <c r="AI185" i="34" s="1"/>
  <c r="AB184" i="34"/>
  <c r="AA184" i="34"/>
  <c r="AI184" i="34" s="1"/>
  <c r="AB183" i="34"/>
  <c r="AA183" i="34"/>
  <c r="AI183" i="34" s="1"/>
  <c r="AB182" i="34"/>
  <c r="AA182" i="34"/>
  <c r="AI182" i="34" s="1"/>
  <c r="AB181" i="34"/>
  <c r="AA181" i="34"/>
  <c r="AI181" i="34" s="1"/>
  <c r="AB180" i="34"/>
  <c r="AA180" i="34"/>
  <c r="AI180" i="34" s="1"/>
  <c r="AB179" i="34"/>
  <c r="AA179" i="34"/>
  <c r="AB178" i="34"/>
  <c r="AA178" i="34"/>
  <c r="AB177" i="34"/>
  <c r="AA177" i="34"/>
  <c r="AB176" i="34"/>
  <c r="AA176" i="34"/>
  <c r="AI176" i="34" s="1"/>
  <c r="AB175" i="34"/>
  <c r="AA175" i="34"/>
  <c r="AE175" i="34" s="1"/>
  <c r="AB174" i="34"/>
  <c r="AA174" i="34"/>
  <c r="AE174" i="34" s="1"/>
  <c r="AB173" i="34"/>
  <c r="AA173" i="34"/>
  <c r="AB172" i="34"/>
  <c r="AA172" i="34"/>
  <c r="AE172" i="34" s="1"/>
  <c r="AB171" i="34"/>
  <c r="AA171" i="34"/>
  <c r="AE171" i="34" s="1"/>
  <c r="AB170" i="34"/>
  <c r="AA170" i="34"/>
  <c r="AE170" i="34" s="1"/>
  <c r="AB169" i="34"/>
  <c r="AA169" i="34"/>
  <c r="AB168" i="34"/>
  <c r="AA168" i="34"/>
  <c r="AH159" i="34"/>
  <c r="AH160" i="34"/>
  <c r="AH161" i="34" s="1"/>
  <c r="AH154" i="34"/>
  <c r="AH155" i="34" s="1"/>
  <c r="AH153" i="34"/>
  <c r="AA146" i="34"/>
  <c r="AB145" i="34"/>
  <c r="AA145" i="34"/>
  <c r="AE145" i="34" s="1"/>
  <c r="AB144" i="34"/>
  <c r="AA144" i="34"/>
  <c r="AE144" i="34" s="1"/>
  <c r="AB143" i="34"/>
  <c r="AA143" i="34"/>
  <c r="AE143" i="34" s="1"/>
  <c r="AB142" i="34"/>
  <c r="AA142" i="34"/>
  <c r="AE142" i="34" s="1"/>
  <c r="AB141" i="34"/>
  <c r="AA141" i="34"/>
  <c r="AE141" i="34" s="1"/>
  <c r="AB140" i="34"/>
  <c r="AA140" i="34"/>
  <c r="AE140" i="34" s="1"/>
  <c r="AB139" i="34"/>
  <c r="AA139" i="34"/>
  <c r="AE139" i="34" s="1"/>
  <c r="AB138" i="34"/>
  <c r="AA138" i="34"/>
  <c r="AE138" i="34" s="1"/>
  <c r="AB137" i="34"/>
  <c r="AA137" i="34"/>
  <c r="AI137" i="34" s="1"/>
  <c r="AB136" i="34"/>
  <c r="AA136" i="34"/>
  <c r="AE136" i="34" s="1"/>
  <c r="AB135" i="34"/>
  <c r="AA135" i="34"/>
  <c r="AE135" i="34" s="1"/>
  <c r="AB134" i="34"/>
  <c r="AA134" i="34"/>
  <c r="AE134" i="34" s="1"/>
  <c r="AB133" i="34"/>
  <c r="AA133" i="34"/>
  <c r="AE133" i="34" s="1"/>
  <c r="AB132" i="34"/>
  <c r="AA132" i="34"/>
  <c r="AE132" i="34" s="1"/>
  <c r="AB131" i="34"/>
  <c r="AA131" i="34"/>
  <c r="AE131" i="34" s="1"/>
  <c r="AB130" i="34"/>
  <c r="AA130" i="34"/>
  <c r="AE130" i="34" s="1"/>
  <c r="AB129" i="34"/>
  <c r="AA129" i="34"/>
  <c r="AE129" i="34" s="1"/>
  <c r="AB128" i="34"/>
  <c r="AA128" i="34"/>
  <c r="AE128" i="34" s="1"/>
  <c r="AB127" i="34"/>
  <c r="AA127" i="34"/>
  <c r="AE127" i="34" s="1"/>
  <c r="AB126" i="34"/>
  <c r="AA126" i="34"/>
  <c r="AE126" i="34" s="1"/>
  <c r="AB125" i="34"/>
  <c r="AA125" i="34"/>
  <c r="AE125" i="34" s="1"/>
  <c r="AB124" i="34"/>
  <c r="AA124" i="34"/>
  <c r="AI124" i="34" s="1"/>
  <c r="AH117" i="34"/>
  <c r="AH118" i="34" s="1"/>
  <c r="AH116" i="34"/>
  <c r="AH111" i="34"/>
  <c r="AH112" i="34" s="1"/>
  <c r="AH110" i="34"/>
  <c r="AA104" i="34"/>
  <c r="AB103" i="34"/>
  <c r="AA103" i="34"/>
  <c r="AE103" i="34" s="1"/>
  <c r="AB102" i="34"/>
  <c r="AA102" i="34"/>
  <c r="AE102" i="34" s="1"/>
  <c r="AB101" i="34"/>
  <c r="AA101" i="34"/>
  <c r="AB100" i="34"/>
  <c r="AA100" i="34"/>
  <c r="AE100" i="34" s="1"/>
  <c r="AB99" i="34"/>
  <c r="AA99" i="34"/>
  <c r="AE99" i="34" s="1"/>
  <c r="AB98" i="34"/>
  <c r="AA98" i="34"/>
  <c r="AE98" i="34" s="1"/>
  <c r="AB97" i="34"/>
  <c r="AA97" i="34"/>
  <c r="AB96" i="34"/>
  <c r="AA96" i="34"/>
  <c r="AE96" i="34" s="1"/>
  <c r="AB95" i="34"/>
  <c r="AA95" i="34"/>
  <c r="AE95" i="34" s="1"/>
  <c r="AB94" i="34"/>
  <c r="AA94" i="34"/>
  <c r="AE94" i="34" s="1"/>
  <c r="AB93" i="34"/>
  <c r="AA93" i="34"/>
  <c r="AB92" i="34"/>
  <c r="AA92" i="34"/>
  <c r="AB91" i="34"/>
  <c r="AA91" i="34"/>
  <c r="AE91" i="34" s="1"/>
  <c r="AB90" i="34"/>
  <c r="AA90" i="34"/>
  <c r="AE90" i="34" s="1"/>
  <c r="AB89" i="34"/>
  <c r="AA89" i="34"/>
  <c r="AB88" i="34"/>
  <c r="AA88" i="34"/>
  <c r="AB87" i="34"/>
  <c r="AA87" i="34"/>
  <c r="AE87" i="34" s="1"/>
  <c r="AB86" i="34"/>
  <c r="AA86" i="34"/>
  <c r="AE86" i="34" s="1"/>
  <c r="AB85" i="34"/>
  <c r="AA85" i="34"/>
  <c r="AB84" i="34"/>
  <c r="AA84" i="34"/>
  <c r="AB83" i="34"/>
  <c r="AA83" i="34"/>
  <c r="AE83" i="34" s="1"/>
  <c r="AB82" i="34"/>
  <c r="AA82" i="34"/>
  <c r="AE82" i="34" s="1"/>
  <c r="AB81" i="34"/>
  <c r="AA81" i="34"/>
  <c r="AH74" i="34"/>
  <c r="AH75" i="34" s="1"/>
  <c r="AH73" i="34"/>
  <c r="AH68" i="34"/>
  <c r="AH69" i="34" s="1"/>
  <c r="AH67" i="34"/>
  <c r="AA39" i="34"/>
  <c r="AI39" i="34" s="1"/>
  <c r="AB39" i="34"/>
  <c r="AA40" i="34"/>
  <c r="AI40" i="34" s="1"/>
  <c r="AB40" i="34"/>
  <c r="AA41" i="34"/>
  <c r="AI41" i="34" s="1"/>
  <c r="AB41" i="34"/>
  <c r="AA42" i="34"/>
  <c r="AI42" i="34" s="1"/>
  <c r="AB42" i="34"/>
  <c r="AA43" i="34"/>
  <c r="AI43" i="34" s="1"/>
  <c r="AB43" i="34"/>
  <c r="AA44" i="34"/>
  <c r="AI44" i="34" s="1"/>
  <c r="AB44" i="34"/>
  <c r="AA45" i="34"/>
  <c r="AI45" i="34" s="1"/>
  <c r="AB45" i="34"/>
  <c r="AA46" i="34"/>
  <c r="AI46" i="34" s="1"/>
  <c r="AB46" i="34"/>
  <c r="AA47" i="34"/>
  <c r="AI47" i="34" s="1"/>
  <c r="AB47" i="34"/>
  <c r="AA48" i="34"/>
  <c r="AI48" i="34" s="1"/>
  <c r="AB48" i="34"/>
  <c r="AA49" i="34"/>
  <c r="AE49" i="34" s="1"/>
  <c r="AB49" i="34"/>
  <c r="AA50" i="34"/>
  <c r="AI50" i="34" s="1"/>
  <c r="AB50" i="34"/>
  <c r="AA51" i="34"/>
  <c r="AB51" i="34"/>
  <c r="AA52" i="34"/>
  <c r="AI52" i="34" s="1"/>
  <c r="AB52" i="34"/>
  <c r="AA53" i="34"/>
  <c r="AE53" i="34" s="1"/>
  <c r="AB53" i="34"/>
  <c r="AA54" i="34"/>
  <c r="AI54" i="34" s="1"/>
  <c r="AB54" i="34"/>
  <c r="AA55" i="34"/>
  <c r="AE55" i="34" s="1"/>
  <c r="AB55" i="34"/>
  <c r="AA56" i="34"/>
  <c r="AI56" i="34" s="1"/>
  <c r="AB56" i="34"/>
  <c r="AA57" i="34"/>
  <c r="AE57" i="34" s="1"/>
  <c r="AB57" i="34"/>
  <c r="AA58" i="34"/>
  <c r="AI58" i="34" s="1"/>
  <c r="AB58" i="34"/>
  <c r="AA59" i="34"/>
  <c r="AE59" i="34" s="1"/>
  <c r="AB59" i="34"/>
  <c r="AA60" i="34"/>
  <c r="AI60" i="34" s="1"/>
  <c r="AB60" i="34"/>
  <c r="AA61" i="34"/>
  <c r="AB38" i="34"/>
  <c r="AA38" i="34"/>
  <c r="AH33" i="34"/>
  <c r="AH34" i="34" s="1"/>
  <c r="AH32" i="34"/>
  <c r="AA8" i="34"/>
  <c r="AB8" i="34"/>
  <c r="AA9" i="34"/>
  <c r="AI9" i="34" s="1"/>
  <c r="AB9" i="34"/>
  <c r="AA10" i="34"/>
  <c r="AE10" i="34" s="1"/>
  <c r="AB10" i="34"/>
  <c r="AA11" i="34"/>
  <c r="AI11" i="34" s="1"/>
  <c r="AB11" i="34"/>
  <c r="AA12" i="34"/>
  <c r="AE12" i="34" s="1"/>
  <c r="AB12" i="34"/>
  <c r="AA13" i="34"/>
  <c r="AI13" i="34" s="1"/>
  <c r="AB13" i="34"/>
  <c r="AA14" i="34"/>
  <c r="AB14" i="34"/>
  <c r="AA15" i="34"/>
  <c r="AI15" i="34" s="1"/>
  <c r="AB15" i="34"/>
  <c r="AA16" i="34"/>
  <c r="AB16" i="34"/>
  <c r="AA17" i="34"/>
  <c r="AI17" i="34" s="1"/>
  <c r="AB17" i="34"/>
  <c r="AA18" i="34"/>
  <c r="AE18" i="34" s="1"/>
  <c r="AB18" i="34"/>
  <c r="AA19" i="34"/>
  <c r="AI19" i="34" s="1"/>
  <c r="AB19" i="34"/>
  <c r="AA20" i="34"/>
  <c r="AE20" i="34" s="1"/>
  <c r="AB20" i="34"/>
  <c r="AA21" i="34"/>
  <c r="AI21" i="34" s="1"/>
  <c r="AB21" i="34"/>
  <c r="AA22" i="34"/>
  <c r="AB22" i="34"/>
  <c r="AA23" i="34"/>
  <c r="AI23" i="34" s="1"/>
  <c r="AB23" i="34"/>
  <c r="AA24" i="34"/>
  <c r="AB24" i="34"/>
  <c r="AA25" i="34"/>
  <c r="AI25" i="34" s="1"/>
  <c r="AB25" i="34"/>
  <c r="AA26" i="34"/>
  <c r="AE26" i="34" s="1"/>
  <c r="AB26" i="34"/>
  <c r="AA27" i="34"/>
  <c r="AI27" i="34" s="1"/>
  <c r="AB27" i="34"/>
  <c r="AA28" i="34"/>
  <c r="AE28" i="34" s="1"/>
  <c r="AB28" i="34"/>
  <c r="AA29" i="34"/>
  <c r="AB7" i="34"/>
  <c r="AA7" i="34"/>
  <c r="O215" i="34"/>
  <c r="O216" i="34" s="1"/>
  <c r="O214" i="34"/>
  <c r="O209" i="34"/>
  <c r="O210" i="34" s="1"/>
  <c r="O208" i="34"/>
  <c r="H204" i="34"/>
  <c r="I203" i="34"/>
  <c r="H203" i="34"/>
  <c r="L203" i="34" s="1"/>
  <c r="I202" i="34"/>
  <c r="H202" i="34"/>
  <c r="L202" i="34" s="1"/>
  <c r="I201" i="34"/>
  <c r="H201" i="34"/>
  <c r="I200" i="34"/>
  <c r="H200" i="34"/>
  <c r="L200" i="34" s="1"/>
  <c r="I199" i="34"/>
  <c r="H199" i="34"/>
  <c r="L199" i="34" s="1"/>
  <c r="I198" i="34"/>
  <c r="H198" i="34"/>
  <c r="L198" i="34" s="1"/>
  <c r="I197" i="34"/>
  <c r="H197" i="34"/>
  <c r="I196" i="34"/>
  <c r="H196" i="34"/>
  <c r="L196" i="34" s="1"/>
  <c r="I195" i="34"/>
  <c r="H195" i="34"/>
  <c r="I194" i="34"/>
  <c r="H194" i="34"/>
  <c r="L194" i="34" s="1"/>
  <c r="I193" i="34"/>
  <c r="H193" i="34"/>
  <c r="I192" i="34"/>
  <c r="H192" i="34"/>
  <c r="L192" i="34" s="1"/>
  <c r="I191" i="34"/>
  <c r="H191" i="34"/>
  <c r="L191" i="34" s="1"/>
  <c r="I190" i="34"/>
  <c r="H190" i="34"/>
  <c r="L190" i="34" s="1"/>
  <c r="I189" i="34"/>
  <c r="H189" i="34"/>
  <c r="I188" i="34"/>
  <c r="H188" i="34"/>
  <c r="L188" i="34" s="1"/>
  <c r="I187" i="34"/>
  <c r="H187" i="34"/>
  <c r="I186" i="34"/>
  <c r="H186" i="34"/>
  <c r="L186" i="34" s="1"/>
  <c r="I185" i="34"/>
  <c r="H185" i="34"/>
  <c r="I184" i="34"/>
  <c r="H184" i="34"/>
  <c r="L184" i="34" s="1"/>
  <c r="O177" i="34"/>
  <c r="O178" i="34" s="1"/>
  <c r="O176" i="34"/>
  <c r="O171" i="34"/>
  <c r="O172" i="34" s="1"/>
  <c r="O170" i="34"/>
  <c r="H167" i="34"/>
  <c r="H166" i="34"/>
  <c r="P166" i="34" s="1"/>
  <c r="I166" i="34"/>
  <c r="I165" i="34"/>
  <c r="H165" i="34"/>
  <c r="I164" i="34"/>
  <c r="H164" i="34"/>
  <c r="I163" i="34"/>
  <c r="H163" i="34"/>
  <c r="I162" i="34"/>
  <c r="H162" i="34"/>
  <c r="I161" i="34"/>
  <c r="H161" i="34"/>
  <c r="I160" i="34"/>
  <c r="H160" i="34"/>
  <c r="I159" i="34"/>
  <c r="H159" i="34"/>
  <c r="I158" i="34"/>
  <c r="H158" i="34"/>
  <c r="I157" i="34"/>
  <c r="H157" i="34"/>
  <c r="I156" i="34"/>
  <c r="H156" i="34"/>
  <c r="I155" i="34"/>
  <c r="H155" i="34"/>
  <c r="I154" i="34"/>
  <c r="H154" i="34"/>
  <c r="L154" i="34" s="1"/>
  <c r="I153" i="34"/>
  <c r="H153" i="34"/>
  <c r="L153" i="34" s="1"/>
  <c r="I152" i="34"/>
  <c r="H152" i="34"/>
  <c r="I151" i="34"/>
  <c r="H151" i="34"/>
  <c r="I150" i="34"/>
  <c r="H150" i="34"/>
  <c r="L150" i="34" s="1"/>
  <c r="I149" i="34"/>
  <c r="H149" i="34"/>
  <c r="L149" i="34" s="1"/>
  <c r="I148" i="34"/>
  <c r="H148" i="34"/>
  <c r="I147" i="34"/>
  <c r="H147" i="34"/>
  <c r="I146" i="34"/>
  <c r="H146" i="34"/>
  <c r="O138" i="34"/>
  <c r="O139" i="34" s="1"/>
  <c r="O137" i="34"/>
  <c r="O132" i="34"/>
  <c r="O133" i="34" s="1"/>
  <c r="O131" i="34"/>
  <c r="H109" i="34"/>
  <c r="I109" i="34"/>
  <c r="H110" i="34"/>
  <c r="I110" i="34"/>
  <c r="H111" i="34"/>
  <c r="L111" i="34" s="1"/>
  <c r="I111" i="34"/>
  <c r="H112" i="34"/>
  <c r="L112" i="34" s="1"/>
  <c r="I112" i="34"/>
  <c r="H113" i="34"/>
  <c r="I113" i="34"/>
  <c r="H114" i="34"/>
  <c r="I114" i="34"/>
  <c r="H115" i="34"/>
  <c r="L115" i="34" s="1"/>
  <c r="I115" i="34"/>
  <c r="H116" i="34"/>
  <c r="L116" i="34" s="1"/>
  <c r="I116" i="34"/>
  <c r="H117" i="34"/>
  <c r="I117" i="34"/>
  <c r="H118" i="34"/>
  <c r="I118" i="34"/>
  <c r="H119" i="34"/>
  <c r="L119" i="34" s="1"/>
  <c r="I119" i="34"/>
  <c r="H120" i="34"/>
  <c r="L120" i="34" s="1"/>
  <c r="I120" i="34"/>
  <c r="H121" i="34"/>
  <c r="I121" i="34"/>
  <c r="H122" i="34"/>
  <c r="I122" i="34"/>
  <c r="H123" i="34"/>
  <c r="L123" i="34" s="1"/>
  <c r="I123" i="34"/>
  <c r="H124" i="34"/>
  <c r="L124" i="34" s="1"/>
  <c r="I124" i="34"/>
  <c r="H125" i="34"/>
  <c r="I125" i="34"/>
  <c r="H126" i="34"/>
  <c r="I126" i="34"/>
  <c r="H127" i="34"/>
  <c r="L127" i="34" s="1"/>
  <c r="I127" i="34"/>
  <c r="H128" i="34"/>
  <c r="I108" i="34"/>
  <c r="H108" i="34"/>
  <c r="O100" i="34"/>
  <c r="O101" i="34" s="1"/>
  <c r="O99" i="34"/>
  <c r="O94" i="34"/>
  <c r="O95" i="34" s="1"/>
  <c r="O93" i="34"/>
  <c r="H88" i="34"/>
  <c r="I87" i="34"/>
  <c r="H87" i="34"/>
  <c r="I86" i="34"/>
  <c r="H86" i="34"/>
  <c r="I85" i="34"/>
  <c r="H85" i="34"/>
  <c r="I84" i="34"/>
  <c r="H84" i="34"/>
  <c r="I83" i="34"/>
  <c r="H83" i="34"/>
  <c r="I82" i="34"/>
  <c r="H82" i="34"/>
  <c r="I81" i="34"/>
  <c r="H81" i="34"/>
  <c r="I80" i="34"/>
  <c r="H80" i="34"/>
  <c r="I79" i="34"/>
  <c r="H79" i="34"/>
  <c r="I78" i="34"/>
  <c r="H78" i="34"/>
  <c r="I77" i="34"/>
  <c r="H77" i="34"/>
  <c r="I76" i="34"/>
  <c r="H76" i="34"/>
  <c r="I75" i="34"/>
  <c r="H75" i="34"/>
  <c r="I74" i="34"/>
  <c r="H74" i="34"/>
  <c r="I73" i="34"/>
  <c r="H73" i="34"/>
  <c r="O58" i="34"/>
  <c r="O65" i="34"/>
  <c r="O66" i="34" s="1"/>
  <c r="O64" i="34"/>
  <c r="O59" i="34"/>
  <c r="O60" i="34" s="1"/>
  <c r="H54" i="34"/>
  <c r="I53" i="34"/>
  <c r="H53" i="34"/>
  <c r="P53" i="34" s="1"/>
  <c r="I52" i="34"/>
  <c r="H52" i="34"/>
  <c r="P52" i="34" s="1"/>
  <c r="I51" i="34"/>
  <c r="H51" i="34"/>
  <c r="P51" i="34" s="1"/>
  <c r="I50" i="34"/>
  <c r="H50" i="34"/>
  <c r="P50" i="34" s="1"/>
  <c r="I49" i="34"/>
  <c r="H49" i="34"/>
  <c r="P49" i="34" s="1"/>
  <c r="I48" i="34"/>
  <c r="H48" i="34"/>
  <c r="P48" i="34" s="1"/>
  <c r="I47" i="34"/>
  <c r="H47" i="34"/>
  <c r="P47" i="34" s="1"/>
  <c r="I46" i="34"/>
  <c r="H46" i="34"/>
  <c r="P46" i="34" s="1"/>
  <c r="I45" i="34"/>
  <c r="H45" i="34"/>
  <c r="P45" i="34" s="1"/>
  <c r="I44" i="34"/>
  <c r="H44" i="34"/>
  <c r="P44" i="34" s="1"/>
  <c r="I43" i="34"/>
  <c r="H43" i="34"/>
  <c r="P43" i="34" s="1"/>
  <c r="I42" i="34"/>
  <c r="H42" i="34"/>
  <c r="P42" i="34" s="1"/>
  <c r="I41" i="34"/>
  <c r="H41" i="34"/>
  <c r="P41" i="34" s="1"/>
  <c r="I40" i="34"/>
  <c r="H40" i="34"/>
  <c r="P40" i="34" s="1"/>
  <c r="I39" i="34"/>
  <c r="H39" i="34"/>
  <c r="P39" i="34" s="1"/>
  <c r="I38" i="34"/>
  <c r="H38" i="34"/>
  <c r="P38" i="34" s="1"/>
  <c r="O28" i="34"/>
  <c r="O29" i="34" s="1"/>
  <c r="O27" i="34"/>
  <c r="H24" i="34"/>
  <c r="H8" i="34"/>
  <c r="P8" i="34" s="1"/>
  <c r="I8" i="34"/>
  <c r="H9" i="34"/>
  <c r="P9" i="34" s="1"/>
  <c r="I9" i="34"/>
  <c r="H10" i="34"/>
  <c r="P10" i="34" s="1"/>
  <c r="I10" i="34"/>
  <c r="H11" i="34"/>
  <c r="L11" i="34" s="1"/>
  <c r="I11" i="34"/>
  <c r="H12" i="34"/>
  <c r="L12" i="34" s="1"/>
  <c r="I12" i="34"/>
  <c r="H13" i="34"/>
  <c r="L13" i="34" s="1"/>
  <c r="I13" i="34"/>
  <c r="H14" i="34"/>
  <c r="P14" i="34" s="1"/>
  <c r="I14" i="34"/>
  <c r="H15" i="34"/>
  <c r="L15" i="34" s="1"/>
  <c r="I15" i="34"/>
  <c r="H16" i="34"/>
  <c r="P16" i="34" s="1"/>
  <c r="I16" i="34"/>
  <c r="H17" i="34"/>
  <c r="P17" i="34" s="1"/>
  <c r="I17" i="34"/>
  <c r="H18" i="34"/>
  <c r="P18" i="34" s="1"/>
  <c r="I18" i="34"/>
  <c r="H19" i="34"/>
  <c r="L19" i="34" s="1"/>
  <c r="I19" i="34"/>
  <c r="H20" i="34"/>
  <c r="P20" i="34" s="1"/>
  <c r="I20" i="34"/>
  <c r="H21" i="34"/>
  <c r="P21" i="34" s="1"/>
  <c r="I21" i="34"/>
  <c r="H22" i="34"/>
  <c r="I22" i="34"/>
  <c r="H23" i="34"/>
  <c r="P23" i="34" s="1"/>
  <c r="I23" i="34"/>
  <c r="I7" i="34"/>
  <c r="H7" i="34"/>
  <c r="P7" i="34" s="1"/>
  <c r="Y78" i="16"/>
  <c r="Y79" i="16" s="1"/>
  <c r="Z78" i="16"/>
  <c r="Z79" i="16" s="1"/>
  <c r="AA78" i="16"/>
  <c r="AA79" i="16" s="1"/>
  <c r="AB78" i="16"/>
  <c r="AB79" i="16" s="1"/>
  <c r="AC78" i="16"/>
  <c r="AC79" i="16" s="1"/>
  <c r="AD78" i="16"/>
  <c r="AD79" i="16" s="1"/>
  <c r="AE78" i="16"/>
  <c r="AE79" i="16" s="1"/>
  <c r="AF78" i="16"/>
  <c r="AF79" i="16" s="1"/>
  <c r="Y77" i="16"/>
  <c r="Z77" i="16"/>
  <c r="AA77" i="16"/>
  <c r="AB77" i="16"/>
  <c r="AC77" i="16"/>
  <c r="AD77" i="16"/>
  <c r="AE77" i="16"/>
  <c r="AF77" i="16"/>
  <c r="X78" i="16"/>
  <c r="X79" i="16" s="1"/>
  <c r="X77" i="16"/>
  <c r="AF51" i="16"/>
  <c r="AF52" i="16" s="1"/>
  <c r="AF50" i="16"/>
  <c r="AF26" i="16"/>
  <c r="AF27" i="16" s="1"/>
  <c r="AF25" i="16"/>
  <c r="H26" i="16"/>
  <c r="H27" i="16" s="1"/>
  <c r="I26" i="16"/>
  <c r="I27" i="16" s="1"/>
  <c r="J26" i="16"/>
  <c r="J27" i="16" s="1"/>
  <c r="K26" i="16"/>
  <c r="K27" i="16" s="1"/>
  <c r="L26" i="16"/>
  <c r="L27" i="16" s="1"/>
  <c r="M26" i="16"/>
  <c r="M27" i="16" s="1"/>
  <c r="N26" i="16"/>
  <c r="N27" i="16" s="1"/>
  <c r="O26" i="16"/>
  <c r="O27" i="16" s="1"/>
  <c r="H25" i="16"/>
  <c r="I25" i="16"/>
  <c r="J25" i="16"/>
  <c r="K25" i="16"/>
  <c r="L25" i="16"/>
  <c r="M25" i="16"/>
  <c r="N25" i="16"/>
  <c r="O25" i="16"/>
  <c r="G25" i="16"/>
  <c r="G26" i="16"/>
  <c r="G27" i="16" s="1"/>
  <c r="N51" i="16"/>
  <c r="N52" i="16" s="1"/>
  <c r="O51" i="16"/>
  <c r="O52" i="16" s="1"/>
  <c r="G51" i="16"/>
  <c r="G50" i="16"/>
  <c r="N50" i="16"/>
  <c r="O50" i="16"/>
  <c r="N77" i="16"/>
  <c r="H78" i="16"/>
  <c r="I78" i="16"/>
  <c r="J78" i="16"/>
  <c r="K78" i="16"/>
  <c r="L78" i="16"/>
  <c r="M78" i="16"/>
  <c r="N78" i="16"/>
  <c r="O78" i="16"/>
  <c r="G78" i="16"/>
  <c r="H77" i="16"/>
  <c r="I77" i="16"/>
  <c r="J77" i="16"/>
  <c r="K77" i="16"/>
  <c r="L77" i="16"/>
  <c r="M77" i="16"/>
  <c r="O77" i="16"/>
  <c r="G77" i="16"/>
  <c r="AG17" i="17"/>
  <c r="AG18" i="17"/>
  <c r="AG19" i="17" s="1"/>
  <c r="BB20" i="18"/>
  <c r="BB19" i="18"/>
  <c r="O18" i="32"/>
  <c r="O49" i="32"/>
  <c r="O50" i="32" s="1"/>
  <c r="O48" i="32"/>
  <c r="O19" i="32"/>
  <c r="O20" i="32" s="1"/>
  <c r="AB198" i="34" l="1"/>
  <c r="AD358" i="38"/>
  <c r="P129" i="36"/>
  <c r="P130" i="36"/>
  <c r="P131" i="36" s="1"/>
  <c r="L109" i="36"/>
  <c r="L110" i="36"/>
  <c r="L111" i="36" s="1"/>
  <c r="L115" i="36"/>
  <c r="L116" i="36"/>
  <c r="L117" i="36" s="1"/>
  <c r="N115" i="36"/>
  <c r="N116" i="36"/>
  <c r="N117" i="36" s="1"/>
  <c r="J90" i="36"/>
  <c r="N135" i="36"/>
  <c r="N136" i="36"/>
  <c r="N137" i="36" s="1"/>
  <c r="M136" i="37"/>
  <c r="M137" i="37"/>
  <c r="M138" i="37" s="1"/>
  <c r="AE439" i="38"/>
  <c r="AE440" i="38"/>
  <c r="AE441" i="38" s="1"/>
  <c r="AD439" i="38"/>
  <c r="AD440" i="38"/>
  <c r="AD441" i="38" s="1"/>
  <c r="AG425" i="38"/>
  <c r="AG426" i="38"/>
  <c r="AG427" i="38" s="1"/>
  <c r="AG439" i="38"/>
  <c r="AG440" i="38"/>
  <c r="AG441" i="38" s="1"/>
  <c r="P135" i="36"/>
  <c r="P136" i="36"/>
  <c r="P137" i="36" s="1"/>
  <c r="L135" i="36"/>
  <c r="L136" i="36"/>
  <c r="L137" i="36" s="1"/>
  <c r="K136" i="37"/>
  <c r="K137" i="37"/>
  <c r="K138" i="37" s="1"/>
  <c r="AD425" i="38"/>
  <c r="AD426" i="38"/>
  <c r="AD427" i="38" s="1"/>
  <c r="AG445" i="38"/>
  <c r="AG446" i="38"/>
  <c r="AG447" i="38" s="1"/>
  <c r="P109" i="36"/>
  <c r="P110" i="36"/>
  <c r="P111" i="36" s="1"/>
  <c r="N129" i="36"/>
  <c r="N130" i="36"/>
  <c r="N131" i="36" s="1"/>
  <c r="N109" i="36"/>
  <c r="N110" i="36"/>
  <c r="N111" i="36" s="1"/>
  <c r="L129" i="36"/>
  <c r="L130" i="36"/>
  <c r="L131" i="36" s="1"/>
  <c r="P115" i="36"/>
  <c r="P116" i="36"/>
  <c r="P117" i="36" s="1"/>
  <c r="J136" i="37"/>
  <c r="J137" i="37"/>
  <c r="J138" i="37" s="1"/>
  <c r="AE425" i="38"/>
  <c r="AE426" i="38"/>
  <c r="AE427" i="38" s="1"/>
  <c r="AD445" i="38"/>
  <c r="AD446" i="38"/>
  <c r="AD447" i="38" s="1"/>
  <c r="AE445" i="38"/>
  <c r="AE446" i="38"/>
  <c r="AE447" i="38" s="1"/>
  <c r="AI170" i="39"/>
  <c r="AI171" i="39" s="1"/>
  <c r="AE169" i="39"/>
  <c r="AC215" i="37"/>
  <c r="AC216" i="37"/>
  <c r="AC217" i="37" s="1"/>
  <c r="AF215" i="37"/>
  <c r="AF216" i="37"/>
  <c r="AF217" i="37" s="1"/>
  <c r="AD209" i="37"/>
  <c r="AD210" i="37"/>
  <c r="AD211" i="37" s="1"/>
  <c r="AC209" i="37"/>
  <c r="AC210" i="37"/>
  <c r="AC211" i="37" s="1"/>
  <c r="AF209" i="37"/>
  <c r="AF210" i="37"/>
  <c r="AF211" i="37" s="1"/>
  <c r="AD215" i="37"/>
  <c r="AD216" i="37"/>
  <c r="AD217" i="37" s="1"/>
  <c r="AF135" i="37"/>
  <c r="AF136" i="37"/>
  <c r="AF137" i="37" s="1"/>
  <c r="AF141" i="37"/>
  <c r="AF142" i="37"/>
  <c r="AF143" i="37" s="1"/>
  <c r="AF121" i="37"/>
  <c r="AF122" i="37"/>
  <c r="AF123" i="37" s="1"/>
  <c r="AC135" i="37"/>
  <c r="AC136" i="37"/>
  <c r="AC137" i="37" s="1"/>
  <c r="AC141" i="37"/>
  <c r="AC142" i="37"/>
  <c r="AC143" i="37" s="1"/>
  <c r="AD116" i="37"/>
  <c r="AD117" i="37" s="1"/>
  <c r="AD115" i="37"/>
  <c r="AC121" i="37"/>
  <c r="AC122" i="37"/>
  <c r="AC123" i="37" s="1"/>
  <c r="AC115" i="37"/>
  <c r="AC116" i="37"/>
  <c r="AC117" i="37" s="1"/>
  <c r="AD121" i="37"/>
  <c r="AD122" i="37"/>
  <c r="AD123" i="37" s="1"/>
  <c r="AD141" i="37"/>
  <c r="AD142" i="37"/>
  <c r="AD143" i="37" s="1"/>
  <c r="AD135" i="37"/>
  <c r="AD136" i="37"/>
  <c r="AD137" i="37" s="1"/>
  <c r="AF115" i="37"/>
  <c r="AF116" i="37"/>
  <c r="AF117" i="37" s="1"/>
  <c r="AD57" i="37"/>
  <c r="AD58" i="37"/>
  <c r="AD59" i="37" s="1"/>
  <c r="AC57" i="37"/>
  <c r="AC58" i="37"/>
  <c r="AC59" i="37" s="1"/>
  <c r="K302" i="37"/>
  <c r="K303" i="37"/>
  <c r="K304" i="37" s="1"/>
  <c r="AF63" i="37"/>
  <c r="AF64" i="37"/>
  <c r="AF65" i="37" s="1"/>
  <c r="M302" i="37"/>
  <c r="M303" i="37"/>
  <c r="M304" i="37" s="1"/>
  <c r="AD63" i="37"/>
  <c r="AD64" i="37"/>
  <c r="AD65" i="37" s="1"/>
  <c r="K308" i="37"/>
  <c r="K309" i="37"/>
  <c r="K310" i="37" s="1"/>
  <c r="M308" i="37"/>
  <c r="M309" i="37"/>
  <c r="M310" i="37" s="1"/>
  <c r="AC63" i="37"/>
  <c r="AC64" i="37"/>
  <c r="AC65" i="37" s="1"/>
  <c r="J302" i="37"/>
  <c r="J303" i="37"/>
  <c r="J304" i="37" s="1"/>
  <c r="J308" i="37"/>
  <c r="J309" i="37"/>
  <c r="J310" i="37" s="1"/>
  <c r="AF57" i="37"/>
  <c r="AF58" i="37"/>
  <c r="AF59" i="37" s="1"/>
  <c r="K259" i="37"/>
  <c r="K260" i="37"/>
  <c r="K261" i="37" s="1"/>
  <c r="M259" i="37"/>
  <c r="M260" i="37"/>
  <c r="M261" i="37" s="1"/>
  <c r="K265" i="37"/>
  <c r="K266" i="37"/>
  <c r="K267" i="37" s="1"/>
  <c r="J265" i="37"/>
  <c r="J266" i="37"/>
  <c r="J267" i="37" s="1"/>
  <c r="M265" i="37"/>
  <c r="M266" i="37"/>
  <c r="M267" i="37" s="1"/>
  <c r="J259" i="37"/>
  <c r="J260" i="37"/>
  <c r="J261" i="37" s="1"/>
  <c r="J245" i="37"/>
  <c r="J246" i="37"/>
  <c r="J247" i="37" s="1"/>
  <c r="M245" i="37"/>
  <c r="M246" i="37"/>
  <c r="M247" i="37" s="1"/>
  <c r="K239" i="37"/>
  <c r="K240" i="37"/>
  <c r="K241" i="37" s="1"/>
  <c r="J239" i="37"/>
  <c r="J240" i="37"/>
  <c r="J241" i="37" s="1"/>
  <c r="M239" i="37"/>
  <c r="M240" i="37"/>
  <c r="M241" i="37" s="1"/>
  <c r="K245" i="37"/>
  <c r="K246" i="37"/>
  <c r="K247" i="37" s="1"/>
  <c r="K190" i="37"/>
  <c r="K191" i="37"/>
  <c r="K192" i="37" s="1"/>
  <c r="J190" i="37"/>
  <c r="J191" i="37"/>
  <c r="J192" i="37" s="1"/>
  <c r="J196" i="37"/>
  <c r="J197" i="37"/>
  <c r="J198" i="37" s="1"/>
  <c r="K196" i="37"/>
  <c r="K197" i="37"/>
  <c r="K198" i="37" s="1"/>
  <c r="M190" i="37"/>
  <c r="M191" i="37"/>
  <c r="M192" i="37" s="1"/>
  <c r="M196" i="37"/>
  <c r="M197" i="37"/>
  <c r="M198" i="37" s="1"/>
  <c r="J154" i="37"/>
  <c r="J155" i="37"/>
  <c r="J156" i="37" s="1"/>
  <c r="K154" i="37"/>
  <c r="K155" i="37"/>
  <c r="K156" i="37" s="1"/>
  <c r="J142" i="37"/>
  <c r="J143" i="37"/>
  <c r="J144" i="37" s="1"/>
  <c r="M160" i="37"/>
  <c r="M161" i="37"/>
  <c r="M162" i="37" s="1"/>
  <c r="M142" i="37"/>
  <c r="M143" i="37"/>
  <c r="M144" i="37" s="1"/>
  <c r="J160" i="37"/>
  <c r="J161" i="37"/>
  <c r="J162" i="37" s="1"/>
  <c r="K142" i="37"/>
  <c r="K143" i="37"/>
  <c r="K144" i="37" s="1"/>
  <c r="K160" i="37"/>
  <c r="K161" i="37"/>
  <c r="K162" i="37" s="1"/>
  <c r="M154" i="37"/>
  <c r="M155" i="37"/>
  <c r="M156" i="37" s="1"/>
  <c r="N103" i="37"/>
  <c r="P103" i="37"/>
  <c r="L103" i="37"/>
  <c r="J101" i="37"/>
  <c r="J102" i="37"/>
  <c r="J77" i="37"/>
  <c r="J78" i="37"/>
  <c r="J79" i="37" s="1"/>
  <c r="K101" i="37"/>
  <c r="K102" i="37"/>
  <c r="J83" i="37"/>
  <c r="J84" i="37"/>
  <c r="J85" i="37" s="1"/>
  <c r="K95" i="37"/>
  <c r="K96" i="37"/>
  <c r="K97" i="37" s="1"/>
  <c r="K77" i="37"/>
  <c r="K78" i="37"/>
  <c r="K79" i="37" s="1"/>
  <c r="K83" i="37"/>
  <c r="K84" i="37"/>
  <c r="K85" i="37" s="1"/>
  <c r="M83" i="37"/>
  <c r="M84" i="37"/>
  <c r="M85" i="37" s="1"/>
  <c r="M77" i="37"/>
  <c r="M78" i="37"/>
  <c r="M79" i="37" s="1"/>
  <c r="M101" i="37"/>
  <c r="M102" i="37"/>
  <c r="J95" i="37"/>
  <c r="J96" i="37"/>
  <c r="J97" i="37" s="1"/>
  <c r="M95" i="37"/>
  <c r="M96" i="37"/>
  <c r="M97" i="37" s="1"/>
  <c r="M41" i="37"/>
  <c r="M42" i="37"/>
  <c r="M43" i="37" s="1"/>
  <c r="M35" i="37"/>
  <c r="M36" i="37"/>
  <c r="M37" i="37" s="1"/>
  <c r="K35" i="37"/>
  <c r="K36" i="37"/>
  <c r="K37" i="37" s="1"/>
  <c r="J35" i="37"/>
  <c r="J36" i="37"/>
  <c r="J37" i="37" s="1"/>
  <c r="J41" i="37"/>
  <c r="J42" i="37"/>
  <c r="J43" i="37" s="1"/>
  <c r="K41" i="37"/>
  <c r="K42" i="37"/>
  <c r="K43" i="37" s="1"/>
  <c r="AG170" i="39"/>
  <c r="AG171" i="39" s="1"/>
  <c r="AG44" i="39"/>
  <c r="AE44" i="39"/>
  <c r="AI44" i="39"/>
  <c r="AI169" i="39"/>
  <c r="AC132" i="39"/>
  <c r="AB171" i="39" s="1"/>
  <c r="AE171" i="39"/>
  <c r="AF132" i="39"/>
  <c r="AF170" i="39" s="1"/>
  <c r="AF171" i="39" s="1"/>
  <c r="AD132" i="39"/>
  <c r="AD169" i="39" s="1"/>
  <c r="AF42" i="39"/>
  <c r="AF43" i="39"/>
  <c r="AC42" i="39"/>
  <c r="AC43" i="39"/>
  <c r="AD42" i="39"/>
  <c r="AD43" i="39"/>
  <c r="K173" i="39"/>
  <c r="K174" i="39"/>
  <c r="K175" i="39" s="1"/>
  <c r="J173" i="39"/>
  <c r="J174" i="39"/>
  <c r="J175" i="39" s="1"/>
  <c r="M173" i="39"/>
  <c r="M174" i="39"/>
  <c r="M175" i="39" s="1"/>
  <c r="AE420" i="38"/>
  <c r="AE421" i="38" s="1"/>
  <c r="AE419" i="38"/>
  <c r="AD419" i="38"/>
  <c r="AD420" i="38"/>
  <c r="AD421" i="38" s="1"/>
  <c r="AG420" i="38"/>
  <c r="AG421" i="38" s="1"/>
  <c r="AG419" i="38"/>
  <c r="AG351" i="38"/>
  <c r="AG352" i="38"/>
  <c r="AG353" i="38" s="1"/>
  <c r="AE370" i="38"/>
  <c r="AE371" i="38"/>
  <c r="AE372" i="38" s="1"/>
  <c r="AG346" i="38"/>
  <c r="AG347" i="38" s="1"/>
  <c r="AG345" i="38"/>
  <c r="AE351" i="38"/>
  <c r="AE352" i="38"/>
  <c r="AE353" i="38" s="1"/>
  <c r="AG364" i="38"/>
  <c r="AG365" i="38"/>
  <c r="AG366" i="38" s="1"/>
  <c r="AG370" i="38"/>
  <c r="AG371" i="38"/>
  <c r="AG372" i="38" s="1"/>
  <c r="AE364" i="38"/>
  <c r="AE365" i="38"/>
  <c r="AE366" i="38" s="1"/>
  <c r="AD364" i="38"/>
  <c r="AD365" i="38"/>
  <c r="AD366" i="38" s="1"/>
  <c r="AD345" i="38"/>
  <c r="AD346" i="38"/>
  <c r="AD347" i="38" s="1"/>
  <c r="AD359" i="38"/>
  <c r="AD360" i="38" s="1"/>
  <c r="AE345" i="38"/>
  <c r="AE346" i="38"/>
  <c r="AE347" i="38" s="1"/>
  <c r="AD370" i="38"/>
  <c r="AD371" i="38"/>
  <c r="AD372" i="38" s="1"/>
  <c r="AD351" i="38"/>
  <c r="AD352" i="38"/>
  <c r="AD353" i="38" s="1"/>
  <c r="AD305" i="38"/>
  <c r="AD306" i="38"/>
  <c r="AD307" i="38" s="1"/>
  <c r="AE305" i="38"/>
  <c r="AE306" i="38"/>
  <c r="AE307" i="38" s="1"/>
  <c r="AE299" i="38"/>
  <c r="AE300" i="38"/>
  <c r="AE301" i="38" s="1"/>
  <c r="AG305" i="38"/>
  <c r="AG306" i="38"/>
  <c r="AG307" i="38" s="1"/>
  <c r="AG299" i="38"/>
  <c r="AG300" i="38"/>
  <c r="AG301" i="38" s="1"/>
  <c r="AD299" i="38"/>
  <c r="AD300" i="38"/>
  <c r="AD301" i="38" s="1"/>
  <c r="AD279" i="38"/>
  <c r="AD280" i="38"/>
  <c r="AD281" i="38" s="1"/>
  <c r="AG285" i="38"/>
  <c r="AG286" i="38"/>
  <c r="AG287" i="38" s="1"/>
  <c r="AG279" i="38"/>
  <c r="AG280" i="38"/>
  <c r="AG281" i="38" s="1"/>
  <c r="AE285" i="38"/>
  <c r="AE286" i="38"/>
  <c r="AE287" i="38" s="1"/>
  <c r="AD285" i="38"/>
  <c r="AD286" i="38"/>
  <c r="AD287" i="38" s="1"/>
  <c r="AE279" i="38"/>
  <c r="AE280" i="38"/>
  <c r="AE281" i="38" s="1"/>
  <c r="AE221" i="38"/>
  <c r="AE222" i="38"/>
  <c r="AE223" i="38" s="1"/>
  <c r="AE215" i="38"/>
  <c r="AE216" i="38"/>
  <c r="AE217" i="38" s="1"/>
  <c r="AG215" i="38"/>
  <c r="AG216" i="38"/>
  <c r="AG217" i="38" s="1"/>
  <c r="AE234" i="38"/>
  <c r="AE235" i="38"/>
  <c r="AE236" i="38" s="1"/>
  <c r="AD215" i="38"/>
  <c r="AD216" i="38"/>
  <c r="AD217" i="38" s="1"/>
  <c r="AG221" i="38"/>
  <c r="AG222" i="38"/>
  <c r="AG223" i="38" s="1"/>
  <c r="AD234" i="38"/>
  <c r="AD235" i="38"/>
  <c r="AD236" i="38" s="1"/>
  <c r="AD221" i="38"/>
  <c r="AD222" i="38"/>
  <c r="AD223" i="38" s="1"/>
  <c r="AG234" i="38"/>
  <c r="AG235" i="38"/>
  <c r="AG236" i="38" s="1"/>
  <c r="AD240" i="38"/>
  <c r="AD241" i="38"/>
  <c r="AD242" i="38" s="1"/>
  <c r="AE240" i="38"/>
  <c r="AE241" i="38"/>
  <c r="AE242" i="38" s="1"/>
  <c r="AG240" i="38"/>
  <c r="AG241" i="38"/>
  <c r="AG242" i="38" s="1"/>
  <c r="AE176" i="38"/>
  <c r="AE177" i="38"/>
  <c r="AE178" i="38" s="1"/>
  <c r="AG176" i="38"/>
  <c r="AG177" i="38"/>
  <c r="AG178" i="38" s="1"/>
  <c r="AG151" i="38"/>
  <c r="AG152" i="38"/>
  <c r="AG153" i="38" s="1"/>
  <c r="AG170" i="38"/>
  <c r="AG171" i="38"/>
  <c r="AG172" i="38" s="1"/>
  <c r="AD170" i="38"/>
  <c r="AD171" i="38"/>
  <c r="AD172" i="38" s="1"/>
  <c r="AE157" i="38"/>
  <c r="AE158" i="38"/>
  <c r="AE159" i="38" s="1"/>
  <c r="AD151" i="38"/>
  <c r="AD152" i="38"/>
  <c r="AD153" i="38" s="1"/>
  <c r="AD176" i="38"/>
  <c r="AD177" i="38"/>
  <c r="AD178" i="38" s="1"/>
  <c r="AG157" i="38"/>
  <c r="AG158" i="38"/>
  <c r="AG159" i="38" s="1"/>
  <c r="AE151" i="38"/>
  <c r="AE152" i="38"/>
  <c r="AE153" i="38" s="1"/>
  <c r="AE170" i="38"/>
  <c r="AE171" i="38"/>
  <c r="AE172" i="38" s="1"/>
  <c r="AD157" i="38"/>
  <c r="AD158" i="38"/>
  <c r="AD159" i="38" s="1"/>
  <c r="AE83" i="38"/>
  <c r="AE84" i="38"/>
  <c r="AE85" i="38" s="1"/>
  <c r="AG83" i="38"/>
  <c r="AG84" i="38"/>
  <c r="AG85" i="38" s="1"/>
  <c r="AG89" i="38"/>
  <c r="AG90" i="38"/>
  <c r="AG91" i="38" s="1"/>
  <c r="AD103" i="38"/>
  <c r="AD104" i="38"/>
  <c r="AD105" i="38" s="1"/>
  <c r="AD89" i="38"/>
  <c r="AD90" i="38"/>
  <c r="AD91" i="38" s="1"/>
  <c r="AE103" i="38"/>
  <c r="AE104" i="38"/>
  <c r="AE105" i="38" s="1"/>
  <c r="AG109" i="38"/>
  <c r="AG110" i="38"/>
  <c r="AG111" i="38" s="1"/>
  <c r="AD109" i="38"/>
  <c r="AD110" i="38"/>
  <c r="AD111" i="38" s="1"/>
  <c r="AD83" i="38"/>
  <c r="AD84" i="38"/>
  <c r="AD85" i="38" s="1"/>
  <c r="AG103" i="38"/>
  <c r="AG104" i="38"/>
  <c r="AG105" i="38" s="1"/>
  <c r="AE109" i="38"/>
  <c r="AE110" i="38"/>
  <c r="AE111" i="38" s="1"/>
  <c r="AE89" i="38"/>
  <c r="AE90" i="38"/>
  <c r="AE91" i="38" s="1"/>
  <c r="AG38" i="38"/>
  <c r="AG39" i="38" s="1"/>
  <c r="AG37" i="38"/>
  <c r="AD43" i="38"/>
  <c r="AD44" i="38"/>
  <c r="AD45" i="38" s="1"/>
  <c r="AE43" i="38"/>
  <c r="AE44" i="38"/>
  <c r="AE45" i="38" s="1"/>
  <c r="AG43" i="38"/>
  <c r="AG44" i="38"/>
  <c r="AG45" i="38" s="1"/>
  <c r="AE37" i="38"/>
  <c r="AE38" i="38"/>
  <c r="AE39" i="38" s="1"/>
  <c r="AD37" i="38"/>
  <c r="AD38" i="38"/>
  <c r="AD39" i="38" s="1"/>
  <c r="K490" i="38"/>
  <c r="K491" i="38"/>
  <c r="K492" i="38" s="1"/>
  <c r="K484" i="38"/>
  <c r="K485" i="38"/>
  <c r="K486" i="38" s="1"/>
  <c r="J490" i="38"/>
  <c r="J491" i="38"/>
  <c r="J492" i="38" s="1"/>
  <c r="M484" i="38"/>
  <c r="M485" i="38"/>
  <c r="M486" i="38" s="1"/>
  <c r="J484" i="38"/>
  <c r="J485" i="38"/>
  <c r="J486" i="38" s="1"/>
  <c r="M490" i="38"/>
  <c r="M491" i="38"/>
  <c r="M492" i="38" s="1"/>
  <c r="K465" i="38"/>
  <c r="K466" i="38"/>
  <c r="K467" i="38" s="1"/>
  <c r="J471" i="38"/>
  <c r="J472" i="38"/>
  <c r="J473" i="38" s="1"/>
  <c r="K471" i="38"/>
  <c r="K472" i="38"/>
  <c r="K473" i="38" s="1"/>
  <c r="J465" i="38"/>
  <c r="J466" i="38"/>
  <c r="J467" i="38" s="1"/>
  <c r="M465" i="38"/>
  <c r="M466" i="38"/>
  <c r="M467" i="38" s="1"/>
  <c r="M471" i="38"/>
  <c r="M472" i="38"/>
  <c r="M473" i="38" s="1"/>
  <c r="J404" i="38"/>
  <c r="J405" i="38"/>
  <c r="J406" i="38" s="1"/>
  <c r="K398" i="38"/>
  <c r="K399" i="38"/>
  <c r="K400" i="38" s="1"/>
  <c r="M423" i="38"/>
  <c r="M424" i="38"/>
  <c r="M425" i="38" s="1"/>
  <c r="K423" i="38"/>
  <c r="K424" i="38"/>
  <c r="K425" i="38" s="1"/>
  <c r="J417" i="38"/>
  <c r="J418" i="38"/>
  <c r="J419" i="38" s="1"/>
  <c r="J423" i="38"/>
  <c r="J424" i="38"/>
  <c r="J425" i="38" s="1"/>
  <c r="M417" i="38"/>
  <c r="M418" i="38"/>
  <c r="M419" i="38" s="1"/>
  <c r="K404" i="38"/>
  <c r="K405" i="38"/>
  <c r="K406" i="38" s="1"/>
  <c r="J398" i="38"/>
  <c r="J399" i="38"/>
  <c r="J400" i="38" s="1"/>
  <c r="M398" i="38"/>
  <c r="M399" i="38"/>
  <c r="M400" i="38" s="1"/>
  <c r="K417" i="38"/>
  <c r="K418" i="38"/>
  <c r="K419" i="38" s="1"/>
  <c r="M404" i="38"/>
  <c r="M405" i="38"/>
  <c r="M406" i="38" s="1"/>
  <c r="K352" i="38"/>
  <c r="K353" i="38"/>
  <c r="K354" i="38" s="1"/>
  <c r="J352" i="38"/>
  <c r="J353" i="38"/>
  <c r="J354" i="38" s="1"/>
  <c r="J358" i="38"/>
  <c r="J359" i="38"/>
  <c r="J360" i="38" s="1"/>
  <c r="M352" i="38"/>
  <c r="M353" i="38"/>
  <c r="M354" i="38" s="1"/>
  <c r="K358" i="38"/>
  <c r="K359" i="38"/>
  <c r="K360" i="38" s="1"/>
  <c r="M358" i="38"/>
  <c r="M359" i="38"/>
  <c r="M360" i="38" s="1"/>
  <c r="K333" i="38"/>
  <c r="K334" i="38"/>
  <c r="K335" i="38" s="1"/>
  <c r="J339" i="38"/>
  <c r="J340" i="38"/>
  <c r="J341" i="38" s="1"/>
  <c r="K339" i="38"/>
  <c r="K340" i="38"/>
  <c r="K341" i="38" s="1"/>
  <c r="M333" i="38"/>
  <c r="M334" i="38"/>
  <c r="M335" i="38" s="1"/>
  <c r="M339" i="38"/>
  <c r="M340" i="38"/>
  <c r="M341" i="38" s="1"/>
  <c r="J333" i="38"/>
  <c r="J334" i="38"/>
  <c r="J335" i="38" s="1"/>
  <c r="J286" i="38"/>
  <c r="J287" i="38"/>
  <c r="J288" i="38" s="1"/>
  <c r="M292" i="38"/>
  <c r="M293" i="38"/>
  <c r="M294" i="38" s="1"/>
  <c r="K286" i="38"/>
  <c r="K287" i="38"/>
  <c r="K288" i="38" s="1"/>
  <c r="J292" i="38"/>
  <c r="J293" i="38"/>
  <c r="J294" i="38" s="1"/>
  <c r="M286" i="38"/>
  <c r="M287" i="38"/>
  <c r="M288" i="38" s="1"/>
  <c r="K292" i="38"/>
  <c r="K293" i="38"/>
  <c r="K294" i="38" s="1"/>
  <c r="K221" i="38"/>
  <c r="K222" i="38"/>
  <c r="K223" i="38" s="1"/>
  <c r="M268" i="38"/>
  <c r="M269" i="38"/>
  <c r="M270" i="38" s="1"/>
  <c r="J274" i="38"/>
  <c r="J275" i="38"/>
  <c r="J276" i="38" s="1"/>
  <c r="K207" i="38"/>
  <c r="K208" i="38"/>
  <c r="K209" i="38" s="1"/>
  <c r="J201" i="38"/>
  <c r="J202" i="38"/>
  <c r="J203" i="38" s="1"/>
  <c r="J196" i="38"/>
  <c r="J197" i="38" s="1"/>
  <c r="J195" i="38"/>
  <c r="K195" i="38"/>
  <c r="K196" i="38"/>
  <c r="K197" i="38" s="1"/>
  <c r="K201" i="38"/>
  <c r="K202" i="38"/>
  <c r="K203" i="38" s="1"/>
  <c r="M221" i="38"/>
  <c r="M222" i="38"/>
  <c r="M223" i="38" s="1"/>
  <c r="M274" i="38"/>
  <c r="M275" i="38"/>
  <c r="M276" i="38" s="1"/>
  <c r="M201" i="38"/>
  <c r="M202" i="38"/>
  <c r="M203" i="38" s="1"/>
  <c r="M195" i="38"/>
  <c r="M196" i="38"/>
  <c r="M197" i="38" s="1"/>
  <c r="K227" i="38"/>
  <c r="K228" i="38"/>
  <c r="K229" i="38" s="1"/>
  <c r="J207" i="38"/>
  <c r="J208" i="38"/>
  <c r="J209" i="38" s="1"/>
  <c r="M207" i="38"/>
  <c r="M208" i="38"/>
  <c r="M209" i="38" s="1"/>
  <c r="J228" i="38"/>
  <c r="J229" i="38" s="1"/>
  <c r="J227" i="38"/>
  <c r="K274" i="38"/>
  <c r="K275" i="38"/>
  <c r="K276" i="38" s="1"/>
  <c r="K268" i="38"/>
  <c r="K269" i="38"/>
  <c r="K270" i="38" s="1"/>
  <c r="J268" i="38"/>
  <c r="J269" i="38"/>
  <c r="J270" i="38" s="1"/>
  <c r="J221" i="38"/>
  <c r="J222" i="38"/>
  <c r="J223" i="38" s="1"/>
  <c r="M227" i="38"/>
  <c r="M228" i="38"/>
  <c r="M229" i="38" s="1"/>
  <c r="M157" i="38"/>
  <c r="M158" i="38"/>
  <c r="M159" i="38" s="1"/>
  <c r="K157" i="38"/>
  <c r="K158" i="38"/>
  <c r="K159" i="38" s="1"/>
  <c r="M164" i="38"/>
  <c r="M165" i="38" s="1"/>
  <c r="M163" i="38"/>
  <c r="K163" i="38"/>
  <c r="K164" i="38"/>
  <c r="K165" i="38" s="1"/>
  <c r="J157" i="38"/>
  <c r="J158" i="38"/>
  <c r="J159" i="38" s="1"/>
  <c r="J163" i="38"/>
  <c r="J164" i="38"/>
  <c r="J165" i="38" s="1"/>
  <c r="M137" i="38"/>
  <c r="M138" i="38"/>
  <c r="M139" i="38" s="1"/>
  <c r="K137" i="38"/>
  <c r="K138" i="38"/>
  <c r="K139" i="38" s="1"/>
  <c r="J137" i="38"/>
  <c r="J138" i="38"/>
  <c r="J139" i="38" s="1"/>
  <c r="J143" i="38"/>
  <c r="J144" i="38"/>
  <c r="J145" i="38" s="1"/>
  <c r="K143" i="38"/>
  <c r="K144" i="38"/>
  <c r="K145" i="38" s="1"/>
  <c r="M143" i="38"/>
  <c r="M144" i="38"/>
  <c r="M145" i="38" s="1"/>
  <c r="K151" i="38"/>
  <c r="K152" i="38"/>
  <c r="K153" i="38" s="1"/>
  <c r="J151" i="38"/>
  <c r="J152" i="38"/>
  <c r="J153" i="38" s="1"/>
  <c r="M152" i="38"/>
  <c r="M153" i="38" s="1"/>
  <c r="M151" i="38"/>
  <c r="K89" i="38"/>
  <c r="K90" i="38"/>
  <c r="K91" i="38" s="1"/>
  <c r="M95" i="38"/>
  <c r="M96" i="38"/>
  <c r="M97" i="38" s="1"/>
  <c r="J69" i="38"/>
  <c r="J70" i="38"/>
  <c r="J71" i="38" s="1"/>
  <c r="K69" i="38"/>
  <c r="K70" i="38"/>
  <c r="K71" i="38" s="1"/>
  <c r="M75" i="38"/>
  <c r="M76" i="38"/>
  <c r="M77" i="38" s="1"/>
  <c r="J89" i="38"/>
  <c r="J90" i="38"/>
  <c r="J91" i="38" s="1"/>
  <c r="M69" i="38"/>
  <c r="M70" i="38"/>
  <c r="M71" i="38" s="1"/>
  <c r="M89" i="38"/>
  <c r="M90" i="38"/>
  <c r="M91" i="38" s="1"/>
  <c r="K75" i="38"/>
  <c r="K76" i="38"/>
  <c r="K77" i="38" s="1"/>
  <c r="J95" i="38"/>
  <c r="J96" i="38"/>
  <c r="J97" i="38" s="1"/>
  <c r="K95" i="38"/>
  <c r="K96" i="38"/>
  <c r="K97" i="38" s="1"/>
  <c r="J75" i="38"/>
  <c r="J76" i="38"/>
  <c r="J77" i="38" s="1"/>
  <c r="P65" i="38"/>
  <c r="N65" i="38"/>
  <c r="L65" i="38"/>
  <c r="M24" i="38"/>
  <c r="K56" i="36"/>
  <c r="J50" i="36"/>
  <c r="K50" i="36"/>
  <c r="P124" i="36"/>
  <c r="P125" i="36" s="1"/>
  <c r="J83" i="36"/>
  <c r="J56" i="36"/>
  <c r="AD293" i="38"/>
  <c r="M25" i="38"/>
  <c r="M26" i="38" s="1"/>
  <c r="AD294" i="38"/>
  <c r="AD295" i="38" s="1"/>
  <c r="J24" i="38"/>
  <c r="AC129" i="37"/>
  <c r="AG265" i="34"/>
  <c r="AF265" i="34" s="1"/>
  <c r="AG221" i="34"/>
  <c r="AC221" i="34" s="1"/>
  <c r="AC130" i="37"/>
  <c r="AC131" i="37" s="1"/>
  <c r="AE272" i="34"/>
  <c r="AG235" i="34"/>
  <c r="AF235" i="34" s="1"/>
  <c r="AE293" i="38"/>
  <c r="AD130" i="37"/>
  <c r="AD131" i="37" s="1"/>
  <c r="AI273" i="34"/>
  <c r="AC222" i="37"/>
  <c r="J25" i="38"/>
  <c r="J26" i="38" s="1"/>
  <c r="L68" i="36"/>
  <c r="J52" i="36"/>
  <c r="I176" i="34"/>
  <c r="AI26" i="34"/>
  <c r="AB160" i="34"/>
  <c r="AB161" i="34" s="1"/>
  <c r="AA197" i="34"/>
  <c r="AE266" i="34"/>
  <c r="AG245" i="34"/>
  <c r="AF245" i="34" s="1"/>
  <c r="AD129" i="37"/>
  <c r="AI10" i="34"/>
  <c r="AG48" i="34"/>
  <c r="AF48" i="34" s="1"/>
  <c r="AG46" i="34"/>
  <c r="AF46" i="34" s="1"/>
  <c r="AG44" i="34"/>
  <c r="AC44" i="34" s="1"/>
  <c r="AG42" i="34"/>
  <c r="AC42" i="34" s="1"/>
  <c r="AG40" i="34"/>
  <c r="AF40" i="34" s="1"/>
  <c r="AI267" i="34"/>
  <c r="AG264" i="34"/>
  <c r="AD264" i="34" s="1"/>
  <c r="AG256" i="34"/>
  <c r="AF256" i="34" s="1"/>
  <c r="K41" i="36"/>
  <c r="AD146" i="38"/>
  <c r="AD147" i="38" s="1"/>
  <c r="L23" i="34"/>
  <c r="L14" i="34"/>
  <c r="AG290" i="34"/>
  <c r="AF290" i="34" s="1"/>
  <c r="AI284" i="34"/>
  <c r="AI264" i="34"/>
  <c r="AG257" i="34"/>
  <c r="AC257" i="34" s="1"/>
  <c r="AE228" i="34"/>
  <c r="AG273" i="38"/>
  <c r="L17" i="34"/>
  <c r="AE19" i="34"/>
  <c r="AI265" i="34"/>
  <c r="AG224" i="34"/>
  <c r="AD224" i="34" s="1"/>
  <c r="AG216" i="34"/>
  <c r="AC216" i="34" s="1"/>
  <c r="K25" i="38"/>
  <c r="K26" i="38" s="1"/>
  <c r="AD145" i="38"/>
  <c r="AE245" i="34"/>
  <c r="AI280" i="34"/>
  <c r="AG144" i="34"/>
  <c r="AF144" i="34" s="1"/>
  <c r="AI274" i="34"/>
  <c r="AG229" i="34"/>
  <c r="AF229" i="34" s="1"/>
  <c r="AE27" i="34"/>
  <c r="AE11" i="34"/>
  <c r="AI282" i="34"/>
  <c r="AI281" i="34"/>
  <c r="AI275" i="34"/>
  <c r="AG273" i="34"/>
  <c r="AF273" i="34" s="1"/>
  <c r="AG272" i="34"/>
  <c r="AD272" i="34" s="1"/>
  <c r="AI268" i="34"/>
  <c r="AE260" i="34"/>
  <c r="AE232" i="34"/>
  <c r="AE229" i="34"/>
  <c r="AI224" i="34"/>
  <c r="AI221" i="34"/>
  <c r="AI216" i="34"/>
  <c r="K52" i="36"/>
  <c r="L69" i="36"/>
  <c r="L70" i="36" s="1"/>
  <c r="AI18" i="34"/>
  <c r="AI139" i="34"/>
  <c r="AI283" i="34"/>
  <c r="AG281" i="34"/>
  <c r="AF281" i="34" s="1"/>
  <c r="AG280" i="34"/>
  <c r="AF280" i="34" s="1"/>
  <c r="AI276" i="34"/>
  <c r="AE261" i="34"/>
  <c r="AG260" i="34"/>
  <c r="AF260" i="34" s="1"/>
  <c r="AG241" i="34"/>
  <c r="AC241" i="34" s="1"/>
  <c r="AG239" i="34"/>
  <c r="AF239" i="34" s="1"/>
  <c r="J44" i="36"/>
  <c r="K54" i="36"/>
  <c r="AF241" i="34"/>
  <c r="AB310" i="34"/>
  <c r="I170" i="34"/>
  <c r="H176" i="34"/>
  <c r="N166" i="34"/>
  <c r="M166" i="34" s="1"/>
  <c r="AI28" i="34"/>
  <c r="AG27" i="34"/>
  <c r="AD27" i="34" s="1"/>
  <c r="AI20" i="34"/>
  <c r="AG19" i="34"/>
  <c r="AD19" i="34" s="1"/>
  <c r="AI12" i="34"/>
  <c r="AG11" i="34"/>
  <c r="AF11" i="34" s="1"/>
  <c r="AB68" i="34"/>
  <c r="AB69" i="34" s="1"/>
  <c r="AI59" i="34"/>
  <c r="AE168" i="34"/>
  <c r="AB204" i="34"/>
  <c r="AB205" i="34" s="1"/>
  <c r="AB298" i="34"/>
  <c r="AG293" i="34"/>
  <c r="AF293" i="34" s="1"/>
  <c r="AI291" i="34"/>
  <c r="AG289" i="34"/>
  <c r="AF289" i="34" s="1"/>
  <c r="AI287" i="34"/>
  <c r="AG286" i="34"/>
  <c r="AC286" i="34" s="1"/>
  <c r="AI285" i="34"/>
  <c r="AG283" i="34"/>
  <c r="AF283" i="34" s="1"/>
  <c r="AG282" i="34"/>
  <c r="AD282" i="34" s="1"/>
  <c r="AI278" i="34"/>
  <c r="AI277" i="34"/>
  <c r="AG275" i="34"/>
  <c r="AF275" i="34" s="1"/>
  <c r="AG274" i="34"/>
  <c r="AC274" i="34" s="1"/>
  <c r="AI270" i="34"/>
  <c r="AI269" i="34"/>
  <c r="AG267" i="34"/>
  <c r="AF267" i="34" s="1"/>
  <c r="AG266" i="34"/>
  <c r="AD266" i="34" s="1"/>
  <c r="AE262" i="34"/>
  <c r="AE258" i="34"/>
  <c r="AE257" i="34"/>
  <c r="AG254" i="34"/>
  <c r="AF254" i="34" s="1"/>
  <c r="AG252" i="34"/>
  <c r="AF252" i="34" s="1"/>
  <c r="AG250" i="34"/>
  <c r="AF250" i="34" s="1"/>
  <c r="AI248" i="34"/>
  <c r="AI247" i="34"/>
  <c r="AI244" i="34"/>
  <c r="AA310" i="34"/>
  <c r="AE239" i="34"/>
  <c r="AG238" i="34"/>
  <c r="AD238" i="34" s="1"/>
  <c r="AG237" i="34"/>
  <c r="AF237" i="34" s="1"/>
  <c r="AI226" i="34"/>
  <c r="AI222" i="34"/>
  <c r="AI219" i="34"/>
  <c r="AI218" i="34"/>
  <c r="AG214" i="34"/>
  <c r="AF214" i="34" s="1"/>
  <c r="J58" i="36"/>
  <c r="J53" i="36"/>
  <c r="P69" i="36"/>
  <c r="P70" i="36" s="1"/>
  <c r="AD64" i="39"/>
  <c r="AD65" i="39"/>
  <c r="AD66" i="39" s="1"/>
  <c r="K162" i="39"/>
  <c r="K163" i="39"/>
  <c r="K164" i="39" s="1"/>
  <c r="AD97" i="38"/>
  <c r="AG293" i="38"/>
  <c r="K77" i="39"/>
  <c r="K78" i="39"/>
  <c r="K79" i="39" s="1"/>
  <c r="AA160" i="34"/>
  <c r="AA161" i="34" s="1"/>
  <c r="AI286" i="34"/>
  <c r="L166" i="34"/>
  <c r="AG21" i="34"/>
  <c r="AF21" i="34" s="1"/>
  <c r="AG13" i="34"/>
  <c r="AF13" i="34" s="1"/>
  <c r="AG49" i="34"/>
  <c r="AF49" i="34" s="1"/>
  <c r="AB111" i="34"/>
  <c r="AB112" i="34" s="1"/>
  <c r="AA111" i="34"/>
  <c r="AA112" i="34" s="1"/>
  <c r="AB159" i="34"/>
  <c r="AI140" i="34"/>
  <c r="AA198" i="34"/>
  <c r="AA199" i="34" s="1"/>
  <c r="AA203" i="34"/>
  <c r="AG291" i="34"/>
  <c r="AD291" i="34" s="1"/>
  <c r="AC290" i="34"/>
  <c r="AG287" i="34"/>
  <c r="AF287" i="34" s="1"/>
  <c r="AG285" i="34"/>
  <c r="AF285" i="34" s="1"/>
  <c r="AG284" i="34"/>
  <c r="AD284" i="34" s="1"/>
  <c r="AI279" i="34"/>
  <c r="AG277" i="34"/>
  <c r="AF277" i="34" s="1"/>
  <c r="AG276" i="34"/>
  <c r="AD276" i="34" s="1"/>
  <c r="AI271" i="34"/>
  <c r="AG269" i="34"/>
  <c r="AF269" i="34" s="1"/>
  <c r="AG268" i="34"/>
  <c r="AD268" i="34" s="1"/>
  <c r="AG263" i="34"/>
  <c r="AF263" i="34" s="1"/>
  <c r="AG262" i="34"/>
  <c r="AC262" i="34" s="1"/>
  <c r="AE259" i="34"/>
  <c r="AG258" i="34"/>
  <c r="AC258" i="34" s="1"/>
  <c r="AG247" i="34"/>
  <c r="AF247" i="34" s="1"/>
  <c r="AC239" i="34"/>
  <c r="AE238" i="34"/>
  <c r="AE234" i="34"/>
  <c r="AI304" i="34"/>
  <c r="AG231" i="34"/>
  <c r="AF231" i="34" s="1"/>
  <c r="AG226" i="34"/>
  <c r="AF226" i="34" s="1"/>
  <c r="AI223" i="34"/>
  <c r="AI220" i="34"/>
  <c r="AG218" i="34"/>
  <c r="AF218" i="34" s="1"/>
  <c r="AI215" i="34"/>
  <c r="J54" i="36"/>
  <c r="J163" i="39"/>
  <c r="J164" i="39" s="1"/>
  <c r="J162" i="39"/>
  <c r="AF64" i="39"/>
  <c r="AF65" i="39"/>
  <c r="AF66" i="39" s="1"/>
  <c r="AF31" i="39"/>
  <c r="AF32" i="39" s="1"/>
  <c r="AF30" i="39"/>
  <c r="M162" i="39"/>
  <c r="M163" i="39"/>
  <c r="M164" i="39" s="1"/>
  <c r="J77" i="39"/>
  <c r="J78" i="39"/>
  <c r="J79" i="39" s="1"/>
  <c r="N16" i="34"/>
  <c r="M16" i="34" s="1"/>
  <c r="AB117" i="34"/>
  <c r="AB118" i="34" s="1"/>
  <c r="AB154" i="34"/>
  <c r="AB155" i="34" s="1"/>
  <c r="AB197" i="34"/>
  <c r="AB203" i="34"/>
  <c r="AG279" i="34"/>
  <c r="AF279" i="34" s="1"/>
  <c r="AG278" i="34"/>
  <c r="AC278" i="34" s="1"/>
  <c r="AG271" i="34"/>
  <c r="AF271" i="34" s="1"/>
  <c r="AG270" i="34"/>
  <c r="AD270" i="34" s="1"/>
  <c r="AG248" i="34"/>
  <c r="AF248" i="34" s="1"/>
  <c r="AB304" i="34"/>
  <c r="AG223" i="34"/>
  <c r="AF223" i="34" s="1"/>
  <c r="AG222" i="34"/>
  <c r="AF222" i="34" s="1"/>
  <c r="AG220" i="34"/>
  <c r="AC220" i="34" s="1"/>
  <c r="AG219" i="34"/>
  <c r="AF219" i="34" s="1"/>
  <c r="AG215" i="34"/>
  <c r="AF215" i="34" s="1"/>
  <c r="AD164" i="38"/>
  <c r="AD228" i="38"/>
  <c r="M77" i="39"/>
  <c r="M78" i="39"/>
  <c r="M79" i="39" s="1"/>
  <c r="AC30" i="39"/>
  <c r="AC31" i="39"/>
  <c r="AC32" i="39" s="1"/>
  <c r="AC65" i="39"/>
  <c r="AC66" i="39" s="1"/>
  <c r="AC64" i="39"/>
  <c r="AD31" i="39"/>
  <c r="AD32" i="39" s="1"/>
  <c r="AD30" i="39"/>
  <c r="M37" i="39"/>
  <c r="M38" i="39"/>
  <c r="M39" i="39" s="1"/>
  <c r="J37" i="39"/>
  <c r="J38" i="39"/>
  <c r="J39" i="39" s="1"/>
  <c r="K37" i="39"/>
  <c r="K38" i="39"/>
  <c r="K39" i="39" s="1"/>
  <c r="AC224" i="34"/>
  <c r="AE24" i="34"/>
  <c r="AI24" i="34"/>
  <c r="AE22" i="34"/>
  <c r="AI22" i="34"/>
  <c r="AE16" i="34"/>
  <c r="AI16" i="34"/>
  <c r="AE14" i="34"/>
  <c r="AI14" i="34"/>
  <c r="AE8" i="34"/>
  <c r="AI8" i="34"/>
  <c r="AF282" i="34"/>
  <c r="AG23" i="34"/>
  <c r="AF23" i="34" s="1"/>
  <c r="AG15" i="34"/>
  <c r="AF15" i="34" s="1"/>
  <c r="AD287" i="34"/>
  <c r="AE51" i="34"/>
  <c r="AI51" i="34"/>
  <c r="I177" i="34"/>
  <c r="I178" i="34" s="1"/>
  <c r="AG25" i="34"/>
  <c r="AF25" i="34" s="1"/>
  <c r="AG17" i="34"/>
  <c r="AF17" i="34" s="1"/>
  <c r="AG9" i="34"/>
  <c r="AF9" i="34" s="1"/>
  <c r="AA68" i="34"/>
  <c r="AA69" i="34" s="1"/>
  <c r="AG54" i="34"/>
  <c r="AC54" i="34" s="1"/>
  <c r="AI49" i="34"/>
  <c r="AE48" i="34"/>
  <c r="AE47" i="34"/>
  <c r="AE46" i="34"/>
  <c r="AE45" i="34"/>
  <c r="AE44" i="34"/>
  <c r="AE43" i="34"/>
  <c r="AE42" i="34"/>
  <c r="AE41" i="34"/>
  <c r="AE40" i="34"/>
  <c r="AE39" i="34"/>
  <c r="AB110" i="34"/>
  <c r="AA116" i="34"/>
  <c r="AA117" i="34"/>
  <c r="AA118" i="34" s="1"/>
  <c r="AI131" i="34"/>
  <c r="AB153" i="34"/>
  <c r="AA159" i="34"/>
  <c r="AG178" i="34"/>
  <c r="AF178" i="34" s="1"/>
  <c r="AE293" i="34"/>
  <c r="AG292" i="34"/>
  <c r="AI290" i="34"/>
  <c r="AE289" i="34"/>
  <c r="AG288" i="34"/>
  <c r="AD271" i="34"/>
  <c r="AC250" i="34"/>
  <c r="AE249" i="34"/>
  <c r="AE246" i="34"/>
  <c r="AG243" i="34"/>
  <c r="AF243" i="34" s="1"/>
  <c r="AE241" i="34"/>
  <c r="AE240" i="34"/>
  <c r="AE235" i="34"/>
  <c r="AG234" i="34"/>
  <c r="AC234" i="34" s="1"/>
  <c r="AG233" i="34"/>
  <c r="AC233" i="34" s="1"/>
  <c r="AE230" i="34"/>
  <c r="AG227" i="34"/>
  <c r="AF227" i="34" s="1"/>
  <c r="AE225" i="34"/>
  <c r="AE217" i="34"/>
  <c r="AE214" i="34"/>
  <c r="AA299" i="34"/>
  <c r="AA300" i="34" s="1"/>
  <c r="AI305" i="34"/>
  <c r="AI306" i="34" s="1"/>
  <c r="J51" i="36"/>
  <c r="K51" i="36"/>
  <c r="L175" i="36"/>
  <c r="L176" i="36" s="1"/>
  <c r="AI62" i="36"/>
  <c r="AI63" i="36"/>
  <c r="AI64" i="36" s="1"/>
  <c r="AF51" i="37"/>
  <c r="AF52" i="37"/>
  <c r="AF53" i="37" s="1"/>
  <c r="AD76" i="38"/>
  <c r="AD77" i="38"/>
  <c r="AD78" i="38" s="1"/>
  <c r="M235" i="37"/>
  <c r="M236" i="37" s="1"/>
  <c r="M234" i="37"/>
  <c r="M253" i="37"/>
  <c r="M254" i="37"/>
  <c r="M255" i="37" s="1"/>
  <c r="K296" i="37"/>
  <c r="K297" i="37"/>
  <c r="K298" i="37" s="1"/>
  <c r="AD257" i="37"/>
  <c r="AD258" i="37"/>
  <c r="AD259" i="37" s="1"/>
  <c r="AE164" i="38"/>
  <c r="AE165" i="38"/>
  <c r="AE166" i="38" s="1"/>
  <c r="AF129" i="37"/>
  <c r="AF130" i="37"/>
  <c r="AF131" i="37" s="1"/>
  <c r="AD98" i="38"/>
  <c r="AD99" i="38" s="1"/>
  <c r="AD31" i="38"/>
  <c r="AD32" i="38"/>
  <c r="AD33" i="38" s="1"/>
  <c r="P180" i="36"/>
  <c r="P181" i="36"/>
  <c r="P182" i="36" s="1"/>
  <c r="AA110" i="34"/>
  <c r="AA153" i="34"/>
  <c r="AA154" i="34"/>
  <c r="AA155" i="34" s="1"/>
  <c r="AA204" i="34"/>
  <c r="AA205" i="34" s="1"/>
  <c r="AA311" i="34"/>
  <c r="AA312" i="34" s="1"/>
  <c r="AG63" i="36"/>
  <c r="AG64" i="36" s="1"/>
  <c r="AG62" i="36"/>
  <c r="AE76" i="38"/>
  <c r="AE77" i="38"/>
  <c r="AE78" i="38" s="1"/>
  <c r="AD109" i="37"/>
  <c r="AD110" i="37"/>
  <c r="AD111" i="37" s="1"/>
  <c r="M296" i="37"/>
  <c r="M297" i="37"/>
  <c r="M298" i="37" s="1"/>
  <c r="AC203" i="37"/>
  <c r="AC204" i="37"/>
  <c r="AC205" i="37" s="1"/>
  <c r="AC251" i="37"/>
  <c r="AC252" i="37"/>
  <c r="AC253" i="37" s="1"/>
  <c r="AC258" i="37"/>
  <c r="AC259" i="37" s="1"/>
  <c r="AC257" i="37"/>
  <c r="AG164" i="38"/>
  <c r="AG165" i="38"/>
  <c r="AG166" i="38" s="1"/>
  <c r="AD433" i="38"/>
  <c r="AD434" i="38"/>
  <c r="AD435" i="38" s="1"/>
  <c r="AE433" i="38"/>
  <c r="AE434" i="38"/>
  <c r="AE435" i="38" s="1"/>
  <c r="AD165" i="38"/>
  <c r="AD166" i="38" s="1"/>
  <c r="AC223" i="37"/>
  <c r="AC224" i="37" s="1"/>
  <c r="AG97" i="38"/>
  <c r="AG98" i="38"/>
  <c r="AG99" i="38" s="1"/>
  <c r="AB74" i="34"/>
  <c r="AB75" i="34" s="1"/>
  <c r="AE290" i="34"/>
  <c r="AE256" i="34"/>
  <c r="AG255" i="34"/>
  <c r="AD255" i="34" s="1"/>
  <c r="AE243" i="34"/>
  <c r="AG242" i="34"/>
  <c r="AF242" i="34" s="1"/>
  <c r="AE233" i="34"/>
  <c r="AE227" i="34"/>
  <c r="AA304" i="34"/>
  <c r="AB311" i="34"/>
  <c r="AB312" i="34" s="1"/>
  <c r="L181" i="36"/>
  <c r="L182" i="36" s="1"/>
  <c r="L180" i="36"/>
  <c r="N180" i="36"/>
  <c r="N181" i="36"/>
  <c r="N182" i="36" s="1"/>
  <c r="AI26" i="36"/>
  <c r="AI27" i="36"/>
  <c r="AI28" i="36" s="1"/>
  <c r="AF7" i="36"/>
  <c r="AG27" i="36"/>
  <c r="AG28" i="36" s="1"/>
  <c r="AG26" i="36"/>
  <c r="N174" i="36"/>
  <c r="N175" i="36"/>
  <c r="N176" i="36" s="1"/>
  <c r="AF109" i="37"/>
  <c r="AF110" i="37"/>
  <c r="AF111" i="37" s="1"/>
  <c r="AG76" i="38"/>
  <c r="AG77" i="38"/>
  <c r="AG78" i="38" s="1"/>
  <c r="J273" i="37"/>
  <c r="J274" i="37" s="1"/>
  <c r="J272" i="37"/>
  <c r="K272" i="37"/>
  <c r="K273" i="37"/>
  <c r="K274" i="37" s="1"/>
  <c r="AD203" i="37"/>
  <c r="AD204" i="37"/>
  <c r="AD205" i="37" s="1"/>
  <c r="AD251" i="37"/>
  <c r="AD252" i="37"/>
  <c r="AD253" i="37" s="1"/>
  <c r="AE31" i="38"/>
  <c r="AE32" i="38"/>
  <c r="AE33" i="38" s="1"/>
  <c r="AG274" i="38"/>
  <c r="AG275" i="38" s="1"/>
  <c r="AG433" i="38"/>
  <c r="AG434" i="38"/>
  <c r="AG435" i="38" s="1"/>
  <c r="AF222" i="37"/>
  <c r="AF223" i="37"/>
  <c r="AF224" i="37" s="1"/>
  <c r="AF257" i="37"/>
  <c r="AF258" i="37"/>
  <c r="AF259" i="37" s="1"/>
  <c r="AE97" i="38"/>
  <c r="AE98" i="38"/>
  <c r="AE99" i="38" s="1"/>
  <c r="AE62" i="36"/>
  <c r="L174" i="36"/>
  <c r="AC109" i="37"/>
  <c r="AC110" i="37"/>
  <c r="AC111" i="37" s="1"/>
  <c r="P174" i="36"/>
  <c r="P175" i="36"/>
  <c r="P176" i="36" s="1"/>
  <c r="AE23" i="34"/>
  <c r="AE15" i="34"/>
  <c r="AB116" i="34"/>
  <c r="AI132" i="34"/>
  <c r="AB199" i="34"/>
  <c r="AI292" i="34"/>
  <c r="AI288" i="34"/>
  <c r="AE255" i="34"/>
  <c r="AE254" i="34"/>
  <c r="AE253" i="34"/>
  <c r="AE252" i="34"/>
  <c r="AE251" i="34"/>
  <c r="AE250" i="34"/>
  <c r="AG249" i="34"/>
  <c r="AD249" i="34" s="1"/>
  <c r="AG246" i="34"/>
  <c r="AD246" i="34" s="1"/>
  <c r="AE242" i="34"/>
  <c r="AE237" i="34"/>
  <c r="AE236" i="34"/>
  <c r="AE231" i="34"/>
  <c r="AG230" i="34"/>
  <c r="AC230" i="34" s="1"/>
  <c r="AA298" i="34"/>
  <c r="AA305" i="34"/>
  <c r="AA306" i="34" s="1"/>
  <c r="AB299" i="34"/>
  <c r="AB300" i="34" s="1"/>
  <c r="AB305" i="34"/>
  <c r="AB306" i="34" s="1"/>
  <c r="AE27" i="36"/>
  <c r="AE28" i="36" s="1"/>
  <c r="AE26" i="36"/>
  <c r="J55" i="36"/>
  <c r="K55" i="36"/>
  <c r="J157" i="36"/>
  <c r="AC51" i="37"/>
  <c r="AC52" i="37"/>
  <c r="AC53" i="37" s="1"/>
  <c r="K234" i="37"/>
  <c r="K235" i="37"/>
  <c r="K236" i="37" s="1"/>
  <c r="K254" i="37"/>
  <c r="K255" i="37" s="1"/>
  <c r="K253" i="37"/>
  <c r="M273" i="37"/>
  <c r="M274" i="37" s="1"/>
  <c r="M272" i="37"/>
  <c r="J296" i="37"/>
  <c r="J297" i="37"/>
  <c r="J298" i="37" s="1"/>
  <c r="AF203" i="37"/>
  <c r="AF204" i="37"/>
  <c r="AF205" i="37" s="1"/>
  <c r="AF251" i="37"/>
  <c r="AF252" i="37"/>
  <c r="AF253" i="37" s="1"/>
  <c r="AG31" i="38"/>
  <c r="AG32" i="38"/>
  <c r="AG33" i="38" s="1"/>
  <c r="AD222" i="37"/>
  <c r="AD223" i="37"/>
  <c r="AD224" i="37" s="1"/>
  <c r="J254" i="37"/>
  <c r="J255" i="37" s="1"/>
  <c r="J253" i="37"/>
  <c r="J235" i="37"/>
  <c r="J236" i="37" s="1"/>
  <c r="J234" i="37"/>
  <c r="AD51" i="37"/>
  <c r="AD52" i="37"/>
  <c r="AD53" i="37" s="1"/>
  <c r="AD414" i="38"/>
  <c r="AD415" i="38" s="1"/>
  <c r="AD413" i="38"/>
  <c r="AG413" i="38"/>
  <c r="AG414" i="38"/>
  <c r="AG415" i="38" s="1"/>
  <c r="AE414" i="38"/>
  <c r="AE415" i="38" s="1"/>
  <c r="AE413" i="38"/>
  <c r="AD340" i="38"/>
  <c r="AD341" i="38" s="1"/>
  <c r="AD339" i="38"/>
  <c r="AE340" i="38"/>
  <c r="AE341" i="38" s="1"/>
  <c r="AE339" i="38"/>
  <c r="AG359" i="38"/>
  <c r="AG360" i="38" s="1"/>
  <c r="AG358" i="38"/>
  <c r="AG339" i="38"/>
  <c r="AG340" i="38"/>
  <c r="AG341" i="38" s="1"/>
  <c r="AE359" i="38"/>
  <c r="AE360" i="38" s="1"/>
  <c r="AE358" i="38"/>
  <c r="AE274" i="38"/>
  <c r="AE275" i="38" s="1"/>
  <c r="AE294" i="38"/>
  <c r="AE295" i="38" s="1"/>
  <c r="AD274" i="38"/>
  <c r="AD275" i="38" s="1"/>
  <c r="AG294" i="38"/>
  <c r="AG295" i="38" s="1"/>
  <c r="AD273" i="38"/>
  <c r="AE273" i="38"/>
  <c r="AE210" i="38"/>
  <c r="AE211" i="38" s="1"/>
  <c r="AD229" i="38"/>
  <c r="AD230" i="38" s="1"/>
  <c r="AE209" i="38"/>
  <c r="AG229" i="38"/>
  <c r="AG230" i="38" s="1"/>
  <c r="AG228" i="38"/>
  <c r="AG209" i="38"/>
  <c r="AG210" i="38"/>
  <c r="AG211" i="38" s="1"/>
  <c r="AD209" i="38"/>
  <c r="AD210" i="38"/>
  <c r="AD211" i="38" s="1"/>
  <c r="AE229" i="38"/>
  <c r="AE230" i="38" s="1"/>
  <c r="AE228" i="38"/>
  <c r="AE146" i="38"/>
  <c r="AE147" i="38" s="1"/>
  <c r="AE145" i="38"/>
  <c r="AG145" i="38"/>
  <c r="AG146" i="38"/>
  <c r="AG147" i="38" s="1"/>
  <c r="K215" i="38"/>
  <c r="K216" i="38"/>
  <c r="K217" i="38" s="1"/>
  <c r="J131" i="38"/>
  <c r="J132" i="38"/>
  <c r="J133" i="38" s="1"/>
  <c r="J281" i="38"/>
  <c r="J282" i="38" s="1"/>
  <c r="J280" i="38"/>
  <c r="M347" i="38"/>
  <c r="M348" i="38" s="1"/>
  <c r="M346" i="38"/>
  <c r="K478" i="38"/>
  <c r="K479" i="38"/>
  <c r="K480" i="38" s="1"/>
  <c r="K24" i="38"/>
  <c r="J263" i="38"/>
  <c r="J264" i="38" s="1"/>
  <c r="J262" i="38"/>
  <c r="J83" i="38"/>
  <c r="J84" i="38"/>
  <c r="J85" i="38" s="1"/>
  <c r="J346" i="38"/>
  <c r="J347" i="38"/>
  <c r="J348" i="38" s="1"/>
  <c r="J215" i="38"/>
  <c r="J216" i="38"/>
  <c r="J217" i="38" s="1"/>
  <c r="K83" i="38"/>
  <c r="K84" i="38"/>
  <c r="K85" i="38" s="1"/>
  <c r="M262" i="38"/>
  <c r="M263" i="38"/>
  <c r="M264" i="38" s="1"/>
  <c r="M392" i="38"/>
  <c r="M393" i="38"/>
  <c r="M394" i="38" s="1"/>
  <c r="K412" i="38"/>
  <c r="K413" i="38" s="1"/>
  <c r="K411" i="38"/>
  <c r="K459" i="38"/>
  <c r="K460" i="38"/>
  <c r="K461" i="38" s="1"/>
  <c r="M478" i="38"/>
  <c r="M479" i="38"/>
  <c r="M480" i="38" s="1"/>
  <c r="J392" i="38"/>
  <c r="J393" i="38"/>
  <c r="J394" i="38" s="1"/>
  <c r="M216" i="38"/>
  <c r="M217" i="38" s="1"/>
  <c r="M215" i="38"/>
  <c r="M280" i="38"/>
  <c r="M281" i="38"/>
  <c r="M282" i="38" s="1"/>
  <c r="J459" i="38"/>
  <c r="J460" i="38"/>
  <c r="J461" i="38" s="1"/>
  <c r="M411" i="38"/>
  <c r="M412" i="38"/>
  <c r="M413" i="38" s="1"/>
  <c r="M64" i="38"/>
  <c r="M63" i="38"/>
  <c r="M83" i="38"/>
  <c r="M84" i="38"/>
  <c r="M85" i="38" s="1"/>
  <c r="K131" i="38"/>
  <c r="K132" i="38"/>
  <c r="K133" i="38" s="1"/>
  <c r="K280" i="38"/>
  <c r="K281" i="38"/>
  <c r="K282" i="38" s="1"/>
  <c r="K262" i="38"/>
  <c r="K263" i="38"/>
  <c r="K264" i="38" s="1"/>
  <c r="K393" i="38"/>
  <c r="K394" i="38" s="1"/>
  <c r="K392" i="38"/>
  <c r="M460" i="38"/>
  <c r="M461" i="38" s="1"/>
  <c r="M459" i="38"/>
  <c r="J411" i="38"/>
  <c r="J412" i="38"/>
  <c r="J413" i="38" s="1"/>
  <c r="J478" i="38"/>
  <c r="J479" i="38"/>
  <c r="J480" i="38" s="1"/>
  <c r="J63" i="38"/>
  <c r="J64" i="38"/>
  <c r="K346" i="38"/>
  <c r="K347" i="38"/>
  <c r="K348" i="38" s="1"/>
  <c r="M132" i="38"/>
  <c r="M133" i="38" s="1"/>
  <c r="M131" i="38"/>
  <c r="K63" i="38"/>
  <c r="K64" i="38"/>
  <c r="J329" i="38"/>
  <c r="J330" i="38" s="1"/>
  <c r="J328" i="38"/>
  <c r="M328" i="38"/>
  <c r="M329" i="38"/>
  <c r="M330" i="38" s="1"/>
  <c r="K329" i="38"/>
  <c r="K330" i="38" s="1"/>
  <c r="K328" i="38"/>
  <c r="J202" i="37"/>
  <c r="J203" i="37"/>
  <c r="J204" i="37" s="1"/>
  <c r="K184" i="37"/>
  <c r="K185" i="37"/>
  <c r="K186" i="37" s="1"/>
  <c r="M202" i="37"/>
  <c r="M203" i="37"/>
  <c r="M204" i="37" s="1"/>
  <c r="J184" i="37"/>
  <c r="J185" i="37"/>
  <c r="J186" i="37" s="1"/>
  <c r="M184" i="37"/>
  <c r="M185" i="37"/>
  <c r="M186" i="37" s="1"/>
  <c r="K202" i="37"/>
  <c r="K203" i="37"/>
  <c r="K204" i="37" s="1"/>
  <c r="K73" i="37"/>
  <c r="K74" i="37" s="1"/>
  <c r="K72" i="37"/>
  <c r="M132" i="37"/>
  <c r="M133" i="37" s="1"/>
  <c r="M131" i="37"/>
  <c r="M30" i="37"/>
  <c r="M31" i="37" s="1"/>
  <c r="M29" i="37"/>
  <c r="K149" i="37"/>
  <c r="K150" i="37" s="1"/>
  <c r="K148" i="37"/>
  <c r="J29" i="37"/>
  <c r="J30" i="37"/>
  <c r="J31" i="37" s="1"/>
  <c r="K30" i="37"/>
  <c r="K31" i="37" s="1"/>
  <c r="K29" i="37"/>
  <c r="M72" i="37"/>
  <c r="M73" i="37"/>
  <c r="M74" i="37" s="1"/>
  <c r="J149" i="37"/>
  <c r="J150" i="37" s="1"/>
  <c r="J148" i="37"/>
  <c r="J72" i="37"/>
  <c r="J73" i="37"/>
  <c r="J74" i="37" s="1"/>
  <c r="M89" i="37"/>
  <c r="M90" i="37"/>
  <c r="M91" i="37" s="1"/>
  <c r="K132" i="37"/>
  <c r="K133" i="37" s="1"/>
  <c r="K131" i="37"/>
  <c r="J132" i="37"/>
  <c r="J133" i="37" s="1"/>
  <c r="J131" i="37"/>
  <c r="M149" i="37"/>
  <c r="M150" i="37" s="1"/>
  <c r="M148" i="37"/>
  <c r="J90" i="37"/>
  <c r="J91" i="37" s="1"/>
  <c r="J89" i="37"/>
  <c r="K90" i="37"/>
  <c r="K91" i="37" s="1"/>
  <c r="K89" i="37"/>
  <c r="K119" i="39"/>
  <c r="K120" i="39" s="1"/>
  <c r="K118" i="39"/>
  <c r="J119" i="39"/>
  <c r="J120" i="39" s="1"/>
  <c r="J118" i="39"/>
  <c r="M118" i="39"/>
  <c r="M119" i="39"/>
  <c r="M120" i="39" s="1"/>
  <c r="AC50" i="36"/>
  <c r="AF50" i="36"/>
  <c r="AC46" i="36"/>
  <c r="AF46" i="36"/>
  <c r="AC42" i="36"/>
  <c r="AF42" i="36"/>
  <c r="AC49" i="36"/>
  <c r="AF49" i="36"/>
  <c r="AC45" i="36"/>
  <c r="AF45" i="36"/>
  <c r="AC41" i="36"/>
  <c r="AF41" i="36"/>
  <c r="AD49" i="36"/>
  <c r="AD50" i="36"/>
  <c r="AC48" i="36"/>
  <c r="AF48" i="36"/>
  <c r="AC44" i="36"/>
  <c r="AF44" i="36"/>
  <c r="AC40" i="36"/>
  <c r="AF40" i="36"/>
  <c r="AD44" i="36"/>
  <c r="AD45" i="36"/>
  <c r="AD46" i="36"/>
  <c r="AC51" i="36"/>
  <c r="AF51" i="36"/>
  <c r="AC47" i="36"/>
  <c r="AF47" i="36"/>
  <c r="AC43" i="36"/>
  <c r="AF43" i="36"/>
  <c r="AC39" i="36"/>
  <c r="AF39" i="36"/>
  <c r="AD40" i="36"/>
  <c r="AD41" i="36"/>
  <c r="AD42" i="36"/>
  <c r="AD39" i="36"/>
  <c r="AC17" i="36"/>
  <c r="M153" i="36"/>
  <c r="K153" i="36"/>
  <c r="M169" i="36"/>
  <c r="K169" i="36"/>
  <c r="M158" i="36"/>
  <c r="K158" i="36"/>
  <c r="M147" i="36"/>
  <c r="K147" i="36"/>
  <c r="M159" i="36"/>
  <c r="K159" i="36"/>
  <c r="J153" i="36"/>
  <c r="M165" i="36"/>
  <c r="K165" i="36"/>
  <c r="J169" i="36"/>
  <c r="M148" i="36"/>
  <c r="K148" i="36"/>
  <c r="M154" i="36"/>
  <c r="K154" i="36"/>
  <c r="J158" i="36"/>
  <c r="J147" i="36"/>
  <c r="M155" i="36"/>
  <c r="K155" i="36"/>
  <c r="J159" i="36"/>
  <c r="M150" i="36"/>
  <c r="K150" i="36"/>
  <c r="M156" i="36"/>
  <c r="K156" i="36"/>
  <c r="M164" i="36"/>
  <c r="K164" i="36"/>
  <c r="M149" i="36"/>
  <c r="K149" i="36"/>
  <c r="M161" i="36"/>
  <c r="K161" i="36"/>
  <c r="J165" i="36"/>
  <c r="J148" i="36"/>
  <c r="J154" i="36"/>
  <c r="M166" i="36"/>
  <c r="K166" i="36"/>
  <c r="M151" i="36"/>
  <c r="K151" i="36"/>
  <c r="J155" i="36"/>
  <c r="M167" i="36"/>
  <c r="K167" i="36"/>
  <c r="M146" i="36"/>
  <c r="K146" i="36"/>
  <c r="J150" i="36"/>
  <c r="J156" i="36"/>
  <c r="J164" i="36"/>
  <c r="J149" i="36"/>
  <c r="M157" i="36"/>
  <c r="K157" i="36"/>
  <c r="J161" i="36"/>
  <c r="M162" i="36"/>
  <c r="K162" i="36"/>
  <c r="J166" i="36"/>
  <c r="J151" i="36"/>
  <c r="M163" i="36"/>
  <c r="K163" i="36"/>
  <c r="J167" i="36"/>
  <c r="J146" i="36"/>
  <c r="M152" i="36"/>
  <c r="K152" i="36"/>
  <c r="M160" i="36"/>
  <c r="K160" i="36"/>
  <c r="M168" i="36"/>
  <c r="K168" i="36"/>
  <c r="AC9" i="36"/>
  <c r="J41" i="36"/>
  <c r="K53" i="36"/>
  <c r="AF9" i="36"/>
  <c r="J46" i="36"/>
  <c r="J42" i="36"/>
  <c r="AF11" i="36"/>
  <c r="K46" i="36"/>
  <c r="K42" i="36"/>
  <c r="N103" i="36"/>
  <c r="N104" i="36"/>
  <c r="N105" i="36" s="1"/>
  <c r="P123" i="36"/>
  <c r="L103" i="36"/>
  <c r="L104" i="36"/>
  <c r="L105" i="36" s="1"/>
  <c r="AF19" i="36"/>
  <c r="J40" i="36"/>
  <c r="J45" i="36"/>
  <c r="K58" i="36"/>
  <c r="L123" i="36"/>
  <c r="L124" i="36"/>
  <c r="L125" i="36" s="1"/>
  <c r="N123" i="36"/>
  <c r="N124" i="36"/>
  <c r="N125" i="36" s="1"/>
  <c r="P104" i="36"/>
  <c r="P105" i="36" s="1"/>
  <c r="P103" i="36"/>
  <c r="AC15" i="36"/>
  <c r="AC7" i="36"/>
  <c r="J57" i="36"/>
  <c r="J43" i="36"/>
  <c r="K45" i="36"/>
  <c r="K47" i="36"/>
  <c r="K44" i="36"/>
  <c r="M87" i="36"/>
  <c r="K87" i="36"/>
  <c r="M88" i="36"/>
  <c r="K88" i="36"/>
  <c r="M79" i="36"/>
  <c r="K79" i="36"/>
  <c r="M97" i="36"/>
  <c r="K97" i="36"/>
  <c r="M78" i="36"/>
  <c r="K78" i="36"/>
  <c r="J87" i="36"/>
  <c r="J88" i="36"/>
  <c r="J79" i="36"/>
  <c r="M93" i="36"/>
  <c r="K93" i="36"/>
  <c r="J97" i="36"/>
  <c r="J78" i="36"/>
  <c r="M86" i="36"/>
  <c r="K86" i="36"/>
  <c r="M94" i="36"/>
  <c r="K94" i="36"/>
  <c r="M81" i="36"/>
  <c r="K81" i="36"/>
  <c r="M85" i="36"/>
  <c r="K85" i="36"/>
  <c r="M95" i="36"/>
  <c r="K95" i="36"/>
  <c r="M80" i="36"/>
  <c r="K80" i="36"/>
  <c r="M84" i="36"/>
  <c r="K84" i="36"/>
  <c r="M96" i="36"/>
  <c r="K96" i="36"/>
  <c r="M89" i="36"/>
  <c r="K89" i="36"/>
  <c r="J93" i="36"/>
  <c r="J86" i="36"/>
  <c r="J94" i="36"/>
  <c r="J81" i="36"/>
  <c r="J85" i="36"/>
  <c r="M91" i="36"/>
  <c r="K91" i="36"/>
  <c r="J95" i="36"/>
  <c r="J80" i="36"/>
  <c r="J84" i="36"/>
  <c r="M92" i="36"/>
  <c r="K92" i="36"/>
  <c r="J96" i="36"/>
  <c r="M83" i="36"/>
  <c r="K83" i="36"/>
  <c r="J89" i="36"/>
  <c r="M82" i="36"/>
  <c r="K82" i="36"/>
  <c r="M90" i="36"/>
  <c r="K90" i="36"/>
  <c r="M98" i="36"/>
  <c r="K98" i="36"/>
  <c r="K48" i="36"/>
  <c r="K14" i="36"/>
  <c r="M47" i="36"/>
  <c r="K43" i="36"/>
  <c r="K57" i="36"/>
  <c r="AD7" i="36"/>
  <c r="J48" i="36"/>
  <c r="K40" i="36"/>
  <c r="L63" i="36"/>
  <c r="L64" i="36" s="1"/>
  <c r="P62" i="36"/>
  <c r="P63" i="36"/>
  <c r="P64" i="36" s="1"/>
  <c r="J39" i="36"/>
  <c r="K39" i="36"/>
  <c r="L62" i="36"/>
  <c r="M49" i="36"/>
  <c r="N68" i="36"/>
  <c r="N69" i="36"/>
  <c r="N70" i="36" s="1"/>
  <c r="J49" i="36"/>
  <c r="K49" i="36"/>
  <c r="J38" i="36"/>
  <c r="N63" i="36"/>
  <c r="N64" i="36" s="1"/>
  <c r="N62" i="36"/>
  <c r="AF17" i="36"/>
  <c r="AC13" i="36"/>
  <c r="AF13" i="36"/>
  <c r="AD15" i="36"/>
  <c r="M12" i="36"/>
  <c r="L21" i="36"/>
  <c r="M38" i="36"/>
  <c r="AF21" i="36"/>
  <c r="AD21" i="36"/>
  <c r="K7" i="36"/>
  <c r="N22" i="36"/>
  <c r="N23" i="36" s="1"/>
  <c r="N21" i="36"/>
  <c r="AC19" i="36"/>
  <c r="AC11" i="36"/>
  <c r="P21" i="36"/>
  <c r="P22" i="36"/>
  <c r="P23" i="36" s="1"/>
  <c r="J16" i="36"/>
  <c r="M8" i="36"/>
  <c r="K16" i="36"/>
  <c r="K8" i="36"/>
  <c r="J12" i="36"/>
  <c r="K10" i="36"/>
  <c r="J10" i="36"/>
  <c r="K38" i="36"/>
  <c r="M14" i="36"/>
  <c r="M145" i="36"/>
  <c r="J145" i="36"/>
  <c r="AC16" i="36"/>
  <c r="AF16" i="36"/>
  <c r="AC8" i="36"/>
  <c r="AF8" i="36"/>
  <c r="K145" i="36"/>
  <c r="M13" i="36"/>
  <c r="J13" i="36"/>
  <c r="M77" i="36"/>
  <c r="J77" i="36"/>
  <c r="AC22" i="36"/>
  <c r="AF22" i="36"/>
  <c r="AC14" i="36"/>
  <c r="AF14" i="36"/>
  <c r="M11" i="36"/>
  <c r="J11" i="36"/>
  <c r="AC20" i="36"/>
  <c r="AF20" i="36"/>
  <c r="AC12" i="36"/>
  <c r="AF12" i="36"/>
  <c r="M17" i="36"/>
  <c r="J17" i="36"/>
  <c r="M9" i="36"/>
  <c r="J9" i="36"/>
  <c r="K13" i="36"/>
  <c r="AC18" i="36"/>
  <c r="AF18" i="36"/>
  <c r="AC10" i="36"/>
  <c r="AF10" i="36"/>
  <c r="K77" i="36"/>
  <c r="M15" i="36"/>
  <c r="J15" i="36"/>
  <c r="M7" i="36"/>
  <c r="J7" i="36"/>
  <c r="K11" i="36"/>
  <c r="AD16" i="36"/>
  <c r="AD8" i="36"/>
  <c r="AF234" i="34"/>
  <c r="AG261" i="34"/>
  <c r="AD257" i="34"/>
  <c r="AG253" i="34"/>
  <c r="AD253" i="34" s="1"/>
  <c r="AG244" i="34"/>
  <c r="AG240" i="34"/>
  <c r="AG236" i="34"/>
  <c r="AD236" i="34" s="1"/>
  <c r="AD234" i="34"/>
  <c r="AG232" i="34"/>
  <c r="AD232" i="34" s="1"/>
  <c r="AG228" i="34"/>
  <c r="AG225" i="34"/>
  <c r="AD221" i="34"/>
  <c r="AG259" i="34"/>
  <c r="AG251" i="34"/>
  <c r="AD251" i="34" s="1"/>
  <c r="AG217" i="34"/>
  <c r="AC277" i="34"/>
  <c r="AD220" i="34"/>
  <c r="AC265" i="34"/>
  <c r="AE263" i="34"/>
  <c r="AD260" i="34"/>
  <c r="AD229" i="34"/>
  <c r="AE213" i="34"/>
  <c r="AG213" i="34"/>
  <c r="AG177" i="34"/>
  <c r="AF177" i="34" s="1"/>
  <c r="AG179" i="34"/>
  <c r="AI177" i="34"/>
  <c r="AI178" i="34"/>
  <c r="AI179" i="34"/>
  <c r="AG181" i="34"/>
  <c r="AF181" i="34" s="1"/>
  <c r="AG182" i="34"/>
  <c r="AF182" i="34" s="1"/>
  <c r="AG183" i="34"/>
  <c r="AF183" i="34" s="1"/>
  <c r="AG184" i="34"/>
  <c r="AF184" i="34" s="1"/>
  <c r="AG185" i="34"/>
  <c r="AF185" i="34" s="1"/>
  <c r="AG186" i="34"/>
  <c r="AF186" i="34" s="1"/>
  <c r="AG187" i="34"/>
  <c r="AF187" i="34" s="1"/>
  <c r="AG188" i="34"/>
  <c r="AF188" i="34" s="1"/>
  <c r="AG171" i="34"/>
  <c r="AC171" i="34" s="1"/>
  <c r="AI171" i="34"/>
  <c r="AG175" i="34"/>
  <c r="AC175" i="34" s="1"/>
  <c r="AI175" i="34"/>
  <c r="AG169" i="34"/>
  <c r="AC169" i="34" s="1"/>
  <c r="AI169" i="34"/>
  <c r="AG173" i="34"/>
  <c r="AC173" i="34" s="1"/>
  <c r="AI173" i="34"/>
  <c r="AG170" i="34"/>
  <c r="AC170" i="34" s="1"/>
  <c r="AI170" i="34"/>
  <c r="AG174" i="34"/>
  <c r="AI174" i="34"/>
  <c r="AG168" i="34"/>
  <c r="AI168" i="34"/>
  <c r="AE169" i="34"/>
  <c r="AG172" i="34"/>
  <c r="AC172" i="34" s="1"/>
  <c r="AI172" i="34"/>
  <c r="AE173" i="34"/>
  <c r="AG176" i="34"/>
  <c r="AC176" i="34" s="1"/>
  <c r="AE176" i="34"/>
  <c r="AE177" i="34"/>
  <c r="AE178" i="34"/>
  <c r="AE179" i="34"/>
  <c r="AE180" i="34"/>
  <c r="AE181" i="34"/>
  <c r="AE182" i="34"/>
  <c r="AE183" i="34"/>
  <c r="AE184" i="34"/>
  <c r="AE185" i="34"/>
  <c r="AE186" i="34"/>
  <c r="AE187" i="34"/>
  <c r="AE188" i="34"/>
  <c r="AC178" i="34"/>
  <c r="AG180" i="34"/>
  <c r="AC180" i="34" s="1"/>
  <c r="AI128" i="34"/>
  <c r="AI136" i="34"/>
  <c r="AG143" i="34"/>
  <c r="AD143" i="34" s="1"/>
  <c r="AI127" i="34"/>
  <c r="AI135" i="34"/>
  <c r="AI126" i="34"/>
  <c r="AI130" i="34"/>
  <c r="AI134" i="34"/>
  <c r="AI138" i="34"/>
  <c r="AG142" i="34"/>
  <c r="AF142" i="34" s="1"/>
  <c r="AI125" i="34"/>
  <c r="AI129" i="34"/>
  <c r="AI133" i="34"/>
  <c r="AI141" i="34"/>
  <c r="AC144" i="34"/>
  <c r="AI145" i="34"/>
  <c r="AI142" i="34"/>
  <c r="AI143" i="34"/>
  <c r="AG124" i="34"/>
  <c r="AG125" i="34"/>
  <c r="AF125" i="34" s="1"/>
  <c r="AG126" i="34"/>
  <c r="AF126" i="34" s="1"/>
  <c r="AG127" i="34"/>
  <c r="AF127" i="34" s="1"/>
  <c r="AG128" i="34"/>
  <c r="AF128" i="34" s="1"/>
  <c r="AG129" i="34"/>
  <c r="AF129" i="34" s="1"/>
  <c r="AG130" i="34"/>
  <c r="AF130" i="34" s="1"/>
  <c r="AG131" i="34"/>
  <c r="AF131" i="34" s="1"/>
  <c r="AG132" i="34"/>
  <c r="AF132" i="34" s="1"/>
  <c r="AG133" i="34"/>
  <c r="AF133" i="34" s="1"/>
  <c r="AG134" i="34"/>
  <c r="AF134" i="34" s="1"/>
  <c r="AG135" i="34"/>
  <c r="AF135" i="34" s="1"/>
  <c r="AG136" i="34"/>
  <c r="AD136" i="34" s="1"/>
  <c r="AG137" i="34"/>
  <c r="AF137" i="34" s="1"/>
  <c r="AG138" i="34"/>
  <c r="AF138" i="34" s="1"/>
  <c r="AG139" i="34"/>
  <c r="AF139" i="34" s="1"/>
  <c r="AG140" i="34"/>
  <c r="AF140" i="34" s="1"/>
  <c r="AG141" i="34"/>
  <c r="AF141" i="34" s="1"/>
  <c r="AI144" i="34"/>
  <c r="AG145" i="34"/>
  <c r="AF145" i="34" s="1"/>
  <c r="AE124" i="34"/>
  <c r="AE137" i="34"/>
  <c r="AE159" i="34" s="1"/>
  <c r="AG81" i="34"/>
  <c r="AI81" i="34"/>
  <c r="AG85" i="34"/>
  <c r="AF85" i="34" s="1"/>
  <c r="AI85" i="34"/>
  <c r="AG89" i="34"/>
  <c r="AF89" i="34" s="1"/>
  <c r="AI89" i="34"/>
  <c r="AG93" i="34"/>
  <c r="AD93" i="34" s="1"/>
  <c r="AI93" i="34"/>
  <c r="AG97" i="34"/>
  <c r="AF97" i="34" s="1"/>
  <c r="AI97" i="34"/>
  <c r="AG101" i="34"/>
  <c r="AF101" i="34" s="1"/>
  <c r="AI101" i="34"/>
  <c r="AG84" i="34"/>
  <c r="AF84" i="34" s="1"/>
  <c r="AI84" i="34"/>
  <c r="AG88" i="34"/>
  <c r="AF88" i="34" s="1"/>
  <c r="AI88" i="34"/>
  <c r="AG92" i="34"/>
  <c r="AF92" i="34" s="1"/>
  <c r="AI92" i="34"/>
  <c r="AG96" i="34"/>
  <c r="AF96" i="34" s="1"/>
  <c r="AI96" i="34"/>
  <c r="AG100" i="34"/>
  <c r="AF100" i="34" s="1"/>
  <c r="AI100" i="34"/>
  <c r="AE81" i="34"/>
  <c r="AG83" i="34"/>
  <c r="AF83" i="34" s="1"/>
  <c r="AI83" i="34"/>
  <c r="AE85" i="34"/>
  <c r="AG87" i="34"/>
  <c r="AF87" i="34" s="1"/>
  <c r="AI87" i="34"/>
  <c r="AE89" i="34"/>
  <c r="AG91" i="34"/>
  <c r="AF91" i="34" s="1"/>
  <c r="AI91" i="34"/>
  <c r="AE93" i="34"/>
  <c r="AG95" i="34"/>
  <c r="AF95" i="34" s="1"/>
  <c r="AI95" i="34"/>
  <c r="AE97" i="34"/>
  <c r="AG99" i="34"/>
  <c r="AF99" i="34" s="1"/>
  <c r="AI99" i="34"/>
  <c r="AE101" i="34"/>
  <c r="AG103" i="34"/>
  <c r="AF103" i="34" s="1"/>
  <c r="AI103" i="34"/>
  <c r="AG82" i="34"/>
  <c r="AF82" i="34" s="1"/>
  <c r="AI82" i="34"/>
  <c r="AE84" i="34"/>
  <c r="AG86" i="34"/>
  <c r="AF86" i="34" s="1"/>
  <c r="AI86" i="34"/>
  <c r="AE88" i="34"/>
  <c r="AG90" i="34"/>
  <c r="AF90" i="34" s="1"/>
  <c r="AI90" i="34"/>
  <c r="AE92" i="34"/>
  <c r="AG94" i="34"/>
  <c r="AI94" i="34"/>
  <c r="AG98" i="34"/>
  <c r="AF98" i="34" s="1"/>
  <c r="AI98" i="34"/>
  <c r="AG102" i="34"/>
  <c r="AF102" i="34" s="1"/>
  <c r="AI102" i="34"/>
  <c r="AG58" i="34"/>
  <c r="AF58" i="34" s="1"/>
  <c r="AG53" i="34"/>
  <c r="AF53" i="34" s="1"/>
  <c r="AD48" i="34"/>
  <c r="AG47" i="34"/>
  <c r="AC47" i="34" s="1"/>
  <c r="AG45" i="34"/>
  <c r="AF45" i="34" s="1"/>
  <c r="AG43" i="34"/>
  <c r="AF43" i="34" s="1"/>
  <c r="AG41" i="34"/>
  <c r="AC41" i="34" s="1"/>
  <c r="AG39" i="34"/>
  <c r="AF39" i="34" s="1"/>
  <c r="AA73" i="34"/>
  <c r="AB73" i="34"/>
  <c r="AA67" i="34"/>
  <c r="AB67" i="34"/>
  <c r="AA74" i="34"/>
  <c r="AA75" i="34" s="1"/>
  <c r="AG57" i="34"/>
  <c r="AF57" i="34" s="1"/>
  <c r="AI55" i="34"/>
  <c r="AG60" i="34"/>
  <c r="AC60" i="34" s="1"/>
  <c r="AG59" i="34"/>
  <c r="AF59" i="34" s="1"/>
  <c r="AG56" i="34"/>
  <c r="AF56" i="34" s="1"/>
  <c r="AG55" i="34"/>
  <c r="AC55" i="34" s="1"/>
  <c r="AG52" i="34"/>
  <c r="AF52" i="34" s="1"/>
  <c r="AG51" i="34"/>
  <c r="AC51" i="34" s="1"/>
  <c r="AI57" i="34"/>
  <c r="AI53" i="34"/>
  <c r="AE60" i="34"/>
  <c r="AE58" i="34"/>
  <c r="AE56" i="34"/>
  <c r="AE54" i="34"/>
  <c r="AE52" i="34"/>
  <c r="AG50" i="34"/>
  <c r="AE50" i="34"/>
  <c r="AF42" i="34"/>
  <c r="P12" i="34"/>
  <c r="P125" i="34"/>
  <c r="N125" i="34"/>
  <c r="J125" i="34" s="1"/>
  <c r="P121" i="34"/>
  <c r="N121" i="34"/>
  <c r="M121" i="34" s="1"/>
  <c r="P117" i="34"/>
  <c r="N117" i="34"/>
  <c r="M117" i="34" s="1"/>
  <c r="P113" i="34"/>
  <c r="N113" i="34"/>
  <c r="M113" i="34" s="1"/>
  <c r="P109" i="34"/>
  <c r="N109" i="34"/>
  <c r="M109" i="34" s="1"/>
  <c r="I171" i="34"/>
  <c r="I172" i="34" s="1"/>
  <c r="I28" i="34"/>
  <c r="I29" i="34" s="1"/>
  <c r="H131" i="34"/>
  <c r="P126" i="34"/>
  <c r="N126" i="34"/>
  <c r="J126" i="34" s="1"/>
  <c r="P122" i="34"/>
  <c r="N122" i="34"/>
  <c r="J122" i="34" s="1"/>
  <c r="P118" i="34"/>
  <c r="H137" i="34"/>
  <c r="N118" i="34"/>
  <c r="M118" i="34" s="1"/>
  <c r="P114" i="34"/>
  <c r="N114" i="34"/>
  <c r="M114" i="34" s="1"/>
  <c r="P110" i="34"/>
  <c r="N110" i="34"/>
  <c r="M110" i="34" s="1"/>
  <c r="H138" i="34"/>
  <c r="H139" i="34" s="1"/>
  <c r="H177" i="34"/>
  <c r="H178" i="34" s="1"/>
  <c r="L195" i="34"/>
  <c r="H214" i="34"/>
  <c r="H215" i="34"/>
  <c r="H216" i="34" s="1"/>
  <c r="AG26" i="34"/>
  <c r="AC26" i="34" s="1"/>
  <c r="AG22" i="34"/>
  <c r="AG18" i="34"/>
  <c r="AC18" i="34" s="1"/>
  <c r="AG14" i="34"/>
  <c r="AC14" i="34" s="1"/>
  <c r="AG10" i="34"/>
  <c r="AC10" i="34" s="1"/>
  <c r="AB33" i="34"/>
  <c r="AB34" i="34" s="1"/>
  <c r="AB32" i="34"/>
  <c r="P13" i="34"/>
  <c r="N13" i="34"/>
  <c r="M13" i="34" s="1"/>
  <c r="P19" i="34"/>
  <c r="I132" i="34"/>
  <c r="I133" i="34" s="1"/>
  <c r="P127" i="34"/>
  <c r="N127" i="34"/>
  <c r="M127" i="34" s="1"/>
  <c r="L125" i="34"/>
  <c r="P123" i="34"/>
  <c r="N123" i="34"/>
  <c r="J123" i="34" s="1"/>
  <c r="L121" i="34"/>
  <c r="P119" i="34"/>
  <c r="N119" i="34"/>
  <c r="M119" i="34" s="1"/>
  <c r="L117" i="34"/>
  <c r="P115" i="34"/>
  <c r="N115" i="34"/>
  <c r="M115" i="34" s="1"/>
  <c r="L113" i="34"/>
  <c r="P111" i="34"/>
  <c r="N111" i="34"/>
  <c r="M111" i="34" s="1"/>
  <c r="L109" i="34"/>
  <c r="H132" i="34"/>
  <c r="H133" i="34" s="1"/>
  <c r="I214" i="34"/>
  <c r="H208" i="34"/>
  <c r="AE25" i="34"/>
  <c r="AE21" i="34"/>
  <c r="AE17" i="34"/>
  <c r="AE13" i="34"/>
  <c r="AE9" i="34"/>
  <c r="N22" i="34"/>
  <c r="J22" i="34" s="1"/>
  <c r="L18" i="34"/>
  <c r="L8" i="34"/>
  <c r="L126" i="34"/>
  <c r="P124" i="34"/>
  <c r="N124" i="34"/>
  <c r="M124" i="34" s="1"/>
  <c r="L122" i="34"/>
  <c r="P120" i="34"/>
  <c r="N120" i="34"/>
  <c r="M120" i="34" s="1"/>
  <c r="L118" i="34"/>
  <c r="P116" i="34"/>
  <c r="N116" i="34"/>
  <c r="M116" i="34" s="1"/>
  <c r="L114" i="34"/>
  <c r="P112" i="34"/>
  <c r="N112" i="34"/>
  <c r="M112" i="34" s="1"/>
  <c r="L110" i="34"/>
  <c r="L146" i="34"/>
  <c r="H171" i="34"/>
  <c r="H172" i="34" s="1"/>
  <c r="H170" i="34"/>
  <c r="I215" i="34"/>
  <c r="I216" i="34" s="1"/>
  <c r="AA33" i="34"/>
  <c r="AA34" i="34" s="1"/>
  <c r="AA32" i="34"/>
  <c r="AG28" i="34"/>
  <c r="AG24" i="34"/>
  <c r="AG20" i="34"/>
  <c r="AG16" i="34"/>
  <c r="AG12" i="34"/>
  <c r="AD9" i="34"/>
  <c r="AG8" i="34"/>
  <c r="N18" i="34"/>
  <c r="J18" i="34" s="1"/>
  <c r="I59" i="34"/>
  <c r="I60" i="34" s="1"/>
  <c r="N157" i="34"/>
  <c r="K157" i="34" s="1"/>
  <c r="N159" i="34"/>
  <c r="M159" i="34" s="1"/>
  <c r="N161" i="34"/>
  <c r="M161" i="34" s="1"/>
  <c r="N163" i="34"/>
  <c r="M163" i="34" s="1"/>
  <c r="N165" i="34"/>
  <c r="M165" i="34" s="1"/>
  <c r="AI38" i="34"/>
  <c r="AE38" i="34"/>
  <c r="AG38" i="34"/>
  <c r="AI7" i="34"/>
  <c r="AG7" i="34"/>
  <c r="AC7" i="34" s="1"/>
  <c r="AE7" i="34"/>
  <c r="N185" i="34"/>
  <c r="M185" i="34" s="1"/>
  <c r="N187" i="34"/>
  <c r="M187" i="34" s="1"/>
  <c r="N189" i="34"/>
  <c r="M189" i="34" s="1"/>
  <c r="P189" i="34"/>
  <c r="N193" i="34"/>
  <c r="J193" i="34" s="1"/>
  <c r="P193" i="34"/>
  <c r="N197" i="34"/>
  <c r="P197" i="34"/>
  <c r="N201" i="34"/>
  <c r="J201" i="34" s="1"/>
  <c r="P201" i="34"/>
  <c r="P185" i="34"/>
  <c r="P187" i="34"/>
  <c r="N190" i="34"/>
  <c r="J190" i="34" s="1"/>
  <c r="P190" i="34"/>
  <c r="N194" i="34"/>
  <c r="J194" i="34" s="1"/>
  <c r="P194" i="34"/>
  <c r="N198" i="34"/>
  <c r="J198" i="34" s="1"/>
  <c r="P198" i="34"/>
  <c r="N202" i="34"/>
  <c r="P202" i="34"/>
  <c r="I209" i="34"/>
  <c r="I210" i="34" s="1"/>
  <c r="H209" i="34"/>
  <c r="H210" i="34" s="1"/>
  <c r="N184" i="34"/>
  <c r="J184" i="34" s="1"/>
  <c r="N186" i="34"/>
  <c r="J186" i="34" s="1"/>
  <c r="N188" i="34"/>
  <c r="J188" i="34" s="1"/>
  <c r="N191" i="34"/>
  <c r="J191" i="34" s="1"/>
  <c r="P191" i="34"/>
  <c r="N195" i="34"/>
  <c r="P195" i="34"/>
  <c r="N199" i="34"/>
  <c r="P199" i="34"/>
  <c r="N203" i="34"/>
  <c r="J203" i="34" s="1"/>
  <c r="P203" i="34"/>
  <c r="I208" i="34"/>
  <c r="P184" i="34"/>
  <c r="L185" i="34"/>
  <c r="P186" i="34"/>
  <c r="L187" i="34"/>
  <c r="P188" i="34"/>
  <c r="L189" i="34"/>
  <c r="N192" i="34"/>
  <c r="J192" i="34" s="1"/>
  <c r="P192" i="34"/>
  <c r="L193" i="34"/>
  <c r="N196" i="34"/>
  <c r="J196" i="34" s="1"/>
  <c r="P196" i="34"/>
  <c r="L197" i="34"/>
  <c r="N200" i="34"/>
  <c r="J200" i="34" s="1"/>
  <c r="P200" i="34"/>
  <c r="L201" i="34"/>
  <c r="H94" i="34"/>
  <c r="H95" i="34" s="1"/>
  <c r="I137" i="34"/>
  <c r="I138" i="34"/>
  <c r="I139" i="34" s="1"/>
  <c r="I131" i="34"/>
  <c r="N158" i="34"/>
  <c r="M158" i="34" s="1"/>
  <c r="N160" i="34"/>
  <c r="M160" i="34" s="1"/>
  <c r="N162" i="34"/>
  <c r="M162" i="34" s="1"/>
  <c r="N164" i="34"/>
  <c r="M164" i="34" s="1"/>
  <c r="N148" i="34"/>
  <c r="M148" i="34" s="1"/>
  <c r="P148" i="34"/>
  <c r="N152" i="34"/>
  <c r="M152" i="34" s="1"/>
  <c r="P152" i="34"/>
  <c r="N147" i="34"/>
  <c r="M147" i="34" s="1"/>
  <c r="P147" i="34"/>
  <c r="N151" i="34"/>
  <c r="M151" i="34" s="1"/>
  <c r="P151" i="34"/>
  <c r="N155" i="34"/>
  <c r="M155" i="34" s="1"/>
  <c r="P155" i="34"/>
  <c r="L155" i="34"/>
  <c r="N146" i="34"/>
  <c r="P146" i="34"/>
  <c r="L148" i="34"/>
  <c r="N150" i="34"/>
  <c r="M150" i="34" s="1"/>
  <c r="P150" i="34"/>
  <c r="L152" i="34"/>
  <c r="N154" i="34"/>
  <c r="M154" i="34" s="1"/>
  <c r="P154" i="34"/>
  <c r="L147" i="34"/>
  <c r="N149" i="34"/>
  <c r="M149" i="34" s="1"/>
  <c r="P149" i="34"/>
  <c r="L151" i="34"/>
  <c r="N153" i="34"/>
  <c r="M153" i="34" s="1"/>
  <c r="P153" i="34"/>
  <c r="N156" i="34"/>
  <c r="J156" i="34" s="1"/>
  <c r="L156" i="34"/>
  <c r="P156" i="34"/>
  <c r="L157" i="34"/>
  <c r="L159" i="34"/>
  <c r="L160" i="34"/>
  <c r="P157" i="34"/>
  <c r="P158" i="34"/>
  <c r="P159" i="34"/>
  <c r="P160" i="34"/>
  <c r="P161" i="34"/>
  <c r="P162" i="34"/>
  <c r="P163" i="34"/>
  <c r="P164" i="34"/>
  <c r="P165" i="34"/>
  <c r="L158" i="34"/>
  <c r="L161" i="34"/>
  <c r="L162" i="34"/>
  <c r="L163" i="34"/>
  <c r="L164" i="34"/>
  <c r="L165" i="34"/>
  <c r="I65" i="34"/>
  <c r="I66" i="34" s="1"/>
  <c r="N74" i="34"/>
  <c r="M74" i="34" s="1"/>
  <c r="N76" i="34"/>
  <c r="M76" i="34" s="1"/>
  <c r="N78" i="34"/>
  <c r="M78" i="34" s="1"/>
  <c r="N80" i="34"/>
  <c r="M80" i="34" s="1"/>
  <c r="N82" i="34"/>
  <c r="M82" i="34" s="1"/>
  <c r="H64" i="34"/>
  <c r="P64" i="34"/>
  <c r="H65" i="34"/>
  <c r="H66" i="34" s="1"/>
  <c r="I94" i="34"/>
  <c r="I95" i="34" s="1"/>
  <c r="I100" i="34"/>
  <c r="I101" i="34" s="1"/>
  <c r="I27" i="34"/>
  <c r="I58" i="34"/>
  <c r="N9" i="34"/>
  <c r="M9" i="34" s="1"/>
  <c r="H28" i="34"/>
  <c r="H29" i="34" s="1"/>
  <c r="P15" i="34"/>
  <c r="H59" i="34"/>
  <c r="H60" i="34" s="1"/>
  <c r="I99" i="34"/>
  <c r="N21" i="34"/>
  <c r="M21" i="34" s="1"/>
  <c r="L20" i="34"/>
  <c r="N14" i="34"/>
  <c r="M14" i="34" s="1"/>
  <c r="L10" i="34"/>
  <c r="L9" i="34"/>
  <c r="P22" i="34"/>
  <c r="H58" i="34"/>
  <c r="N84" i="34"/>
  <c r="M84" i="34" s="1"/>
  <c r="N86" i="34"/>
  <c r="M86" i="34" s="1"/>
  <c r="I93" i="34"/>
  <c r="H99" i="34"/>
  <c r="H100" i="34"/>
  <c r="H101" i="34" s="1"/>
  <c r="H27" i="34"/>
  <c r="P11" i="34"/>
  <c r="L22" i="34"/>
  <c r="L21" i="34"/>
  <c r="N20" i="34"/>
  <c r="M20" i="34" s="1"/>
  <c r="N17" i="34"/>
  <c r="M17" i="34" s="1"/>
  <c r="L16" i="34"/>
  <c r="N10" i="34"/>
  <c r="K10" i="34" s="1"/>
  <c r="P58" i="34"/>
  <c r="P65" i="34"/>
  <c r="P66" i="34" s="1"/>
  <c r="I64" i="34"/>
  <c r="H93" i="34"/>
  <c r="L108" i="34"/>
  <c r="P108" i="34"/>
  <c r="N108" i="34"/>
  <c r="N75" i="34"/>
  <c r="M75" i="34" s="1"/>
  <c r="N77" i="34"/>
  <c r="M77" i="34" s="1"/>
  <c r="N79" i="34"/>
  <c r="M79" i="34" s="1"/>
  <c r="N81" i="34"/>
  <c r="J81" i="34" s="1"/>
  <c r="N83" i="34"/>
  <c r="M83" i="34" s="1"/>
  <c r="N85" i="34"/>
  <c r="M85" i="34" s="1"/>
  <c r="N87" i="34"/>
  <c r="M87" i="34" s="1"/>
  <c r="L73" i="34"/>
  <c r="L75" i="34"/>
  <c r="L77" i="34"/>
  <c r="L79" i="34"/>
  <c r="L82" i="34"/>
  <c r="L85" i="34"/>
  <c r="P73" i="34"/>
  <c r="P74" i="34"/>
  <c r="P75" i="34"/>
  <c r="P76" i="34"/>
  <c r="P77" i="34"/>
  <c r="P78" i="34"/>
  <c r="P79" i="34"/>
  <c r="P80" i="34"/>
  <c r="P81" i="34"/>
  <c r="P82" i="34"/>
  <c r="P83" i="34"/>
  <c r="P84" i="34"/>
  <c r="P85" i="34"/>
  <c r="P86" i="34"/>
  <c r="P87" i="34"/>
  <c r="L74" i="34"/>
  <c r="L76" i="34"/>
  <c r="L78" i="34"/>
  <c r="L80" i="34"/>
  <c r="L81" i="34"/>
  <c r="L83" i="34"/>
  <c r="L84" i="34"/>
  <c r="L86" i="34"/>
  <c r="L87" i="34"/>
  <c r="N73" i="34"/>
  <c r="P59" i="34"/>
  <c r="P60" i="34" s="1"/>
  <c r="N39" i="34"/>
  <c r="J39" i="34" s="1"/>
  <c r="N40" i="34"/>
  <c r="N41" i="34"/>
  <c r="K41" i="34" s="1"/>
  <c r="N42" i="34"/>
  <c r="K42" i="34" s="1"/>
  <c r="N43" i="34"/>
  <c r="K43" i="34" s="1"/>
  <c r="N44" i="34"/>
  <c r="N45" i="34"/>
  <c r="K45" i="34" s="1"/>
  <c r="N46" i="34"/>
  <c r="N47" i="34"/>
  <c r="K47" i="34" s="1"/>
  <c r="N48" i="34"/>
  <c r="N49" i="34"/>
  <c r="K49" i="34" s="1"/>
  <c r="N50" i="34"/>
  <c r="K50" i="34" s="1"/>
  <c r="N51" i="34"/>
  <c r="K51" i="34" s="1"/>
  <c r="N52" i="34"/>
  <c r="N53" i="34"/>
  <c r="K53" i="34" s="1"/>
  <c r="N38" i="34"/>
  <c r="L38" i="34"/>
  <c r="L39" i="34"/>
  <c r="L40" i="34"/>
  <c r="L41" i="34"/>
  <c r="L42" i="34"/>
  <c r="L43" i="34"/>
  <c r="L44" i="34"/>
  <c r="L45" i="34"/>
  <c r="L46" i="34"/>
  <c r="L47" i="34"/>
  <c r="L48" i="34"/>
  <c r="L49" i="34"/>
  <c r="L50" i="34"/>
  <c r="L51" i="34"/>
  <c r="L52" i="34"/>
  <c r="L53" i="34"/>
  <c r="N23" i="34"/>
  <c r="M23" i="34" s="1"/>
  <c r="N19" i="34"/>
  <c r="M19" i="34" s="1"/>
  <c r="N15" i="34"/>
  <c r="N11" i="34"/>
  <c r="J11" i="34" s="1"/>
  <c r="N12" i="34"/>
  <c r="M12" i="34" s="1"/>
  <c r="N8" i="34"/>
  <c r="M8" i="34" s="1"/>
  <c r="N7" i="34"/>
  <c r="M7" i="34" s="1"/>
  <c r="L7" i="34"/>
  <c r="Z64" i="32"/>
  <c r="AA63" i="32"/>
  <c r="Z63" i="32"/>
  <c r="AD63" i="32" s="1"/>
  <c r="AA62" i="32"/>
  <c r="Z62" i="32"/>
  <c r="AD62" i="32" s="1"/>
  <c r="AA61" i="32"/>
  <c r="Z61" i="32"/>
  <c r="AH61" i="32" s="1"/>
  <c r="AA60" i="32"/>
  <c r="Z60" i="32"/>
  <c r="AD60" i="32" s="1"/>
  <c r="AA59" i="32"/>
  <c r="Z59" i="32"/>
  <c r="AD59" i="32" s="1"/>
  <c r="AA58" i="32"/>
  <c r="Z58" i="32"/>
  <c r="AD58" i="32" s="1"/>
  <c r="AA57" i="32"/>
  <c r="Z57" i="32"/>
  <c r="AD57" i="32" s="1"/>
  <c r="AA56" i="32"/>
  <c r="Z56" i="32"/>
  <c r="AA55" i="32"/>
  <c r="Z55" i="32"/>
  <c r="AH55" i="32" s="1"/>
  <c r="AA54" i="32"/>
  <c r="Z54" i="32"/>
  <c r="AH54" i="32" s="1"/>
  <c r="AA53" i="32"/>
  <c r="Z53" i="32"/>
  <c r="AH53" i="32" s="1"/>
  <c r="AA52" i="32"/>
  <c r="Z52" i="32"/>
  <c r="AH52" i="32" s="1"/>
  <c r="AA51" i="32"/>
  <c r="Z51" i="32"/>
  <c r="AH51" i="32" s="1"/>
  <c r="AA50" i="32"/>
  <c r="Z50" i="32"/>
  <c r="AH50" i="32" s="1"/>
  <c r="AA49" i="32"/>
  <c r="Z49" i="32"/>
  <c r="AD49" i="32" s="1"/>
  <c r="AA48" i="32"/>
  <c r="Z48" i="32"/>
  <c r="AD48" i="32" s="1"/>
  <c r="AA47" i="32"/>
  <c r="Z47" i="32"/>
  <c r="AD47" i="32" s="1"/>
  <c r="H45" i="32"/>
  <c r="AA46" i="32"/>
  <c r="Z46" i="32"/>
  <c r="AD46" i="32" s="1"/>
  <c r="I44" i="32"/>
  <c r="H44" i="32"/>
  <c r="L44" i="32" s="1"/>
  <c r="AA45" i="32"/>
  <c r="Z45" i="32"/>
  <c r="AD45" i="32" s="1"/>
  <c r="I43" i="32"/>
  <c r="H43" i="32"/>
  <c r="L43" i="32" s="1"/>
  <c r="AA44" i="32"/>
  <c r="Z44" i="32"/>
  <c r="AD44" i="32" s="1"/>
  <c r="I42" i="32"/>
  <c r="H42" i="32"/>
  <c r="L42" i="32" s="1"/>
  <c r="AA43" i="32"/>
  <c r="Z43" i="32"/>
  <c r="AD43" i="32" s="1"/>
  <c r="I41" i="32"/>
  <c r="H41" i="32"/>
  <c r="L41" i="32" s="1"/>
  <c r="AA42" i="32"/>
  <c r="Z42" i="32"/>
  <c r="AD42" i="32" s="1"/>
  <c r="I40" i="32"/>
  <c r="H40" i="32"/>
  <c r="L40" i="32" s="1"/>
  <c r="AA41" i="32"/>
  <c r="Z41" i="32"/>
  <c r="I39" i="32"/>
  <c r="H39" i="32"/>
  <c r="I38" i="32"/>
  <c r="H38" i="32"/>
  <c r="Z24" i="32"/>
  <c r="AA23" i="32"/>
  <c r="Z23" i="32"/>
  <c r="AA22" i="32"/>
  <c r="Z22" i="32"/>
  <c r="AA21" i="32"/>
  <c r="Z21" i="32"/>
  <c r="AH21" i="32" s="1"/>
  <c r="AA20" i="32"/>
  <c r="Z20" i="32"/>
  <c r="AD20" i="32" s="1"/>
  <c r="AA19" i="32"/>
  <c r="Z19" i="32"/>
  <c r="AD19" i="32" s="1"/>
  <c r="AA18" i="32"/>
  <c r="Z18" i="32"/>
  <c r="AA17" i="32"/>
  <c r="Z17" i="32"/>
  <c r="AD17" i="32" s="1"/>
  <c r="AA16" i="32"/>
  <c r="Z16" i="32"/>
  <c r="AD16" i="32" s="1"/>
  <c r="AA15" i="32"/>
  <c r="Z15" i="32"/>
  <c r="AD15" i="32" s="1"/>
  <c r="AA14" i="32"/>
  <c r="Z14" i="32"/>
  <c r="AD14" i="32" s="1"/>
  <c r="H14" i="32"/>
  <c r="AA13" i="32"/>
  <c r="Z13" i="32"/>
  <c r="AD13" i="32" s="1"/>
  <c r="I13" i="32"/>
  <c r="H13" i="32"/>
  <c r="L13" i="32" s="1"/>
  <c r="AA12" i="32"/>
  <c r="Z12" i="32"/>
  <c r="AD12" i="32" s="1"/>
  <c r="I12" i="32"/>
  <c r="H12" i="32"/>
  <c r="L12" i="32" s="1"/>
  <c r="AA11" i="32"/>
  <c r="Z11" i="32"/>
  <c r="AD11" i="32" s="1"/>
  <c r="I11" i="32"/>
  <c r="H11" i="32"/>
  <c r="L11" i="32" s="1"/>
  <c r="AA10" i="32"/>
  <c r="Z10" i="32"/>
  <c r="AD10" i="32" s="1"/>
  <c r="I10" i="32"/>
  <c r="H10" i="32"/>
  <c r="L10" i="32" s="1"/>
  <c r="AA9" i="32"/>
  <c r="Z9" i="32"/>
  <c r="AD9" i="32" s="1"/>
  <c r="I9" i="32"/>
  <c r="H9" i="32"/>
  <c r="L9" i="32" s="1"/>
  <c r="AA8" i="32"/>
  <c r="Z8" i="32"/>
  <c r="AD8" i="32" s="1"/>
  <c r="I8" i="32"/>
  <c r="H8" i="32"/>
  <c r="AA7" i="32"/>
  <c r="Z7" i="32"/>
  <c r="I7" i="32"/>
  <c r="H7" i="32"/>
  <c r="AD13" i="34" l="1"/>
  <c r="AD178" i="34"/>
  <c r="AD233" i="34"/>
  <c r="AF257" i="34"/>
  <c r="AC256" i="34"/>
  <c r="AD273" i="34"/>
  <c r="AC9" i="34"/>
  <c r="AD250" i="34"/>
  <c r="AC291" i="34"/>
  <c r="AC223" i="34"/>
  <c r="AC231" i="34"/>
  <c r="AD285" i="34"/>
  <c r="AF284" i="34"/>
  <c r="AF264" i="34"/>
  <c r="AD258" i="34"/>
  <c r="AC279" i="34"/>
  <c r="AC268" i="34"/>
  <c r="AC287" i="34"/>
  <c r="AD281" i="34"/>
  <c r="AC248" i="34"/>
  <c r="AF224" i="34"/>
  <c r="AC170" i="39"/>
  <c r="AC171" i="39" s="1"/>
  <c r="AD277" i="34"/>
  <c r="AD248" i="34"/>
  <c r="AC252" i="34"/>
  <c r="AD279" i="34"/>
  <c r="AF220" i="34"/>
  <c r="AF268" i="34"/>
  <c r="K109" i="36"/>
  <c r="K110" i="36"/>
  <c r="K111" i="36" s="1"/>
  <c r="J109" i="36"/>
  <c r="J110" i="36"/>
  <c r="J111" i="36" s="1"/>
  <c r="K135" i="36"/>
  <c r="K136" i="36"/>
  <c r="K137" i="36" s="1"/>
  <c r="K129" i="36"/>
  <c r="K130" i="36"/>
  <c r="K131" i="36" s="1"/>
  <c r="AF169" i="39"/>
  <c r="J129" i="36"/>
  <c r="J130" i="36"/>
  <c r="J131" i="36" s="1"/>
  <c r="AF44" i="34"/>
  <c r="AC266" i="34"/>
  <c r="M109" i="36"/>
  <c r="M110" i="36"/>
  <c r="M111" i="36" s="1"/>
  <c r="M135" i="36"/>
  <c r="M136" i="36"/>
  <c r="M137" i="36" s="1"/>
  <c r="M129" i="36"/>
  <c r="M130" i="36"/>
  <c r="M131" i="36" s="1"/>
  <c r="K115" i="36"/>
  <c r="K116" i="36"/>
  <c r="K117" i="36" s="1"/>
  <c r="AD223" i="34"/>
  <c r="AD262" i="34"/>
  <c r="AC281" i="34"/>
  <c r="AC289" i="34"/>
  <c r="AF221" i="34"/>
  <c r="AC238" i="34"/>
  <c r="J115" i="36"/>
  <c r="J116" i="36"/>
  <c r="J117" i="36" s="1"/>
  <c r="M115" i="36"/>
  <c r="M116" i="36"/>
  <c r="M117" i="36" s="1"/>
  <c r="AF266" i="34"/>
  <c r="AC260" i="34"/>
  <c r="AC229" i="34"/>
  <c r="K124" i="34"/>
  <c r="AC15" i="34"/>
  <c r="AD44" i="34"/>
  <c r="AD227" i="34"/>
  <c r="AD254" i="34"/>
  <c r="AC282" i="34"/>
  <c r="AC264" i="34"/>
  <c r="AD290" i="34"/>
  <c r="AC255" i="34"/>
  <c r="AC246" i="34"/>
  <c r="AC227" i="34"/>
  <c r="AC218" i="34"/>
  <c r="AC254" i="34"/>
  <c r="AF262" i="34"/>
  <c r="AD274" i="34"/>
  <c r="AF27" i="34"/>
  <c r="AC235" i="34"/>
  <c r="J135" i="36"/>
  <c r="J136" i="36"/>
  <c r="J137" i="36" s="1"/>
  <c r="M103" i="37"/>
  <c r="K103" i="37"/>
  <c r="J103" i="37"/>
  <c r="AD44" i="39"/>
  <c r="AF44" i="39"/>
  <c r="AC44" i="39"/>
  <c r="AD170" i="39"/>
  <c r="AD171" i="39" s="1"/>
  <c r="AA171" i="39"/>
  <c r="AC169" i="39"/>
  <c r="M65" i="38"/>
  <c r="J65" i="38"/>
  <c r="K65" i="38"/>
  <c r="AF278" i="34"/>
  <c r="AF276" i="34"/>
  <c r="L39" i="32"/>
  <c r="H55" i="32"/>
  <c r="H56" i="32" s="1"/>
  <c r="H54" i="32"/>
  <c r="I54" i="32"/>
  <c r="I55" i="32"/>
  <c r="I56" i="32" s="1"/>
  <c r="H61" i="32"/>
  <c r="H62" i="32" s="1"/>
  <c r="H60" i="32"/>
  <c r="I60" i="32"/>
  <c r="I61" i="32"/>
  <c r="I62" i="32" s="1"/>
  <c r="H32" i="32"/>
  <c r="H33" i="32" s="1"/>
  <c r="H31" i="32"/>
  <c r="L8" i="32"/>
  <c r="H26" i="32"/>
  <c r="H27" i="32" s="1"/>
  <c r="H25" i="32"/>
  <c r="I31" i="32"/>
  <c r="I32" i="32"/>
  <c r="I33" i="32" s="1"/>
  <c r="I25" i="32"/>
  <c r="I26" i="32"/>
  <c r="I27" i="32" s="1"/>
  <c r="AA29" i="32"/>
  <c r="AA30" i="32"/>
  <c r="AA31" i="32" s="1"/>
  <c r="AA69" i="32"/>
  <c r="AA70" i="32"/>
  <c r="AA71" i="32" s="1"/>
  <c r="Z30" i="32"/>
  <c r="Z31" i="32" s="1"/>
  <c r="Z29" i="32"/>
  <c r="AH41" i="32"/>
  <c r="Z70" i="32"/>
  <c r="Z71" i="32" s="1"/>
  <c r="Z69" i="32"/>
  <c r="M122" i="34"/>
  <c r="AF291" i="34"/>
  <c r="AD18" i="32"/>
  <c r="AC43" i="34"/>
  <c r="AC142" i="34"/>
  <c r="AC17" i="34"/>
  <c r="AC48" i="34"/>
  <c r="AD235" i="34"/>
  <c r="AF246" i="34"/>
  <c r="AC237" i="34"/>
  <c r="M22" i="34"/>
  <c r="K159" i="34"/>
  <c r="K116" i="34"/>
  <c r="AC13" i="34"/>
  <c r="AC19" i="34"/>
  <c r="AD17" i="34"/>
  <c r="AC39" i="34"/>
  <c r="AD144" i="34"/>
  <c r="AD239" i="34"/>
  <c r="AD256" i="34"/>
  <c r="AC273" i="34"/>
  <c r="AC271" i="34"/>
  <c r="AC284" i="34"/>
  <c r="AD286" i="34"/>
  <c r="AF238" i="34"/>
  <c r="AC249" i="34"/>
  <c r="AC215" i="34"/>
  <c r="AD265" i="34"/>
  <c r="AF270" i="34"/>
  <c r="AF258" i="34"/>
  <c r="AF274" i="34"/>
  <c r="AI311" i="34"/>
  <c r="AI312" i="34" s="1"/>
  <c r="M18" i="34"/>
  <c r="AD40" i="34"/>
  <c r="AC40" i="34"/>
  <c r="AD42" i="34"/>
  <c r="AD215" i="34"/>
  <c r="AD231" i="34"/>
  <c r="AD243" i="34"/>
  <c r="AD218" i="34"/>
  <c r="AC242" i="34"/>
  <c r="AC243" i="34"/>
  <c r="AD269" i="34"/>
  <c r="AC11" i="34"/>
  <c r="AC27" i="34"/>
  <c r="AD25" i="34"/>
  <c r="AD219" i="34"/>
  <c r="AD241" i="34"/>
  <c r="AC276" i="34"/>
  <c r="AD216" i="34"/>
  <c r="AC263" i="34"/>
  <c r="AC280" i="34"/>
  <c r="AD242" i="34"/>
  <c r="AC214" i="34"/>
  <c r="AF249" i="34"/>
  <c r="AD267" i="34"/>
  <c r="AD275" i="34"/>
  <c r="AD283" i="34"/>
  <c r="AD278" i="34"/>
  <c r="AC21" i="34"/>
  <c r="AD21" i="34"/>
  <c r="AD247" i="34"/>
  <c r="AD214" i="34"/>
  <c r="AC267" i="34"/>
  <c r="AC283" i="34"/>
  <c r="AD230" i="34"/>
  <c r="AF230" i="34"/>
  <c r="AC247" i="34"/>
  <c r="AD11" i="34"/>
  <c r="AF216" i="34"/>
  <c r="AD280" i="34"/>
  <c r="J114" i="34"/>
  <c r="K114" i="34"/>
  <c r="AC23" i="34"/>
  <c r="AC275" i="34"/>
  <c r="AC285" i="34"/>
  <c r="AD263" i="34"/>
  <c r="AD289" i="34"/>
  <c r="AC219" i="34"/>
  <c r="K120" i="34"/>
  <c r="AI299" i="34"/>
  <c r="AI300" i="34" s="1"/>
  <c r="J16" i="34"/>
  <c r="J113" i="34"/>
  <c r="K110" i="34"/>
  <c r="K121" i="34"/>
  <c r="AD237" i="34"/>
  <c r="AD245" i="34"/>
  <c r="AD222" i="34"/>
  <c r="AC269" i="34"/>
  <c r="AF286" i="34"/>
  <c r="AF19" i="34"/>
  <c r="AF272" i="34"/>
  <c r="K20" i="34"/>
  <c r="J165" i="34"/>
  <c r="AC25" i="34"/>
  <c r="K166" i="34"/>
  <c r="AF54" i="34"/>
  <c r="AC46" i="34"/>
  <c r="AD49" i="34"/>
  <c r="AD226" i="34"/>
  <c r="AC270" i="34"/>
  <c r="AC272" i="34"/>
  <c r="AC293" i="34"/>
  <c r="AF255" i="34"/>
  <c r="K16" i="34"/>
  <c r="J166" i="34"/>
  <c r="AC49" i="34"/>
  <c r="AD54" i="34"/>
  <c r="AD46" i="34"/>
  <c r="AD252" i="34"/>
  <c r="AD293" i="34"/>
  <c r="AC226" i="34"/>
  <c r="AC245" i="34"/>
  <c r="K13" i="34"/>
  <c r="K127" i="34"/>
  <c r="AF51" i="34"/>
  <c r="AC140" i="34"/>
  <c r="AH49" i="32"/>
  <c r="J109" i="34"/>
  <c r="AI298" i="34"/>
  <c r="J159" i="34"/>
  <c r="AC136" i="34"/>
  <c r="J82" i="34"/>
  <c r="P138" i="34"/>
  <c r="P139" i="34" s="1"/>
  <c r="J14" i="34"/>
  <c r="K82" i="34"/>
  <c r="K74" i="34"/>
  <c r="J116" i="34"/>
  <c r="J127" i="34"/>
  <c r="AF47" i="34"/>
  <c r="AD84" i="34"/>
  <c r="AC141" i="34"/>
  <c r="K22" i="34"/>
  <c r="J117" i="34"/>
  <c r="M123" i="34"/>
  <c r="J120" i="34"/>
  <c r="J161" i="34"/>
  <c r="K111" i="34"/>
  <c r="K118" i="34"/>
  <c r="K123" i="34"/>
  <c r="AD53" i="34"/>
  <c r="AC182" i="34"/>
  <c r="AE198" i="34"/>
  <c r="AE199" i="34" s="1"/>
  <c r="AI310" i="34"/>
  <c r="J118" i="34"/>
  <c r="J121" i="34"/>
  <c r="K165" i="34"/>
  <c r="K113" i="34"/>
  <c r="K119" i="34"/>
  <c r="AC53" i="34"/>
  <c r="AE117" i="34"/>
  <c r="AE118" i="34" s="1"/>
  <c r="AC83" i="34"/>
  <c r="AC92" i="34"/>
  <c r="AC93" i="34"/>
  <c r="AC129" i="34"/>
  <c r="AD133" i="34"/>
  <c r="J119" i="34"/>
  <c r="J110" i="34"/>
  <c r="J157" i="34"/>
  <c r="AC84" i="34"/>
  <c r="AD141" i="34"/>
  <c r="AD129" i="34"/>
  <c r="AI153" i="34"/>
  <c r="AE310" i="34"/>
  <c r="AD15" i="34"/>
  <c r="AC222" i="34"/>
  <c r="AE311" i="34"/>
  <c r="AE312" i="34" s="1"/>
  <c r="J20" i="34"/>
  <c r="AD58" i="34"/>
  <c r="AD59" i="34"/>
  <c r="AC90" i="34"/>
  <c r="AC81" i="34"/>
  <c r="AG111" i="34"/>
  <c r="AG112" i="34" s="1"/>
  <c r="AG110" i="34"/>
  <c r="AI197" i="34"/>
  <c r="AI198" i="34"/>
  <c r="AI199" i="34" s="1"/>
  <c r="AG298" i="34"/>
  <c r="AG299" i="34"/>
  <c r="AG300" i="34" s="1"/>
  <c r="K180" i="36"/>
  <c r="K181" i="36"/>
  <c r="K182" i="36" s="1"/>
  <c r="AD26" i="36"/>
  <c r="AD27" i="36"/>
  <c r="AD28" i="36" s="1"/>
  <c r="AC26" i="36"/>
  <c r="AC27" i="36"/>
  <c r="AC28" i="36" s="1"/>
  <c r="AF26" i="36"/>
  <c r="AF27" i="36"/>
  <c r="AF28" i="36" s="1"/>
  <c r="AF292" i="34"/>
  <c r="AD292" i="34"/>
  <c r="AE160" i="34"/>
  <c r="AE161" i="34" s="1"/>
  <c r="AE197" i="34"/>
  <c r="AF94" i="34"/>
  <c r="AG117" i="34"/>
  <c r="AG118" i="34" s="1"/>
  <c r="AG116" i="34"/>
  <c r="AC168" i="34"/>
  <c r="AG197" i="34"/>
  <c r="AG198" i="34"/>
  <c r="AG199" i="34" s="1"/>
  <c r="AF179" i="34"/>
  <c r="AG203" i="34"/>
  <c r="AG204" i="34"/>
  <c r="AG205" i="34" s="1"/>
  <c r="AE298" i="34"/>
  <c r="AE299" i="34"/>
  <c r="AE300" i="34" s="1"/>
  <c r="J180" i="36"/>
  <c r="J181" i="36"/>
  <c r="J182" i="36" s="1"/>
  <c r="K175" i="36"/>
  <c r="K176" i="36" s="1"/>
  <c r="K174" i="36"/>
  <c r="AD62" i="36"/>
  <c r="AD63" i="36"/>
  <c r="AD64" i="36" s="1"/>
  <c r="AF62" i="36"/>
  <c r="AF63" i="36"/>
  <c r="AF64" i="36" s="1"/>
  <c r="AG304" i="34"/>
  <c r="AG305" i="34"/>
  <c r="AG306" i="34" s="1"/>
  <c r="AF233" i="34"/>
  <c r="AF288" i="34"/>
  <c r="AD288" i="34"/>
  <c r="AE116" i="34"/>
  <c r="AC288" i="34"/>
  <c r="P137" i="34"/>
  <c r="AC59" i="34"/>
  <c r="AD51" i="34"/>
  <c r="AD41" i="34"/>
  <c r="AC138" i="34"/>
  <c r="AE154" i="34"/>
  <c r="AE155" i="34" s="1"/>
  <c r="AE153" i="34"/>
  <c r="AI203" i="34"/>
  <c r="AI204" i="34"/>
  <c r="AI205" i="34" s="1"/>
  <c r="AG310" i="34"/>
  <c r="AG311" i="34"/>
  <c r="AG312" i="34" s="1"/>
  <c r="M181" i="36"/>
  <c r="M182" i="36" s="1"/>
  <c r="M180" i="36"/>
  <c r="M174" i="36"/>
  <c r="M175" i="36"/>
  <c r="M176" i="36" s="1"/>
  <c r="AC62" i="36"/>
  <c r="AC63" i="36"/>
  <c r="AC64" i="36" s="1"/>
  <c r="J174" i="36"/>
  <c r="J175" i="36"/>
  <c r="J176" i="36" s="1"/>
  <c r="AE304" i="34"/>
  <c r="AE305" i="34"/>
  <c r="AE306" i="34" s="1"/>
  <c r="AC292" i="34"/>
  <c r="M10" i="34"/>
  <c r="AF60" i="34"/>
  <c r="AD56" i="34"/>
  <c r="AI73" i="34"/>
  <c r="AD43" i="34"/>
  <c r="AE111" i="34"/>
  <c r="AE112" i="34" s="1"/>
  <c r="AE110" i="34"/>
  <c r="AD134" i="34"/>
  <c r="AC137" i="34"/>
  <c r="AF136" i="34"/>
  <c r="AG160" i="34"/>
  <c r="AG161" i="34" s="1"/>
  <c r="AG159" i="34"/>
  <c r="AF124" i="34"/>
  <c r="AG154" i="34"/>
  <c r="AG155" i="34" s="1"/>
  <c r="AG153" i="34"/>
  <c r="AE203" i="34"/>
  <c r="AE204" i="34"/>
  <c r="AE205" i="34" s="1"/>
  <c r="AD23" i="34"/>
  <c r="K103" i="36"/>
  <c r="K104" i="36"/>
  <c r="K105" i="36" s="1"/>
  <c r="J124" i="36"/>
  <c r="J125" i="36" s="1"/>
  <c r="J123" i="36"/>
  <c r="K123" i="36"/>
  <c r="K124" i="36"/>
  <c r="K125" i="36" s="1"/>
  <c r="M123" i="36"/>
  <c r="M124" i="36"/>
  <c r="M125" i="36" s="1"/>
  <c r="M103" i="36"/>
  <c r="M104" i="36"/>
  <c r="M105" i="36" s="1"/>
  <c r="J103" i="36"/>
  <c r="J104" i="36"/>
  <c r="J105" i="36" s="1"/>
  <c r="M63" i="36"/>
  <c r="M64" i="36" s="1"/>
  <c r="M62" i="36"/>
  <c r="K68" i="36"/>
  <c r="K69" i="36"/>
  <c r="K70" i="36" s="1"/>
  <c r="J63" i="36"/>
  <c r="J64" i="36" s="1"/>
  <c r="J62" i="36"/>
  <c r="J68" i="36"/>
  <c r="J69" i="36"/>
  <c r="J70" i="36" s="1"/>
  <c r="M68" i="36"/>
  <c r="M69" i="36"/>
  <c r="M70" i="36" s="1"/>
  <c r="K62" i="36"/>
  <c r="K63" i="36"/>
  <c r="K64" i="36" s="1"/>
  <c r="J22" i="36"/>
  <c r="J23" i="36" s="1"/>
  <c r="J21" i="36"/>
  <c r="M22" i="36"/>
  <c r="M23" i="36" s="1"/>
  <c r="M21" i="36"/>
  <c r="K22" i="36"/>
  <c r="K23" i="36" s="1"/>
  <c r="K21" i="36"/>
  <c r="AC259" i="34"/>
  <c r="AF259" i="34"/>
  <c r="AC225" i="34"/>
  <c r="AF225" i="34"/>
  <c r="AF228" i="34"/>
  <c r="AC228" i="34"/>
  <c r="AF244" i="34"/>
  <c r="AC244" i="34"/>
  <c r="AF232" i="34"/>
  <c r="AC232" i="34"/>
  <c r="AC240" i="34"/>
  <c r="AF240" i="34"/>
  <c r="AD240" i="34"/>
  <c r="AF253" i="34"/>
  <c r="AC253" i="34"/>
  <c r="AC217" i="34"/>
  <c r="AF217" i="34"/>
  <c r="AC236" i="34"/>
  <c r="AF236" i="34"/>
  <c r="AD225" i="34"/>
  <c r="AC251" i="34"/>
  <c r="AF251" i="34"/>
  <c r="AF261" i="34"/>
  <c r="AC261" i="34"/>
  <c r="AD217" i="34"/>
  <c r="AD259" i="34"/>
  <c r="AD228" i="34"/>
  <c r="AD244" i="34"/>
  <c r="AD261" i="34"/>
  <c r="AD213" i="34"/>
  <c r="AF213" i="34"/>
  <c r="AC213" i="34"/>
  <c r="AC187" i="34"/>
  <c r="AC186" i="34"/>
  <c r="AC183" i="34"/>
  <c r="AC177" i="34"/>
  <c r="AD186" i="34"/>
  <c r="AD177" i="34"/>
  <c r="AC185" i="34"/>
  <c r="AC179" i="34"/>
  <c r="AC181" i="34"/>
  <c r="AC188" i="34"/>
  <c r="AC184" i="34"/>
  <c r="AD188" i="34"/>
  <c r="AD179" i="34"/>
  <c r="AI154" i="34"/>
  <c r="AI155" i="34" s="1"/>
  <c r="AI159" i="34"/>
  <c r="AI160" i="34"/>
  <c r="AI161" i="34" s="1"/>
  <c r="AD185" i="34"/>
  <c r="AD187" i="34"/>
  <c r="AD181" i="34"/>
  <c r="AD183" i="34"/>
  <c r="AD182" i="34"/>
  <c r="AD184" i="34"/>
  <c r="AF169" i="34"/>
  <c r="AD169" i="34"/>
  <c r="AF171" i="34"/>
  <c r="AD171" i="34"/>
  <c r="AF174" i="34"/>
  <c r="AD174" i="34"/>
  <c r="AF180" i="34"/>
  <c r="AD180" i="34"/>
  <c r="AF173" i="34"/>
  <c r="AD173" i="34"/>
  <c r="AF175" i="34"/>
  <c r="AD175" i="34"/>
  <c r="AF176" i="34"/>
  <c r="AD176" i="34"/>
  <c r="AF172" i="34"/>
  <c r="AD172" i="34"/>
  <c r="AF168" i="34"/>
  <c r="AD168" i="34"/>
  <c r="AC174" i="34"/>
  <c r="AF170" i="34"/>
  <c r="AD170" i="34"/>
  <c r="AF143" i="34"/>
  <c r="AC143" i="34"/>
  <c r="AD128" i="34"/>
  <c r="AC128" i="34"/>
  <c r="AD140" i="34"/>
  <c r="AD124" i="34"/>
  <c r="AD132" i="34"/>
  <c r="AC124" i="34"/>
  <c r="AC145" i="34"/>
  <c r="AD145" i="34"/>
  <c r="AD135" i="34"/>
  <c r="AC132" i="34"/>
  <c r="AD142" i="34"/>
  <c r="AD139" i="34"/>
  <c r="AD127" i="34"/>
  <c r="AC135" i="34"/>
  <c r="AC127" i="34"/>
  <c r="AC134" i="34"/>
  <c r="AD138" i="34"/>
  <c r="AD131" i="34"/>
  <c r="AD126" i="34"/>
  <c r="AC131" i="34"/>
  <c r="AC126" i="34"/>
  <c r="AD137" i="34"/>
  <c r="AD125" i="34"/>
  <c r="AC139" i="34"/>
  <c r="AC133" i="34"/>
  <c r="AD130" i="34"/>
  <c r="AC130" i="34"/>
  <c r="AC125" i="34"/>
  <c r="AI110" i="34"/>
  <c r="AI111" i="34"/>
  <c r="AI112" i="34" s="1"/>
  <c r="AI117" i="34"/>
  <c r="AI118" i="34" s="1"/>
  <c r="AI116" i="34"/>
  <c r="AC101" i="34"/>
  <c r="AD92" i="34"/>
  <c r="AD88" i="34"/>
  <c r="AC82" i="34"/>
  <c r="AC88" i="34"/>
  <c r="AC89" i="34"/>
  <c r="AD100" i="34"/>
  <c r="AD97" i="34"/>
  <c r="AD82" i="34"/>
  <c r="AD91" i="34"/>
  <c r="AD83" i="34"/>
  <c r="AD90" i="34"/>
  <c r="AC99" i="34"/>
  <c r="AC91" i="34"/>
  <c r="AD89" i="34"/>
  <c r="AD85" i="34"/>
  <c r="AC97" i="34"/>
  <c r="AC85" i="34"/>
  <c r="AD102" i="34"/>
  <c r="AD98" i="34"/>
  <c r="AD94" i="34"/>
  <c r="AD103" i="34"/>
  <c r="AD99" i="34"/>
  <c r="AD95" i="34"/>
  <c r="AC86" i="34"/>
  <c r="AC103" i="34"/>
  <c r="AD96" i="34"/>
  <c r="AC87" i="34"/>
  <c r="AD101" i="34"/>
  <c r="AF93" i="34"/>
  <c r="AD86" i="34"/>
  <c r="AF81" i="34"/>
  <c r="AD81" i="34"/>
  <c r="AC102" i="34"/>
  <c r="AC98" i="34"/>
  <c r="AC94" i="34"/>
  <c r="AD87" i="34"/>
  <c r="AC95" i="34"/>
  <c r="AC100" i="34"/>
  <c r="AC96" i="34"/>
  <c r="AI67" i="34"/>
  <c r="AI68" i="34"/>
  <c r="AI69" i="34" s="1"/>
  <c r="AI74" i="34"/>
  <c r="AI75" i="34" s="1"/>
  <c r="AC38" i="34"/>
  <c r="AG68" i="34"/>
  <c r="AG69" i="34" s="1"/>
  <c r="AG67" i="34"/>
  <c r="AF41" i="34"/>
  <c r="AC45" i="34"/>
  <c r="AC57" i="34"/>
  <c r="AD57" i="34"/>
  <c r="AD45" i="34"/>
  <c r="AE67" i="34"/>
  <c r="AE68" i="34"/>
  <c r="AE69" i="34" s="1"/>
  <c r="AC58" i="34"/>
  <c r="AG74" i="34"/>
  <c r="AG75" i="34" s="1"/>
  <c r="AG73" i="34"/>
  <c r="AD39" i="34"/>
  <c r="AD47" i="34"/>
  <c r="AF55" i="34"/>
  <c r="AE74" i="34"/>
  <c r="AE75" i="34" s="1"/>
  <c r="AE73" i="34"/>
  <c r="AC52" i="34"/>
  <c r="AD52" i="34"/>
  <c r="AD60" i="34"/>
  <c r="AD55" i="34"/>
  <c r="AC56" i="34"/>
  <c r="AC50" i="34"/>
  <c r="AD50" i="34"/>
  <c r="AF50" i="34"/>
  <c r="L176" i="34"/>
  <c r="L177" i="34"/>
  <c r="L178" i="34" s="1"/>
  <c r="AF12" i="34"/>
  <c r="AD12" i="34"/>
  <c r="AF20" i="34"/>
  <c r="AD20" i="34"/>
  <c r="AF28" i="34"/>
  <c r="AD28" i="34"/>
  <c r="AF22" i="34"/>
  <c r="AD22" i="34"/>
  <c r="L214" i="34"/>
  <c r="L215" i="34"/>
  <c r="L216" i="34" s="1"/>
  <c r="J10" i="34"/>
  <c r="J80" i="34"/>
  <c r="N170" i="34"/>
  <c r="N171" i="34"/>
  <c r="N172" i="34" s="1"/>
  <c r="P214" i="34"/>
  <c r="P215" i="34"/>
  <c r="P216" i="34" s="1"/>
  <c r="AG33" i="34"/>
  <c r="AG34" i="34" s="1"/>
  <c r="AG32" i="34"/>
  <c r="AC22" i="34"/>
  <c r="L138" i="34"/>
  <c r="L139" i="34" s="1"/>
  <c r="AF10" i="34"/>
  <c r="AD10" i="34"/>
  <c r="AF26" i="34"/>
  <c r="AD26" i="34"/>
  <c r="J13" i="34"/>
  <c r="K18" i="34"/>
  <c r="J78" i="34"/>
  <c r="P27" i="34"/>
  <c r="J115" i="34"/>
  <c r="M125" i="34"/>
  <c r="J111" i="34"/>
  <c r="K163" i="34"/>
  <c r="L137" i="34"/>
  <c r="K112" i="34"/>
  <c r="K117" i="34"/>
  <c r="K125" i="34"/>
  <c r="N138" i="34"/>
  <c r="N139" i="34" s="1"/>
  <c r="N215" i="34"/>
  <c r="N216" i="34" s="1"/>
  <c r="N214" i="34"/>
  <c r="AF8" i="34"/>
  <c r="AD8" i="34"/>
  <c r="AF16" i="34"/>
  <c r="AD16" i="34"/>
  <c r="AF24" i="34"/>
  <c r="AD24" i="34"/>
  <c r="L171" i="34"/>
  <c r="L172" i="34" s="1"/>
  <c r="L170" i="34"/>
  <c r="AF14" i="34"/>
  <c r="AD14" i="34"/>
  <c r="J17" i="34"/>
  <c r="K14" i="34"/>
  <c r="J84" i="34"/>
  <c r="K80" i="34"/>
  <c r="K9" i="34"/>
  <c r="K115" i="34"/>
  <c r="M126" i="34"/>
  <c r="J112" i="34"/>
  <c r="J124" i="34"/>
  <c r="J163" i="34"/>
  <c r="K161" i="34"/>
  <c r="K109" i="34"/>
  <c r="K122" i="34"/>
  <c r="K126" i="34"/>
  <c r="N137" i="34"/>
  <c r="AE33" i="34"/>
  <c r="AE34" i="34" s="1"/>
  <c r="AE32" i="34"/>
  <c r="AC8" i="34"/>
  <c r="AC12" i="34"/>
  <c r="AC16" i="34"/>
  <c r="AC20" i="34"/>
  <c r="AC24" i="34"/>
  <c r="AC28" i="34"/>
  <c r="M157" i="34"/>
  <c r="N177" i="34"/>
  <c r="N178" i="34" s="1"/>
  <c r="N176" i="34"/>
  <c r="AF18" i="34"/>
  <c r="AD18" i="34"/>
  <c r="AF38" i="34"/>
  <c r="AD38" i="34"/>
  <c r="AI33" i="34"/>
  <c r="AI34" i="34" s="1"/>
  <c r="AI32" i="34"/>
  <c r="AF7" i="34"/>
  <c r="AD7" i="34"/>
  <c r="L209" i="34"/>
  <c r="L210" i="34" s="1"/>
  <c r="M199" i="34"/>
  <c r="K199" i="34"/>
  <c r="M195" i="34"/>
  <c r="K195" i="34"/>
  <c r="M202" i="34"/>
  <c r="K202" i="34"/>
  <c r="M197" i="34"/>
  <c r="K197" i="34"/>
  <c r="K187" i="34"/>
  <c r="P209" i="34"/>
  <c r="P210" i="34" s="1"/>
  <c r="P208" i="34"/>
  <c r="M203" i="34"/>
  <c r="K203" i="34"/>
  <c r="M188" i="34"/>
  <c r="K188" i="34"/>
  <c r="L208" i="34"/>
  <c r="M201" i="34"/>
  <c r="K201" i="34"/>
  <c r="N208" i="34"/>
  <c r="M184" i="34"/>
  <c r="N209" i="34"/>
  <c r="N210" i="34" s="1"/>
  <c r="K184" i="34"/>
  <c r="M190" i="34"/>
  <c r="K190" i="34"/>
  <c r="M200" i="34"/>
  <c r="K200" i="34"/>
  <c r="M196" i="34"/>
  <c r="K196" i="34"/>
  <c r="M192" i="34"/>
  <c r="K192" i="34"/>
  <c r="J199" i="34"/>
  <c r="J195" i="34"/>
  <c r="M191" i="34"/>
  <c r="K191" i="34"/>
  <c r="M186" i="34"/>
  <c r="K186" i="34"/>
  <c r="J202" i="34"/>
  <c r="M198" i="34"/>
  <c r="K198" i="34"/>
  <c r="M194" i="34"/>
  <c r="K194" i="34"/>
  <c r="J197" i="34"/>
  <c r="M193" i="34"/>
  <c r="K193" i="34"/>
  <c r="J187" i="34"/>
  <c r="K189" i="34"/>
  <c r="J189" i="34"/>
  <c r="J185" i="34"/>
  <c r="K185" i="34"/>
  <c r="P170" i="34"/>
  <c r="P171" i="34"/>
  <c r="P172" i="34" s="1"/>
  <c r="P177" i="34"/>
  <c r="P178" i="34" s="1"/>
  <c r="P176" i="34"/>
  <c r="J162" i="34"/>
  <c r="K162" i="34"/>
  <c r="K147" i="34"/>
  <c r="J152" i="34"/>
  <c r="L132" i="34"/>
  <c r="L133" i="34" s="1"/>
  <c r="L131" i="34"/>
  <c r="K78" i="34"/>
  <c r="J79" i="34"/>
  <c r="K108" i="34"/>
  <c r="N132" i="34"/>
  <c r="N133" i="34" s="1"/>
  <c r="N131" i="34"/>
  <c r="K155" i="34"/>
  <c r="K151" i="34"/>
  <c r="J147" i="34"/>
  <c r="J151" i="34"/>
  <c r="J164" i="34"/>
  <c r="J158" i="34"/>
  <c r="J155" i="34"/>
  <c r="J148" i="34"/>
  <c r="K164" i="34"/>
  <c r="K154" i="34"/>
  <c r="J160" i="34"/>
  <c r="K156" i="34"/>
  <c r="K160" i="34"/>
  <c r="J153" i="34"/>
  <c r="J154" i="34"/>
  <c r="K152" i="34"/>
  <c r="K148" i="34"/>
  <c r="K153" i="34"/>
  <c r="K158" i="34"/>
  <c r="M146" i="34"/>
  <c r="K146" i="34"/>
  <c r="K150" i="34"/>
  <c r="J150" i="34"/>
  <c r="K149" i="34"/>
  <c r="M156" i="34"/>
  <c r="J149" i="34"/>
  <c r="J146" i="34"/>
  <c r="P131" i="34"/>
  <c r="P132" i="34"/>
  <c r="P133" i="34" s="1"/>
  <c r="J86" i="34"/>
  <c r="J74" i="34"/>
  <c r="K86" i="34"/>
  <c r="K76" i="34"/>
  <c r="J87" i="34"/>
  <c r="J76" i="34"/>
  <c r="N59" i="34"/>
  <c r="N60" i="34" s="1"/>
  <c r="N58" i="34"/>
  <c r="K46" i="34"/>
  <c r="N65" i="34"/>
  <c r="N66" i="34" s="1"/>
  <c r="N64" i="34"/>
  <c r="J73" i="34"/>
  <c r="N94" i="34"/>
  <c r="N95" i="34" s="1"/>
  <c r="N93" i="34"/>
  <c r="K7" i="34"/>
  <c r="N28" i="34"/>
  <c r="N29" i="34" s="1"/>
  <c r="N27" i="34"/>
  <c r="J21" i="34"/>
  <c r="K84" i="34"/>
  <c r="J9" i="34"/>
  <c r="L100" i="34"/>
  <c r="L101" i="34" s="1"/>
  <c r="L99" i="34"/>
  <c r="L94" i="34"/>
  <c r="L95" i="34" s="1"/>
  <c r="L93" i="34"/>
  <c r="K81" i="34"/>
  <c r="N100" i="34"/>
  <c r="N101" i="34" s="1"/>
  <c r="N99" i="34"/>
  <c r="K17" i="34"/>
  <c r="P28" i="34"/>
  <c r="P29" i="34" s="1"/>
  <c r="L28" i="34"/>
  <c r="L29" i="34" s="1"/>
  <c r="L27" i="34"/>
  <c r="L64" i="34"/>
  <c r="L65" i="34"/>
  <c r="L66" i="34" s="1"/>
  <c r="L58" i="34"/>
  <c r="L59" i="34"/>
  <c r="L60" i="34" s="1"/>
  <c r="M81" i="34"/>
  <c r="K21" i="34"/>
  <c r="M108" i="34"/>
  <c r="J108" i="34"/>
  <c r="P99" i="34"/>
  <c r="P100" i="34"/>
  <c r="P101" i="34" s="1"/>
  <c r="P94" i="34"/>
  <c r="P95" i="34" s="1"/>
  <c r="P93" i="34"/>
  <c r="J77" i="34"/>
  <c r="K83" i="34"/>
  <c r="J85" i="34"/>
  <c r="K79" i="34"/>
  <c r="J83" i="34"/>
  <c r="J75" i="34"/>
  <c r="K75" i="34"/>
  <c r="K77" i="34"/>
  <c r="K87" i="34"/>
  <c r="K85" i="34"/>
  <c r="M73" i="34"/>
  <c r="K73" i="34"/>
  <c r="M52" i="34"/>
  <c r="J52" i="34"/>
  <c r="M48" i="34"/>
  <c r="J48" i="34"/>
  <c r="M44" i="34"/>
  <c r="J44" i="34"/>
  <c r="M40" i="34"/>
  <c r="J40" i="34"/>
  <c r="M51" i="34"/>
  <c r="J51" i="34"/>
  <c r="M47" i="34"/>
  <c r="J47" i="34"/>
  <c r="M43" i="34"/>
  <c r="J43" i="34"/>
  <c r="M39" i="34"/>
  <c r="J38" i="34"/>
  <c r="M50" i="34"/>
  <c r="J50" i="34"/>
  <c r="M46" i="34"/>
  <c r="J46" i="34"/>
  <c r="M42" i="34"/>
  <c r="J42" i="34"/>
  <c r="K38" i="34"/>
  <c r="M38" i="34"/>
  <c r="M53" i="34"/>
  <c r="J53" i="34"/>
  <c r="M49" i="34"/>
  <c r="J49" i="34"/>
  <c r="M45" i="34"/>
  <c r="J45" i="34"/>
  <c r="M41" i="34"/>
  <c r="J41" i="34"/>
  <c r="K39" i="34"/>
  <c r="K52" i="34"/>
  <c r="K48" i="34"/>
  <c r="K44" i="34"/>
  <c r="K40" i="34"/>
  <c r="K15" i="34"/>
  <c r="M15" i="34"/>
  <c r="J12" i="34"/>
  <c r="J15" i="34"/>
  <c r="K19" i="34"/>
  <c r="J8" i="34"/>
  <c r="J19" i="34"/>
  <c r="J23" i="34"/>
  <c r="K11" i="34"/>
  <c r="M11" i="34"/>
  <c r="M28" i="34" s="1"/>
  <c r="M29" i="34" s="1"/>
  <c r="K23" i="34"/>
  <c r="K8" i="34"/>
  <c r="K12" i="34"/>
  <c r="J7" i="34"/>
  <c r="H18" i="32"/>
  <c r="H19" i="32"/>
  <c r="H20" i="32" s="1"/>
  <c r="P38" i="32"/>
  <c r="H49" i="32"/>
  <c r="H50" i="32" s="1"/>
  <c r="H48" i="32"/>
  <c r="AF41" i="32"/>
  <c r="AH7" i="32"/>
  <c r="I19" i="32"/>
  <c r="I20" i="32" s="1"/>
  <c r="I18" i="32"/>
  <c r="I49" i="32"/>
  <c r="I50" i="32" s="1"/>
  <c r="I48" i="32"/>
  <c r="AF49" i="32"/>
  <c r="AE49" i="32" s="1"/>
  <c r="AD52" i="32"/>
  <c r="AF48" i="32"/>
  <c r="AE48" i="32" s="1"/>
  <c r="AH48" i="32"/>
  <c r="AD53" i="32"/>
  <c r="AF43" i="32"/>
  <c r="AE43" i="32" s="1"/>
  <c r="AF45" i="32"/>
  <c r="AE45" i="32" s="1"/>
  <c r="AH46" i="32"/>
  <c r="AD54" i="32"/>
  <c r="AF58" i="32"/>
  <c r="AC58" i="32" s="1"/>
  <c r="P39" i="32"/>
  <c r="P41" i="32"/>
  <c r="N38" i="32"/>
  <c r="P43" i="32"/>
  <c r="N11" i="32"/>
  <c r="M11" i="32" s="1"/>
  <c r="AF7" i="32"/>
  <c r="AF8" i="32"/>
  <c r="AE8" i="32" s="1"/>
  <c r="AF10" i="32"/>
  <c r="AE10" i="32" s="1"/>
  <c r="AF11" i="32"/>
  <c r="AC11" i="32" s="1"/>
  <c r="AF9" i="32"/>
  <c r="AE9" i="32" s="1"/>
  <c r="AF42" i="32"/>
  <c r="AB42" i="32" s="1"/>
  <c r="AH43" i="32"/>
  <c r="AD50" i="32"/>
  <c r="AF59" i="32"/>
  <c r="AE59" i="32" s="1"/>
  <c r="AF60" i="32"/>
  <c r="AE60" i="32" s="1"/>
  <c r="AD61" i="32"/>
  <c r="AH42" i="32"/>
  <c r="AF44" i="32"/>
  <c r="AE44" i="32" s="1"/>
  <c r="AH45" i="32"/>
  <c r="AF47" i="32"/>
  <c r="AE47" i="32" s="1"/>
  <c r="AD51" i="32"/>
  <c r="AD55" i="32"/>
  <c r="AH44" i="32"/>
  <c r="AF46" i="32"/>
  <c r="AC46" i="32" s="1"/>
  <c r="AH47" i="32"/>
  <c r="N40" i="32"/>
  <c r="N42" i="32"/>
  <c r="J42" i="32" s="1"/>
  <c r="N44" i="32"/>
  <c r="P40" i="32"/>
  <c r="P42" i="32"/>
  <c r="P44" i="32"/>
  <c r="N39" i="32"/>
  <c r="N41" i="32"/>
  <c r="N43" i="32"/>
  <c r="N7" i="32"/>
  <c r="N9" i="32"/>
  <c r="K9" i="32" s="1"/>
  <c r="AF12" i="32"/>
  <c r="AF14" i="32"/>
  <c r="AC14" i="32" s="1"/>
  <c r="AF20" i="32"/>
  <c r="AC20" i="32" s="1"/>
  <c r="AF16" i="32"/>
  <c r="AC16" i="32" s="1"/>
  <c r="AF18" i="32"/>
  <c r="AC18" i="32" s="1"/>
  <c r="AF57" i="32"/>
  <c r="AC57" i="32" s="1"/>
  <c r="N13" i="32"/>
  <c r="N8" i="32"/>
  <c r="N10" i="32"/>
  <c r="N12" i="32"/>
  <c r="K12" i="32" s="1"/>
  <c r="AF13" i="32"/>
  <c r="AF15" i="32"/>
  <c r="AF17" i="32"/>
  <c r="AF19" i="32"/>
  <c r="AC19" i="32" s="1"/>
  <c r="AF22" i="32"/>
  <c r="AE22" i="32" s="1"/>
  <c r="AD22" i="32"/>
  <c r="AH22" i="32"/>
  <c r="AF23" i="32"/>
  <c r="AE23" i="32" s="1"/>
  <c r="AD23" i="32"/>
  <c r="AH23" i="32"/>
  <c r="P7" i="32"/>
  <c r="P8" i="32"/>
  <c r="AH8" i="32"/>
  <c r="P9" i="32"/>
  <c r="AH9" i="32"/>
  <c r="P10" i="32"/>
  <c r="AH10" i="32"/>
  <c r="P11" i="32"/>
  <c r="AH11" i="32"/>
  <c r="P12" i="32"/>
  <c r="AH12" i="32"/>
  <c r="P13" i="32"/>
  <c r="AH13" i="32"/>
  <c r="AH14" i="32"/>
  <c r="AH15" i="32"/>
  <c r="AH16" i="32"/>
  <c r="AH17" i="32"/>
  <c r="AH18" i="32"/>
  <c r="AH19" i="32"/>
  <c r="AH20" i="32"/>
  <c r="AF61" i="32"/>
  <c r="AB61" i="32" s="1"/>
  <c r="L7" i="32"/>
  <c r="AD7" i="32"/>
  <c r="AF21" i="32"/>
  <c r="AD21" i="32"/>
  <c r="L38" i="32"/>
  <c r="AD41" i="32"/>
  <c r="AD56" i="32"/>
  <c r="AH56" i="32"/>
  <c r="AF56" i="32"/>
  <c r="AC56" i="32" s="1"/>
  <c r="AF62" i="32"/>
  <c r="AH62" i="32"/>
  <c r="AF50" i="32"/>
  <c r="AC50" i="32" s="1"/>
  <c r="AF51" i="32"/>
  <c r="AC51" i="32" s="1"/>
  <c r="AF52" i="32"/>
  <c r="AC52" i="32" s="1"/>
  <c r="AF53" i="32"/>
  <c r="AF54" i="32"/>
  <c r="AC54" i="32" s="1"/>
  <c r="AF55" i="32"/>
  <c r="AC55" i="32" s="1"/>
  <c r="AF63" i="32"/>
  <c r="AH63" i="32"/>
  <c r="AH57" i="32"/>
  <c r="AH58" i="32"/>
  <c r="AH59" i="32"/>
  <c r="AH60" i="32"/>
  <c r="AG41" i="31"/>
  <c r="AG42" i="31" s="1"/>
  <c r="AG40" i="31"/>
  <c r="O41" i="31"/>
  <c r="O42" i="31" s="1"/>
  <c r="O40" i="31"/>
  <c r="Z86" i="31"/>
  <c r="Z52" i="31"/>
  <c r="AD52" i="31" s="1"/>
  <c r="AA52" i="31"/>
  <c r="Z53" i="31"/>
  <c r="AA53" i="31"/>
  <c r="Z54" i="31"/>
  <c r="AD54" i="31" s="1"/>
  <c r="AA54" i="31"/>
  <c r="Z55" i="31"/>
  <c r="AD55" i="31" s="1"/>
  <c r="AA55" i="31"/>
  <c r="Z56" i="31"/>
  <c r="AD56" i="31" s="1"/>
  <c r="AA56" i="31"/>
  <c r="Z57" i="31"/>
  <c r="AH57" i="31" s="1"/>
  <c r="AA57" i="31"/>
  <c r="Z58" i="31"/>
  <c r="AH58" i="31" s="1"/>
  <c r="AA58" i="31"/>
  <c r="Z59" i="31"/>
  <c r="AH59" i="31" s="1"/>
  <c r="AA59" i="31"/>
  <c r="Z60" i="31"/>
  <c r="AH60" i="31" s="1"/>
  <c r="AA60" i="31"/>
  <c r="Z61" i="31"/>
  <c r="AD61" i="31" s="1"/>
  <c r="AA61" i="31"/>
  <c r="Z62" i="31"/>
  <c r="AH62" i="31" s="1"/>
  <c r="AA62" i="31"/>
  <c r="Z63" i="31"/>
  <c r="AD63" i="31" s="1"/>
  <c r="AA63" i="31"/>
  <c r="Z64" i="31"/>
  <c r="AH64" i="31" s="1"/>
  <c r="AA64" i="31"/>
  <c r="Z65" i="31"/>
  <c r="AH65" i="31" s="1"/>
  <c r="AA65" i="31"/>
  <c r="Z66" i="31"/>
  <c r="AD66" i="31" s="1"/>
  <c r="AA66" i="31"/>
  <c r="Z67" i="31"/>
  <c r="AD67" i="31" s="1"/>
  <c r="AA67" i="31"/>
  <c r="Z68" i="31"/>
  <c r="AD68" i="31" s="1"/>
  <c r="AA68" i="31"/>
  <c r="Z69" i="31"/>
  <c r="AH69" i="31" s="1"/>
  <c r="AA69" i="31"/>
  <c r="Z70" i="31"/>
  <c r="AH70" i="31" s="1"/>
  <c r="AA70" i="31"/>
  <c r="Z71" i="31"/>
  <c r="AH71" i="31" s="1"/>
  <c r="AA71" i="31"/>
  <c r="Z72" i="31"/>
  <c r="AH72" i="31" s="1"/>
  <c r="AA72" i="31"/>
  <c r="Z73" i="31"/>
  <c r="AD73" i="31" s="1"/>
  <c r="AA73" i="31"/>
  <c r="Z74" i="31"/>
  <c r="AH74" i="31" s="1"/>
  <c r="AA74" i="31"/>
  <c r="Z75" i="31"/>
  <c r="AH75" i="31" s="1"/>
  <c r="AA75" i="31"/>
  <c r="Z76" i="31"/>
  <c r="AH76" i="31" s="1"/>
  <c r="AA76" i="31"/>
  <c r="Z77" i="31"/>
  <c r="AH77" i="31" s="1"/>
  <c r="AA77" i="31"/>
  <c r="Z78" i="31"/>
  <c r="AA78" i="31"/>
  <c r="Z79" i="31"/>
  <c r="AH79" i="31" s="1"/>
  <c r="AA79" i="31"/>
  <c r="Z80" i="31"/>
  <c r="AH80" i="31" s="1"/>
  <c r="AA80" i="31"/>
  <c r="Z81" i="31"/>
  <c r="AH81" i="31" s="1"/>
  <c r="AA81" i="31"/>
  <c r="Z82" i="31"/>
  <c r="AH82" i="31" s="1"/>
  <c r="AA82" i="31"/>
  <c r="Z83" i="31"/>
  <c r="AH83" i="31" s="1"/>
  <c r="AA83" i="31"/>
  <c r="Z84" i="31"/>
  <c r="AH84" i="31" s="1"/>
  <c r="AA84" i="31"/>
  <c r="Z85" i="31"/>
  <c r="AD85" i="31" s="1"/>
  <c r="AA85" i="31"/>
  <c r="Z8" i="31"/>
  <c r="AD8" i="31" s="1"/>
  <c r="AA8" i="31"/>
  <c r="Z9" i="31"/>
  <c r="AD9" i="31" s="1"/>
  <c r="AA9" i="31"/>
  <c r="Z10" i="31"/>
  <c r="AD10" i="31" s="1"/>
  <c r="AA10" i="31"/>
  <c r="Z11" i="31"/>
  <c r="AD11" i="31" s="1"/>
  <c r="AA11" i="31"/>
  <c r="Z12" i="31"/>
  <c r="AD12" i="31" s="1"/>
  <c r="AA12" i="31"/>
  <c r="Z13" i="31"/>
  <c r="AD13" i="31" s="1"/>
  <c r="AA13" i="31"/>
  <c r="Z14" i="31"/>
  <c r="AD14" i="31" s="1"/>
  <c r="AA14" i="31"/>
  <c r="Z15" i="31"/>
  <c r="AA15" i="31"/>
  <c r="Z16" i="31"/>
  <c r="AD16" i="31" s="1"/>
  <c r="AA16" i="31"/>
  <c r="Z17" i="31"/>
  <c r="AD17" i="31" s="1"/>
  <c r="AA17" i="31"/>
  <c r="Z18" i="31"/>
  <c r="AH18" i="31" s="1"/>
  <c r="AA18" i="31"/>
  <c r="Z19" i="31"/>
  <c r="AH19" i="31" s="1"/>
  <c r="AA19" i="31"/>
  <c r="Z20" i="31"/>
  <c r="AH20" i="31" s="1"/>
  <c r="AA20" i="31"/>
  <c r="Z21" i="31"/>
  <c r="AH21" i="31" s="1"/>
  <c r="AA21" i="31"/>
  <c r="Z22" i="31"/>
  <c r="AH22" i="31" s="1"/>
  <c r="AA22" i="31"/>
  <c r="Z23" i="31"/>
  <c r="AD23" i="31" s="1"/>
  <c r="AA23" i="31"/>
  <c r="Z24" i="31"/>
  <c r="AD24" i="31" s="1"/>
  <c r="AA24" i="31"/>
  <c r="Z25" i="31"/>
  <c r="AH25" i="31" s="1"/>
  <c r="AA25" i="31"/>
  <c r="Z26" i="31"/>
  <c r="AD26" i="31" s="1"/>
  <c r="AA26" i="31"/>
  <c r="Z27" i="31"/>
  <c r="AH27" i="31" s="1"/>
  <c r="AA27" i="31"/>
  <c r="Z28" i="31"/>
  <c r="AH28" i="31" s="1"/>
  <c r="AA28" i="31"/>
  <c r="Z29" i="31"/>
  <c r="AH29" i="31" s="1"/>
  <c r="AA29" i="31"/>
  <c r="Z30" i="31"/>
  <c r="AH30" i="31" s="1"/>
  <c r="AA30" i="31"/>
  <c r="Z31" i="31"/>
  <c r="AH31" i="31" s="1"/>
  <c r="H33" i="31"/>
  <c r="I32" i="31"/>
  <c r="H32" i="31"/>
  <c r="L32" i="31" s="1"/>
  <c r="I31" i="31"/>
  <c r="H31" i="31"/>
  <c r="L31" i="31" s="1"/>
  <c r="AA51" i="31"/>
  <c r="Z51" i="31"/>
  <c r="I30" i="31"/>
  <c r="H30" i="31"/>
  <c r="L30" i="31" s="1"/>
  <c r="I29" i="31"/>
  <c r="H29" i="31"/>
  <c r="L29" i="31" s="1"/>
  <c r="I28" i="31"/>
  <c r="H28" i="31"/>
  <c r="L28" i="31" s="1"/>
  <c r="I27" i="31"/>
  <c r="H27" i="31"/>
  <c r="L27" i="31" s="1"/>
  <c r="I26" i="31"/>
  <c r="H26" i="31"/>
  <c r="L26" i="31" s="1"/>
  <c r="I25" i="31"/>
  <c r="H25" i="31"/>
  <c r="L25" i="31" s="1"/>
  <c r="I24" i="31"/>
  <c r="H24" i="31"/>
  <c r="L24" i="31" s="1"/>
  <c r="I23" i="31"/>
  <c r="H23" i="31"/>
  <c r="L23" i="31" s="1"/>
  <c r="I22" i="31"/>
  <c r="H22" i="31"/>
  <c r="L22" i="31" s="1"/>
  <c r="I21" i="31"/>
  <c r="H21" i="31"/>
  <c r="L21" i="31" s="1"/>
  <c r="I20" i="31"/>
  <c r="H20" i="31"/>
  <c r="L20" i="31" s="1"/>
  <c r="I19" i="31"/>
  <c r="H19" i="31"/>
  <c r="I18" i="31"/>
  <c r="H18" i="31"/>
  <c r="P18" i="31" s="1"/>
  <c r="I17" i="31"/>
  <c r="H17" i="31"/>
  <c r="P17" i="31" s="1"/>
  <c r="I16" i="31"/>
  <c r="H16" i="31"/>
  <c r="I15" i="31"/>
  <c r="H15" i="31"/>
  <c r="L15" i="31" s="1"/>
  <c r="I14" i="31"/>
  <c r="H14" i="31"/>
  <c r="I13" i="31"/>
  <c r="H13" i="31"/>
  <c r="L13" i="31" s="1"/>
  <c r="I12" i="31"/>
  <c r="H12" i="31"/>
  <c r="I11" i="31"/>
  <c r="H11" i="31"/>
  <c r="L11" i="31" s="1"/>
  <c r="I10" i="31"/>
  <c r="H10" i="31"/>
  <c r="L10" i="31" s="1"/>
  <c r="I9" i="31"/>
  <c r="H9" i="31"/>
  <c r="L9" i="31" s="1"/>
  <c r="I8" i="31"/>
  <c r="H8" i="31"/>
  <c r="AA7" i="31"/>
  <c r="Z7" i="31"/>
  <c r="AD7" i="31" s="1"/>
  <c r="I7" i="31"/>
  <c r="H7" i="31"/>
  <c r="L7" i="31" s="1"/>
  <c r="AG38" i="30"/>
  <c r="AG39" i="30" s="1"/>
  <c r="AG37" i="30"/>
  <c r="AG19" i="30"/>
  <c r="O65" i="30"/>
  <c r="H51" i="30"/>
  <c r="L51" i="30" s="1"/>
  <c r="I51" i="30"/>
  <c r="H52" i="30"/>
  <c r="L52" i="30" s="1"/>
  <c r="I52" i="30"/>
  <c r="H53" i="30"/>
  <c r="L53" i="30" s="1"/>
  <c r="I53" i="30"/>
  <c r="H54" i="30"/>
  <c r="L54" i="30" s="1"/>
  <c r="I54" i="30"/>
  <c r="H55" i="30"/>
  <c r="L55" i="30" s="1"/>
  <c r="I55" i="30"/>
  <c r="H56" i="30"/>
  <c r="L56" i="30" s="1"/>
  <c r="I56" i="30"/>
  <c r="H57" i="30"/>
  <c r="L57" i="30" s="1"/>
  <c r="I57" i="30"/>
  <c r="H58" i="30"/>
  <c r="L58" i="30" s="1"/>
  <c r="I58" i="30"/>
  <c r="H8" i="30"/>
  <c r="L8" i="30" s="1"/>
  <c r="I8" i="30"/>
  <c r="H9" i="30"/>
  <c r="I9" i="30"/>
  <c r="H10" i="30"/>
  <c r="L10" i="30" s="1"/>
  <c r="I10" i="30"/>
  <c r="H11" i="30"/>
  <c r="L11" i="30" s="1"/>
  <c r="I11" i="30"/>
  <c r="H12" i="30"/>
  <c r="L12" i="30" s="1"/>
  <c r="I12" i="30"/>
  <c r="H13" i="30"/>
  <c r="L13" i="30" s="1"/>
  <c r="I13" i="30"/>
  <c r="H14" i="30"/>
  <c r="L14" i="30" s="1"/>
  <c r="I14" i="30"/>
  <c r="H15" i="30"/>
  <c r="P15" i="30" s="1"/>
  <c r="I15" i="30"/>
  <c r="H16" i="30"/>
  <c r="P16" i="30" s="1"/>
  <c r="I16" i="30"/>
  <c r="H17" i="30"/>
  <c r="P17" i="30" s="1"/>
  <c r="I17" i="30"/>
  <c r="H18" i="30"/>
  <c r="P18" i="30" s="1"/>
  <c r="I18" i="30"/>
  <c r="H19" i="30"/>
  <c r="P19" i="30" s="1"/>
  <c r="I19" i="30"/>
  <c r="H20" i="30"/>
  <c r="P20" i="30" s="1"/>
  <c r="I20" i="30"/>
  <c r="H21" i="30"/>
  <c r="P21" i="30" s="1"/>
  <c r="I21" i="30"/>
  <c r="H22" i="30"/>
  <c r="P22" i="30" s="1"/>
  <c r="I22" i="30"/>
  <c r="H23" i="30"/>
  <c r="P23" i="30" s="1"/>
  <c r="I23" i="30"/>
  <c r="H24" i="30"/>
  <c r="P24" i="30" s="1"/>
  <c r="I24" i="30"/>
  <c r="H25" i="30"/>
  <c r="L25" i="30" s="1"/>
  <c r="I25" i="30"/>
  <c r="H26" i="30"/>
  <c r="P26" i="30" s="1"/>
  <c r="I26" i="30"/>
  <c r="H27" i="30"/>
  <c r="P27" i="30" s="1"/>
  <c r="I27" i="30"/>
  <c r="H28" i="30"/>
  <c r="P28" i="30" s="1"/>
  <c r="I28" i="30"/>
  <c r="H29" i="30"/>
  <c r="P29" i="30" s="1"/>
  <c r="I29" i="30"/>
  <c r="H30" i="30"/>
  <c r="P30" i="30" s="1"/>
  <c r="I30" i="30"/>
  <c r="H31" i="30"/>
  <c r="P31" i="30" s="1"/>
  <c r="I31" i="30"/>
  <c r="H32" i="30"/>
  <c r="P32" i="30" s="1"/>
  <c r="I32" i="30"/>
  <c r="H33" i="30"/>
  <c r="L33" i="30" s="1"/>
  <c r="I33" i="30"/>
  <c r="H34" i="30"/>
  <c r="P34" i="30" s="1"/>
  <c r="I34" i="30"/>
  <c r="H35" i="30"/>
  <c r="Z8" i="30"/>
  <c r="AD8" i="30" s="1"/>
  <c r="AA8" i="30"/>
  <c r="Z9" i="30"/>
  <c r="AD9" i="30" s="1"/>
  <c r="AA9" i="30"/>
  <c r="Z10" i="30"/>
  <c r="AD10" i="30" s="1"/>
  <c r="AA10" i="30"/>
  <c r="Z11" i="30"/>
  <c r="AD11" i="30" s="1"/>
  <c r="AA11" i="30"/>
  <c r="Z12" i="30"/>
  <c r="AD12" i="30" s="1"/>
  <c r="AA12" i="30"/>
  <c r="Z13" i="30"/>
  <c r="AD13" i="30" s="1"/>
  <c r="AA13" i="30"/>
  <c r="Z14" i="30"/>
  <c r="AD14" i="30" s="1"/>
  <c r="AA14" i="30"/>
  <c r="Z15" i="30"/>
  <c r="AD15" i="30" s="1"/>
  <c r="AA15" i="30"/>
  <c r="Z16" i="30"/>
  <c r="AH16" i="30" s="1"/>
  <c r="AA16" i="30"/>
  <c r="Z17" i="30"/>
  <c r="AH17" i="30" s="1"/>
  <c r="K137" i="34" l="1"/>
  <c r="L60" i="32"/>
  <c r="L61" i="32"/>
  <c r="L62" i="32" s="1"/>
  <c r="P54" i="32"/>
  <c r="P55" i="32"/>
  <c r="P56" i="32" s="1"/>
  <c r="N60" i="32"/>
  <c r="N61" i="32"/>
  <c r="N62" i="32" s="1"/>
  <c r="P60" i="32"/>
  <c r="P61" i="32"/>
  <c r="P62" i="32" s="1"/>
  <c r="N54" i="32"/>
  <c r="N55" i="32"/>
  <c r="N56" i="32" s="1"/>
  <c r="L54" i="32"/>
  <c r="L55" i="32"/>
  <c r="L56" i="32" s="1"/>
  <c r="K8" i="32"/>
  <c r="N25" i="32"/>
  <c r="N26" i="32"/>
  <c r="N27" i="32" s="1"/>
  <c r="AB48" i="32"/>
  <c r="L31" i="32"/>
  <c r="L32" i="32"/>
  <c r="L33" i="32" s="1"/>
  <c r="P25" i="32"/>
  <c r="P26" i="32"/>
  <c r="P27" i="32" s="1"/>
  <c r="N31" i="32"/>
  <c r="N32" i="32"/>
  <c r="N33" i="32" s="1"/>
  <c r="L25" i="32"/>
  <c r="L26" i="32"/>
  <c r="L27" i="32" s="1"/>
  <c r="P31" i="32"/>
  <c r="P32" i="32"/>
  <c r="P33" i="32" s="1"/>
  <c r="AA92" i="31"/>
  <c r="AA93" i="31" s="1"/>
  <c r="AA91" i="31"/>
  <c r="AH51" i="31"/>
  <c r="Z92" i="31"/>
  <c r="Z93" i="31" s="1"/>
  <c r="Z91" i="31"/>
  <c r="AD70" i="32"/>
  <c r="AD71" i="32" s="1"/>
  <c r="AD69" i="32"/>
  <c r="AD30" i="32"/>
  <c r="AD31" i="32" s="1"/>
  <c r="AD29" i="32"/>
  <c r="AB11" i="32"/>
  <c r="AC41" i="32"/>
  <c r="AF69" i="32"/>
  <c r="AF70" i="32"/>
  <c r="AF71" i="32" s="1"/>
  <c r="AH69" i="32"/>
  <c r="AH70" i="32"/>
  <c r="AH71" i="32" s="1"/>
  <c r="AH55" i="31"/>
  <c r="AF29" i="32"/>
  <c r="AF30" i="32"/>
  <c r="AF31" i="32" s="1"/>
  <c r="AH29" i="32"/>
  <c r="AH30" i="32"/>
  <c r="AH31" i="32" s="1"/>
  <c r="AH78" i="31"/>
  <c r="AF19" i="31"/>
  <c r="AE19" i="31" s="1"/>
  <c r="AD60" i="31"/>
  <c r="AD305" i="34"/>
  <c r="AD306" i="34" s="1"/>
  <c r="J138" i="34"/>
  <c r="J139" i="34" s="1"/>
  <c r="AD57" i="31"/>
  <c r="L29" i="30"/>
  <c r="AF15" i="31"/>
  <c r="AE15" i="31" s="1"/>
  <c r="N34" i="30"/>
  <c r="M34" i="30" s="1"/>
  <c r="AF79" i="31"/>
  <c r="AE79" i="31" s="1"/>
  <c r="AD72" i="31"/>
  <c r="AF52" i="31"/>
  <c r="AE52" i="31" s="1"/>
  <c r="N13" i="30"/>
  <c r="M13" i="30" s="1"/>
  <c r="N29" i="30"/>
  <c r="M29" i="30" s="1"/>
  <c r="N51" i="30"/>
  <c r="M51" i="30" s="1"/>
  <c r="AD22" i="31"/>
  <c r="AD78" i="31"/>
  <c r="AD69" i="31"/>
  <c r="AB49" i="32"/>
  <c r="L30" i="30"/>
  <c r="I40" i="31"/>
  <c r="L31" i="30"/>
  <c r="N30" i="30"/>
  <c r="M30" i="30" s="1"/>
  <c r="N9" i="30"/>
  <c r="M9" i="30" s="1"/>
  <c r="AD25" i="31"/>
  <c r="AD84" i="31"/>
  <c r="AF63" i="31"/>
  <c r="AE63" i="31" s="1"/>
  <c r="AH66" i="31"/>
  <c r="M137" i="34"/>
  <c r="AC305" i="34"/>
  <c r="AC306" i="34" s="1"/>
  <c r="N22" i="30"/>
  <c r="M22" i="30" s="1"/>
  <c r="AD28" i="31"/>
  <c r="AD18" i="31"/>
  <c r="AF84" i="31"/>
  <c r="AE84" i="31" s="1"/>
  <c r="AH63" i="31"/>
  <c r="AF14" i="30"/>
  <c r="AB14" i="30" s="1"/>
  <c r="AF13" i="30"/>
  <c r="AE13" i="30" s="1"/>
  <c r="AF9" i="30"/>
  <c r="AE9" i="30" s="1"/>
  <c r="L32" i="30"/>
  <c r="N18" i="30"/>
  <c r="M18" i="30" s="1"/>
  <c r="L15" i="30"/>
  <c r="N14" i="30"/>
  <c r="J14" i="30" s="1"/>
  <c r="N58" i="30"/>
  <c r="M58" i="30" s="1"/>
  <c r="AF28" i="31"/>
  <c r="AE28" i="31" s="1"/>
  <c r="AD20" i="31"/>
  <c r="AD19" i="31"/>
  <c r="AF16" i="31"/>
  <c r="AE16" i="31" s="1"/>
  <c r="AD15" i="31"/>
  <c r="AF12" i="31"/>
  <c r="AE12" i="31" s="1"/>
  <c r="AD80" i="31"/>
  <c r="AD79" i="31"/>
  <c r="AF76" i="31"/>
  <c r="AB76" i="31" s="1"/>
  <c r="AD75" i="31"/>
  <c r="AF72" i="31"/>
  <c r="AE72" i="31" s="1"/>
  <c r="AD64" i="31"/>
  <c r="AF60" i="31"/>
  <c r="AE60" i="31" s="1"/>
  <c r="AB47" i="32"/>
  <c r="J176" i="34"/>
  <c r="L28" i="30"/>
  <c r="L19" i="30"/>
  <c r="L16" i="30"/>
  <c r="L9" i="30"/>
  <c r="N55" i="30"/>
  <c r="M55" i="30" s="1"/>
  <c r="AA41" i="31"/>
  <c r="AA42" i="31" s="1"/>
  <c r="AF24" i="31"/>
  <c r="AE24" i="31" s="1"/>
  <c r="AD21" i="31"/>
  <c r="AF8" i="31"/>
  <c r="AE8" i="31" s="1"/>
  <c r="AD81" i="31"/>
  <c r="AF68" i="31"/>
  <c r="AB68" i="31" s="1"/>
  <c r="AD65" i="31"/>
  <c r="AF56" i="31"/>
  <c r="AE56" i="31" s="1"/>
  <c r="AD160" i="34"/>
  <c r="AD161" i="34" s="1"/>
  <c r="AF10" i="30"/>
  <c r="AC10" i="30" s="1"/>
  <c r="AH17" i="31"/>
  <c r="AC160" i="34"/>
  <c r="AC161" i="34" s="1"/>
  <c r="N26" i="30"/>
  <c r="M26" i="30" s="1"/>
  <c r="L26" i="30"/>
  <c r="L21" i="30"/>
  <c r="L20" i="30"/>
  <c r="N10" i="30"/>
  <c r="J10" i="30" s="1"/>
  <c r="N54" i="30"/>
  <c r="M54" i="30" s="1"/>
  <c r="P33" i="30"/>
  <c r="P25" i="30"/>
  <c r="AD16" i="30"/>
  <c r="L24" i="30"/>
  <c r="N12" i="31"/>
  <c r="AD30" i="31"/>
  <c r="AC28" i="31"/>
  <c r="AD27" i="31"/>
  <c r="AF20" i="31"/>
  <c r="AE20" i="31" s="1"/>
  <c r="AA40" i="31"/>
  <c r="AD83" i="31"/>
  <c r="AF80" i="31"/>
  <c r="AE80" i="31" s="1"/>
  <c r="AD77" i="31"/>
  <c r="AD76" i="31"/>
  <c r="AF75" i="31"/>
  <c r="AE75" i="31" s="1"/>
  <c r="AD74" i="31"/>
  <c r="AD71" i="31"/>
  <c r="AF64" i="31"/>
  <c r="AB64" i="31" s="1"/>
  <c r="AC60" i="31"/>
  <c r="AD59" i="31"/>
  <c r="AH24" i="31"/>
  <c r="AH73" i="31"/>
  <c r="AH61" i="31"/>
  <c r="AH85" i="31"/>
  <c r="AB45" i="32"/>
  <c r="J11" i="32"/>
  <c r="K176" i="34"/>
  <c r="AC117" i="34"/>
  <c r="AC118" i="34" s="1"/>
  <c r="AC116" i="34"/>
  <c r="AF111" i="34"/>
  <c r="AF112" i="34" s="1"/>
  <c r="AF110" i="34"/>
  <c r="AD154" i="34"/>
  <c r="AD155" i="34" s="1"/>
  <c r="AD153" i="34"/>
  <c r="AD203" i="34"/>
  <c r="AD204" i="34"/>
  <c r="AD205" i="34" s="1"/>
  <c r="AF154" i="34"/>
  <c r="AF155" i="34" s="1"/>
  <c r="AF153" i="34"/>
  <c r="AD159" i="34"/>
  <c r="AF117" i="34"/>
  <c r="AF118" i="34" s="1"/>
  <c r="AF116" i="34"/>
  <c r="AC304" i="34"/>
  <c r="AD304" i="34"/>
  <c r="Z41" i="31"/>
  <c r="Z42" i="31" s="1"/>
  <c r="AH23" i="31"/>
  <c r="AH68" i="31"/>
  <c r="AH56" i="31"/>
  <c r="AD197" i="34"/>
  <c r="AD198" i="34"/>
  <c r="AD199" i="34" s="1"/>
  <c r="AC203" i="34"/>
  <c r="AC204" i="34"/>
  <c r="AC205" i="34" s="1"/>
  <c r="AC298" i="34"/>
  <c r="AC299" i="34"/>
  <c r="AC300" i="34" s="1"/>
  <c r="AD310" i="34"/>
  <c r="AD311" i="34"/>
  <c r="AD312" i="34" s="1"/>
  <c r="AC310" i="34"/>
  <c r="AC311" i="34"/>
  <c r="AC312" i="34" s="1"/>
  <c r="AC197" i="34"/>
  <c r="AC198" i="34"/>
  <c r="AC199" i="34" s="1"/>
  <c r="L34" i="30"/>
  <c r="L22" i="30"/>
  <c r="N21" i="30"/>
  <c r="M21" i="30" s="1"/>
  <c r="L18" i="30"/>
  <c r="N17" i="30"/>
  <c r="M17" i="30" s="1"/>
  <c r="AF23" i="31"/>
  <c r="AE23" i="31" s="1"/>
  <c r="Z40" i="31"/>
  <c r="AF67" i="31"/>
  <c r="AE67" i="31" s="1"/>
  <c r="AF55" i="31"/>
  <c r="AE55" i="31" s="1"/>
  <c r="AH26" i="31"/>
  <c r="AH67" i="31"/>
  <c r="K177" i="34"/>
  <c r="K178" i="34" s="1"/>
  <c r="AC32" i="34"/>
  <c r="K138" i="34"/>
  <c r="K139" i="34" s="1"/>
  <c r="AC154" i="34"/>
  <c r="AC155" i="34" s="1"/>
  <c r="AC153" i="34"/>
  <c r="AF197" i="34"/>
  <c r="AF198" i="34"/>
  <c r="AF199" i="34" s="1"/>
  <c r="AF298" i="34"/>
  <c r="AF299" i="34"/>
  <c r="AF300" i="34" s="1"/>
  <c r="AF310" i="34"/>
  <c r="AF311" i="34"/>
  <c r="AF312" i="34" s="1"/>
  <c r="AC159" i="34"/>
  <c r="AF203" i="34"/>
  <c r="AF204" i="34"/>
  <c r="AF205" i="34" s="1"/>
  <c r="N33" i="30"/>
  <c r="M33" i="30" s="1"/>
  <c r="AC9" i="30"/>
  <c r="N25" i="30"/>
  <c r="L17" i="30"/>
  <c r="K13" i="30"/>
  <c r="I41" i="31"/>
  <c r="I42" i="31" s="1"/>
  <c r="AD29" i="31"/>
  <c r="AF27" i="31"/>
  <c r="AE27" i="31" s="1"/>
  <c r="AC24" i="31"/>
  <c r="AC19" i="31"/>
  <c r="AF11" i="31"/>
  <c r="AE11" i="31" s="1"/>
  <c r="AF83" i="31"/>
  <c r="AE83" i="31" s="1"/>
  <c r="AF71" i="31"/>
  <c r="AE71" i="31" s="1"/>
  <c r="AD70" i="31"/>
  <c r="AC63" i="31"/>
  <c r="AF59" i="31"/>
  <c r="AE59" i="31" s="1"/>
  <c r="AD58" i="31"/>
  <c r="M138" i="34"/>
  <c r="M139" i="34" s="1"/>
  <c r="AD111" i="34"/>
  <c r="AD112" i="34" s="1"/>
  <c r="AD110" i="34"/>
  <c r="AD117" i="34"/>
  <c r="AD118" i="34" s="1"/>
  <c r="AD116" i="34"/>
  <c r="AD298" i="34"/>
  <c r="AD299" i="34"/>
  <c r="AD300" i="34" s="1"/>
  <c r="AF160" i="34"/>
  <c r="AF161" i="34" s="1"/>
  <c r="AF159" i="34"/>
  <c r="AF304" i="34"/>
  <c r="AF305" i="34"/>
  <c r="AF306" i="34" s="1"/>
  <c r="AC111" i="34"/>
  <c r="AC112" i="34" s="1"/>
  <c r="AC110" i="34"/>
  <c r="AD73" i="34"/>
  <c r="AD74" i="34"/>
  <c r="AD75" i="34" s="1"/>
  <c r="AC68" i="34"/>
  <c r="AC69" i="34" s="1"/>
  <c r="AC67" i="34"/>
  <c r="AC74" i="34"/>
  <c r="AC75" i="34" s="1"/>
  <c r="AC73" i="34"/>
  <c r="AD68" i="34"/>
  <c r="AD69" i="34" s="1"/>
  <c r="AD67" i="34"/>
  <c r="AF68" i="34"/>
  <c r="AF69" i="34" s="1"/>
  <c r="AF67" i="34"/>
  <c r="AF74" i="34"/>
  <c r="AF75" i="34" s="1"/>
  <c r="AF73" i="34"/>
  <c r="M214" i="34"/>
  <c r="M215" i="34"/>
  <c r="M216" i="34" s="1"/>
  <c r="J177" i="34"/>
  <c r="J178" i="34" s="1"/>
  <c r="AC33" i="34"/>
  <c r="AC34" i="34" s="1"/>
  <c r="K171" i="34"/>
  <c r="K172" i="34" s="1"/>
  <c r="K170" i="34"/>
  <c r="AD33" i="34"/>
  <c r="AD34" i="34" s="1"/>
  <c r="AD32" i="34"/>
  <c r="M176" i="34"/>
  <c r="M177" i="34"/>
  <c r="M178" i="34" s="1"/>
  <c r="M170" i="34"/>
  <c r="M171" i="34"/>
  <c r="M172" i="34" s="1"/>
  <c r="J137" i="34"/>
  <c r="J208" i="34"/>
  <c r="AF33" i="34"/>
  <c r="AF34" i="34" s="1"/>
  <c r="AF32" i="34"/>
  <c r="J99" i="34"/>
  <c r="J171" i="34"/>
  <c r="J172" i="34" s="1"/>
  <c r="J170" i="34"/>
  <c r="J215" i="34"/>
  <c r="J216" i="34" s="1"/>
  <c r="J214" i="34"/>
  <c r="K214" i="34"/>
  <c r="K215" i="34"/>
  <c r="K216" i="34" s="1"/>
  <c r="J209" i="34"/>
  <c r="J210" i="34" s="1"/>
  <c r="M208" i="34"/>
  <c r="M209" i="34"/>
  <c r="M210" i="34" s="1"/>
  <c r="K209" i="34"/>
  <c r="K210" i="34" s="1"/>
  <c r="K208" i="34"/>
  <c r="M132" i="34"/>
  <c r="M133" i="34" s="1"/>
  <c r="M131" i="34"/>
  <c r="J132" i="34"/>
  <c r="J133" i="34" s="1"/>
  <c r="J131" i="34"/>
  <c r="K132" i="34"/>
  <c r="K133" i="34" s="1"/>
  <c r="K131" i="34"/>
  <c r="K100" i="34"/>
  <c r="K101" i="34" s="1"/>
  <c r="J100" i="34"/>
  <c r="J101" i="34" s="1"/>
  <c r="J28" i="34"/>
  <c r="J29" i="34" s="1"/>
  <c r="J27" i="34"/>
  <c r="K59" i="34"/>
  <c r="K60" i="34" s="1"/>
  <c r="K58" i="34"/>
  <c r="M65" i="34"/>
  <c r="M66" i="34" s="1"/>
  <c r="M64" i="34"/>
  <c r="M94" i="34"/>
  <c r="M95" i="34" s="1"/>
  <c r="M93" i="34"/>
  <c r="M100" i="34"/>
  <c r="M101" i="34" s="1"/>
  <c r="M99" i="34"/>
  <c r="J94" i="34"/>
  <c r="J95" i="34" s="1"/>
  <c r="J93" i="34"/>
  <c r="K99" i="34"/>
  <c r="M27" i="34"/>
  <c r="K28" i="34"/>
  <c r="K29" i="34" s="1"/>
  <c r="K27" i="34"/>
  <c r="M58" i="34"/>
  <c r="M59" i="34"/>
  <c r="M60" i="34" s="1"/>
  <c r="J65" i="34"/>
  <c r="J66" i="34" s="1"/>
  <c r="J64" i="34"/>
  <c r="J59" i="34"/>
  <c r="J60" i="34" s="1"/>
  <c r="J58" i="34"/>
  <c r="K94" i="34"/>
  <c r="K95" i="34" s="1"/>
  <c r="K93" i="34"/>
  <c r="K65" i="34"/>
  <c r="K66" i="34" s="1"/>
  <c r="K64" i="34"/>
  <c r="AC49" i="32"/>
  <c r="AB7" i="32"/>
  <c r="AB10" i="32"/>
  <c r="AB44" i="32"/>
  <c r="M7" i="32"/>
  <c r="N19" i="32"/>
  <c r="N20" i="32" s="1"/>
  <c r="N18" i="32"/>
  <c r="P49" i="32"/>
  <c r="P50" i="32" s="1"/>
  <c r="L19" i="32"/>
  <c r="L20" i="32" s="1"/>
  <c r="L18" i="32"/>
  <c r="M38" i="32"/>
  <c r="N49" i="32"/>
  <c r="N50" i="32" s="1"/>
  <c r="N48" i="32"/>
  <c r="AB41" i="32"/>
  <c r="L49" i="32"/>
  <c r="L50" i="32" s="1"/>
  <c r="L48" i="32"/>
  <c r="AE41" i="32"/>
  <c r="AC42" i="32"/>
  <c r="AB9" i="32"/>
  <c r="P48" i="32"/>
  <c r="P19" i="32"/>
  <c r="P20" i="32" s="1"/>
  <c r="P18" i="32"/>
  <c r="AC45" i="32"/>
  <c r="AC48" i="32"/>
  <c r="AB46" i="32"/>
  <c r="AC60" i="32"/>
  <c r="AB43" i="32"/>
  <c r="AC44" i="32"/>
  <c r="AB59" i="32"/>
  <c r="AB60" i="32"/>
  <c r="AC43" i="32"/>
  <c r="AE42" i="32"/>
  <c r="AC59" i="32"/>
  <c r="AC47" i="32"/>
  <c r="AE46" i="32"/>
  <c r="AE58" i="32"/>
  <c r="AB58" i="32"/>
  <c r="J38" i="32"/>
  <c r="K38" i="32"/>
  <c r="K11" i="32"/>
  <c r="AB8" i="32"/>
  <c r="AC8" i="32"/>
  <c r="AE11" i="32"/>
  <c r="AC7" i="32"/>
  <c r="AC10" i="32"/>
  <c r="AE7" i="32"/>
  <c r="AC9" i="32"/>
  <c r="AB23" i="32"/>
  <c r="AB22" i="32"/>
  <c r="M43" i="32"/>
  <c r="J43" i="32"/>
  <c r="M39" i="32"/>
  <c r="J39" i="32"/>
  <c r="M40" i="32"/>
  <c r="K40" i="32"/>
  <c r="K39" i="32"/>
  <c r="M41" i="32"/>
  <c r="J41" i="32"/>
  <c r="M44" i="32"/>
  <c r="K44" i="32"/>
  <c r="J44" i="32"/>
  <c r="J40" i="32"/>
  <c r="M42" i="32"/>
  <c r="K42" i="32"/>
  <c r="K41" i="32"/>
  <c r="K43" i="32"/>
  <c r="J9" i="32"/>
  <c r="M9" i="32"/>
  <c r="K7" i="32"/>
  <c r="J7" i="32"/>
  <c r="AE63" i="32"/>
  <c r="AC63" i="32"/>
  <c r="AE53" i="32"/>
  <c r="AB53" i="32"/>
  <c r="AE62" i="32"/>
  <c r="AC62" i="32"/>
  <c r="J13" i="32"/>
  <c r="M13" i="32"/>
  <c r="AB12" i="32"/>
  <c r="AE12" i="32"/>
  <c r="AC53" i="32"/>
  <c r="AB17" i="32"/>
  <c r="AE17" i="32"/>
  <c r="AB13" i="32"/>
  <c r="AE13" i="32"/>
  <c r="M10" i="32"/>
  <c r="J10" i="32"/>
  <c r="K13" i="32"/>
  <c r="AB18" i="32"/>
  <c r="AE18" i="32"/>
  <c r="AC22" i="32"/>
  <c r="K10" i="32"/>
  <c r="AB20" i="32"/>
  <c r="AE20" i="32"/>
  <c r="AC12" i="32"/>
  <c r="AE54" i="32"/>
  <c r="AB54" i="32"/>
  <c r="AE52" i="32"/>
  <c r="AB52" i="32"/>
  <c r="AE50" i="32"/>
  <c r="AB50" i="32"/>
  <c r="AB21" i="32"/>
  <c r="AE21" i="32"/>
  <c r="AE61" i="32"/>
  <c r="AC61" i="32"/>
  <c r="AC21" i="32"/>
  <c r="AC17" i="32"/>
  <c r="AC13" i="32"/>
  <c r="AE57" i="32"/>
  <c r="AB57" i="32"/>
  <c r="AB14" i="32"/>
  <c r="AE14" i="32"/>
  <c r="AE55" i="32"/>
  <c r="AB55" i="32"/>
  <c r="AE51" i="32"/>
  <c r="AB51" i="32"/>
  <c r="AB15" i="32"/>
  <c r="AE15" i="32"/>
  <c r="AB63" i="32"/>
  <c r="AB62" i="32"/>
  <c r="AE56" i="32"/>
  <c r="AB56" i="32"/>
  <c r="AB19" i="32"/>
  <c r="AE19" i="32"/>
  <c r="AC15" i="32"/>
  <c r="M12" i="32"/>
  <c r="J12" i="32"/>
  <c r="M8" i="32"/>
  <c r="J8" i="32"/>
  <c r="AB16" i="32"/>
  <c r="AE16" i="32"/>
  <c r="AC23" i="32"/>
  <c r="AD53" i="31"/>
  <c r="AD62" i="31"/>
  <c r="AF85" i="31"/>
  <c r="AF81" i="31"/>
  <c r="AF77" i="31"/>
  <c r="AF73" i="31"/>
  <c r="AB73" i="31" s="1"/>
  <c r="AF69" i="31"/>
  <c r="AF65" i="31"/>
  <c r="AF61" i="31"/>
  <c r="AB61" i="31" s="1"/>
  <c r="AF57" i="31"/>
  <c r="AB57" i="31" s="1"/>
  <c r="AF53" i="31"/>
  <c r="AD82" i="31"/>
  <c r="AF82" i="31"/>
  <c r="AE82" i="31" s="1"/>
  <c r="AF78" i="31"/>
  <c r="AE78" i="31" s="1"/>
  <c r="AF74" i="31"/>
  <c r="AE74" i="31" s="1"/>
  <c r="AF70" i="31"/>
  <c r="AE70" i="31" s="1"/>
  <c r="AF66" i="31"/>
  <c r="AE66" i="31" s="1"/>
  <c r="AF62" i="31"/>
  <c r="AE62" i="31" s="1"/>
  <c r="AF58" i="31"/>
  <c r="AE58" i="31" s="1"/>
  <c r="AF54" i="31"/>
  <c r="AE54" i="31" s="1"/>
  <c r="AB23" i="31"/>
  <c r="AB19" i="31"/>
  <c r="AB24" i="31"/>
  <c r="AB20" i="31"/>
  <c r="AB16" i="31"/>
  <c r="AF29" i="31"/>
  <c r="AF25" i="31"/>
  <c r="AB25" i="31" s="1"/>
  <c r="AF21" i="31"/>
  <c r="AF17" i="31"/>
  <c r="AF13" i="31"/>
  <c r="AB13" i="31" s="1"/>
  <c r="AF9" i="31"/>
  <c r="AB9" i="31" s="1"/>
  <c r="AF30" i="31"/>
  <c r="AE30" i="31" s="1"/>
  <c r="AF26" i="31"/>
  <c r="AE26" i="31" s="1"/>
  <c r="AF22" i="31"/>
  <c r="AE22" i="31" s="1"/>
  <c r="AF18" i="31"/>
  <c r="AE18" i="31" s="1"/>
  <c r="AF14" i="31"/>
  <c r="AE14" i="31" s="1"/>
  <c r="AF10" i="31"/>
  <c r="AE10" i="31" s="1"/>
  <c r="N10" i="31"/>
  <c r="K10" i="31" s="1"/>
  <c r="AH14" i="31"/>
  <c r="H41" i="31"/>
  <c r="H42" i="31" s="1"/>
  <c r="P28" i="31"/>
  <c r="AH53" i="31"/>
  <c r="H40" i="31"/>
  <c r="N24" i="31"/>
  <c r="M24" i="31" s="1"/>
  <c r="P24" i="31"/>
  <c r="P33" i="31"/>
  <c r="N21" i="31"/>
  <c r="J21" i="31" s="1"/>
  <c r="P11" i="31"/>
  <c r="P23" i="31"/>
  <c r="N26" i="31"/>
  <c r="J26" i="31" s="1"/>
  <c r="P27" i="31"/>
  <c r="P30" i="31"/>
  <c r="P26" i="31"/>
  <c r="AH10" i="31"/>
  <c r="AH12" i="31"/>
  <c r="AH16" i="31"/>
  <c r="AH52" i="31"/>
  <c r="AH54" i="31"/>
  <c r="N15" i="31"/>
  <c r="M15" i="31" s="1"/>
  <c r="N13" i="31"/>
  <c r="J13" i="31" s="1"/>
  <c r="P15" i="31"/>
  <c r="N22" i="31"/>
  <c r="K22" i="31" s="1"/>
  <c r="P29" i="31"/>
  <c r="L12" i="31"/>
  <c r="P13" i="31"/>
  <c r="L18" i="31"/>
  <c r="P22" i="31"/>
  <c r="P25" i="31"/>
  <c r="N29" i="31"/>
  <c r="J29" i="31" s="1"/>
  <c r="N31" i="31"/>
  <c r="K31" i="31" s="1"/>
  <c r="N32" i="31"/>
  <c r="J32" i="31" s="1"/>
  <c r="N11" i="31"/>
  <c r="K11" i="31" s="1"/>
  <c r="N17" i="31"/>
  <c r="J17" i="31" s="1"/>
  <c r="P21" i="31"/>
  <c r="N25" i="31"/>
  <c r="N28" i="31"/>
  <c r="K28" i="31" s="1"/>
  <c r="N30" i="31"/>
  <c r="K30" i="31" s="1"/>
  <c r="P31" i="31"/>
  <c r="P32" i="31"/>
  <c r="N8" i="31"/>
  <c r="J8" i="31" s="1"/>
  <c r="L8" i="31"/>
  <c r="P14" i="31"/>
  <c r="L14" i="31"/>
  <c r="N19" i="31"/>
  <c r="M19" i="31" s="1"/>
  <c r="P16" i="31"/>
  <c r="N16" i="31"/>
  <c r="J16" i="31" s="1"/>
  <c r="L16" i="31"/>
  <c r="M12" i="31"/>
  <c r="K12" i="31"/>
  <c r="AH13" i="31"/>
  <c r="AH15" i="31"/>
  <c r="P8" i="31"/>
  <c r="AH8" i="31"/>
  <c r="N14" i="31"/>
  <c r="J14" i="31" s="1"/>
  <c r="N7" i="31"/>
  <c r="P7" i="31"/>
  <c r="N9" i="31"/>
  <c r="J9" i="31" s="1"/>
  <c r="P9" i="31"/>
  <c r="AH11" i="31"/>
  <c r="P12" i="31"/>
  <c r="J12" i="31"/>
  <c r="AF7" i="31"/>
  <c r="AH7" i="31"/>
  <c r="AH9" i="31"/>
  <c r="P10" i="31"/>
  <c r="P19" i="31"/>
  <c r="L19" i="31"/>
  <c r="N23" i="31"/>
  <c r="N27" i="31"/>
  <c r="AF51" i="31"/>
  <c r="L17" i="31"/>
  <c r="N20" i="31"/>
  <c r="J20" i="31" s="1"/>
  <c r="N18" i="31"/>
  <c r="K18" i="31" s="1"/>
  <c r="P20" i="31"/>
  <c r="AD51" i="31"/>
  <c r="J51" i="30"/>
  <c r="N56" i="30"/>
  <c r="N52" i="30"/>
  <c r="N57" i="30"/>
  <c r="M57" i="30" s="1"/>
  <c r="N53" i="30"/>
  <c r="M53" i="30" s="1"/>
  <c r="N27" i="30"/>
  <c r="N23" i="30"/>
  <c r="L27" i="30"/>
  <c r="N19" i="30"/>
  <c r="N31" i="30"/>
  <c r="L23" i="30"/>
  <c r="N15" i="30"/>
  <c r="N11" i="30"/>
  <c r="N32" i="30"/>
  <c r="M32" i="30" s="1"/>
  <c r="N28" i="30"/>
  <c r="M28" i="30" s="1"/>
  <c r="N24" i="30"/>
  <c r="M24" i="30" s="1"/>
  <c r="N20" i="30"/>
  <c r="M20" i="30" s="1"/>
  <c r="N16" i="30"/>
  <c r="M16" i="30" s="1"/>
  <c r="N12" i="30"/>
  <c r="M12" i="30" s="1"/>
  <c r="N8" i="30"/>
  <c r="M8" i="30" s="1"/>
  <c r="AB10" i="30"/>
  <c r="AB9" i="30"/>
  <c r="AF15" i="30"/>
  <c r="AB15" i="30" s="1"/>
  <c r="AF11" i="30"/>
  <c r="AB11" i="30" s="1"/>
  <c r="AF16" i="30"/>
  <c r="AE16" i="30" s="1"/>
  <c r="AF12" i="30"/>
  <c r="AE12" i="30" s="1"/>
  <c r="AF8" i="30"/>
  <c r="AE8" i="30" s="1"/>
  <c r="O66" i="30"/>
  <c r="O67" i="30" s="1"/>
  <c r="H59" i="30"/>
  <c r="P59" i="30" s="1"/>
  <c r="Z34" i="30"/>
  <c r="AH34" i="30" s="1"/>
  <c r="AA33" i="30"/>
  <c r="Z33" i="30"/>
  <c r="AH33" i="30" s="1"/>
  <c r="AA32" i="30"/>
  <c r="Z32" i="30"/>
  <c r="AH32" i="30" s="1"/>
  <c r="AA31" i="30"/>
  <c r="Z31" i="30"/>
  <c r="AH31" i="30" s="1"/>
  <c r="AA30" i="30"/>
  <c r="Z30" i="30"/>
  <c r="I50" i="30"/>
  <c r="H50" i="30"/>
  <c r="AG20" i="30"/>
  <c r="AG21" i="30" s="1"/>
  <c r="AH15" i="30"/>
  <c r="AH14" i="30"/>
  <c r="P12" i="30"/>
  <c r="AA7" i="30"/>
  <c r="Z7" i="30"/>
  <c r="AH7" i="30" s="1"/>
  <c r="I7" i="30"/>
  <c r="H7" i="30"/>
  <c r="AG32" i="29"/>
  <c r="AG33" i="29" s="1"/>
  <c r="AG31" i="29"/>
  <c r="Z8" i="29"/>
  <c r="AD8" i="29" s="1"/>
  <c r="AA8" i="29"/>
  <c r="Z9" i="29"/>
  <c r="AD9" i="29" s="1"/>
  <c r="AA9" i="29"/>
  <c r="Z10" i="29"/>
  <c r="AD10" i="29" s="1"/>
  <c r="AA10" i="29"/>
  <c r="Z11" i="29"/>
  <c r="AD11" i="29" s="1"/>
  <c r="AA11" i="29"/>
  <c r="Z12" i="29"/>
  <c r="AD12" i="29" s="1"/>
  <c r="AA12" i="29"/>
  <c r="Z13" i="29"/>
  <c r="AH13" i="29" s="1"/>
  <c r="AA13" i="29"/>
  <c r="Z14" i="29"/>
  <c r="AH14" i="29" s="1"/>
  <c r="AA14" i="29"/>
  <c r="Z15" i="29"/>
  <c r="AH15" i="29" s="1"/>
  <c r="AA15" i="29"/>
  <c r="Z16" i="29"/>
  <c r="AH16" i="29" s="1"/>
  <c r="AA16" i="29"/>
  <c r="Z17" i="29"/>
  <c r="AH17" i="29" s="1"/>
  <c r="AA17" i="29"/>
  <c r="Z18" i="29"/>
  <c r="AH18" i="29" s="1"/>
  <c r="AA18" i="29"/>
  <c r="Z19" i="29"/>
  <c r="AD19" i="29" s="1"/>
  <c r="AA19" i="29"/>
  <c r="Z20" i="29"/>
  <c r="AH20" i="29" s="1"/>
  <c r="AA20" i="29"/>
  <c r="Z21" i="29"/>
  <c r="AD21" i="29" s="1"/>
  <c r="AA21" i="29"/>
  <c r="Z22" i="29"/>
  <c r="AH22" i="29" s="1"/>
  <c r="AA22" i="29"/>
  <c r="Z23" i="29"/>
  <c r="AH23" i="29" s="1"/>
  <c r="AA23" i="29"/>
  <c r="Z24" i="29"/>
  <c r="AD24" i="29" s="1"/>
  <c r="AA24" i="29"/>
  <c r="Z25" i="29"/>
  <c r="AA25" i="29"/>
  <c r="Z26" i="29"/>
  <c r="AH26" i="29" s="1"/>
  <c r="AA26" i="29"/>
  <c r="Z27" i="29"/>
  <c r="AH27" i="29" s="1"/>
  <c r="AG122" i="29"/>
  <c r="AG123" i="29" s="1"/>
  <c r="AG121" i="29"/>
  <c r="Z103" i="29"/>
  <c r="AD103" i="29" s="1"/>
  <c r="AA103" i="29"/>
  <c r="Z104" i="29"/>
  <c r="AD104" i="29" s="1"/>
  <c r="AA104" i="29"/>
  <c r="Z105" i="29"/>
  <c r="AD105" i="29" s="1"/>
  <c r="AA105" i="29"/>
  <c r="Z106" i="29"/>
  <c r="AA106" i="29"/>
  <c r="Z107" i="29"/>
  <c r="AD107" i="29" s="1"/>
  <c r="AA107" i="29"/>
  <c r="Z108" i="29"/>
  <c r="AD108" i="29" s="1"/>
  <c r="AA108" i="29"/>
  <c r="Z109" i="29"/>
  <c r="AD109" i="29" s="1"/>
  <c r="AA109" i="29"/>
  <c r="Z110" i="29"/>
  <c r="AD110" i="29" s="1"/>
  <c r="AA110" i="29"/>
  <c r="Z111" i="29"/>
  <c r="AD111" i="29" s="1"/>
  <c r="AA111" i="29"/>
  <c r="Z112" i="29"/>
  <c r="AD112" i="29" s="1"/>
  <c r="AA112" i="29"/>
  <c r="Z113" i="29"/>
  <c r="AD113" i="29" s="1"/>
  <c r="AA113" i="29"/>
  <c r="Z114" i="29"/>
  <c r="AD114" i="29" s="1"/>
  <c r="AA114" i="29"/>
  <c r="Z115" i="29"/>
  <c r="AD115" i="29" s="1"/>
  <c r="AA115" i="29"/>
  <c r="Z116" i="29"/>
  <c r="AH116" i="29" s="1"/>
  <c r="AA116" i="29"/>
  <c r="Z117" i="29"/>
  <c r="AH117" i="29" s="1"/>
  <c r="AA117" i="29"/>
  <c r="Z118" i="29"/>
  <c r="AH118" i="29" s="1"/>
  <c r="O152" i="29"/>
  <c r="O153" i="29" s="1"/>
  <c r="O151" i="29"/>
  <c r="H103" i="29"/>
  <c r="L103" i="29" s="1"/>
  <c r="I103" i="29"/>
  <c r="H104" i="29"/>
  <c r="L104" i="29" s="1"/>
  <c r="I104" i="29"/>
  <c r="H105" i="29"/>
  <c r="P105" i="29" s="1"/>
  <c r="I105" i="29"/>
  <c r="H106" i="29"/>
  <c r="P106" i="29" s="1"/>
  <c r="I106" i="29"/>
  <c r="H107" i="29"/>
  <c r="P107" i="29" s="1"/>
  <c r="I107" i="29"/>
  <c r="H108" i="29"/>
  <c r="P108" i="29" s="1"/>
  <c r="I108" i="29"/>
  <c r="H109" i="29"/>
  <c r="P109" i="29" s="1"/>
  <c r="I109" i="29"/>
  <c r="H110" i="29"/>
  <c r="I110" i="29"/>
  <c r="H111" i="29"/>
  <c r="L111" i="29" s="1"/>
  <c r="I111" i="29"/>
  <c r="H112" i="29"/>
  <c r="P112" i="29" s="1"/>
  <c r="I112" i="29"/>
  <c r="H113" i="29"/>
  <c r="P113" i="29" s="1"/>
  <c r="I113" i="29"/>
  <c r="H114" i="29"/>
  <c r="L114" i="29" s="1"/>
  <c r="I114" i="29"/>
  <c r="H115" i="29"/>
  <c r="L115" i="29" s="1"/>
  <c r="I115" i="29"/>
  <c r="H116" i="29"/>
  <c r="P116" i="29" s="1"/>
  <c r="I116" i="29"/>
  <c r="H117" i="29"/>
  <c r="P117" i="29" s="1"/>
  <c r="I117" i="29"/>
  <c r="H118" i="29"/>
  <c r="I118" i="29"/>
  <c r="H119" i="29"/>
  <c r="L119" i="29" s="1"/>
  <c r="I119" i="29"/>
  <c r="H120" i="29"/>
  <c r="L120" i="29" s="1"/>
  <c r="I120" i="29"/>
  <c r="H121" i="29"/>
  <c r="P121" i="29" s="1"/>
  <c r="I121" i="29"/>
  <c r="H122" i="29"/>
  <c r="P122" i="29" s="1"/>
  <c r="I122" i="29"/>
  <c r="H123" i="29"/>
  <c r="L123" i="29" s="1"/>
  <c r="I123" i="29"/>
  <c r="H124" i="29"/>
  <c r="L124" i="29" s="1"/>
  <c r="I124" i="29"/>
  <c r="H125" i="29"/>
  <c r="P125" i="29" s="1"/>
  <c r="I125" i="29"/>
  <c r="H126" i="29"/>
  <c r="P126" i="29" s="1"/>
  <c r="I126" i="29"/>
  <c r="H127" i="29"/>
  <c r="P127" i="29" s="1"/>
  <c r="I127" i="29"/>
  <c r="H128" i="29"/>
  <c r="L128" i="29" s="1"/>
  <c r="I128" i="29"/>
  <c r="H129" i="29"/>
  <c r="P129" i="29" s="1"/>
  <c r="I129" i="29"/>
  <c r="H130" i="29"/>
  <c r="I130" i="29"/>
  <c r="H131" i="29"/>
  <c r="L131" i="29" s="1"/>
  <c r="I131" i="29"/>
  <c r="H132" i="29"/>
  <c r="P132" i="29" s="1"/>
  <c r="I132" i="29"/>
  <c r="H133" i="29"/>
  <c r="P133" i="29" s="1"/>
  <c r="I133" i="29"/>
  <c r="H134" i="29"/>
  <c r="L134" i="29" s="1"/>
  <c r="I134" i="29"/>
  <c r="H135" i="29"/>
  <c r="L135" i="29" s="1"/>
  <c r="I135" i="29"/>
  <c r="H136" i="29"/>
  <c r="P136" i="29" s="1"/>
  <c r="I136" i="29"/>
  <c r="H137" i="29"/>
  <c r="P137" i="29" s="1"/>
  <c r="I137" i="29"/>
  <c r="H138" i="29"/>
  <c r="P138" i="29" s="1"/>
  <c r="I138" i="29"/>
  <c r="H139" i="29"/>
  <c r="P139" i="29" s="1"/>
  <c r="I139" i="29"/>
  <c r="H140" i="29"/>
  <c r="L140" i="29" s="1"/>
  <c r="I140" i="29"/>
  <c r="H141" i="29"/>
  <c r="P141" i="29" s="1"/>
  <c r="I141" i="29"/>
  <c r="H142" i="29"/>
  <c r="L142" i="29" s="1"/>
  <c r="I142" i="29"/>
  <c r="H143" i="29"/>
  <c r="L143" i="29" s="1"/>
  <c r="I143" i="29"/>
  <c r="H144" i="29"/>
  <c r="L144" i="29" s="1"/>
  <c r="I144" i="29"/>
  <c r="H145" i="29"/>
  <c r="P145" i="29" s="1"/>
  <c r="O94" i="29"/>
  <c r="O95" i="29"/>
  <c r="O96" i="29" s="1"/>
  <c r="H8" i="29"/>
  <c r="L8" i="29" s="1"/>
  <c r="I8" i="29"/>
  <c r="H9" i="29"/>
  <c r="I9" i="29"/>
  <c r="H10" i="29"/>
  <c r="I10" i="29"/>
  <c r="H11" i="29"/>
  <c r="L11" i="29" s="1"/>
  <c r="I11" i="29"/>
  <c r="H12" i="29"/>
  <c r="L12" i="29" s="1"/>
  <c r="I12" i="29"/>
  <c r="H13" i="29"/>
  <c r="I13" i="29"/>
  <c r="H14" i="29"/>
  <c r="P14" i="29" s="1"/>
  <c r="I14" i="29"/>
  <c r="H15" i="29"/>
  <c r="P15" i="29" s="1"/>
  <c r="I15" i="29"/>
  <c r="H16" i="29"/>
  <c r="L16" i="29" s="1"/>
  <c r="I16" i="29"/>
  <c r="H17" i="29"/>
  <c r="P17" i="29" s="1"/>
  <c r="I17" i="29"/>
  <c r="H18" i="29"/>
  <c r="P18" i="29" s="1"/>
  <c r="I18" i="29"/>
  <c r="H19" i="29"/>
  <c r="I19" i="29"/>
  <c r="H20" i="29"/>
  <c r="L20" i="29" s="1"/>
  <c r="I20" i="29"/>
  <c r="H21" i="29"/>
  <c r="P21" i="29" s="1"/>
  <c r="I21" i="29"/>
  <c r="H22" i="29"/>
  <c r="P22" i="29" s="1"/>
  <c r="I22" i="29"/>
  <c r="H23" i="29"/>
  <c r="P23" i="29" s="1"/>
  <c r="I23" i="29"/>
  <c r="H24" i="29"/>
  <c r="L24" i="29" s="1"/>
  <c r="I24" i="29"/>
  <c r="H25" i="29"/>
  <c r="P25" i="29" s="1"/>
  <c r="I25" i="29"/>
  <c r="H26" i="29"/>
  <c r="P26" i="29" s="1"/>
  <c r="I26" i="29"/>
  <c r="H27" i="29"/>
  <c r="I27" i="29"/>
  <c r="H28" i="29"/>
  <c r="P28" i="29" s="1"/>
  <c r="I28" i="29"/>
  <c r="H29" i="29"/>
  <c r="P29" i="29" s="1"/>
  <c r="I29" i="29"/>
  <c r="H30" i="29"/>
  <c r="P30" i="29" s="1"/>
  <c r="I30" i="29"/>
  <c r="H31" i="29"/>
  <c r="P31" i="29" s="1"/>
  <c r="I31" i="29"/>
  <c r="H32" i="29"/>
  <c r="L32" i="29" s="1"/>
  <c r="I32" i="29"/>
  <c r="H33" i="29"/>
  <c r="P33" i="29" s="1"/>
  <c r="I33" i="29"/>
  <c r="H34" i="29"/>
  <c r="P34" i="29" s="1"/>
  <c r="I34" i="29"/>
  <c r="H35" i="29"/>
  <c r="I35" i="29"/>
  <c r="H36" i="29"/>
  <c r="I36" i="29"/>
  <c r="H37" i="29"/>
  <c r="P37" i="29" s="1"/>
  <c r="I37" i="29"/>
  <c r="H38" i="29"/>
  <c r="P38" i="29" s="1"/>
  <c r="I38" i="29"/>
  <c r="H39" i="29"/>
  <c r="P39" i="29" s="1"/>
  <c r="I39" i="29"/>
  <c r="H40" i="29"/>
  <c r="L40" i="29" s="1"/>
  <c r="I40" i="29"/>
  <c r="H41" i="29"/>
  <c r="P41" i="29" s="1"/>
  <c r="I41" i="29"/>
  <c r="H42" i="29"/>
  <c r="P42" i="29" s="1"/>
  <c r="I42" i="29"/>
  <c r="H43" i="29"/>
  <c r="I43" i="29"/>
  <c r="H44" i="29"/>
  <c r="P44" i="29" s="1"/>
  <c r="I44" i="29"/>
  <c r="H45" i="29"/>
  <c r="P45" i="29" s="1"/>
  <c r="I45" i="29"/>
  <c r="H46" i="29"/>
  <c r="P46" i="29" s="1"/>
  <c r="I46" i="29"/>
  <c r="H47" i="29"/>
  <c r="P47" i="29" s="1"/>
  <c r="I47" i="29"/>
  <c r="H48" i="29"/>
  <c r="L48" i="29" s="1"/>
  <c r="I48" i="29"/>
  <c r="H49" i="29"/>
  <c r="P49" i="29" s="1"/>
  <c r="I49" i="29"/>
  <c r="H50" i="29"/>
  <c r="P50" i="29" s="1"/>
  <c r="I50" i="29"/>
  <c r="H51" i="29"/>
  <c r="I51" i="29"/>
  <c r="H52" i="29"/>
  <c r="P52" i="29" s="1"/>
  <c r="I52" i="29"/>
  <c r="H53" i="29"/>
  <c r="P53" i="29" s="1"/>
  <c r="I53" i="29"/>
  <c r="H54" i="29"/>
  <c r="P54" i="29" s="1"/>
  <c r="I54" i="29"/>
  <c r="H55" i="29"/>
  <c r="P55" i="29" s="1"/>
  <c r="I55" i="29"/>
  <c r="H56" i="29"/>
  <c r="L56" i="29" s="1"/>
  <c r="I56" i="29"/>
  <c r="H57" i="29"/>
  <c r="P57" i="29" s="1"/>
  <c r="I57" i="29"/>
  <c r="H58" i="29"/>
  <c r="P58" i="29" s="1"/>
  <c r="I58" i="29"/>
  <c r="H59" i="29"/>
  <c r="I59" i="29"/>
  <c r="H60" i="29"/>
  <c r="P60" i="29" s="1"/>
  <c r="I60" i="29"/>
  <c r="H61" i="29"/>
  <c r="P61" i="29" s="1"/>
  <c r="I61" i="29"/>
  <c r="H62" i="29"/>
  <c r="P62" i="29" s="1"/>
  <c r="I62" i="29"/>
  <c r="H63" i="29"/>
  <c r="P63" i="29" s="1"/>
  <c r="I63" i="29"/>
  <c r="H64" i="29"/>
  <c r="L64" i="29" s="1"/>
  <c r="I64" i="29"/>
  <c r="H65" i="29"/>
  <c r="P65" i="29" s="1"/>
  <c r="I65" i="29"/>
  <c r="H66" i="29"/>
  <c r="P66" i="29" s="1"/>
  <c r="I66" i="29"/>
  <c r="H67" i="29"/>
  <c r="I67" i="29"/>
  <c r="H68" i="29"/>
  <c r="P68" i="29" s="1"/>
  <c r="I68" i="29"/>
  <c r="H69" i="29"/>
  <c r="P69" i="29" s="1"/>
  <c r="I69" i="29"/>
  <c r="H70" i="29"/>
  <c r="P70" i="29" s="1"/>
  <c r="I70" i="29"/>
  <c r="H71" i="29"/>
  <c r="P71" i="29" s="1"/>
  <c r="I71" i="29"/>
  <c r="H72" i="29"/>
  <c r="L72" i="29" s="1"/>
  <c r="I72" i="29"/>
  <c r="H73" i="29"/>
  <c r="P73" i="29" s="1"/>
  <c r="I73" i="29"/>
  <c r="H74" i="29"/>
  <c r="P74" i="29" s="1"/>
  <c r="I74" i="29"/>
  <c r="H75" i="29"/>
  <c r="I75" i="29"/>
  <c r="H76" i="29"/>
  <c r="P76" i="29" s="1"/>
  <c r="I76" i="29"/>
  <c r="H77" i="29"/>
  <c r="P77" i="29" s="1"/>
  <c r="I77" i="29"/>
  <c r="H78" i="29"/>
  <c r="P78" i="29" s="1"/>
  <c r="I78" i="29"/>
  <c r="H79" i="29"/>
  <c r="P79" i="29" s="1"/>
  <c r="I79" i="29"/>
  <c r="H80" i="29"/>
  <c r="L80" i="29" s="1"/>
  <c r="I80" i="29"/>
  <c r="H81" i="29"/>
  <c r="I81" i="29"/>
  <c r="H82" i="29"/>
  <c r="P82" i="29" s="1"/>
  <c r="I82" i="29"/>
  <c r="H83" i="29"/>
  <c r="P83" i="29" s="1"/>
  <c r="I83" i="29"/>
  <c r="H84" i="29"/>
  <c r="P84" i="29" s="1"/>
  <c r="I84" i="29"/>
  <c r="H85" i="29"/>
  <c r="L85" i="29" s="1"/>
  <c r="I85" i="29"/>
  <c r="H86" i="29"/>
  <c r="P86" i="29" s="1"/>
  <c r="I86" i="29"/>
  <c r="H87" i="29"/>
  <c r="I87" i="29"/>
  <c r="H88" i="29"/>
  <c r="P88" i="29" s="1"/>
  <c r="I88" i="29"/>
  <c r="H89" i="29"/>
  <c r="P89" i="29" s="1"/>
  <c r="I89" i="29"/>
  <c r="H90" i="29"/>
  <c r="P90" i="29" s="1"/>
  <c r="I90" i="29"/>
  <c r="H91" i="29"/>
  <c r="P91" i="29" s="1"/>
  <c r="AA102" i="29"/>
  <c r="Z102" i="29"/>
  <c r="I102" i="29"/>
  <c r="H102" i="29"/>
  <c r="L102" i="29" s="1"/>
  <c r="AA7" i="29"/>
  <c r="Z7" i="29"/>
  <c r="I7" i="29"/>
  <c r="H7" i="29"/>
  <c r="L7" i="29" s="1"/>
  <c r="AG48" i="28"/>
  <c r="AG49" i="28" s="1"/>
  <c r="AG47" i="28"/>
  <c r="AG20" i="28"/>
  <c r="AG21" i="28" s="1"/>
  <c r="AG19" i="28"/>
  <c r="O46" i="28"/>
  <c r="O47" i="28" s="1"/>
  <c r="O45" i="28"/>
  <c r="O20" i="28"/>
  <c r="O21" i="28" s="1"/>
  <c r="O19" i="28"/>
  <c r="Z31" i="28"/>
  <c r="AD31" i="28" s="1"/>
  <c r="AA31" i="28"/>
  <c r="Z32" i="28"/>
  <c r="AD32" i="28" s="1"/>
  <c r="AA32" i="28"/>
  <c r="Z33" i="28"/>
  <c r="AD33" i="28" s="1"/>
  <c r="AA33" i="28"/>
  <c r="Z34" i="28"/>
  <c r="AD34" i="28" s="1"/>
  <c r="AA34" i="28"/>
  <c r="Z35" i="28"/>
  <c r="AD35" i="28" s="1"/>
  <c r="AA35" i="28"/>
  <c r="Z36" i="28"/>
  <c r="AD36" i="28" s="1"/>
  <c r="AA36" i="28"/>
  <c r="Z37" i="28"/>
  <c r="AD37" i="28" s="1"/>
  <c r="AA37" i="28"/>
  <c r="Z38" i="28"/>
  <c r="AA38" i="28"/>
  <c r="Z39" i="28"/>
  <c r="AD39" i="28" s="1"/>
  <c r="AA39" i="28"/>
  <c r="Z40" i="28"/>
  <c r="AD40" i="28" s="1"/>
  <c r="AA40" i="28"/>
  <c r="Z41" i="28"/>
  <c r="AH41" i="28" s="1"/>
  <c r="AA41" i="28"/>
  <c r="Z42" i="28"/>
  <c r="AH42" i="28" s="1"/>
  <c r="AA42" i="28"/>
  <c r="Z43" i="28"/>
  <c r="AD43" i="28" s="1"/>
  <c r="AA43" i="28"/>
  <c r="Z44" i="28"/>
  <c r="AH44" i="28" s="1"/>
  <c r="H39" i="28"/>
  <c r="I38" i="28"/>
  <c r="H38" i="28"/>
  <c r="I37" i="28"/>
  <c r="H37" i="28"/>
  <c r="I36" i="28"/>
  <c r="H36" i="28"/>
  <c r="I35" i="28"/>
  <c r="H35" i="28"/>
  <c r="I34" i="28"/>
  <c r="H34" i="28"/>
  <c r="I33" i="28"/>
  <c r="H33" i="28"/>
  <c r="I32" i="28"/>
  <c r="H32" i="28"/>
  <c r="I31" i="28"/>
  <c r="H31" i="28"/>
  <c r="AA30" i="28"/>
  <c r="Z30" i="28"/>
  <c r="AD30" i="28" s="1"/>
  <c r="I30" i="28"/>
  <c r="H30" i="28"/>
  <c r="Z15" i="28"/>
  <c r="AH15" i="28" s="1"/>
  <c r="H15" i="28"/>
  <c r="AA14" i="28"/>
  <c r="Z14" i="28"/>
  <c r="AH14" i="28" s="1"/>
  <c r="I14" i="28"/>
  <c r="H14" i="28"/>
  <c r="L14" i="28" s="1"/>
  <c r="AA13" i="28"/>
  <c r="Z13" i="28"/>
  <c r="I13" i="28"/>
  <c r="H13" i="28"/>
  <c r="L13" i="28" s="1"/>
  <c r="AA12" i="28"/>
  <c r="Z12" i="28"/>
  <c r="AH12" i="28" s="1"/>
  <c r="I12" i="28"/>
  <c r="H12" i="28"/>
  <c r="L12" i="28" s="1"/>
  <c r="AA11" i="28"/>
  <c r="Z11" i="28"/>
  <c r="AD11" i="28" s="1"/>
  <c r="I11" i="28"/>
  <c r="H11" i="28"/>
  <c r="L11" i="28" s="1"/>
  <c r="AA10" i="28"/>
  <c r="Z10" i="28"/>
  <c r="I10" i="28"/>
  <c r="H10" i="28"/>
  <c r="AA9" i="28"/>
  <c r="Z9" i="28"/>
  <c r="I9" i="28"/>
  <c r="H9" i="28"/>
  <c r="L9" i="28" s="1"/>
  <c r="AA8" i="28"/>
  <c r="Z8" i="28"/>
  <c r="AH8" i="28" s="1"/>
  <c r="I8" i="28"/>
  <c r="H8" i="28"/>
  <c r="AA7" i="28"/>
  <c r="Z7" i="28"/>
  <c r="AH7" i="28" s="1"/>
  <c r="I7" i="28"/>
  <c r="I20" i="28" s="1"/>
  <c r="I21" i="28" s="1"/>
  <c r="H7" i="28"/>
  <c r="AG46" i="27"/>
  <c r="AG47" i="27" s="1"/>
  <c r="AG45" i="27"/>
  <c r="Z39" i="27"/>
  <c r="AA38" i="27"/>
  <c r="Z38" i="27"/>
  <c r="AD38" i="27" s="1"/>
  <c r="AA37" i="27"/>
  <c r="Z37" i="27"/>
  <c r="AD37" i="27" s="1"/>
  <c r="AA36" i="27"/>
  <c r="Z36" i="27"/>
  <c r="AD36" i="27" s="1"/>
  <c r="AA35" i="27"/>
  <c r="Z35" i="27"/>
  <c r="AD35" i="27" s="1"/>
  <c r="AA34" i="27"/>
  <c r="Z34" i="27"/>
  <c r="AD34" i="27" s="1"/>
  <c r="AA33" i="27"/>
  <c r="Z33" i="27"/>
  <c r="AD33" i="27" s="1"/>
  <c r="AA32" i="27"/>
  <c r="Z32" i="27"/>
  <c r="AD32" i="27" s="1"/>
  <c r="AA31" i="27"/>
  <c r="Z31" i="27"/>
  <c r="AD31" i="27" s="1"/>
  <c r="AA30" i="27"/>
  <c r="Z30" i="27"/>
  <c r="AD30" i="27" s="1"/>
  <c r="O46" i="27"/>
  <c r="O47" i="27" s="1"/>
  <c r="O45" i="27"/>
  <c r="H33" i="27"/>
  <c r="L33" i="27" s="1"/>
  <c r="I33" i="27"/>
  <c r="H34" i="27"/>
  <c r="P34" i="27" s="1"/>
  <c r="I34" i="27"/>
  <c r="H35" i="27"/>
  <c r="L35" i="27" s="1"/>
  <c r="I35" i="27"/>
  <c r="H36" i="27"/>
  <c r="L36" i="27" s="1"/>
  <c r="I36" i="27"/>
  <c r="H37" i="27"/>
  <c r="L37" i="27" s="1"/>
  <c r="I37" i="27"/>
  <c r="H38" i="27"/>
  <c r="P38" i="27" s="1"/>
  <c r="I38" i="27"/>
  <c r="H39" i="27"/>
  <c r="P39" i="27" s="1"/>
  <c r="I39" i="27"/>
  <c r="H40" i="27"/>
  <c r="L40" i="27" s="1"/>
  <c r="I40" i="27"/>
  <c r="H41" i="27"/>
  <c r="L41" i="27" s="1"/>
  <c r="I41" i="27"/>
  <c r="H42" i="27"/>
  <c r="P42" i="27" s="1"/>
  <c r="I32" i="27"/>
  <c r="H32" i="27"/>
  <c r="P32" i="27" s="1"/>
  <c r="I31" i="27"/>
  <c r="H31" i="27"/>
  <c r="P31" i="27" s="1"/>
  <c r="I30" i="27"/>
  <c r="H30" i="27"/>
  <c r="AG20" i="27"/>
  <c r="AG21" i="27" s="1"/>
  <c r="AG19" i="27"/>
  <c r="Z15" i="27"/>
  <c r="AA14" i="27"/>
  <c r="Z14" i="27"/>
  <c r="AD14" i="27" s="1"/>
  <c r="AA13" i="27"/>
  <c r="Z13" i="27"/>
  <c r="AD13" i="27" s="1"/>
  <c r="AA12" i="27"/>
  <c r="Z12" i="27"/>
  <c r="AD12" i="27" s="1"/>
  <c r="AA11" i="27"/>
  <c r="Z11" i="27"/>
  <c r="AD11" i="27" s="1"/>
  <c r="AA10" i="27"/>
  <c r="Z10" i="27"/>
  <c r="AD10" i="27" s="1"/>
  <c r="AA9" i="27"/>
  <c r="Z9" i="27"/>
  <c r="AD9" i="27" s="1"/>
  <c r="AA8" i="27"/>
  <c r="Z8" i="27"/>
  <c r="AD8" i="27" s="1"/>
  <c r="AA7" i="27"/>
  <c r="Z7" i="27"/>
  <c r="AD7" i="27" s="1"/>
  <c r="O19" i="27"/>
  <c r="O20" i="27"/>
  <c r="O21" i="27" s="1"/>
  <c r="H17" i="27"/>
  <c r="P17" i="27" s="1"/>
  <c r="I16" i="27"/>
  <c r="H16" i="27"/>
  <c r="P16" i="27" s="1"/>
  <c r="I15" i="27"/>
  <c r="H15" i="27"/>
  <c r="P15" i="27" s="1"/>
  <c r="I14" i="27"/>
  <c r="H14" i="27"/>
  <c r="I13" i="27"/>
  <c r="H13" i="27"/>
  <c r="I12" i="27"/>
  <c r="H12" i="27"/>
  <c r="I11" i="27"/>
  <c r="H11" i="27"/>
  <c r="P11" i="27" s="1"/>
  <c r="I10" i="27"/>
  <c r="H10" i="27"/>
  <c r="I9" i="27"/>
  <c r="H9" i="27"/>
  <c r="I8" i="27"/>
  <c r="H8" i="27"/>
  <c r="I7" i="27"/>
  <c r="H7" i="27"/>
  <c r="P7" i="27" s="1"/>
  <c r="AE14" i="30" l="1"/>
  <c r="AB60" i="31"/>
  <c r="J9" i="30"/>
  <c r="K9" i="30"/>
  <c r="AB28" i="31"/>
  <c r="AB27" i="31"/>
  <c r="J17" i="30"/>
  <c r="AB11" i="31"/>
  <c r="J13" i="30"/>
  <c r="AB59" i="31"/>
  <c r="AE10" i="30"/>
  <c r="AC14" i="30"/>
  <c r="AB67" i="31"/>
  <c r="AC68" i="31"/>
  <c r="AC13" i="30"/>
  <c r="J26" i="30"/>
  <c r="K17" i="30"/>
  <c r="AB52" i="31"/>
  <c r="AB13" i="30"/>
  <c r="J34" i="30"/>
  <c r="J58" i="30"/>
  <c r="AE68" i="31"/>
  <c r="AB80" i="31"/>
  <c r="AB71" i="31"/>
  <c r="K58" i="30"/>
  <c r="AF38" i="28"/>
  <c r="AE38" i="28" s="1"/>
  <c r="J54" i="32"/>
  <c r="J55" i="32"/>
  <c r="J56" i="32" s="1"/>
  <c r="K54" i="32"/>
  <c r="K55" i="32"/>
  <c r="K56" i="32" s="1"/>
  <c r="M54" i="32"/>
  <c r="M55" i="32"/>
  <c r="M56" i="32" s="1"/>
  <c r="K60" i="32"/>
  <c r="K61" i="32"/>
  <c r="K62" i="32" s="1"/>
  <c r="M60" i="32"/>
  <c r="M61" i="32"/>
  <c r="M62" i="32" s="1"/>
  <c r="J60" i="32"/>
  <c r="J61" i="32"/>
  <c r="J62" i="32" s="1"/>
  <c r="J25" i="32"/>
  <c r="J26" i="32"/>
  <c r="J27" i="32" s="1"/>
  <c r="K31" i="32"/>
  <c r="K32" i="32"/>
  <c r="K33" i="32" s="1"/>
  <c r="M31" i="32"/>
  <c r="M32" i="32"/>
  <c r="M33" i="32" s="1"/>
  <c r="M25" i="32"/>
  <c r="M26" i="32"/>
  <c r="M27" i="32" s="1"/>
  <c r="J31" i="32"/>
  <c r="J32" i="32"/>
  <c r="J33" i="32" s="1"/>
  <c r="K25" i="32"/>
  <c r="K26" i="32"/>
  <c r="K27" i="32" s="1"/>
  <c r="H41" i="30"/>
  <c r="H42" i="30" s="1"/>
  <c r="H40" i="30"/>
  <c r="AE29" i="32"/>
  <c r="AE30" i="32"/>
  <c r="AE31" i="32" s="1"/>
  <c r="AB69" i="32"/>
  <c r="AB70" i="32"/>
  <c r="AB71" i="32" s="1"/>
  <c r="AB29" i="32"/>
  <c r="AB30" i="32"/>
  <c r="AB31" i="32" s="1"/>
  <c r="AA32" i="29"/>
  <c r="AA33" i="29" s="1"/>
  <c r="I40" i="30"/>
  <c r="I41" i="30"/>
  <c r="I42" i="30" s="1"/>
  <c r="AE69" i="32"/>
  <c r="AE70" i="32"/>
  <c r="AE71" i="32" s="1"/>
  <c r="AC69" i="32"/>
  <c r="AC70" i="32"/>
  <c r="AC71" i="32" s="1"/>
  <c r="AH91" i="31"/>
  <c r="AH92" i="31"/>
  <c r="AH93" i="31" s="1"/>
  <c r="AD92" i="31"/>
  <c r="AD93" i="31" s="1"/>
  <c r="AD91" i="31"/>
  <c r="AC29" i="32"/>
  <c r="AC30" i="32"/>
  <c r="AC31" i="32" s="1"/>
  <c r="AC52" i="31"/>
  <c r="AF91" i="31"/>
  <c r="AF92" i="31"/>
  <c r="AF93" i="31" s="1"/>
  <c r="J18" i="30"/>
  <c r="K18" i="30"/>
  <c r="AC79" i="31"/>
  <c r="AB83" i="31"/>
  <c r="AB72" i="31"/>
  <c r="AE76" i="31"/>
  <c r="AB84" i="31"/>
  <c r="AC84" i="31"/>
  <c r="K22" i="30"/>
  <c r="Z121" i="29"/>
  <c r="AB55" i="31"/>
  <c r="AB75" i="31"/>
  <c r="AE64" i="31"/>
  <c r="AC75" i="31"/>
  <c r="AC72" i="31"/>
  <c r="M14" i="30"/>
  <c r="J22" i="30"/>
  <c r="J29" i="30"/>
  <c r="J54" i="30"/>
  <c r="AB12" i="31"/>
  <c r="AB63" i="31"/>
  <c r="AB79" i="31"/>
  <c r="K55" i="30"/>
  <c r="K14" i="30"/>
  <c r="J30" i="30"/>
  <c r="K33" i="30"/>
  <c r="J33" i="30"/>
  <c r="AB15" i="31"/>
  <c r="AC56" i="31"/>
  <c r="K30" i="30"/>
  <c r="J55" i="30"/>
  <c r="AB8" i="31"/>
  <c r="AB56" i="31"/>
  <c r="AC8" i="31"/>
  <c r="K29" i="30"/>
  <c r="AC15" i="31"/>
  <c r="AC12" i="31"/>
  <c r="P36" i="27"/>
  <c r="N43" i="29"/>
  <c r="M21" i="31"/>
  <c r="L84" i="29"/>
  <c r="L141" i="29"/>
  <c r="AF43" i="28"/>
  <c r="AE43" i="28" s="1"/>
  <c r="K54" i="30"/>
  <c r="K34" i="30"/>
  <c r="N33" i="27"/>
  <c r="M33" i="27" s="1"/>
  <c r="K51" i="30"/>
  <c r="N36" i="29"/>
  <c r="M36" i="29" s="1"/>
  <c r="N107" i="29"/>
  <c r="K107" i="29" s="1"/>
  <c r="AD23" i="29"/>
  <c r="AC18" i="31"/>
  <c r="P37" i="27"/>
  <c r="P35" i="27"/>
  <c r="L63" i="29"/>
  <c r="N60" i="29"/>
  <c r="M60" i="29" s="1"/>
  <c r="L126" i="29"/>
  <c r="N115" i="29"/>
  <c r="M115" i="29" s="1"/>
  <c r="P111" i="29"/>
  <c r="AD117" i="29"/>
  <c r="AD20" i="29"/>
  <c r="N88" i="29"/>
  <c r="J88" i="29" s="1"/>
  <c r="P40" i="27"/>
  <c r="N36" i="27"/>
  <c r="M36" i="27" s="1"/>
  <c r="L60" i="29"/>
  <c r="N123" i="29"/>
  <c r="J123" i="29" s="1"/>
  <c r="L108" i="29"/>
  <c r="AD116" i="29"/>
  <c r="P123" i="29"/>
  <c r="AF115" i="29"/>
  <c r="AE115" i="29" s="1"/>
  <c r="AF111" i="29"/>
  <c r="AE111" i="29" s="1"/>
  <c r="N110" i="29"/>
  <c r="M110" i="29" s="1"/>
  <c r="I45" i="27"/>
  <c r="N75" i="29"/>
  <c r="J75" i="29" s="1"/>
  <c r="N44" i="29"/>
  <c r="M44" i="29" s="1"/>
  <c r="N130" i="29"/>
  <c r="M130" i="29" s="1"/>
  <c r="N122" i="29"/>
  <c r="M122" i="29" s="1"/>
  <c r="AA31" i="29"/>
  <c r="AA121" i="29"/>
  <c r="L89" i="29"/>
  <c r="N52" i="29"/>
  <c r="M52" i="29" s="1"/>
  <c r="L47" i="29"/>
  <c r="L44" i="29"/>
  <c r="N135" i="29"/>
  <c r="M135" i="29" s="1"/>
  <c r="N131" i="29"/>
  <c r="J131" i="29" s="1"/>
  <c r="L127" i="29"/>
  <c r="N126" i="29"/>
  <c r="M126" i="29" s="1"/>
  <c r="L122" i="29"/>
  <c r="N111" i="29"/>
  <c r="M111" i="29" s="1"/>
  <c r="N106" i="29"/>
  <c r="M106" i="29" s="1"/>
  <c r="AF114" i="29"/>
  <c r="AE114" i="29" s="1"/>
  <c r="AF103" i="29"/>
  <c r="AE103" i="29" s="1"/>
  <c r="AF25" i="29"/>
  <c r="AE25" i="29" s="1"/>
  <c r="AD14" i="29"/>
  <c r="AB82" i="31"/>
  <c r="H45" i="28"/>
  <c r="N33" i="28"/>
  <c r="M33" i="28" s="1"/>
  <c r="L55" i="29"/>
  <c r="L52" i="29"/>
  <c r="N35" i="29"/>
  <c r="L138" i="29"/>
  <c r="L107" i="29"/>
  <c r="L106" i="29"/>
  <c r="AF110" i="29"/>
  <c r="AE110" i="29" s="1"/>
  <c r="AF26" i="29"/>
  <c r="AE26" i="29" s="1"/>
  <c r="AD17" i="29"/>
  <c r="AF14" i="29"/>
  <c r="AE14" i="29" s="1"/>
  <c r="AF10" i="29"/>
  <c r="AE10" i="29" s="1"/>
  <c r="AC66" i="31"/>
  <c r="J107" i="29"/>
  <c r="N83" i="29"/>
  <c r="K83" i="29" s="1"/>
  <c r="N8" i="27"/>
  <c r="M8" i="27" s="1"/>
  <c r="N12" i="27"/>
  <c r="K12" i="27" s="1"/>
  <c r="N14" i="27"/>
  <c r="J14" i="27" s="1"/>
  <c r="AH12" i="27"/>
  <c r="H46" i="27"/>
  <c r="H47" i="27" s="1"/>
  <c r="N41" i="27"/>
  <c r="M41" i="27" s="1"/>
  <c r="L38" i="27"/>
  <c r="N37" i="27"/>
  <c r="J37" i="27" s="1"/>
  <c r="AD45" i="27"/>
  <c r="I45" i="28"/>
  <c r="AH39" i="28"/>
  <c r="AF39" i="28"/>
  <c r="AE39" i="28" s="1"/>
  <c r="AF31" i="28"/>
  <c r="AE31" i="28" s="1"/>
  <c r="AH43" i="28"/>
  <c r="N80" i="29"/>
  <c r="M80" i="29" s="1"/>
  <c r="N76" i="29"/>
  <c r="M76" i="29" s="1"/>
  <c r="L68" i="29"/>
  <c r="N67" i="29"/>
  <c r="M67" i="29" s="1"/>
  <c r="N63" i="29"/>
  <c r="K63" i="29" s="1"/>
  <c r="N55" i="29"/>
  <c r="K55" i="29" s="1"/>
  <c r="N47" i="29"/>
  <c r="M47" i="29" s="1"/>
  <c r="L39" i="29"/>
  <c r="L139" i="29"/>
  <c r="N138" i="29"/>
  <c r="J138" i="29" s="1"/>
  <c r="N127" i="29"/>
  <c r="K127" i="29" s="1"/>
  <c r="L116" i="29"/>
  <c r="AF106" i="29"/>
  <c r="AE106" i="29" s="1"/>
  <c r="AF18" i="29"/>
  <c r="AE18" i="29" s="1"/>
  <c r="AF9" i="29"/>
  <c r="AE9" i="29" s="1"/>
  <c r="AH19" i="29"/>
  <c r="J32" i="30"/>
  <c r="L41" i="31"/>
  <c r="L42" i="31" s="1"/>
  <c r="AD41" i="31"/>
  <c r="AD42" i="31" s="1"/>
  <c r="AH9" i="27"/>
  <c r="L39" i="27"/>
  <c r="I46" i="27"/>
  <c r="I47" i="27" s="1"/>
  <c r="AA46" i="27"/>
  <c r="AA47" i="27" s="1"/>
  <c r="N7" i="28"/>
  <c r="I19" i="28"/>
  <c r="AD42" i="28"/>
  <c r="AF35" i="28"/>
  <c r="AE35" i="28" s="1"/>
  <c r="I152" i="29"/>
  <c r="I153" i="29" s="1"/>
  <c r="N84" i="29"/>
  <c r="J84" i="29" s="1"/>
  <c r="L83" i="29"/>
  <c r="N68" i="29"/>
  <c r="J68" i="29" s="1"/>
  <c r="N32" i="29"/>
  <c r="M32" i="29" s="1"/>
  <c r="N28" i="29"/>
  <c r="M28" i="29" s="1"/>
  <c r="N24" i="29"/>
  <c r="M24" i="29" s="1"/>
  <c r="N20" i="29"/>
  <c r="M20" i="29" s="1"/>
  <c r="N16" i="29"/>
  <c r="M16" i="29" s="1"/>
  <c r="N12" i="29"/>
  <c r="M12" i="29" s="1"/>
  <c r="N8" i="29"/>
  <c r="M8" i="29" s="1"/>
  <c r="N139" i="29"/>
  <c r="K139" i="29" s="1"/>
  <c r="N118" i="29"/>
  <c r="M118" i="29" s="1"/>
  <c r="AF107" i="29"/>
  <c r="AE107" i="29" s="1"/>
  <c r="AF22" i="29"/>
  <c r="AE22" i="29" s="1"/>
  <c r="AD18" i="29"/>
  <c r="AF17" i="29"/>
  <c r="AE17" i="29" s="1"/>
  <c r="AD16" i="29"/>
  <c r="AD13" i="29"/>
  <c r="AB12" i="30"/>
  <c r="K57" i="30"/>
  <c r="K26" i="31"/>
  <c r="AB18" i="31"/>
  <c r="AC82" i="31"/>
  <c r="AA47" i="28"/>
  <c r="AF42" i="28"/>
  <c r="AE42" i="28" s="1"/>
  <c r="Z31" i="29"/>
  <c r="N71" i="29"/>
  <c r="M71" i="29" s="1"/>
  <c r="P20" i="29"/>
  <c r="N143" i="29"/>
  <c r="J143" i="29" s="1"/>
  <c r="N119" i="29"/>
  <c r="M119" i="29" s="1"/>
  <c r="N103" i="29"/>
  <c r="M103" i="29" s="1"/>
  <c r="P103" i="29"/>
  <c r="AF13" i="29"/>
  <c r="AE13" i="29" s="1"/>
  <c r="J28" i="30"/>
  <c r="M10" i="31"/>
  <c r="AC70" i="31"/>
  <c r="AC76" i="31"/>
  <c r="K135" i="29"/>
  <c r="AC103" i="29"/>
  <c r="AC30" i="31"/>
  <c r="AC16" i="31"/>
  <c r="AC14" i="29"/>
  <c r="H20" i="27"/>
  <c r="H21" i="27" s="1"/>
  <c r="N16" i="27"/>
  <c r="M16" i="27" s="1"/>
  <c r="Z19" i="27"/>
  <c r="P33" i="27"/>
  <c r="L34" i="27"/>
  <c r="H45" i="27"/>
  <c r="Z45" i="27"/>
  <c r="AD46" i="27"/>
  <c r="AD47" i="27" s="1"/>
  <c r="Z19" i="28"/>
  <c r="H46" i="28"/>
  <c r="H47" i="28" s="1"/>
  <c r="AD41" i="28"/>
  <c r="AD38" i="28"/>
  <c r="Z48" i="28"/>
  <c r="Z49" i="28" s="1"/>
  <c r="AH40" i="28"/>
  <c r="N79" i="29"/>
  <c r="J79" i="29" s="1"/>
  <c r="L71" i="29"/>
  <c r="N31" i="29"/>
  <c r="N23" i="29"/>
  <c r="J23" i="29" s="1"/>
  <c r="N15" i="29"/>
  <c r="M15" i="29" s="1"/>
  <c r="P85" i="29"/>
  <c r="L137" i="29"/>
  <c r="L130" i="29"/>
  <c r="L118" i="29"/>
  <c r="L110" i="29"/>
  <c r="P144" i="29"/>
  <c r="P140" i="29"/>
  <c r="P128" i="29"/>
  <c r="P124" i="29"/>
  <c r="P120" i="29"/>
  <c r="P104" i="29"/>
  <c r="AD106" i="29"/>
  <c r="AD25" i="29"/>
  <c r="AD15" i="29"/>
  <c r="AC10" i="29"/>
  <c r="AH25" i="29"/>
  <c r="AH21" i="29"/>
  <c r="L7" i="30"/>
  <c r="H66" i="30"/>
  <c r="H67" i="30" s="1"/>
  <c r="H65" i="30"/>
  <c r="J20" i="30"/>
  <c r="AC83" i="31"/>
  <c r="J21" i="30"/>
  <c r="AC20" i="31"/>
  <c r="P41" i="27"/>
  <c r="Z46" i="27"/>
  <c r="Z47" i="27" s="1"/>
  <c r="AC38" i="28"/>
  <c r="Z47" i="28"/>
  <c r="H94" i="29"/>
  <c r="P36" i="29"/>
  <c r="K130" i="29"/>
  <c r="K110" i="29"/>
  <c r="P143" i="29"/>
  <c r="P135" i="29"/>
  <c r="P131" i="29"/>
  <c r="P119" i="29"/>
  <c r="P115" i="29"/>
  <c r="I151" i="29"/>
  <c r="AH24" i="29"/>
  <c r="AH41" i="31"/>
  <c r="AH42" i="31" s="1"/>
  <c r="AH40" i="31"/>
  <c r="AC22" i="31"/>
  <c r="AC55" i="31"/>
  <c r="AC67" i="31"/>
  <c r="N40" i="27"/>
  <c r="M40" i="27" s="1"/>
  <c r="AA45" i="27"/>
  <c r="H20" i="28"/>
  <c r="H21" i="28" s="1"/>
  <c r="I46" i="28"/>
  <c r="I47" i="28" s="1"/>
  <c r="AF34" i="28"/>
  <c r="AE34" i="28" s="1"/>
  <c r="AA48" i="28"/>
  <c r="AA49" i="28" s="1"/>
  <c r="L88" i="29"/>
  <c r="N59" i="29"/>
  <c r="K59" i="29" s="1"/>
  <c r="L36" i="29"/>
  <c r="N142" i="29"/>
  <c r="J142" i="29" s="1"/>
  <c r="N134" i="29"/>
  <c r="M134" i="29" s="1"/>
  <c r="N114" i="29"/>
  <c r="M114" i="29" s="1"/>
  <c r="P142" i="29"/>
  <c r="P134" i="29"/>
  <c r="P130" i="29"/>
  <c r="P118" i="29"/>
  <c r="P114" i="29"/>
  <c r="P110" i="29"/>
  <c r="H151" i="29"/>
  <c r="AC110" i="29"/>
  <c r="AD22" i="29"/>
  <c r="AF21" i="29"/>
  <c r="AE21" i="29" s="1"/>
  <c r="Z32" i="29"/>
  <c r="Z33" i="29" s="1"/>
  <c r="AD30" i="30"/>
  <c r="Z38" i="30"/>
  <c r="Z39" i="30" s="1"/>
  <c r="Z37" i="30"/>
  <c r="AC51" i="31"/>
  <c r="AB7" i="31"/>
  <c r="AF40" i="31"/>
  <c r="AF41" i="31"/>
  <c r="AF42" i="31" s="1"/>
  <c r="L40" i="31"/>
  <c r="AC59" i="31"/>
  <c r="AC11" i="31"/>
  <c r="K21" i="30"/>
  <c r="AC64" i="31"/>
  <c r="AD40" i="31"/>
  <c r="Z20" i="27"/>
  <c r="Z21" i="27" s="1"/>
  <c r="H19" i="28"/>
  <c r="L79" i="29"/>
  <c r="L76" i="29"/>
  <c r="N64" i="29"/>
  <c r="M64" i="29" s="1"/>
  <c r="N39" i="29"/>
  <c r="M39" i="29" s="1"/>
  <c r="L31" i="29"/>
  <c r="L28" i="29"/>
  <c r="L23" i="29"/>
  <c r="L15" i="29"/>
  <c r="N11" i="29"/>
  <c r="K11" i="29" s="1"/>
  <c r="L117" i="29"/>
  <c r="H152" i="29"/>
  <c r="H153" i="29" s="1"/>
  <c r="AD26" i="29"/>
  <c r="AA37" i="30"/>
  <c r="AA38" i="30"/>
  <c r="AA39" i="30" s="1"/>
  <c r="K12" i="30"/>
  <c r="K28" i="30"/>
  <c r="P41" i="31"/>
  <c r="P42" i="31" s="1"/>
  <c r="P40" i="31"/>
  <c r="AB70" i="31"/>
  <c r="M25" i="30"/>
  <c r="J25" i="30"/>
  <c r="K25" i="30"/>
  <c r="AC71" i="31"/>
  <c r="AC27" i="31"/>
  <c r="AC23" i="31"/>
  <c r="M10" i="30"/>
  <c r="K10" i="30"/>
  <c r="AC80" i="31"/>
  <c r="K26" i="30"/>
  <c r="K19" i="32"/>
  <c r="K20" i="32" s="1"/>
  <c r="K18" i="32"/>
  <c r="J49" i="32"/>
  <c r="J50" i="32" s="1"/>
  <c r="J48" i="32"/>
  <c r="M19" i="32"/>
  <c r="M20" i="32" s="1"/>
  <c r="M18" i="32"/>
  <c r="M49" i="32"/>
  <c r="M50" i="32" s="1"/>
  <c r="M48" i="32"/>
  <c r="J19" i="32"/>
  <c r="J20" i="32" s="1"/>
  <c r="J18" i="32"/>
  <c r="K49" i="32"/>
  <c r="K50" i="32" s="1"/>
  <c r="K48" i="32"/>
  <c r="AE53" i="31"/>
  <c r="AC53" i="31"/>
  <c r="AE65" i="31"/>
  <c r="AC65" i="31"/>
  <c r="AB65" i="31"/>
  <c r="AB58" i="31"/>
  <c r="AE57" i="31"/>
  <c r="AC57" i="31"/>
  <c r="AE77" i="31"/>
  <c r="AC77" i="31"/>
  <c r="AC58" i="31"/>
  <c r="AC62" i="31"/>
  <c r="AE61" i="31"/>
  <c r="AC61" i="31"/>
  <c r="AE69" i="31"/>
  <c r="AC69" i="31"/>
  <c r="AE81" i="31"/>
  <c r="AC81" i="31"/>
  <c r="AB66" i="31"/>
  <c r="AB53" i="31"/>
  <c r="AB78" i="31"/>
  <c r="AB74" i="31"/>
  <c r="AC74" i="31"/>
  <c r="AB62" i="31"/>
  <c r="AE73" i="31"/>
  <c r="AC73" i="31"/>
  <c r="AE85" i="31"/>
  <c r="AC85" i="31"/>
  <c r="AB54" i="31"/>
  <c r="AB69" i="31"/>
  <c r="AC78" i="31"/>
  <c r="AC54" i="31"/>
  <c r="AB81" i="31"/>
  <c r="AB77" i="31"/>
  <c r="AB85" i="31"/>
  <c r="AE17" i="31"/>
  <c r="AC17" i="31"/>
  <c r="AB17" i="31"/>
  <c r="AE21" i="31"/>
  <c r="AC21" i="31"/>
  <c r="AB21" i="31"/>
  <c r="AC14" i="31"/>
  <c r="AC26" i="31"/>
  <c r="AE9" i="31"/>
  <c r="AC9" i="31"/>
  <c r="AE25" i="31"/>
  <c r="AC25" i="31"/>
  <c r="AB30" i="31"/>
  <c r="AB26" i="31"/>
  <c r="AC10" i="31"/>
  <c r="AE13" i="31"/>
  <c r="AC13" i="31"/>
  <c r="AE29" i="31"/>
  <c r="AC29" i="31"/>
  <c r="AB14" i="31"/>
  <c r="AB10" i="31"/>
  <c r="AB29" i="31"/>
  <c r="AB22" i="31"/>
  <c r="J7" i="31"/>
  <c r="N41" i="31"/>
  <c r="N42" i="31" s="1"/>
  <c r="N40" i="31"/>
  <c r="J30" i="31"/>
  <c r="J15" i="31"/>
  <c r="J10" i="31"/>
  <c r="K24" i="31"/>
  <c r="J28" i="31"/>
  <c r="J31" i="31"/>
  <c r="J24" i="31"/>
  <c r="K21" i="31"/>
  <c r="M31" i="31"/>
  <c r="M30" i="31"/>
  <c r="M26" i="31"/>
  <c r="M22" i="31"/>
  <c r="M17" i="31"/>
  <c r="J22" i="31"/>
  <c r="K32" i="31"/>
  <c r="M13" i="31"/>
  <c r="K13" i="31"/>
  <c r="K17" i="31"/>
  <c r="M28" i="31"/>
  <c r="M32" i="31"/>
  <c r="M25" i="31"/>
  <c r="K25" i="31"/>
  <c r="J25" i="31"/>
  <c r="M11" i="31"/>
  <c r="J11" i="31"/>
  <c r="M29" i="31"/>
  <c r="K29" i="31"/>
  <c r="J19" i="31"/>
  <c r="K19" i="31"/>
  <c r="K15" i="31"/>
  <c r="J27" i="31"/>
  <c r="M27" i="31"/>
  <c r="AE7" i="31"/>
  <c r="AC7" i="31"/>
  <c r="M9" i="31"/>
  <c r="K9" i="31"/>
  <c r="M7" i="31"/>
  <c r="K7" i="31"/>
  <c r="K27" i="31"/>
  <c r="M8" i="31"/>
  <c r="K8" i="31"/>
  <c r="M16" i="31"/>
  <c r="K16" i="31"/>
  <c r="M20" i="31"/>
  <c r="K20" i="31"/>
  <c r="AB51" i="31"/>
  <c r="AE51" i="31"/>
  <c r="M14" i="31"/>
  <c r="K14" i="31"/>
  <c r="M18" i="31"/>
  <c r="J18" i="31"/>
  <c r="J23" i="31"/>
  <c r="M23" i="31"/>
  <c r="K23" i="31"/>
  <c r="M52" i="30"/>
  <c r="K52" i="30"/>
  <c r="M56" i="30"/>
  <c r="K56" i="30"/>
  <c r="J52" i="30"/>
  <c r="J53" i="30"/>
  <c r="K53" i="30"/>
  <c r="J56" i="30"/>
  <c r="J57" i="30"/>
  <c r="M11" i="30"/>
  <c r="K11" i="30"/>
  <c r="M31" i="30"/>
  <c r="K31" i="30"/>
  <c r="J24" i="30"/>
  <c r="M15" i="30"/>
  <c r="K15" i="30"/>
  <c r="J31" i="30"/>
  <c r="J12" i="30"/>
  <c r="M19" i="30"/>
  <c r="K19" i="30"/>
  <c r="M23" i="30"/>
  <c r="K23" i="30"/>
  <c r="K8" i="30"/>
  <c r="K32" i="30"/>
  <c r="J15" i="30"/>
  <c r="J19" i="30"/>
  <c r="J8" i="30"/>
  <c r="J23" i="30"/>
  <c r="M27" i="30"/>
  <c r="K27" i="30"/>
  <c r="J16" i="30"/>
  <c r="K16" i="30"/>
  <c r="K20" i="30"/>
  <c r="J11" i="30"/>
  <c r="K24" i="30"/>
  <c r="J27" i="30"/>
  <c r="P10" i="30"/>
  <c r="P13" i="30"/>
  <c r="P7" i="30"/>
  <c r="AD33" i="30"/>
  <c r="AD32" i="30"/>
  <c r="AB16" i="30"/>
  <c r="AC15" i="30"/>
  <c r="AE15" i="30"/>
  <c r="AC12" i="30"/>
  <c r="AC11" i="30"/>
  <c r="AE11" i="30"/>
  <c r="AB8" i="30"/>
  <c r="AC8" i="30"/>
  <c r="AC16" i="30"/>
  <c r="AH9" i="30"/>
  <c r="AH13" i="30"/>
  <c r="AH8" i="30"/>
  <c r="AH10" i="30"/>
  <c r="AH11" i="30"/>
  <c r="AH12" i="30"/>
  <c r="Z19" i="30"/>
  <c r="Z20" i="30"/>
  <c r="Z21" i="30" s="1"/>
  <c r="AD31" i="30"/>
  <c r="P11" i="30"/>
  <c r="P8" i="30"/>
  <c r="P9" i="30"/>
  <c r="P14" i="30"/>
  <c r="P51" i="30"/>
  <c r="P55" i="30"/>
  <c r="AA19" i="30"/>
  <c r="AA20" i="30"/>
  <c r="AA21" i="30" s="1"/>
  <c r="P50" i="30"/>
  <c r="L50" i="30"/>
  <c r="N50" i="30"/>
  <c r="K50" i="30" s="1"/>
  <c r="P54" i="30"/>
  <c r="P58" i="30"/>
  <c r="N7" i="30"/>
  <c r="P53" i="30"/>
  <c r="P57" i="30"/>
  <c r="AF7" i="30"/>
  <c r="P52" i="30"/>
  <c r="P56" i="30"/>
  <c r="AH30" i="30"/>
  <c r="AF30" i="30"/>
  <c r="AF31" i="30"/>
  <c r="AC31" i="30" s="1"/>
  <c r="AF32" i="30"/>
  <c r="AC32" i="30" s="1"/>
  <c r="AF33" i="30"/>
  <c r="AC33" i="30" s="1"/>
  <c r="I65" i="30"/>
  <c r="I66" i="30"/>
  <c r="I67" i="30" s="1"/>
  <c r="AD7" i="30"/>
  <c r="AB25" i="29"/>
  <c r="AB9" i="29"/>
  <c r="AB26" i="29"/>
  <c r="AB22" i="29"/>
  <c r="AB10" i="29"/>
  <c r="AF23" i="29"/>
  <c r="AB23" i="29" s="1"/>
  <c r="AF19" i="29"/>
  <c r="AB19" i="29" s="1"/>
  <c r="AF15" i="29"/>
  <c r="AF11" i="29"/>
  <c r="AB11" i="29" s="1"/>
  <c r="AF24" i="29"/>
  <c r="AE24" i="29" s="1"/>
  <c r="AF20" i="29"/>
  <c r="AE20" i="29" s="1"/>
  <c r="AF16" i="29"/>
  <c r="AE16" i="29" s="1"/>
  <c r="AF12" i="29"/>
  <c r="AE12" i="29" s="1"/>
  <c r="AF8" i="29"/>
  <c r="AE8" i="29" s="1"/>
  <c r="AB110" i="29"/>
  <c r="AB111" i="29"/>
  <c r="AB103" i="29"/>
  <c r="AF116" i="29"/>
  <c r="AF112" i="29"/>
  <c r="AF108" i="29"/>
  <c r="AF104" i="29"/>
  <c r="AF117" i="29"/>
  <c r="AE117" i="29" s="1"/>
  <c r="AF113" i="29"/>
  <c r="AE113" i="29" s="1"/>
  <c r="AF109" i="29"/>
  <c r="AE109" i="29" s="1"/>
  <c r="AF105" i="29"/>
  <c r="AE105" i="29" s="1"/>
  <c r="AH111" i="29"/>
  <c r="L136" i="29"/>
  <c r="L132" i="29"/>
  <c r="J130" i="29"/>
  <c r="J118" i="29"/>
  <c r="L112" i="29"/>
  <c r="J110" i="29"/>
  <c r="M142" i="29"/>
  <c r="J139" i="29"/>
  <c r="J135" i="29"/>
  <c r="L133" i="29"/>
  <c r="L129" i="29"/>
  <c r="L125" i="29"/>
  <c r="L121" i="29"/>
  <c r="J119" i="29"/>
  <c r="L113" i="29"/>
  <c r="J103" i="29"/>
  <c r="N144" i="29"/>
  <c r="N140" i="29"/>
  <c r="J140" i="29" s="1"/>
  <c r="N136" i="29"/>
  <c r="N132" i="29"/>
  <c r="J132" i="29" s="1"/>
  <c r="N128" i="29"/>
  <c r="N124" i="29"/>
  <c r="J124" i="29" s="1"/>
  <c r="M123" i="29"/>
  <c r="N120" i="29"/>
  <c r="J120" i="29" s="1"/>
  <c r="N116" i="29"/>
  <c r="N112" i="29"/>
  <c r="N108" i="29"/>
  <c r="J108" i="29" s="1"/>
  <c r="N104" i="29"/>
  <c r="J104" i="29" s="1"/>
  <c r="J126" i="29"/>
  <c r="J122" i="29"/>
  <c r="L109" i="29"/>
  <c r="L105" i="29"/>
  <c r="N141" i="29"/>
  <c r="M141" i="29" s="1"/>
  <c r="N137" i="29"/>
  <c r="M137" i="29" s="1"/>
  <c r="N133" i="29"/>
  <c r="M133" i="29" s="1"/>
  <c r="N129" i="29"/>
  <c r="M129" i="29" s="1"/>
  <c r="N125" i="29"/>
  <c r="M125" i="29" s="1"/>
  <c r="N121" i="29"/>
  <c r="M121" i="29" s="1"/>
  <c r="N117" i="29"/>
  <c r="M117" i="29" s="1"/>
  <c r="N113" i="29"/>
  <c r="M113" i="29" s="1"/>
  <c r="N109" i="29"/>
  <c r="M109" i="29" s="1"/>
  <c r="N105" i="29"/>
  <c r="M105" i="29" s="1"/>
  <c r="P87" i="29"/>
  <c r="L87" i="29"/>
  <c r="P27" i="29"/>
  <c r="L27" i="29"/>
  <c r="I95" i="29"/>
  <c r="I96" i="29" s="1"/>
  <c r="L81" i="29"/>
  <c r="P81" i="29"/>
  <c r="P51" i="29"/>
  <c r="L51" i="29"/>
  <c r="J35" i="29"/>
  <c r="M35" i="29"/>
  <c r="P19" i="29"/>
  <c r="L19" i="29"/>
  <c r="N87" i="29"/>
  <c r="K87" i="29" s="1"/>
  <c r="P75" i="29"/>
  <c r="L75" i="29"/>
  <c r="J71" i="29"/>
  <c r="P43" i="29"/>
  <c r="L43" i="29"/>
  <c r="J39" i="29"/>
  <c r="N27" i="29"/>
  <c r="K27" i="29" s="1"/>
  <c r="P59" i="29"/>
  <c r="L59" i="29"/>
  <c r="M55" i="29"/>
  <c r="J43" i="29"/>
  <c r="M43" i="29"/>
  <c r="M79" i="29"/>
  <c r="AH115" i="29"/>
  <c r="P67" i="29"/>
  <c r="L67" i="29"/>
  <c r="J63" i="29"/>
  <c r="N51" i="29"/>
  <c r="P35" i="29"/>
  <c r="L35" i="29"/>
  <c r="J31" i="29"/>
  <c r="M31" i="29"/>
  <c r="N19" i="29"/>
  <c r="N56" i="29"/>
  <c r="M56" i="29" s="1"/>
  <c r="N40" i="29"/>
  <c r="M40" i="29" s="1"/>
  <c r="H95" i="29"/>
  <c r="H96" i="29" s="1"/>
  <c r="P40" i="29"/>
  <c r="P24" i="29"/>
  <c r="J64" i="29"/>
  <c r="J24" i="29"/>
  <c r="J8" i="29"/>
  <c r="I94" i="29"/>
  <c r="N72" i="29"/>
  <c r="M72" i="29" s="1"/>
  <c r="N48" i="29"/>
  <c r="M48" i="29" s="1"/>
  <c r="P80" i="29"/>
  <c r="P72" i="29"/>
  <c r="P64" i="29"/>
  <c r="P56" i="29"/>
  <c r="P48" i="29"/>
  <c r="P32" i="29"/>
  <c r="P16" i="29"/>
  <c r="N74" i="29"/>
  <c r="M74" i="29" s="1"/>
  <c r="L74" i="29"/>
  <c r="N66" i="29"/>
  <c r="M66" i="29" s="1"/>
  <c r="L66" i="29"/>
  <c r="N61" i="29"/>
  <c r="L61" i="29"/>
  <c r="N50" i="29"/>
  <c r="M50" i="29" s="1"/>
  <c r="L50" i="29"/>
  <c r="N45" i="29"/>
  <c r="L45" i="29"/>
  <c r="N34" i="29"/>
  <c r="M34" i="29" s="1"/>
  <c r="L34" i="29"/>
  <c r="N29" i="29"/>
  <c r="L29" i="29"/>
  <c r="N18" i="29"/>
  <c r="M18" i="29" s="1"/>
  <c r="L18" i="29"/>
  <c r="N13" i="29"/>
  <c r="J13" i="29" s="1"/>
  <c r="L13" i="29"/>
  <c r="N89" i="29"/>
  <c r="J89" i="29" s="1"/>
  <c r="N85" i="29"/>
  <c r="N81" i="29"/>
  <c r="J81" i="29" s="1"/>
  <c r="N78" i="29"/>
  <c r="M78" i="29" s="1"/>
  <c r="L78" i="29"/>
  <c r="N73" i="29"/>
  <c r="J73" i="29" s="1"/>
  <c r="L73" i="29"/>
  <c r="N70" i="29"/>
  <c r="M70" i="29" s="1"/>
  <c r="L70" i="29"/>
  <c r="N65" i="29"/>
  <c r="L65" i="29"/>
  <c r="N62" i="29"/>
  <c r="M62" i="29" s="1"/>
  <c r="L62" i="29"/>
  <c r="N57" i="29"/>
  <c r="J57" i="29" s="1"/>
  <c r="L57" i="29"/>
  <c r="N54" i="29"/>
  <c r="M54" i="29" s="1"/>
  <c r="L54" i="29"/>
  <c r="N49" i="29"/>
  <c r="L49" i="29"/>
  <c r="N46" i="29"/>
  <c r="M46" i="29" s="1"/>
  <c r="L46" i="29"/>
  <c r="N41" i="29"/>
  <c r="J41" i="29" s="1"/>
  <c r="L41" i="29"/>
  <c r="N38" i="29"/>
  <c r="M38" i="29" s="1"/>
  <c r="L38" i="29"/>
  <c r="N33" i="29"/>
  <c r="J33" i="29" s="1"/>
  <c r="L33" i="29"/>
  <c r="N30" i="29"/>
  <c r="M30" i="29" s="1"/>
  <c r="L30" i="29"/>
  <c r="N25" i="29"/>
  <c r="J25" i="29" s="1"/>
  <c r="L25" i="29"/>
  <c r="N22" i="29"/>
  <c r="M22" i="29" s="1"/>
  <c r="L22" i="29"/>
  <c r="N17" i="29"/>
  <c r="L17" i="29"/>
  <c r="N14" i="29"/>
  <c r="M14" i="29" s="1"/>
  <c r="L14" i="29"/>
  <c r="N9" i="29"/>
  <c r="J9" i="29" s="1"/>
  <c r="L9" i="29"/>
  <c r="N77" i="29"/>
  <c r="J77" i="29" s="1"/>
  <c r="L77" i="29"/>
  <c r="N69" i="29"/>
  <c r="L69" i="29"/>
  <c r="N58" i="29"/>
  <c r="M58" i="29" s="1"/>
  <c r="L58" i="29"/>
  <c r="N53" i="29"/>
  <c r="J53" i="29" s="1"/>
  <c r="L53" i="29"/>
  <c r="N42" i="29"/>
  <c r="M42" i="29" s="1"/>
  <c r="L42" i="29"/>
  <c r="N37" i="29"/>
  <c r="L37" i="29"/>
  <c r="N26" i="29"/>
  <c r="M26" i="29" s="1"/>
  <c r="L26" i="29"/>
  <c r="N21" i="29"/>
  <c r="J21" i="29" s="1"/>
  <c r="L21" i="29"/>
  <c r="N10" i="29"/>
  <c r="M10" i="29" s="1"/>
  <c r="L10" i="29"/>
  <c r="N90" i="29"/>
  <c r="M90" i="29" s="1"/>
  <c r="L90" i="29"/>
  <c r="M88" i="29"/>
  <c r="N86" i="29"/>
  <c r="M86" i="29" s="1"/>
  <c r="L86" i="29"/>
  <c r="N82" i="29"/>
  <c r="M82" i="29" s="1"/>
  <c r="L82" i="29"/>
  <c r="K79" i="29"/>
  <c r="K68" i="29"/>
  <c r="K64" i="29"/>
  <c r="K60" i="29"/>
  <c r="K52" i="29"/>
  <c r="K43" i="29"/>
  <c r="K35" i="29"/>
  <c r="K32" i="29"/>
  <c r="K31" i="29"/>
  <c r="K24" i="29"/>
  <c r="K20" i="29"/>
  <c r="K15" i="29"/>
  <c r="K8" i="29"/>
  <c r="AH9" i="29"/>
  <c r="N7" i="29"/>
  <c r="AH12" i="29"/>
  <c r="AH8" i="29"/>
  <c r="AH7" i="29"/>
  <c r="AH11" i="29"/>
  <c r="AH114" i="29"/>
  <c r="AH112" i="29"/>
  <c r="AH10" i="29"/>
  <c r="AH113" i="29"/>
  <c r="P7" i="29"/>
  <c r="P8" i="29"/>
  <c r="P9" i="29"/>
  <c r="P10" i="29"/>
  <c r="P11" i="29"/>
  <c r="P12" i="29"/>
  <c r="P13" i="29"/>
  <c r="AH102" i="29"/>
  <c r="AF102" i="29"/>
  <c r="AH103" i="29"/>
  <c r="AH104" i="29"/>
  <c r="AH105" i="29"/>
  <c r="AH106" i="29"/>
  <c r="AH107" i="29"/>
  <c r="AH109" i="29"/>
  <c r="Z122" i="29"/>
  <c r="Z123" i="29" s="1"/>
  <c r="AF7" i="29"/>
  <c r="AD102" i="29"/>
  <c r="AA122" i="29"/>
  <c r="AA123" i="29" s="1"/>
  <c r="P102" i="29"/>
  <c r="N102" i="29"/>
  <c r="AH108" i="29"/>
  <c r="AH110" i="29"/>
  <c r="AD7" i="29"/>
  <c r="AB38" i="28"/>
  <c r="AB34" i="28"/>
  <c r="AB43" i="28"/>
  <c r="AB35" i="28"/>
  <c r="AB31" i="28"/>
  <c r="AF40" i="28"/>
  <c r="AF36" i="28"/>
  <c r="AF32" i="28"/>
  <c r="AB32" i="28" s="1"/>
  <c r="AF41" i="28"/>
  <c r="AE41" i="28" s="1"/>
  <c r="AF37" i="28"/>
  <c r="AE37" i="28" s="1"/>
  <c r="AF33" i="28"/>
  <c r="AE33" i="28" s="1"/>
  <c r="N8" i="28"/>
  <c r="K8" i="28" s="1"/>
  <c r="P9" i="28"/>
  <c r="AA20" i="28"/>
  <c r="AA21" i="28" s="1"/>
  <c r="AD14" i="28"/>
  <c r="AD8" i="28"/>
  <c r="AF9" i="28"/>
  <c r="AE9" i="28" s="1"/>
  <c r="AF14" i="28"/>
  <c r="AE14" i="28" s="1"/>
  <c r="AA19" i="28"/>
  <c r="AF12" i="28"/>
  <c r="AE12" i="28" s="1"/>
  <c r="N11" i="28"/>
  <c r="N13" i="28"/>
  <c r="P11" i="28"/>
  <c r="P13" i="28"/>
  <c r="N9" i="28"/>
  <c r="M7" i="28"/>
  <c r="K7" i="28"/>
  <c r="AH10" i="28"/>
  <c r="AF13" i="28"/>
  <c r="AB13" i="28" s="1"/>
  <c r="AH35" i="28"/>
  <c r="P37" i="28"/>
  <c r="L37" i="28"/>
  <c r="P7" i="28"/>
  <c r="J7" i="28"/>
  <c r="P8" i="28"/>
  <c r="P10" i="28"/>
  <c r="L10" i="28"/>
  <c r="N31" i="28"/>
  <c r="M31" i="28" s="1"/>
  <c r="AH33" i="28"/>
  <c r="P35" i="28"/>
  <c r="L35" i="28"/>
  <c r="AD10" i="28"/>
  <c r="AF11" i="28"/>
  <c r="AB11" i="28" s="1"/>
  <c r="AH11" i="28"/>
  <c r="AD12" i="28"/>
  <c r="AD13" i="28"/>
  <c r="AH31" i="28"/>
  <c r="P33" i="28"/>
  <c r="L33" i="28"/>
  <c r="N37" i="28"/>
  <c r="M37" i="28" s="1"/>
  <c r="L7" i="28"/>
  <c r="L8" i="28"/>
  <c r="N10" i="28"/>
  <c r="AF10" i="28"/>
  <c r="AH13" i="28"/>
  <c r="P31" i="28"/>
  <c r="L31" i="28"/>
  <c r="K33" i="28"/>
  <c r="N35" i="28"/>
  <c r="M35" i="28" s="1"/>
  <c r="AH37" i="28"/>
  <c r="P39" i="28"/>
  <c r="AF8" i="28"/>
  <c r="AD9" i="28"/>
  <c r="P14" i="28"/>
  <c r="N14" i="28"/>
  <c r="P30" i="28"/>
  <c r="L30" i="28"/>
  <c r="N30" i="28"/>
  <c r="P32" i="28"/>
  <c r="L32" i="28"/>
  <c r="N32" i="28"/>
  <c r="P34" i="28"/>
  <c r="L34" i="28"/>
  <c r="N34" i="28"/>
  <c r="P36" i="28"/>
  <c r="L36" i="28"/>
  <c r="N36" i="28"/>
  <c r="P38" i="28"/>
  <c r="L38" i="28"/>
  <c r="N38" i="28"/>
  <c r="K38" i="28" s="1"/>
  <c r="AF7" i="28"/>
  <c r="AD7" i="28"/>
  <c r="AH9" i="28"/>
  <c r="P12" i="28"/>
  <c r="N12" i="28"/>
  <c r="Z20" i="28"/>
  <c r="Z21" i="28" s="1"/>
  <c r="AH30" i="28"/>
  <c r="AF30" i="28"/>
  <c r="AH32" i="28"/>
  <c r="AH34" i="28"/>
  <c r="AH36" i="28"/>
  <c r="AH38" i="28"/>
  <c r="AH37" i="27"/>
  <c r="AH34" i="27"/>
  <c r="AH33" i="27"/>
  <c r="AH30" i="27"/>
  <c r="AH38" i="27"/>
  <c r="AH32" i="27"/>
  <c r="AH36" i="27"/>
  <c r="AH31" i="27"/>
  <c r="AH35" i="27"/>
  <c r="AH39" i="27"/>
  <c r="AF30" i="27"/>
  <c r="AC30" i="27" s="1"/>
  <c r="AF31" i="27"/>
  <c r="AF32" i="27"/>
  <c r="AF33" i="27"/>
  <c r="AF34" i="27"/>
  <c r="AC34" i="27" s="1"/>
  <c r="AF35" i="27"/>
  <c r="AF36" i="27"/>
  <c r="AF37" i="27"/>
  <c r="AC37" i="27" s="1"/>
  <c r="AF38" i="27"/>
  <c r="N38" i="27"/>
  <c r="N34" i="27"/>
  <c r="J34" i="27" s="1"/>
  <c r="N39" i="27"/>
  <c r="M39" i="27" s="1"/>
  <c r="N35" i="27"/>
  <c r="M35" i="27" s="1"/>
  <c r="P30" i="27"/>
  <c r="N30" i="27"/>
  <c r="L30" i="27"/>
  <c r="L31" i="27"/>
  <c r="L32" i="27"/>
  <c r="N31" i="27"/>
  <c r="M31" i="27" s="1"/>
  <c r="N32" i="27"/>
  <c r="M32" i="27" s="1"/>
  <c r="AH8" i="27"/>
  <c r="AH13" i="27"/>
  <c r="AA20" i="27"/>
  <c r="AA21" i="27" s="1"/>
  <c r="AH7" i="27"/>
  <c r="AH11" i="27"/>
  <c r="AH15" i="27"/>
  <c r="AH10" i="27"/>
  <c r="AH14" i="27"/>
  <c r="AD20" i="27"/>
  <c r="AD21" i="27" s="1"/>
  <c r="AD19" i="27"/>
  <c r="AF7" i="27"/>
  <c r="AF8" i="27"/>
  <c r="AC8" i="27" s="1"/>
  <c r="AF9" i="27"/>
  <c r="AF10" i="27"/>
  <c r="AC10" i="27" s="1"/>
  <c r="AF11" i="27"/>
  <c r="AF12" i="27"/>
  <c r="AC12" i="27" s="1"/>
  <c r="AF13" i="27"/>
  <c r="AC13" i="27" s="1"/>
  <c r="AF14" i="27"/>
  <c r="AC7" i="27"/>
  <c r="AA19" i="27"/>
  <c r="I19" i="27"/>
  <c r="P8" i="27"/>
  <c r="N9" i="27"/>
  <c r="K9" i="27" s="1"/>
  <c r="P12" i="27"/>
  <c r="N10" i="27"/>
  <c r="K10" i="27" s="1"/>
  <c r="N13" i="27"/>
  <c r="M13" i="27" s="1"/>
  <c r="I20" i="27"/>
  <c r="I21" i="27" s="1"/>
  <c r="P10" i="27"/>
  <c r="P14" i="27"/>
  <c r="H19" i="27"/>
  <c r="P9" i="27"/>
  <c r="N11" i="27"/>
  <c r="M11" i="27" s="1"/>
  <c r="P13" i="27"/>
  <c r="N15" i="27"/>
  <c r="M15" i="27" s="1"/>
  <c r="K16" i="27"/>
  <c r="L7" i="27"/>
  <c r="L8" i="27"/>
  <c r="L9" i="27"/>
  <c r="L10" i="27"/>
  <c r="L11" i="27"/>
  <c r="L12" i="27"/>
  <c r="L13" i="27"/>
  <c r="L14" i="27"/>
  <c r="L15" i="27"/>
  <c r="L16" i="27"/>
  <c r="N7" i="27"/>
  <c r="J12" i="27"/>
  <c r="J16" i="27"/>
  <c r="AI113" i="26"/>
  <c r="AI114" i="26" s="1"/>
  <c r="AI112" i="26"/>
  <c r="AI108" i="26"/>
  <c r="AI109" i="26" s="1"/>
  <c r="AI107" i="26"/>
  <c r="AI102" i="26"/>
  <c r="AI103" i="26" s="1"/>
  <c r="AI101" i="26"/>
  <c r="AI97" i="26"/>
  <c r="AI98" i="26" s="1"/>
  <c r="AI96" i="26"/>
  <c r="AI86" i="26"/>
  <c r="AI87" i="26" s="1"/>
  <c r="AI85" i="26"/>
  <c r="AC41" i="26"/>
  <c r="AB41" i="26"/>
  <c r="AJ41" i="26" s="1"/>
  <c r="AI76" i="26"/>
  <c r="AI77" i="26" s="1"/>
  <c r="AI75" i="26"/>
  <c r="AI70" i="26"/>
  <c r="AI71" i="26" s="1"/>
  <c r="AI69" i="26"/>
  <c r="AI65" i="26"/>
  <c r="AI66" i="26" s="1"/>
  <c r="AI64" i="26"/>
  <c r="AI81" i="26"/>
  <c r="AI82" i="26" s="1"/>
  <c r="AI80" i="26"/>
  <c r="AB47" i="26"/>
  <c r="AC47" i="26"/>
  <c r="AB48" i="26"/>
  <c r="AJ48" i="26" s="1"/>
  <c r="AC48" i="26"/>
  <c r="AB49" i="26"/>
  <c r="AJ49" i="26" s="1"/>
  <c r="AC49" i="26"/>
  <c r="AB50" i="26"/>
  <c r="AJ50" i="26" s="1"/>
  <c r="AC50" i="26"/>
  <c r="AB51" i="26"/>
  <c r="AC51" i="26"/>
  <c r="AB52" i="26"/>
  <c r="AJ52" i="26" s="1"/>
  <c r="AC52" i="26"/>
  <c r="AB53" i="26"/>
  <c r="AJ53" i="26" s="1"/>
  <c r="AC53" i="26"/>
  <c r="AB54" i="26"/>
  <c r="AC54" i="26"/>
  <c r="AB55" i="26"/>
  <c r="AC55" i="26"/>
  <c r="AB56" i="26"/>
  <c r="AC56" i="26"/>
  <c r="AB57" i="26"/>
  <c r="AJ57" i="26" s="1"/>
  <c r="AC57" i="26"/>
  <c r="AB58" i="26"/>
  <c r="AC58" i="26"/>
  <c r="AB59" i="26"/>
  <c r="AC59" i="26"/>
  <c r="AB60" i="26"/>
  <c r="AC60" i="26"/>
  <c r="AB61" i="26"/>
  <c r="X51" i="26"/>
  <c r="X49" i="26"/>
  <c r="X47" i="26"/>
  <c r="X59" i="26"/>
  <c r="X57" i="26"/>
  <c r="X54" i="26"/>
  <c r="X52" i="26"/>
  <c r="X42" i="26"/>
  <c r="X40" i="26"/>
  <c r="X39" i="26"/>
  <c r="X37" i="26"/>
  <c r="X34" i="26"/>
  <c r="X31" i="26"/>
  <c r="U26" i="26"/>
  <c r="U24" i="26"/>
  <c r="X26" i="26"/>
  <c r="X24" i="26"/>
  <c r="X22" i="26"/>
  <c r="X20" i="26"/>
  <c r="X18" i="26"/>
  <c r="X15" i="26"/>
  <c r="X14" i="26"/>
  <c r="X11" i="26"/>
  <c r="X10" i="26"/>
  <c r="AB8" i="26"/>
  <c r="AJ8" i="26" s="1"/>
  <c r="AC8" i="26"/>
  <c r="AB9" i="26"/>
  <c r="AJ9" i="26" s="1"/>
  <c r="AC9" i="26"/>
  <c r="AB10" i="26"/>
  <c r="AJ10" i="26" s="1"/>
  <c r="AC10" i="26"/>
  <c r="AB11" i="26"/>
  <c r="AJ11" i="26" s="1"/>
  <c r="AC11" i="26"/>
  <c r="AB12" i="26"/>
  <c r="AJ12" i="26" s="1"/>
  <c r="AC12" i="26"/>
  <c r="AB13" i="26"/>
  <c r="AJ13" i="26" s="1"/>
  <c r="AC13" i="26"/>
  <c r="AB14" i="26"/>
  <c r="AC14" i="26"/>
  <c r="AB15" i="26"/>
  <c r="AC15" i="26"/>
  <c r="AB16" i="26"/>
  <c r="AJ16" i="26" s="1"/>
  <c r="AC16" i="26"/>
  <c r="AB17" i="26"/>
  <c r="AJ17" i="26" s="1"/>
  <c r="AC17" i="26"/>
  <c r="AB18" i="26"/>
  <c r="AJ18" i="26" s="1"/>
  <c r="AC18" i="26"/>
  <c r="AB19" i="26"/>
  <c r="AJ19" i="26" s="1"/>
  <c r="AC19" i="26"/>
  <c r="AB20" i="26"/>
  <c r="AJ20" i="26" s="1"/>
  <c r="AC20" i="26"/>
  <c r="AB21" i="26"/>
  <c r="AJ21" i="26" s="1"/>
  <c r="AC21" i="26"/>
  <c r="AB22" i="26"/>
  <c r="AC22" i="26"/>
  <c r="AB23" i="26"/>
  <c r="AC23" i="26"/>
  <c r="AB24" i="26"/>
  <c r="AJ24" i="26" s="1"/>
  <c r="AC24" i="26"/>
  <c r="AB25" i="26"/>
  <c r="AJ25" i="26" s="1"/>
  <c r="AC25" i="26"/>
  <c r="AB26" i="26"/>
  <c r="AJ26" i="26" s="1"/>
  <c r="AC26" i="26"/>
  <c r="AB27" i="26"/>
  <c r="AJ27" i="26" s="1"/>
  <c r="AC27" i="26"/>
  <c r="AB28" i="26"/>
  <c r="AJ28" i="26" s="1"/>
  <c r="AC28" i="26"/>
  <c r="AB29" i="26"/>
  <c r="AJ29" i="26" s="1"/>
  <c r="AC29" i="26"/>
  <c r="AB30" i="26"/>
  <c r="AC30" i="26"/>
  <c r="AB31" i="26"/>
  <c r="AC31" i="26"/>
  <c r="AB32" i="26"/>
  <c r="AJ32" i="26" s="1"/>
  <c r="AC32" i="26"/>
  <c r="AB33" i="26"/>
  <c r="AJ33" i="26" s="1"/>
  <c r="AC33" i="26"/>
  <c r="AB34" i="26"/>
  <c r="AJ34" i="26" s="1"/>
  <c r="AC34" i="26"/>
  <c r="AB35" i="26"/>
  <c r="AC35" i="26"/>
  <c r="AB36" i="26"/>
  <c r="AJ36" i="26" s="1"/>
  <c r="AC36" i="26"/>
  <c r="AB37" i="26"/>
  <c r="AC37" i="26"/>
  <c r="AB38" i="26"/>
  <c r="AC38" i="26"/>
  <c r="AB39" i="26"/>
  <c r="AC39" i="26"/>
  <c r="AB40" i="26"/>
  <c r="AJ40" i="26" s="1"/>
  <c r="AC40" i="26"/>
  <c r="AB42" i="26"/>
  <c r="AC42" i="26"/>
  <c r="AB43" i="26"/>
  <c r="AJ43" i="26" s="1"/>
  <c r="AC43" i="26"/>
  <c r="AB44" i="26"/>
  <c r="AC44" i="26"/>
  <c r="AB45" i="26"/>
  <c r="AC45" i="26"/>
  <c r="AB46" i="26"/>
  <c r="AJ46" i="26" s="1"/>
  <c r="AC46" i="26"/>
  <c r="AC7" i="26"/>
  <c r="AB7" i="26"/>
  <c r="AJ7" i="26" s="1"/>
  <c r="O550" i="26"/>
  <c r="O551" i="26" s="1"/>
  <c r="O549" i="26"/>
  <c r="H541" i="26"/>
  <c r="I541" i="26"/>
  <c r="H532" i="26"/>
  <c r="I532" i="26"/>
  <c r="H533" i="26"/>
  <c r="I533" i="26"/>
  <c r="H534" i="26"/>
  <c r="I534" i="26"/>
  <c r="H535" i="26"/>
  <c r="I535" i="26"/>
  <c r="H536" i="26"/>
  <c r="I536" i="26"/>
  <c r="H537" i="26"/>
  <c r="I537" i="26"/>
  <c r="H538" i="26"/>
  <c r="I538" i="26"/>
  <c r="H539" i="26"/>
  <c r="I539" i="26"/>
  <c r="H540" i="26"/>
  <c r="I540" i="26"/>
  <c r="H542" i="26"/>
  <c r="I542" i="26"/>
  <c r="H543" i="26"/>
  <c r="I543" i="26"/>
  <c r="H544" i="26"/>
  <c r="I531" i="26"/>
  <c r="H531" i="26"/>
  <c r="I530" i="26"/>
  <c r="H530" i="26"/>
  <c r="I529" i="26"/>
  <c r="H529" i="26"/>
  <c r="P529" i="26" s="1"/>
  <c r="I528" i="26"/>
  <c r="H528" i="26"/>
  <c r="I527" i="26"/>
  <c r="H527" i="26"/>
  <c r="O510" i="26"/>
  <c r="O511" i="26" s="1"/>
  <c r="O509" i="26"/>
  <c r="O482" i="26"/>
  <c r="O483" i="26" s="1"/>
  <c r="O481" i="26"/>
  <c r="O455" i="26"/>
  <c r="O456" i="26" s="1"/>
  <c r="O454" i="26"/>
  <c r="O428" i="26"/>
  <c r="O429" i="26" s="1"/>
  <c r="O399" i="26"/>
  <c r="O400" i="26" s="1"/>
  <c r="O398" i="26"/>
  <c r="O363" i="26"/>
  <c r="O364" i="26" s="1"/>
  <c r="H358" i="26"/>
  <c r="I358" i="26"/>
  <c r="H359" i="26"/>
  <c r="I359" i="26"/>
  <c r="AH317" i="26"/>
  <c r="AH318" i="26" s="1"/>
  <c r="AH316" i="26"/>
  <c r="AA311" i="26"/>
  <c r="AA310" i="26"/>
  <c r="AE310" i="26" s="1"/>
  <c r="AB310" i="26"/>
  <c r="AH279" i="26"/>
  <c r="AH280" i="26" s="1"/>
  <c r="AH278" i="26"/>
  <c r="AA272" i="26"/>
  <c r="AB309" i="26"/>
  <c r="AA309" i="26"/>
  <c r="AI310" i="26" s="1"/>
  <c r="AB308" i="26"/>
  <c r="AA308" i="26"/>
  <c r="AI309" i="26" s="1"/>
  <c r="AB307" i="26"/>
  <c r="AA307" i="26"/>
  <c r="AI308" i="26" s="1"/>
  <c r="AB306" i="26"/>
  <c r="AA306" i="26"/>
  <c r="AI307" i="26" s="1"/>
  <c r="AB305" i="26"/>
  <c r="AA305" i="26"/>
  <c r="AI306" i="26" s="1"/>
  <c r="AB304" i="26"/>
  <c r="AA304" i="26"/>
  <c r="AI305" i="26" s="1"/>
  <c r="AB303" i="26"/>
  <c r="AA303" i="26"/>
  <c r="AI304" i="26" s="1"/>
  <c r="AH298" i="26"/>
  <c r="AH299" i="26" s="1"/>
  <c r="AH297" i="26"/>
  <c r="AA291" i="26"/>
  <c r="AB290" i="26"/>
  <c r="AA290" i="26"/>
  <c r="AB289" i="26"/>
  <c r="AA289" i="26"/>
  <c r="AB288" i="26"/>
  <c r="AA288" i="26"/>
  <c r="AB287" i="26"/>
  <c r="AA287" i="26"/>
  <c r="AB286" i="26"/>
  <c r="AA286" i="26"/>
  <c r="AB285" i="26"/>
  <c r="AA285" i="26"/>
  <c r="AB284" i="26"/>
  <c r="AA284" i="26"/>
  <c r="AB271" i="26"/>
  <c r="AA271" i="26"/>
  <c r="AE271" i="26" s="1"/>
  <c r="AB270" i="26"/>
  <c r="AA270" i="26"/>
  <c r="AE270" i="26" s="1"/>
  <c r="AB269" i="26"/>
  <c r="AA269" i="26"/>
  <c r="AE269" i="26" s="1"/>
  <c r="AB268" i="26"/>
  <c r="AA268" i="26"/>
  <c r="AE268" i="26" s="1"/>
  <c r="AB267" i="26"/>
  <c r="AA267" i="26"/>
  <c r="AE267" i="26" s="1"/>
  <c r="AB266" i="26"/>
  <c r="AA266" i="26"/>
  <c r="AE266" i="26" s="1"/>
  <c r="AB265" i="26"/>
  <c r="AA265" i="26"/>
  <c r="AE265" i="26" s="1"/>
  <c r="O327" i="26"/>
  <c r="O328" i="26" s="1"/>
  <c r="O326" i="26"/>
  <c r="O295" i="26"/>
  <c r="O296" i="26" s="1"/>
  <c r="O294" i="26"/>
  <c r="H320" i="26"/>
  <c r="P320" i="26" s="1"/>
  <c r="I319" i="26"/>
  <c r="H319" i="26"/>
  <c r="I318" i="26"/>
  <c r="H318" i="26"/>
  <c r="I317" i="26"/>
  <c r="H317" i="26"/>
  <c r="I316" i="26"/>
  <c r="H316" i="26"/>
  <c r="I315" i="26"/>
  <c r="H315" i="26"/>
  <c r="I314" i="26"/>
  <c r="H314" i="26"/>
  <c r="I313" i="26"/>
  <c r="H313" i="26"/>
  <c r="O262" i="26"/>
  <c r="O263" i="26" s="1"/>
  <c r="O261" i="26"/>
  <c r="O245" i="26"/>
  <c r="O246" i="26" s="1"/>
  <c r="O244" i="26"/>
  <c r="O211" i="26"/>
  <c r="O212" i="26" s="1"/>
  <c r="O210" i="26"/>
  <c r="O192" i="26"/>
  <c r="O193" i="26" s="1"/>
  <c r="O191" i="26"/>
  <c r="O161" i="26"/>
  <c r="O162" i="26" s="1"/>
  <c r="O160" i="26"/>
  <c r="M14" i="27" l="1"/>
  <c r="K88" i="29"/>
  <c r="J80" i="29"/>
  <c r="M63" i="29"/>
  <c r="J15" i="29"/>
  <c r="K80" i="29"/>
  <c r="J114" i="29"/>
  <c r="M143" i="29"/>
  <c r="J115" i="29"/>
  <c r="K48" i="29"/>
  <c r="AC9" i="29"/>
  <c r="M139" i="29"/>
  <c r="M11" i="29"/>
  <c r="J11" i="29"/>
  <c r="M127" i="29"/>
  <c r="J55" i="29"/>
  <c r="AB14" i="29"/>
  <c r="AB13" i="29"/>
  <c r="J76" i="29"/>
  <c r="AC111" i="29"/>
  <c r="J33" i="27"/>
  <c r="AB42" i="28"/>
  <c r="AB114" i="29"/>
  <c r="AC114" i="29"/>
  <c r="K33" i="27"/>
  <c r="J44" i="29"/>
  <c r="K12" i="29"/>
  <c r="K44" i="29"/>
  <c r="J134" i="29"/>
  <c r="AB107" i="29"/>
  <c r="AC13" i="29"/>
  <c r="K126" i="29"/>
  <c r="I555" i="26"/>
  <c r="I556" i="26"/>
  <c r="I557" i="26" s="1"/>
  <c r="P528" i="26"/>
  <c r="H562" i="26"/>
  <c r="H563" i="26" s="1"/>
  <c r="H561" i="26"/>
  <c r="I561" i="26"/>
  <c r="I562" i="26"/>
  <c r="I563" i="26" s="1"/>
  <c r="P527" i="26"/>
  <c r="H556" i="26"/>
  <c r="H557" i="26" s="1"/>
  <c r="H555" i="26"/>
  <c r="I338" i="26"/>
  <c r="I339" i="26"/>
  <c r="I340" i="26" s="1"/>
  <c r="H332" i="26"/>
  <c r="H333" i="26"/>
  <c r="H334" i="26" s="1"/>
  <c r="I332" i="26"/>
  <c r="I333" i="26"/>
  <c r="I334" i="26" s="1"/>
  <c r="H339" i="26"/>
  <c r="H340" i="26" s="1"/>
  <c r="H338" i="26"/>
  <c r="AB91" i="31"/>
  <c r="AB92" i="31"/>
  <c r="AB93" i="31" s="1"/>
  <c r="P41" i="30"/>
  <c r="P42" i="30" s="1"/>
  <c r="P40" i="30"/>
  <c r="AC91" i="31"/>
  <c r="AC92" i="31"/>
  <c r="AC93" i="31" s="1"/>
  <c r="L40" i="30"/>
  <c r="L41" i="30"/>
  <c r="L42" i="30" s="1"/>
  <c r="K119" i="29"/>
  <c r="J20" i="29"/>
  <c r="K115" i="29"/>
  <c r="N40" i="30"/>
  <c r="N41" i="30"/>
  <c r="N42" i="30" s="1"/>
  <c r="AE92" i="31"/>
  <c r="AE93" i="31" s="1"/>
  <c r="AE91" i="31"/>
  <c r="AB9" i="28"/>
  <c r="M12" i="27"/>
  <c r="K16" i="29"/>
  <c r="K39" i="29"/>
  <c r="K71" i="29"/>
  <c r="J16" i="29"/>
  <c r="J47" i="29"/>
  <c r="J67" i="29"/>
  <c r="M59" i="29"/>
  <c r="AB17" i="29"/>
  <c r="K111" i="29"/>
  <c r="K131" i="29"/>
  <c r="J33" i="28"/>
  <c r="K22" i="29"/>
  <c r="K67" i="29"/>
  <c r="K84" i="29"/>
  <c r="J32" i="29"/>
  <c r="J111" i="29"/>
  <c r="AB106" i="29"/>
  <c r="AC17" i="29"/>
  <c r="J36" i="29"/>
  <c r="J52" i="29"/>
  <c r="J41" i="27"/>
  <c r="K36" i="29"/>
  <c r="K47" i="29"/>
  <c r="M84" i="29"/>
  <c r="M131" i="29"/>
  <c r="M138" i="29"/>
  <c r="K122" i="29"/>
  <c r="K41" i="27"/>
  <c r="AC25" i="29"/>
  <c r="AC26" i="29"/>
  <c r="AC9" i="28"/>
  <c r="K138" i="29"/>
  <c r="J60" i="29"/>
  <c r="AC106" i="29"/>
  <c r="K118" i="29"/>
  <c r="M10" i="27"/>
  <c r="K8" i="27"/>
  <c r="J8" i="27"/>
  <c r="K14" i="27"/>
  <c r="J40" i="27"/>
  <c r="K36" i="27"/>
  <c r="J36" i="27"/>
  <c r="K23" i="29"/>
  <c r="M23" i="29"/>
  <c r="M75" i="29"/>
  <c r="J59" i="29"/>
  <c r="M107" i="29"/>
  <c r="J106" i="29"/>
  <c r="AB18" i="29"/>
  <c r="J12" i="29"/>
  <c r="J28" i="29"/>
  <c r="AC39" i="28"/>
  <c r="K37" i="27"/>
  <c r="AC43" i="28"/>
  <c r="AC115" i="29"/>
  <c r="AD121" i="29"/>
  <c r="K75" i="29"/>
  <c r="J127" i="29"/>
  <c r="AB115" i="29"/>
  <c r="K106" i="29"/>
  <c r="AC107" i="29"/>
  <c r="M37" i="27"/>
  <c r="AF46" i="26"/>
  <c r="AB39" i="28"/>
  <c r="K28" i="29"/>
  <c r="K76" i="29"/>
  <c r="AB21" i="29"/>
  <c r="AJ101" i="26"/>
  <c r="AF44" i="26"/>
  <c r="AJ44" i="26"/>
  <c r="AF42" i="26"/>
  <c r="AJ42" i="26"/>
  <c r="AF39" i="26"/>
  <c r="AJ39" i="26"/>
  <c r="AF37" i="26"/>
  <c r="AJ37" i="26"/>
  <c r="AF35" i="26"/>
  <c r="AJ35" i="26"/>
  <c r="AF31" i="26"/>
  <c r="AJ31" i="26"/>
  <c r="AF23" i="26"/>
  <c r="AJ23" i="26"/>
  <c r="AJ70" i="26" s="1"/>
  <c r="AJ71" i="26" s="1"/>
  <c r="AF15" i="26"/>
  <c r="AJ15" i="26"/>
  <c r="AF48" i="26"/>
  <c r="AF47" i="26"/>
  <c r="AJ47" i="26"/>
  <c r="AH22" i="26"/>
  <c r="AG22" i="26" s="1"/>
  <c r="AH14" i="26"/>
  <c r="AG14" i="26" s="1"/>
  <c r="AF60" i="26"/>
  <c r="AJ60" i="26"/>
  <c r="AF58" i="26"/>
  <c r="AJ58" i="26"/>
  <c r="AF56" i="26"/>
  <c r="AJ56" i="26"/>
  <c r="AF54" i="26"/>
  <c r="AJ54" i="26"/>
  <c r="AJ69" i="26"/>
  <c r="AJ102" i="26"/>
  <c r="AJ103" i="26" s="1"/>
  <c r="AF30" i="26"/>
  <c r="AJ30" i="26"/>
  <c r="AF22" i="26"/>
  <c r="AJ22" i="26"/>
  <c r="AF14" i="26"/>
  <c r="AJ14" i="26"/>
  <c r="K123" i="29"/>
  <c r="AF45" i="26"/>
  <c r="AJ45" i="26"/>
  <c r="AF38" i="26"/>
  <c r="AJ38" i="26"/>
  <c r="AF59" i="26"/>
  <c r="AJ59" i="26"/>
  <c r="AF55" i="26"/>
  <c r="AJ55" i="26"/>
  <c r="AF51" i="26"/>
  <c r="AJ51" i="26"/>
  <c r="AH47" i="26"/>
  <c r="AG47" i="26" s="1"/>
  <c r="AD48" i="28"/>
  <c r="AD49" i="28" s="1"/>
  <c r="N541" i="26"/>
  <c r="M541" i="26" s="1"/>
  <c r="J10" i="27"/>
  <c r="J22" i="29"/>
  <c r="L152" i="29"/>
  <c r="L153" i="29" s="1"/>
  <c r="J133" i="29"/>
  <c r="AC42" i="28"/>
  <c r="M68" i="29"/>
  <c r="AC108" i="26"/>
  <c r="AC109" i="26" s="1"/>
  <c r="K117" i="29"/>
  <c r="J56" i="29"/>
  <c r="K42" i="29"/>
  <c r="AH20" i="30"/>
  <c r="AH21" i="30" s="1"/>
  <c r="L359" i="26"/>
  <c r="P359" i="26"/>
  <c r="L530" i="26"/>
  <c r="P530" i="26"/>
  <c r="L542" i="26"/>
  <c r="P542" i="26"/>
  <c r="L539" i="26"/>
  <c r="P539" i="26"/>
  <c r="L537" i="26"/>
  <c r="P537" i="26"/>
  <c r="L535" i="26"/>
  <c r="P535" i="26"/>
  <c r="L533" i="26"/>
  <c r="P533" i="26"/>
  <c r="L541" i="26"/>
  <c r="P541" i="26"/>
  <c r="AH39" i="26"/>
  <c r="AE39" i="26" s="1"/>
  <c r="K66" i="29"/>
  <c r="K72" i="29"/>
  <c r="J40" i="29"/>
  <c r="J117" i="29"/>
  <c r="AC24" i="29"/>
  <c r="K143" i="29"/>
  <c r="K35" i="27"/>
  <c r="N20" i="28"/>
  <c r="N21" i="28" s="1"/>
  <c r="K86" i="29"/>
  <c r="AC22" i="29"/>
  <c r="AC35" i="28"/>
  <c r="J83" i="29"/>
  <c r="M83" i="29"/>
  <c r="AG310" i="26"/>
  <c r="AF310" i="26" s="1"/>
  <c r="L358" i="26"/>
  <c r="P358" i="26"/>
  <c r="L531" i="26"/>
  <c r="P531" i="26"/>
  <c r="L543" i="26"/>
  <c r="P543" i="26"/>
  <c r="L540" i="26"/>
  <c r="P540" i="26"/>
  <c r="L538" i="26"/>
  <c r="P538" i="26"/>
  <c r="L536" i="26"/>
  <c r="P536" i="26"/>
  <c r="N534" i="26"/>
  <c r="M534" i="26" s="1"/>
  <c r="P534" i="26"/>
  <c r="L532" i="26"/>
  <c r="P532" i="26"/>
  <c r="AC86" i="26"/>
  <c r="AC87" i="26" s="1"/>
  <c r="AH45" i="26"/>
  <c r="AG45" i="26" s="1"/>
  <c r="AH30" i="26"/>
  <c r="AG30" i="26" s="1"/>
  <c r="AB113" i="26"/>
  <c r="AB114" i="26" s="1"/>
  <c r="AH41" i="26"/>
  <c r="AG41" i="26" s="1"/>
  <c r="AC117" i="29"/>
  <c r="AB8" i="29"/>
  <c r="K103" i="29"/>
  <c r="AD47" i="28"/>
  <c r="AC18" i="29"/>
  <c r="AB24" i="29"/>
  <c r="AC31" i="28"/>
  <c r="AB80" i="26"/>
  <c r="AB64" i="26"/>
  <c r="AB108" i="26"/>
  <c r="AB109" i="26" s="1"/>
  <c r="AC102" i="26"/>
  <c r="AC103" i="26" s="1"/>
  <c r="AB97" i="26"/>
  <c r="AB98" i="26" s="1"/>
  <c r="M9" i="27"/>
  <c r="P46" i="27"/>
  <c r="P47" i="27" s="1"/>
  <c r="P45" i="27"/>
  <c r="AH46" i="27"/>
  <c r="AH47" i="27" s="1"/>
  <c r="AH45" i="27"/>
  <c r="J31" i="28"/>
  <c r="P19" i="28"/>
  <c r="P20" i="28"/>
  <c r="P21" i="28" s="1"/>
  <c r="M8" i="28"/>
  <c r="AC37" i="28"/>
  <c r="K54" i="29"/>
  <c r="J42" i="29"/>
  <c r="J54" i="29"/>
  <c r="K113" i="29"/>
  <c r="AB40" i="31"/>
  <c r="AB41" i="31"/>
  <c r="AB42" i="31" s="1"/>
  <c r="AD37" i="30"/>
  <c r="AD38" i="30"/>
  <c r="AD39" i="30" s="1"/>
  <c r="K114" i="29"/>
  <c r="K40" i="27"/>
  <c r="AB75" i="26"/>
  <c r="AB85" i="26"/>
  <c r="AC113" i="26"/>
  <c r="AC114" i="26" s="1"/>
  <c r="AB101" i="26"/>
  <c r="K15" i="27"/>
  <c r="AF46" i="27"/>
  <c r="AF47" i="27" s="1"/>
  <c r="AF45" i="27"/>
  <c r="AC30" i="28"/>
  <c r="AF47" i="28"/>
  <c r="AF48" i="28"/>
  <c r="AF49" i="28" s="1"/>
  <c r="N45" i="28"/>
  <c r="N46" i="28"/>
  <c r="N47" i="28" s="1"/>
  <c r="J8" i="28"/>
  <c r="J102" i="29"/>
  <c r="N152" i="29"/>
  <c r="N153" i="29" s="1"/>
  <c r="N151" i="29"/>
  <c r="AF32" i="29"/>
  <c r="AF33" i="29" s="1"/>
  <c r="AF31" i="29"/>
  <c r="AB102" i="29"/>
  <c r="AF121" i="29"/>
  <c r="K10" i="29"/>
  <c r="K40" i="29"/>
  <c r="J86" i="29"/>
  <c r="AB12" i="29"/>
  <c r="AC30" i="30"/>
  <c r="AF37" i="30"/>
  <c r="AF38" i="30"/>
  <c r="AF39" i="30" s="1"/>
  <c r="AH19" i="30"/>
  <c r="AC21" i="29"/>
  <c r="K134" i="29"/>
  <c r="AC34" i="28"/>
  <c r="L151" i="29"/>
  <c r="AC80" i="26"/>
  <c r="AB86" i="26"/>
  <c r="AB87" i="26" s="1"/>
  <c r="AB112" i="26"/>
  <c r="AC97" i="26"/>
  <c r="AC98" i="26" s="1"/>
  <c r="AH20" i="27"/>
  <c r="AH19" i="27"/>
  <c r="L45" i="27"/>
  <c r="L46" i="27"/>
  <c r="L47" i="27" s="1"/>
  <c r="AH48" i="28"/>
  <c r="AH49" i="28" s="1"/>
  <c r="AH47" i="28"/>
  <c r="L46" i="28"/>
  <c r="L47" i="28" s="1"/>
  <c r="L45" i="28"/>
  <c r="AD31" i="29"/>
  <c r="AD32" i="29"/>
  <c r="AD33" i="29" s="1"/>
  <c r="P152" i="29"/>
  <c r="P153" i="29" s="1"/>
  <c r="P151" i="29"/>
  <c r="AH122" i="29"/>
  <c r="AH123" i="29" s="1"/>
  <c r="AH121" i="29"/>
  <c r="L95" i="29"/>
  <c r="L96" i="29" s="1"/>
  <c r="AH37" i="30"/>
  <c r="AH38" i="30"/>
  <c r="AH39" i="30" s="1"/>
  <c r="AC40" i="31"/>
  <c r="AC41" i="31"/>
  <c r="AC42" i="31" s="1"/>
  <c r="AC96" i="26"/>
  <c r="N45" i="27"/>
  <c r="N46" i="27"/>
  <c r="N47" i="27" s="1"/>
  <c r="P45" i="28"/>
  <c r="P46" i="28"/>
  <c r="P47" i="28" s="1"/>
  <c r="L19" i="28"/>
  <c r="L20" i="28"/>
  <c r="L21" i="28" s="1"/>
  <c r="AH32" i="29"/>
  <c r="AH33" i="29" s="1"/>
  <c r="AH31" i="29"/>
  <c r="J66" i="29"/>
  <c r="J72" i="29"/>
  <c r="AB117" i="29"/>
  <c r="AE41" i="31"/>
  <c r="AE42" i="31" s="1"/>
  <c r="AE40" i="31"/>
  <c r="K142" i="29"/>
  <c r="N19" i="28"/>
  <c r="M40" i="31"/>
  <c r="M41" i="31"/>
  <c r="M42" i="31" s="1"/>
  <c r="J41" i="31"/>
  <c r="J42" i="31" s="1"/>
  <c r="J40" i="31"/>
  <c r="K40" i="31"/>
  <c r="K41" i="31"/>
  <c r="K42" i="31" s="1"/>
  <c r="AD19" i="30"/>
  <c r="AD20" i="30"/>
  <c r="AD21" i="30" s="1"/>
  <c r="AF20" i="30"/>
  <c r="AF21" i="30" s="1"/>
  <c r="AE7" i="30"/>
  <c r="AF19" i="30"/>
  <c r="AB7" i="30"/>
  <c r="J7" i="30"/>
  <c r="M7" i="30"/>
  <c r="K7" i="30"/>
  <c r="N66" i="30"/>
  <c r="N67" i="30" s="1"/>
  <c r="N65" i="30"/>
  <c r="M50" i="30"/>
  <c r="L66" i="30"/>
  <c r="L67" i="30" s="1"/>
  <c r="L65" i="30"/>
  <c r="AE33" i="30"/>
  <c r="AB33" i="30"/>
  <c r="AE31" i="30"/>
  <c r="AB31" i="30"/>
  <c r="J50" i="30"/>
  <c r="P65" i="30"/>
  <c r="P66" i="30"/>
  <c r="P67" i="30" s="1"/>
  <c r="AE32" i="30"/>
  <c r="AB32" i="30"/>
  <c r="AE30" i="30"/>
  <c r="AB30" i="30"/>
  <c r="AC7" i="30"/>
  <c r="AE15" i="29"/>
  <c r="AC15" i="29"/>
  <c r="AC16" i="29"/>
  <c r="AE19" i="29"/>
  <c r="AC19" i="29"/>
  <c r="AC20" i="29"/>
  <c r="AE23" i="29"/>
  <c r="AC23" i="29"/>
  <c r="AC8" i="29"/>
  <c r="AE11" i="29"/>
  <c r="AC11" i="29"/>
  <c r="AB16" i="29"/>
  <c r="AB15" i="29"/>
  <c r="AC12" i="29"/>
  <c r="AB20" i="29"/>
  <c r="AE104" i="29"/>
  <c r="AC104" i="29"/>
  <c r="AE116" i="29"/>
  <c r="AC116" i="29"/>
  <c r="AB104" i="29"/>
  <c r="AE108" i="29"/>
  <c r="AC108" i="29"/>
  <c r="AB105" i="29"/>
  <c r="AC105" i="29"/>
  <c r="AB109" i="29"/>
  <c r="AE112" i="29"/>
  <c r="AC112" i="29"/>
  <c r="AB108" i="29"/>
  <c r="AB112" i="29"/>
  <c r="AB116" i="29"/>
  <c r="AC109" i="29"/>
  <c r="AB113" i="29"/>
  <c r="AC113" i="29"/>
  <c r="M112" i="29"/>
  <c r="K112" i="29"/>
  <c r="M116" i="29"/>
  <c r="K116" i="29"/>
  <c r="M132" i="29"/>
  <c r="K132" i="29"/>
  <c r="J121" i="29"/>
  <c r="J116" i="29"/>
  <c r="K109" i="29"/>
  <c r="K141" i="29"/>
  <c r="K125" i="29"/>
  <c r="M108" i="29"/>
  <c r="K108" i="29"/>
  <c r="M128" i="29"/>
  <c r="K128" i="29"/>
  <c r="M144" i="29"/>
  <c r="K144" i="29"/>
  <c r="J105" i="29"/>
  <c r="J137" i="29"/>
  <c r="J141" i="29"/>
  <c r="K129" i="29"/>
  <c r="J112" i="29"/>
  <c r="J125" i="29"/>
  <c r="J109" i="29"/>
  <c r="M140" i="29"/>
  <c r="K140" i="29"/>
  <c r="M104" i="29"/>
  <c r="K104" i="29"/>
  <c r="M124" i="29"/>
  <c r="K124" i="29"/>
  <c r="K137" i="29"/>
  <c r="M120" i="29"/>
  <c r="K120" i="29"/>
  <c r="J128" i="29"/>
  <c r="M136" i="29"/>
  <c r="K136" i="29"/>
  <c r="J144" i="29"/>
  <c r="K133" i="29"/>
  <c r="J129" i="29"/>
  <c r="J113" i="29"/>
  <c r="K105" i="29"/>
  <c r="K121" i="29"/>
  <c r="J136" i="29"/>
  <c r="J19" i="29"/>
  <c r="M19" i="29"/>
  <c r="L94" i="29"/>
  <c r="K19" i="29"/>
  <c r="J51" i="29"/>
  <c r="M51" i="29"/>
  <c r="M7" i="29"/>
  <c r="N95" i="29"/>
  <c r="N96" i="29" s="1"/>
  <c r="N94" i="29"/>
  <c r="K34" i="29"/>
  <c r="K58" i="29"/>
  <c r="K70" i="29"/>
  <c r="J87" i="29"/>
  <c r="M87" i="29"/>
  <c r="AC102" i="29"/>
  <c r="P94" i="29"/>
  <c r="P95" i="29"/>
  <c r="P96" i="29" s="1"/>
  <c r="K26" i="29"/>
  <c r="K38" i="29"/>
  <c r="K51" i="29"/>
  <c r="K56" i="29"/>
  <c r="K74" i="29"/>
  <c r="K82" i="29"/>
  <c r="J82" i="29"/>
  <c r="J10" i="29"/>
  <c r="J38" i="29"/>
  <c r="J70" i="29"/>
  <c r="J34" i="29"/>
  <c r="J74" i="29"/>
  <c r="J48" i="29"/>
  <c r="J27" i="29"/>
  <c r="M27" i="29"/>
  <c r="M37" i="29"/>
  <c r="K37" i="29"/>
  <c r="M17" i="29"/>
  <c r="K17" i="29"/>
  <c r="M49" i="29"/>
  <c r="K49" i="29"/>
  <c r="M65" i="29"/>
  <c r="K65" i="29"/>
  <c r="K90" i="29"/>
  <c r="J90" i="29"/>
  <c r="J37" i="29"/>
  <c r="J17" i="29"/>
  <c r="J49" i="29"/>
  <c r="J65" i="29"/>
  <c r="M85" i="29"/>
  <c r="K85" i="29"/>
  <c r="K18" i="29"/>
  <c r="K50" i="29"/>
  <c r="M21" i="29"/>
  <c r="K21" i="29"/>
  <c r="J26" i="29"/>
  <c r="M53" i="29"/>
  <c r="K53" i="29"/>
  <c r="J58" i="29"/>
  <c r="M9" i="29"/>
  <c r="K9" i="29"/>
  <c r="J14" i="29"/>
  <c r="M25" i="29"/>
  <c r="K25" i="29"/>
  <c r="J30" i="29"/>
  <c r="M41" i="29"/>
  <c r="K41" i="29"/>
  <c r="J46" i="29"/>
  <c r="M57" i="29"/>
  <c r="K57" i="29"/>
  <c r="J62" i="29"/>
  <c r="M73" i="29"/>
  <c r="K73" i="29"/>
  <c r="J78" i="29"/>
  <c r="J85" i="29"/>
  <c r="M13" i="29"/>
  <c r="K13" i="29"/>
  <c r="J18" i="29"/>
  <c r="M45" i="29"/>
  <c r="K45" i="29"/>
  <c r="J50" i="29"/>
  <c r="M69" i="29"/>
  <c r="K69" i="29"/>
  <c r="M33" i="29"/>
  <c r="K33" i="29"/>
  <c r="M29" i="29"/>
  <c r="K29" i="29"/>
  <c r="M61" i="29"/>
  <c r="K61" i="29"/>
  <c r="J69" i="29"/>
  <c r="J29" i="29"/>
  <c r="J61" i="29"/>
  <c r="K14" i="29"/>
  <c r="K30" i="29"/>
  <c r="K46" i="29"/>
  <c r="K62" i="29"/>
  <c r="K78" i="29"/>
  <c r="M77" i="29"/>
  <c r="K77" i="29"/>
  <c r="M81" i="29"/>
  <c r="K81" i="29"/>
  <c r="M89" i="29"/>
  <c r="K89" i="29"/>
  <c r="J45" i="29"/>
  <c r="J7" i="29"/>
  <c r="K7" i="29"/>
  <c r="AE7" i="29"/>
  <c r="AB7" i="29"/>
  <c r="AD122" i="29"/>
  <c r="AD123" i="29" s="1"/>
  <c r="AF122" i="29"/>
  <c r="AF123" i="29" s="1"/>
  <c r="AE102" i="29"/>
  <c r="AC7" i="29"/>
  <c r="M102" i="29"/>
  <c r="K102" i="29"/>
  <c r="AE36" i="28"/>
  <c r="AC36" i="28"/>
  <c r="AE40" i="28"/>
  <c r="AC40" i="28"/>
  <c r="AB37" i="28"/>
  <c r="AB33" i="28"/>
  <c r="AC33" i="28"/>
  <c r="AB40" i="28"/>
  <c r="AE32" i="28"/>
  <c r="AC32" i="28"/>
  <c r="AB36" i="28"/>
  <c r="AB41" i="28"/>
  <c r="AC41" i="28"/>
  <c r="AB14" i="28"/>
  <c r="AH19" i="28"/>
  <c r="AC14" i="28"/>
  <c r="AC12" i="28"/>
  <c r="AB12" i="28"/>
  <c r="M13" i="28"/>
  <c r="K13" i="28"/>
  <c r="J9" i="28"/>
  <c r="M11" i="28"/>
  <c r="K11" i="28"/>
  <c r="K9" i="28"/>
  <c r="J13" i="28"/>
  <c r="M9" i="28"/>
  <c r="J11" i="28"/>
  <c r="M32" i="28"/>
  <c r="J32" i="28"/>
  <c r="K32" i="28"/>
  <c r="M12" i="28"/>
  <c r="K12" i="28"/>
  <c r="AD19" i="28"/>
  <c r="AD20" i="28"/>
  <c r="AD21" i="28" s="1"/>
  <c r="J34" i="28"/>
  <c r="M34" i="28"/>
  <c r="M30" i="28"/>
  <c r="J30" i="28"/>
  <c r="AE10" i="28"/>
  <c r="AC10" i="28"/>
  <c r="AE11" i="28"/>
  <c r="AC11" i="28"/>
  <c r="K37" i="28"/>
  <c r="AH20" i="28"/>
  <c r="AH21" i="28" s="1"/>
  <c r="K31" i="28"/>
  <c r="K34" i="28"/>
  <c r="AE30" i="28"/>
  <c r="AB30" i="28"/>
  <c r="K30" i="28"/>
  <c r="J12" i="28"/>
  <c r="AF20" i="28"/>
  <c r="AF21" i="28" s="1"/>
  <c r="AE7" i="28"/>
  <c r="AF19" i="28"/>
  <c r="AC7" i="28"/>
  <c r="AB7" i="28"/>
  <c r="M36" i="28"/>
  <c r="J36" i="28"/>
  <c r="M14" i="28"/>
  <c r="K14" i="28"/>
  <c r="AE8" i="28"/>
  <c r="AC8" i="28"/>
  <c r="AB8" i="28"/>
  <c r="M10" i="28"/>
  <c r="K10" i="28"/>
  <c r="K35" i="28"/>
  <c r="J35" i="28"/>
  <c r="AE13" i="28"/>
  <c r="AC13" i="28"/>
  <c r="AB10" i="28"/>
  <c r="K36" i="28"/>
  <c r="M38" i="28"/>
  <c r="J38" i="28"/>
  <c r="J14" i="28"/>
  <c r="J10" i="28"/>
  <c r="J37" i="28"/>
  <c r="AB36" i="27"/>
  <c r="AE36" i="27"/>
  <c r="AB32" i="27"/>
  <c r="AE32" i="27"/>
  <c r="AC32" i="27"/>
  <c r="AB35" i="27"/>
  <c r="AE35" i="27"/>
  <c r="AB31" i="27"/>
  <c r="AE31" i="27"/>
  <c r="AB38" i="27"/>
  <c r="AE38" i="27"/>
  <c r="AB34" i="27"/>
  <c r="AE34" i="27"/>
  <c r="AB30" i="27"/>
  <c r="AE30" i="27"/>
  <c r="AC35" i="27"/>
  <c r="AB37" i="27"/>
  <c r="AE37" i="27"/>
  <c r="AB33" i="27"/>
  <c r="AE33" i="27"/>
  <c r="AC38" i="27"/>
  <c r="AC31" i="27"/>
  <c r="AC36" i="27"/>
  <c r="AC33" i="27"/>
  <c r="M38" i="27"/>
  <c r="K38" i="27"/>
  <c r="K39" i="27"/>
  <c r="M34" i="27"/>
  <c r="K34" i="27"/>
  <c r="J39" i="27"/>
  <c r="J38" i="27"/>
  <c r="J35" i="27"/>
  <c r="K31" i="27"/>
  <c r="J31" i="27"/>
  <c r="M30" i="27"/>
  <c r="K32" i="27"/>
  <c r="K30" i="27"/>
  <c r="J32" i="27"/>
  <c r="J30" i="27"/>
  <c r="AH21" i="27"/>
  <c r="AB11" i="27"/>
  <c r="AE11" i="27"/>
  <c r="AF19" i="27"/>
  <c r="AB7" i="27"/>
  <c r="AF20" i="27"/>
  <c r="AF21" i="27" s="1"/>
  <c r="AE7" i="27"/>
  <c r="AB14" i="27"/>
  <c r="AE14" i="27"/>
  <c r="AB10" i="27"/>
  <c r="AE10" i="27"/>
  <c r="AB13" i="27"/>
  <c r="AE13" i="27"/>
  <c r="AB9" i="27"/>
  <c r="AE9" i="27"/>
  <c r="AC9" i="27"/>
  <c r="AC11" i="27"/>
  <c r="AB12" i="27"/>
  <c r="AE12" i="27"/>
  <c r="AB8" i="27"/>
  <c r="AE8" i="27"/>
  <c r="AC14" i="27"/>
  <c r="P19" i="27"/>
  <c r="J15" i="27"/>
  <c r="J9" i="27"/>
  <c r="P20" i="27"/>
  <c r="P21" i="27" s="1"/>
  <c r="J13" i="27"/>
  <c r="K13" i="27"/>
  <c r="J11" i="27"/>
  <c r="K11" i="27"/>
  <c r="M7" i="27"/>
  <c r="N19" i="27"/>
  <c r="K7" i="27"/>
  <c r="N20" i="27"/>
  <c r="N21" i="27" s="1"/>
  <c r="J7" i="27"/>
  <c r="L19" i="27"/>
  <c r="L20" i="27"/>
  <c r="L21" i="27" s="1"/>
  <c r="AH46" i="26"/>
  <c r="AG46" i="26" s="1"/>
  <c r="AH38" i="26"/>
  <c r="AG38" i="26" s="1"/>
  <c r="AH51" i="26"/>
  <c r="AD51" i="26" s="1"/>
  <c r="AB81" i="26"/>
  <c r="AB82" i="26" s="1"/>
  <c r="AB96" i="26"/>
  <c r="AB102" i="26"/>
  <c r="AB103" i="26" s="1"/>
  <c r="AC107" i="26"/>
  <c r="AB107" i="26"/>
  <c r="AH42" i="26"/>
  <c r="AH19" i="26"/>
  <c r="AG19" i="26" s="1"/>
  <c r="AH15" i="26"/>
  <c r="AG15" i="26" s="1"/>
  <c r="AH59" i="26"/>
  <c r="AH54" i="26"/>
  <c r="AG54" i="26" s="1"/>
  <c r="AC81" i="26"/>
  <c r="AC82" i="26" s="1"/>
  <c r="AC101" i="26"/>
  <c r="AC85" i="26"/>
  <c r="AC112" i="26"/>
  <c r="AF41" i="26"/>
  <c r="AH40" i="26"/>
  <c r="AG40" i="26" s="1"/>
  <c r="AF40" i="26"/>
  <c r="AC70" i="26"/>
  <c r="AC71" i="26" s="1"/>
  <c r="AF50" i="26"/>
  <c r="AH50" i="26"/>
  <c r="AG50" i="26" s="1"/>
  <c r="AH43" i="26"/>
  <c r="AG43" i="26" s="1"/>
  <c r="AF43" i="26"/>
  <c r="AH27" i="26"/>
  <c r="AG27" i="26" s="1"/>
  <c r="AB70" i="26"/>
  <c r="AB71" i="26" s="1"/>
  <c r="AC65" i="26"/>
  <c r="AC66" i="26" s="1"/>
  <c r="AH10" i="26"/>
  <c r="AE10" i="26" s="1"/>
  <c r="AH55" i="26"/>
  <c r="AG55" i="26" s="1"/>
  <c r="AC69" i="26"/>
  <c r="AC76" i="26"/>
  <c r="AC77" i="26" s="1"/>
  <c r="AC75" i="26"/>
  <c r="AF19" i="26"/>
  <c r="AB69" i="26"/>
  <c r="AB65" i="26"/>
  <c r="AB66" i="26" s="1"/>
  <c r="AH35" i="26"/>
  <c r="AD35" i="26" s="1"/>
  <c r="AF26" i="26"/>
  <c r="AH26" i="26"/>
  <c r="AG26" i="26" s="1"/>
  <c r="AB76" i="26"/>
  <c r="AB77" i="26" s="1"/>
  <c r="AH11" i="26"/>
  <c r="AG11" i="26" s="1"/>
  <c r="AH58" i="26"/>
  <c r="AG58" i="26" s="1"/>
  <c r="AC64" i="26"/>
  <c r="AA298" i="26"/>
  <c r="AA299" i="26" s="1"/>
  <c r="AI318" i="26"/>
  <c r="AI319" i="26" s="1"/>
  <c r="AH36" i="26"/>
  <c r="AG36" i="26" s="1"/>
  <c r="AH23" i="26"/>
  <c r="AE23" i="26" s="1"/>
  <c r="AF10" i="26"/>
  <c r="AF52" i="26"/>
  <c r="AF53" i="26"/>
  <c r="AH60" i="26"/>
  <c r="AD60" i="26" s="1"/>
  <c r="AH56" i="26"/>
  <c r="AD56" i="26" s="1"/>
  <c r="AH52" i="26"/>
  <c r="AH48" i="26"/>
  <c r="AF57" i="26"/>
  <c r="AF49" i="26"/>
  <c r="AH57" i="26"/>
  <c r="AG57" i="26" s="1"/>
  <c r="AH53" i="26"/>
  <c r="AH49" i="26"/>
  <c r="AG49" i="26" s="1"/>
  <c r="AH31" i="26"/>
  <c r="AG31" i="26" s="1"/>
  <c r="AH34" i="26"/>
  <c r="AG34" i="26" s="1"/>
  <c r="AH18" i="26"/>
  <c r="AF34" i="26"/>
  <c r="AF27" i="26"/>
  <c r="AF18" i="26"/>
  <c r="AF11" i="26"/>
  <c r="I550" i="26"/>
  <c r="I551" i="26" s="1"/>
  <c r="N538" i="26"/>
  <c r="M538" i="26" s="1"/>
  <c r="AH33" i="26"/>
  <c r="AG33" i="26" s="1"/>
  <c r="AH32" i="26"/>
  <c r="AH29" i="26"/>
  <c r="AG29" i="26" s="1"/>
  <c r="AH28" i="26"/>
  <c r="AD28" i="26" s="1"/>
  <c r="AH25" i="26"/>
  <c r="AG25" i="26" s="1"/>
  <c r="AH24" i="26"/>
  <c r="AH21" i="26"/>
  <c r="AG21" i="26" s="1"/>
  <c r="AH20" i="26"/>
  <c r="AD20" i="26" s="1"/>
  <c r="AH17" i="26"/>
  <c r="AG17" i="26" s="1"/>
  <c r="AH16" i="26"/>
  <c r="AD16" i="26" s="1"/>
  <c r="AH13" i="26"/>
  <c r="AG13" i="26" s="1"/>
  <c r="AH12" i="26"/>
  <c r="AH9" i="26"/>
  <c r="AG9" i="26" s="1"/>
  <c r="AH8" i="26"/>
  <c r="AD8" i="26" s="1"/>
  <c r="AF36" i="26"/>
  <c r="AF32" i="26"/>
  <c r="AF28" i="26"/>
  <c r="AF24" i="26"/>
  <c r="AF20" i="26"/>
  <c r="AF16" i="26"/>
  <c r="AF12" i="26"/>
  <c r="AF8" i="26"/>
  <c r="AF33" i="26"/>
  <c r="AF29" i="26"/>
  <c r="AF25" i="26"/>
  <c r="AF21" i="26"/>
  <c r="AF17" i="26"/>
  <c r="AF13" i="26"/>
  <c r="AF9" i="26"/>
  <c r="AH44" i="26"/>
  <c r="AH37" i="26"/>
  <c r="N535" i="26"/>
  <c r="K535" i="26" s="1"/>
  <c r="H550" i="26"/>
  <c r="H551" i="26" s="1"/>
  <c r="I549" i="26"/>
  <c r="H549" i="26"/>
  <c r="L534" i="26"/>
  <c r="N543" i="26"/>
  <c r="M543" i="26" s="1"/>
  <c r="N539" i="26"/>
  <c r="M539" i="26" s="1"/>
  <c r="I327" i="26"/>
  <c r="I328" i="26" s="1"/>
  <c r="N542" i="26"/>
  <c r="M542" i="26" s="1"/>
  <c r="N540" i="26"/>
  <c r="J540" i="26" s="1"/>
  <c r="N536" i="26"/>
  <c r="N532" i="26"/>
  <c r="J532" i="26" s="1"/>
  <c r="N537" i="26"/>
  <c r="M537" i="26" s="1"/>
  <c r="N533" i="26"/>
  <c r="M533" i="26" s="1"/>
  <c r="N529" i="26"/>
  <c r="M529" i="26" s="1"/>
  <c r="H326" i="26"/>
  <c r="AA297" i="26"/>
  <c r="AB317" i="26"/>
  <c r="AB318" i="26" s="1"/>
  <c r="N530" i="26"/>
  <c r="J530" i="26" s="1"/>
  <c r="AA317" i="26"/>
  <c r="AA318" i="26" s="1"/>
  <c r="I326" i="26"/>
  <c r="AB278" i="26"/>
  <c r="AA278" i="26"/>
  <c r="AI317" i="26"/>
  <c r="N358" i="26"/>
  <c r="M358" i="26" s="1"/>
  <c r="H327" i="26"/>
  <c r="H328" i="26" s="1"/>
  <c r="AE278" i="26"/>
  <c r="AB279" i="26"/>
  <c r="AB280" i="26" s="1"/>
  <c r="AB316" i="26"/>
  <c r="AE279" i="26"/>
  <c r="AE280" i="26" s="1"/>
  <c r="AA316" i="26"/>
  <c r="N528" i="26"/>
  <c r="N531" i="26"/>
  <c r="M531" i="26" s="1"/>
  <c r="AA279" i="26"/>
  <c r="AA280" i="26" s="1"/>
  <c r="N527" i="26"/>
  <c r="L529" i="26"/>
  <c r="L527" i="26"/>
  <c r="L528" i="26"/>
  <c r="N359" i="26"/>
  <c r="AG303" i="26"/>
  <c r="AG304" i="26"/>
  <c r="AG305" i="26"/>
  <c r="AG308" i="26"/>
  <c r="AD308" i="26" s="1"/>
  <c r="AE303" i="26"/>
  <c r="AE304" i="26"/>
  <c r="AE305" i="26"/>
  <c r="AE306" i="26"/>
  <c r="AE307" i="26"/>
  <c r="AE308" i="26"/>
  <c r="AE309" i="26"/>
  <c r="AG306" i="26"/>
  <c r="AD306" i="26" s="1"/>
  <c r="AG307" i="26"/>
  <c r="AD307" i="26" s="1"/>
  <c r="AG309" i="26"/>
  <c r="AI285" i="26"/>
  <c r="AG284" i="26"/>
  <c r="AC284" i="26" s="1"/>
  <c r="AI286" i="26"/>
  <c r="AG285" i="26"/>
  <c r="AF285" i="26" s="1"/>
  <c r="AI287" i="26"/>
  <c r="AG286" i="26"/>
  <c r="AF286" i="26" s="1"/>
  <c r="AI288" i="26"/>
  <c r="AG287" i="26"/>
  <c r="AF287" i="26" s="1"/>
  <c r="AI289" i="26"/>
  <c r="AG288" i="26"/>
  <c r="AF288" i="26" s="1"/>
  <c r="AI290" i="26"/>
  <c r="AG289" i="26"/>
  <c r="AF289" i="26" s="1"/>
  <c r="AI291" i="26"/>
  <c r="AG290" i="26"/>
  <c r="AF290" i="26" s="1"/>
  <c r="AB298" i="26"/>
  <c r="AB299" i="26" s="1"/>
  <c r="AB297" i="26"/>
  <c r="AI266" i="26"/>
  <c r="AG265" i="26"/>
  <c r="AI267" i="26"/>
  <c r="AG266" i="26"/>
  <c r="AF266" i="26" s="1"/>
  <c r="AI268" i="26"/>
  <c r="AG267" i="26"/>
  <c r="AF267" i="26" s="1"/>
  <c r="AI269" i="26"/>
  <c r="AG268" i="26"/>
  <c r="AF268" i="26" s="1"/>
  <c r="AI270" i="26"/>
  <c r="AG269" i="26"/>
  <c r="AF269" i="26" s="1"/>
  <c r="AI271" i="26"/>
  <c r="AG270" i="26"/>
  <c r="AF270" i="26" s="1"/>
  <c r="AI272" i="26"/>
  <c r="AG271" i="26"/>
  <c r="AF271" i="26" s="1"/>
  <c r="AE284" i="26"/>
  <c r="AE285" i="26"/>
  <c r="AE286" i="26"/>
  <c r="AE287" i="26"/>
  <c r="AE288" i="26"/>
  <c r="AE289" i="26"/>
  <c r="AE290" i="26"/>
  <c r="N313" i="26"/>
  <c r="M313" i="26" s="1"/>
  <c r="N315" i="26"/>
  <c r="M315" i="26" s="1"/>
  <c r="N317" i="26"/>
  <c r="N319" i="26"/>
  <c r="M319" i="26" s="1"/>
  <c r="N314" i="26"/>
  <c r="N316" i="26"/>
  <c r="M316" i="26" s="1"/>
  <c r="N318" i="26"/>
  <c r="M318" i="26" s="1"/>
  <c r="L316" i="26"/>
  <c r="L317" i="26"/>
  <c r="P313" i="26"/>
  <c r="P314" i="26"/>
  <c r="P315" i="26"/>
  <c r="P316" i="26"/>
  <c r="P317" i="26"/>
  <c r="P318" i="26"/>
  <c r="P319" i="26"/>
  <c r="L313" i="26"/>
  <c r="L314" i="26"/>
  <c r="L315" i="26"/>
  <c r="L318" i="26"/>
  <c r="L319" i="26"/>
  <c r="O141" i="26"/>
  <c r="O142" i="26" s="1"/>
  <c r="P141" i="26"/>
  <c r="P142" i="26" s="1"/>
  <c r="O140" i="26"/>
  <c r="P140" i="26"/>
  <c r="O136" i="26"/>
  <c r="O137" i="26" s="1"/>
  <c r="P136" i="26"/>
  <c r="P137" i="26" s="1"/>
  <c r="O135" i="26"/>
  <c r="P135" i="26"/>
  <c r="O131" i="26"/>
  <c r="O132" i="26" s="1"/>
  <c r="P131" i="26"/>
  <c r="P132" i="26" s="1"/>
  <c r="O130" i="26"/>
  <c r="P130" i="26"/>
  <c r="O125" i="26"/>
  <c r="O126" i="26" s="1"/>
  <c r="P125" i="26"/>
  <c r="P126" i="26" s="1"/>
  <c r="O124" i="26"/>
  <c r="P124" i="26"/>
  <c r="O120" i="26"/>
  <c r="O121" i="26" s="1"/>
  <c r="P120" i="26"/>
  <c r="P121" i="26" s="1"/>
  <c r="H102" i="26"/>
  <c r="L102" i="26" s="1"/>
  <c r="I102" i="26"/>
  <c r="H103" i="26"/>
  <c r="I103" i="26"/>
  <c r="H104" i="26"/>
  <c r="L104" i="26" s="1"/>
  <c r="I104" i="26"/>
  <c r="H105" i="26"/>
  <c r="L105" i="26" s="1"/>
  <c r="I105" i="26"/>
  <c r="H106" i="26"/>
  <c r="L106" i="26" s="1"/>
  <c r="I106" i="26"/>
  <c r="H107" i="26"/>
  <c r="L107" i="26" s="1"/>
  <c r="I107" i="26"/>
  <c r="H108" i="26"/>
  <c r="L108" i="26" s="1"/>
  <c r="I108" i="26"/>
  <c r="H109" i="26"/>
  <c r="L109" i="26" s="1"/>
  <c r="I109" i="26"/>
  <c r="H110" i="26"/>
  <c r="L110" i="26" s="1"/>
  <c r="I110" i="26"/>
  <c r="H111" i="26"/>
  <c r="I111" i="26"/>
  <c r="H112" i="26"/>
  <c r="L112" i="26" s="1"/>
  <c r="I112" i="26"/>
  <c r="H113" i="26"/>
  <c r="L113" i="26" s="1"/>
  <c r="I113" i="26"/>
  <c r="H114" i="26"/>
  <c r="L114" i="26" s="1"/>
  <c r="I114" i="26"/>
  <c r="H67" i="26"/>
  <c r="I67" i="26"/>
  <c r="H68" i="26"/>
  <c r="I68" i="26"/>
  <c r="H69" i="26"/>
  <c r="I69" i="26"/>
  <c r="H70" i="26"/>
  <c r="L70" i="26" s="1"/>
  <c r="I70" i="26"/>
  <c r="H71" i="26"/>
  <c r="L71" i="26" s="1"/>
  <c r="I71" i="26"/>
  <c r="H72" i="26"/>
  <c r="L72" i="26" s="1"/>
  <c r="I72" i="26"/>
  <c r="H73" i="26"/>
  <c r="L73" i="26" s="1"/>
  <c r="I73" i="26"/>
  <c r="H74" i="26"/>
  <c r="L74" i="26" s="1"/>
  <c r="I74" i="26"/>
  <c r="H75" i="26"/>
  <c r="L75" i="26" s="1"/>
  <c r="I75" i="26"/>
  <c r="H76" i="26"/>
  <c r="L76" i="26" s="1"/>
  <c r="I76" i="26"/>
  <c r="H77" i="26"/>
  <c r="L77" i="26" s="1"/>
  <c r="I77" i="26"/>
  <c r="H78" i="26"/>
  <c r="I78" i="26"/>
  <c r="H79" i="26"/>
  <c r="L79" i="26" s="1"/>
  <c r="I79" i="26"/>
  <c r="H80" i="26"/>
  <c r="L80" i="26" s="1"/>
  <c r="I80" i="26"/>
  <c r="H81" i="26"/>
  <c r="L81" i="26" s="1"/>
  <c r="I81" i="26"/>
  <c r="H82" i="26"/>
  <c r="I82" i="26"/>
  <c r="H83" i="26"/>
  <c r="L83" i="26" s="1"/>
  <c r="I83" i="26"/>
  <c r="H84" i="26"/>
  <c r="I84" i="26"/>
  <c r="H85" i="26"/>
  <c r="L85" i="26" s="1"/>
  <c r="I85" i="26"/>
  <c r="H86" i="26"/>
  <c r="L86" i="26" s="1"/>
  <c r="I86" i="26"/>
  <c r="H87" i="26"/>
  <c r="L87" i="26" s="1"/>
  <c r="I87" i="26"/>
  <c r="H88" i="26"/>
  <c r="L88" i="26" s="1"/>
  <c r="I88" i="26"/>
  <c r="H89" i="26"/>
  <c r="L89" i="26" s="1"/>
  <c r="I89" i="26"/>
  <c r="H90" i="26"/>
  <c r="I90" i="26"/>
  <c r="H91" i="26"/>
  <c r="I91" i="26"/>
  <c r="H92" i="26"/>
  <c r="L92" i="26" s="1"/>
  <c r="I92" i="26"/>
  <c r="H93" i="26"/>
  <c r="L93" i="26" s="1"/>
  <c r="I93" i="26"/>
  <c r="H94" i="26"/>
  <c r="I94" i="26"/>
  <c r="H95" i="26"/>
  <c r="I95" i="26"/>
  <c r="H96" i="26"/>
  <c r="L96" i="26" s="1"/>
  <c r="I96" i="26"/>
  <c r="H97" i="26"/>
  <c r="I97" i="26"/>
  <c r="H98" i="26"/>
  <c r="I98" i="26"/>
  <c r="H99" i="26"/>
  <c r="I99" i="26"/>
  <c r="H100" i="26"/>
  <c r="L100" i="26" s="1"/>
  <c r="I100" i="26"/>
  <c r="H101" i="26"/>
  <c r="L101" i="26" s="1"/>
  <c r="I101" i="26"/>
  <c r="O27" i="26"/>
  <c r="O28" i="26" s="1"/>
  <c r="H13" i="26"/>
  <c r="I13" i="26"/>
  <c r="H14" i="26"/>
  <c r="I14" i="26"/>
  <c r="H15" i="26"/>
  <c r="I15" i="26"/>
  <c r="H16" i="26"/>
  <c r="I16" i="26"/>
  <c r="H17" i="26"/>
  <c r="I17" i="26"/>
  <c r="H18" i="26"/>
  <c r="I18" i="26"/>
  <c r="H19" i="26"/>
  <c r="I19" i="26"/>
  <c r="H20" i="26"/>
  <c r="I20" i="26"/>
  <c r="H21" i="26"/>
  <c r="P21" i="26" s="1"/>
  <c r="H8" i="26"/>
  <c r="H7" i="26"/>
  <c r="I7" i="26"/>
  <c r="I8" i="26"/>
  <c r="H9" i="26"/>
  <c r="I9" i="26"/>
  <c r="H10" i="26"/>
  <c r="I10" i="26"/>
  <c r="H11" i="26"/>
  <c r="P11" i="26" s="1"/>
  <c r="I11" i="26"/>
  <c r="H12" i="26"/>
  <c r="I12" i="26"/>
  <c r="H506" i="26"/>
  <c r="I505" i="26"/>
  <c r="H505" i="26"/>
  <c r="I504" i="26"/>
  <c r="H504" i="26"/>
  <c r="P504" i="26" s="1"/>
  <c r="I503" i="26"/>
  <c r="H503" i="26"/>
  <c r="P503" i="26" s="1"/>
  <c r="I502" i="26"/>
  <c r="H502" i="26"/>
  <c r="I501" i="26"/>
  <c r="H501" i="26"/>
  <c r="H478" i="26"/>
  <c r="I477" i="26"/>
  <c r="H477" i="26"/>
  <c r="I476" i="26"/>
  <c r="H476" i="26"/>
  <c r="P476" i="26" s="1"/>
  <c r="I475" i="26"/>
  <c r="H475" i="26"/>
  <c r="I474" i="26"/>
  <c r="H474" i="26"/>
  <c r="I473" i="26"/>
  <c r="H473" i="26"/>
  <c r="H493" i="26" s="1"/>
  <c r="I472" i="26"/>
  <c r="H472" i="26"/>
  <c r="P472" i="26" s="1"/>
  <c r="H451" i="26"/>
  <c r="I450" i="26"/>
  <c r="H450" i="26"/>
  <c r="I449" i="26"/>
  <c r="H449" i="26"/>
  <c r="I448" i="26"/>
  <c r="H448" i="26"/>
  <c r="I447" i="26"/>
  <c r="H447" i="26"/>
  <c r="I446" i="26"/>
  <c r="H446" i="26"/>
  <c r="I445" i="26"/>
  <c r="H445" i="26"/>
  <c r="H424" i="26"/>
  <c r="I423" i="26"/>
  <c r="H423" i="26"/>
  <c r="I422" i="26"/>
  <c r="H422" i="26"/>
  <c r="I421" i="26"/>
  <c r="H421" i="26"/>
  <c r="I420" i="26"/>
  <c r="H420" i="26"/>
  <c r="I419" i="26"/>
  <c r="H419" i="26"/>
  <c r="I418" i="26"/>
  <c r="H418" i="26"/>
  <c r="H393" i="26"/>
  <c r="I392" i="26"/>
  <c r="H392" i="26"/>
  <c r="I391" i="26"/>
  <c r="H391" i="26"/>
  <c r="I390" i="26"/>
  <c r="H390" i="26"/>
  <c r="I389" i="26"/>
  <c r="H389" i="26"/>
  <c r="I388" i="26"/>
  <c r="H388" i="26"/>
  <c r="I387" i="26"/>
  <c r="H387" i="26"/>
  <c r="I357" i="26"/>
  <c r="H357" i="26"/>
  <c r="P357" i="26" s="1"/>
  <c r="I356" i="26"/>
  <c r="H356" i="26"/>
  <c r="L356" i="26" s="1"/>
  <c r="I355" i="26"/>
  <c r="H355" i="26"/>
  <c r="I354" i="26"/>
  <c r="H354" i="26"/>
  <c r="L354" i="26" s="1"/>
  <c r="I353" i="26"/>
  <c r="H353" i="26"/>
  <c r="I352" i="26"/>
  <c r="H352" i="26"/>
  <c r="L352" i="26" s="1"/>
  <c r="I351" i="26"/>
  <c r="H351" i="26"/>
  <c r="P351" i="26" s="1"/>
  <c r="I350" i="26"/>
  <c r="H350" i="26"/>
  <c r="L350" i="26" s="1"/>
  <c r="I349" i="26"/>
  <c r="H349" i="26"/>
  <c r="I348" i="26"/>
  <c r="H348" i="26"/>
  <c r="I347" i="26"/>
  <c r="H347" i="26"/>
  <c r="H288" i="26"/>
  <c r="I287" i="26"/>
  <c r="H287" i="26"/>
  <c r="P287" i="26" s="1"/>
  <c r="I286" i="26"/>
  <c r="H286" i="26"/>
  <c r="P286" i="26" s="1"/>
  <c r="I285" i="26"/>
  <c r="H285" i="26"/>
  <c r="I284" i="26"/>
  <c r="H284" i="26"/>
  <c r="I283" i="26"/>
  <c r="H283" i="26"/>
  <c r="P283" i="26" s="1"/>
  <c r="I282" i="26"/>
  <c r="H282" i="26"/>
  <c r="P282" i="26" s="1"/>
  <c r="I281" i="26"/>
  <c r="H281" i="26"/>
  <c r="H256" i="26"/>
  <c r="P256" i="26" s="1"/>
  <c r="I255" i="26"/>
  <c r="H255" i="26"/>
  <c r="I254" i="26"/>
  <c r="H254" i="26"/>
  <c r="P254" i="26" s="1"/>
  <c r="I253" i="26"/>
  <c r="H253" i="26"/>
  <c r="P253" i="26" s="1"/>
  <c r="I252" i="26"/>
  <c r="H252" i="26"/>
  <c r="L252" i="26" s="1"/>
  <c r="I251" i="26"/>
  <c r="H251" i="26"/>
  <c r="I250" i="26"/>
  <c r="H250" i="26"/>
  <c r="I249" i="26"/>
  <c r="H249" i="26"/>
  <c r="H238" i="26"/>
  <c r="I237" i="26"/>
  <c r="H237" i="26"/>
  <c r="I236" i="26"/>
  <c r="H236" i="26"/>
  <c r="L236" i="26" s="1"/>
  <c r="I235" i="26"/>
  <c r="H235" i="26"/>
  <c r="P235" i="26" s="1"/>
  <c r="I234" i="26"/>
  <c r="H234" i="26"/>
  <c r="L234" i="26" s="1"/>
  <c r="I233" i="26"/>
  <c r="H233" i="26"/>
  <c r="L233" i="26" s="1"/>
  <c r="I232" i="26"/>
  <c r="H232" i="26"/>
  <c r="I231" i="26"/>
  <c r="H231" i="26"/>
  <c r="P231" i="26" s="1"/>
  <c r="O227" i="26"/>
  <c r="O228" i="26" s="1"/>
  <c r="O226" i="26"/>
  <c r="I222" i="26"/>
  <c r="H222" i="26"/>
  <c r="P222" i="26" s="1"/>
  <c r="I221" i="26"/>
  <c r="H221" i="26"/>
  <c r="P221" i="26" s="1"/>
  <c r="I220" i="26"/>
  <c r="H220" i="26"/>
  <c r="P220" i="26" s="1"/>
  <c r="I219" i="26"/>
  <c r="H219" i="26"/>
  <c r="P219" i="26" s="1"/>
  <c r="I218" i="26"/>
  <c r="H218" i="26"/>
  <c r="P218" i="26" s="1"/>
  <c r="I217" i="26"/>
  <c r="H217" i="26"/>
  <c r="P217" i="26" s="1"/>
  <c r="I216" i="26"/>
  <c r="H216" i="26"/>
  <c r="I215" i="26"/>
  <c r="H215" i="26"/>
  <c r="P215" i="26" s="1"/>
  <c r="H204" i="26"/>
  <c r="I203" i="26"/>
  <c r="H203" i="26"/>
  <c r="P203" i="26" s="1"/>
  <c r="I202" i="26"/>
  <c r="H202" i="26"/>
  <c r="P202" i="26" s="1"/>
  <c r="I201" i="26"/>
  <c r="H201" i="26"/>
  <c r="P201" i="26" s="1"/>
  <c r="I200" i="26"/>
  <c r="H200" i="26"/>
  <c r="P200" i="26" s="1"/>
  <c r="I199" i="26"/>
  <c r="H199" i="26"/>
  <c r="P199" i="26" s="1"/>
  <c r="I198" i="26"/>
  <c r="H198" i="26"/>
  <c r="I197" i="26"/>
  <c r="H197" i="26"/>
  <c r="H187" i="26"/>
  <c r="I186" i="26"/>
  <c r="H186" i="26"/>
  <c r="L186" i="26" s="1"/>
  <c r="I185" i="26"/>
  <c r="H185" i="26"/>
  <c r="I184" i="26"/>
  <c r="H184" i="26"/>
  <c r="L184" i="26" s="1"/>
  <c r="I183" i="26"/>
  <c r="H183" i="26"/>
  <c r="L183" i="26" s="1"/>
  <c r="I182" i="26"/>
  <c r="H182" i="26"/>
  <c r="L182" i="26" s="1"/>
  <c r="I181" i="26"/>
  <c r="H181" i="26"/>
  <c r="I180" i="26"/>
  <c r="H180" i="26"/>
  <c r="P180" i="26" s="1"/>
  <c r="H155" i="26"/>
  <c r="I154" i="26"/>
  <c r="H154" i="26"/>
  <c r="I153" i="26"/>
  <c r="H153" i="26"/>
  <c r="P153" i="26" s="1"/>
  <c r="I152" i="26"/>
  <c r="H152" i="26"/>
  <c r="I151" i="26"/>
  <c r="H151" i="26"/>
  <c r="P151" i="26" s="1"/>
  <c r="I150" i="26"/>
  <c r="H150" i="26"/>
  <c r="L150" i="26" s="1"/>
  <c r="I149" i="26"/>
  <c r="H149" i="26"/>
  <c r="I148" i="26"/>
  <c r="H148" i="26"/>
  <c r="O119" i="26"/>
  <c r="I66" i="26"/>
  <c r="H66" i="26"/>
  <c r="AF7" i="26"/>
  <c r="H51" i="16"/>
  <c r="H52" i="16" s="1"/>
  <c r="I51" i="16"/>
  <c r="I52" i="16" s="1"/>
  <c r="J51" i="16"/>
  <c r="J52" i="16" s="1"/>
  <c r="K51" i="16"/>
  <c r="K52" i="16" s="1"/>
  <c r="L51" i="16"/>
  <c r="L52" i="16" s="1"/>
  <c r="M51" i="16"/>
  <c r="M52" i="16" s="1"/>
  <c r="H50" i="16"/>
  <c r="I50" i="16"/>
  <c r="J50" i="16"/>
  <c r="K50" i="16"/>
  <c r="L50" i="16"/>
  <c r="M50" i="16"/>
  <c r="G52" i="16"/>
  <c r="G79" i="16"/>
  <c r="O65" i="25"/>
  <c r="O66" i="25" s="1"/>
  <c r="P65" i="25"/>
  <c r="P66" i="25" s="1"/>
  <c r="D40" i="25"/>
  <c r="D41" i="25"/>
  <c r="D42" i="25"/>
  <c r="D43" i="25"/>
  <c r="D44" i="25"/>
  <c r="D45" i="25"/>
  <c r="D46" i="25"/>
  <c r="D47" i="25"/>
  <c r="D48" i="25"/>
  <c r="D49" i="25"/>
  <c r="D50" i="25"/>
  <c r="H39" i="25"/>
  <c r="P39" i="25" s="1"/>
  <c r="I39" i="25"/>
  <c r="H40" i="25"/>
  <c r="I40" i="25"/>
  <c r="H41" i="25"/>
  <c r="I41" i="25"/>
  <c r="H42" i="25"/>
  <c r="I42" i="25"/>
  <c r="H43" i="25"/>
  <c r="I43" i="25"/>
  <c r="H44" i="25"/>
  <c r="I44" i="25"/>
  <c r="H45" i="25"/>
  <c r="I45" i="25"/>
  <c r="H46" i="25"/>
  <c r="I46" i="25"/>
  <c r="H47" i="25"/>
  <c r="P47" i="25" s="1"/>
  <c r="I47" i="25"/>
  <c r="H48" i="25"/>
  <c r="I48" i="25"/>
  <c r="H49" i="25"/>
  <c r="P49" i="25" s="1"/>
  <c r="I49" i="25"/>
  <c r="H50" i="25"/>
  <c r="I50" i="25"/>
  <c r="H51" i="25"/>
  <c r="P51" i="25" s="1"/>
  <c r="P64" i="25" s="1"/>
  <c r="I51" i="25"/>
  <c r="H52" i="25"/>
  <c r="P52" i="25" s="1"/>
  <c r="I52" i="25"/>
  <c r="H53" i="25"/>
  <c r="I53" i="25"/>
  <c r="O27" i="25"/>
  <c r="O28" i="25" s="1"/>
  <c r="O26" i="25"/>
  <c r="H8" i="25"/>
  <c r="I8" i="25"/>
  <c r="H9" i="25"/>
  <c r="P9" i="25" s="1"/>
  <c r="I9" i="25"/>
  <c r="H10" i="25"/>
  <c r="I10" i="25"/>
  <c r="H11" i="25"/>
  <c r="I11" i="25"/>
  <c r="H12" i="25"/>
  <c r="I12" i="25"/>
  <c r="H13" i="25"/>
  <c r="P13" i="25" s="1"/>
  <c r="I13" i="25"/>
  <c r="H14" i="25"/>
  <c r="I14" i="25"/>
  <c r="H15" i="25"/>
  <c r="I15" i="25"/>
  <c r="H16" i="25"/>
  <c r="I16" i="25"/>
  <c r="H17" i="25"/>
  <c r="I17" i="25"/>
  <c r="H18" i="25"/>
  <c r="I18" i="25"/>
  <c r="H19" i="25"/>
  <c r="I19" i="25"/>
  <c r="H20" i="25"/>
  <c r="I20" i="25"/>
  <c r="H21" i="25"/>
  <c r="I21" i="25"/>
  <c r="H22" i="25"/>
  <c r="I22" i="25"/>
  <c r="H23" i="25"/>
  <c r="I23" i="25"/>
  <c r="D39" i="25"/>
  <c r="I38" i="25"/>
  <c r="H38" i="25"/>
  <c r="P38" i="25" s="1"/>
  <c r="D38" i="25"/>
  <c r="AI27" i="25"/>
  <c r="AI28" i="25" s="1"/>
  <c r="AH27" i="25"/>
  <c r="AH28" i="25" s="1"/>
  <c r="AI26" i="25"/>
  <c r="AH26" i="25"/>
  <c r="AB22" i="25"/>
  <c r="AA22" i="25"/>
  <c r="AE22" i="25" s="1"/>
  <c r="AB12" i="25"/>
  <c r="AA12" i="25"/>
  <c r="AB11" i="25"/>
  <c r="AA11" i="25"/>
  <c r="AE11" i="25" s="1"/>
  <c r="AB10" i="25"/>
  <c r="AA10" i="25"/>
  <c r="AE10" i="25" s="1"/>
  <c r="AB9" i="25"/>
  <c r="AA9" i="25"/>
  <c r="AE9" i="25" s="1"/>
  <c r="AB8" i="25"/>
  <c r="AA8" i="25"/>
  <c r="AB7" i="25"/>
  <c r="AA7" i="25"/>
  <c r="I7" i="25"/>
  <c r="H7" i="25"/>
  <c r="P7" i="25" s="1"/>
  <c r="O37" i="24"/>
  <c r="O38" i="24" s="1"/>
  <c r="O36" i="24"/>
  <c r="D29" i="24"/>
  <c r="D30" i="24"/>
  <c r="D28" i="24"/>
  <c r="P42" i="24"/>
  <c r="P43" i="24" s="1"/>
  <c r="O42" i="24"/>
  <c r="O43" i="24" s="1"/>
  <c r="H32" i="24"/>
  <c r="I31" i="24"/>
  <c r="I41" i="24" s="1"/>
  <c r="H31" i="24"/>
  <c r="I30" i="24"/>
  <c r="H30" i="24"/>
  <c r="I29" i="24"/>
  <c r="H29" i="24"/>
  <c r="P29" i="24" s="1"/>
  <c r="I28" i="24"/>
  <c r="H28" i="24"/>
  <c r="AI17" i="24"/>
  <c r="AI18" i="24" s="1"/>
  <c r="AH17" i="24"/>
  <c r="AH18" i="24" s="1"/>
  <c r="O17" i="24"/>
  <c r="O18" i="24" s="1"/>
  <c r="AI16" i="24"/>
  <c r="AH16" i="24"/>
  <c r="O16" i="24"/>
  <c r="AB13" i="24"/>
  <c r="AA13" i="24"/>
  <c r="H13" i="24"/>
  <c r="AB12" i="24"/>
  <c r="AA12" i="24"/>
  <c r="AE12" i="24" s="1"/>
  <c r="I12" i="24"/>
  <c r="H12" i="24"/>
  <c r="AB11" i="24"/>
  <c r="AA11" i="24"/>
  <c r="AE11" i="24" s="1"/>
  <c r="I11" i="24"/>
  <c r="H11" i="24"/>
  <c r="AB10" i="24"/>
  <c r="AA10" i="24"/>
  <c r="I10" i="24"/>
  <c r="H10" i="24"/>
  <c r="AB9" i="24"/>
  <c r="AA9" i="24"/>
  <c r="AE9" i="24" s="1"/>
  <c r="I9" i="24"/>
  <c r="H9" i="24"/>
  <c r="AB8" i="24"/>
  <c r="AA8" i="24"/>
  <c r="I8" i="24"/>
  <c r="H8" i="24"/>
  <c r="AB7" i="24"/>
  <c r="AA7" i="24"/>
  <c r="AE7" i="24" s="1"/>
  <c r="I7" i="24"/>
  <c r="I17" i="24" s="1"/>
  <c r="I18" i="24" s="1"/>
  <c r="H7" i="24"/>
  <c r="P7" i="24" s="1"/>
  <c r="O79" i="2"/>
  <c r="O80" i="2" s="1"/>
  <c r="O78" i="2"/>
  <c r="O74" i="2"/>
  <c r="O75" i="2" s="1"/>
  <c r="O73" i="2"/>
  <c r="O68" i="2"/>
  <c r="O69" i="2" s="1"/>
  <c r="O67" i="2"/>
  <c r="O63" i="2"/>
  <c r="O64" i="2" s="1"/>
  <c r="O62" i="2"/>
  <c r="O58" i="2"/>
  <c r="O59" i="2" s="1"/>
  <c r="O57" i="2"/>
  <c r="U39" i="2"/>
  <c r="T39" i="2"/>
  <c r="H34" i="2"/>
  <c r="I34" i="2"/>
  <c r="H35" i="2"/>
  <c r="I35" i="2"/>
  <c r="H36" i="2"/>
  <c r="I36" i="2"/>
  <c r="H37" i="2"/>
  <c r="I37" i="2"/>
  <c r="H38" i="2"/>
  <c r="I38" i="2"/>
  <c r="H39" i="2"/>
  <c r="I39" i="2"/>
  <c r="H40" i="2"/>
  <c r="I40" i="2"/>
  <c r="H41" i="2"/>
  <c r="P41" i="2" s="1"/>
  <c r="I41" i="2"/>
  <c r="H42" i="2"/>
  <c r="I42" i="2"/>
  <c r="H43" i="2"/>
  <c r="I43" i="2"/>
  <c r="H44" i="2"/>
  <c r="I44" i="2"/>
  <c r="H45" i="2"/>
  <c r="I45" i="2"/>
  <c r="H46" i="2"/>
  <c r="I46" i="2"/>
  <c r="H47" i="2"/>
  <c r="I47" i="2"/>
  <c r="H48" i="2"/>
  <c r="P48" i="2" s="1"/>
  <c r="I48" i="2"/>
  <c r="H49" i="2"/>
  <c r="I49" i="2"/>
  <c r="H50" i="2"/>
  <c r="P50" i="2" s="1"/>
  <c r="I50" i="2"/>
  <c r="H51" i="2"/>
  <c r="I51" i="2"/>
  <c r="I73" i="2" s="1"/>
  <c r="H52" i="2"/>
  <c r="I52" i="2"/>
  <c r="H53" i="2"/>
  <c r="I53" i="2"/>
  <c r="H54" i="2"/>
  <c r="H30" i="2"/>
  <c r="I30" i="2"/>
  <c r="H31" i="2"/>
  <c r="P31" i="2" s="1"/>
  <c r="I31" i="2"/>
  <c r="H32" i="2"/>
  <c r="I32" i="2"/>
  <c r="H33" i="2"/>
  <c r="I33" i="2"/>
  <c r="I29" i="2"/>
  <c r="H29" i="2"/>
  <c r="P29" i="2" s="1"/>
  <c r="U5" i="2"/>
  <c r="O76" i="22"/>
  <c r="O77" i="22" s="1"/>
  <c r="O75" i="22"/>
  <c r="O70" i="22"/>
  <c r="O71" i="22"/>
  <c r="O72" i="22" s="1"/>
  <c r="O66" i="22"/>
  <c r="O67" i="22" s="1"/>
  <c r="O65" i="22"/>
  <c r="D58" i="22"/>
  <c r="D57" i="22"/>
  <c r="D53" i="22"/>
  <c r="D54" i="22"/>
  <c r="D52" i="22"/>
  <c r="D50" i="22"/>
  <c r="H60" i="22"/>
  <c r="W42" i="22"/>
  <c r="X42" i="22"/>
  <c r="W43" i="22"/>
  <c r="X43" i="22"/>
  <c r="W44" i="22"/>
  <c r="X44" i="22"/>
  <c r="X41" i="22"/>
  <c r="W41" i="22"/>
  <c r="D44" i="22"/>
  <c r="D38" i="22"/>
  <c r="H39" i="22"/>
  <c r="P39" i="22" s="1"/>
  <c r="I39" i="22"/>
  <c r="H40" i="22"/>
  <c r="I40" i="22"/>
  <c r="H41" i="22"/>
  <c r="I41" i="22"/>
  <c r="H42" i="22"/>
  <c r="I42" i="22"/>
  <c r="H43" i="22"/>
  <c r="I43" i="22"/>
  <c r="H44" i="22"/>
  <c r="I44" i="22"/>
  <c r="H45" i="22"/>
  <c r="I45" i="22"/>
  <c r="H46" i="22"/>
  <c r="I46" i="22"/>
  <c r="H47" i="22"/>
  <c r="I47" i="22"/>
  <c r="H48" i="22"/>
  <c r="P48" i="22" s="1"/>
  <c r="I48" i="22"/>
  <c r="H49" i="22"/>
  <c r="I49" i="22"/>
  <c r="H50" i="22"/>
  <c r="I50" i="22"/>
  <c r="H51" i="22"/>
  <c r="I51" i="22"/>
  <c r="H52" i="22"/>
  <c r="I52" i="22"/>
  <c r="H53" i="22"/>
  <c r="I53" i="22"/>
  <c r="H54" i="22"/>
  <c r="I54" i="22"/>
  <c r="H55" i="22"/>
  <c r="I55" i="22"/>
  <c r="H56" i="22"/>
  <c r="I56" i="22"/>
  <c r="H57" i="22"/>
  <c r="P57" i="22" s="1"/>
  <c r="I57" i="22"/>
  <c r="H58" i="22"/>
  <c r="I58" i="22"/>
  <c r="H59" i="22"/>
  <c r="I59" i="22"/>
  <c r="I38" i="22"/>
  <c r="H38" i="22"/>
  <c r="P38" i="22" s="1"/>
  <c r="H9" i="22"/>
  <c r="I9" i="22"/>
  <c r="H10" i="22"/>
  <c r="I10" i="22"/>
  <c r="H11" i="22"/>
  <c r="I11" i="22"/>
  <c r="H12" i="22"/>
  <c r="I12" i="22"/>
  <c r="H13" i="22"/>
  <c r="I13" i="22"/>
  <c r="H14" i="22"/>
  <c r="I14" i="22"/>
  <c r="H15" i="22"/>
  <c r="I15" i="22"/>
  <c r="H16" i="22"/>
  <c r="I16" i="22"/>
  <c r="H17" i="22"/>
  <c r="I17" i="22"/>
  <c r="H18" i="22"/>
  <c r="I18" i="22"/>
  <c r="H19" i="22"/>
  <c r="I19" i="22"/>
  <c r="H20" i="22"/>
  <c r="I20" i="22"/>
  <c r="H21" i="22"/>
  <c r="I21" i="22"/>
  <c r="H22" i="22"/>
  <c r="I22" i="22"/>
  <c r="H23" i="22"/>
  <c r="AH27" i="22"/>
  <c r="AH28" i="22" s="1"/>
  <c r="AH26" i="22"/>
  <c r="AA14" i="22"/>
  <c r="AB13" i="22"/>
  <c r="AA13" i="22"/>
  <c r="AI13" i="22" s="1"/>
  <c r="AB12" i="22"/>
  <c r="AA12" i="22"/>
  <c r="AI12" i="22" s="1"/>
  <c r="AB11" i="22"/>
  <c r="AA11" i="22"/>
  <c r="AI11" i="22" s="1"/>
  <c r="AB10" i="22"/>
  <c r="AA10" i="22"/>
  <c r="AI10" i="22" s="1"/>
  <c r="AB9" i="22"/>
  <c r="AA9" i="22"/>
  <c r="AI9" i="22" s="1"/>
  <c r="AB8" i="22"/>
  <c r="AA8" i="22"/>
  <c r="AI8" i="22" s="1"/>
  <c r="AB7" i="22"/>
  <c r="AA7" i="22"/>
  <c r="AI7" i="22" s="1"/>
  <c r="O27" i="22"/>
  <c r="O28" i="22" s="1"/>
  <c r="O26" i="22"/>
  <c r="I8" i="22"/>
  <c r="H8" i="22"/>
  <c r="I7" i="22"/>
  <c r="H7" i="22"/>
  <c r="P7" i="22" s="1"/>
  <c r="O104" i="21"/>
  <c r="O105" i="21" s="1"/>
  <c r="O103" i="21"/>
  <c r="O98" i="21"/>
  <c r="O99" i="21" s="1"/>
  <c r="O97" i="21"/>
  <c r="O93" i="21"/>
  <c r="O94" i="21" s="1"/>
  <c r="O92" i="21"/>
  <c r="O87" i="21"/>
  <c r="O88" i="21" s="1"/>
  <c r="O86" i="21"/>
  <c r="O82" i="21"/>
  <c r="O83" i="21" s="1"/>
  <c r="O81" i="21"/>
  <c r="O77" i="21"/>
  <c r="O78" i="21" s="1"/>
  <c r="O76" i="21"/>
  <c r="D28" i="21"/>
  <c r="D23" i="21"/>
  <c r="D21" i="21"/>
  <c r="D17" i="21"/>
  <c r="D16" i="21"/>
  <c r="D15" i="21"/>
  <c r="D12" i="21"/>
  <c r="H64" i="21"/>
  <c r="I64" i="21"/>
  <c r="H65" i="21"/>
  <c r="I65" i="21"/>
  <c r="H66" i="21"/>
  <c r="P66" i="21" s="1"/>
  <c r="I66" i="21"/>
  <c r="H67" i="21"/>
  <c r="I67" i="21"/>
  <c r="H68" i="21"/>
  <c r="I68" i="21"/>
  <c r="H69" i="21"/>
  <c r="I69" i="21"/>
  <c r="H70" i="21"/>
  <c r="P70" i="21" s="1"/>
  <c r="I70" i="21"/>
  <c r="H71" i="21"/>
  <c r="I71" i="21"/>
  <c r="H72" i="21"/>
  <c r="I72" i="21"/>
  <c r="H73" i="21"/>
  <c r="P73" i="21" s="1"/>
  <c r="H31" i="21"/>
  <c r="I31" i="21"/>
  <c r="H32" i="21"/>
  <c r="P32" i="21" s="1"/>
  <c r="I32" i="21"/>
  <c r="H33" i="21"/>
  <c r="I33" i="21"/>
  <c r="H34" i="21"/>
  <c r="I34" i="21"/>
  <c r="H35" i="21"/>
  <c r="I35" i="21"/>
  <c r="H36" i="21"/>
  <c r="P36" i="21" s="1"/>
  <c r="I36" i="21"/>
  <c r="H37" i="21"/>
  <c r="I37" i="21"/>
  <c r="H38" i="21"/>
  <c r="P38" i="21" s="1"/>
  <c r="I38" i="21"/>
  <c r="H39" i="21"/>
  <c r="I39" i="21"/>
  <c r="H40" i="21"/>
  <c r="I40" i="21"/>
  <c r="H41" i="21"/>
  <c r="P41" i="21" s="1"/>
  <c r="I41" i="21"/>
  <c r="H42" i="21"/>
  <c r="P42" i="21" s="1"/>
  <c r="I42" i="21"/>
  <c r="H43" i="21"/>
  <c r="I43" i="21"/>
  <c r="H44" i="21"/>
  <c r="I44" i="21"/>
  <c r="H45" i="21"/>
  <c r="I45" i="21"/>
  <c r="H46" i="21"/>
  <c r="I46" i="21"/>
  <c r="H47" i="21"/>
  <c r="I47" i="21"/>
  <c r="H48" i="21"/>
  <c r="I48" i="21"/>
  <c r="H49" i="21"/>
  <c r="I49" i="21"/>
  <c r="H50" i="21"/>
  <c r="I50" i="21"/>
  <c r="H51" i="21"/>
  <c r="I51" i="21"/>
  <c r="H52" i="21"/>
  <c r="P52" i="21" s="1"/>
  <c r="I52" i="21"/>
  <c r="H53" i="21"/>
  <c r="I53" i="21"/>
  <c r="H54" i="21"/>
  <c r="P54" i="21" s="1"/>
  <c r="I54" i="21"/>
  <c r="H55" i="21"/>
  <c r="I55" i="21"/>
  <c r="H56" i="21"/>
  <c r="I56" i="21"/>
  <c r="H57" i="21"/>
  <c r="P57" i="21" s="1"/>
  <c r="I57" i="21"/>
  <c r="H58" i="21"/>
  <c r="P58" i="21" s="1"/>
  <c r="I58" i="21"/>
  <c r="H59" i="21"/>
  <c r="I59" i="21"/>
  <c r="H60" i="21"/>
  <c r="I60" i="21"/>
  <c r="H61" i="21"/>
  <c r="I61" i="21"/>
  <c r="H62" i="21"/>
  <c r="P62" i="21" s="1"/>
  <c r="I62" i="21"/>
  <c r="H63" i="21"/>
  <c r="I63" i="21"/>
  <c r="I30" i="21"/>
  <c r="H30" i="21"/>
  <c r="I29" i="21"/>
  <c r="H29" i="21"/>
  <c r="P29" i="21" s="1"/>
  <c r="I28" i="21"/>
  <c r="H28" i="21"/>
  <c r="I27" i="21"/>
  <c r="H27" i="21"/>
  <c r="P27" i="21" s="1"/>
  <c r="I26" i="21"/>
  <c r="H26" i="21"/>
  <c r="P26" i="21" s="1"/>
  <c r="I25" i="21"/>
  <c r="H25" i="21"/>
  <c r="P25" i="21" s="1"/>
  <c r="I24" i="21"/>
  <c r="H24" i="21"/>
  <c r="I23" i="21"/>
  <c r="H23" i="21"/>
  <c r="I22" i="21"/>
  <c r="H22" i="21"/>
  <c r="I21" i="21"/>
  <c r="H21" i="21"/>
  <c r="I20" i="21"/>
  <c r="H20" i="21"/>
  <c r="I19" i="21"/>
  <c r="H19" i="21"/>
  <c r="I18" i="21"/>
  <c r="H18" i="21"/>
  <c r="I17" i="21"/>
  <c r="H17" i="21"/>
  <c r="I16" i="21"/>
  <c r="H16" i="21"/>
  <c r="I15" i="21"/>
  <c r="H15" i="21"/>
  <c r="I14" i="21"/>
  <c r="H14" i="21"/>
  <c r="I13" i="21"/>
  <c r="H13" i="21"/>
  <c r="I12" i="21"/>
  <c r="H12" i="21"/>
  <c r="I11" i="21"/>
  <c r="H11" i="21"/>
  <c r="P11" i="21" s="1"/>
  <c r="I10" i="21"/>
  <c r="H10" i="21"/>
  <c r="I9" i="21"/>
  <c r="H9" i="21"/>
  <c r="L9" i="21" s="1"/>
  <c r="I8" i="21"/>
  <c r="H8" i="21"/>
  <c r="L8" i="21" s="1"/>
  <c r="I7" i="21"/>
  <c r="H7" i="21"/>
  <c r="P7" i="21" s="1"/>
  <c r="AB48" i="28" l="1"/>
  <c r="N555" i="26"/>
  <c r="N556" i="26"/>
  <c r="N557" i="26" s="1"/>
  <c r="P555" i="26"/>
  <c r="P556" i="26"/>
  <c r="P557" i="26" s="1"/>
  <c r="L561" i="26"/>
  <c r="L562" i="26"/>
  <c r="L563" i="26" s="1"/>
  <c r="P561" i="26"/>
  <c r="P562" i="26"/>
  <c r="P563" i="26" s="1"/>
  <c r="L555" i="26"/>
  <c r="L556" i="26"/>
  <c r="L557" i="26" s="1"/>
  <c r="M528" i="26"/>
  <c r="N561" i="26"/>
  <c r="N562" i="26"/>
  <c r="N563" i="26" s="1"/>
  <c r="H514" i="26"/>
  <c r="H515" i="26"/>
  <c r="H516" i="26" s="1"/>
  <c r="I514" i="26"/>
  <c r="I515" i="26"/>
  <c r="I516" i="26" s="1"/>
  <c r="I520" i="26"/>
  <c r="I521" i="26"/>
  <c r="I522" i="26" s="1"/>
  <c r="P501" i="26"/>
  <c r="H521" i="26"/>
  <c r="H522" i="26" s="1"/>
  <c r="H520" i="26"/>
  <c r="H488" i="26"/>
  <c r="H489" i="26" s="1"/>
  <c r="H487" i="26"/>
  <c r="I487" i="26"/>
  <c r="I488" i="26"/>
  <c r="I489" i="26" s="1"/>
  <c r="I494" i="26"/>
  <c r="I495" i="26" s="1"/>
  <c r="I493" i="26"/>
  <c r="H494" i="26"/>
  <c r="H495" i="26" s="1"/>
  <c r="I459" i="26"/>
  <c r="I460" i="26"/>
  <c r="I461" i="26" s="1"/>
  <c r="P445" i="26"/>
  <c r="H466" i="26"/>
  <c r="H467" i="26" s="1"/>
  <c r="H465" i="26"/>
  <c r="I466" i="26"/>
  <c r="I467" i="26" s="1"/>
  <c r="I465" i="26"/>
  <c r="P446" i="26"/>
  <c r="H460" i="26"/>
  <c r="H461" i="26" s="1"/>
  <c r="H459" i="26"/>
  <c r="P418" i="26"/>
  <c r="H439" i="26"/>
  <c r="H440" i="26" s="1"/>
  <c r="H438" i="26"/>
  <c r="I438" i="26"/>
  <c r="I439" i="26"/>
  <c r="I440" i="26" s="1"/>
  <c r="P419" i="26"/>
  <c r="H433" i="26"/>
  <c r="H434" i="26" s="1"/>
  <c r="H432" i="26"/>
  <c r="I433" i="26"/>
  <c r="I434" i="26" s="1"/>
  <c r="I432" i="26"/>
  <c r="P388" i="26"/>
  <c r="H410" i="26"/>
  <c r="H411" i="26" s="1"/>
  <c r="H409" i="26"/>
  <c r="I403" i="26"/>
  <c r="I404" i="26"/>
  <c r="I405" i="26" s="1"/>
  <c r="I409" i="26"/>
  <c r="I410" i="26"/>
  <c r="I411" i="26" s="1"/>
  <c r="P387" i="26"/>
  <c r="H404" i="26"/>
  <c r="H405" i="26" s="1"/>
  <c r="H403" i="26"/>
  <c r="I374" i="26"/>
  <c r="I375" i="26"/>
  <c r="I376" i="26" s="1"/>
  <c r="P347" i="26"/>
  <c r="H369" i="26"/>
  <c r="H370" i="26" s="1"/>
  <c r="H368" i="26"/>
  <c r="I368" i="26"/>
  <c r="I369" i="26"/>
  <c r="I370" i="26" s="1"/>
  <c r="H374" i="26"/>
  <c r="H375" i="26"/>
  <c r="H376" i="26" s="1"/>
  <c r="P332" i="26"/>
  <c r="P333" i="26"/>
  <c r="P334" i="26" s="1"/>
  <c r="M317" i="26"/>
  <c r="N338" i="26"/>
  <c r="N339" i="26"/>
  <c r="N340" i="26" s="1"/>
  <c r="L332" i="26"/>
  <c r="L333" i="26"/>
  <c r="L334" i="26" s="1"/>
  <c r="P338" i="26"/>
  <c r="P339" i="26"/>
  <c r="P340" i="26" s="1"/>
  <c r="L338" i="26"/>
  <c r="L339" i="26"/>
  <c r="L340" i="26" s="1"/>
  <c r="M314" i="26"/>
  <c r="N332" i="26"/>
  <c r="N333" i="26"/>
  <c r="N334" i="26" s="1"/>
  <c r="P284" i="26"/>
  <c r="H306" i="26"/>
  <c r="H307" i="26" s="1"/>
  <c r="H305" i="26"/>
  <c r="I305" i="26"/>
  <c r="I306" i="26"/>
  <c r="I307" i="26" s="1"/>
  <c r="H300" i="26"/>
  <c r="H301" i="26" s="1"/>
  <c r="H299" i="26"/>
  <c r="I299" i="26"/>
  <c r="I300" i="26"/>
  <c r="I301" i="26" s="1"/>
  <c r="H267" i="26"/>
  <c r="H268" i="26" s="1"/>
  <c r="H266" i="26"/>
  <c r="H273" i="26"/>
  <c r="H274" i="26" s="1"/>
  <c r="H272" i="26"/>
  <c r="I266" i="26"/>
  <c r="I267" i="26"/>
  <c r="I268" i="26" s="1"/>
  <c r="I272" i="26"/>
  <c r="I273" i="26"/>
  <c r="I274" i="26" s="1"/>
  <c r="K534" i="26"/>
  <c r="AE30" i="26"/>
  <c r="J528" i="26"/>
  <c r="K541" i="26"/>
  <c r="J541" i="26"/>
  <c r="AD22" i="26"/>
  <c r="J529" i="26"/>
  <c r="AE38" i="26"/>
  <c r="M535" i="26"/>
  <c r="AE22" i="26"/>
  <c r="I166" i="26"/>
  <c r="I167" i="26"/>
  <c r="I168" i="26" s="1"/>
  <c r="L148" i="26"/>
  <c r="H172" i="26"/>
  <c r="H173" i="26"/>
  <c r="H174" i="26" s="1"/>
  <c r="AE47" i="26"/>
  <c r="I172" i="26"/>
  <c r="I173" i="26"/>
  <c r="I174" i="26" s="1"/>
  <c r="H167" i="26"/>
  <c r="H168" i="26" s="1"/>
  <c r="H166" i="26"/>
  <c r="AC310" i="26"/>
  <c r="AD310" i="26"/>
  <c r="AD19" i="26"/>
  <c r="AG39" i="26"/>
  <c r="AD30" i="26"/>
  <c r="AD54" i="26"/>
  <c r="AD38" i="26"/>
  <c r="AE45" i="26"/>
  <c r="H38" i="26"/>
  <c r="H39" i="26"/>
  <c r="H40" i="26" s="1"/>
  <c r="I32" i="26"/>
  <c r="I33" i="26"/>
  <c r="I34" i="26" s="1"/>
  <c r="AD39" i="26"/>
  <c r="AD45" i="26"/>
  <c r="H33" i="26"/>
  <c r="H34" i="26" s="1"/>
  <c r="H32" i="26"/>
  <c r="I38" i="26"/>
  <c r="I39" i="26"/>
  <c r="I40" i="26" s="1"/>
  <c r="M40" i="30"/>
  <c r="M41" i="30"/>
  <c r="M42" i="30" s="1"/>
  <c r="J40" i="30"/>
  <c r="J41" i="30"/>
  <c r="J42" i="30" s="1"/>
  <c r="AD58" i="26"/>
  <c r="K40" i="30"/>
  <c r="K41" i="30"/>
  <c r="K42" i="30" s="1"/>
  <c r="J534" i="26"/>
  <c r="AD46" i="26"/>
  <c r="AD41" i="26"/>
  <c r="AE41" i="26"/>
  <c r="AJ65" i="26"/>
  <c r="AJ66" i="26" s="1"/>
  <c r="AI26" i="22"/>
  <c r="AE11" i="26"/>
  <c r="AF97" i="26"/>
  <c r="AF98" i="26" s="1"/>
  <c r="AE15" i="26"/>
  <c r="AD14" i="26"/>
  <c r="AJ113" i="26"/>
  <c r="AJ114" i="26" s="1"/>
  <c r="AJ75" i="26"/>
  <c r="AE14" i="26"/>
  <c r="AD47" i="26"/>
  <c r="AE121" i="29"/>
  <c r="N40" i="22"/>
  <c r="M40" i="22" s="1"/>
  <c r="AI27" i="22"/>
  <c r="AI28" i="22" s="1"/>
  <c r="L22" i="22"/>
  <c r="P22" i="22"/>
  <c r="L20" i="22"/>
  <c r="P20" i="22"/>
  <c r="L18" i="22"/>
  <c r="P18" i="22"/>
  <c r="L16" i="22"/>
  <c r="P16" i="22"/>
  <c r="L14" i="22"/>
  <c r="P14" i="22"/>
  <c r="L12" i="22"/>
  <c r="P12" i="22"/>
  <c r="L10" i="22"/>
  <c r="P10" i="22"/>
  <c r="L58" i="22"/>
  <c r="P58" i="22"/>
  <c r="L56" i="22"/>
  <c r="P56" i="22"/>
  <c r="L54" i="22"/>
  <c r="P54" i="22"/>
  <c r="L52" i="22"/>
  <c r="P52" i="22"/>
  <c r="L50" i="22"/>
  <c r="P50" i="22"/>
  <c r="L46" i="22"/>
  <c r="P46" i="22"/>
  <c r="L44" i="22"/>
  <c r="P44" i="22"/>
  <c r="L42" i="22"/>
  <c r="P42" i="22"/>
  <c r="L40" i="22"/>
  <c r="P40" i="22"/>
  <c r="L33" i="2"/>
  <c r="P33" i="2"/>
  <c r="L8" i="24"/>
  <c r="P8" i="24"/>
  <c r="L9" i="24"/>
  <c r="P9" i="24"/>
  <c r="L10" i="24"/>
  <c r="P10" i="24"/>
  <c r="L11" i="24"/>
  <c r="P11" i="24"/>
  <c r="L12" i="24"/>
  <c r="P12" i="24"/>
  <c r="L53" i="2"/>
  <c r="P53" i="2"/>
  <c r="L51" i="2"/>
  <c r="P51" i="2"/>
  <c r="L49" i="2"/>
  <c r="P49" i="2"/>
  <c r="L47" i="2"/>
  <c r="L74" i="2" s="1"/>
  <c r="L75" i="2" s="1"/>
  <c r="P47" i="2"/>
  <c r="L45" i="2"/>
  <c r="P45" i="2"/>
  <c r="L43" i="2"/>
  <c r="P43" i="2"/>
  <c r="L39" i="2"/>
  <c r="P39" i="2"/>
  <c r="L37" i="2"/>
  <c r="P37" i="2"/>
  <c r="L35" i="2"/>
  <c r="P35" i="2"/>
  <c r="L31" i="24"/>
  <c r="L41" i="24" s="1"/>
  <c r="P31" i="24"/>
  <c r="P41" i="24" s="1"/>
  <c r="L53" i="25"/>
  <c r="P53" i="25"/>
  <c r="L45" i="25"/>
  <c r="P45" i="25"/>
  <c r="L43" i="25"/>
  <c r="P43" i="25"/>
  <c r="L41" i="25"/>
  <c r="P41" i="25"/>
  <c r="L21" i="22"/>
  <c r="P21" i="22"/>
  <c r="L19" i="22"/>
  <c r="P19" i="22"/>
  <c r="L17" i="22"/>
  <c r="P17" i="22"/>
  <c r="L15" i="22"/>
  <c r="P15" i="22"/>
  <c r="L13" i="22"/>
  <c r="P13" i="22"/>
  <c r="L11" i="22"/>
  <c r="P11" i="22"/>
  <c r="L9" i="22"/>
  <c r="P9" i="22"/>
  <c r="L59" i="22"/>
  <c r="P59" i="22"/>
  <c r="L55" i="22"/>
  <c r="P55" i="22"/>
  <c r="L53" i="22"/>
  <c r="P53" i="22"/>
  <c r="L51" i="22"/>
  <c r="P51" i="22"/>
  <c r="L49" i="22"/>
  <c r="P49" i="22"/>
  <c r="L47" i="22"/>
  <c r="P47" i="22"/>
  <c r="L45" i="22"/>
  <c r="P45" i="22"/>
  <c r="L43" i="22"/>
  <c r="P43" i="22"/>
  <c r="L41" i="22"/>
  <c r="P41" i="22"/>
  <c r="L32" i="2"/>
  <c r="P32" i="2"/>
  <c r="L30" i="2"/>
  <c r="P30" i="2"/>
  <c r="L8" i="22"/>
  <c r="P8" i="22"/>
  <c r="L52" i="2"/>
  <c r="P52" i="2"/>
  <c r="P78" i="2" s="1"/>
  <c r="L46" i="2"/>
  <c r="P46" i="2"/>
  <c r="L44" i="2"/>
  <c r="P44" i="2"/>
  <c r="L42" i="2"/>
  <c r="P42" i="2"/>
  <c r="L40" i="2"/>
  <c r="P40" i="2"/>
  <c r="L38" i="2"/>
  <c r="P38" i="2"/>
  <c r="L36" i="2"/>
  <c r="P36" i="2"/>
  <c r="L34" i="2"/>
  <c r="P34" i="2"/>
  <c r="L28" i="24"/>
  <c r="P28" i="24"/>
  <c r="L30" i="24"/>
  <c r="P30" i="24"/>
  <c r="L50" i="25"/>
  <c r="P50" i="25"/>
  <c r="L48" i="25"/>
  <c r="P48" i="25"/>
  <c r="L46" i="25"/>
  <c r="P46" i="25"/>
  <c r="L44" i="25"/>
  <c r="P44" i="25"/>
  <c r="L42" i="25"/>
  <c r="P42" i="25"/>
  <c r="L40" i="25"/>
  <c r="P40" i="25"/>
  <c r="L13" i="25"/>
  <c r="L12" i="25"/>
  <c r="P12" i="25"/>
  <c r="L10" i="25"/>
  <c r="P10" i="25"/>
  <c r="L8" i="25"/>
  <c r="P8" i="25"/>
  <c r="I65" i="25"/>
  <c r="I66" i="25" s="1"/>
  <c r="I64" i="25"/>
  <c r="I59" i="25"/>
  <c r="I60" i="25"/>
  <c r="I61" i="25" s="1"/>
  <c r="L11" i="25"/>
  <c r="P11" i="25"/>
  <c r="L22" i="25"/>
  <c r="P22" i="25"/>
  <c r="L20" i="25"/>
  <c r="P20" i="25"/>
  <c r="L18" i="25"/>
  <c r="P18" i="25"/>
  <c r="L16" i="25"/>
  <c r="P16" i="25"/>
  <c r="L14" i="25"/>
  <c r="P14" i="25"/>
  <c r="L23" i="25"/>
  <c r="P23" i="25"/>
  <c r="L21" i="25"/>
  <c r="P21" i="25"/>
  <c r="L19" i="25"/>
  <c r="P19" i="25"/>
  <c r="L17" i="25"/>
  <c r="P17" i="25"/>
  <c r="L15" i="25"/>
  <c r="P15" i="25"/>
  <c r="L51" i="25"/>
  <c r="L64" i="25" s="1"/>
  <c r="H64" i="25"/>
  <c r="H65" i="25"/>
  <c r="H66" i="25" s="1"/>
  <c r="H60" i="25"/>
  <c r="H61" i="25" s="1"/>
  <c r="H59" i="25"/>
  <c r="L10" i="21"/>
  <c r="P10" i="21"/>
  <c r="L14" i="21"/>
  <c r="P14" i="21"/>
  <c r="L18" i="21"/>
  <c r="P18" i="21"/>
  <c r="L24" i="21"/>
  <c r="P24" i="21"/>
  <c r="L28" i="21"/>
  <c r="P28" i="21"/>
  <c r="L65" i="21"/>
  <c r="P65" i="21"/>
  <c r="L56" i="21"/>
  <c r="P56" i="21"/>
  <c r="L50" i="21"/>
  <c r="P50" i="21"/>
  <c r="L48" i="21"/>
  <c r="P48" i="21"/>
  <c r="L40" i="21"/>
  <c r="P40" i="21"/>
  <c r="L34" i="21"/>
  <c r="P34" i="21"/>
  <c r="L63" i="21"/>
  <c r="P63" i="21"/>
  <c r="L61" i="21"/>
  <c r="P61" i="21"/>
  <c r="L59" i="21"/>
  <c r="P59" i="21"/>
  <c r="L55" i="21"/>
  <c r="P55" i="21"/>
  <c r="L53" i="21"/>
  <c r="P53" i="21"/>
  <c r="L51" i="21"/>
  <c r="P51" i="21"/>
  <c r="L49" i="21"/>
  <c r="P49" i="21"/>
  <c r="L47" i="21"/>
  <c r="P47" i="21"/>
  <c r="L45" i="21"/>
  <c r="P45" i="21"/>
  <c r="L43" i="21"/>
  <c r="P43" i="21"/>
  <c r="L39" i="21"/>
  <c r="P39" i="21"/>
  <c r="L37" i="21"/>
  <c r="P37" i="21"/>
  <c r="L35" i="21"/>
  <c r="P35" i="21"/>
  <c r="L33" i="21"/>
  <c r="P33" i="21"/>
  <c r="L31" i="21"/>
  <c r="P31" i="21"/>
  <c r="N41" i="22"/>
  <c r="M41" i="22" s="1"/>
  <c r="AJ85" i="26"/>
  <c r="AE40" i="26"/>
  <c r="AJ107" i="26"/>
  <c r="L12" i="21"/>
  <c r="P12" i="21"/>
  <c r="L20" i="21"/>
  <c r="P20" i="21"/>
  <c r="L71" i="21"/>
  <c r="P71" i="21"/>
  <c r="L67" i="21"/>
  <c r="P67" i="21"/>
  <c r="L44" i="21"/>
  <c r="P44" i="21"/>
  <c r="AJ76" i="26"/>
  <c r="AJ77" i="26" s="1"/>
  <c r="L16" i="21"/>
  <c r="P16" i="21"/>
  <c r="L22" i="21"/>
  <c r="P22" i="21"/>
  <c r="L30" i="21"/>
  <c r="P30" i="21"/>
  <c r="L69" i="21"/>
  <c r="P69" i="21"/>
  <c r="L60" i="21"/>
  <c r="P60" i="21"/>
  <c r="L46" i="21"/>
  <c r="P46" i="21"/>
  <c r="L13" i="21"/>
  <c r="P13" i="21"/>
  <c r="L15" i="21"/>
  <c r="P15" i="21"/>
  <c r="L17" i="21"/>
  <c r="P17" i="21"/>
  <c r="L19" i="21"/>
  <c r="P19" i="21"/>
  <c r="L21" i="21"/>
  <c r="P21" i="21"/>
  <c r="L23" i="21"/>
  <c r="P23" i="21"/>
  <c r="L72" i="21"/>
  <c r="P72" i="21"/>
  <c r="L68" i="21"/>
  <c r="P68" i="21"/>
  <c r="L64" i="21"/>
  <c r="P64" i="21"/>
  <c r="N48" i="22"/>
  <c r="M48" i="22" s="1"/>
  <c r="AD40" i="26"/>
  <c r="AJ64" i="26"/>
  <c r="AJ108" i="26"/>
  <c r="AJ109" i="26" s="1"/>
  <c r="AJ80" i="26"/>
  <c r="AJ81" i="26"/>
  <c r="AJ82" i="26" s="1"/>
  <c r="N36" i="21"/>
  <c r="M36" i="21" s="1"/>
  <c r="N32" i="21"/>
  <c r="M32" i="21" s="1"/>
  <c r="AJ86" i="26"/>
  <c r="AJ87" i="26" s="1"/>
  <c r="AJ112" i="26"/>
  <c r="I86" i="21"/>
  <c r="AE25" i="26"/>
  <c r="AJ96" i="26"/>
  <c r="AJ97" i="26"/>
  <c r="AJ98" i="26" s="1"/>
  <c r="N52" i="22"/>
  <c r="M52" i="22" s="1"/>
  <c r="I67" i="2"/>
  <c r="J535" i="26"/>
  <c r="AE19" i="26"/>
  <c r="I103" i="21"/>
  <c r="I98" i="21"/>
  <c r="I99" i="21" s="1"/>
  <c r="AE26" i="26"/>
  <c r="AD15" i="26"/>
  <c r="AG51" i="26"/>
  <c r="AG96" i="26" s="1"/>
  <c r="H87" i="21"/>
  <c r="H88" i="21" s="1"/>
  <c r="N19" i="22"/>
  <c r="J19" i="22" s="1"/>
  <c r="I58" i="2"/>
  <c r="I59" i="2" s="1"/>
  <c r="H79" i="2"/>
  <c r="H80" i="2" s="1"/>
  <c r="AG7" i="25"/>
  <c r="AF7" i="25" s="1"/>
  <c r="L390" i="26"/>
  <c r="P390" i="26"/>
  <c r="L392" i="26"/>
  <c r="P392" i="26"/>
  <c r="L420" i="26"/>
  <c r="P420" i="26"/>
  <c r="L422" i="26"/>
  <c r="P422" i="26"/>
  <c r="L473" i="26"/>
  <c r="P473" i="26"/>
  <c r="L475" i="26"/>
  <c r="P475" i="26"/>
  <c r="L477" i="26"/>
  <c r="P477" i="26"/>
  <c r="L7" i="26"/>
  <c r="P7" i="26"/>
  <c r="L20" i="26"/>
  <c r="P20" i="26"/>
  <c r="L18" i="26"/>
  <c r="P18" i="26"/>
  <c r="L16" i="26"/>
  <c r="P16" i="26"/>
  <c r="L14" i="26"/>
  <c r="P14" i="26"/>
  <c r="AE54" i="26"/>
  <c r="AE50" i="26"/>
  <c r="H70" i="22"/>
  <c r="L39" i="22"/>
  <c r="N39" i="2"/>
  <c r="K39" i="2" s="1"/>
  <c r="I63" i="2"/>
  <c r="I64" i="2" s="1"/>
  <c r="L447" i="26"/>
  <c r="P447" i="26"/>
  <c r="L449" i="26"/>
  <c r="P449" i="26"/>
  <c r="L502" i="26"/>
  <c r="P502" i="26"/>
  <c r="L9" i="26"/>
  <c r="P9" i="26"/>
  <c r="L8" i="26"/>
  <c r="P8" i="26"/>
  <c r="AE46" i="26"/>
  <c r="M20" i="28"/>
  <c r="M21" i="28" s="1"/>
  <c r="N18" i="22"/>
  <c r="M18" i="22" s="1"/>
  <c r="N49" i="22"/>
  <c r="M49" i="22" s="1"/>
  <c r="H68" i="2"/>
  <c r="H69" i="2" s="1"/>
  <c r="N44" i="25"/>
  <c r="M44" i="25" s="1"/>
  <c r="L389" i="26"/>
  <c r="P389" i="26"/>
  <c r="L391" i="26"/>
  <c r="P391" i="26"/>
  <c r="L421" i="26"/>
  <c r="P421" i="26"/>
  <c r="L423" i="26"/>
  <c r="P423" i="26"/>
  <c r="L474" i="26"/>
  <c r="P474" i="26"/>
  <c r="L19" i="26"/>
  <c r="P19" i="26"/>
  <c r="L17" i="26"/>
  <c r="P17" i="26"/>
  <c r="L15" i="26"/>
  <c r="P15" i="26"/>
  <c r="L13" i="26"/>
  <c r="P13" i="26"/>
  <c r="AC46" i="27"/>
  <c r="AC47" i="27" s="1"/>
  <c r="J20" i="28"/>
  <c r="J21" i="28" s="1"/>
  <c r="L448" i="26"/>
  <c r="P448" i="26"/>
  <c r="L450" i="26"/>
  <c r="P450" i="26"/>
  <c r="L505" i="26"/>
  <c r="P505" i="26"/>
  <c r="L12" i="26"/>
  <c r="P12" i="26"/>
  <c r="L10" i="26"/>
  <c r="P10" i="26"/>
  <c r="K19" i="28"/>
  <c r="P550" i="26"/>
  <c r="P551" i="26" s="1"/>
  <c r="P549" i="26"/>
  <c r="I82" i="21"/>
  <c r="I83" i="21" s="1"/>
  <c r="I93" i="21"/>
  <c r="I94" i="21" s="1"/>
  <c r="N34" i="2"/>
  <c r="M34" i="2" s="1"/>
  <c r="H37" i="24"/>
  <c r="H38" i="24" s="1"/>
  <c r="AC271" i="26"/>
  <c r="AE51" i="26"/>
  <c r="AH97" i="26"/>
  <c r="AH98" i="26" s="1"/>
  <c r="AE47" i="28"/>
  <c r="AE48" i="28"/>
  <c r="AE49" i="28" s="1"/>
  <c r="M152" i="29"/>
  <c r="M153" i="29" s="1"/>
  <c r="M151" i="29"/>
  <c r="AE37" i="30"/>
  <c r="AE38" i="30"/>
  <c r="AE39" i="30" s="1"/>
  <c r="M19" i="28"/>
  <c r="AC37" i="30"/>
  <c r="AC38" i="30"/>
  <c r="AC39" i="30" s="1"/>
  <c r="K20" i="28"/>
  <c r="K21" i="28" s="1"/>
  <c r="H98" i="21"/>
  <c r="H99" i="21" s="1"/>
  <c r="I92" i="21"/>
  <c r="H81" i="21"/>
  <c r="H67" i="2"/>
  <c r="I74" i="2"/>
  <c r="I75" i="2" s="1"/>
  <c r="H62" i="2"/>
  <c r="AE49" i="26"/>
  <c r="J45" i="27"/>
  <c r="J46" i="27"/>
  <c r="J47" i="27" s="1"/>
  <c r="M45" i="27"/>
  <c r="M46" i="27"/>
  <c r="M47" i="27" s="1"/>
  <c r="AE46" i="27"/>
  <c r="AE47" i="27" s="1"/>
  <c r="AE45" i="27"/>
  <c r="J45" i="28"/>
  <c r="J46" i="28"/>
  <c r="J47" i="28" s="1"/>
  <c r="AC31" i="29"/>
  <c r="AC32" i="29"/>
  <c r="AC33" i="29" s="1"/>
  <c r="AB32" i="29"/>
  <c r="AB33" i="29" s="1"/>
  <c r="AB31" i="29"/>
  <c r="J19" i="28"/>
  <c r="I62" i="2"/>
  <c r="H57" i="2"/>
  <c r="AB46" i="27"/>
  <c r="AB47" i="27" s="1"/>
  <c r="AB45" i="27"/>
  <c r="K45" i="28"/>
  <c r="K46" i="28"/>
  <c r="K47" i="28" s="1"/>
  <c r="M45" i="28"/>
  <c r="M46" i="28"/>
  <c r="M47" i="28" s="1"/>
  <c r="AE31" i="29"/>
  <c r="AE32" i="29"/>
  <c r="AE33" i="29" s="1"/>
  <c r="AB121" i="29"/>
  <c r="AC45" i="27"/>
  <c r="N57" i="22"/>
  <c r="K57" i="22" s="1"/>
  <c r="I57" i="2"/>
  <c r="I78" i="2"/>
  <c r="H73" i="2"/>
  <c r="I79" i="2"/>
  <c r="I80" i="2" s="1"/>
  <c r="I37" i="24"/>
  <c r="I38" i="24" s="1"/>
  <c r="K46" i="27"/>
  <c r="K47" i="27" s="1"/>
  <c r="K45" i="27"/>
  <c r="AB47" i="28"/>
  <c r="AB49" i="28"/>
  <c r="K151" i="29"/>
  <c r="K152" i="29"/>
  <c r="K153" i="29" s="1"/>
  <c r="AC121" i="29"/>
  <c r="AB38" i="30"/>
  <c r="AB39" i="30" s="1"/>
  <c r="AB37" i="30"/>
  <c r="J152" i="29"/>
  <c r="J153" i="29" s="1"/>
  <c r="J151" i="29"/>
  <c r="AC47" i="28"/>
  <c r="AC48" i="28"/>
  <c r="AC49" i="28" s="1"/>
  <c r="K65" i="30"/>
  <c r="AC20" i="30"/>
  <c r="AC21" i="30" s="1"/>
  <c r="AC19" i="30"/>
  <c r="AE19" i="30"/>
  <c r="AE20" i="30"/>
  <c r="AE21" i="30" s="1"/>
  <c r="K66" i="30"/>
  <c r="K67" i="30" s="1"/>
  <c r="AB20" i="30"/>
  <c r="AB21" i="30" s="1"/>
  <c r="AB19" i="30"/>
  <c r="J66" i="30"/>
  <c r="J67" i="30" s="1"/>
  <c r="J65" i="30"/>
  <c r="M66" i="30"/>
  <c r="M67" i="30" s="1"/>
  <c r="M65" i="30"/>
  <c r="AB122" i="29"/>
  <c r="AB123" i="29" s="1"/>
  <c r="AC122" i="29"/>
  <c r="AC123" i="29" s="1"/>
  <c r="K95" i="29"/>
  <c r="K96" i="29" s="1"/>
  <c r="K94" i="29"/>
  <c r="M95" i="29"/>
  <c r="M96" i="29" s="1"/>
  <c r="M94" i="29"/>
  <c r="J95" i="29"/>
  <c r="J96" i="29" s="1"/>
  <c r="J94" i="29"/>
  <c r="AE122" i="29"/>
  <c r="AE123" i="29" s="1"/>
  <c r="AE20" i="28"/>
  <c r="AE21" i="28" s="1"/>
  <c r="AE19" i="28"/>
  <c r="AB20" i="28"/>
  <c r="AB21" i="28" s="1"/>
  <c r="AB19" i="28"/>
  <c r="AC20" i="28"/>
  <c r="AC21" i="28" s="1"/>
  <c r="AC19" i="28"/>
  <c r="AC20" i="27"/>
  <c r="AC21" i="27" s="1"/>
  <c r="AB19" i="27"/>
  <c r="AB20" i="27"/>
  <c r="AB21" i="27" s="1"/>
  <c r="AE20" i="27"/>
  <c r="AE21" i="27" s="1"/>
  <c r="AE19" i="27"/>
  <c r="AC19" i="27"/>
  <c r="J20" i="27"/>
  <c r="J21" i="27" s="1"/>
  <c r="J19" i="27"/>
  <c r="M20" i="27"/>
  <c r="M21" i="27" s="1"/>
  <c r="M19" i="27"/>
  <c r="K20" i="27"/>
  <c r="K21" i="27" s="1"/>
  <c r="K19" i="27"/>
  <c r="H97" i="21"/>
  <c r="I81" i="21"/>
  <c r="H86" i="21"/>
  <c r="I97" i="21"/>
  <c r="H103" i="21"/>
  <c r="AG8" i="22"/>
  <c r="AD8" i="22" s="1"/>
  <c r="AG10" i="22"/>
  <c r="AF10" i="22" s="1"/>
  <c r="AG12" i="22"/>
  <c r="N53" i="22"/>
  <c r="M53" i="22" s="1"/>
  <c r="K49" i="22"/>
  <c r="AD32" i="26"/>
  <c r="AH80" i="26"/>
  <c r="AH81" i="26"/>
  <c r="AH82" i="26" s="1"/>
  <c r="AG18" i="26"/>
  <c r="AE18" i="26"/>
  <c r="AD48" i="26"/>
  <c r="AH102" i="26"/>
  <c r="AH103" i="26" s="1"/>
  <c r="AH101" i="26"/>
  <c r="H104" i="21"/>
  <c r="H105" i="21" s="1"/>
  <c r="L38" i="22"/>
  <c r="H66" i="22"/>
  <c r="H67" i="22" s="1"/>
  <c r="AF102" i="26"/>
  <c r="AF103" i="26" s="1"/>
  <c r="AF101" i="26"/>
  <c r="N56" i="21"/>
  <c r="M56" i="21" s="1"/>
  <c r="H82" i="21"/>
  <c r="H83" i="21" s="1"/>
  <c r="H92" i="21"/>
  <c r="N15" i="22"/>
  <c r="K15" i="22" s="1"/>
  <c r="N14" i="22"/>
  <c r="M14" i="22" s="1"/>
  <c r="I66" i="22"/>
  <c r="I67" i="22" s="1"/>
  <c r="L57" i="22"/>
  <c r="N56" i="22"/>
  <c r="M56" i="22" s="1"/>
  <c r="H71" i="22"/>
  <c r="H72" i="22" s="1"/>
  <c r="I76" i="22"/>
  <c r="I77" i="22" s="1"/>
  <c r="I75" i="22"/>
  <c r="I71" i="22"/>
  <c r="I72" i="22" s="1"/>
  <c r="I65" i="22"/>
  <c r="L31" i="2"/>
  <c r="H58" i="2"/>
  <c r="H59" i="2" s="1"/>
  <c r="L48" i="2"/>
  <c r="H78" i="2"/>
  <c r="AF113" i="26"/>
  <c r="AF114" i="26" s="1"/>
  <c r="AF112" i="26"/>
  <c r="I87" i="21"/>
  <c r="I88" i="21" s="1"/>
  <c r="I104" i="21"/>
  <c r="I105" i="21" s="1"/>
  <c r="I70" i="22"/>
  <c r="AG35" i="26"/>
  <c r="AE35" i="26"/>
  <c r="N33" i="21"/>
  <c r="M33" i="21" s="1"/>
  <c r="H93" i="21"/>
  <c r="H94" i="21" s="1"/>
  <c r="K52" i="22"/>
  <c r="L48" i="22"/>
  <c r="N45" i="22"/>
  <c r="M45" i="22" s="1"/>
  <c r="N44" i="22"/>
  <c r="M44" i="22" s="1"/>
  <c r="H76" i="22"/>
  <c r="H77" i="22" s="1"/>
  <c r="H65" i="22"/>
  <c r="I36" i="24"/>
  <c r="J317" i="26"/>
  <c r="AD59" i="26"/>
  <c r="AE59" i="26"/>
  <c r="AG59" i="26"/>
  <c r="AE42" i="26"/>
  <c r="AG42" i="26"/>
  <c r="AD42" i="26"/>
  <c r="I68" i="2"/>
  <c r="I69" i="2" s="1"/>
  <c r="AG13" i="24"/>
  <c r="AD13" i="24" s="1"/>
  <c r="H36" i="24"/>
  <c r="L65" i="25"/>
  <c r="L66" i="25" s="1"/>
  <c r="AF86" i="26"/>
  <c r="AF87" i="26" s="1"/>
  <c r="AF85" i="26"/>
  <c r="AF80" i="26"/>
  <c r="AF81" i="26"/>
  <c r="AF82" i="26" s="1"/>
  <c r="AG53" i="26"/>
  <c r="AH113" i="26"/>
  <c r="AH114" i="26" s="1"/>
  <c r="AH112" i="26"/>
  <c r="AD49" i="26"/>
  <c r="H75" i="22"/>
  <c r="H63" i="2"/>
  <c r="H64" i="2" s="1"/>
  <c r="L73" i="2"/>
  <c r="H74" i="2"/>
  <c r="H75" i="2" s="1"/>
  <c r="H16" i="24"/>
  <c r="J313" i="26"/>
  <c r="AC270" i="26"/>
  <c r="AC288" i="26"/>
  <c r="AF108" i="26"/>
  <c r="AF109" i="26" s="1"/>
  <c r="AF107" i="26"/>
  <c r="AF96" i="26"/>
  <c r="AH96" i="26"/>
  <c r="H41" i="24"/>
  <c r="AD52" i="26"/>
  <c r="AH108" i="26"/>
  <c r="AH109" i="26" s="1"/>
  <c r="AH107" i="26"/>
  <c r="AD24" i="26"/>
  <c r="AH76" i="26"/>
  <c r="AH77" i="26" s="1"/>
  <c r="AH75" i="26"/>
  <c r="AF76" i="26"/>
  <c r="AF77" i="26" s="1"/>
  <c r="AF75" i="26"/>
  <c r="AD12" i="26"/>
  <c r="AH69" i="26"/>
  <c r="AH70" i="26"/>
  <c r="AH71" i="26" s="1"/>
  <c r="AD43" i="26"/>
  <c r="AD23" i="26"/>
  <c r="AD57" i="26"/>
  <c r="AD55" i="26"/>
  <c r="AE55" i="26"/>
  <c r="AE27" i="26"/>
  <c r="AF69" i="26"/>
  <c r="AF70" i="26"/>
  <c r="AF71" i="26" s="1"/>
  <c r="AG23" i="26"/>
  <c r="AG10" i="26"/>
  <c r="AH64" i="26"/>
  <c r="AH65" i="26"/>
  <c r="AH66" i="26" s="1"/>
  <c r="AD10" i="26"/>
  <c r="AD27" i="26"/>
  <c r="K538" i="26"/>
  <c r="AE9" i="26"/>
  <c r="AE36" i="26"/>
  <c r="AE43" i="26"/>
  <c r="AD36" i="26"/>
  <c r="AD50" i="26"/>
  <c r="AF65" i="26"/>
  <c r="AF66" i="26" s="1"/>
  <c r="AF64" i="26"/>
  <c r="AD11" i="26"/>
  <c r="AD26" i="26"/>
  <c r="AE58" i="26"/>
  <c r="AD53" i="26"/>
  <c r="AG48" i="26"/>
  <c r="AE48" i="26"/>
  <c r="AG56" i="26"/>
  <c r="AE56" i="26"/>
  <c r="AG52" i="26"/>
  <c r="AE52" i="26"/>
  <c r="AG60" i="26"/>
  <c r="AE60" i="26"/>
  <c r="AE57" i="26"/>
  <c r="AE53" i="26"/>
  <c r="N418" i="26"/>
  <c r="J538" i="26"/>
  <c r="AE21" i="26"/>
  <c r="AE34" i="26"/>
  <c r="AD31" i="26"/>
  <c r="AD18" i="26"/>
  <c r="AE31" i="26"/>
  <c r="AD34" i="26"/>
  <c r="AG37" i="26"/>
  <c r="AE37" i="26"/>
  <c r="AG44" i="26"/>
  <c r="AE44" i="26"/>
  <c r="AE17" i="26"/>
  <c r="AE33" i="26"/>
  <c r="AD37" i="26"/>
  <c r="AD44" i="26"/>
  <c r="AD9" i="26"/>
  <c r="AD13" i="26"/>
  <c r="AD17" i="26"/>
  <c r="AD21" i="26"/>
  <c r="AD25" i="26"/>
  <c r="AD29" i="26"/>
  <c r="AD33" i="26"/>
  <c r="AE13" i="26"/>
  <c r="AE29" i="26"/>
  <c r="AG8" i="26"/>
  <c r="AE8" i="26"/>
  <c r="AG12" i="26"/>
  <c r="AE12" i="26"/>
  <c r="AG16" i="26"/>
  <c r="AE16" i="26"/>
  <c r="AG20" i="26"/>
  <c r="AE20" i="26"/>
  <c r="AG24" i="26"/>
  <c r="AE24" i="26"/>
  <c r="AG28" i="26"/>
  <c r="AE28" i="26"/>
  <c r="AG32" i="26"/>
  <c r="AE32" i="26"/>
  <c r="L550" i="26"/>
  <c r="L551" i="26" s="1"/>
  <c r="L549" i="26"/>
  <c r="N549" i="26"/>
  <c r="N550" i="26"/>
  <c r="N551" i="26" s="1"/>
  <c r="J543" i="26"/>
  <c r="K539" i="26"/>
  <c r="K543" i="26"/>
  <c r="K537" i="26"/>
  <c r="J358" i="26"/>
  <c r="N185" i="26"/>
  <c r="M185" i="26" s="1"/>
  <c r="N102" i="26"/>
  <c r="M102" i="26" s="1"/>
  <c r="M530" i="26"/>
  <c r="K358" i="26"/>
  <c r="J539" i="26"/>
  <c r="J542" i="26"/>
  <c r="K542" i="26"/>
  <c r="N16" i="26"/>
  <c r="M16" i="26" s="1"/>
  <c r="N97" i="26"/>
  <c r="M97" i="26" s="1"/>
  <c r="K530" i="26"/>
  <c r="K528" i="26"/>
  <c r="K529" i="26"/>
  <c r="J527" i="26"/>
  <c r="M532" i="26"/>
  <c r="K532" i="26"/>
  <c r="M536" i="26"/>
  <c r="K536" i="26"/>
  <c r="J533" i="26"/>
  <c r="K533" i="26"/>
  <c r="M540" i="26"/>
  <c r="K540" i="26"/>
  <c r="J537" i="26"/>
  <c r="J536" i="26"/>
  <c r="K531" i="26"/>
  <c r="J316" i="26"/>
  <c r="AC285" i="26"/>
  <c r="J531" i="26"/>
  <c r="L388" i="26"/>
  <c r="H399" i="26"/>
  <c r="H400" i="26" s="1"/>
  <c r="H398" i="26"/>
  <c r="I454" i="26"/>
  <c r="I455" i="26"/>
  <c r="I456" i="26" s="1"/>
  <c r="AE317" i="26"/>
  <c r="AE318" i="26" s="1"/>
  <c r="AE316" i="26"/>
  <c r="P281" i="26"/>
  <c r="H295" i="26"/>
  <c r="H296" i="26" s="1"/>
  <c r="H294" i="26"/>
  <c r="I399" i="26"/>
  <c r="I400" i="26" s="1"/>
  <c r="I398" i="26"/>
  <c r="I510" i="26"/>
  <c r="I511" i="26" s="1"/>
  <c r="I509" i="26"/>
  <c r="I362" i="26"/>
  <c r="I363" i="26"/>
  <c r="I364" i="26" s="1"/>
  <c r="I427" i="26"/>
  <c r="I428" i="26"/>
  <c r="I429" i="26" s="1"/>
  <c r="H454" i="26"/>
  <c r="H455" i="26"/>
  <c r="H456" i="26" s="1"/>
  <c r="I482" i="26"/>
  <c r="I483" i="26" s="1"/>
  <c r="I481" i="26"/>
  <c r="P327" i="26"/>
  <c r="P328" i="26" s="1"/>
  <c r="P326" i="26"/>
  <c r="M527" i="26"/>
  <c r="L501" i="26"/>
  <c r="H510" i="26"/>
  <c r="H511" i="26" s="1"/>
  <c r="H509" i="26"/>
  <c r="L327" i="26"/>
  <c r="L328" i="26" s="1"/>
  <c r="L326" i="26"/>
  <c r="AD265" i="26"/>
  <c r="AG279" i="26"/>
  <c r="AG280" i="26" s="1"/>
  <c r="AG278" i="26"/>
  <c r="AD303" i="26"/>
  <c r="AG316" i="26"/>
  <c r="AG317" i="26"/>
  <c r="AG318" i="26" s="1"/>
  <c r="I294" i="26"/>
  <c r="I295" i="26"/>
  <c r="I296" i="26" s="1"/>
  <c r="L348" i="26"/>
  <c r="H362" i="26"/>
  <c r="H363" i="26"/>
  <c r="H364" i="26" s="1"/>
  <c r="L419" i="26"/>
  <c r="H427" i="26"/>
  <c r="H428" i="26"/>
  <c r="H429" i="26" s="1"/>
  <c r="L472" i="26"/>
  <c r="H482" i="26"/>
  <c r="H483" i="26" s="1"/>
  <c r="H481" i="26"/>
  <c r="J315" i="26"/>
  <c r="K315" i="26"/>
  <c r="K313" i="26"/>
  <c r="N327" i="26"/>
  <c r="N328" i="26" s="1"/>
  <c r="N326" i="26"/>
  <c r="AI279" i="26"/>
  <c r="AI280" i="26"/>
  <c r="AI281" i="26" s="1"/>
  <c r="K527" i="26"/>
  <c r="N474" i="26"/>
  <c r="N448" i="26"/>
  <c r="M448" i="26" s="1"/>
  <c r="N423" i="26"/>
  <c r="J423" i="26" s="1"/>
  <c r="M359" i="26"/>
  <c r="K359" i="26"/>
  <c r="J359" i="26"/>
  <c r="AD284" i="26"/>
  <c r="AD285" i="26"/>
  <c r="AC287" i="26"/>
  <c r="AD289" i="26"/>
  <c r="AC289" i="26"/>
  <c r="AC265" i="26"/>
  <c r="AC267" i="26"/>
  <c r="AC305" i="26"/>
  <c r="AF305" i="26"/>
  <c r="AC309" i="26"/>
  <c r="AF309" i="26"/>
  <c r="AC304" i="26"/>
  <c r="AF304" i="26"/>
  <c r="AC306" i="26"/>
  <c r="AF306" i="26"/>
  <c r="AC308" i="26"/>
  <c r="AF308" i="26"/>
  <c r="AD309" i="26"/>
  <c r="AD305" i="26"/>
  <c r="AC307" i="26"/>
  <c r="AF307" i="26"/>
  <c r="AC303" i="26"/>
  <c r="AF303" i="26"/>
  <c r="AD304" i="26"/>
  <c r="AD287" i="26"/>
  <c r="AD271" i="26"/>
  <c r="AC269" i="26"/>
  <c r="AC266" i="26"/>
  <c r="AD267" i="26"/>
  <c r="AI299" i="26"/>
  <c r="AI300" i="26" s="1"/>
  <c r="AI298" i="26"/>
  <c r="AD268" i="26"/>
  <c r="AE298" i="26"/>
  <c r="AE299" i="26" s="1"/>
  <c r="AE297" i="26"/>
  <c r="AF265" i="26"/>
  <c r="AD290" i="26"/>
  <c r="AD286" i="26"/>
  <c r="AG297" i="26"/>
  <c r="AG298" i="26"/>
  <c r="AG299" i="26" s="1"/>
  <c r="AF284" i="26"/>
  <c r="AD270" i="26"/>
  <c r="AD266" i="26"/>
  <c r="AC268" i="26"/>
  <c r="AD288" i="26"/>
  <c r="AC290" i="26"/>
  <c r="AC286" i="26"/>
  <c r="AD269" i="26"/>
  <c r="J319" i="26"/>
  <c r="K317" i="26"/>
  <c r="K319" i="26"/>
  <c r="J318" i="26"/>
  <c r="J314" i="26"/>
  <c r="H131" i="26"/>
  <c r="H132" i="26" s="1"/>
  <c r="N20" i="26"/>
  <c r="M20" i="26" s="1"/>
  <c r="I130" i="26"/>
  <c r="K318" i="26"/>
  <c r="N477" i="26"/>
  <c r="J477" i="26" s="1"/>
  <c r="K314" i="26"/>
  <c r="K316" i="26"/>
  <c r="N182" i="26"/>
  <c r="M182" i="26" s="1"/>
  <c r="H120" i="26"/>
  <c r="H121" i="26" s="1"/>
  <c r="H27" i="26"/>
  <c r="H28" i="26" s="1"/>
  <c r="N84" i="26"/>
  <c r="M84" i="26" s="1"/>
  <c r="I141" i="26"/>
  <c r="I142" i="26" s="1"/>
  <c r="L67" i="26"/>
  <c r="N68" i="26"/>
  <c r="M68" i="26" s="1"/>
  <c r="N184" i="26"/>
  <c r="J184" i="26" s="1"/>
  <c r="I136" i="26"/>
  <c r="I137" i="26" s="1"/>
  <c r="N85" i="26"/>
  <c r="M85" i="26" s="1"/>
  <c r="I119" i="26"/>
  <c r="H140" i="26"/>
  <c r="I120" i="26"/>
  <c r="I121" i="26" s="1"/>
  <c r="I161" i="26"/>
  <c r="I162" i="26" s="1"/>
  <c r="I160" i="26"/>
  <c r="I211" i="26"/>
  <c r="I212" i="26" s="1"/>
  <c r="I210" i="26"/>
  <c r="H26" i="26"/>
  <c r="N69" i="26"/>
  <c r="K69" i="26" s="1"/>
  <c r="H124" i="26"/>
  <c r="I135" i="26"/>
  <c r="I191" i="26"/>
  <c r="I192" i="26"/>
  <c r="I193" i="26" s="1"/>
  <c r="I245" i="26"/>
  <c r="I246" i="26" s="1"/>
  <c r="I244" i="26"/>
  <c r="N73" i="26"/>
  <c r="M73" i="26" s="1"/>
  <c r="L69" i="26"/>
  <c r="H119" i="26"/>
  <c r="H125" i="26"/>
  <c r="H126" i="26" s="1"/>
  <c r="I131" i="26"/>
  <c r="I132" i="26" s="1"/>
  <c r="P216" i="26"/>
  <c r="P226" i="26" s="1"/>
  <c r="H226" i="26"/>
  <c r="N17" i="26"/>
  <c r="M17" i="26" s="1"/>
  <c r="N96" i="26"/>
  <c r="J96" i="26" s="1"/>
  <c r="N76" i="26"/>
  <c r="K76" i="26" s="1"/>
  <c r="N72" i="26"/>
  <c r="M72" i="26" s="1"/>
  <c r="L68" i="26"/>
  <c r="I124" i="26"/>
  <c r="I125" i="26"/>
  <c r="I126" i="26" s="1"/>
  <c r="H135" i="26"/>
  <c r="H141" i="26"/>
  <c r="H142" i="26" s="1"/>
  <c r="P181" i="26"/>
  <c r="H191" i="26"/>
  <c r="H192" i="26"/>
  <c r="H193" i="26" s="1"/>
  <c r="L232" i="26"/>
  <c r="H245" i="26"/>
  <c r="H246" i="26" s="1"/>
  <c r="H244" i="26"/>
  <c r="P250" i="26"/>
  <c r="H262" i="26"/>
  <c r="H263" i="26" s="1"/>
  <c r="H261" i="26"/>
  <c r="I262" i="26"/>
  <c r="I263" i="26" s="1"/>
  <c r="I261" i="26"/>
  <c r="N77" i="26"/>
  <c r="M77" i="26" s="1"/>
  <c r="L149" i="26"/>
  <c r="H161" i="26"/>
  <c r="H162" i="26" s="1"/>
  <c r="H160" i="26"/>
  <c r="P198" i="26"/>
  <c r="H211" i="26"/>
  <c r="H212" i="26" s="1"/>
  <c r="H210" i="26"/>
  <c r="N285" i="26"/>
  <c r="M285" i="26" s="1"/>
  <c r="H130" i="26"/>
  <c r="H136" i="26"/>
  <c r="H137" i="26" s="1"/>
  <c r="I140" i="26"/>
  <c r="N251" i="26"/>
  <c r="N249" i="26"/>
  <c r="L219" i="26"/>
  <c r="L220" i="26"/>
  <c r="L218" i="26"/>
  <c r="N219" i="26"/>
  <c r="M219" i="26" s="1"/>
  <c r="P150" i="26"/>
  <c r="N103" i="26"/>
  <c r="M103" i="26" s="1"/>
  <c r="N104" i="26"/>
  <c r="J104" i="26" s="1"/>
  <c r="L103" i="26"/>
  <c r="N108" i="26"/>
  <c r="J108" i="26" s="1"/>
  <c r="N112" i="26"/>
  <c r="K112" i="26" s="1"/>
  <c r="N111" i="26"/>
  <c r="M111" i="26" s="1"/>
  <c r="N88" i="26"/>
  <c r="J88" i="26" s="1"/>
  <c r="L97" i="26"/>
  <c r="N89" i="26"/>
  <c r="N92" i="26"/>
  <c r="J92" i="26" s="1"/>
  <c r="N101" i="26"/>
  <c r="N93" i="26"/>
  <c r="J93" i="26" s="1"/>
  <c r="L84" i="26"/>
  <c r="N81" i="26"/>
  <c r="M81" i="26" s="1"/>
  <c r="L111" i="26"/>
  <c r="N107" i="26"/>
  <c r="M107" i="26" s="1"/>
  <c r="N100" i="26"/>
  <c r="J100" i="26" s="1"/>
  <c r="N80" i="26"/>
  <c r="N113" i="26"/>
  <c r="N109" i="26"/>
  <c r="J109" i="26" s="1"/>
  <c r="N105" i="26"/>
  <c r="J105" i="26" s="1"/>
  <c r="N114" i="26"/>
  <c r="M114" i="26" s="1"/>
  <c r="N110" i="26"/>
  <c r="M110" i="26" s="1"/>
  <c r="N106" i="26"/>
  <c r="M106" i="26" s="1"/>
  <c r="N82" i="26"/>
  <c r="N99" i="26"/>
  <c r="M99" i="26" s="1"/>
  <c r="N98" i="26"/>
  <c r="N95" i="26"/>
  <c r="M95" i="26" s="1"/>
  <c r="N94" i="26"/>
  <c r="N91" i="26"/>
  <c r="M91" i="26" s="1"/>
  <c r="N90" i="26"/>
  <c r="J90" i="26" s="1"/>
  <c r="N78" i="26"/>
  <c r="J78" i="26" s="1"/>
  <c r="L98" i="26"/>
  <c r="L94" i="26"/>
  <c r="L90" i="26"/>
  <c r="L82" i="26"/>
  <c r="N74" i="26"/>
  <c r="L99" i="26"/>
  <c r="L95" i="26"/>
  <c r="L91" i="26"/>
  <c r="N86" i="26"/>
  <c r="L78" i="26"/>
  <c r="N70" i="26"/>
  <c r="N87" i="26"/>
  <c r="M87" i="26" s="1"/>
  <c r="N83" i="26"/>
  <c r="M83" i="26" s="1"/>
  <c r="N79" i="26"/>
  <c r="M79" i="26" s="1"/>
  <c r="N75" i="26"/>
  <c r="M75" i="26" s="1"/>
  <c r="N71" i="26"/>
  <c r="M71" i="26" s="1"/>
  <c r="N67" i="26"/>
  <c r="I26" i="26"/>
  <c r="I27" i="26"/>
  <c r="I28" i="26" s="1"/>
  <c r="N13" i="26"/>
  <c r="J13" i="26" s="1"/>
  <c r="N18" i="26"/>
  <c r="N14" i="26"/>
  <c r="J14" i="26" s="1"/>
  <c r="N19" i="26"/>
  <c r="M19" i="26" s="1"/>
  <c r="N15" i="26"/>
  <c r="M15" i="26" s="1"/>
  <c r="N8" i="26"/>
  <c r="N11" i="26"/>
  <c r="M11" i="26" s="1"/>
  <c r="N419" i="26"/>
  <c r="P185" i="26"/>
  <c r="P232" i="26"/>
  <c r="P233" i="26"/>
  <c r="N252" i="26"/>
  <c r="K252" i="26" s="1"/>
  <c r="L253" i="26"/>
  <c r="N255" i="26"/>
  <c r="M255" i="26" s="1"/>
  <c r="N389" i="26"/>
  <c r="J389" i="26" s="1"/>
  <c r="N502" i="26"/>
  <c r="L11" i="26"/>
  <c r="N217" i="26"/>
  <c r="M217" i="26" s="1"/>
  <c r="N234" i="26"/>
  <c r="M234" i="26" s="1"/>
  <c r="N12" i="26"/>
  <c r="M12" i="26" s="1"/>
  <c r="N186" i="26"/>
  <c r="M186" i="26" s="1"/>
  <c r="L217" i="26"/>
  <c r="N232" i="26"/>
  <c r="N233" i="26"/>
  <c r="M233" i="26" s="1"/>
  <c r="P234" i="26"/>
  <c r="L254" i="26"/>
  <c r="N447" i="26"/>
  <c r="M447" i="26" s="1"/>
  <c r="N505" i="26"/>
  <c r="J505" i="26" s="1"/>
  <c r="N9" i="26"/>
  <c r="J9" i="26" s="1"/>
  <c r="N10" i="26"/>
  <c r="M10" i="26" s="1"/>
  <c r="N7" i="26"/>
  <c r="P285" i="26"/>
  <c r="L250" i="26"/>
  <c r="L216" i="26"/>
  <c r="L222" i="26"/>
  <c r="L215" i="26"/>
  <c r="L221" i="26"/>
  <c r="L197" i="26"/>
  <c r="L198" i="26"/>
  <c r="L199" i="26"/>
  <c r="L200" i="26"/>
  <c r="L201" i="26"/>
  <c r="L202" i="26"/>
  <c r="L203" i="26"/>
  <c r="P197" i="26"/>
  <c r="P186" i="26"/>
  <c r="N180" i="26"/>
  <c r="N181" i="26"/>
  <c r="M181" i="26" s="1"/>
  <c r="P182" i="26"/>
  <c r="P155" i="26"/>
  <c r="N149" i="26"/>
  <c r="N150" i="26"/>
  <c r="K150" i="26" s="1"/>
  <c r="N66" i="26"/>
  <c r="J66" i="26" s="1"/>
  <c r="P152" i="26"/>
  <c r="L152" i="26"/>
  <c r="N152" i="26"/>
  <c r="M152" i="26" s="1"/>
  <c r="AH7" i="26"/>
  <c r="I226" i="26"/>
  <c r="I227" i="26"/>
  <c r="I228" i="26" s="1"/>
  <c r="N215" i="26"/>
  <c r="K215" i="26" s="1"/>
  <c r="N237" i="26"/>
  <c r="L237" i="26"/>
  <c r="N349" i="26"/>
  <c r="J349" i="26" s="1"/>
  <c r="L349" i="26"/>
  <c r="P349" i="26"/>
  <c r="L66" i="26"/>
  <c r="N154" i="26"/>
  <c r="J154" i="26" s="1"/>
  <c r="L154" i="26"/>
  <c r="P154" i="26"/>
  <c r="P119" i="26"/>
  <c r="P183" i="26"/>
  <c r="N183" i="26"/>
  <c r="J183" i="26" s="1"/>
  <c r="N221" i="26"/>
  <c r="M221" i="26" s="1"/>
  <c r="P237" i="26"/>
  <c r="P249" i="26"/>
  <c r="L249" i="26"/>
  <c r="P149" i="26"/>
  <c r="L151" i="26"/>
  <c r="L153" i="26"/>
  <c r="P184" i="26"/>
  <c r="N198" i="26"/>
  <c r="N200" i="26"/>
  <c r="M200" i="26" s="1"/>
  <c r="N202" i="26"/>
  <c r="M202" i="26" s="1"/>
  <c r="P238" i="26"/>
  <c r="P251" i="26"/>
  <c r="L251" i="26"/>
  <c r="P252" i="26"/>
  <c r="N253" i="26"/>
  <c r="N283" i="26"/>
  <c r="M283" i="26" s="1"/>
  <c r="N284" i="26"/>
  <c r="N353" i="26"/>
  <c r="L353" i="26"/>
  <c r="P353" i="26"/>
  <c r="N357" i="26"/>
  <c r="L357" i="26"/>
  <c r="N445" i="26"/>
  <c r="L445" i="26"/>
  <c r="N148" i="26"/>
  <c r="L181" i="26"/>
  <c r="L185" i="26"/>
  <c r="N216" i="26"/>
  <c r="N218" i="26"/>
  <c r="N220" i="26"/>
  <c r="N222" i="26"/>
  <c r="N231" i="26"/>
  <c r="P255" i="26"/>
  <c r="L255" i="26"/>
  <c r="N422" i="26"/>
  <c r="K422" i="26" s="1"/>
  <c r="N476" i="26"/>
  <c r="M476" i="26" s="1"/>
  <c r="L476" i="26"/>
  <c r="P148" i="26"/>
  <c r="N151" i="26"/>
  <c r="K151" i="26" s="1"/>
  <c r="N153" i="26"/>
  <c r="K153" i="26" s="1"/>
  <c r="L180" i="26"/>
  <c r="N197" i="26"/>
  <c r="N199" i="26"/>
  <c r="M199" i="26" s="1"/>
  <c r="N201" i="26"/>
  <c r="M201" i="26" s="1"/>
  <c r="N203" i="26"/>
  <c r="M203" i="26" s="1"/>
  <c r="H227" i="26"/>
  <c r="H228" i="26" s="1"/>
  <c r="N236" i="26"/>
  <c r="P236" i="26"/>
  <c r="N287" i="26"/>
  <c r="M287" i="26" s="1"/>
  <c r="N351" i="26"/>
  <c r="J351" i="26" s="1"/>
  <c r="L351" i="26"/>
  <c r="N473" i="26"/>
  <c r="L231" i="26"/>
  <c r="N235" i="26"/>
  <c r="L235" i="26"/>
  <c r="N250" i="26"/>
  <c r="N254" i="26"/>
  <c r="N282" i="26"/>
  <c r="N286" i="26"/>
  <c r="J286" i="26" s="1"/>
  <c r="N347" i="26"/>
  <c r="L347" i="26"/>
  <c r="N388" i="26"/>
  <c r="N355" i="26"/>
  <c r="J355" i="26" s="1"/>
  <c r="P355" i="26"/>
  <c r="N446" i="26"/>
  <c r="L446" i="26"/>
  <c r="N501" i="26"/>
  <c r="N504" i="26"/>
  <c r="M504" i="26" s="1"/>
  <c r="L504" i="26"/>
  <c r="L281" i="26"/>
  <c r="L282" i="26"/>
  <c r="L283" i="26"/>
  <c r="L284" i="26"/>
  <c r="L285" i="26"/>
  <c r="L286" i="26"/>
  <c r="L287" i="26"/>
  <c r="N348" i="26"/>
  <c r="P348" i="26"/>
  <c r="N352" i="26"/>
  <c r="J352" i="26" s="1"/>
  <c r="P352" i="26"/>
  <c r="N356" i="26"/>
  <c r="P356" i="26"/>
  <c r="N387" i="26"/>
  <c r="N503" i="26"/>
  <c r="J503" i="26" s="1"/>
  <c r="N281" i="26"/>
  <c r="N350" i="26"/>
  <c r="J350" i="26" s="1"/>
  <c r="P350" i="26"/>
  <c r="N354" i="26"/>
  <c r="P354" i="26"/>
  <c r="L355" i="26"/>
  <c r="L387" i="26"/>
  <c r="N390" i="26"/>
  <c r="N391" i="26"/>
  <c r="M391" i="26" s="1"/>
  <c r="N392" i="26"/>
  <c r="N475" i="26"/>
  <c r="J475" i="26" s="1"/>
  <c r="L503" i="26"/>
  <c r="N449" i="26"/>
  <c r="J449" i="26" s="1"/>
  <c r="N450" i="26"/>
  <c r="M450" i="26" s="1"/>
  <c r="N420" i="26"/>
  <c r="J420" i="26" s="1"/>
  <c r="N421" i="26"/>
  <c r="M421" i="26" s="1"/>
  <c r="N472" i="26"/>
  <c r="L418" i="26"/>
  <c r="N47" i="25"/>
  <c r="M47" i="25" s="1"/>
  <c r="L47" i="25"/>
  <c r="L39" i="25"/>
  <c r="N40" i="25"/>
  <c r="M40" i="25" s="1"/>
  <c r="N52" i="25"/>
  <c r="M52" i="25" s="1"/>
  <c r="N48" i="25"/>
  <c r="K48" i="25" s="1"/>
  <c r="N39" i="25"/>
  <c r="N17" i="25"/>
  <c r="M17" i="25" s="1"/>
  <c r="H27" i="25"/>
  <c r="H28" i="25" s="1"/>
  <c r="L52" i="25"/>
  <c r="N51" i="25"/>
  <c r="N43" i="25"/>
  <c r="M43" i="25" s="1"/>
  <c r="I27" i="25"/>
  <c r="I28" i="25" s="1"/>
  <c r="N18" i="25"/>
  <c r="M18" i="25" s="1"/>
  <c r="N14" i="25"/>
  <c r="M14" i="25" s="1"/>
  <c r="N9" i="25"/>
  <c r="M9" i="25" s="1"/>
  <c r="N50" i="25"/>
  <c r="M50" i="25" s="1"/>
  <c r="N46" i="25"/>
  <c r="M46" i="25" s="1"/>
  <c r="N42" i="25"/>
  <c r="M42" i="25" s="1"/>
  <c r="L49" i="25"/>
  <c r="N53" i="25"/>
  <c r="N49" i="25"/>
  <c r="N45" i="25"/>
  <c r="J45" i="25" s="1"/>
  <c r="N41" i="25"/>
  <c r="N21" i="25"/>
  <c r="M21" i="25" s="1"/>
  <c r="N10" i="25"/>
  <c r="M10" i="25" s="1"/>
  <c r="N13" i="25"/>
  <c r="M13" i="25" s="1"/>
  <c r="L9" i="25"/>
  <c r="N22" i="25"/>
  <c r="M22" i="25" s="1"/>
  <c r="H26" i="25"/>
  <c r="I26" i="25"/>
  <c r="N23" i="25"/>
  <c r="N19" i="25"/>
  <c r="J19" i="25" s="1"/>
  <c r="N15" i="25"/>
  <c r="J15" i="25" s="1"/>
  <c r="N11" i="25"/>
  <c r="N20" i="25"/>
  <c r="M20" i="25" s="1"/>
  <c r="N16" i="25"/>
  <c r="M16" i="25" s="1"/>
  <c r="N12" i="25"/>
  <c r="M12" i="25" s="1"/>
  <c r="N8" i="25"/>
  <c r="M8" i="25" s="1"/>
  <c r="AA26" i="25"/>
  <c r="AG11" i="25"/>
  <c r="AF11" i="25" s="1"/>
  <c r="AA27" i="25"/>
  <c r="AA28" i="25" s="1"/>
  <c r="AG9" i="25"/>
  <c r="AF9" i="25" s="1"/>
  <c r="N38" i="25"/>
  <c r="M38" i="25" s="1"/>
  <c r="AB27" i="25"/>
  <c r="AB28" i="25" s="1"/>
  <c r="AG8" i="25"/>
  <c r="AF8" i="25" s="1"/>
  <c r="AG12" i="25"/>
  <c r="AF12" i="25" s="1"/>
  <c r="AB26" i="25"/>
  <c r="AG22" i="25"/>
  <c r="AF22" i="25" s="1"/>
  <c r="N7" i="25"/>
  <c r="AE8" i="25"/>
  <c r="AG10" i="25"/>
  <c r="AF10" i="25" s="1"/>
  <c r="AE12" i="25"/>
  <c r="AE7" i="25"/>
  <c r="L38" i="25"/>
  <c r="L7" i="25"/>
  <c r="I16" i="24"/>
  <c r="H17" i="24"/>
  <c r="H18" i="24" s="1"/>
  <c r="N31" i="24"/>
  <c r="AB17" i="24"/>
  <c r="AB18" i="24" s="1"/>
  <c r="AG12" i="24"/>
  <c r="AF12" i="24" s="1"/>
  <c r="AG10" i="24"/>
  <c r="AD10" i="24" s="1"/>
  <c r="AE13" i="24"/>
  <c r="N8" i="24"/>
  <c r="M8" i="24" s="1"/>
  <c r="I42" i="24"/>
  <c r="I43" i="24" s="1"/>
  <c r="N10" i="24"/>
  <c r="K10" i="24" s="1"/>
  <c r="N12" i="24"/>
  <c r="J12" i="24" s="1"/>
  <c r="N7" i="24"/>
  <c r="L7" i="24"/>
  <c r="AG11" i="24"/>
  <c r="AD11" i="24" s="1"/>
  <c r="AA17" i="24"/>
  <c r="AA18" i="24" s="1"/>
  <c r="AE8" i="24"/>
  <c r="AE17" i="24" s="1"/>
  <c r="AG9" i="24"/>
  <c r="AF9" i="24" s="1"/>
  <c r="N29" i="24"/>
  <c r="AG7" i="24"/>
  <c r="AC7" i="24" s="1"/>
  <c r="AG8" i="24"/>
  <c r="AC8" i="24" s="1"/>
  <c r="N11" i="24"/>
  <c r="AA16" i="24"/>
  <c r="N30" i="24"/>
  <c r="AE10" i="24"/>
  <c r="L29" i="24"/>
  <c r="H42" i="24"/>
  <c r="H43" i="24" s="1"/>
  <c r="AE16" i="24"/>
  <c r="N9" i="24"/>
  <c r="M9" i="24" s="1"/>
  <c r="AB16" i="24"/>
  <c r="N28" i="24"/>
  <c r="L62" i="2"/>
  <c r="N38" i="2"/>
  <c r="M38" i="2" s="1"/>
  <c r="N50" i="2"/>
  <c r="M50" i="2" s="1"/>
  <c r="N32" i="2"/>
  <c r="M32" i="2" s="1"/>
  <c r="L50" i="2"/>
  <c r="L57" i="2" s="1"/>
  <c r="N35" i="2"/>
  <c r="M35" i="2" s="1"/>
  <c r="N29" i="2"/>
  <c r="M29" i="2" s="1"/>
  <c r="N51" i="2"/>
  <c r="J51" i="2" s="1"/>
  <c r="N47" i="2"/>
  <c r="N31" i="2"/>
  <c r="M31" i="2" s="1"/>
  <c r="N42" i="2"/>
  <c r="M42" i="2" s="1"/>
  <c r="K34" i="2"/>
  <c r="N43" i="2"/>
  <c r="M43" i="2" s="1"/>
  <c r="N46" i="2"/>
  <c r="M46" i="2" s="1"/>
  <c r="L41" i="2"/>
  <c r="N53" i="2"/>
  <c r="M53" i="2" s="1"/>
  <c r="N49" i="2"/>
  <c r="M49" i="2" s="1"/>
  <c r="N45" i="2"/>
  <c r="M45" i="2" s="1"/>
  <c r="N41" i="2"/>
  <c r="M41" i="2" s="1"/>
  <c r="N37" i="2"/>
  <c r="N52" i="2"/>
  <c r="J52" i="2" s="1"/>
  <c r="N48" i="2"/>
  <c r="N44" i="2"/>
  <c r="N40" i="2"/>
  <c r="J40" i="2" s="1"/>
  <c r="N36" i="2"/>
  <c r="J36" i="2" s="1"/>
  <c r="N33" i="2"/>
  <c r="N30" i="2"/>
  <c r="M30" i="2" s="1"/>
  <c r="L29" i="2"/>
  <c r="J52" i="22"/>
  <c r="J53" i="22"/>
  <c r="N58" i="22"/>
  <c r="N54" i="22"/>
  <c r="J54" i="22" s="1"/>
  <c r="N50" i="22"/>
  <c r="N46" i="22"/>
  <c r="N42" i="22"/>
  <c r="N59" i="22"/>
  <c r="M59" i="22" s="1"/>
  <c r="N55" i="22"/>
  <c r="M55" i="22" s="1"/>
  <c r="N51" i="22"/>
  <c r="M51" i="22" s="1"/>
  <c r="N47" i="22"/>
  <c r="M47" i="22" s="1"/>
  <c r="N43" i="22"/>
  <c r="M43" i="22" s="1"/>
  <c r="N39" i="22"/>
  <c r="N38" i="22"/>
  <c r="N22" i="22"/>
  <c r="M22" i="22" s="1"/>
  <c r="K14" i="22"/>
  <c r="N11" i="22"/>
  <c r="M11" i="22" s="1"/>
  <c r="AB27" i="22"/>
  <c r="AB28" i="22" s="1"/>
  <c r="K18" i="22"/>
  <c r="N10" i="22"/>
  <c r="M10" i="22" s="1"/>
  <c r="AG11" i="22"/>
  <c r="AF11" i="22" s="1"/>
  <c r="J18" i="22"/>
  <c r="N20" i="22"/>
  <c r="J20" i="22" s="1"/>
  <c r="N16" i="22"/>
  <c r="N12" i="22"/>
  <c r="N21" i="22"/>
  <c r="M21" i="22" s="1"/>
  <c r="N17" i="22"/>
  <c r="M17" i="22" s="1"/>
  <c r="N13" i="22"/>
  <c r="M13" i="22" s="1"/>
  <c r="N9" i="22"/>
  <c r="M9" i="22" s="1"/>
  <c r="AA26" i="22"/>
  <c r="AB26" i="22"/>
  <c r="AA27" i="22"/>
  <c r="AA28" i="22" s="1"/>
  <c r="AG9" i="22"/>
  <c r="AF9" i="22" s="1"/>
  <c r="AG13" i="22"/>
  <c r="AF13" i="22" s="1"/>
  <c r="AF12" i="22"/>
  <c r="AD12" i="22"/>
  <c r="AE7" i="22"/>
  <c r="AE8" i="22"/>
  <c r="AE9" i="22"/>
  <c r="AE10" i="22"/>
  <c r="AE11" i="22"/>
  <c r="AE12" i="22"/>
  <c r="AE13" i="22"/>
  <c r="AG7" i="22"/>
  <c r="AC7" i="22" s="1"/>
  <c r="AC12" i="22"/>
  <c r="I26" i="22"/>
  <c r="H27" i="22"/>
  <c r="H28" i="22" s="1"/>
  <c r="H26" i="22"/>
  <c r="N7" i="22"/>
  <c r="J7" i="22" s="1"/>
  <c r="L7" i="22"/>
  <c r="I27" i="22"/>
  <c r="I28" i="22" s="1"/>
  <c r="N8" i="22"/>
  <c r="J8" i="22" s="1"/>
  <c r="I77" i="21"/>
  <c r="I78" i="21" s="1"/>
  <c r="N53" i="21"/>
  <c r="M53" i="21" s="1"/>
  <c r="N48" i="21"/>
  <c r="M48" i="21" s="1"/>
  <c r="N44" i="21"/>
  <c r="M44" i="21" s="1"/>
  <c r="N64" i="21"/>
  <c r="M64" i="21" s="1"/>
  <c r="N52" i="21"/>
  <c r="M52" i="21" s="1"/>
  <c r="N49" i="21"/>
  <c r="J49" i="21" s="1"/>
  <c r="N37" i="21"/>
  <c r="J37" i="21" s="1"/>
  <c r="N72" i="21"/>
  <c r="M72" i="21" s="1"/>
  <c r="N68" i="21"/>
  <c r="K68" i="21" s="1"/>
  <c r="N67" i="21"/>
  <c r="M67" i="21" s="1"/>
  <c r="L32" i="21"/>
  <c r="H76" i="21"/>
  <c r="N41" i="21"/>
  <c r="M41" i="21" s="1"/>
  <c r="N45" i="21"/>
  <c r="M45" i="21" s="1"/>
  <c r="J36" i="21"/>
  <c r="I76" i="21"/>
  <c r="L41" i="21"/>
  <c r="N29" i="21"/>
  <c r="J29" i="21" s="1"/>
  <c r="N61" i="21"/>
  <c r="J61" i="21" s="1"/>
  <c r="N57" i="21"/>
  <c r="K36" i="21"/>
  <c r="L57" i="21"/>
  <c r="N60" i="21"/>
  <c r="M60" i="21" s="1"/>
  <c r="L52" i="21"/>
  <c r="N40" i="21"/>
  <c r="M40" i="21" s="1"/>
  <c r="L36" i="21"/>
  <c r="N71" i="21"/>
  <c r="M71" i="21" s="1"/>
  <c r="H77" i="21"/>
  <c r="H78" i="21" s="1"/>
  <c r="L70" i="21"/>
  <c r="L66" i="21"/>
  <c r="N69" i="21"/>
  <c r="J69" i="21" s="1"/>
  <c r="N65" i="21"/>
  <c r="N70" i="21"/>
  <c r="M70" i="21" s="1"/>
  <c r="N66" i="21"/>
  <c r="M66" i="21" s="1"/>
  <c r="N42" i="21"/>
  <c r="N54" i="21"/>
  <c r="N38" i="21"/>
  <c r="N63" i="21"/>
  <c r="M63" i="21" s="1"/>
  <c r="N62" i="21"/>
  <c r="N59" i="21"/>
  <c r="M59" i="21" s="1"/>
  <c r="N58" i="21"/>
  <c r="N55" i="21"/>
  <c r="M55" i="21" s="1"/>
  <c r="N50" i="21"/>
  <c r="L42" i="21"/>
  <c r="N34" i="21"/>
  <c r="L62" i="21"/>
  <c r="L58" i="21"/>
  <c r="L54" i="21"/>
  <c r="N46" i="21"/>
  <c r="L38" i="21"/>
  <c r="N51" i="21"/>
  <c r="M51" i="21" s="1"/>
  <c r="N47" i="21"/>
  <c r="M47" i="21" s="1"/>
  <c r="N43" i="21"/>
  <c r="M43" i="21" s="1"/>
  <c r="N39" i="21"/>
  <c r="M39" i="21" s="1"/>
  <c r="N35" i="21"/>
  <c r="M35" i="21" s="1"/>
  <c r="N31" i="21"/>
  <c r="M31" i="21" s="1"/>
  <c r="N26" i="21"/>
  <c r="N16" i="21"/>
  <c r="J16" i="21" s="1"/>
  <c r="L29" i="21"/>
  <c r="N11" i="21"/>
  <c r="M11" i="21" s="1"/>
  <c r="N24" i="21"/>
  <c r="M24" i="21" s="1"/>
  <c r="N17" i="21"/>
  <c r="K17" i="21" s="1"/>
  <c r="N21" i="21"/>
  <c r="K21" i="21" s="1"/>
  <c r="L11" i="21"/>
  <c r="N13" i="21"/>
  <c r="P8" i="21"/>
  <c r="N12" i="21"/>
  <c r="N20" i="21"/>
  <c r="K20" i="21" s="1"/>
  <c r="N7" i="21"/>
  <c r="J7" i="21" s="1"/>
  <c r="P9" i="21"/>
  <c r="N15" i="21"/>
  <c r="N19" i="21"/>
  <c r="M19" i="21" s="1"/>
  <c r="N23" i="21"/>
  <c r="M23" i="21" s="1"/>
  <c r="N8" i="21"/>
  <c r="N9" i="21"/>
  <c r="J9" i="21" s="1"/>
  <c r="N10" i="21"/>
  <c r="J10" i="21" s="1"/>
  <c r="N14" i="21"/>
  <c r="N18" i="21"/>
  <c r="J18" i="21" s="1"/>
  <c r="N22" i="21"/>
  <c r="L25" i="21"/>
  <c r="N27" i="21"/>
  <c r="M27" i="21" s="1"/>
  <c r="N28" i="21"/>
  <c r="L7" i="21"/>
  <c r="N25" i="21"/>
  <c r="L26" i="21"/>
  <c r="L27" i="21"/>
  <c r="N30" i="21"/>
  <c r="J30" i="21" s="1"/>
  <c r="O125" i="20"/>
  <c r="O126" i="20" s="1"/>
  <c r="O124" i="20"/>
  <c r="O120" i="20"/>
  <c r="O121" i="20" s="1"/>
  <c r="O119" i="20"/>
  <c r="O114" i="20"/>
  <c r="O115" i="20" s="1"/>
  <c r="O113" i="20"/>
  <c r="O108" i="20"/>
  <c r="O104" i="20"/>
  <c r="O105" i="20" s="1"/>
  <c r="O103" i="20"/>
  <c r="O109" i="20"/>
  <c r="O110" i="20" s="1"/>
  <c r="D85" i="20"/>
  <c r="D83" i="20"/>
  <c r="D81" i="20"/>
  <c r="D80" i="20"/>
  <c r="D78" i="20"/>
  <c r="D76" i="20"/>
  <c r="D77" i="20"/>
  <c r="D75" i="20"/>
  <c r="D71" i="20"/>
  <c r="D69" i="20"/>
  <c r="D67" i="20"/>
  <c r="D66" i="20"/>
  <c r="H67" i="20"/>
  <c r="I67" i="20"/>
  <c r="H68" i="20"/>
  <c r="P68" i="20" s="1"/>
  <c r="I68" i="20"/>
  <c r="H69" i="20"/>
  <c r="P69" i="20" s="1"/>
  <c r="I69" i="20"/>
  <c r="H70" i="20"/>
  <c r="P70" i="20" s="1"/>
  <c r="I70" i="20"/>
  <c r="H71" i="20"/>
  <c r="I71" i="20"/>
  <c r="H72" i="20"/>
  <c r="I72" i="20"/>
  <c r="H73" i="20"/>
  <c r="I73" i="20"/>
  <c r="H74" i="20"/>
  <c r="I74" i="20"/>
  <c r="H75" i="20"/>
  <c r="I75" i="20"/>
  <c r="H76" i="20"/>
  <c r="I76" i="20"/>
  <c r="H77" i="20"/>
  <c r="I77" i="20"/>
  <c r="H78" i="20"/>
  <c r="P78" i="20" s="1"/>
  <c r="I78" i="20"/>
  <c r="H79" i="20"/>
  <c r="I79" i="20"/>
  <c r="H80" i="20"/>
  <c r="I80" i="20"/>
  <c r="H81" i="20"/>
  <c r="P81" i="20" s="1"/>
  <c r="I81" i="20"/>
  <c r="H82" i="20"/>
  <c r="P82" i="20" s="1"/>
  <c r="I82" i="20"/>
  <c r="H83" i="20"/>
  <c r="I83" i="20"/>
  <c r="H84" i="20"/>
  <c r="I84" i="20"/>
  <c r="H85" i="20"/>
  <c r="P85" i="20" s="1"/>
  <c r="I85" i="20"/>
  <c r="H86" i="20"/>
  <c r="I86" i="20"/>
  <c r="H87" i="20"/>
  <c r="I87" i="20"/>
  <c r="H88" i="20"/>
  <c r="I88" i="20"/>
  <c r="H89" i="20"/>
  <c r="P89" i="20" s="1"/>
  <c r="I89" i="20"/>
  <c r="H90" i="20"/>
  <c r="P90" i="20" s="1"/>
  <c r="I90" i="20"/>
  <c r="H91" i="20"/>
  <c r="I91" i="20"/>
  <c r="H92" i="20"/>
  <c r="I92" i="20"/>
  <c r="H93" i="20"/>
  <c r="P93" i="20" s="1"/>
  <c r="I93" i="20"/>
  <c r="H94" i="20"/>
  <c r="I94" i="20"/>
  <c r="H95" i="20"/>
  <c r="I95" i="20"/>
  <c r="H96" i="20"/>
  <c r="I96" i="20"/>
  <c r="H97" i="20"/>
  <c r="P97" i="20" s="1"/>
  <c r="I97" i="20"/>
  <c r="H98" i="20"/>
  <c r="I98" i="20"/>
  <c r="H99" i="20"/>
  <c r="I66" i="20"/>
  <c r="H66" i="20"/>
  <c r="P66" i="20" s="1"/>
  <c r="O57" i="20"/>
  <c r="O58" i="20" s="1"/>
  <c r="O56" i="20"/>
  <c r="O52" i="20"/>
  <c r="O53" i="20" s="1"/>
  <c r="O51" i="20"/>
  <c r="D39" i="20"/>
  <c r="D40" i="20"/>
  <c r="D41" i="20"/>
  <c r="D38" i="20"/>
  <c r="D33" i="20"/>
  <c r="D34" i="20"/>
  <c r="D35" i="20"/>
  <c r="D32" i="20"/>
  <c r="D29" i="20"/>
  <c r="D27" i="20"/>
  <c r="D25" i="20"/>
  <c r="H9" i="20"/>
  <c r="L9" i="20" s="1"/>
  <c r="I9" i="20"/>
  <c r="H10" i="20"/>
  <c r="I10" i="20"/>
  <c r="H11" i="20"/>
  <c r="P11" i="20" s="1"/>
  <c r="I11" i="20"/>
  <c r="H12" i="20"/>
  <c r="I12" i="20"/>
  <c r="H13" i="20"/>
  <c r="I13" i="20"/>
  <c r="H14" i="20"/>
  <c r="I14" i="20"/>
  <c r="H15" i="20"/>
  <c r="P15" i="20" s="1"/>
  <c r="I15" i="20"/>
  <c r="H16" i="20"/>
  <c r="I16" i="20"/>
  <c r="H17" i="20"/>
  <c r="P17" i="20" s="1"/>
  <c r="I17" i="20"/>
  <c r="H18" i="20"/>
  <c r="I18" i="20"/>
  <c r="H19" i="20"/>
  <c r="P19" i="20" s="1"/>
  <c r="I19" i="20"/>
  <c r="H20" i="20"/>
  <c r="I20" i="20"/>
  <c r="H21" i="20"/>
  <c r="I21" i="20"/>
  <c r="H22" i="20"/>
  <c r="I22" i="20"/>
  <c r="H23" i="20"/>
  <c r="P23" i="20" s="1"/>
  <c r="I23" i="20"/>
  <c r="H24" i="20"/>
  <c r="P24" i="20" s="1"/>
  <c r="I24" i="20"/>
  <c r="H25" i="20"/>
  <c r="I25" i="20"/>
  <c r="H26" i="20"/>
  <c r="I26" i="20"/>
  <c r="H27" i="20"/>
  <c r="I27" i="20"/>
  <c r="H28" i="20"/>
  <c r="P28" i="20" s="1"/>
  <c r="I28" i="20"/>
  <c r="H29" i="20"/>
  <c r="P29" i="20" s="1"/>
  <c r="I29" i="20"/>
  <c r="H30" i="20"/>
  <c r="I30" i="20"/>
  <c r="H31" i="20"/>
  <c r="P31" i="20" s="1"/>
  <c r="I31" i="20"/>
  <c r="H32" i="20"/>
  <c r="I32" i="20"/>
  <c r="H33" i="20"/>
  <c r="I33" i="20"/>
  <c r="H34" i="20"/>
  <c r="I34" i="20"/>
  <c r="H35" i="20"/>
  <c r="I35" i="20"/>
  <c r="H36" i="20"/>
  <c r="P36" i="20" s="1"/>
  <c r="I36" i="20"/>
  <c r="H37" i="20"/>
  <c r="P37" i="20" s="1"/>
  <c r="I37" i="20"/>
  <c r="H38" i="20"/>
  <c r="I38" i="20"/>
  <c r="H39" i="20"/>
  <c r="P39" i="20" s="1"/>
  <c r="I39" i="20"/>
  <c r="H40" i="20"/>
  <c r="P40" i="20" s="1"/>
  <c r="I40" i="20"/>
  <c r="H41" i="20"/>
  <c r="P41" i="20" s="1"/>
  <c r="I8" i="20"/>
  <c r="H8" i="20"/>
  <c r="P8" i="20" s="1"/>
  <c r="I7" i="20"/>
  <c r="H7" i="20"/>
  <c r="K40" i="25" l="1"/>
  <c r="K32" i="21"/>
  <c r="J32" i="21"/>
  <c r="J41" i="22"/>
  <c r="K72" i="21"/>
  <c r="AC13" i="24"/>
  <c r="AF13" i="24"/>
  <c r="K44" i="25"/>
  <c r="J40" i="22"/>
  <c r="J34" i="2"/>
  <c r="L36" i="24"/>
  <c r="K40" i="22"/>
  <c r="K561" i="26"/>
  <c r="K562" i="26"/>
  <c r="K563" i="26" s="1"/>
  <c r="K556" i="26"/>
  <c r="K557" i="26" s="1"/>
  <c r="K555" i="26"/>
  <c r="M561" i="26"/>
  <c r="M562" i="26"/>
  <c r="M563" i="26" s="1"/>
  <c r="J555" i="26"/>
  <c r="J556" i="26"/>
  <c r="J557" i="26" s="1"/>
  <c r="J561" i="26"/>
  <c r="J562" i="26"/>
  <c r="J563" i="26" s="1"/>
  <c r="M555" i="26"/>
  <c r="M556" i="26"/>
  <c r="M557" i="26" s="1"/>
  <c r="N520" i="26"/>
  <c r="N521" i="26"/>
  <c r="N522" i="26" s="1"/>
  <c r="J502" i="26"/>
  <c r="N514" i="26"/>
  <c r="N515" i="26"/>
  <c r="N516" i="26" s="1"/>
  <c r="L514" i="26"/>
  <c r="L515" i="26"/>
  <c r="L516" i="26" s="1"/>
  <c r="P520" i="26"/>
  <c r="P521" i="26"/>
  <c r="P522" i="26" s="1"/>
  <c r="L520" i="26"/>
  <c r="L521" i="26"/>
  <c r="L522" i="26" s="1"/>
  <c r="P510" i="26"/>
  <c r="P511" i="26" s="1"/>
  <c r="P514" i="26"/>
  <c r="P515" i="26"/>
  <c r="P516" i="26" s="1"/>
  <c r="P487" i="26"/>
  <c r="P488" i="26"/>
  <c r="P489" i="26" s="1"/>
  <c r="N487" i="26"/>
  <c r="N488" i="26"/>
  <c r="N489" i="26" s="1"/>
  <c r="L487" i="26"/>
  <c r="L488" i="26"/>
  <c r="L489" i="26" s="1"/>
  <c r="K474" i="26"/>
  <c r="P493" i="26"/>
  <c r="P494" i="26"/>
  <c r="P495" i="26" s="1"/>
  <c r="L493" i="26"/>
  <c r="L494" i="26"/>
  <c r="L495" i="26" s="1"/>
  <c r="K473" i="26"/>
  <c r="N493" i="26"/>
  <c r="N494" i="26"/>
  <c r="N495" i="26" s="1"/>
  <c r="P460" i="26"/>
  <c r="P461" i="26" s="1"/>
  <c r="P459" i="26"/>
  <c r="L460" i="26"/>
  <c r="L461" i="26" s="1"/>
  <c r="L459" i="26"/>
  <c r="P466" i="26"/>
  <c r="P467" i="26" s="1"/>
  <c r="P465" i="26"/>
  <c r="N465" i="26"/>
  <c r="N466" i="26"/>
  <c r="N467" i="26" s="1"/>
  <c r="N460" i="26"/>
  <c r="N461" i="26" s="1"/>
  <c r="N459" i="26"/>
  <c r="L466" i="26"/>
  <c r="L467" i="26" s="1"/>
  <c r="L465" i="26"/>
  <c r="L438" i="26"/>
  <c r="L439" i="26"/>
  <c r="L440" i="26" s="1"/>
  <c r="P439" i="26"/>
  <c r="P440" i="26" s="1"/>
  <c r="P438" i="26"/>
  <c r="L432" i="26"/>
  <c r="L433" i="26"/>
  <c r="L434" i="26" s="1"/>
  <c r="K418" i="26"/>
  <c r="N438" i="26"/>
  <c r="N439" i="26"/>
  <c r="N440" i="26" s="1"/>
  <c r="N432" i="26"/>
  <c r="N433" i="26"/>
  <c r="N434" i="26" s="1"/>
  <c r="P432" i="26"/>
  <c r="P433" i="26"/>
  <c r="P434" i="26" s="1"/>
  <c r="N409" i="26"/>
  <c r="N410" i="26"/>
  <c r="N411" i="26" s="1"/>
  <c r="P403" i="26"/>
  <c r="P404" i="26"/>
  <c r="P405" i="26" s="1"/>
  <c r="P399" i="26"/>
  <c r="P400" i="26" s="1"/>
  <c r="L403" i="26"/>
  <c r="L404" i="26"/>
  <c r="L405" i="26" s="1"/>
  <c r="J387" i="26"/>
  <c r="N403" i="26"/>
  <c r="N404" i="26"/>
  <c r="N405" i="26" s="1"/>
  <c r="L409" i="26"/>
  <c r="L410" i="26"/>
  <c r="L411" i="26" s="1"/>
  <c r="P409" i="26"/>
  <c r="P410" i="26"/>
  <c r="P411" i="26" s="1"/>
  <c r="M326" i="26"/>
  <c r="P374" i="26"/>
  <c r="P375" i="26"/>
  <c r="P376" i="26" s="1"/>
  <c r="N374" i="26"/>
  <c r="N375" i="26"/>
  <c r="N376" i="26" s="1"/>
  <c r="L368" i="26"/>
  <c r="L369" i="26"/>
  <c r="L370" i="26" s="1"/>
  <c r="L374" i="26"/>
  <c r="L375" i="26"/>
  <c r="L376" i="26" s="1"/>
  <c r="N368" i="26"/>
  <c r="N369" i="26"/>
  <c r="N370" i="26" s="1"/>
  <c r="P368" i="26"/>
  <c r="P369" i="26"/>
  <c r="P370" i="26" s="1"/>
  <c r="J332" i="26"/>
  <c r="J333" i="26"/>
  <c r="J334" i="26" s="1"/>
  <c r="M332" i="26"/>
  <c r="M333" i="26"/>
  <c r="M334" i="26" s="1"/>
  <c r="K338" i="26"/>
  <c r="K339" i="26"/>
  <c r="K340" i="26" s="1"/>
  <c r="J338" i="26"/>
  <c r="J339" i="26"/>
  <c r="J340" i="26" s="1"/>
  <c r="M338" i="26"/>
  <c r="M339" i="26"/>
  <c r="M340" i="26" s="1"/>
  <c r="K332" i="26"/>
  <c r="K333" i="26"/>
  <c r="K334" i="26" s="1"/>
  <c r="M327" i="26"/>
  <c r="M328" i="26" s="1"/>
  <c r="N299" i="26"/>
  <c r="N300" i="26"/>
  <c r="N301" i="26" s="1"/>
  <c r="L305" i="26"/>
  <c r="L306" i="26"/>
  <c r="L307" i="26" s="1"/>
  <c r="M284" i="26"/>
  <c r="N305" i="26"/>
  <c r="N306" i="26"/>
  <c r="N307" i="26" s="1"/>
  <c r="L299" i="26"/>
  <c r="L300" i="26"/>
  <c r="L301" i="26" s="1"/>
  <c r="P299" i="26"/>
  <c r="P300" i="26"/>
  <c r="P301" i="26" s="1"/>
  <c r="P305" i="26"/>
  <c r="P306" i="26"/>
  <c r="P307" i="26" s="1"/>
  <c r="M251" i="26"/>
  <c r="N272" i="26"/>
  <c r="N273" i="26"/>
  <c r="N274" i="26" s="1"/>
  <c r="P272" i="26"/>
  <c r="P273" i="26"/>
  <c r="P274" i="26" s="1"/>
  <c r="P266" i="26"/>
  <c r="P267" i="26"/>
  <c r="P268" i="26" s="1"/>
  <c r="L272" i="26"/>
  <c r="L273" i="26"/>
  <c r="L274" i="26" s="1"/>
  <c r="L266" i="26"/>
  <c r="L267" i="26"/>
  <c r="L268" i="26" s="1"/>
  <c r="M249" i="26"/>
  <c r="N266" i="26"/>
  <c r="N267" i="26"/>
  <c r="N268" i="26" s="1"/>
  <c r="L166" i="26"/>
  <c r="L167" i="26"/>
  <c r="L168" i="26" s="1"/>
  <c r="L172" i="26"/>
  <c r="L173" i="26"/>
  <c r="L174" i="26" s="1"/>
  <c r="J148" i="26"/>
  <c r="N172" i="26"/>
  <c r="N173" i="26"/>
  <c r="N174" i="26" s="1"/>
  <c r="P166" i="26"/>
  <c r="P167" i="26"/>
  <c r="P168" i="26" s="1"/>
  <c r="P172" i="26"/>
  <c r="P173" i="26"/>
  <c r="P174" i="26" s="1"/>
  <c r="K149" i="26"/>
  <c r="N166" i="26"/>
  <c r="N167" i="26"/>
  <c r="N168" i="26" s="1"/>
  <c r="AE97" i="26"/>
  <c r="AE98" i="26" s="1"/>
  <c r="AG97" i="26"/>
  <c r="AG98" i="26" s="1"/>
  <c r="P32" i="26"/>
  <c r="P33" i="26"/>
  <c r="P34" i="26" s="1"/>
  <c r="P38" i="26"/>
  <c r="P39" i="26"/>
  <c r="P40" i="26" s="1"/>
  <c r="M7" i="26"/>
  <c r="N38" i="26"/>
  <c r="N39" i="26"/>
  <c r="N40" i="26" s="1"/>
  <c r="AE96" i="26"/>
  <c r="L33" i="26"/>
  <c r="L34" i="26" s="1"/>
  <c r="L32" i="26"/>
  <c r="L38" i="26"/>
  <c r="L39" i="26"/>
  <c r="L40" i="26" s="1"/>
  <c r="J8" i="26"/>
  <c r="N32" i="26"/>
  <c r="N33" i="26"/>
  <c r="N34" i="26" s="1"/>
  <c r="P60" i="25"/>
  <c r="P61" i="25" s="1"/>
  <c r="P58" i="2"/>
  <c r="P59" i="2" s="1"/>
  <c r="M57" i="22"/>
  <c r="P70" i="22"/>
  <c r="L63" i="2"/>
  <c r="L64" i="2" s="1"/>
  <c r="J33" i="21"/>
  <c r="M68" i="21"/>
  <c r="L86" i="21"/>
  <c r="K44" i="21"/>
  <c r="AD97" i="26"/>
  <c r="AD98" i="26" s="1"/>
  <c r="K41" i="22"/>
  <c r="J11" i="22"/>
  <c r="M15" i="22"/>
  <c r="J15" i="22"/>
  <c r="J45" i="22"/>
  <c r="J56" i="22"/>
  <c r="K33" i="21"/>
  <c r="L26" i="26"/>
  <c r="P71" i="22"/>
  <c r="P72" i="22" s="1"/>
  <c r="P16" i="24"/>
  <c r="L82" i="21"/>
  <c r="L83" i="21" s="1"/>
  <c r="P57" i="2"/>
  <c r="P76" i="22"/>
  <c r="P77" i="22" s="1"/>
  <c r="P65" i="22"/>
  <c r="P68" i="2"/>
  <c r="P69" i="2" s="1"/>
  <c r="P17" i="24"/>
  <c r="P18" i="24" s="1"/>
  <c r="P75" i="22"/>
  <c r="K19" i="22"/>
  <c r="M39" i="2"/>
  <c r="P37" i="24"/>
  <c r="P38" i="24" s="1"/>
  <c r="P36" i="24"/>
  <c r="P79" i="2"/>
  <c r="P80" i="2" s="1"/>
  <c r="P59" i="25"/>
  <c r="P74" i="2"/>
  <c r="P75" i="2" s="1"/>
  <c r="P73" i="2"/>
  <c r="P67" i="2"/>
  <c r="P63" i="2"/>
  <c r="P64" i="2" s="1"/>
  <c r="P62" i="2"/>
  <c r="M19" i="22"/>
  <c r="L76" i="22"/>
  <c r="L77" i="22" s="1"/>
  <c r="P66" i="22"/>
  <c r="P67" i="22" s="1"/>
  <c r="K29" i="2"/>
  <c r="J39" i="2"/>
  <c r="P482" i="26"/>
  <c r="P483" i="26" s="1"/>
  <c r="L70" i="22"/>
  <c r="P26" i="25"/>
  <c r="L59" i="25"/>
  <c r="L60" i="25"/>
  <c r="L61" i="25" s="1"/>
  <c r="J51" i="25"/>
  <c r="J64" i="25" s="1"/>
  <c r="N64" i="25"/>
  <c r="N59" i="25"/>
  <c r="N60" i="25"/>
  <c r="N61" i="25" s="1"/>
  <c r="J44" i="25"/>
  <c r="P27" i="25"/>
  <c r="P28" i="25" s="1"/>
  <c r="I47" i="20"/>
  <c r="I48" i="20" s="1"/>
  <c r="I46" i="20"/>
  <c r="L84" i="20"/>
  <c r="P84" i="20"/>
  <c r="L76" i="20"/>
  <c r="P76" i="20"/>
  <c r="L74" i="20"/>
  <c r="P74" i="20"/>
  <c r="L72" i="20"/>
  <c r="P72" i="20"/>
  <c r="P93" i="21"/>
  <c r="P94" i="21" s="1"/>
  <c r="P92" i="21"/>
  <c r="L7" i="20"/>
  <c r="H46" i="20"/>
  <c r="L35" i="20"/>
  <c r="P35" i="20"/>
  <c r="L33" i="20"/>
  <c r="P33" i="20"/>
  <c r="L27" i="20"/>
  <c r="P27" i="20"/>
  <c r="L25" i="20"/>
  <c r="H51" i="20"/>
  <c r="P25" i="20"/>
  <c r="L21" i="20"/>
  <c r="P21" i="20"/>
  <c r="L13" i="20"/>
  <c r="P13" i="20"/>
  <c r="L98" i="20"/>
  <c r="P98" i="20"/>
  <c r="L96" i="20"/>
  <c r="P96" i="20"/>
  <c r="L94" i="20"/>
  <c r="P94" i="20"/>
  <c r="L92" i="20"/>
  <c r="P92" i="20"/>
  <c r="AC8" i="22"/>
  <c r="AF8" i="22"/>
  <c r="J57" i="22"/>
  <c r="L71" i="22"/>
  <c r="L72" i="22" s="1"/>
  <c r="K48" i="22"/>
  <c r="L81" i="21"/>
  <c r="L86" i="20"/>
  <c r="P86" i="20"/>
  <c r="L80" i="20"/>
  <c r="P80" i="20"/>
  <c r="L38" i="20"/>
  <c r="P38" i="20"/>
  <c r="L34" i="20"/>
  <c r="P34" i="20"/>
  <c r="L26" i="20"/>
  <c r="P26" i="20"/>
  <c r="L22" i="20"/>
  <c r="P22" i="20"/>
  <c r="L20" i="20"/>
  <c r="P20" i="20"/>
  <c r="L18" i="20"/>
  <c r="P18" i="20"/>
  <c r="L16" i="20"/>
  <c r="P16" i="20"/>
  <c r="L14" i="20"/>
  <c r="P14" i="20"/>
  <c r="L12" i="20"/>
  <c r="P12" i="20"/>
  <c r="L10" i="20"/>
  <c r="P10" i="20"/>
  <c r="L95" i="20"/>
  <c r="P95" i="20"/>
  <c r="L91" i="20"/>
  <c r="P91" i="20"/>
  <c r="J49" i="22"/>
  <c r="J48" i="22"/>
  <c r="AC7" i="25"/>
  <c r="P87" i="21"/>
  <c r="P88" i="21" s="1"/>
  <c r="P86" i="21"/>
  <c r="L88" i="20"/>
  <c r="P88" i="20"/>
  <c r="P82" i="21"/>
  <c r="P83" i="21" s="1"/>
  <c r="P81" i="21"/>
  <c r="L32" i="20"/>
  <c r="P32" i="20"/>
  <c r="L30" i="20"/>
  <c r="P30" i="20"/>
  <c r="L90" i="20"/>
  <c r="L87" i="20"/>
  <c r="P87" i="20"/>
  <c r="L83" i="20"/>
  <c r="P83" i="20"/>
  <c r="L79" i="20"/>
  <c r="P79" i="20"/>
  <c r="L77" i="20"/>
  <c r="P77" i="20"/>
  <c r="L75" i="20"/>
  <c r="P75" i="20"/>
  <c r="L73" i="20"/>
  <c r="P73" i="20"/>
  <c r="L71" i="20"/>
  <c r="P71" i="20"/>
  <c r="L67" i="20"/>
  <c r="P67" i="20"/>
  <c r="AD7" i="25"/>
  <c r="AD26" i="25" s="1"/>
  <c r="L87" i="21"/>
  <c r="L88" i="21" s="1"/>
  <c r="P97" i="21"/>
  <c r="P98" i="21"/>
  <c r="P99" i="21" s="1"/>
  <c r="J32" i="2"/>
  <c r="K8" i="24"/>
  <c r="P509" i="26"/>
  <c r="P454" i="26"/>
  <c r="AD9" i="24"/>
  <c r="K11" i="21"/>
  <c r="J38" i="2"/>
  <c r="J40" i="25"/>
  <c r="P481" i="26"/>
  <c r="L68" i="2"/>
  <c r="L69" i="2" s="1"/>
  <c r="P398" i="26"/>
  <c r="P427" i="26"/>
  <c r="J22" i="22"/>
  <c r="I119" i="20"/>
  <c r="N80" i="20"/>
  <c r="M80" i="20" s="1"/>
  <c r="K64" i="21"/>
  <c r="K22" i="22"/>
  <c r="AC10" i="24"/>
  <c r="J14" i="25"/>
  <c r="K14" i="25"/>
  <c r="J47" i="25"/>
  <c r="N83" i="20"/>
  <c r="M83" i="20" s="1"/>
  <c r="J29" i="2"/>
  <c r="P455" i="26"/>
  <c r="P456" i="26" s="1"/>
  <c r="P26" i="26"/>
  <c r="P27" i="26"/>
  <c r="P28" i="26" s="1"/>
  <c r="P428" i="26"/>
  <c r="P429" i="26" s="1"/>
  <c r="K32" i="2"/>
  <c r="N95" i="20"/>
  <c r="J95" i="20" s="1"/>
  <c r="H124" i="20"/>
  <c r="P104" i="21"/>
  <c r="P105" i="21" s="1"/>
  <c r="K43" i="22"/>
  <c r="J52" i="25"/>
  <c r="AE64" i="26"/>
  <c r="N87" i="20"/>
  <c r="M87" i="20" s="1"/>
  <c r="N76" i="20"/>
  <c r="M76" i="20" s="1"/>
  <c r="L92" i="21"/>
  <c r="J68" i="21"/>
  <c r="H104" i="20"/>
  <c r="H105" i="20" s="1"/>
  <c r="K45" i="22"/>
  <c r="L93" i="21"/>
  <c r="L94" i="21" s="1"/>
  <c r="M39" i="22"/>
  <c r="N71" i="22"/>
  <c r="N72" i="22" s="1"/>
  <c r="N76" i="22"/>
  <c r="N77" i="22" s="1"/>
  <c r="N75" i="22"/>
  <c r="N70" i="22"/>
  <c r="N66" i="20"/>
  <c r="J66" i="20" s="1"/>
  <c r="H108" i="20"/>
  <c r="N72" i="20"/>
  <c r="M72" i="20" s="1"/>
  <c r="H125" i="20"/>
  <c r="H126" i="20" s="1"/>
  <c r="I125" i="20"/>
  <c r="I126" i="20" s="1"/>
  <c r="K48" i="21"/>
  <c r="K56" i="21"/>
  <c r="AC10" i="22"/>
  <c r="N65" i="22"/>
  <c r="N66" i="22"/>
  <c r="N67" i="22" s="1"/>
  <c r="M47" i="2"/>
  <c r="N73" i="2"/>
  <c r="N74" i="2"/>
  <c r="N75" i="2" s="1"/>
  <c r="N36" i="24"/>
  <c r="N37" i="24"/>
  <c r="N38" i="24" s="1"/>
  <c r="J65" i="25"/>
  <c r="J66" i="25" s="1"/>
  <c r="J39" i="25"/>
  <c r="AG80" i="26"/>
  <c r="AG81" i="26"/>
  <c r="AG82" i="26" s="1"/>
  <c r="AD112" i="26"/>
  <c r="AD113" i="26"/>
  <c r="AD114" i="26" s="1"/>
  <c r="AD108" i="26"/>
  <c r="AD109" i="26" s="1"/>
  <c r="AD107" i="26"/>
  <c r="L79" i="2"/>
  <c r="L80" i="2" s="1"/>
  <c r="L78" i="2"/>
  <c r="P103" i="21"/>
  <c r="I109" i="20"/>
  <c r="I110" i="20" s="1"/>
  <c r="N93" i="21"/>
  <c r="N94" i="21" s="1"/>
  <c r="N92" i="21"/>
  <c r="J48" i="2"/>
  <c r="N78" i="2"/>
  <c r="N79" i="2"/>
  <c r="N80" i="2" s="1"/>
  <c r="L66" i="22"/>
  <c r="L67" i="22" s="1"/>
  <c r="L65" i="22"/>
  <c r="N38" i="20"/>
  <c r="J38" i="20" s="1"/>
  <c r="I51" i="20"/>
  <c r="H109" i="20"/>
  <c r="H110" i="20" s="1"/>
  <c r="H113" i="20"/>
  <c r="I103" i="20"/>
  <c r="H103" i="20"/>
  <c r="N71" i="20"/>
  <c r="M71" i="20" s="1"/>
  <c r="L70" i="20"/>
  <c r="N67" i="20"/>
  <c r="M67" i="20" s="1"/>
  <c r="H114" i="20"/>
  <c r="H115" i="20" s="1"/>
  <c r="L76" i="21"/>
  <c r="J45" i="21"/>
  <c r="J44" i="21"/>
  <c r="J64" i="21"/>
  <c r="J72" i="21"/>
  <c r="J56" i="21"/>
  <c r="K67" i="21"/>
  <c r="K45" i="21"/>
  <c r="AD10" i="22"/>
  <c r="K17" i="22"/>
  <c r="J44" i="22"/>
  <c r="J43" i="22"/>
  <c r="K55" i="22"/>
  <c r="L67" i="2"/>
  <c r="K38" i="2"/>
  <c r="AF10" i="24"/>
  <c r="AC10" i="25"/>
  <c r="K47" i="25"/>
  <c r="AE113" i="26"/>
  <c r="AE114" i="26" s="1"/>
  <c r="AE112" i="26"/>
  <c r="AE108" i="26"/>
  <c r="AE109" i="26" s="1"/>
  <c r="AE107" i="26"/>
  <c r="AE102" i="26"/>
  <c r="AE103" i="26" s="1"/>
  <c r="AE101" i="26"/>
  <c r="AD96" i="26"/>
  <c r="AG113" i="26"/>
  <c r="AG114" i="26" s="1"/>
  <c r="AG112" i="26"/>
  <c r="L37" i="24"/>
  <c r="L38" i="24" s="1"/>
  <c r="AD80" i="26"/>
  <c r="AD81" i="26"/>
  <c r="AD82" i="26" s="1"/>
  <c r="L75" i="22"/>
  <c r="M7" i="21"/>
  <c r="N103" i="21"/>
  <c r="N104" i="21"/>
  <c r="N105" i="21" s="1"/>
  <c r="K13" i="21"/>
  <c r="N86" i="21"/>
  <c r="N87" i="21"/>
  <c r="N88" i="21" s="1"/>
  <c r="M29" i="21"/>
  <c r="N97" i="21"/>
  <c r="N98" i="21"/>
  <c r="N99" i="21" s="1"/>
  <c r="AD102" i="26"/>
  <c r="AD103" i="26" s="1"/>
  <c r="AD101" i="26"/>
  <c r="N96" i="20"/>
  <c r="M96" i="20" s="1"/>
  <c r="N92" i="20"/>
  <c r="K92" i="20" s="1"/>
  <c r="L89" i="20"/>
  <c r="N88" i="20"/>
  <c r="M88" i="20" s="1"/>
  <c r="I104" i="20"/>
  <c r="I105" i="20" s="1"/>
  <c r="I108" i="20"/>
  <c r="L68" i="20"/>
  <c r="L77" i="21"/>
  <c r="L78" i="21" s="1"/>
  <c r="L104" i="21"/>
  <c r="L105" i="21" s="1"/>
  <c r="L103" i="21"/>
  <c r="K7" i="21"/>
  <c r="J12" i="21"/>
  <c r="N81" i="21"/>
  <c r="N82" i="21"/>
  <c r="N83" i="21" s="1"/>
  <c r="L98" i="21"/>
  <c r="L99" i="21" s="1"/>
  <c r="L97" i="21"/>
  <c r="J48" i="21"/>
  <c r="J14" i="22"/>
  <c r="K10" i="22"/>
  <c r="J39" i="22"/>
  <c r="AD12" i="24"/>
  <c r="M31" i="24"/>
  <c r="M41" i="24" s="1"/>
  <c r="N41" i="24"/>
  <c r="M51" i="25"/>
  <c r="M64" i="25" s="1"/>
  <c r="N65" i="25"/>
  <c r="N66" i="25" s="1"/>
  <c r="AD7" i="26"/>
  <c r="AH85" i="26"/>
  <c r="AH86" i="26"/>
  <c r="AH87" i="26" s="1"/>
  <c r="AE81" i="26"/>
  <c r="AE82" i="26" s="1"/>
  <c r="AE80" i="26"/>
  <c r="AG108" i="26"/>
  <c r="AG109" i="26" s="1"/>
  <c r="AG107" i="26"/>
  <c r="AG102" i="26"/>
  <c r="AG103" i="26" s="1"/>
  <c r="AG101" i="26"/>
  <c r="K44" i="22"/>
  <c r="K56" i="22"/>
  <c r="K53" i="22"/>
  <c r="AE75" i="26"/>
  <c r="AE76" i="26"/>
  <c r="AE77" i="26" s="1"/>
  <c r="AG65" i="26"/>
  <c r="AG66" i="26" s="1"/>
  <c r="AG64" i="26"/>
  <c r="AD69" i="26"/>
  <c r="AD70" i="26"/>
  <c r="AD71" i="26" s="1"/>
  <c r="AG76" i="26"/>
  <c r="AG77" i="26" s="1"/>
  <c r="AG75" i="26"/>
  <c r="AD64" i="26"/>
  <c r="AD65" i="26"/>
  <c r="AD66" i="26" s="1"/>
  <c r="AD76" i="26"/>
  <c r="AD77" i="26" s="1"/>
  <c r="AD75" i="26"/>
  <c r="AE69" i="26"/>
  <c r="AE70" i="26"/>
  <c r="AE71" i="26" s="1"/>
  <c r="AE65" i="26"/>
  <c r="AE66" i="26" s="1"/>
  <c r="AG70" i="26"/>
  <c r="AG71" i="26" s="1"/>
  <c r="AG69" i="26"/>
  <c r="M418" i="26"/>
  <c r="J418" i="26"/>
  <c r="K97" i="26"/>
  <c r="J97" i="26"/>
  <c r="M550" i="26"/>
  <c r="M551" i="26" s="1"/>
  <c r="M549" i="26"/>
  <c r="J549" i="26"/>
  <c r="J550" i="26"/>
  <c r="J551" i="26" s="1"/>
  <c r="K549" i="26"/>
  <c r="K550" i="26"/>
  <c r="K551" i="26" s="1"/>
  <c r="K185" i="26"/>
  <c r="J16" i="26"/>
  <c r="K102" i="26"/>
  <c r="J102" i="26"/>
  <c r="J185" i="26"/>
  <c r="J20" i="26"/>
  <c r="J219" i="26"/>
  <c r="K16" i="26"/>
  <c r="J326" i="26"/>
  <c r="P363" i="26"/>
  <c r="P364" i="26" s="1"/>
  <c r="K72" i="26"/>
  <c r="K423" i="26"/>
  <c r="M184" i="26"/>
  <c r="K20" i="26"/>
  <c r="M423" i="26"/>
  <c r="J327" i="26"/>
  <c r="J328" i="26" s="1"/>
  <c r="L454" i="26"/>
  <c r="L455" i="26"/>
  <c r="L456" i="26" s="1"/>
  <c r="AF316" i="26"/>
  <c r="AF317" i="26"/>
  <c r="AF318" i="26" s="1"/>
  <c r="P362" i="26"/>
  <c r="J472" i="26"/>
  <c r="N482" i="26"/>
  <c r="N483" i="26" s="1"/>
  <c r="N481" i="26"/>
  <c r="N363" i="26"/>
  <c r="N364" i="26" s="1"/>
  <c r="N362" i="26"/>
  <c r="M446" i="26"/>
  <c r="N455" i="26"/>
  <c r="N456" i="26" s="1"/>
  <c r="N454" i="26"/>
  <c r="N398" i="26"/>
  <c r="N399" i="26"/>
  <c r="N400" i="26" s="1"/>
  <c r="K182" i="26"/>
  <c r="AC316" i="26"/>
  <c r="AC317" i="26"/>
  <c r="AC318" i="26" s="1"/>
  <c r="AC279" i="26"/>
  <c r="AC280" i="26" s="1"/>
  <c r="AC278" i="26"/>
  <c r="K501" i="26"/>
  <c r="N509" i="26"/>
  <c r="N510" i="26"/>
  <c r="N511" i="26" s="1"/>
  <c r="K184" i="26"/>
  <c r="J17" i="26"/>
  <c r="K17" i="26"/>
  <c r="K88" i="26"/>
  <c r="J72" i="26"/>
  <c r="AC298" i="26"/>
  <c r="AC299" i="26" s="1"/>
  <c r="AF279" i="26"/>
  <c r="AF280" i="26" s="1"/>
  <c r="AF278" i="26"/>
  <c r="K327" i="26"/>
  <c r="K328" i="26" s="1"/>
  <c r="K326" i="26"/>
  <c r="L428" i="26"/>
  <c r="L429" i="26" s="1"/>
  <c r="L427" i="26"/>
  <c r="AD317" i="26"/>
  <c r="AD318" i="26" s="1"/>
  <c r="AD316" i="26"/>
  <c r="L510" i="26"/>
  <c r="L511" i="26" s="1"/>
  <c r="L509" i="26"/>
  <c r="P295" i="26"/>
  <c r="P296" i="26" s="1"/>
  <c r="P294" i="26"/>
  <c r="L295" i="26"/>
  <c r="L296" i="26" s="1"/>
  <c r="L294" i="26"/>
  <c r="N427" i="26"/>
  <c r="N428" i="26"/>
  <c r="N429" i="26" s="1"/>
  <c r="L481" i="26"/>
  <c r="L482" i="26"/>
  <c r="L483" i="26" s="1"/>
  <c r="J281" i="26"/>
  <c r="N294" i="26"/>
  <c r="N295" i="26"/>
  <c r="N296" i="26" s="1"/>
  <c r="J77" i="26"/>
  <c r="J182" i="26"/>
  <c r="J81" i="26"/>
  <c r="L362" i="26"/>
  <c r="L363" i="26"/>
  <c r="L364" i="26" s="1"/>
  <c r="AD278" i="26"/>
  <c r="AD279" i="26"/>
  <c r="AD280" i="26" s="1"/>
  <c r="L399" i="26"/>
  <c r="L400" i="26" s="1"/>
  <c r="L398" i="26"/>
  <c r="K505" i="26"/>
  <c r="M505" i="26"/>
  <c r="K504" i="26"/>
  <c r="J504" i="26"/>
  <c r="M502" i="26"/>
  <c r="M474" i="26"/>
  <c r="M477" i="26"/>
  <c r="J474" i="26"/>
  <c r="K477" i="26"/>
  <c r="K448" i="26"/>
  <c r="K446" i="26"/>
  <c r="J448" i="26"/>
  <c r="AD297" i="26"/>
  <c r="AD298" i="26"/>
  <c r="AD299" i="26" s="1"/>
  <c r="AF298" i="26"/>
  <c r="AF299" i="26" s="1"/>
  <c r="AF297" i="26"/>
  <c r="AC297" i="26"/>
  <c r="J285" i="26"/>
  <c r="K447" i="26"/>
  <c r="J447" i="26"/>
  <c r="K100" i="26"/>
  <c r="J186" i="26"/>
  <c r="J476" i="26"/>
  <c r="J255" i="26"/>
  <c r="J446" i="26"/>
  <c r="M389" i="26"/>
  <c r="K217" i="26"/>
  <c r="M149" i="26"/>
  <c r="L135" i="26"/>
  <c r="K181" i="26"/>
  <c r="J233" i="26"/>
  <c r="J85" i="26"/>
  <c r="L120" i="26"/>
  <c r="L121" i="26" s="1"/>
  <c r="K68" i="26"/>
  <c r="P227" i="26"/>
  <c r="P228" i="26" s="1"/>
  <c r="K233" i="26"/>
  <c r="J73" i="26"/>
  <c r="J68" i="26"/>
  <c r="K96" i="26"/>
  <c r="K85" i="26"/>
  <c r="L131" i="26"/>
  <c r="L132" i="26" s="1"/>
  <c r="J69" i="26"/>
  <c r="L136" i="26"/>
  <c r="L137" i="26" s="1"/>
  <c r="K81" i="26"/>
  <c r="J84" i="26"/>
  <c r="M100" i="26"/>
  <c r="K104" i="26"/>
  <c r="K84" i="26"/>
  <c r="K285" i="26"/>
  <c r="K77" i="26"/>
  <c r="L210" i="26"/>
  <c r="L211" i="26"/>
  <c r="L212" i="26" s="1"/>
  <c r="L262" i="26"/>
  <c r="L263" i="26" s="1"/>
  <c r="L261" i="26"/>
  <c r="P262" i="26"/>
  <c r="P263" i="26" s="1"/>
  <c r="P261" i="26"/>
  <c r="M89" i="26"/>
  <c r="N136" i="26"/>
  <c r="N137" i="26" s="1"/>
  <c r="N135" i="26"/>
  <c r="L119" i="26"/>
  <c r="L130" i="26"/>
  <c r="P161" i="26"/>
  <c r="P162" i="26" s="1"/>
  <c r="P160" i="26"/>
  <c r="J181" i="26"/>
  <c r="N192" i="26"/>
  <c r="N193" i="26" s="1"/>
  <c r="N191" i="26"/>
  <c r="J234" i="26"/>
  <c r="P244" i="26"/>
  <c r="P245" i="26"/>
  <c r="P246" i="26" s="1"/>
  <c r="M67" i="26"/>
  <c r="N119" i="26"/>
  <c r="N120" i="26"/>
  <c r="N121" i="26" s="1"/>
  <c r="J79" i="26"/>
  <c r="M96" i="26"/>
  <c r="J111" i="26"/>
  <c r="P191" i="26"/>
  <c r="P192" i="26"/>
  <c r="P193" i="26" s="1"/>
  <c r="L192" i="26"/>
  <c r="L193" i="26" s="1"/>
  <c r="L191" i="26"/>
  <c r="M232" i="26"/>
  <c r="N244" i="26"/>
  <c r="N245" i="26"/>
  <c r="N246" i="26" s="1"/>
  <c r="L160" i="26"/>
  <c r="L161" i="26"/>
  <c r="L162" i="26" s="1"/>
  <c r="L125" i="26"/>
  <c r="L126" i="26" s="1"/>
  <c r="L124" i="26"/>
  <c r="L141" i="26"/>
  <c r="L142" i="26" s="1"/>
  <c r="L140" i="26"/>
  <c r="M198" i="26"/>
  <c r="N210" i="26"/>
  <c r="N211" i="26"/>
  <c r="N212" i="26" s="1"/>
  <c r="P210" i="26"/>
  <c r="P211" i="26"/>
  <c r="P212" i="26" s="1"/>
  <c r="M69" i="26"/>
  <c r="N141" i="26"/>
  <c r="N142" i="26" s="1"/>
  <c r="N140" i="26"/>
  <c r="N125" i="26"/>
  <c r="N126" i="26" s="1"/>
  <c r="N124" i="26"/>
  <c r="N261" i="26"/>
  <c r="N262" i="26"/>
  <c r="N263" i="26" s="1"/>
  <c r="M252" i="26"/>
  <c r="J149" i="26"/>
  <c r="N160" i="26"/>
  <c r="N161" i="26"/>
  <c r="N162" i="26" s="1"/>
  <c r="K19" i="26"/>
  <c r="K71" i="26"/>
  <c r="K91" i="26"/>
  <c r="M104" i="26"/>
  <c r="M88" i="26"/>
  <c r="N131" i="26"/>
  <c r="N132" i="26" s="1"/>
  <c r="N130" i="26"/>
  <c r="L244" i="26"/>
  <c r="L245" i="26"/>
  <c r="L246" i="26" s="1"/>
  <c r="M76" i="26"/>
  <c r="J76" i="26"/>
  <c r="K73" i="26"/>
  <c r="J249" i="26"/>
  <c r="J251" i="26"/>
  <c r="K255" i="26"/>
  <c r="K251" i="26"/>
  <c r="J252" i="26"/>
  <c r="K249" i="26"/>
  <c r="J232" i="26"/>
  <c r="K234" i="26"/>
  <c r="K232" i="26"/>
  <c r="L226" i="26"/>
  <c r="K219" i="26"/>
  <c r="J150" i="26"/>
  <c r="M150" i="26"/>
  <c r="J113" i="26"/>
  <c r="J112" i="26"/>
  <c r="K111" i="26"/>
  <c r="J103" i="26"/>
  <c r="M108" i="26"/>
  <c r="K103" i="26"/>
  <c r="K108" i="26"/>
  <c r="M112" i="26"/>
  <c r="J99" i="26"/>
  <c r="M92" i="26"/>
  <c r="J89" i="26"/>
  <c r="K92" i="26"/>
  <c r="K89" i="26"/>
  <c r="K99" i="26"/>
  <c r="J114" i="26"/>
  <c r="M101" i="26"/>
  <c r="K101" i="26"/>
  <c r="K107" i="26"/>
  <c r="J106" i="26"/>
  <c r="J107" i="26"/>
  <c r="J110" i="26"/>
  <c r="M93" i="26"/>
  <c r="K93" i="26"/>
  <c r="J101" i="26"/>
  <c r="M80" i="26"/>
  <c r="J80" i="26"/>
  <c r="K80" i="26"/>
  <c r="K109" i="26"/>
  <c r="M109" i="26"/>
  <c r="K113" i="26"/>
  <c r="M113" i="26"/>
  <c r="K106" i="26"/>
  <c r="K105" i="26"/>
  <c r="M105" i="26"/>
  <c r="K114" i="26"/>
  <c r="K110" i="26"/>
  <c r="M94" i="26"/>
  <c r="K94" i="26"/>
  <c r="M82" i="26"/>
  <c r="K82" i="26"/>
  <c r="M86" i="26"/>
  <c r="K86" i="26"/>
  <c r="M74" i="26"/>
  <c r="K74" i="26"/>
  <c r="K79" i="26"/>
  <c r="J94" i="26"/>
  <c r="M98" i="26"/>
  <c r="K98" i="26"/>
  <c r="J82" i="26"/>
  <c r="M70" i="26"/>
  <c r="K70" i="26"/>
  <c r="J75" i="26"/>
  <c r="J86" i="26"/>
  <c r="J74" i="26"/>
  <c r="J67" i="26"/>
  <c r="J83" i="26"/>
  <c r="J91" i="26"/>
  <c r="J98" i="26"/>
  <c r="K67" i="26"/>
  <c r="K83" i="26"/>
  <c r="K95" i="26"/>
  <c r="J70" i="26"/>
  <c r="K87" i="26"/>
  <c r="K75" i="26"/>
  <c r="M78" i="26"/>
  <c r="K78" i="26"/>
  <c r="M90" i="26"/>
  <c r="K90" i="26"/>
  <c r="J95" i="26"/>
  <c r="J71" i="26"/>
  <c r="J87" i="26"/>
  <c r="J11" i="26"/>
  <c r="K11" i="26"/>
  <c r="K66" i="26"/>
  <c r="M13" i="26"/>
  <c r="K13" i="26"/>
  <c r="M8" i="26"/>
  <c r="N27" i="26"/>
  <c r="N28" i="26" s="1"/>
  <c r="N26" i="26"/>
  <c r="L27" i="26"/>
  <c r="L28" i="26" s="1"/>
  <c r="M18" i="26"/>
  <c r="K18" i="26"/>
  <c r="J15" i="26"/>
  <c r="K15" i="26"/>
  <c r="M14" i="26"/>
  <c r="K14" i="26"/>
  <c r="J18" i="26"/>
  <c r="J19" i="26"/>
  <c r="K8" i="26"/>
  <c r="J12" i="26"/>
  <c r="M419" i="26"/>
  <c r="K419" i="26"/>
  <c r="J421" i="26"/>
  <c r="J450" i="26"/>
  <c r="K421" i="26"/>
  <c r="K502" i="26"/>
  <c r="K389" i="26"/>
  <c r="J217" i="26"/>
  <c r="L227" i="26"/>
  <c r="L228" i="26" s="1"/>
  <c r="M180" i="26"/>
  <c r="J10" i="26"/>
  <c r="J419" i="26"/>
  <c r="K450" i="26"/>
  <c r="K284" i="26"/>
  <c r="K186" i="26"/>
  <c r="K12" i="26"/>
  <c r="J7" i="26"/>
  <c r="K7" i="26"/>
  <c r="M9" i="26"/>
  <c r="K9" i="26"/>
  <c r="K10" i="26"/>
  <c r="J284" i="26"/>
  <c r="J180" i="26"/>
  <c r="K180" i="26"/>
  <c r="K152" i="26"/>
  <c r="J152" i="26"/>
  <c r="M66" i="26"/>
  <c r="M348" i="26"/>
  <c r="K348" i="26"/>
  <c r="K391" i="26"/>
  <c r="M347" i="26"/>
  <c r="K347" i="26"/>
  <c r="M254" i="26"/>
  <c r="K254" i="26"/>
  <c r="J254" i="26"/>
  <c r="M197" i="26"/>
  <c r="J220" i="26"/>
  <c r="M220" i="26"/>
  <c r="J216" i="26"/>
  <c r="M216" i="26"/>
  <c r="M445" i="26"/>
  <c r="K445" i="26"/>
  <c r="J221" i="26"/>
  <c r="K287" i="26"/>
  <c r="M237" i="26"/>
  <c r="K237" i="26"/>
  <c r="K201" i="26"/>
  <c r="K197" i="26"/>
  <c r="J392" i="26"/>
  <c r="M392" i="26"/>
  <c r="M390" i="26"/>
  <c r="K390" i="26"/>
  <c r="M354" i="26"/>
  <c r="K354" i="26"/>
  <c r="M356" i="26"/>
  <c r="K356" i="26"/>
  <c r="M282" i="26"/>
  <c r="K282" i="26"/>
  <c r="M236" i="26"/>
  <c r="K236" i="26"/>
  <c r="J222" i="26"/>
  <c r="M222" i="26"/>
  <c r="M357" i="26"/>
  <c r="K357" i="26"/>
  <c r="M353" i="26"/>
  <c r="K353" i="26"/>
  <c r="J282" i="26"/>
  <c r="M420" i="26"/>
  <c r="K420" i="26"/>
  <c r="M475" i="26"/>
  <c r="K475" i="26"/>
  <c r="J390" i="26"/>
  <c r="J354" i="26"/>
  <c r="M350" i="26"/>
  <c r="K350" i="26"/>
  <c r="M281" i="26"/>
  <c r="K281" i="26"/>
  <c r="M503" i="26"/>
  <c r="K503" i="26"/>
  <c r="M387" i="26"/>
  <c r="J356" i="26"/>
  <c r="M352" i="26"/>
  <c r="K352" i="26"/>
  <c r="M501" i="26"/>
  <c r="J501" i="26"/>
  <c r="M286" i="26"/>
  <c r="K286" i="26"/>
  <c r="M250" i="26"/>
  <c r="K250" i="26"/>
  <c r="J250" i="26"/>
  <c r="M351" i="26"/>
  <c r="K351" i="26"/>
  <c r="J236" i="26"/>
  <c r="J203" i="26"/>
  <c r="J199" i="26"/>
  <c r="M151" i="26"/>
  <c r="J151" i="26"/>
  <c r="M422" i="26"/>
  <c r="J422" i="26"/>
  <c r="K387" i="26"/>
  <c r="K220" i="26"/>
  <c r="K216" i="26"/>
  <c r="J357" i="26"/>
  <c r="J353" i="26"/>
  <c r="J202" i="26"/>
  <c r="J198" i="26"/>
  <c r="M183" i="26"/>
  <c r="K183" i="26"/>
  <c r="K154" i="26"/>
  <c r="M154" i="26"/>
  <c r="K221" i="26"/>
  <c r="K200" i="26"/>
  <c r="N227" i="26"/>
  <c r="N228" i="26" s="1"/>
  <c r="M215" i="26"/>
  <c r="N226" i="26"/>
  <c r="K283" i="26"/>
  <c r="J388" i="26"/>
  <c r="M388" i="26"/>
  <c r="J218" i="26"/>
  <c r="M218" i="26"/>
  <c r="M148" i="26"/>
  <c r="K148" i="26"/>
  <c r="M253" i="26"/>
  <c r="K253" i="26"/>
  <c r="J253" i="26"/>
  <c r="K203" i="26"/>
  <c r="K199" i="26"/>
  <c r="AG7" i="26"/>
  <c r="AE7" i="26"/>
  <c r="M472" i="26"/>
  <c r="K476" i="26"/>
  <c r="M449" i="26"/>
  <c r="K449" i="26"/>
  <c r="K472" i="26"/>
  <c r="J391" i="26"/>
  <c r="J287" i="26"/>
  <c r="J283" i="26"/>
  <c r="J348" i="26"/>
  <c r="K392" i="26"/>
  <c r="M355" i="26"/>
  <c r="K355" i="26"/>
  <c r="K388" i="26"/>
  <c r="J347" i="26"/>
  <c r="J235" i="26"/>
  <c r="M235" i="26"/>
  <c r="K235" i="26"/>
  <c r="M473" i="26"/>
  <c r="J473" i="26"/>
  <c r="J201" i="26"/>
  <c r="J197" i="26"/>
  <c r="M153" i="26"/>
  <c r="J153" i="26"/>
  <c r="J231" i="26"/>
  <c r="M231" i="26"/>
  <c r="K231" i="26"/>
  <c r="K222" i="26"/>
  <c r="K218" i="26"/>
  <c r="J445" i="26"/>
  <c r="J215" i="26"/>
  <c r="J200" i="26"/>
  <c r="M349" i="26"/>
  <c r="K349" i="26"/>
  <c r="J237" i="26"/>
  <c r="K202" i="26"/>
  <c r="K198" i="26"/>
  <c r="M39" i="25"/>
  <c r="K17" i="25"/>
  <c r="J50" i="25"/>
  <c r="K39" i="25"/>
  <c r="M48" i="25"/>
  <c r="J17" i="25"/>
  <c r="J48" i="25"/>
  <c r="J20" i="25"/>
  <c r="J18" i="25"/>
  <c r="K52" i="25"/>
  <c r="K16" i="25"/>
  <c r="K18" i="25"/>
  <c r="J16" i="25"/>
  <c r="K9" i="25"/>
  <c r="J9" i="25"/>
  <c r="K13" i="25"/>
  <c r="K42" i="25"/>
  <c r="K51" i="25"/>
  <c r="K64" i="25" s="1"/>
  <c r="J43" i="25"/>
  <c r="J10" i="25"/>
  <c r="J13" i="25"/>
  <c r="K20" i="25"/>
  <c r="K46" i="25"/>
  <c r="K43" i="25"/>
  <c r="K41" i="25"/>
  <c r="M41" i="25"/>
  <c r="J41" i="25"/>
  <c r="K45" i="25"/>
  <c r="M45" i="25"/>
  <c r="K49" i="25"/>
  <c r="M49" i="25"/>
  <c r="J42" i="25"/>
  <c r="J46" i="25"/>
  <c r="K53" i="25"/>
  <c r="M53" i="25"/>
  <c r="K50" i="25"/>
  <c r="J49" i="25"/>
  <c r="J53" i="25"/>
  <c r="L27" i="25"/>
  <c r="L28" i="25" s="1"/>
  <c r="L26" i="25"/>
  <c r="K22" i="25"/>
  <c r="K12" i="25"/>
  <c r="N27" i="25"/>
  <c r="N28" i="25" s="1"/>
  <c r="N26" i="25"/>
  <c r="J22" i="25"/>
  <c r="J21" i="25"/>
  <c r="K21" i="25"/>
  <c r="K10" i="25"/>
  <c r="M11" i="25"/>
  <c r="K11" i="25"/>
  <c r="M15" i="25"/>
  <c r="K15" i="25"/>
  <c r="K8" i="25"/>
  <c r="M19" i="25"/>
  <c r="K19" i="25"/>
  <c r="J8" i="25"/>
  <c r="M23" i="25"/>
  <c r="K23" i="25"/>
  <c r="J12" i="25"/>
  <c r="J11" i="25"/>
  <c r="J23" i="25"/>
  <c r="AD8" i="25"/>
  <c r="AC12" i="25"/>
  <c r="AD22" i="25"/>
  <c r="AC11" i="25"/>
  <c r="AC8" i="25"/>
  <c r="AC9" i="25"/>
  <c r="AD9" i="25"/>
  <c r="AD10" i="25"/>
  <c r="AD11" i="25"/>
  <c r="AD12" i="25"/>
  <c r="K38" i="25"/>
  <c r="J38" i="25"/>
  <c r="AC26" i="25"/>
  <c r="AC27" i="25"/>
  <c r="AG26" i="25"/>
  <c r="M7" i="25"/>
  <c r="J7" i="25"/>
  <c r="AG27" i="25"/>
  <c r="AG28" i="25" s="1"/>
  <c r="AF27" i="25"/>
  <c r="AF28" i="25" s="1"/>
  <c r="AF26" i="25"/>
  <c r="AE27" i="25"/>
  <c r="AE28" i="25" s="1"/>
  <c r="AE26" i="25"/>
  <c r="AC22" i="25"/>
  <c r="K7" i="25"/>
  <c r="L17" i="24"/>
  <c r="L18" i="24" s="1"/>
  <c r="L16" i="24"/>
  <c r="J7" i="24"/>
  <c r="N16" i="24"/>
  <c r="N17" i="24"/>
  <c r="N18" i="24" s="1"/>
  <c r="K12" i="24"/>
  <c r="K31" i="24"/>
  <c r="K41" i="24" s="1"/>
  <c r="J31" i="24"/>
  <c r="J41" i="24" s="1"/>
  <c r="AC12" i="24"/>
  <c r="J8" i="24"/>
  <c r="AC9" i="24"/>
  <c r="AD7" i="24"/>
  <c r="AD17" i="24" s="1"/>
  <c r="AE18" i="24"/>
  <c r="M12" i="24"/>
  <c r="J10" i="24"/>
  <c r="M10" i="24"/>
  <c r="M11" i="24"/>
  <c r="K11" i="24"/>
  <c r="N42" i="24"/>
  <c r="N43" i="24" s="1"/>
  <c r="M29" i="24"/>
  <c r="K29" i="24"/>
  <c r="AF11" i="24"/>
  <c r="AC11" i="24"/>
  <c r="AC16" i="24" s="1"/>
  <c r="M30" i="24"/>
  <c r="K30" i="24"/>
  <c r="AC17" i="24"/>
  <c r="J30" i="24"/>
  <c r="J11" i="24"/>
  <c r="AF8" i="24"/>
  <c r="AD8" i="24"/>
  <c r="M7" i="24"/>
  <c r="K28" i="24"/>
  <c r="M28" i="24"/>
  <c r="J28" i="24"/>
  <c r="J9" i="24"/>
  <c r="L42" i="24"/>
  <c r="L43" i="24" s="1"/>
  <c r="J29" i="24"/>
  <c r="AG16" i="24"/>
  <c r="AF7" i="24"/>
  <c r="AG17" i="24"/>
  <c r="AG18" i="24" s="1"/>
  <c r="K9" i="24"/>
  <c r="K7" i="24"/>
  <c r="M37" i="2"/>
  <c r="N58" i="2"/>
  <c r="N59" i="2" s="1"/>
  <c r="N57" i="2"/>
  <c r="L58" i="2"/>
  <c r="L59" i="2" s="1"/>
  <c r="J35" i="2"/>
  <c r="N67" i="2"/>
  <c r="N63" i="2"/>
  <c r="N64" i="2" s="1"/>
  <c r="N68" i="2"/>
  <c r="N69" i="2" s="1"/>
  <c r="N62" i="2"/>
  <c r="J42" i="2"/>
  <c r="M51" i="2"/>
  <c r="J50" i="2"/>
  <c r="K50" i="2"/>
  <c r="J47" i="2"/>
  <c r="J30" i="2"/>
  <c r="K47" i="2"/>
  <c r="J46" i="2"/>
  <c r="K51" i="2"/>
  <c r="K35" i="2"/>
  <c r="J31" i="2"/>
  <c r="J53" i="2"/>
  <c r="K46" i="2"/>
  <c r="K42" i="2"/>
  <c r="K37" i="2"/>
  <c r="J37" i="2"/>
  <c r="J43" i="2"/>
  <c r="K31" i="2"/>
  <c r="K43" i="2"/>
  <c r="K36" i="2"/>
  <c r="M36" i="2"/>
  <c r="M52" i="2"/>
  <c r="K52" i="2"/>
  <c r="K53" i="2"/>
  <c r="K41" i="2"/>
  <c r="K44" i="2"/>
  <c r="M44" i="2"/>
  <c r="K45" i="2"/>
  <c r="K48" i="2"/>
  <c r="M48" i="2"/>
  <c r="J45" i="2"/>
  <c r="K49" i="2"/>
  <c r="M40" i="2"/>
  <c r="M62" i="2" s="1"/>
  <c r="K40" i="2"/>
  <c r="J41" i="2"/>
  <c r="J44" i="2"/>
  <c r="J49" i="2"/>
  <c r="K33" i="2"/>
  <c r="M33" i="2"/>
  <c r="K30" i="2"/>
  <c r="J33" i="2"/>
  <c r="K59" i="22"/>
  <c r="M42" i="22"/>
  <c r="K42" i="22"/>
  <c r="M58" i="22"/>
  <c r="K58" i="22"/>
  <c r="J58" i="22"/>
  <c r="M46" i="22"/>
  <c r="K46" i="22"/>
  <c r="J47" i="22"/>
  <c r="J46" i="22"/>
  <c r="J42" i="22"/>
  <c r="M50" i="22"/>
  <c r="K50" i="22"/>
  <c r="J50" i="22"/>
  <c r="K47" i="22"/>
  <c r="K39" i="22"/>
  <c r="M54" i="22"/>
  <c r="K54" i="22"/>
  <c r="K51" i="22"/>
  <c r="J59" i="22"/>
  <c r="J55" i="22"/>
  <c r="J51" i="22"/>
  <c r="J38" i="22"/>
  <c r="M38" i="22"/>
  <c r="K38" i="22"/>
  <c r="K21" i="22"/>
  <c r="AC11" i="22"/>
  <c r="K11" i="22"/>
  <c r="AD11" i="22"/>
  <c r="J21" i="22"/>
  <c r="J10" i="22"/>
  <c r="M12" i="22"/>
  <c r="K12" i="22"/>
  <c r="K9" i="22"/>
  <c r="M16" i="22"/>
  <c r="K16" i="22"/>
  <c r="J9" i="22"/>
  <c r="M20" i="22"/>
  <c r="K20" i="22"/>
  <c r="J13" i="22"/>
  <c r="J12" i="22"/>
  <c r="J17" i="22"/>
  <c r="J16" i="22"/>
  <c r="K13" i="22"/>
  <c r="AG26" i="22"/>
  <c r="AC9" i="22"/>
  <c r="AE27" i="22"/>
  <c r="AE28" i="22" s="1"/>
  <c r="AE26" i="22"/>
  <c r="AG27" i="22"/>
  <c r="AG28" i="22" s="1"/>
  <c r="AD13" i="22"/>
  <c r="AD9" i="22"/>
  <c r="AC13" i="22"/>
  <c r="AF7" i="22"/>
  <c r="AF27" i="22" s="1"/>
  <c r="AF28" i="22" s="1"/>
  <c r="AD7" i="22"/>
  <c r="K7" i="22"/>
  <c r="P26" i="22"/>
  <c r="P27" i="22"/>
  <c r="P28" i="22" s="1"/>
  <c r="L26" i="22"/>
  <c r="L27" i="22"/>
  <c r="L28" i="22" s="1"/>
  <c r="M8" i="22"/>
  <c r="K8" i="22"/>
  <c r="N26" i="22"/>
  <c r="N27" i="22"/>
  <c r="N28" i="22" s="1"/>
  <c r="M7" i="22"/>
  <c r="M15" i="21"/>
  <c r="M26" i="21"/>
  <c r="J53" i="21"/>
  <c r="J67" i="21"/>
  <c r="K52" i="21"/>
  <c r="J52" i="21"/>
  <c r="K53" i="21"/>
  <c r="M37" i="21"/>
  <c r="K37" i="21"/>
  <c r="M49" i="21"/>
  <c r="K49" i="21"/>
  <c r="K41" i="21"/>
  <c r="J41" i="21"/>
  <c r="J8" i="21"/>
  <c r="N77" i="21"/>
  <c r="N78" i="21" s="1"/>
  <c r="N76" i="21"/>
  <c r="K35" i="21"/>
  <c r="M57" i="21"/>
  <c r="K57" i="21"/>
  <c r="K71" i="21"/>
  <c r="K29" i="21"/>
  <c r="P77" i="21"/>
  <c r="P78" i="21" s="1"/>
  <c r="P76" i="21"/>
  <c r="J63" i="21"/>
  <c r="J24" i="21"/>
  <c r="J39" i="21"/>
  <c r="J59" i="21"/>
  <c r="K59" i="21"/>
  <c r="K40" i="21"/>
  <c r="J40" i="21"/>
  <c r="J60" i="21"/>
  <c r="J55" i="21"/>
  <c r="J43" i="21"/>
  <c r="K60" i="21"/>
  <c r="J71" i="21"/>
  <c r="M61" i="21"/>
  <c r="K61" i="21"/>
  <c r="J57" i="21"/>
  <c r="K70" i="21"/>
  <c r="M65" i="21"/>
  <c r="K65" i="21"/>
  <c r="J65" i="21"/>
  <c r="K66" i="21"/>
  <c r="J66" i="21"/>
  <c r="M69" i="21"/>
  <c r="K69" i="21"/>
  <c r="J70" i="21"/>
  <c r="K31" i="21"/>
  <c r="M50" i="21"/>
  <c r="K50" i="21"/>
  <c r="J31" i="21"/>
  <c r="J47" i="21"/>
  <c r="M46" i="21"/>
  <c r="K46" i="21"/>
  <c r="J51" i="21"/>
  <c r="J50" i="21"/>
  <c r="M58" i="21"/>
  <c r="K58" i="21"/>
  <c r="M62" i="21"/>
  <c r="K62" i="21"/>
  <c r="M38" i="21"/>
  <c r="K38" i="21"/>
  <c r="M54" i="21"/>
  <c r="K54" i="21"/>
  <c r="M42" i="21"/>
  <c r="K42" i="21"/>
  <c r="J35" i="21"/>
  <c r="J46" i="21"/>
  <c r="M34" i="21"/>
  <c r="K34" i="21"/>
  <c r="K51" i="21"/>
  <c r="J58" i="21"/>
  <c r="J62" i="21"/>
  <c r="J38" i="21"/>
  <c r="J54" i="21"/>
  <c r="J42" i="21"/>
  <c r="K47" i="21"/>
  <c r="J34" i="21"/>
  <c r="K39" i="21"/>
  <c r="K55" i="21"/>
  <c r="K63" i="21"/>
  <c r="K43" i="21"/>
  <c r="K16" i="21"/>
  <c r="M16" i="21"/>
  <c r="J11" i="21"/>
  <c r="J27" i="21"/>
  <c r="J19" i="21"/>
  <c r="K26" i="21"/>
  <c r="J26" i="21"/>
  <c r="J17" i="21"/>
  <c r="J21" i="21"/>
  <c r="M17" i="21"/>
  <c r="J13" i="21"/>
  <c r="M13" i="21"/>
  <c r="M12" i="21"/>
  <c r="K24" i="21"/>
  <c r="M20" i="21"/>
  <c r="K19" i="21"/>
  <c r="K27" i="21"/>
  <c r="M21" i="21"/>
  <c r="J20" i="21"/>
  <c r="K12" i="21"/>
  <c r="M28" i="21"/>
  <c r="J28" i="21"/>
  <c r="K14" i="21"/>
  <c r="M14" i="21"/>
  <c r="M30" i="21"/>
  <c r="K30" i="21"/>
  <c r="J25" i="21"/>
  <c r="M25" i="21"/>
  <c r="K28" i="21"/>
  <c r="K18" i="21"/>
  <c r="M18" i="21"/>
  <c r="J14" i="21"/>
  <c r="M9" i="21"/>
  <c r="K9" i="21"/>
  <c r="J23" i="21"/>
  <c r="K25" i="21"/>
  <c r="K15" i="21"/>
  <c r="K22" i="21"/>
  <c r="M22" i="21"/>
  <c r="K23" i="21"/>
  <c r="J22" i="21"/>
  <c r="K10" i="21"/>
  <c r="M10" i="21"/>
  <c r="K8" i="21"/>
  <c r="M8" i="21"/>
  <c r="J15" i="21"/>
  <c r="I114" i="20"/>
  <c r="I115" i="20" s="1"/>
  <c r="H119" i="20"/>
  <c r="I124" i="20"/>
  <c r="N91" i="20"/>
  <c r="M91" i="20" s="1"/>
  <c r="N84" i="20"/>
  <c r="M84" i="20" s="1"/>
  <c r="N79" i="20"/>
  <c r="J79" i="20" s="1"/>
  <c r="N75" i="20"/>
  <c r="M75" i="20" s="1"/>
  <c r="K72" i="20"/>
  <c r="N68" i="20"/>
  <c r="J68" i="20" s="1"/>
  <c r="N10" i="20"/>
  <c r="M10" i="20" s="1"/>
  <c r="L78" i="20"/>
  <c r="I113" i="20"/>
  <c r="H120" i="20"/>
  <c r="H121" i="20" s="1"/>
  <c r="I120" i="20"/>
  <c r="I121" i="20" s="1"/>
  <c r="L82" i="20"/>
  <c r="N85" i="20"/>
  <c r="J85" i="20" s="1"/>
  <c r="N69" i="20"/>
  <c r="K95" i="20"/>
  <c r="N81" i="20"/>
  <c r="J81" i="20" s="1"/>
  <c r="N98" i="20"/>
  <c r="M98" i="20" s="1"/>
  <c r="N97" i="20"/>
  <c r="N94" i="20"/>
  <c r="M94" i="20" s="1"/>
  <c r="N93" i="20"/>
  <c r="L85" i="20"/>
  <c r="N77" i="20"/>
  <c r="L69" i="20"/>
  <c r="L97" i="20"/>
  <c r="L93" i="20"/>
  <c r="M92" i="20"/>
  <c r="J92" i="20"/>
  <c r="N89" i="20"/>
  <c r="L81" i="20"/>
  <c r="N73" i="20"/>
  <c r="J73" i="20" s="1"/>
  <c r="J88" i="20"/>
  <c r="J72" i="20"/>
  <c r="N90" i="20"/>
  <c r="M90" i="20" s="1"/>
  <c r="N86" i="20"/>
  <c r="M86" i="20" s="1"/>
  <c r="N82" i="20"/>
  <c r="N78" i="20"/>
  <c r="N74" i="20"/>
  <c r="M74" i="20" s="1"/>
  <c r="N70" i="20"/>
  <c r="M70" i="20" s="1"/>
  <c r="L66" i="20"/>
  <c r="I57" i="20"/>
  <c r="I58" i="20" s="1"/>
  <c r="I56" i="20"/>
  <c r="H57" i="20"/>
  <c r="H58" i="20" s="1"/>
  <c r="H47" i="20"/>
  <c r="H48" i="20" s="1"/>
  <c r="H56" i="20"/>
  <c r="H52" i="20"/>
  <c r="H53" i="20" s="1"/>
  <c r="I52" i="20"/>
  <c r="I53" i="20" s="1"/>
  <c r="N37" i="20"/>
  <c r="M37" i="20" s="1"/>
  <c r="N26" i="20"/>
  <c r="K26" i="20" s="1"/>
  <c r="N29" i="20"/>
  <c r="M29" i="20" s="1"/>
  <c r="L37" i="20"/>
  <c r="N25" i="20"/>
  <c r="M25" i="20" s="1"/>
  <c r="N22" i="20"/>
  <c r="M22" i="20" s="1"/>
  <c r="N17" i="20"/>
  <c r="J17" i="20" s="1"/>
  <c r="N18" i="20"/>
  <c r="M18" i="20" s="1"/>
  <c r="N14" i="20"/>
  <c r="M14" i="20" s="1"/>
  <c r="N13" i="20"/>
  <c r="M13" i="20" s="1"/>
  <c r="M38" i="20"/>
  <c r="K38" i="20"/>
  <c r="N34" i="20"/>
  <c r="J34" i="20" s="1"/>
  <c r="N30" i="20"/>
  <c r="M30" i="20" s="1"/>
  <c r="N21" i="20"/>
  <c r="J21" i="20" s="1"/>
  <c r="N9" i="20"/>
  <c r="J9" i="20" s="1"/>
  <c r="L29" i="20"/>
  <c r="L17" i="20"/>
  <c r="N33" i="20"/>
  <c r="M33" i="20" s="1"/>
  <c r="L31" i="20"/>
  <c r="L40" i="20"/>
  <c r="L36" i="20"/>
  <c r="L28" i="20"/>
  <c r="L24" i="20"/>
  <c r="N40" i="20"/>
  <c r="M40" i="20" s="1"/>
  <c r="N36" i="20"/>
  <c r="M36" i="20" s="1"/>
  <c r="N32" i="20"/>
  <c r="M32" i="20" s="1"/>
  <c r="N28" i="20"/>
  <c r="M28" i="20" s="1"/>
  <c r="N24" i="20"/>
  <c r="M24" i="20" s="1"/>
  <c r="N20" i="20"/>
  <c r="M20" i="20" s="1"/>
  <c r="N16" i="20"/>
  <c r="M16" i="20" s="1"/>
  <c r="N12" i="20"/>
  <c r="L39" i="20"/>
  <c r="L23" i="20"/>
  <c r="L19" i="20"/>
  <c r="L15" i="20"/>
  <c r="L11" i="20"/>
  <c r="N39" i="20"/>
  <c r="J39" i="20" s="1"/>
  <c r="N35" i="20"/>
  <c r="N31" i="20"/>
  <c r="N27" i="20"/>
  <c r="J27" i="20" s="1"/>
  <c r="N23" i="20"/>
  <c r="J23" i="20" s="1"/>
  <c r="N19" i="20"/>
  <c r="J19" i="20" s="1"/>
  <c r="N15" i="20"/>
  <c r="J15" i="20" s="1"/>
  <c r="N11" i="20"/>
  <c r="N8" i="20"/>
  <c r="N7" i="20"/>
  <c r="P7" i="20"/>
  <c r="L8" i="20"/>
  <c r="P9" i="20"/>
  <c r="H79" i="16"/>
  <c r="I79" i="16"/>
  <c r="J79" i="16"/>
  <c r="K79" i="16"/>
  <c r="L79" i="16"/>
  <c r="M79" i="16"/>
  <c r="N79" i="16"/>
  <c r="O79" i="16"/>
  <c r="O33" i="6"/>
  <c r="J76" i="20" l="1"/>
  <c r="K76" i="20"/>
  <c r="K88" i="20"/>
  <c r="M66" i="20"/>
  <c r="K66" i="20"/>
  <c r="K514" i="26"/>
  <c r="K515" i="26"/>
  <c r="K516" i="26" s="1"/>
  <c r="J520" i="26"/>
  <c r="J521" i="26"/>
  <c r="J522" i="26" s="1"/>
  <c r="J514" i="26"/>
  <c r="J515" i="26"/>
  <c r="J516" i="26" s="1"/>
  <c r="M520" i="26"/>
  <c r="M521" i="26"/>
  <c r="M522" i="26" s="1"/>
  <c r="M514" i="26"/>
  <c r="M515" i="26"/>
  <c r="M516" i="26" s="1"/>
  <c r="K520" i="26"/>
  <c r="K521" i="26"/>
  <c r="K522" i="26" s="1"/>
  <c r="K487" i="26"/>
  <c r="K488" i="26"/>
  <c r="K489" i="26" s="1"/>
  <c r="M487" i="26"/>
  <c r="M488" i="26"/>
  <c r="M489" i="26" s="1"/>
  <c r="J487" i="26"/>
  <c r="J488" i="26"/>
  <c r="J489" i="26" s="1"/>
  <c r="M494" i="26"/>
  <c r="M495" i="26" s="1"/>
  <c r="M493" i="26"/>
  <c r="K494" i="26"/>
  <c r="K495" i="26" s="1"/>
  <c r="K493" i="26"/>
  <c r="J493" i="26"/>
  <c r="J494" i="26"/>
  <c r="J495" i="26" s="1"/>
  <c r="M459" i="26"/>
  <c r="M460" i="26"/>
  <c r="M461" i="26" s="1"/>
  <c r="K460" i="26"/>
  <c r="K461" i="26" s="1"/>
  <c r="K459" i="26"/>
  <c r="M466" i="26"/>
  <c r="M467" i="26" s="1"/>
  <c r="M465" i="26"/>
  <c r="J465" i="26"/>
  <c r="J466" i="26"/>
  <c r="J467" i="26" s="1"/>
  <c r="K466" i="26"/>
  <c r="K467" i="26" s="1"/>
  <c r="K465" i="26"/>
  <c r="J460" i="26"/>
  <c r="J461" i="26" s="1"/>
  <c r="J459" i="26"/>
  <c r="K432" i="26"/>
  <c r="K433" i="26"/>
  <c r="K434" i="26" s="1"/>
  <c r="J438" i="26"/>
  <c r="J439" i="26"/>
  <c r="J440" i="26" s="1"/>
  <c r="M432" i="26"/>
  <c r="M433" i="26"/>
  <c r="M434" i="26" s="1"/>
  <c r="M438" i="26"/>
  <c r="M439" i="26"/>
  <c r="M440" i="26" s="1"/>
  <c r="J433" i="26"/>
  <c r="J434" i="26" s="1"/>
  <c r="J432" i="26"/>
  <c r="K439" i="26"/>
  <c r="K440" i="26" s="1"/>
  <c r="K438" i="26"/>
  <c r="K409" i="26"/>
  <c r="K410" i="26"/>
  <c r="K411" i="26" s="1"/>
  <c r="M409" i="26"/>
  <c r="M410" i="26"/>
  <c r="M411" i="26" s="1"/>
  <c r="J409" i="26"/>
  <c r="J410" i="26"/>
  <c r="J411" i="26" s="1"/>
  <c r="J403" i="26"/>
  <c r="J404" i="26"/>
  <c r="J405" i="26" s="1"/>
  <c r="K403" i="26"/>
  <c r="K404" i="26"/>
  <c r="K405" i="26" s="1"/>
  <c r="M403" i="26"/>
  <c r="M404" i="26"/>
  <c r="M405" i="26" s="1"/>
  <c r="J368" i="26"/>
  <c r="J369" i="26"/>
  <c r="J370" i="26" s="1"/>
  <c r="M368" i="26"/>
  <c r="M369" i="26"/>
  <c r="M370" i="26" s="1"/>
  <c r="J374" i="26"/>
  <c r="J375" i="26"/>
  <c r="J376" i="26" s="1"/>
  <c r="K374" i="26"/>
  <c r="K375" i="26"/>
  <c r="K376" i="26" s="1"/>
  <c r="K368" i="26"/>
  <c r="K369" i="26"/>
  <c r="K370" i="26" s="1"/>
  <c r="M374" i="26"/>
  <c r="M375" i="26"/>
  <c r="M376" i="26" s="1"/>
  <c r="M305" i="26"/>
  <c r="M306" i="26"/>
  <c r="M307" i="26" s="1"/>
  <c r="J305" i="26"/>
  <c r="J306" i="26"/>
  <c r="J307" i="26" s="1"/>
  <c r="J299" i="26"/>
  <c r="J300" i="26"/>
  <c r="J301" i="26" s="1"/>
  <c r="K305" i="26"/>
  <c r="K306" i="26"/>
  <c r="K307" i="26" s="1"/>
  <c r="K299" i="26"/>
  <c r="K300" i="26"/>
  <c r="K301" i="26" s="1"/>
  <c r="M299" i="26"/>
  <c r="M300" i="26"/>
  <c r="M301" i="26" s="1"/>
  <c r="M266" i="26"/>
  <c r="M267" i="26"/>
  <c r="M268" i="26" s="1"/>
  <c r="K272" i="26"/>
  <c r="K273" i="26"/>
  <c r="K274" i="26" s="1"/>
  <c r="K266" i="26"/>
  <c r="K267" i="26"/>
  <c r="K268" i="26" s="1"/>
  <c r="J272" i="26"/>
  <c r="J273" i="26"/>
  <c r="J274" i="26" s="1"/>
  <c r="J266" i="26"/>
  <c r="J267" i="26"/>
  <c r="J268" i="26" s="1"/>
  <c r="M272" i="26"/>
  <c r="M273" i="26"/>
  <c r="M274" i="26" s="1"/>
  <c r="K172" i="26"/>
  <c r="K173" i="26"/>
  <c r="K174" i="26" s="1"/>
  <c r="J172" i="26"/>
  <c r="J173" i="26"/>
  <c r="J174" i="26" s="1"/>
  <c r="M172" i="26"/>
  <c r="M173" i="26"/>
  <c r="M174" i="26" s="1"/>
  <c r="M166" i="26"/>
  <c r="M167" i="26"/>
  <c r="M168" i="26" s="1"/>
  <c r="K166" i="26"/>
  <c r="K167" i="26"/>
  <c r="K168" i="26" s="1"/>
  <c r="J166" i="26"/>
  <c r="J167" i="26"/>
  <c r="J168" i="26" s="1"/>
  <c r="J38" i="26"/>
  <c r="J39" i="26"/>
  <c r="J40" i="26" s="1"/>
  <c r="K32" i="26"/>
  <c r="K33" i="26"/>
  <c r="K34" i="26" s="1"/>
  <c r="M33" i="26"/>
  <c r="M34" i="26" s="1"/>
  <c r="M32" i="26"/>
  <c r="K38" i="26"/>
  <c r="K39" i="26"/>
  <c r="K40" i="26" s="1"/>
  <c r="J32" i="26"/>
  <c r="J33" i="26"/>
  <c r="J34" i="26" s="1"/>
  <c r="M38" i="26"/>
  <c r="M39" i="26"/>
  <c r="M40" i="26" s="1"/>
  <c r="J83" i="20"/>
  <c r="K83" i="20"/>
  <c r="P108" i="20"/>
  <c r="J26" i="20"/>
  <c r="M26" i="20"/>
  <c r="M56" i="20" s="1"/>
  <c r="P125" i="20"/>
  <c r="P126" i="20" s="1"/>
  <c r="L125" i="20"/>
  <c r="L126" i="20" s="1"/>
  <c r="J10" i="20"/>
  <c r="K10" i="20"/>
  <c r="K80" i="20"/>
  <c r="P119" i="20"/>
  <c r="P109" i="20"/>
  <c r="P110" i="20" s="1"/>
  <c r="J80" i="20"/>
  <c r="K67" i="20"/>
  <c r="M95" i="20"/>
  <c r="P120" i="20"/>
  <c r="P121" i="20" s="1"/>
  <c r="M59" i="25"/>
  <c r="M60" i="25"/>
  <c r="M61" i="25" s="1"/>
  <c r="K59" i="25"/>
  <c r="K60" i="25"/>
  <c r="K61" i="25" s="1"/>
  <c r="AD27" i="25"/>
  <c r="AD28" i="25" s="1"/>
  <c r="J59" i="25"/>
  <c r="J60" i="25"/>
  <c r="J61" i="25" s="1"/>
  <c r="P52" i="20"/>
  <c r="P53" i="20" s="1"/>
  <c r="P51" i="20"/>
  <c r="P46" i="20"/>
  <c r="P47" i="20"/>
  <c r="P48" i="20" s="1"/>
  <c r="L113" i="20"/>
  <c r="J7" i="20"/>
  <c r="N46" i="20"/>
  <c r="N47" i="20"/>
  <c r="N48" i="20" s="1"/>
  <c r="P114" i="20"/>
  <c r="P115" i="20" s="1"/>
  <c r="P113" i="20"/>
  <c r="J87" i="20"/>
  <c r="L104" i="20"/>
  <c r="L105" i="20" s="1"/>
  <c r="K87" i="20"/>
  <c r="P103" i="20"/>
  <c r="P104" i="20"/>
  <c r="P105" i="20" s="1"/>
  <c r="P57" i="20"/>
  <c r="P58" i="20" s="1"/>
  <c r="P56" i="20"/>
  <c r="P124" i="20"/>
  <c r="L46" i="20"/>
  <c r="L47" i="20"/>
  <c r="L48" i="20" s="1"/>
  <c r="J84" i="20"/>
  <c r="L124" i="20"/>
  <c r="J97" i="21"/>
  <c r="K68" i="20"/>
  <c r="J29" i="20"/>
  <c r="L114" i="20"/>
  <c r="L115" i="20" s="1"/>
  <c r="J103" i="21"/>
  <c r="J67" i="20"/>
  <c r="K29" i="20"/>
  <c r="K74" i="20"/>
  <c r="K91" i="20"/>
  <c r="J91" i="20"/>
  <c r="K26" i="22"/>
  <c r="J75" i="20"/>
  <c r="J93" i="21"/>
  <c r="J94" i="21" s="1"/>
  <c r="J92" i="21"/>
  <c r="K66" i="22"/>
  <c r="K67" i="22" s="1"/>
  <c r="K65" i="22"/>
  <c r="M78" i="2"/>
  <c r="M79" i="2"/>
  <c r="M80" i="2" s="1"/>
  <c r="M36" i="24"/>
  <c r="M37" i="24"/>
  <c r="M38" i="24" s="1"/>
  <c r="AG86" i="26"/>
  <c r="AG87" i="26" s="1"/>
  <c r="AG85" i="26"/>
  <c r="AD85" i="26"/>
  <c r="AD86" i="26"/>
  <c r="AD87" i="26" s="1"/>
  <c r="K104" i="21"/>
  <c r="K105" i="21" s="1"/>
  <c r="K103" i="21"/>
  <c r="M103" i="21"/>
  <c r="M104" i="21"/>
  <c r="M105" i="21" s="1"/>
  <c r="K92" i="21"/>
  <c r="K93" i="21"/>
  <c r="K94" i="21" s="1"/>
  <c r="M93" i="21"/>
  <c r="M94" i="21" s="1"/>
  <c r="M92" i="21"/>
  <c r="M82" i="21"/>
  <c r="M83" i="21" s="1"/>
  <c r="M81" i="21"/>
  <c r="K79" i="2"/>
  <c r="K80" i="2" s="1"/>
  <c r="K78" i="2"/>
  <c r="K37" i="24"/>
  <c r="K38" i="24" s="1"/>
  <c r="K36" i="24"/>
  <c r="J71" i="20"/>
  <c r="K75" i="20"/>
  <c r="N120" i="20"/>
  <c r="N121" i="20" s="1"/>
  <c r="K71" i="20"/>
  <c r="K81" i="21"/>
  <c r="K82" i="21"/>
  <c r="K83" i="21" s="1"/>
  <c r="M86" i="21"/>
  <c r="M87" i="21"/>
  <c r="M88" i="21" s="1"/>
  <c r="AD26" i="22"/>
  <c r="J65" i="22"/>
  <c r="J66" i="22"/>
  <c r="J67" i="22" s="1"/>
  <c r="K65" i="25"/>
  <c r="K66" i="25" s="1"/>
  <c r="M98" i="21"/>
  <c r="M99" i="21" s="1"/>
  <c r="M97" i="21"/>
  <c r="J78" i="2"/>
  <c r="J79" i="2"/>
  <c r="J80" i="2" s="1"/>
  <c r="K96" i="20"/>
  <c r="M74" i="2"/>
  <c r="M75" i="2" s="1"/>
  <c r="M73" i="2"/>
  <c r="J104" i="21"/>
  <c r="J105" i="21" s="1"/>
  <c r="J98" i="21"/>
  <c r="J99" i="21" s="1"/>
  <c r="M66" i="22"/>
  <c r="M67" i="22" s="1"/>
  <c r="M65" i="22"/>
  <c r="K70" i="22"/>
  <c r="K71" i="22"/>
  <c r="K72" i="22" s="1"/>
  <c r="K76" i="22"/>
  <c r="K77" i="22" s="1"/>
  <c r="K75" i="22"/>
  <c r="M68" i="2"/>
  <c r="M69" i="2" s="1"/>
  <c r="J73" i="2"/>
  <c r="J74" i="2"/>
  <c r="J75" i="2" s="1"/>
  <c r="K87" i="21"/>
  <c r="K88" i="21" s="1"/>
  <c r="K86" i="21"/>
  <c r="M76" i="22"/>
  <c r="M77" i="22" s="1"/>
  <c r="M75" i="22"/>
  <c r="M71" i="22"/>
  <c r="M72" i="22" s="1"/>
  <c r="M70" i="22"/>
  <c r="J86" i="21"/>
  <c r="J87" i="21"/>
  <c r="J88" i="21" s="1"/>
  <c r="K97" i="21"/>
  <c r="K98" i="21"/>
  <c r="K99" i="21" s="1"/>
  <c r="K73" i="2"/>
  <c r="K74" i="2"/>
  <c r="K75" i="2" s="1"/>
  <c r="J36" i="24"/>
  <c r="J37" i="24"/>
  <c r="J38" i="24" s="1"/>
  <c r="AE86" i="26"/>
  <c r="AE87" i="26" s="1"/>
  <c r="AE85" i="26"/>
  <c r="M65" i="25"/>
  <c r="M66" i="25" s="1"/>
  <c r="J71" i="22"/>
  <c r="J72" i="22" s="1"/>
  <c r="J76" i="22"/>
  <c r="J77" i="22" s="1"/>
  <c r="J75" i="22"/>
  <c r="J70" i="22"/>
  <c r="J81" i="21"/>
  <c r="J82" i="21"/>
  <c r="J83" i="21" s="1"/>
  <c r="J96" i="20"/>
  <c r="M399" i="26"/>
  <c r="M400" i="26" s="1"/>
  <c r="M398" i="26"/>
  <c r="M510" i="26"/>
  <c r="M511" i="26" s="1"/>
  <c r="M509" i="26"/>
  <c r="M295" i="26"/>
  <c r="M296" i="26" s="1"/>
  <c r="M294" i="26"/>
  <c r="J427" i="26"/>
  <c r="J428" i="26"/>
  <c r="J429" i="26" s="1"/>
  <c r="K428" i="26"/>
  <c r="K429" i="26" s="1"/>
  <c r="K427" i="26"/>
  <c r="K455" i="26"/>
  <c r="K456" i="26" s="1"/>
  <c r="K454" i="26"/>
  <c r="M454" i="26"/>
  <c r="M455" i="26"/>
  <c r="M456" i="26" s="1"/>
  <c r="J398" i="26"/>
  <c r="J399" i="26"/>
  <c r="J400" i="26" s="1"/>
  <c r="M362" i="26"/>
  <c r="M363" i="26"/>
  <c r="M364" i="26" s="1"/>
  <c r="K399" i="26"/>
  <c r="K400" i="26" s="1"/>
  <c r="K398" i="26"/>
  <c r="J363" i="26"/>
  <c r="J364" i="26" s="1"/>
  <c r="J362" i="26"/>
  <c r="J509" i="26"/>
  <c r="J510" i="26"/>
  <c r="J511" i="26" s="1"/>
  <c r="K294" i="26"/>
  <c r="K295" i="26"/>
  <c r="K296" i="26" s="1"/>
  <c r="J455" i="26"/>
  <c r="J456" i="26" s="1"/>
  <c r="J454" i="26"/>
  <c r="K363" i="26"/>
  <c r="K364" i="26" s="1"/>
  <c r="K362" i="26"/>
  <c r="M427" i="26"/>
  <c r="M428" i="26"/>
  <c r="M429" i="26" s="1"/>
  <c r="J482" i="26"/>
  <c r="J483" i="26" s="1"/>
  <c r="J481" i="26"/>
  <c r="K481" i="26"/>
  <c r="K482" i="26"/>
  <c r="K483" i="26" s="1"/>
  <c r="M482" i="26"/>
  <c r="M483" i="26" s="1"/>
  <c r="M481" i="26"/>
  <c r="J131" i="26"/>
  <c r="J132" i="26" s="1"/>
  <c r="J294" i="26"/>
  <c r="J295" i="26"/>
  <c r="J296" i="26" s="1"/>
  <c r="K509" i="26"/>
  <c r="K510" i="26"/>
  <c r="K511" i="26" s="1"/>
  <c r="M191" i="26"/>
  <c r="K192" i="26"/>
  <c r="K193" i="26" s="1"/>
  <c r="K160" i="26"/>
  <c r="K131" i="26"/>
  <c r="K132" i="26" s="1"/>
  <c r="J140" i="26"/>
  <c r="K140" i="26"/>
  <c r="J141" i="26"/>
  <c r="J142" i="26" s="1"/>
  <c r="J130" i="26"/>
  <c r="M161" i="26"/>
  <c r="M162" i="26" s="1"/>
  <c r="K191" i="26"/>
  <c r="M192" i="26"/>
  <c r="M193" i="26" s="1"/>
  <c r="J125" i="26"/>
  <c r="J126" i="26" s="1"/>
  <c r="K141" i="26"/>
  <c r="K142" i="26" s="1"/>
  <c r="K161" i="26"/>
  <c r="K162" i="26" s="1"/>
  <c r="K125" i="26"/>
  <c r="K126" i="26" s="1"/>
  <c r="J245" i="26"/>
  <c r="J246" i="26" s="1"/>
  <c r="J244" i="26"/>
  <c r="J192" i="26"/>
  <c r="J193" i="26" s="1"/>
  <c r="J191" i="26"/>
  <c r="K130" i="26"/>
  <c r="K211" i="26"/>
  <c r="K212" i="26" s="1"/>
  <c r="K210" i="26"/>
  <c r="K245" i="26"/>
  <c r="K246" i="26" s="1"/>
  <c r="K244" i="26"/>
  <c r="M131" i="26"/>
  <c r="M132" i="26" s="1"/>
  <c r="M130" i="26"/>
  <c r="J124" i="26"/>
  <c r="M245" i="26"/>
  <c r="M246" i="26" s="1"/>
  <c r="M244" i="26"/>
  <c r="M120" i="26"/>
  <c r="M121" i="26" s="1"/>
  <c r="M119" i="26"/>
  <c r="M160" i="26"/>
  <c r="K124" i="26"/>
  <c r="J262" i="26"/>
  <c r="J263" i="26" s="1"/>
  <c r="J261" i="26"/>
  <c r="K136" i="26"/>
  <c r="K137" i="26" s="1"/>
  <c r="K135" i="26"/>
  <c r="M141" i="26"/>
  <c r="M142" i="26" s="1"/>
  <c r="M140" i="26"/>
  <c r="M125" i="26"/>
  <c r="M126" i="26" s="1"/>
  <c r="M124" i="26"/>
  <c r="K261" i="26"/>
  <c r="K262" i="26"/>
  <c r="K263" i="26" s="1"/>
  <c r="M211" i="26"/>
  <c r="M212" i="26" s="1"/>
  <c r="M210" i="26"/>
  <c r="J211" i="26"/>
  <c r="J212" i="26" s="1"/>
  <c r="J210" i="26"/>
  <c r="M262" i="26"/>
  <c r="M263" i="26" s="1"/>
  <c r="M261" i="26"/>
  <c r="K119" i="26"/>
  <c r="K120" i="26"/>
  <c r="K121" i="26" s="1"/>
  <c r="J119" i="26"/>
  <c r="J120" i="26"/>
  <c r="J121" i="26" s="1"/>
  <c r="J136" i="26"/>
  <c r="J137" i="26" s="1"/>
  <c r="J135" i="26"/>
  <c r="J160" i="26"/>
  <c r="J161" i="26"/>
  <c r="J162" i="26" s="1"/>
  <c r="M136" i="26"/>
  <c r="M137" i="26" s="1"/>
  <c r="M135" i="26"/>
  <c r="K226" i="26"/>
  <c r="K227" i="26"/>
  <c r="K228" i="26" s="1"/>
  <c r="J26" i="26"/>
  <c r="J27" i="26"/>
  <c r="J28" i="26" s="1"/>
  <c r="M26" i="26"/>
  <c r="M27" i="26"/>
  <c r="M28" i="26" s="1"/>
  <c r="K26" i="26"/>
  <c r="K27" i="26"/>
  <c r="K28" i="26" s="1"/>
  <c r="J227" i="26"/>
  <c r="J228" i="26" s="1"/>
  <c r="J226" i="26"/>
  <c r="M227" i="26"/>
  <c r="M228" i="26" s="1"/>
  <c r="M226" i="26"/>
  <c r="M27" i="25"/>
  <c r="M28" i="25" s="1"/>
  <c r="M26" i="25"/>
  <c r="K27" i="25"/>
  <c r="K28" i="25" s="1"/>
  <c r="K26" i="25"/>
  <c r="J27" i="25"/>
  <c r="J28" i="25" s="1"/>
  <c r="J26" i="25"/>
  <c r="AC28" i="25"/>
  <c r="K16" i="24"/>
  <c r="K17" i="24"/>
  <c r="K18" i="24" s="1"/>
  <c r="J16" i="24"/>
  <c r="J17" i="24"/>
  <c r="J18" i="24" s="1"/>
  <c r="M17" i="24"/>
  <c r="M18" i="24" s="1"/>
  <c r="M16" i="24"/>
  <c r="AD16" i="24"/>
  <c r="AD18" i="24"/>
  <c r="AC18" i="24"/>
  <c r="AF17" i="24"/>
  <c r="AF18" i="24" s="1"/>
  <c r="AF16" i="24"/>
  <c r="M42" i="24"/>
  <c r="M43" i="24" s="1"/>
  <c r="J42" i="24"/>
  <c r="J43" i="24" s="1"/>
  <c r="K42" i="24"/>
  <c r="K43" i="24" s="1"/>
  <c r="K58" i="2"/>
  <c r="K59" i="2" s="1"/>
  <c r="K57" i="2"/>
  <c r="M63" i="2"/>
  <c r="M64" i="2" s="1"/>
  <c r="K67" i="2"/>
  <c r="K68" i="2"/>
  <c r="K69" i="2" s="1"/>
  <c r="K62" i="2"/>
  <c r="K63" i="2"/>
  <c r="K64" i="2" s="1"/>
  <c r="M67" i="2"/>
  <c r="J58" i="2"/>
  <c r="J59" i="2" s="1"/>
  <c r="J57" i="2"/>
  <c r="J67" i="2"/>
  <c r="J63" i="2"/>
  <c r="J64" i="2" s="1"/>
  <c r="J68" i="2"/>
  <c r="J69" i="2" s="1"/>
  <c r="J62" i="2"/>
  <c r="M57" i="2"/>
  <c r="M58" i="2"/>
  <c r="M59" i="2" s="1"/>
  <c r="AF26" i="22"/>
  <c r="AD27" i="22"/>
  <c r="AD28" i="22" s="1"/>
  <c r="AC27" i="22"/>
  <c r="AC28" i="22" s="1"/>
  <c r="J27" i="22"/>
  <c r="J28" i="22" s="1"/>
  <c r="AC26" i="22"/>
  <c r="J26" i="22"/>
  <c r="K27" i="22"/>
  <c r="K28" i="22" s="1"/>
  <c r="M26" i="22"/>
  <c r="M27" i="22"/>
  <c r="M28" i="22" s="1"/>
  <c r="M76" i="21"/>
  <c r="M77" i="21"/>
  <c r="M78" i="21" s="1"/>
  <c r="K76" i="21"/>
  <c r="K77" i="21"/>
  <c r="K78" i="21" s="1"/>
  <c r="J77" i="21"/>
  <c r="J78" i="21" s="1"/>
  <c r="J76" i="21"/>
  <c r="L120" i="20"/>
  <c r="L121" i="20" s="1"/>
  <c r="L119" i="20"/>
  <c r="N104" i="20"/>
  <c r="N105" i="20" s="1"/>
  <c r="N103" i="20"/>
  <c r="J74" i="20"/>
  <c r="J90" i="20"/>
  <c r="M79" i="20"/>
  <c r="N114" i="20"/>
  <c r="N115" i="20" s="1"/>
  <c r="N113" i="20"/>
  <c r="L103" i="20"/>
  <c r="M78" i="20"/>
  <c r="N108" i="20"/>
  <c r="L108" i="20"/>
  <c r="M68" i="20"/>
  <c r="N124" i="20"/>
  <c r="N125" i="20"/>
  <c r="N126" i="20" s="1"/>
  <c r="N119" i="20"/>
  <c r="M82" i="20"/>
  <c r="N109" i="20"/>
  <c r="N110" i="20" s="1"/>
  <c r="J69" i="20"/>
  <c r="L57" i="20"/>
  <c r="L58" i="20" s="1"/>
  <c r="K90" i="20"/>
  <c r="K70" i="20"/>
  <c r="K86" i="20"/>
  <c r="L109" i="20"/>
  <c r="L110" i="20" s="1"/>
  <c r="K79" i="20"/>
  <c r="K84" i="20"/>
  <c r="M77" i="20"/>
  <c r="K77" i="20"/>
  <c r="J77" i="20"/>
  <c r="J94" i="20"/>
  <c r="J98" i="20"/>
  <c r="K82" i="20"/>
  <c r="K98" i="20"/>
  <c r="M89" i="20"/>
  <c r="K89" i="20"/>
  <c r="K78" i="20"/>
  <c r="M93" i="20"/>
  <c r="K93" i="20"/>
  <c r="M97" i="20"/>
  <c r="K97" i="20"/>
  <c r="J70" i="20"/>
  <c r="J86" i="20"/>
  <c r="M73" i="20"/>
  <c r="K73" i="20"/>
  <c r="J78" i="20"/>
  <c r="J108" i="20" s="1"/>
  <c r="J89" i="20"/>
  <c r="J82" i="20"/>
  <c r="J93" i="20"/>
  <c r="J97" i="20"/>
  <c r="M81" i="20"/>
  <c r="K81" i="20"/>
  <c r="K94" i="20"/>
  <c r="M69" i="20"/>
  <c r="K69" i="20"/>
  <c r="M85" i="20"/>
  <c r="K85" i="20"/>
  <c r="J37" i="20"/>
  <c r="J13" i="20"/>
  <c r="K37" i="20"/>
  <c r="L56" i="20"/>
  <c r="L51" i="20"/>
  <c r="L52" i="20"/>
  <c r="L53" i="20" s="1"/>
  <c r="N56" i="20"/>
  <c r="N57" i="20"/>
  <c r="N58" i="20" s="1"/>
  <c r="K25" i="20"/>
  <c r="J14" i="20"/>
  <c r="N52" i="20"/>
  <c r="N53" i="20" s="1"/>
  <c r="N51" i="20"/>
  <c r="M17" i="20"/>
  <c r="M12" i="20"/>
  <c r="K33" i="20"/>
  <c r="J22" i="20"/>
  <c r="J30" i="20"/>
  <c r="J33" i="20"/>
  <c r="M21" i="20"/>
  <c r="K21" i="20"/>
  <c r="K13" i="20"/>
  <c r="K14" i="20"/>
  <c r="J18" i="20"/>
  <c r="J25" i="20"/>
  <c r="K16" i="20"/>
  <c r="K22" i="20"/>
  <c r="K18" i="20"/>
  <c r="K17" i="20"/>
  <c r="M34" i="20"/>
  <c r="K34" i="20"/>
  <c r="M8" i="20"/>
  <c r="J28" i="20"/>
  <c r="K32" i="20"/>
  <c r="K30" i="20"/>
  <c r="J16" i="20"/>
  <c r="M9" i="20"/>
  <c r="J12" i="20"/>
  <c r="K9" i="20"/>
  <c r="K31" i="20"/>
  <c r="M31" i="20"/>
  <c r="M35" i="20"/>
  <c r="K35" i="20"/>
  <c r="J35" i="20"/>
  <c r="M11" i="20"/>
  <c r="K11" i="20"/>
  <c r="M27" i="20"/>
  <c r="K27" i="20"/>
  <c r="J40" i="20"/>
  <c r="K40" i="20"/>
  <c r="J24" i="20"/>
  <c r="M15" i="20"/>
  <c r="K15" i="20"/>
  <c r="K24" i="20"/>
  <c r="M19" i="20"/>
  <c r="K19" i="20"/>
  <c r="J31" i="20"/>
  <c r="M23" i="20"/>
  <c r="K23" i="20"/>
  <c r="M39" i="20"/>
  <c r="K39" i="20"/>
  <c r="J20" i="20"/>
  <c r="J32" i="20"/>
  <c r="J11" i="20"/>
  <c r="K36" i="20"/>
  <c r="K28" i="20"/>
  <c r="K20" i="20"/>
  <c r="K12" i="20"/>
  <c r="J36" i="20"/>
  <c r="J8" i="20"/>
  <c r="K8" i="20"/>
  <c r="K7" i="20"/>
  <c r="M7" i="20"/>
  <c r="M57" i="20" l="1"/>
  <c r="M58" i="20" s="1"/>
  <c r="M46" i="20"/>
  <c r="M47" i="20"/>
  <c r="M48" i="20" s="1"/>
  <c r="K46" i="20"/>
  <c r="K47" i="20"/>
  <c r="K48" i="20" s="1"/>
  <c r="J46" i="20"/>
  <c r="J47" i="20"/>
  <c r="J48" i="20" s="1"/>
  <c r="J120" i="20"/>
  <c r="J121" i="20" s="1"/>
  <c r="J124" i="20"/>
  <c r="M120" i="20"/>
  <c r="M121" i="20" s="1"/>
  <c r="J109" i="20"/>
  <c r="J110" i="20" s="1"/>
  <c r="K119" i="20"/>
  <c r="J104" i="20"/>
  <c r="J105" i="20" s="1"/>
  <c r="K124" i="20"/>
  <c r="J119" i="20"/>
  <c r="K114" i="20"/>
  <c r="K115" i="20" s="1"/>
  <c r="K113" i="20"/>
  <c r="J113" i="20"/>
  <c r="M109" i="20"/>
  <c r="M110" i="20" s="1"/>
  <c r="K125" i="20"/>
  <c r="K126" i="20" s="1"/>
  <c r="J125" i="20"/>
  <c r="J126" i="20" s="1"/>
  <c r="K120" i="20"/>
  <c r="K121" i="20" s="1"/>
  <c r="K104" i="20"/>
  <c r="K105" i="20" s="1"/>
  <c r="K103" i="20"/>
  <c r="K108" i="20"/>
  <c r="K109" i="20"/>
  <c r="K110" i="20" s="1"/>
  <c r="J114" i="20"/>
  <c r="J115" i="20" s="1"/>
  <c r="M119" i="20"/>
  <c r="M113" i="20"/>
  <c r="M114" i="20"/>
  <c r="M115" i="20" s="1"/>
  <c r="M103" i="20"/>
  <c r="M104" i="20"/>
  <c r="M105" i="20" s="1"/>
  <c r="M125" i="20"/>
  <c r="M126" i="20" s="1"/>
  <c r="M124" i="20"/>
  <c r="J103" i="20"/>
  <c r="M108" i="20"/>
  <c r="J52" i="20"/>
  <c r="J53" i="20" s="1"/>
  <c r="K51" i="20"/>
  <c r="K57" i="20"/>
  <c r="K58" i="20" s="1"/>
  <c r="K52" i="20"/>
  <c r="K53" i="20" s="1"/>
  <c r="J56" i="20"/>
  <c r="J57" i="20"/>
  <c r="J58" i="20" s="1"/>
  <c r="J51" i="20"/>
  <c r="K56" i="20"/>
  <c r="M51" i="20"/>
  <c r="M52" i="20"/>
  <c r="M53" i="20" s="1"/>
  <c r="AF113" i="19"/>
  <c r="AG113" i="19"/>
  <c r="AF109" i="19"/>
  <c r="AF110" i="19" s="1"/>
  <c r="AG109" i="19"/>
  <c r="AG110" i="19" s="1"/>
  <c r="AF108" i="19"/>
  <c r="AG108" i="19"/>
  <c r="AG114" i="19"/>
  <c r="AG115" i="19" s="1"/>
  <c r="AF114" i="19"/>
  <c r="AF115" i="19" s="1"/>
  <c r="Y91" i="19"/>
  <c r="AC91" i="19" s="1"/>
  <c r="Z91" i="19"/>
  <c r="Y92" i="19"/>
  <c r="AC92" i="19" s="1"/>
  <c r="Z92" i="19"/>
  <c r="Y93" i="19"/>
  <c r="AC93" i="19" s="1"/>
  <c r="Z93" i="19"/>
  <c r="Y94" i="19"/>
  <c r="AC94" i="19" s="1"/>
  <c r="Z94" i="19"/>
  <c r="Y95" i="19"/>
  <c r="AC95" i="19" s="1"/>
  <c r="Z95" i="19"/>
  <c r="Y96" i="19"/>
  <c r="AC96" i="19" s="1"/>
  <c r="Z96" i="19"/>
  <c r="Y97" i="19"/>
  <c r="Z97" i="19"/>
  <c r="Y98" i="19"/>
  <c r="AC98" i="19" s="1"/>
  <c r="Z98" i="19"/>
  <c r="Y99" i="19"/>
  <c r="AC99" i="19" s="1"/>
  <c r="Z99" i="19"/>
  <c r="Y100" i="19"/>
  <c r="AC100" i="19" s="1"/>
  <c r="Z100" i="19"/>
  <c r="Y101" i="19"/>
  <c r="Z101" i="19"/>
  <c r="Y87" i="19"/>
  <c r="AC87" i="19" s="1"/>
  <c r="Z87" i="19"/>
  <c r="Y88" i="19"/>
  <c r="Z88" i="19"/>
  <c r="Y89" i="19"/>
  <c r="AC89" i="19" s="1"/>
  <c r="Z89" i="19"/>
  <c r="Y90" i="19"/>
  <c r="AC90" i="19" s="1"/>
  <c r="Z90" i="19"/>
  <c r="Z86" i="19"/>
  <c r="Y86" i="19"/>
  <c r="AC86" i="19" s="1"/>
  <c r="AF78" i="19"/>
  <c r="AF79" i="19" s="1"/>
  <c r="AG78" i="19"/>
  <c r="AG79" i="19" s="1"/>
  <c r="AF77" i="19"/>
  <c r="AG77" i="19"/>
  <c r="AF73" i="19"/>
  <c r="AF74" i="19" s="1"/>
  <c r="AG73" i="19"/>
  <c r="AG74" i="19" s="1"/>
  <c r="AF72" i="19"/>
  <c r="AG72" i="19"/>
  <c r="Y59" i="19"/>
  <c r="AC59" i="19" s="1"/>
  <c r="Z59" i="19"/>
  <c r="Y60" i="19"/>
  <c r="AC60" i="19" s="1"/>
  <c r="Z60" i="19"/>
  <c r="Y61" i="19"/>
  <c r="AC61" i="19" s="1"/>
  <c r="Z61" i="19"/>
  <c r="Y62" i="19"/>
  <c r="AC62" i="19" s="1"/>
  <c r="Z62" i="19"/>
  <c r="Y63" i="19"/>
  <c r="AC63" i="19" s="1"/>
  <c r="Z63" i="19"/>
  <c r="Y64" i="19"/>
  <c r="AC64" i="19" s="1"/>
  <c r="Z64" i="19"/>
  <c r="Y65" i="19"/>
  <c r="AC65" i="19" s="1"/>
  <c r="Z65" i="19"/>
  <c r="Y66" i="19"/>
  <c r="Z58" i="19"/>
  <c r="Y58" i="19"/>
  <c r="AC58" i="19" s="1"/>
  <c r="Y31" i="19"/>
  <c r="Z31" i="19"/>
  <c r="Y32" i="19"/>
  <c r="AG32" i="19" s="1"/>
  <c r="Z32" i="19"/>
  <c r="Y33" i="19"/>
  <c r="Z33" i="19"/>
  <c r="Y34" i="19"/>
  <c r="Z34" i="19"/>
  <c r="Y35" i="19"/>
  <c r="AG35" i="19" s="1"/>
  <c r="Z35" i="19"/>
  <c r="Y36" i="19"/>
  <c r="AG36" i="19" s="1"/>
  <c r="Z36" i="19"/>
  <c r="Y37" i="19"/>
  <c r="Z30" i="19"/>
  <c r="Y30" i="19"/>
  <c r="AF19" i="19"/>
  <c r="AF20" i="19" s="1"/>
  <c r="AF18" i="19"/>
  <c r="Y8" i="19"/>
  <c r="Z8" i="19"/>
  <c r="Y9" i="19"/>
  <c r="Z9" i="19"/>
  <c r="Y10" i="19"/>
  <c r="Z10" i="19"/>
  <c r="Y11" i="19"/>
  <c r="Z11" i="19"/>
  <c r="Y12" i="19"/>
  <c r="Z12" i="19"/>
  <c r="Y13" i="19"/>
  <c r="Z13" i="19"/>
  <c r="Y14" i="19"/>
  <c r="Z14" i="19"/>
  <c r="Y15" i="19"/>
  <c r="Z7" i="19"/>
  <c r="Y7" i="19"/>
  <c r="Z76" i="17"/>
  <c r="Z63" i="17"/>
  <c r="AA63" i="17"/>
  <c r="Z64" i="17"/>
  <c r="AA64" i="17"/>
  <c r="Z65" i="17"/>
  <c r="AH65" i="17" s="1"/>
  <c r="AA65" i="17"/>
  <c r="Z66" i="17"/>
  <c r="AA66" i="17"/>
  <c r="Z67" i="17"/>
  <c r="AA67" i="17"/>
  <c r="Z68" i="17"/>
  <c r="AA68" i="17"/>
  <c r="Z69" i="17"/>
  <c r="AH69" i="17" s="1"/>
  <c r="AA69" i="17"/>
  <c r="Z70" i="17"/>
  <c r="AA70" i="17"/>
  <c r="Z71" i="17"/>
  <c r="AA71" i="17"/>
  <c r="Z72" i="17"/>
  <c r="AA72" i="17"/>
  <c r="Z73" i="17"/>
  <c r="AH73" i="17" s="1"/>
  <c r="AA73" i="17"/>
  <c r="Z74" i="17"/>
  <c r="AA74" i="17"/>
  <c r="Z75" i="17"/>
  <c r="AA75" i="17"/>
  <c r="AA62" i="17"/>
  <c r="Z62" i="17"/>
  <c r="AG54" i="17"/>
  <c r="AG55" i="17" s="1"/>
  <c r="AG53" i="17"/>
  <c r="AG48" i="17"/>
  <c r="AG49" i="17" s="1"/>
  <c r="AG47" i="17"/>
  <c r="Z31" i="17"/>
  <c r="AH31" i="17" s="1"/>
  <c r="AA31" i="17"/>
  <c r="Z32" i="17"/>
  <c r="AA32" i="17"/>
  <c r="Z33" i="17"/>
  <c r="AA33" i="17"/>
  <c r="Z34" i="17"/>
  <c r="AA34" i="17"/>
  <c r="Z35" i="17"/>
  <c r="AA35" i="17"/>
  <c r="Z36" i="17"/>
  <c r="AA36" i="17"/>
  <c r="Z37" i="17"/>
  <c r="AA37" i="17"/>
  <c r="Z38" i="17"/>
  <c r="AA38" i="17"/>
  <c r="Z39" i="17"/>
  <c r="AA39" i="17"/>
  <c r="Z40" i="17"/>
  <c r="AA40" i="17"/>
  <c r="Z41" i="17"/>
  <c r="AA41" i="17"/>
  <c r="Z42" i="17"/>
  <c r="AA30" i="17"/>
  <c r="Z30" i="17"/>
  <c r="AH30" i="17" s="1"/>
  <c r="Z8" i="17"/>
  <c r="AA8" i="17"/>
  <c r="Z9" i="17"/>
  <c r="AA9" i="17"/>
  <c r="Z10" i="17"/>
  <c r="AA10" i="17"/>
  <c r="Z11" i="17"/>
  <c r="AA11" i="17"/>
  <c r="Z12" i="17"/>
  <c r="AA12" i="17"/>
  <c r="Z13" i="17"/>
  <c r="AA13" i="17"/>
  <c r="Z14" i="17"/>
  <c r="AA7" i="17"/>
  <c r="Z7" i="17"/>
  <c r="AA124" i="18"/>
  <c r="AA107" i="18"/>
  <c r="AE107" i="18" s="1"/>
  <c r="AB107" i="18"/>
  <c r="AA108" i="18"/>
  <c r="AB108" i="18"/>
  <c r="AA109" i="18"/>
  <c r="AE109" i="18" s="1"/>
  <c r="AB109" i="18"/>
  <c r="AA110" i="18"/>
  <c r="AE110" i="18" s="1"/>
  <c r="AB110" i="18"/>
  <c r="AA111" i="18"/>
  <c r="AE111" i="18" s="1"/>
  <c r="AB111" i="18"/>
  <c r="AA112" i="18"/>
  <c r="AE112" i="18" s="1"/>
  <c r="AB112" i="18"/>
  <c r="AA113" i="18"/>
  <c r="AE113" i="18" s="1"/>
  <c r="AB113" i="18"/>
  <c r="AA114" i="18"/>
  <c r="AE114" i="18" s="1"/>
  <c r="AB114" i="18"/>
  <c r="AA115" i="18"/>
  <c r="AE115" i="18" s="1"/>
  <c r="AB115" i="18"/>
  <c r="AA116" i="18"/>
  <c r="AE116" i="18" s="1"/>
  <c r="AB116" i="18"/>
  <c r="AA117" i="18"/>
  <c r="AE117" i="18" s="1"/>
  <c r="AB117" i="18"/>
  <c r="AA118" i="18"/>
  <c r="AE118" i="18" s="1"/>
  <c r="AB118" i="18"/>
  <c r="AA119" i="18"/>
  <c r="AE119" i="18" s="1"/>
  <c r="AB119" i="18"/>
  <c r="AA120" i="18"/>
  <c r="AE120" i="18" s="1"/>
  <c r="AB120" i="18"/>
  <c r="AA121" i="18"/>
  <c r="AE121" i="18" s="1"/>
  <c r="AB121" i="18"/>
  <c r="AA122" i="18"/>
  <c r="AE122" i="18" s="1"/>
  <c r="AB122" i="18"/>
  <c r="AA123" i="18"/>
  <c r="AE123" i="18" s="1"/>
  <c r="AB123" i="18"/>
  <c r="AA91" i="18"/>
  <c r="AI91" i="18" s="1"/>
  <c r="AB91" i="18"/>
  <c r="AA92" i="18"/>
  <c r="AE92" i="18" s="1"/>
  <c r="AB92" i="18"/>
  <c r="AA93" i="18"/>
  <c r="AI93" i="18" s="1"/>
  <c r="AB93" i="18"/>
  <c r="AA94" i="18"/>
  <c r="AI94" i="18" s="1"/>
  <c r="AB94" i="18"/>
  <c r="AA95" i="18"/>
  <c r="AI95" i="18" s="1"/>
  <c r="AB95" i="18"/>
  <c r="AA96" i="18"/>
  <c r="AE96" i="18" s="1"/>
  <c r="AB96" i="18"/>
  <c r="AA97" i="18"/>
  <c r="AE97" i="18" s="1"/>
  <c r="AB97" i="18"/>
  <c r="AA98" i="18"/>
  <c r="AB98" i="18"/>
  <c r="AA99" i="18"/>
  <c r="AE99" i="18" s="1"/>
  <c r="AB99" i="18"/>
  <c r="AA100" i="18"/>
  <c r="AE100" i="18" s="1"/>
  <c r="AB100" i="18"/>
  <c r="AA101" i="18"/>
  <c r="AB101" i="18"/>
  <c r="AA102" i="18"/>
  <c r="AB102" i="18"/>
  <c r="AA103" i="18"/>
  <c r="AB103" i="18"/>
  <c r="AA104" i="18"/>
  <c r="AB104" i="18"/>
  <c r="AA105" i="18"/>
  <c r="AE105" i="18" s="1"/>
  <c r="AB105" i="18"/>
  <c r="AA106" i="18"/>
  <c r="AI106" i="18" s="1"/>
  <c r="AB106" i="18"/>
  <c r="AB90" i="18"/>
  <c r="AA90" i="18"/>
  <c r="AE90" i="18" s="1"/>
  <c r="AB142" i="18" l="1"/>
  <c r="AB143" i="18"/>
  <c r="AB144" i="18" s="1"/>
  <c r="AD75" i="17"/>
  <c r="AH75" i="17"/>
  <c r="AD71" i="17"/>
  <c r="AH71" i="17"/>
  <c r="AD67" i="17"/>
  <c r="AH67" i="17"/>
  <c r="AD63" i="17"/>
  <c r="AH63" i="17"/>
  <c r="AC13" i="19"/>
  <c r="AG13" i="19"/>
  <c r="AC11" i="19"/>
  <c r="AG11" i="19"/>
  <c r="AC9" i="19"/>
  <c r="AG9" i="19"/>
  <c r="Z41" i="19"/>
  <c r="Z42" i="19"/>
  <c r="Z43" i="19" s="1"/>
  <c r="Z47" i="19"/>
  <c r="Z48" i="19"/>
  <c r="Z49" i="19" s="1"/>
  <c r="AB137" i="18"/>
  <c r="AB138" i="18"/>
  <c r="AB139" i="18" s="1"/>
  <c r="AB132" i="18"/>
  <c r="AB133" i="18"/>
  <c r="AB134" i="18" s="1"/>
  <c r="AB153" i="18"/>
  <c r="AB154" i="18"/>
  <c r="AB155" i="18" s="1"/>
  <c r="AD40" i="17"/>
  <c r="AH40" i="17"/>
  <c r="AD38" i="17"/>
  <c r="AH38" i="17"/>
  <c r="AD36" i="17"/>
  <c r="AH36" i="17"/>
  <c r="AD34" i="17"/>
  <c r="AH34" i="17"/>
  <c r="AD32" i="17"/>
  <c r="AH32" i="17"/>
  <c r="AD62" i="17"/>
  <c r="AH62" i="17"/>
  <c r="AC33" i="19"/>
  <c r="AG33" i="19"/>
  <c r="AC31" i="19"/>
  <c r="AG31" i="19"/>
  <c r="AE153" i="18"/>
  <c r="AE154" i="18"/>
  <c r="AE155" i="18" s="1"/>
  <c r="AA92" i="17"/>
  <c r="AA93" i="17"/>
  <c r="AA94" i="17" s="1"/>
  <c r="AD74" i="17"/>
  <c r="AH74" i="17"/>
  <c r="AD72" i="17"/>
  <c r="AH72" i="17"/>
  <c r="AD70" i="17"/>
  <c r="AH70" i="17"/>
  <c r="AD68" i="17"/>
  <c r="AH68" i="17"/>
  <c r="AF66" i="17"/>
  <c r="AB66" i="17" s="1"/>
  <c r="AH66" i="17"/>
  <c r="AD64" i="17"/>
  <c r="AH64" i="17"/>
  <c r="AC7" i="19"/>
  <c r="AG7" i="19"/>
  <c r="AC14" i="19"/>
  <c r="AG14" i="19"/>
  <c r="AC12" i="19"/>
  <c r="AG12" i="19"/>
  <c r="AC10" i="19"/>
  <c r="AG10" i="19"/>
  <c r="AC8" i="19"/>
  <c r="AG8" i="19"/>
  <c r="Y108" i="19"/>
  <c r="AB163" i="18"/>
  <c r="AB164" i="18"/>
  <c r="AB165" i="18" s="1"/>
  <c r="AB158" i="18"/>
  <c r="AB159" i="18"/>
  <c r="AB160" i="18" s="1"/>
  <c r="AD41" i="17"/>
  <c r="AH41" i="17"/>
  <c r="AD39" i="17"/>
  <c r="AH39" i="17"/>
  <c r="AD37" i="17"/>
  <c r="AH37" i="17"/>
  <c r="AD35" i="17"/>
  <c r="AH35" i="17"/>
  <c r="AD33" i="17"/>
  <c r="AH33" i="17"/>
  <c r="AA87" i="17"/>
  <c r="AA88" i="17" s="1"/>
  <c r="AA86" i="17"/>
  <c r="AA81" i="17"/>
  <c r="AA82" i="17" s="1"/>
  <c r="AA80" i="17"/>
  <c r="AC30" i="19"/>
  <c r="AG30" i="19"/>
  <c r="AC34" i="19"/>
  <c r="AG34" i="19"/>
  <c r="AI114" i="18"/>
  <c r="AI107" i="18"/>
  <c r="AF63" i="17"/>
  <c r="AB63" i="17" s="1"/>
  <c r="AI110" i="18"/>
  <c r="AF74" i="17"/>
  <c r="AE74" i="17" s="1"/>
  <c r="AF33" i="17"/>
  <c r="AC33" i="17" s="1"/>
  <c r="AG93" i="18"/>
  <c r="AF93" i="18" s="1"/>
  <c r="AG96" i="18"/>
  <c r="AF96" i="18" s="1"/>
  <c r="AI118" i="18"/>
  <c r="AI111" i="18"/>
  <c r="AF70" i="17"/>
  <c r="AE70" i="17" s="1"/>
  <c r="AI123" i="18"/>
  <c r="AD12" i="17"/>
  <c r="AH12" i="17"/>
  <c r="AD10" i="17"/>
  <c r="AH10" i="17"/>
  <c r="AF37" i="17"/>
  <c r="AE37" i="17" s="1"/>
  <c r="AF71" i="17"/>
  <c r="AB71" i="17" s="1"/>
  <c r="AF30" i="17"/>
  <c r="AE30" i="17" s="1"/>
  <c r="AD7" i="17"/>
  <c r="AH7" i="17"/>
  <c r="AD13" i="17"/>
  <c r="AH13" i="17"/>
  <c r="AD11" i="17"/>
  <c r="AH11" i="17"/>
  <c r="AD9" i="17"/>
  <c r="AH9" i="17"/>
  <c r="AE101" i="19"/>
  <c r="AA101" i="19" s="1"/>
  <c r="AE65" i="19"/>
  <c r="AD65" i="19" s="1"/>
  <c r="AE86" i="19"/>
  <c r="AB86" i="19" s="1"/>
  <c r="AE89" i="19"/>
  <c r="AD89" i="19" s="1"/>
  <c r="AG95" i="18"/>
  <c r="AF95" i="18" s="1"/>
  <c r="AG94" i="18"/>
  <c r="AD94" i="18" s="1"/>
  <c r="AI122" i="18"/>
  <c r="AI119" i="18"/>
  <c r="AI115" i="18"/>
  <c r="AE94" i="19"/>
  <c r="AD94" i="19" s="1"/>
  <c r="AI121" i="18"/>
  <c r="AI117" i="18"/>
  <c r="AI113" i="18"/>
  <c r="AI109" i="18"/>
  <c r="AG108" i="18"/>
  <c r="AA48" i="17"/>
  <c r="AA49" i="17" s="1"/>
  <c r="AF75" i="17"/>
  <c r="AE75" i="17" s="1"/>
  <c r="AC101" i="19"/>
  <c r="Z54" i="17"/>
  <c r="Z55" i="17" s="1"/>
  <c r="AF67" i="17"/>
  <c r="AE67" i="17" s="1"/>
  <c r="AE11" i="19"/>
  <c r="AA11" i="19" s="1"/>
  <c r="Z108" i="19"/>
  <c r="AG121" i="18"/>
  <c r="AF121" i="18" s="1"/>
  <c r="AI120" i="18"/>
  <c r="AG117" i="18"/>
  <c r="AF117" i="18" s="1"/>
  <c r="AI116" i="18"/>
  <c r="AG113" i="18"/>
  <c r="AF113" i="18" s="1"/>
  <c r="AI112" i="18"/>
  <c r="AG109" i="18"/>
  <c r="AC109" i="18" s="1"/>
  <c r="AI108" i="18"/>
  <c r="AG91" i="18"/>
  <c r="AF91" i="18" s="1"/>
  <c r="AG120" i="18"/>
  <c r="AF120" i="18" s="1"/>
  <c r="AG116" i="18"/>
  <c r="AF116" i="18" s="1"/>
  <c r="AG112" i="18"/>
  <c r="AC112" i="18" s="1"/>
  <c r="AA18" i="17"/>
  <c r="AA19" i="17" s="1"/>
  <c r="AF32" i="17"/>
  <c r="AE32" i="17" s="1"/>
  <c r="AD31" i="17"/>
  <c r="AD66" i="17"/>
  <c r="Z86" i="17"/>
  <c r="Y114" i="19"/>
  <c r="Y115" i="19" s="1"/>
  <c r="AI96" i="18"/>
  <c r="AA138" i="18"/>
  <c r="AA139" i="18" s="1"/>
  <c r="AI92" i="18"/>
  <c r="AA53" i="17"/>
  <c r="Z19" i="19"/>
  <c r="Z20" i="19" s="1"/>
  <c r="AF94" i="18"/>
  <c r="AA164" i="18"/>
  <c r="AA165" i="18" s="1"/>
  <c r="AA163" i="18"/>
  <c r="AA143" i="18"/>
  <c r="AA144" i="18" s="1"/>
  <c r="AA153" i="18"/>
  <c r="AA159" i="18"/>
  <c r="AA160" i="18" s="1"/>
  <c r="AE95" i="18"/>
  <c r="AE93" i="18"/>
  <c r="AE91" i="18"/>
  <c r="AA132" i="18"/>
  <c r="AA154" i="18"/>
  <c r="AA155" i="18" s="1"/>
  <c r="AI97" i="18"/>
  <c r="AD93" i="18"/>
  <c r="AG92" i="18"/>
  <c r="AG123" i="18"/>
  <c r="AF123" i="18" s="1"/>
  <c r="AG119" i="18"/>
  <c r="AF119" i="18" s="1"/>
  <c r="AG115" i="18"/>
  <c r="AF115" i="18" s="1"/>
  <c r="AG111" i="18"/>
  <c r="AF111" i="18" s="1"/>
  <c r="AE108" i="18"/>
  <c r="AG107" i="18"/>
  <c r="AC107" i="18" s="1"/>
  <c r="AA133" i="18"/>
  <c r="AA134" i="18" s="1"/>
  <c r="AA137" i="18"/>
  <c r="AC78" i="19"/>
  <c r="AC79" i="19" s="1"/>
  <c r="AE106" i="18"/>
  <c r="AE94" i="18"/>
  <c r="AG122" i="18"/>
  <c r="AF122" i="18" s="1"/>
  <c r="AG118" i="18"/>
  <c r="AF118" i="18" s="1"/>
  <c r="AG114" i="18"/>
  <c r="AF114" i="18" s="1"/>
  <c r="AG110" i="18"/>
  <c r="AC110" i="18" s="1"/>
  <c r="AA142" i="18"/>
  <c r="AA158" i="18"/>
  <c r="Z53" i="17"/>
  <c r="Z80" i="17"/>
  <c r="Z87" i="17"/>
  <c r="Z88" i="17" s="1"/>
  <c r="Z18" i="19"/>
  <c r="AE62" i="19"/>
  <c r="AA62" i="19" s="1"/>
  <c r="Z72" i="19"/>
  <c r="Y78" i="19"/>
  <c r="Y79" i="19" s="1"/>
  <c r="AE90" i="19"/>
  <c r="AD90" i="19" s="1"/>
  <c r="AE97" i="19"/>
  <c r="AA97" i="19" s="1"/>
  <c r="Z114" i="19"/>
  <c r="Z115" i="19" s="1"/>
  <c r="Y109" i="19"/>
  <c r="Y110" i="19" s="1"/>
  <c r="AF11" i="17"/>
  <c r="AE11" i="17" s="1"/>
  <c r="AA17" i="17"/>
  <c r="AF41" i="17"/>
  <c r="AE41" i="17" s="1"/>
  <c r="AF36" i="17"/>
  <c r="AE36" i="17" s="1"/>
  <c r="AA54" i="17"/>
  <c r="AA55" i="17" s="1"/>
  <c r="Z81" i="17"/>
  <c r="Z82" i="17" s="1"/>
  <c r="Z92" i="17"/>
  <c r="AE14" i="19"/>
  <c r="AA14" i="19" s="1"/>
  <c r="AE10" i="19"/>
  <c r="AA10" i="19" s="1"/>
  <c r="AE33" i="19"/>
  <c r="AD33" i="19" s="1"/>
  <c r="AE58" i="19"/>
  <c r="AB58" i="19" s="1"/>
  <c r="Y73" i="19"/>
  <c r="Y74" i="19" s="1"/>
  <c r="AC88" i="19"/>
  <c r="AC97" i="19"/>
  <c r="AC113" i="19" s="1"/>
  <c r="AE93" i="19"/>
  <c r="AA93" i="19" s="1"/>
  <c r="Z109" i="19"/>
  <c r="Z110" i="19" s="1"/>
  <c r="AF10" i="17"/>
  <c r="AE10" i="17" s="1"/>
  <c r="Z17" i="17"/>
  <c r="AF40" i="17"/>
  <c r="AE40" i="17" s="1"/>
  <c r="AC32" i="17"/>
  <c r="Z47" i="17"/>
  <c r="AA47" i="17"/>
  <c r="AF62" i="17"/>
  <c r="AC62" i="17" s="1"/>
  <c r="AC71" i="17"/>
  <c r="Z93" i="17"/>
  <c r="Z94" i="17" s="1"/>
  <c r="AE61" i="19"/>
  <c r="AD61" i="19" s="1"/>
  <c r="Y72" i="19"/>
  <c r="Z77" i="19"/>
  <c r="Z78" i="19"/>
  <c r="Z79" i="19" s="1"/>
  <c r="AE98" i="19"/>
  <c r="AD98" i="19" s="1"/>
  <c r="Y113" i="19"/>
  <c r="Z113" i="19"/>
  <c r="Z18" i="17"/>
  <c r="Z19" i="17" s="1"/>
  <c r="Z48" i="17"/>
  <c r="Z49" i="17" s="1"/>
  <c r="AC70" i="17"/>
  <c r="AD65" i="17"/>
  <c r="AC77" i="19"/>
  <c r="Y77" i="19"/>
  <c r="AE99" i="19"/>
  <c r="AA99" i="19" s="1"/>
  <c r="AE95" i="19"/>
  <c r="AE91" i="19"/>
  <c r="AA91" i="19" s="1"/>
  <c r="AE100" i="19"/>
  <c r="AD100" i="19" s="1"/>
  <c r="AE96" i="19"/>
  <c r="AD96" i="19" s="1"/>
  <c r="AE92" i="19"/>
  <c r="AD92" i="19" s="1"/>
  <c r="AE87" i="19"/>
  <c r="AE88" i="19"/>
  <c r="AA88" i="19" s="1"/>
  <c r="AA86" i="19"/>
  <c r="AD86" i="19"/>
  <c r="AC73" i="19"/>
  <c r="AC74" i="19" s="1"/>
  <c r="Y18" i="19"/>
  <c r="AE34" i="19"/>
  <c r="AD34" i="19" s="1"/>
  <c r="AE30" i="19"/>
  <c r="Y41" i="19"/>
  <c r="Y48" i="19"/>
  <c r="Y49" i="19" s="1"/>
  <c r="AC72" i="19"/>
  <c r="Z73" i="19"/>
  <c r="Z74" i="19" s="1"/>
  <c r="Y47" i="19"/>
  <c r="Y19" i="19"/>
  <c r="Y20" i="19" s="1"/>
  <c r="Y42" i="19"/>
  <c r="Y43" i="19" s="1"/>
  <c r="AE63" i="19"/>
  <c r="AE59" i="19"/>
  <c r="AE64" i="19"/>
  <c r="AD64" i="19" s="1"/>
  <c r="AE60" i="19"/>
  <c r="AB60" i="19" s="1"/>
  <c r="AC35" i="19"/>
  <c r="AC32" i="19"/>
  <c r="AE35" i="19"/>
  <c r="AA35" i="19" s="1"/>
  <c r="AE31" i="19"/>
  <c r="AC36" i="19"/>
  <c r="AE36" i="19"/>
  <c r="AD36" i="19" s="1"/>
  <c r="AE32" i="19"/>
  <c r="AD32" i="19" s="1"/>
  <c r="AE12" i="19"/>
  <c r="AA12" i="19" s="1"/>
  <c r="AE8" i="19"/>
  <c r="AA8" i="19" s="1"/>
  <c r="AE13" i="19"/>
  <c r="AD13" i="19" s="1"/>
  <c r="AE9" i="19"/>
  <c r="AD9" i="19" s="1"/>
  <c r="AE7" i="19"/>
  <c r="AB70" i="17"/>
  <c r="AD69" i="17"/>
  <c r="AF72" i="17"/>
  <c r="AF68" i="17"/>
  <c r="AF64" i="17"/>
  <c r="AD73" i="17"/>
  <c r="AF73" i="17"/>
  <c r="AE73" i="17" s="1"/>
  <c r="AF69" i="17"/>
  <c r="AE69" i="17" s="1"/>
  <c r="AF65" i="17"/>
  <c r="AB32" i="17"/>
  <c r="AB33" i="17"/>
  <c r="AF38" i="17"/>
  <c r="AB38" i="17" s="1"/>
  <c r="AF34" i="17"/>
  <c r="AF39" i="17"/>
  <c r="AE39" i="17" s="1"/>
  <c r="AF35" i="17"/>
  <c r="AE35" i="17" s="1"/>
  <c r="AF31" i="17"/>
  <c r="AD30" i="17"/>
  <c r="AB30" i="17"/>
  <c r="AD8" i="17"/>
  <c r="AF12" i="17"/>
  <c r="AF8" i="17"/>
  <c r="AB8" i="17" s="1"/>
  <c r="AF13" i="17"/>
  <c r="AE13" i="17" s="1"/>
  <c r="AF9" i="17"/>
  <c r="AE9" i="17" s="1"/>
  <c r="AH8" i="17"/>
  <c r="AF7" i="17"/>
  <c r="AC120" i="18"/>
  <c r="AC121" i="18"/>
  <c r="AC113" i="18"/>
  <c r="AG98" i="18"/>
  <c r="AF98" i="18" s="1"/>
  <c r="AI98" i="18"/>
  <c r="AE98" i="18"/>
  <c r="AI100" i="18"/>
  <c r="AI99" i="18"/>
  <c r="AG103" i="18"/>
  <c r="AD103" i="18" s="1"/>
  <c r="AG102" i="18"/>
  <c r="AD102" i="18" s="1"/>
  <c r="AG101" i="18"/>
  <c r="AD101" i="18" s="1"/>
  <c r="AG100" i="18"/>
  <c r="AD100" i="18" s="1"/>
  <c r="AG97" i="18"/>
  <c r="AF97" i="18" s="1"/>
  <c r="AG104" i="18"/>
  <c r="AD104" i="18" s="1"/>
  <c r="AI105" i="18"/>
  <c r="AI104" i="18"/>
  <c r="AI103" i="18"/>
  <c r="AI102" i="18"/>
  <c r="AI101" i="18"/>
  <c r="AE104" i="18"/>
  <c r="AE103" i="18"/>
  <c r="AE102" i="18"/>
  <c r="AE101" i="18"/>
  <c r="AG106" i="18"/>
  <c r="AG105" i="18"/>
  <c r="AG99" i="18"/>
  <c r="AC92" i="18"/>
  <c r="AI90" i="18"/>
  <c r="AG90" i="18"/>
  <c r="O251" i="19"/>
  <c r="O252" i="19" s="1"/>
  <c r="O250" i="19"/>
  <c r="O226" i="19"/>
  <c r="O225" i="19"/>
  <c r="H221" i="19"/>
  <c r="P221" i="19" s="1"/>
  <c r="I221" i="19"/>
  <c r="I220" i="19"/>
  <c r="O207" i="19"/>
  <c r="O208" i="19" s="1"/>
  <c r="O206" i="19"/>
  <c r="H220" i="19"/>
  <c r="P220" i="19" s="1"/>
  <c r="I219" i="19"/>
  <c r="H219" i="19"/>
  <c r="L219" i="19" s="1"/>
  <c r="I218" i="19"/>
  <c r="H218" i="19"/>
  <c r="L218" i="19" s="1"/>
  <c r="I217" i="19"/>
  <c r="H217" i="19"/>
  <c r="L217" i="19" s="1"/>
  <c r="I216" i="19"/>
  <c r="H216" i="19"/>
  <c r="I215" i="19"/>
  <c r="H215" i="19"/>
  <c r="L215" i="19" s="1"/>
  <c r="I214" i="19"/>
  <c r="H214" i="19"/>
  <c r="L214" i="19" s="1"/>
  <c r="I213" i="19"/>
  <c r="H213" i="19"/>
  <c r="L213" i="19" s="1"/>
  <c r="I212" i="19"/>
  <c r="H212" i="19"/>
  <c r="H235" i="19"/>
  <c r="I235" i="19"/>
  <c r="H236" i="19"/>
  <c r="L236" i="19" s="1"/>
  <c r="I236" i="19"/>
  <c r="H237" i="19"/>
  <c r="I237" i="19"/>
  <c r="H238" i="19"/>
  <c r="P238" i="19" s="1"/>
  <c r="I238" i="19"/>
  <c r="H239" i="19"/>
  <c r="L239" i="19" s="1"/>
  <c r="I239" i="19"/>
  <c r="H240" i="19"/>
  <c r="L240" i="19" s="1"/>
  <c r="I240" i="19"/>
  <c r="H241" i="19"/>
  <c r="L241" i="19" s="1"/>
  <c r="I241" i="19"/>
  <c r="H242" i="19"/>
  <c r="P242" i="19" s="1"/>
  <c r="I242" i="19"/>
  <c r="H243" i="19"/>
  <c r="L243" i="19" s="1"/>
  <c r="I243" i="19"/>
  <c r="H244" i="19"/>
  <c r="L244" i="19" s="1"/>
  <c r="I244" i="19"/>
  <c r="O190" i="19"/>
  <c r="O191" i="19" s="1"/>
  <c r="O189" i="19"/>
  <c r="I183" i="19"/>
  <c r="I184" i="19"/>
  <c r="I185" i="19"/>
  <c r="I177" i="19"/>
  <c r="I178" i="19"/>
  <c r="I179" i="19"/>
  <c r="I180" i="19"/>
  <c r="I181" i="19"/>
  <c r="I182" i="19"/>
  <c r="H177" i="19"/>
  <c r="P177" i="19" s="1"/>
  <c r="H178" i="19"/>
  <c r="P178" i="19" s="1"/>
  <c r="H179" i="19"/>
  <c r="L179" i="19" s="1"/>
  <c r="H180" i="19"/>
  <c r="P180" i="19" s="1"/>
  <c r="H181" i="19"/>
  <c r="P181" i="19" s="1"/>
  <c r="H182" i="19"/>
  <c r="P182" i="19" s="1"/>
  <c r="H183" i="19"/>
  <c r="L183" i="19" s="1"/>
  <c r="H184" i="19"/>
  <c r="H185" i="19"/>
  <c r="L185" i="19" s="1"/>
  <c r="O172" i="19"/>
  <c r="O173" i="19" s="1"/>
  <c r="O171" i="19"/>
  <c r="H167" i="19"/>
  <c r="L167" i="19" s="1"/>
  <c r="I167" i="19"/>
  <c r="O156" i="19"/>
  <c r="O157" i="19" s="1"/>
  <c r="O155" i="19"/>
  <c r="I149" i="19"/>
  <c r="I150" i="19"/>
  <c r="I151" i="19"/>
  <c r="H150" i="19"/>
  <c r="L150" i="19" s="1"/>
  <c r="H151" i="19"/>
  <c r="L151" i="19" s="1"/>
  <c r="O137" i="19"/>
  <c r="O138" i="19" s="1"/>
  <c r="O136" i="19"/>
  <c r="I132" i="19"/>
  <c r="O121" i="19"/>
  <c r="O122" i="19" s="1"/>
  <c r="O120" i="19"/>
  <c r="I116" i="19"/>
  <c r="O98" i="19"/>
  <c r="O99" i="19" s="1"/>
  <c r="O97" i="19"/>
  <c r="I93" i="19"/>
  <c r="H93" i="19"/>
  <c r="L93" i="19" s="1"/>
  <c r="I92" i="19"/>
  <c r="H92" i="19"/>
  <c r="L92" i="19" s="1"/>
  <c r="I91" i="19"/>
  <c r="H91" i="19"/>
  <c r="L91" i="19" s="1"/>
  <c r="I90" i="19"/>
  <c r="H90" i="19"/>
  <c r="L90" i="19" s="1"/>
  <c r="I89" i="19"/>
  <c r="H89" i="19"/>
  <c r="L89" i="19" s="1"/>
  <c r="I88" i="19"/>
  <c r="H88" i="19"/>
  <c r="L88" i="19" s="1"/>
  <c r="I87" i="19"/>
  <c r="H87" i="19"/>
  <c r="L87" i="19" s="1"/>
  <c r="I86" i="19"/>
  <c r="H86" i="19"/>
  <c r="H132" i="19"/>
  <c r="P132" i="19" s="1"/>
  <c r="I131" i="19"/>
  <c r="H131" i="19"/>
  <c r="P131" i="19" s="1"/>
  <c r="I130" i="19"/>
  <c r="H130" i="19"/>
  <c r="L130" i="19" s="1"/>
  <c r="I129" i="19"/>
  <c r="H129" i="19"/>
  <c r="L129" i="19" s="1"/>
  <c r="I128" i="19"/>
  <c r="H128" i="19"/>
  <c r="L128" i="19" s="1"/>
  <c r="I127" i="19"/>
  <c r="H127" i="19"/>
  <c r="P127" i="19" s="1"/>
  <c r="I126" i="19"/>
  <c r="H126" i="19"/>
  <c r="I125" i="19"/>
  <c r="H125" i="19"/>
  <c r="L125" i="19" s="1"/>
  <c r="H142" i="19"/>
  <c r="L142" i="19" s="1"/>
  <c r="I142" i="19"/>
  <c r="H143" i="19"/>
  <c r="L143" i="19" s="1"/>
  <c r="I143" i="19"/>
  <c r="H144" i="19"/>
  <c r="P144" i="19" s="1"/>
  <c r="I144" i="19"/>
  <c r="H145" i="19"/>
  <c r="L145" i="19" s="1"/>
  <c r="I145" i="19"/>
  <c r="H146" i="19"/>
  <c r="L146" i="19" s="1"/>
  <c r="I146" i="19"/>
  <c r="H147" i="19"/>
  <c r="L147" i="19" s="1"/>
  <c r="I147" i="19"/>
  <c r="H148" i="19"/>
  <c r="L148" i="19" s="1"/>
  <c r="I148" i="19"/>
  <c r="H149" i="19"/>
  <c r="L149" i="19" s="1"/>
  <c r="O78" i="19"/>
  <c r="O79" i="19" s="1"/>
  <c r="O77" i="19"/>
  <c r="O73" i="19"/>
  <c r="O74" i="19" s="1"/>
  <c r="O72" i="19"/>
  <c r="I59" i="19"/>
  <c r="I60" i="19"/>
  <c r="I61" i="19"/>
  <c r="I62" i="19"/>
  <c r="I63" i="19"/>
  <c r="I64" i="19"/>
  <c r="I65" i="19"/>
  <c r="I66" i="19"/>
  <c r="I67" i="19"/>
  <c r="H59" i="19"/>
  <c r="H60" i="19"/>
  <c r="L60" i="19" s="1"/>
  <c r="H61" i="19"/>
  <c r="P61" i="19" s="1"/>
  <c r="H62" i="19"/>
  <c r="L62" i="19" s="1"/>
  <c r="H63" i="19"/>
  <c r="L63" i="19" s="1"/>
  <c r="H64" i="19"/>
  <c r="P64" i="19" s="1"/>
  <c r="H65" i="19"/>
  <c r="P65" i="19" s="1"/>
  <c r="H66" i="19"/>
  <c r="P66" i="19" s="1"/>
  <c r="H67" i="19"/>
  <c r="P67" i="19" s="1"/>
  <c r="H68" i="19"/>
  <c r="O49" i="19"/>
  <c r="O50" i="19" s="1"/>
  <c r="O48" i="19"/>
  <c r="O44" i="19"/>
  <c r="O45" i="19" s="1"/>
  <c r="O43" i="19"/>
  <c r="I37" i="19"/>
  <c r="I36" i="19"/>
  <c r="H34" i="19"/>
  <c r="P34" i="19" s="1"/>
  <c r="H33" i="19"/>
  <c r="P33" i="19" s="1"/>
  <c r="H30" i="19"/>
  <c r="P30" i="19" s="1"/>
  <c r="I30" i="19"/>
  <c r="H31" i="19"/>
  <c r="P31" i="19" s="1"/>
  <c r="I31" i="19"/>
  <c r="H32" i="19"/>
  <c r="P32" i="19" s="1"/>
  <c r="I33" i="19"/>
  <c r="I34" i="19"/>
  <c r="H35" i="19"/>
  <c r="P35" i="19" s="1"/>
  <c r="I35" i="19"/>
  <c r="H36" i="19"/>
  <c r="L36" i="19" s="1"/>
  <c r="H38" i="19"/>
  <c r="P38" i="19" s="1"/>
  <c r="I38" i="19"/>
  <c r="O19" i="19"/>
  <c r="O20" i="19" s="1"/>
  <c r="O18" i="19"/>
  <c r="H7" i="19"/>
  <c r="L7" i="19" s="1"/>
  <c r="I7" i="19"/>
  <c r="H8" i="19"/>
  <c r="L8" i="19" s="1"/>
  <c r="I8" i="19"/>
  <c r="H9" i="19"/>
  <c r="L9" i="19" s="1"/>
  <c r="I9" i="19"/>
  <c r="H10" i="19"/>
  <c r="L10" i="19" s="1"/>
  <c r="I10" i="19"/>
  <c r="H11" i="19"/>
  <c r="L11" i="19" s="1"/>
  <c r="I11" i="19"/>
  <c r="H12" i="19"/>
  <c r="L12" i="19" s="1"/>
  <c r="I12" i="19"/>
  <c r="H13" i="19"/>
  <c r="L13" i="19" s="1"/>
  <c r="I13" i="19"/>
  <c r="H14" i="19"/>
  <c r="L14" i="19" s="1"/>
  <c r="I14" i="19"/>
  <c r="H300" i="19"/>
  <c r="I299" i="19"/>
  <c r="H299" i="19"/>
  <c r="I298" i="19"/>
  <c r="H298" i="19"/>
  <c r="I297" i="19"/>
  <c r="H297" i="19"/>
  <c r="P297" i="19" s="1"/>
  <c r="I296" i="19"/>
  <c r="H296" i="19"/>
  <c r="P296" i="19" s="1"/>
  <c r="I295" i="19"/>
  <c r="H295" i="19"/>
  <c r="I294" i="19"/>
  <c r="H294" i="19"/>
  <c r="H284" i="19"/>
  <c r="I283" i="19"/>
  <c r="H283" i="19"/>
  <c r="I282" i="19"/>
  <c r="H282" i="19"/>
  <c r="I281" i="19"/>
  <c r="H281" i="19"/>
  <c r="I280" i="19"/>
  <c r="H280" i="19"/>
  <c r="I279" i="19"/>
  <c r="H279" i="19"/>
  <c r="P279" i="19" s="1"/>
  <c r="I278" i="19"/>
  <c r="H278" i="19"/>
  <c r="P278" i="19" s="1"/>
  <c r="I277" i="19"/>
  <c r="H277" i="19"/>
  <c r="P277" i="19" s="1"/>
  <c r="I276" i="19"/>
  <c r="H276" i="19"/>
  <c r="I275" i="19"/>
  <c r="H275" i="19"/>
  <c r="I246" i="19"/>
  <c r="H246" i="19"/>
  <c r="P246" i="19" s="1"/>
  <c r="I245" i="19"/>
  <c r="H245" i="19"/>
  <c r="L245" i="19" s="1"/>
  <c r="I202" i="19"/>
  <c r="H202" i="19"/>
  <c r="L202" i="19" s="1"/>
  <c r="I201" i="19"/>
  <c r="H201" i="19"/>
  <c r="P201" i="19" s="1"/>
  <c r="I200" i="19"/>
  <c r="H200" i="19"/>
  <c r="P200" i="19" s="1"/>
  <c r="I199" i="19"/>
  <c r="H199" i="19"/>
  <c r="L199" i="19" s="1"/>
  <c r="I198" i="19"/>
  <c r="H198" i="19"/>
  <c r="L198" i="19" s="1"/>
  <c r="I197" i="19"/>
  <c r="H197" i="19"/>
  <c r="P197" i="19" s="1"/>
  <c r="I196" i="19"/>
  <c r="H196" i="19"/>
  <c r="L196" i="19" s="1"/>
  <c r="I195" i="19"/>
  <c r="H195" i="19"/>
  <c r="P195" i="19" s="1"/>
  <c r="I194" i="19"/>
  <c r="H194" i="19"/>
  <c r="L194" i="19" s="1"/>
  <c r="I176" i="19"/>
  <c r="H176" i="19"/>
  <c r="L176" i="19" s="1"/>
  <c r="I166" i="19"/>
  <c r="H166" i="19"/>
  <c r="L166" i="19" s="1"/>
  <c r="I165" i="19"/>
  <c r="H165" i="19"/>
  <c r="P165" i="19" s="1"/>
  <c r="I164" i="19"/>
  <c r="H164" i="19"/>
  <c r="L164" i="19" s="1"/>
  <c r="I163" i="19"/>
  <c r="H163" i="19"/>
  <c r="P163" i="19" s="1"/>
  <c r="I162" i="19"/>
  <c r="H162" i="19"/>
  <c r="L162" i="19" s="1"/>
  <c r="I161" i="19"/>
  <c r="H161" i="19"/>
  <c r="I160" i="19"/>
  <c r="H160" i="19"/>
  <c r="P160" i="19" s="1"/>
  <c r="H116" i="19"/>
  <c r="P116" i="19" s="1"/>
  <c r="I115" i="19"/>
  <c r="H115" i="19"/>
  <c r="L115" i="19" s="1"/>
  <c r="I114" i="19"/>
  <c r="H114" i="19"/>
  <c r="P114" i="19" s="1"/>
  <c r="I113" i="19"/>
  <c r="H113" i="19"/>
  <c r="P113" i="19" s="1"/>
  <c r="I112" i="19"/>
  <c r="H112" i="19"/>
  <c r="L112" i="19" s="1"/>
  <c r="I111" i="19"/>
  <c r="H111" i="19"/>
  <c r="L111" i="19" s="1"/>
  <c r="I110" i="19"/>
  <c r="H110" i="19"/>
  <c r="L110" i="19" s="1"/>
  <c r="I109" i="19"/>
  <c r="H109" i="19"/>
  <c r="L109" i="19" s="1"/>
  <c r="I108" i="19"/>
  <c r="H108" i="19"/>
  <c r="L108" i="19" s="1"/>
  <c r="I58" i="19"/>
  <c r="H58" i="19"/>
  <c r="L58" i="19" s="1"/>
  <c r="AB41" i="17" l="1"/>
  <c r="AB37" i="17"/>
  <c r="AC114" i="18"/>
  <c r="AD121" i="18"/>
  <c r="AE33" i="17"/>
  <c r="AA65" i="19"/>
  <c r="I257" i="19"/>
  <c r="I258" i="19"/>
  <c r="I259" i="19" s="1"/>
  <c r="I265" i="19"/>
  <c r="I266" i="19" s="1"/>
  <c r="I264" i="19"/>
  <c r="AC122" i="18"/>
  <c r="L237" i="19"/>
  <c r="H258" i="19"/>
  <c r="H259" i="19" s="1"/>
  <c r="H257" i="19"/>
  <c r="H265" i="19"/>
  <c r="H266" i="19" s="1"/>
  <c r="H264" i="19"/>
  <c r="AA94" i="19"/>
  <c r="AE71" i="17"/>
  <c r="AA33" i="19"/>
  <c r="AD113" i="18"/>
  <c r="AC19" i="19"/>
  <c r="AC20" i="19" s="1"/>
  <c r="AE66" i="17"/>
  <c r="AC116" i="18"/>
  <c r="AC18" i="19"/>
  <c r="AC66" i="17"/>
  <c r="AD116" i="18"/>
  <c r="AD95" i="18"/>
  <c r="AC95" i="18"/>
  <c r="AD11" i="19"/>
  <c r="AC75" i="17"/>
  <c r="AD109" i="18"/>
  <c r="AD117" i="18"/>
  <c r="AD96" i="18"/>
  <c r="AC96" i="18"/>
  <c r="AB75" i="17"/>
  <c r="AC94" i="18"/>
  <c r="AB74" i="17"/>
  <c r="AB94" i="19"/>
  <c r="AD112" i="18"/>
  <c r="AC123" i="18"/>
  <c r="AC115" i="18"/>
  <c r="AB65" i="19"/>
  <c r="AC74" i="17"/>
  <c r="AD53" i="17"/>
  <c r="AH86" i="17"/>
  <c r="AF112" i="18"/>
  <c r="AB40" i="17"/>
  <c r="AC37" i="17"/>
  <c r="AC93" i="18"/>
  <c r="AC30" i="17"/>
  <c r="AA89" i="19"/>
  <c r="AC63" i="17"/>
  <c r="AD54" i="17"/>
  <c r="AD55" i="17" s="1"/>
  <c r="AD120" i="18"/>
  <c r="AI138" i="18"/>
  <c r="AI139" i="18" s="1"/>
  <c r="AH48" i="17"/>
  <c r="AH49" i="17" s="1"/>
  <c r="AC119" i="18"/>
  <c r="AD18" i="17"/>
  <c r="AD19" i="17" s="1"/>
  <c r="AE142" i="18"/>
  <c r="AH53" i="17"/>
  <c r="AE132" i="18"/>
  <c r="AC111" i="18"/>
  <c r="AB67" i="17"/>
  <c r="AC67" i="17"/>
  <c r="AA30" i="19"/>
  <c r="AE41" i="19"/>
  <c r="AE42" i="19"/>
  <c r="AE43" i="19" s="1"/>
  <c r="AF93" i="17"/>
  <c r="AF94" i="17" s="1"/>
  <c r="AF92" i="17"/>
  <c r="AG153" i="18"/>
  <c r="AG154" i="18"/>
  <c r="AG155" i="18" s="1"/>
  <c r="AI132" i="18"/>
  <c r="AI133" i="18"/>
  <c r="AI134" i="18" s="1"/>
  <c r="AC108" i="18"/>
  <c r="AG163" i="18"/>
  <c r="AG164" i="18"/>
  <c r="AG165" i="18" s="1"/>
  <c r="AG158" i="18"/>
  <c r="AG159" i="18"/>
  <c r="AG160" i="18" s="1"/>
  <c r="AI153" i="18"/>
  <c r="AI154" i="18"/>
  <c r="AI155" i="18" s="1"/>
  <c r="AG41" i="19"/>
  <c r="AG42" i="19"/>
  <c r="AG43" i="19" s="1"/>
  <c r="AE143" i="18"/>
  <c r="AE144" i="18" s="1"/>
  <c r="AI137" i="18"/>
  <c r="AH87" i="17"/>
  <c r="AH88" i="17" s="1"/>
  <c r="AE163" i="18"/>
  <c r="AE164" i="18"/>
  <c r="AE165" i="18" s="1"/>
  <c r="AE158" i="18"/>
  <c r="AE159" i="18"/>
  <c r="AE160" i="18" s="1"/>
  <c r="AI163" i="18"/>
  <c r="AI164" i="18"/>
  <c r="AI165" i="18" s="1"/>
  <c r="AI158" i="18"/>
  <c r="AI159" i="18"/>
  <c r="AI160" i="18" s="1"/>
  <c r="AG138" i="18"/>
  <c r="AG139" i="18" s="1"/>
  <c r="AG137" i="18"/>
  <c r="AC41" i="19"/>
  <c r="AC42" i="19"/>
  <c r="AC43" i="19" s="1"/>
  <c r="AE133" i="18"/>
  <c r="AE134" i="18" s="1"/>
  <c r="AG47" i="19"/>
  <c r="AG48" i="19"/>
  <c r="AG49" i="19" s="1"/>
  <c r="AH92" i="17"/>
  <c r="AH93" i="17"/>
  <c r="AH94" i="17" s="1"/>
  <c r="AG143" i="18"/>
  <c r="AG144" i="18" s="1"/>
  <c r="AG142" i="18"/>
  <c r="AF86" i="17"/>
  <c r="AF87" i="17"/>
  <c r="AF88" i="17" s="1"/>
  <c r="AE47" i="19"/>
  <c r="AE48" i="19"/>
  <c r="AE49" i="19" s="1"/>
  <c r="AD86" i="17"/>
  <c r="AD87" i="17"/>
  <c r="AD88" i="17" s="1"/>
  <c r="AG133" i="18"/>
  <c r="AG134" i="18" s="1"/>
  <c r="AG132" i="18"/>
  <c r="AC47" i="19"/>
  <c r="AC48" i="19"/>
  <c r="AC49" i="19" s="1"/>
  <c r="AD92" i="17"/>
  <c r="AD93" i="17"/>
  <c r="AD94" i="17" s="1"/>
  <c r="AH80" i="17"/>
  <c r="AH81" i="17"/>
  <c r="AH82" i="17" s="1"/>
  <c r="AH54" i="17"/>
  <c r="AH55" i="17" s="1"/>
  <c r="AI142" i="18"/>
  <c r="AI143" i="18"/>
  <c r="AI144" i="18" s="1"/>
  <c r="AE137" i="18"/>
  <c r="AE138" i="18"/>
  <c r="AE139" i="18" s="1"/>
  <c r="AE63" i="17"/>
  <c r="AF81" i="17"/>
  <c r="AF82" i="17" s="1"/>
  <c r="AF80" i="17"/>
  <c r="AG19" i="19"/>
  <c r="AG20" i="19" s="1"/>
  <c r="AG18" i="19"/>
  <c r="AH47" i="17"/>
  <c r="AD80" i="17"/>
  <c r="AD81" i="17"/>
  <c r="AD82" i="17" s="1"/>
  <c r="AB33" i="19"/>
  <c r="AD91" i="18"/>
  <c r="AB98" i="19"/>
  <c r="AB10" i="17"/>
  <c r="H306" i="19"/>
  <c r="P294" i="19"/>
  <c r="H307" i="19"/>
  <c r="H308" i="19" s="1"/>
  <c r="L298" i="19"/>
  <c r="P298" i="19"/>
  <c r="P275" i="19"/>
  <c r="H289" i="19"/>
  <c r="H290" i="19"/>
  <c r="H291" i="19" s="1"/>
  <c r="L281" i="19"/>
  <c r="P281" i="19"/>
  <c r="L283" i="19"/>
  <c r="P283" i="19"/>
  <c r="I307" i="19"/>
  <c r="I308" i="19" s="1"/>
  <c r="I306" i="19"/>
  <c r="I290" i="19"/>
  <c r="I291" i="19" s="1"/>
  <c r="I289" i="19"/>
  <c r="L295" i="19"/>
  <c r="P295" i="19"/>
  <c r="L299" i="19"/>
  <c r="P299" i="19"/>
  <c r="AH17" i="17"/>
  <c r="AH18" i="17"/>
  <c r="AH19" i="17" s="1"/>
  <c r="L276" i="19"/>
  <c r="P276" i="19"/>
  <c r="L280" i="19"/>
  <c r="P280" i="19"/>
  <c r="L282" i="19"/>
  <c r="P282" i="19"/>
  <c r="AB97" i="19"/>
  <c r="AA58" i="19"/>
  <c r="AD97" i="19"/>
  <c r="AB30" i="19"/>
  <c r="AB10" i="19"/>
  <c r="AD101" i="19"/>
  <c r="AD10" i="19"/>
  <c r="AA100" i="19"/>
  <c r="AD14" i="19"/>
  <c r="AB89" i="19"/>
  <c r="AB101" i="19"/>
  <c r="AF103" i="18"/>
  <c r="AB11" i="19"/>
  <c r="AD58" i="19"/>
  <c r="AD108" i="18"/>
  <c r="AF108" i="18"/>
  <c r="AF109" i="18"/>
  <c r="AC117" i="18"/>
  <c r="I250" i="19"/>
  <c r="AC91" i="18"/>
  <c r="AF110" i="18"/>
  <c r="AC118" i="18"/>
  <c r="AB69" i="17"/>
  <c r="AC114" i="19"/>
  <c r="AC115" i="19" s="1"/>
  <c r="AD118" i="18"/>
  <c r="AC41" i="17"/>
  <c r="AE113" i="19"/>
  <c r="AB100" i="19"/>
  <c r="AD47" i="17"/>
  <c r="AD48" i="17"/>
  <c r="AD49" i="17" s="1"/>
  <c r="AB36" i="17"/>
  <c r="AB39" i="17"/>
  <c r="AB61" i="19"/>
  <c r="AA90" i="19"/>
  <c r="AA98" i="19"/>
  <c r="AC36" i="17"/>
  <c r="AE62" i="17"/>
  <c r="AB62" i="17"/>
  <c r="AC109" i="19"/>
  <c r="AC110" i="19" s="1"/>
  <c r="AC108" i="19"/>
  <c r="AF47" i="17"/>
  <c r="AD17" i="17"/>
  <c r="AD62" i="19"/>
  <c r="AB62" i="19"/>
  <c r="AC10" i="17"/>
  <c r="AF107" i="18"/>
  <c r="AD114" i="18"/>
  <c r="AD119" i="18"/>
  <c r="AE114" i="19"/>
  <c r="AE115" i="19" s="1"/>
  <c r="AC11" i="17"/>
  <c r="AD123" i="18"/>
  <c r="AF100" i="18"/>
  <c r="AC7" i="17"/>
  <c r="AF17" i="17"/>
  <c r="AF18" i="17"/>
  <c r="AF19" i="17" s="1"/>
  <c r="AB11" i="17"/>
  <c r="AC13" i="17"/>
  <c r="AE48" i="17"/>
  <c r="AE49" i="17" s="1"/>
  <c r="AE47" i="17"/>
  <c r="AE65" i="17"/>
  <c r="AB73" i="17"/>
  <c r="AD30" i="19"/>
  <c r="AA34" i="19"/>
  <c r="AA61" i="19"/>
  <c r="AB34" i="19"/>
  <c r="AD88" i="19"/>
  <c r="AE108" i="19"/>
  <c r="AE109" i="19"/>
  <c r="AE110" i="19" s="1"/>
  <c r="AA87" i="19"/>
  <c r="AD93" i="19"/>
  <c r="AE78" i="19"/>
  <c r="AE79" i="19" s="1"/>
  <c r="AE77" i="19"/>
  <c r="AF48" i="17"/>
  <c r="AF49" i="17" s="1"/>
  <c r="AD122" i="18"/>
  <c r="AD111" i="18"/>
  <c r="AD90" i="18"/>
  <c r="AE31" i="17"/>
  <c r="AF53" i="17"/>
  <c r="AF54" i="17"/>
  <c r="AF55" i="17" s="1"/>
  <c r="AB31" i="17"/>
  <c r="AB14" i="19"/>
  <c r="AA96" i="19"/>
  <c r="AB93" i="19"/>
  <c r="AC40" i="17"/>
  <c r="AF92" i="18"/>
  <c r="AD92" i="18"/>
  <c r="AB90" i="19"/>
  <c r="AD110" i="18"/>
  <c r="AD107" i="18"/>
  <c r="AD115" i="18"/>
  <c r="AD95" i="19"/>
  <c r="AB95" i="19"/>
  <c r="AD99" i="19"/>
  <c r="AB99" i="19"/>
  <c r="AA95" i="19"/>
  <c r="AB96" i="19"/>
  <c r="AA92" i="19"/>
  <c r="AD91" i="19"/>
  <c r="AB91" i="19"/>
  <c r="AB92" i="19"/>
  <c r="AD87" i="19"/>
  <c r="AB87" i="19"/>
  <c r="AB88" i="19"/>
  <c r="I251" i="19"/>
  <c r="I252" i="19" s="1"/>
  <c r="AD7" i="19"/>
  <c r="AE19" i="19"/>
  <c r="AE20" i="19" s="1"/>
  <c r="AE18" i="19"/>
  <c r="AA36" i="19"/>
  <c r="AD60" i="19"/>
  <c r="AE72" i="19"/>
  <c r="AE73" i="19"/>
  <c r="AE74" i="19" s="1"/>
  <c r="P244" i="19"/>
  <c r="H250" i="19"/>
  <c r="P236" i="19"/>
  <c r="N221" i="19"/>
  <c r="K221" i="19" s="1"/>
  <c r="P240" i="19"/>
  <c r="AA64" i="19"/>
  <c r="AD59" i="19"/>
  <c r="AB59" i="19"/>
  <c r="AA60" i="19"/>
  <c r="AD63" i="19"/>
  <c r="AB63" i="19"/>
  <c r="AA63" i="19"/>
  <c r="AA59" i="19"/>
  <c r="AB64" i="19"/>
  <c r="AD31" i="19"/>
  <c r="AB31" i="19"/>
  <c r="AD35" i="19"/>
  <c r="AB35" i="19"/>
  <c r="AA32" i="19"/>
  <c r="AA31" i="19"/>
  <c r="AB36" i="19"/>
  <c r="AB32" i="19"/>
  <c r="AA9" i="19"/>
  <c r="AB9" i="19"/>
  <c r="AD8" i="19"/>
  <c r="AB8" i="19"/>
  <c r="AD12" i="19"/>
  <c r="AB12" i="19"/>
  <c r="AB13" i="19"/>
  <c r="AA13" i="19"/>
  <c r="AA7" i="19"/>
  <c r="AB7" i="19"/>
  <c r="AE64" i="17"/>
  <c r="AC64" i="17"/>
  <c r="AE72" i="17"/>
  <c r="AC72" i="17"/>
  <c r="AE68" i="17"/>
  <c r="AC68" i="17"/>
  <c r="AB64" i="17"/>
  <c r="AB68" i="17"/>
  <c r="AC65" i="17"/>
  <c r="AB65" i="17"/>
  <c r="AB72" i="17"/>
  <c r="AC69" i="17"/>
  <c r="AC73" i="17"/>
  <c r="AC35" i="17"/>
  <c r="AC39" i="17"/>
  <c r="AC31" i="17"/>
  <c r="AE34" i="17"/>
  <c r="AC34" i="17"/>
  <c r="AE38" i="17"/>
  <c r="AC38" i="17"/>
  <c r="AB35" i="17"/>
  <c r="AB48" i="17" s="1"/>
  <c r="AB49" i="17" s="1"/>
  <c r="AB34" i="17"/>
  <c r="AE8" i="17"/>
  <c r="AC8" i="17"/>
  <c r="AB9" i="17"/>
  <c r="AE12" i="17"/>
  <c r="AC12" i="17"/>
  <c r="AB12" i="17"/>
  <c r="AB13" i="17"/>
  <c r="AC9" i="17"/>
  <c r="AB7" i="17"/>
  <c r="AE7" i="17"/>
  <c r="AF102" i="18"/>
  <c r="AC100" i="18"/>
  <c r="AC98" i="18"/>
  <c r="AD98" i="18"/>
  <c r="AC102" i="18"/>
  <c r="AC103" i="18"/>
  <c r="AF101" i="18"/>
  <c r="AF104" i="18"/>
  <c r="AC104" i="18"/>
  <c r="AC97" i="18"/>
  <c r="AC101" i="18"/>
  <c r="AD97" i="18"/>
  <c r="AF105" i="18"/>
  <c r="AD105" i="18"/>
  <c r="AF106" i="18"/>
  <c r="AD106" i="18"/>
  <c r="AC105" i="18"/>
  <c r="AF99" i="18"/>
  <c r="AD99" i="18"/>
  <c r="AC99" i="18"/>
  <c r="AC106" i="18"/>
  <c r="AF90" i="18"/>
  <c r="AC90" i="18"/>
  <c r="M221" i="19"/>
  <c r="H251" i="19"/>
  <c r="H252" i="19" s="1"/>
  <c r="P235" i="19"/>
  <c r="P243" i="19"/>
  <c r="I226" i="19"/>
  <c r="I227" i="19" s="1"/>
  <c r="H225" i="19"/>
  <c r="P237" i="19"/>
  <c r="P241" i="19"/>
  <c r="P239" i="19"/>
  <c r="N243" i="19"/>
  <c r="M243" i="19" s="1"/>
  <c r="L221" i="19"/>
  <c r="P245" i="19"/>
  <c r="H226" i="19"/>
  <c r="H227" i="19" s="1"/>
  <c r="N220" i="19"/>
  <c r="K220" i="19" s="1"/>
  <c r="L220" i="19"/>
  <c r="I207" i="19"/>
  <c r="I208" i="19" s="1"/>
  <c r="I225" i="19"/>
  <c r="O227" i="19"/>
  <c r="N242" i="19"/>
  <c r="M242" i="19" s="1"/>
  <c r="H207" i="19"/>
  <c r="H208" i="19" s="1"/>
  <c r="N239" i="19"/>
  <c r="M239" i="19" s="1"/>
  <c r="P199" i="19"/>
  <c r="H206" i="19"/>
  <c r="P194" i="19"/>
  <c r="P196" i="19"/>
  <c r="I206" i="19"/>
  <c r="P198" i="19"/>
  <c r="P202" i="19"/>
  <c r="P176" i="19"/>
  <c r="P183" i="19"/>
  <c r="N235" i="19"/>
  <c r="N86" i="19"/>
  <c r="M86" i="19" s="1"/>
  <c r="L235" i="19"/>
  <c r="N185" i="19"/>
  <c r="P185" i="19"/>
  <c r="L242" i="19"/>
  <c r="N212" i="19"/>
  <c r="P212" i="19"/>
  <c r="N216" i="19"/>
  <c r="J216" i="19" s="1"/>
  <c r="P216" i="19"/>
  <c r="L238" i="19"/>
  <c r="N238" i="19"/>
  <c r="M238" i="19" s="1"/>
  <c r="N213" i="19"/>
  <c r="J213" i="19" s="1"/>
  <c r="P213" i="19"/>
  <c r="N217" i="19"/>
  <c r="J217" i="19" s="1"/>
  <c r="P217" i="19"/>
  <c r="P167" i="19"/>
  <c r="L184" i="19"/>
  <c r="P184" i="19"/>
  <c r="N184" i="19"/>
  <c r="M184" i="19" s="1"/>
  <c r="N214" i="19"/>
  <c r="J214" i="19" s="1"/>
  <c r="P214" i="19"/>
  <c r="N218" i="19"/>
  <c r="P218" i="19"/>
  <c r="N167" i="19"/>
  <c r="M167" i="19" s="1"/>
  <c r="I190" i="19"/>
  <c r="I191" i="19" s="1"/>
  <c r="I189" i="19"/>
  <c r="N183" i="19"/>
  <c r="M183" i="19" s="1"/>
  <c r="P179" i="19"/>
  <c r="L212" i="19"/>
  <c r="N215" i="19"/>
  <c r="J215" i="19" s="1"/>
  <c r="P215" i="19"/>
  <c r="L216" i="19"/>
  <c r="N219" i="19"/>
  <c r="J219" i="19" s="1"/>
  <c r="P219" i="19"/>
  <c r="I73" i="19"/>
  <c r="I74" i="19" s="1"/>
  <c r="H172" i="19"/>
  <c r="H173" i="19" s="1"/>
  <c r="I172" i="19"/>
  <c r="I173" i="19" s="1"/>
  <c r="P161" i="19"/>
  <c r="H189" i="19"/>
  <c r="H190" i="19"/>
  <c r="H191" i="19" s="1"/>
  <c r="N244" i="19"/>
  <c r="N240" i="19"/>
  <c r="N236" i="19"/>
  <c r="J236" i="19" s="1"/>
  <c r="N241" i="19"/>
  <c r="M241" i="19" s="1"/>
  <c r="N237" i="19"/>
  <c r="H171" i="19"/>
  <c r="P164" i="19"/>
  <c r="I171" i="19"/>
  <c r="P162" i="19"/>
  <c r="P166" i="19"/>
  <c r="H77" i="19"/>
  <c r="N64" i="19"/>
  <c r="K64" i="19" s="1"/>
  <c r="N60" i="19"/>
  <c r="K60" i="19" s="1"/>
  <c r="P125" i="19"/>
  <c r="P142" i="19"/>
  <c r="I78" i="19"/>
  <c r="I79" i="19" s="1"/>
  <c r="I77" i="19"/>
  <c r="P60" i="19"/>
  <c r="I44" i="19"/>
  <c r="I45" i="19" s="1"/>
  <c r="N66" i="19"/>
  <c r="K66" i="19" s="1"/>
  <c r="N62" i="19"/>
  <c r="K62" i="19" s="1"/>
  <c r="P108" i="19"/>
  <c r="P146" i="19"/>
  <c r="I137" i="19"/>
  <c r="I138" i="19" s="1"/>
  <c r="I155" i="19"/>
  <c r="P145" i="19"/>
  <c r="P149" i="19"/>
  <c r="H156" i="19"/>
  <c r="H157" i="19" s="1"/>
  <c r="I156" i="19"/>
  <c r="I157" i="19" s="1"/>
  <c r="N149" i="19"/>
  <c r="M149" i="19" s="1"/>
  <c r="P151" i="19"/>
  <c r="N151" i="19"/>
  <c r="J151" i="19" s="1"/>
  <c r="N150" i="19"/>
  <c r="M150" i="19" s="1"/>
  <c r="P143" i="19"/>
  <c r="P147" i="19"/>
  <c r="P150" i="19"/>
  <c r="P148" i="19"/>
  <c r="H155" i="19"/>
  <c r="P110" i="19"/>
  <c r="N116" i="19"/>
  <c r="K116" i="19" s="1"/>
  <c r="P129" i="19"/>
  <c r="H137" i="19"/>
  <c r="H138" i="19" s="1"/>
  <c r="L116" i="19"/>
  <c r="I136" i="19"/>
  <c r="H136" i="19"/>
  <c r="P130" i="19"/>
  <c r="P126" i="19"/>
  <c r="I121" i="19"/>
  <c r="I122" i="19" s="1"/>
  <c r="N132" i="19"/>
  <c r="J132" i="19" s="1"/>
  <c r="N127" i="19"/>
  <c r="M127" i="19" s="1"/>
  <c r="P112" i="19"/>
  <c r="L132" i="19"/>
  <c r="P128" i="19"/>
  <c r="N144" i="19"/>
  <c r="M144" i="19" s="1"/>
  <c r="N148" i="19"/>
  <c r="M148" i="19" s="1"/>
  <c r="N145" i="19"/>
  <c r="L144" i="19"/>
  <c r="L156" i="19" s="1"/>
  <c r="L157" i="19" s="1"/>
  <c r="N128" i="19"/>
  <c r="M128" i="19" s="1"/>
  <c r="P115" i="19"/>
  <c r="P111" i="19"/>
  <c r="I120" i="19"/>
  <c r="H120" i="19"/>
  <c r="H121" i="19"/>
  <c r="H122" i="19" s="1"/>
  <c r="P109" i="19"/>
  <c r="N131" i="19"/>
  <c r="M131" i="19" s="1"/>
  <c r="K128" i="19"/>
  <c r="H97" i="19"/>
  <c r="N91" i="19"/>
  <c r="M91" i="19" s="1"/>
  <c r="N92" i="19"/>
  <c r="M92" i="19" s="1"/>
  <c r="N88" i="19"/>
  <c r="J88" i="19" s="1"/>
  <c r="N90" i="19"/>
  <c r="M90" i="19" s="1"/>
  <c r="N87" i="19"/>
  <c r="M87" i="19" s="1"/>
  <c r="P89" i="19"/>
  <c r="P93" i="19"/>
  <c r="H98" i="19"/>
  <c r="H99" i="19" s="1"/>
  <c r="P86" i="19"/>
  <c r="P90" i="19"/>
  <c r="I97" i="19"/>
  <c r="P87" i="19"/>
  <c r="P91" i="19"/>
  <c r="I98" i="19"/>
  <c r="I99" i="19" s="1"/>
  <c r="P88" i="19"/>
  <c r="N89" i="19"/>
  <c r="M89" i="19" s="1"/>
  <c r="P92" i="19"/>
  <c r="N93" i="19"/>
  <c r="M93" i="19" s="1"/>
  <c r="L86" i="19"/>
  <c r="N67" i="19"/>
  <c r="K67" i="19" s="1"/>
  <c r="N65" i="19"/>
  <c r="K65" i="19" s="1"/>
  <c r="N63" i="19"/>
  <c r="K63" i="19" s="1"/>
  <c r="N61" i="19"/>
  <c r="K61" i="19" s="1"/>
  <c r="N59" i="19"/>
  <c r="J59" i="19" s="1"/>
  <c r="H73" i="19"/>
  <c r="H74" i="19" s="1"/>
  <c r="H78" i="19"/>
  <c r="H79" i="19" s="1"/>
  <c r="N126" i="19"/>
  <c r="N130" i="19"/>
  <c r="P59" i="19"/>
  <c r="N277" i="19"/>
  <c r="M277" i="19" s="1"/>
  <c r="L67" i="19"/>
  <c r="L65" i="19"/>
  <c r="L61" i="19"/>
  <c r="L59" i="19"/>
  <c r="N125" i="19"/>
  <c r="L127" i="19"/>
  <c r="N129" i="19"/>
  <c r="J129" i="19" s="1"/>
  <c r="L131" i="19"/>
  <c r="I72" i="19"/>
  <c r="L126" i="19"/>
  <c r="L66" i="19"/>
  <c r="L64" i="19"/>
  <c r="H72" i="19"/>
  <c r="N146" i="19"/>
  <c r="J146" i="19" s="1"/>
  <c r="N142" i="19"/>
  <c r="N147" i="19"/>
  <c r="M147" i="19" s="1"/>
  <c r="N143" i="19"/>
  <c r="M59" i="19"/>
  <c r="I43" i="19"/>
  <c r="H48" i="19"/>
  <c r="H49" i="19"/>
  <c r="H50" i="19" s="1"/>
  <c r="L31" i="19"/>
  <c r="L38" i="19"/>
  <c r="H37" i="19"/>
  <c r="L35" i="19"/>
  <c r="I32" i="19"/>
  <c r="N32" i="19" s="1"/>
  <c r="L32" i="19"/>
  <c r="L34" i="19"/>
  <c r="P36" i="19"/>
  <c r="P49" i="19" s="1"/>
  <c r="P50" i="19" s="1"/>
  <c r="N38" i="19"/>
  <c r="J38" i="19" s="1"/>
  <c r="N36" i="19"/>
  <c r="N35" i="19"/>
  <c r="N34" i="19"/>
  <c r="N33" i="19"/>
  <c r="J33" i="19" s="1"/>
  <c r="N31" i="19"/>
  <c r="N30" i="19"/>
  <c r="L33" i="19"/>
  <c r="L30" i="19"/>
  <c r="N178" i="19"/>
  <c r="M178" i="19" s="1"/>
  <c r="I19" i="19"/>
  <c r="I20" i="19" s="1"/>
  <c r="L19" i="19"/>
  <c r="L20" i="19" s="1"/>
  <c r="L18" i="19"/>
  <c r="H19" i="19"/>
  <c r="H20" i="19" s="1"/>
  <c r="H18" i="19"/>
  <c r="I18" i="19"/>
  <c r="P14" i="19"/>
  <c r="P13" i="19"/>
  <c r="P12" i="19"/>
  <c r="P11" i="19"/>
  <c r="P10" i="19"/>
  <c r="P9" i="19"/>
  <c r="P8" i="19"/>
  <c r="P7" i="19"/>
  <c r="N14" i="19"/>
  <c r="N13" i="19"/>
  <c r="N12" i="19"/>
  <c r="J12" i="19" s="1"/>
  <c r="N11" i="19"/>
  <c r="N10" i="19"/>
  <c r="N9" i="19"/>
  <c r="J9" i="19" s="1"/>
  <c r="N8" i="19"/>
  <c r="J8" i="19" s="1"/>
  <c r="N7" i="19"/>
  <c r="N108" i="19"/>
  <c r="M108" i="19" s="1"/>
  <c r="N197" i="19"/>
  <c r="M197" i="19" s="1"/>
  <c r="N201" i="19"/>
  <c r="M201" i="19" s="1"/>
  <c r="N202" i="19"/>
  <c r="J202" i="19" s="1"/>
  <c r="N298" i="19"/>
  <c r="M298" i="19" s="1"/>
  <c r="N166" i="19"/>
  <c r="M166" i="19" s="1"/>
  <c r="N199" i="19"/>
  <c r="M199" i="19" s="1"/>
  <c r="N58" i="19"/>
  <c r="P58" i="19"/>
  <c r="P62" i="19"/>
  <c r="N112" i="19"/>
  <c r="M112" i="19" s="1"/>
  <c r="N198" i="19"/>
  <c r="K198" i="19" s="1"/>
  <c r="N176" i="19"/>
  <c r="N179" i="19"/>
  <c r="J179" i="19" s="1"/>
  <c r="N194" i="19"/>
  <c r="M194" i="19" s="1"/>
  <c r="L197" i="19"/>
  <c r="L201" i="19"/>
  <c r="P63" i="19"/>
  <c r="N111" i="19"/>
  <c r="K111" i="19" s="1"/>
  <c r="N115" i="19"/>
  <c r="M115" i="19" s="1"/>
  <c r="L178" i="19"/>
  <c r="N180" i="19"/>
  <c r="M180" i="19" s="1"/>
  <c r="N276" i="19"/>
  <c r="K276" i="19" s="1"/>
  <c r="N280" i="19"/>
  <c r="J280" i="19" s="1"/>
  <c r="N113" i="19"/>
  <c r="J113" i="19" s="1"/>
  <c r="N114" i="19"/>
  <c r="M114" i="19" s="1"/>
  <c r="N161" i="19"/>
  <c r="N163" i="19"/>
  <c r="L165" i="19"/>
  <c r="N182" i="19"/>
  <c r="M182" i="19" s="1"/>
  <c r="L246" i="19"/>
  <c r="L279" i="19"/>
  <c r="L297" i="19"/>
  <c r="N297" i="19"/>
  <c r="M297" i="19" s="1"/>
  <c r="N160" i="19"/>
  <c r="K160" i="19" s="1"/>
  <c r="L160" i="19"/>
  <c r="N177" i="19"/>
  <c r="M177" i="19" s="1"/>
  <c r="N181" i="19"/>
  <c r="M181" i="19" s="1"/>
  <c r="L181" i="19"/>
  <c r="N200" i="19"/>
  <c r="M200" i="19" s="1"/>
  <c r="N275" i="19"/>
  <c r="N109" i="19"/>
  <c r="N110" i="19"/>
  <c r="M110" i="19" s="1"/>
  <c r="L114" i="19"/>
  <c r="L161" i="19"/>
  <c r="L182" i="19"/>
  <c r="L195" i="19"/>
  <c r="N278" i="19"/>
  <c r="M278" i="19" s="1"/>
  <c r="L278" i="19"/>
  <c r="N279" i="19"/>
  <c r="M279" i="19" s="1"/>
  <c r="N296" i="19"/>
  <c r="M296" i="19" s="1"/>
  <c r="L296" i="19"/>
  <c r="L113" i="19"/>
  <c r="N162" i="19"/>
  <c r="K162" i="19" s="1"/>
  <c r="L163" i="19"/>
  <c r="N165" i="19"/>
  <c r="M165" i="19" s="1"/>
  <c r="L177" i="19"/>
  <c r="N195" i="19"/>
  <c r="L200" i="19"/>
  <c r="N246" i="19"/>
  <c r="M246" i="19" s="1"/>
  <c r="L275" i="19"/>
  <c r="N295" i="19"/>
  <c r="J295" i="19" s="1"/>
  <c r="L180" i="19"/>
  <c r="N196" i="19"/>
  <c r="N281" i="19"/>
  <c r="N294" i="19"/>
  <c r="N164" i="19"/>
  <c r="M164" i="19" s="1"/>
  <c r="N245" i="19"/>
  <c r="M245" i="19" s="1"/>
  <c r="L277" i="19"/>
  <c r="N283" i="19"/>
  <c r="K283" i="19" s="1"/>
  <c r="N282" i="19"/>
  <c r="M282" i="19" s="1"/>
  <c r="N299" i="19"/>
  <c r="L294" i="19"/>
  <c r="BB21" i="18"/>
  <c r="AU8" i="18"/>
  <c r="AY8" i="18" s="1"/>
  <c r="AV8" i="18"/>
  <c r="AU9" i="18"/>
  <c r="AY9" i="18" s="1"/>
  <c r="AV9" i="18"/>
  <c r="AU10" i="18"/>
  <c r="AY10" i="18" s="1"/>
  <c r="AV10" i="18"/>
  <c r="AU11" i="18"/>
  <c r="BC11" i="18" s="1"/>
  <c r="AV11" i="18"/>
  <c r="AU12" i="18"/>
  <c r="AY12" i="18" s="1"/>
  <c r="AV12" i="18"/>
  <c r="AU13" i="18"/>
  <c r="AY13" i="18" s="1"/>
  <c r="AV13" i="18"/>
  <c r="AV7" i="18"/>
  <c r="AU7" i="18"/>
  <c r="AY7" i="18" s="1"/>
  <c r="AV38" i="18"/>
  <c r="AU38" i="18"/>
  <c r="AV37" i="18"/>
  <c r="AU37" i="18"/>
  <c r="AV36" i="18"/>
  <c r="AU36" i="18"/>
  <c r="BC36" i="18" s="1"/>
  <c r="AV35" i="18"/>
  <c r="AU35" i="18"/>
  <c r="AV34" i="18"/>
  <c r="AU34" i="18"/>
  <c r="AV33" i="18"/>
  <c r="AU33" i="18"/>
  <c r="BC33" i="18" s="1"/>
  <c r="AV32" i="18"/>
  <c r="AU32" i="18"/>
  <c r="BC32" i="18" s="1"/>
  <c r="AV31" i="18"/>
  <c r="AU31" i="18"/>
  <c r="AV30" i="18"/>
  <c r="AU30" i="18"/>
  <c r="AV29" i="18"/>
  <c r="AU29" i="18"/>
  <c r="AH63" i="18"/>
  <c r="AH64" i="18" s="1"/>
  <c r="AH62" i="18"/>
  <c r="AH47" i="18"/>
  <c r="AH69" i="18" s="1"/>
  <c r="AB46" i="18"/>
  <c r="AB47" i="18"/>
  <c r="AB48" i="18"/>
  <c r="AB49" i="18"/>
  <c r="AB50" i="18"/>
  <c r="AB51" i="18"/>
  <c r="AB52" i="18"/>
  <c r="AB53" i="18"/>
  <c r="AB54" i="18"/>
  <c r="AB55" i="18"/>
  <c r="AA46" i="18"/>
  <c r="AE46" i="18" s="1"/>
  <c r="AA47" i="18"/>
  <c r="AI47" i="18" s="1"/>
  <c r="AA48" i="18"/>
  <c r="AI48" i="18" s="1"/>
  <c r="AA49" i="18"/>
  <c r="AE49" i="18" s="1"/>
  <c r="AA50" i="18"/>
  <c r="AE50" i="18" s="1"/>
  <c r="AA51" i="18"/>
  <c r="AI51" i="18" s="1"/>
  <c r="AA52" i="18"/>
  <c r="AI52" i="18" s="1"/>
  <c r="AA53" i="18"/>
  <c r="AE53" i="18" s="1"/>
  <c r="AA54" i="18"/>
  <c r="AE54" i="18" s="1"/>
  <c r="AA55" i="18"/>
  <c r="AI55" i="18" s="1"/>
  <c r="AA56" i="18"/>
  <c r="AI56" i="18" s="1"/>
  <c r="AB30" i="18"/>
  <c r="AB31" i="18"/>
  <c r="AB32" i="18"/>
  <c r="AB33" i="18"/>
  <c r="AB34" i="18"/>
  <c r="AB35" i="18"/>
  <c r="AB36" i="18"/>
  <c r="AB37" i="18"/>
  <c r="AB38" i="18"/>
  <c r="AB39" i="18"/>
  <c r="AB40" i="18"/>
  <c r="AB41" i="18"/>
  <c r="AB42" i="18"/>
  <c r="AB43" i="18"/>
  <c r="AB44" i="18"/>
  <c r="AB45" i="18"/>
  <c r="AA30" i="18"/>
  <c r="AE30" i="18" s="1"/>
  <c r="AA31" i="18"/>
  <c r="AA32" i="18"/>
  <c r="AG32" i="18" s="1"/>
  <c r="AA33" i="18"/>
  <c r="AE33" i="18" s="1"/>
  <c r="AA34" i="18"/>
  <c r="AE34" i="18" s="1"/>
  <c r="AA35" i="18"/>
  <c r="AE35" i="18" s="1"/>
  <c r="AA36" i="18"/>
  <c r="AA37" i="18"/>
  <c r="AE37" i="18" s="1"/>
  <c r="AA38" i="18"/>
  <c r="AE38" i="18" s="1"/>
  <c r="AA39" i="18"/>
  <c r="AI39" i="18" s="1"/>
  <c r="AA40" i="18"/>
  <c r="AG40" i="18" s="1"/>
  <c r="AA41" i="18"/>
  <c r="AE41" i="18" s="1"/>
  <c r="AA42" i="18"/>
  <c r="AE42" i="18" s="1"/>
  <c r="AA43" i="18"/>
  <c r="AI43" i="18" s="1"/>
  <c r="AA44" i="18"/>
  <c r="AG44" i="18" s="1"/>
  <c r="AA45" i="18"/>
  <c r="AE45" i="18" s="1"/>
  <c r="AB29" i="18"/>
  <c r="AA29" i="18"/>
  <c r="AE29" i="18" s="1"/>
  <c r="AH20" i="18"/>
  <c r="AH21" i="18" s="1"/>
  <c r="AH19" i="18"/>
  <c r="AA14" i="18"/>
  <c r="AI14" i="18" s="1"/>
  <c r="AB13" i="18"/>
  <c r="AA13" i="18"/>
  <c r="AI13" i="18" s="1"/>
  <c r="AB12" i="18"/>
  <c r="AA12" i="18"/>
  <c r="AI12" i="18" s="1"/>
  <c r="AB11" i="18"/>
  <c r="AA11" i="18"/>
  <c r="AI11" i="18" s="1"/>
  <c r="AB10" i="18"/>
  <c r="AA10" i="18"/>
  <c r="AI10" i="18" s="1"/>
  <c r="AB9" i="18"/>
  <c r="AA9" i="18"/>
  <c r="AI9" i="18" s="1"/>
  <c r="AB8" i="18"/>
  <c r="AA8" i="18"/>
  <c r="AB7" i="18"/>
  <c r="AA7" i="18"/>
  <c r="O98" i="18"/>
  <c r="O99" i="18" s="1"/>
  <c r="O97" i="18"/>
  <c r="O93" i="18"/>
  <c r="O94" i="18" s="1"/>
  <c r="O92" i="18"/>
  <c r="O82" i="18"/>
  <c r="O83" i="18" s="1"/>
  <c r="O81" i="18"/>
  <c r="O77" i="18"/>
  <c r="O78" i="18" s="1"/>
  <c r="O76" i="18"/>
  <c r="O72" i="18"/>
  <c r="O73" i="18" s="1"/>
  <c r="O71" i="18"/>
  <c r="I56" i="18"/>
  <c r="I57" i="18"/>
  <c r="I58" i="18"/>
  <c r="I59" i="18"/>
  <c r="I60" i="18"/>
  <c r="I61" i="18"/>
  <c r="I62" i="18"/>
  <c r="I63" i="18"/>
  <c r="I64" i="18"/>
  <c r="H57" i="18"/>
  <c r="L57" i="18" s="1"/>
  <c r="H58" i="18"/>
  <c r="N58" i="18" s="1"/>
  <c r="M58" i="18" s="1"/>
  <c r="H59" i="18"/>
  <c r="P59" i="18" s="1"/>
  <c r="H60" i="18"/>
  <c r="N60" i="18" s="1"/>
  <c r="M60" i="18" s="1"/>
  <c r="H61" i="18"/>
  <c r="L61" i="18" s="1"/>
  <c r="H62" i="18"/>
  <c r="P62" i="18" s="1"/>
  <c r="H63" i="18"/>
  <c r="L63" i="18" s="1"/>
  <c r="H64" i="18"/>
  <c r="P64" i="18" s="1"/>
  <c r="H65" i="18"/>
  <c r="P65" i="18" s="1"/>
  <c r="P58" i="18"/>
  <c r="I48" i="18"/>
  <c r="I49" i="18"/>
  <c r="I50" i="18"/>
  <c r="I51" i="18"/>
  <c r="I52" i="18"/>
  <c r="I53" i="18"/>
  <c r="I54" i="18"/>
  <c r="I55" i="18"/>
  <c r="H49" i="18"/>
  <c r="P49" i="18" s="1"/>
  <c r="H50" i="18"/>
  <c r="L50" i="18" s="1"/>
  <c r="H51" i="18"/>
  <c r="H52" i="18"/>
  <c r="H53" i="18"/>
  <c r="H54" i="18"/>
  <c r="H55" i="18"/>
  <c r="L55" i="18" s="1"/>
  <c r="H56" i="18"/>
  <c r="L56" i="18" s="1"/>
  <c r="I30" i="18"/>
  <c r="I31" i="18"/>
  <c r="I32" i="18"/>
  <c r="I33" i="18"/>
  <c r="I34" i="18"/>
  <c r="I35" i="18"/>
  <c r="I36" i="18"/>
  <c r="I37" i="18"/>
  <c r="I38" i="18"/>
  <c r="I39" i="18"/>
  <c r="I40" i="18"/>
  <c r="I41" i="18"/>
  <c r="I42" i="18"/>
  <c r="I43" i="18"/>
  <c r="I44" i="18"/>
  <c r="I45" i="18"/>
  <c r="I46" i="18"/>
  <c r="I47" i="18"/>
  <c r="H30" i="18"/>
  <c r="L30" i="18" s="1"/>
  <c r="H31" i="18"/>
  <c r="L31" i="18" s="1"/>
  <c r="H32" i="18"/>
  <c r="H33" i="18"/>
  <c r="L33" i="18" s="1"/>
  <c r="H34" i="18"/>
  <c r="L34" i="18" s="1"/>
  <c r="H35" i="18"/>
  <c r="H36" i="18"/>
  <c r="H37" i="18"/>
  <c r="L37" i="18" s="1"/>
  <c r="H38" i="18"/>
  <c r="L38" i="18" s="1"/>
  <c r="H39" i="18"/>
  <c r="L39" i="18" s="1"/>
  <c r="H40" i="18"/>
  <c r="H41" i="18"/>
  <c r="L41" i="18" s="1"/>
  <c r="H42" i="18"/>
  <c r="L42" i="18" s="1"/>
  <c r="H43" i="18"/>
  <c r="L43" i="18" s="1"/>
  <c r="H44" i="18"/>
  <c r="L44" i="18" s="1"/>
  <c r="H45" i="18"/>
  <c r="L45" i="18" s="1"/>
  <c r="H46" i="18"/>
  <c r="L46" i="18" s="1"/>
  <c r="H47" i="18"/>
  <c r="L47" i="18" s="1"/>
  <c r="H48" i="18"/>
  <c r="P48" i="18" s="1"/>
  <c r="I29" i="18"/>
  <c r="H29" i="18"/>
  <c r="L29" i="18" s="1"/>
  <c r="O19" i="18"/>
  <c r="O20" i="18"/>
  <c r="O21" i="18" s="1"/>
  <c r="H8" i="18"/>
  <c r="L8" i="18" s="1"/>
  <c r="I8" i="18"/>
  <c r="H9" i="18"/>
  <c r="L9" i="18" s="1"/>
  <c r="I9" i="18"/>
  <c r="H10" i="18"/>
  <c r="L10" i="18" s="1"/>
  <c r="I10" i="18"/>
  <c r="H11" i="18"/>
  <c r="L11" i="18" s="1"/>
  <c r="I11" i="18"/>
  <c r="H12" i="18"/>
  <c r="L12" i="18" s="1"/>
  <c r="I12" i="18"/>
  <c r="H13" i="18"/>
  <c r="L13" i="18" s="1"/>
  <c r="I13" i="18"/>
  <c r="H14" i="18"/>
  <c r="I14" i="18"/>
  <c r="H15" i="18"/>
  <c r="P15" i="18" s="1"/>
  <c r="I15" i="18"/>
  <c r="H16" i="18"/>
  <c r="L16" i="18" s="1"/>
  <c r="I16" i="18"/>
  <c r="H17" i="18"/>
  <c r="P17" i="18" s="1"/>
  <c r="I7" i="18"/>
  <c r="H7" i="18"/>
  <c r="L7" i="18" s="1"/>
  <c r="P60" i="18" l="1"/>
  <c r="P61" i="18"/>
  <c r="P63" i="18"/>
  <c r="M237" i="19"/>
  <c r="N257" i="19"/>
  <c r="N258" i="19"/>
  <c r="N259" i="19" s="1"/>
  <c r="N264" i="19"/>
  <c r="N265" i="19"/>
  <c r="N266" i="19" s="1"/>
  <c r="P257" i="19"/>
  <c r="P258" i="19"/>
  <c r="P259" i="19" s="1"/>
  <c r="P264" i="19"/>
  <c r="P265" i="19"/>
  <c r="P266" i="19" s="1"/>
  <c r="L257" i="19"/>
  <c r="L258" i="19"/>
  <c r="L259" i="19" s="1"/>
  <c r="L264" i="19"/>
  <c r="L265" i="19"/>
  <c r="L266" i="19" s="1"/>
  <c r="AB72" i="19"/>
  <c r="AA114" i="19"/>
  <c r="AA115" i="19" s="1"/>
  <c r="AG36" i="18"/>
  <c r="AD137" i="18"/>
  <c r="AC133" i="18"/>
  <c r="AC134" i="18" s="1"/>
  <c r="AC138" i="18"/>
  <c r="AC139" i="18" s="1"/>
  <c r="AC81" i="17"/>
  <c r="AC82" i="17" s="1"/>
  <c r="AF137" i="18"/>
  <c r="AB80" i="17"/>
  <c r="AC153" i="18"/>
  <c r="AF142" i="18"/>
  <c r="AF143" i="18"/>
  <c r="AF144" i="18" s="1"/>
  <c r="AB86" i="17"/>
  <c r="AB87" i="17"/>
  <c r="AB88" i="17" s="1"/>
  <c r="AD153" i="18"/>
  <c r="AD154" i="18"/>
  <c r="AD155" i="18" s="1"/>
  <c r="AF132" i="18"/>
  <c r="AF133" i="18"/>
  <c r="AF134" i="18" s="1"/>
  <c r="AE92" i="17"/>
  <c r="AE93" i="17"/>
  <c r="AE94" i="17" s="1"/>
  <c r="AE81" i="17"/>
  <c r="AE82" i="17" s="1"/>
  <c r="AE80" i="17"/>
  <c r="AC137" i="18"/>
  <c r="AC80" i="17"/>
  <c r="AC87" i="17"/>
  <c r="AC88" i="17" s="1"/>
  <c r="AC86" i="17"/>
  <c r="AD142" i="18"/>
  <c r="AD143" i="18"/>
  <c r="AD144" i="18" s="1"/>
  <c r="AE86" i="17"/>
  <c r="AE87" i="17"/>
  <c r="AE88" i="17" s="1"/>
  <c r="AF163" i="18"/>
  <c r="AF164" i="18"/>
  <c r="AF165" i="18" s="1"/>
  <c r="AF158" i="18"/>
  <c r="AF159" i="18"/>
  <c r="AF160" i="18" s="1"/>
  <c r="AB41" i="19"/>
  <c r="AB42" i="19"/>
  <c r="AB43" i="19" s="1"/>
  <c r="AF138" i="18"/>
  <c r="AF139" i="18" s="1"/>
  <c r="AC93" i="17"/>
  <c r="AC94" i="17" s="1"/>
  <c r="AD138" i="18"/>
  <c r="AD139" i="18" s="1"/>
  <c r="AA41" i="19"/>
  <c r="AA42" i="19"/>
  <c r="AA43" i="19" s="1"/>
  <c r="AA47" i="19"/>
  <c r="AA48" i="19"/>
  <c r="AA49" i="19" s="1"/>
  <c r="AB48" i="19"/>
  <c r="AB49" i="19" s="1"/>
  <c r="AB47" i="19"/>
  <c r="AD163" i="18"/>
  <c r="AD164" i="18"/>
  <c r="AD165" i="18" s="1"/>
  <c r="AD158" i="18"/>
  <c r="AD159" i="18"/>
  <c r="AD160" i="18" s="1"/>
  <c r="AB81" i="17"/>
  <c r="AB82" i="17" s="1"/>
  <c r="AC154" i="18"/>
  <c r="AC155" i="18" s="1"/>
  <c r="AC92" i="17"/>
  <c r="AC163" i="18"/>
  <c r="AC164" i="18"/>
  <c r="AC165" i="18" s="1"/>
  <c r="AC158" i="18"/>
  <c r="AC159" i="18"/>
  <c r="AC160" i="18" s="1"/>
  <c r="AC132" i="18"/>
  <c r="AC142" i="18"/>
  <c r="AC143" i="18"/>
  <c r="AC144" i="18" s="1"/>
  <c r="AD47" i="19"/>
  <c r="AD48" i="19"/>
  <c r="AD49" i="19" s="1"/>
  <c r="AD132" i="18"/>
  <c r="AD133" i="18"/>
  <c r="AD134" i="18" s="1"/>
  <c r="AD42" i="19"/>
  <c r="AD43" i="19" s="1"/>
  <c r="AD41" i="19"/>
  <c r="AF153" i="18"/>
  <c r="AF154" i="18"/>
  <c r="AF155" i="18" s="1"/>
  <c r="AB93" i="17"/>
  <c r="AB94" i="17" s="1"/>
  <c r="AB92" i="17"/>
  <c r="N307" i="19"/>
  <c r="N308" i="19" s="1"/>
  <c r="N306" i="19"/>
  <c r="P289" i="19"/>
  <c r="L306" i="19"/>
  <c r="L307" i="19"/>
  <c r="L308" i="19" s="1"/>
  <c r="L289" i="19"/>
  <c r="L290" i="19"/>
  <c r="L291" i="19" s="1"/>
  <c r="J275" i="19"/>
  <c r="N290" i="19"/>
  <c r="N291" i="19" s="1"/>
  <c r="N289" i="19"/>
  <c r="P290" i="19"/>
  <c r="P291" i="19" s="1"/>
  <c r="P307" i="19"/>
  <c r="P308" i="19" s="1"/>
  <c r="P306" i="19"/>
  <c r="J243" i="19"/>
  <c r="J221" i="19"/>
  <c r="AB114" i="19"/>
  <c r="AB115" i="19" s="1"/>
  <c r="AD78" i="19"/>
  <c r="AD79" i="19" s="1"/>
  <c r="BA29" i="18"/>
  <c r="AZ29" i="18" s="1"/>
  <c r="AB78" i="19"/>
  <c r="AB79" i="19" s="1"/>
  <c r="P50" i="18"/>
  <c r="BC29" i="18"/>
  <c r="BA8" i="18"/>
  <c r="AZ8" i="18" s="1"/>
  <c r="AH70" i="18"/>
  <c r="AH71" i="18" s="1"/>
  <c r="BA38" i="18"/>
  <c r="AZ38" i="18" s="1"/>
  <c r="AD113" i="19"/>
  <c r="AA108" i="19"/>
  <c r="AC48" i="17"/>
  <c r="AC49" i="17" s="1"/>
  <c r="AB113" i="19"/>
  <c r="BA37" i="18"/>
  <c r="AZ37" i="18" s="1"/>
  <c r="AA78" i="19"/>
  <c r="AA79" i="19" s="1"/>
  <c r="AA113" i="19"/>
  <c r="N14" i="18"/>
  <c r="J14" i="18" s="1"/>
  <c r="P45" i="18"/>
  <c r="AD114" i="19"/>
  <c r="AD115" i="19" s="1"/>
  <c r="L58" i="18"/>
  <c r="AB20" i="18"/>
  <c r="AB21" i="18" s="1"/>
  <c r="AB69" i="18"/>
  <c r="AB63" i="18"/>
  <c r="AB64" i="18" s="1"/>
  <c r="AE51" i="18"/>
  <c r="BA7" i="18"/>
  <c r="BA12" i="18"/>
  <c r="AZ12" i="18" s="1"/>
  <c r="AE18" i="17"/>
  <c r="AE19" i="17" s="1"/>
  <c r="AE17" i="17"/>
  <c r="AC54" i="17"/>
  <c r="AC55" i="17" s="1"/>
  <c r="AC53" i="17"/>
  <c r="AB53" i="17"/>
  <c r="AB54" i="17"/>
  <c r="AB55" i="17" s="1"/>
  <c r="AB47" i="17"/>
  <c r="AA77" i="19"/>
  <c r="N52" i="18"/>
  <c r="M52" i="18" s="1"/>
  <c r="AG8" i="18"/>
  <c r="AD8" i="18" s="1"/>
  <c r="AG12" i="18"/>
  <c r="AE48" i="18"/>
  <c r="AI42" i="18"/>
  <c r="BA35" i="18"/>
  <c r="AZ35" i="18" s="1"/>
  <c r="L73" i="19"/>
  <c r="L74" i="19" s="1"/>
  <c r="AB17" i="17"/>
  <c r="AB18" i="17"/>
  <c r="AB19" i="17" s="1"/>
  <c r="AB77" i="19"/>
  <c r="AC17" i="17"/>
  <c r="AC18" i="17"/>
  <c r="AC19" i="17" s="1"/>
  <c r="AC47" i="17"/>
  <c r="AE55" i="18"/>
  <c r="AE47" i="18"/>
  <c r="AA109" i="19"/>
  <c r="AA110" i="19" s="1"/>
  <c r="AD77" i="19"/>
  <c r="AD108" i="19"/>
  <c r="AD109" i="19"/>
  <c r="AD110" i="19" s="1"/>
  <c r="N11" i="18"/>
  <c r="J11" i="18" s="1"/>
  <c r="N54" i="18"/>
  <c r="M54" i="18" s="1"/>
  <c r="H98" i="18"/>
  <c r="H99" i="18" s="1"/>
  <c r="AA19" i="18"/>
  <c r="AI8" i="18"/>
  <c r="AB70" i="18"/>
  <c r="AB71" i="18" s="1"/>
  <c r="AG52" i="18"/>
  <c r="AF52" i="18" s="1"/>
  <c r="AE52" i="18"/>
  <c r="AI38" i="18"/>
  <c r="BC7" i="18"/>
  <c r="BA30" i="18"/>
  <c r="AZ30" i="18" s="1"/>
  <c r="BA34" i="18"/>
  <c r="AZ34" i="18" s="1"/>
  <c r="AV20" i="18"/>
  <c r="AV21" i="18" s="1"/>
  <c r="J65" i="19"/>
  <c r="AB109" i="19"/>
  <c r="AB110" i="19" s="1"/>
  <c r="AB108" i="19"/>
  <c r="AE53" i="17"/>
  <c r="AE54" i="17"/>
  <c r="AE55" i="17" s="1"/>
  <c r="M63" i="19"/>
  <c r="P251" i="19"/>
  <c r="P252" i="19" s="1"/>
  <c r="AA19" i="19"/>
  <c r="AA20" i="19" s="1"/>
  <c r="AA18" i="19"/>
  <c r="AB18" i="19"/>
  <c r="AB19" i="19"/>
  <c r="AB20" i="19" s="1"/>
  <c r="AD73" i="19"/>
  <c r="AD74" i="19" s="1"/>
  <c r="AD72" i="19"/>
  <c r="AB73" i="19"/>
  <c r="AB74" i="19" s="1"/>
  <c r="AD18" i="19"/>
  <c r="AD19" i="19"/>
  <c r="AD20" i="19" s="1"/>
  <c r="P206" i="19"/>
  <c r="AA73" i="19"/>
  <c r="AA74" i="19" s="1"/>
  <c r="AA72" i="19"/>
  <c r="AG48" i="18"/>
  <c r="AF48" i="18" s="1"/>
  <c r="AI54" i="18"/>
  <c r="I72" i="18"/>
  <c r="I73" i="18" s="1"/>
  <c r="I93" i="18"/>
  <c r="I94" i="18" s="1"/>
  <c r="N62" i="18"/>
  <c r="K62" i="18" s="1"/>
  <c r="L60" i="18"/>
  <c r="AB19" i="18"/>
  <c r="AI7" i="18"/>
  <c r="AG30" i="18"/>
  <c r="AC30" i="18" s="1"/>
  <c r="AG53" i="18"/>
  <c r="AF53" i="18" s="1"/>
  <c r="AG49" i="18"/>
  <c r="AI53" i="18"/>
  <c r="AI49" i="18"/>
  <c r="AI45" i="18"/>
  <c r="AI41" i="18"/>
  <c r="AI37" i="18"/>
  <c r="AB62" i="18"/>
  <c r="AA69" i="18"/>
  <c r="BA11" i="18"/>
  <c r="AZ11" i="18" s="1"/>
  <c r="M235" i="19"/>
  <c r="N250" i="19"/>
  <c r="N251" i="19"/>
  <c r="N252" i="19" s="1"/>
  <c r="P250" i="19"/>
  <c r="N35" i="18"/>
  <c r="J35" i="18" s="1"/>
  <c r="L62" i="18"/>
  <c r="AG54" i="18"/>
  <c r="AG50" i="18"/>
  <c r="AC50" i="18" s="1"/>
  <c r="AG46" i="18"/>
  <c r="AI44" i="18"/>
  <c r="AI40" i="18"/>
  <c r="AA62" i="18"/>
  <c r="AA70" i="18"/>
  <c r="AA71" i="18" s="1"/>
  <c r="BA31" i="18"/>
  <c r="AZ31" i="18" s="1"/>
  <c r="AY11" i="18"/>
  <c r="AY20" i="18" s="1"/>
  <c r="AY21" i="18" s="1"/>
  <c r="J62" i="19"/>
  <c r="K242" i="19"/>
  <c r="AI50" i="18"/>
  <c r="AI46" i="18"/>
  <c r="AU19" i="18"/>
  <c r="AU20" i="18"/>
  <c r="AU21" i="18" s="1"/>
  <c r="I82" i="18"/>
  <c r="I83" i="18" s="1"/>
  <c r="I76" i="18"/>
  <c r="N64" i="18"/>
  <c r="M64" i="18" s="1"/>
  <c r="L64" i="18"/>
  <c r="I98" i="18"/>
  <c r="I99" i="18" s="1"/>
  <c r="AG7" i="18"/>
  <c r="AF7" i="18" s="1"/>
  <c r="AA20" i="18"/>
  <c r="AA21" i="18" s="1"/>
  <c r="AG55" i="18"/>
  <c r="AF55" i="18" s="1"/>
  <c r="AG51" i="18"/>
  <c r="AF51" i="18" s="1"/>
  <c r="AG47" i="18"/>
  <c r="AF47" i="18" s="1"/>
  <c r="AA63" i="18"/>
  <c r="AA64" i="18" s="1"/>
  <c r="BA33" i="18"/>
  <c r="AZ33" i="18" s="1"/>
  <c r="BC37" i="18"/>
  <c r="AV19" i="18"/>
  <c r="J63" i="19"/>
  <c r="J235" i="19"/>
  <c r="K243" i="19"/>
  <c r="L250" i="19"/>
  <c r="L251" i="19"/>
  <c r="L252" i="19" s="1"/>
  <c r="J220" i="19"/>
  <c r="J212" i="19"/>
  <c r="N226" i="19"/>
  <c r="N227" i="19" s="1"/>
  <c r="N225" i="19"/>
  <c r="M220" i="19"/>
  <c r="L226" i="19"/>
  <c r="L227" i="19" s="1"/>
  <c r="L225" i="19"/>
  <c r="P207" i="19"/>
  <c r="P208" i="19" s="1"/>
  <c r="P225" i="19"/>
  <c r="P226" i="19"/>
  <c r="P227" i="19" s="1"/>
  <c r="K277" i="19"/>
  <c r="J238" i="19"/>
  <c r="K235" i="19"/>
  <c r="J242" i="19"/>
  <c r="K184" i="19"/>
  <c r="P77" i="19"/>
  <c r="J90" i="19"/>
  <c r="K167" i="19"/>
  <c r="M60" i="19"/>
  <c r="J239" i="19"/>
  <c r="K239" i="19"/>
  <c r="N207" i="19"/>
  <c r="N208" i="19" s="1"/>
  <c r="N206" i="19"/>
  <c r="L207" i="19"/>
  <c r="L208" i="19" s="1"/>
  <c r="L206" i="19"/>
  <c r="K91" i="19"/>
  <c r="J183" i="19"/>
  <c r="L189" i="19"/>
  <c r="K86" i="19"/>
  <c r="P190" i="19"/>
  <c r="P191" i="19" s="1"/>
  <c r="M185" i="19"/>
  <c r="K185" i="19"/>
  <c r="J60" i="19"/>
  <c r="M62" i="19"/>
  <c r="J185" i="19"/>
  <c r="J64" i="19"/>
  <c r="K92" i="19"/>
  <c r="J86" i="19"/>
  <c r="J149" i="19"/>
  <c r="J184" i="19"/>
  <c r="P189" i="19"/>
  <c r="K237" i="19"/>
  <c r="M218" i="19"/>
  <c r="K218" i="19"/>
  <c r="K199" i="19"/>
  <c r="J176" i="19"/>
  <c r="N190" i="19"/>
  <c r="N191" i="19" s="1"/>
  <c r="N189" i="19"/>
  <c r="M64" i="19"/>
  <c r="M219" i="19"/>
  <c r="K219" i="19"/>
  <c r="M215" i="19"/>
  <c r="K215" i="19"/>
  <c r="M213" i="19"/>
  <c r="K213" i="19"/>
  <c r="M212" i="19"/>
  <c r="K212" i="19"/>
  <c r="L190" i="19"/>
  <c r="L191" i="19" s="1"/>
  <c r="J67" i="19"/>
  <c r="M66" i="19"/>
  <c r="J66" i="19"/>
  <c r="K149" i="19"/>
  <c r="J167" i="19"/>
  <c r="J237" i="19"/>
  <c r="M217" i="19"/>
  <c r="K217" i="19"/>
  <c r="M216" i="19"/>
  <c r="K216" i="19"/>
  <c r="K238" i="19"/>
  <c r="M67" i="19"/>
  <c r="J218" i="19"/>
  <c r="M214" i="19"/>
  <c r="K214" i="19"/>
  <c r="K183" i="19"/>
  <c r="M236" i="19"/>
  <c r="K236" i="19"/>
  <c r="M240" i="19"/>
  <c r="K240" i="19"/>
  <c r="J240" i="19"/>
  <c r="J241" i="19"/>
  <c r="M244" i="19"/>
  <c r="K244" i="19"/>
  <c r="K241" i="19"/>
  <c r="J244" i="19"/>
  <c r="P172" i="19"/>
  <c r="P173" i="19" s="1"/>
  <c r="L172" i="19"/>
  <c r="L173" i="19" s="1"/>
  <c r="L171" i="19"/>
  <c r="M161" i="19"/>
  <c r="N172" i="19"/>
  <c r="N173" i="19" s="1"/>
  <c r="N171" i="19"/>
  <c r="P171" i="19"/>
  <c r="M61" i="19"/>
  <c r="M65" i="19"/>
  <c r="L72" i="19"/>
  <c r="M88" i="19"/>
  <c r="M98" i="19" s="1"/>
  <c r="M99" i="19" s="1"/>
  <c r="J178" i="19"/>
  <c r="L155" i="19"/>
  <c r="M151" i="19"/>
  <c r="K151" i="19"/>
  <c r="K150" i="19"/>
  <c r="M143" i="19"/>
  <c r="N156" i="19"/>
  <c r="N157" i="19" s="1"/>
  <c r="N155" i="19"/>
  <c r="J150" i="19"/>
  <c r="J116" i="19"/>
  <c r="P136" i="19"/>
  <c r="P156" i="19"/>
  <c r="P157" i="19" s="1"/>
  <c r="P155" i="19"/>
  <c r="J148" i="19"/>
  <c r="L121" i="19"/>
  <c r="L122" i="19" s="1"/>
  <c r="M116" i="19"/>
  <c r="P121" i="19"/>
  <c r="P122" i="19" s="1"/>
  <c r="J144" i="19"/>
  <c r="J128" i="19"/>
  <c r="P137" i="19"/>
  <c r="P138" i="19" s="1"/>
  <c r="M126" i="19"/>
  <c r="N137" i="19"/>
  <c r="N138" i="19" s="1"/>
  <c r="N136" i="19"/>
  <c r="J127" i="19"/>
  <c r="K148" i="19"/>
  <c r="K127" i="19"/>
  <c r="M132" i="19"/>
  <c r="K132" i="19"/>
  <c r="L137" i="19"/>
  <c r="L138" i="19" s="1"/>
  <c r="L136" i="19"/>
  <c r="K144" i="19"/>
  <c r="M145" i="19"/>
  <c r="K145" i="19"/>
  <c r="J145" i="19"/>
  <c r="J109" i="19"/>
  <c r="N121" i="19"/>
  <c r="N122" i="19" s="1"/>
  <c r="N120" i="19"/>
  <c r="P120" i="19"/>
  <c r="J131" i="19"/>
  <c r="L120" i="19"/>
  <c r="K131" i="19"/>
  <c r="J93" i="19"/>
  <c r="J87" i="19"/>
  <c r="N98" i="19"/>
  <c r="N99" i="19" s="1"/>
  <c r="K88" i="19"/>
  <c r="J92" i="19"/>
  <c r="J91" i="19"/>
  <c r="K93" i="19"/>
  <c r="K87" i="19"/>
  <c r="K90" i="19"/>
  <c r="J89" i="19"/>
  <c r="P98" i="19"/>
  <c r="P99" i="19" s="1"/>
  <c r="P97" i="19"/>
  <c r="K89" i="19"/>
  <c r="N97" i="19"/>
  <c r="L98" i="19"/>
  <c r="L99" i="19" s="1"/>
  <c r="L97" i="19"/>
  <c r="I49" i="19"/>
  <c r="I50" i="19" s="1"/>
  <c r="K125" i="19"/>
  <c r="M125" i="19"/>
  <c r="M130" i="19"/>
  <c r="K130" i="19"/>
  <c r="J277" i="19"/>
  <c r="M58" i="19"/>
  <c r="N73" i="19"/>
  <c r="N74" i="19" s="1"/>
  <c r="N72" i="19"/>
  <c r="J61" i="19"/>
  <c r="K129" i="19"/>
  <c r="M129" i="19"/>
  <c r="J125" i="19"/>
  <c r="J130" i="19"/>
  <c r="L77" i="19"/>
  <c r="L78" i="19"/>
  <c r="L79" i="19" s="1"/>
  <c r="J147" i="19"/>
  <c r="J126" i="19"/>
  <c r="K59" i="19"/>
  <c r="N78" i="19"/>
  <c r="N79" i="19" s="1"/>
  <c r="N77" i="19"/>
  <c r="K126" i="19"/>
  <c r="M146" i="19"/>
  <c r="K146" i="19"/>
  <c r="J143" i="19"/>
  <c r="M142" i="19"/>
  <c r="K142" i="19"/>
  <c r="J142" i="19"/>
  <c r="K143" i="19"/>
  <c r="K147" i="19"/>
  <c r="P48" i="19"/>
  <c r="P73" i="19"/>
  <c r="P74" i="19" s="1"/>
  <c r="P72" i="19"/>
  <c r="P78" i="19"/>
  <c r="P79" i="19" s="1"/>
  <c r="L49" i="19"/>
  <c r="L50" i="19" s="1"/>
  <c r="L48" i="19"/>
  <c r="J35" i="19"/>
  <c r="P37" i="19"/>
  <c r="P44" i="19" s="1"/>
  <c r="P45" i="19" s="1"/>
  <c r="H43" i="19"/>
  <c r="H44" i="19"/>
  <c r="H45" i="19" s="1"/>
  <c r="J31" i="19"/>
  <c r="N49" i="19"/>
  <c r="N50" i="19" s="1"/>
  <c r="N48" i="19"/>
  <c r="I48" i="19"/>
  <c r="K178" i="19"/>
  <c r="L37" i="19"/>
  <c r="L43" i="19" s="1"/>
  <c r="N37" i="19"/>
  <c r="J37" i="19" s="1"/>
  <c r="M32" i="19"/>
  <c r="K32" i="19"/>
  <c r="M31" i="19"/>
  <c r="K31" i="19"/>
  <c r="M33" i="19"/>
  <c r="K33" i="19"/>
  <c r="M35" i="19"/>
  <c r="K35" i="19"/>
  <c r="M30" i="19"/>
  <c r="K30" i="19"/>
  <c r="M34" i="19"/>
  <c r="K34" i="19"/>
  <c r="J30" i="19"/>
  <c r="J32" i="19"/>
  <c r="J34" i="19"/>
  <c r="M36" i="19"/>
  <c r="K36" i="19"/>
  <c r="M38" i="19"/>
  <c r="K38" i="19"/>
  <c r="J36" i="19"/>
  <c r="M179" i="19"/>
  <c r="M280" i="19"/>
  <c r="K201" i="19"/>
  <c r="J199" i="19"/>
  <c r="J7" i="19"/>
  <c r="N19" i="19"/>
  <c r="N20" i="19" s="1"/>
  <c r="N18" i="19"/>
  <c r="J201" i="19"/>
  <c r="J181" i="19"/>
  <c r="P18" i="19"/>
  <c r="P19" i="19"/>
  <c r="P20" i="19" s="1"/>
  <c r="K202" i="19"/>
  <c r="J298" i="19"/>
  <c r="K298" i="19"/>
  <c r="M10" i="19"/>
  <c r="K10" i="19"/>
  <c r="M14" i="19"/>
  <c r="K14" i="19"/>
  <c r="J10" i="19"/>
  <c r="J164" i="19"/>
  <c r="J296" i="19"/>
  <c r="J197" i="19"/>
  <c r="M176" i="19"/>
  <c r="M7" i="19"/>
  <c r="K7" i="19"/>
  <c r="M11" i="19"/>
  <c r="K11" i="19"/>
  <c r="J14" i="19"/>
  <c r="M8" i="19"/>
  <c r="K8" i="19"/>
  <c r="M12" i="19"/>
  <c r="K12" i="19"/>
  <c r="J194" i="19"/>
  <c r="M9" i="19"/>
  <c r="K9" i="19"/>
  <c r="M13" i="19"/>
  <c r="K13" i="19"/>
  <c r="J13" i="19"/>
  <c r="J11" i="19"/>
  <c r="M202" i="19"/>
  <c r="J108" i="19"/>
  <c r="K177" i="19"/>
  <c r="K108" i="19"/>
  <c r="K200" i="19"/>
  <c r="K197" i="19"/>
  <c r="J115" i="19"/>
  <c r="J114" i="19"/>
  <c r="K166" i="19"/>
  <c r="J166" i="19"/>
  <c r="K58" i="19"/>
  <c r="K115" i="19"/>
  <c r="J58" i="19"/>
  <c r="K278" i="19"/>
  <c r="K194" i="19"/>
  <c r="K179" i="19"/>
  <c r="J160" i="19"/>
  <c r="K114" i="19"/>
  <c r="J112" i="19"/>
  <c r="J180" i="19"/>
  <c r="J165" i="19"/>
  <c r="K280" i="19"/>
  <c r="K275" i="19"/>
  <c r="K182" i="19"/>
  <c r="K297" i="19"/>
  <c r="J297" i="19"/>
  <c r="K176" i="19"/>
  <c r="M111" i="19"/>
  <c r="J111" i="19"/>
  <c r="J198" i="19"/>
  <c r="M198" i="19"/>
  <c r="K180" i="19"/>
  <c r="M276" i="19"/>
  <c r="J276" i="19"/>
  <c r="K246" i="19"/>
  <c r="J177" i="19"/>
  <c r="J182" i="19"/>
  <c r="K112" i="19"/>
  <c r="M299" i="19"/>
  <c r="K299" i="19"/>
  <c r="J294" i="19"/>
  <c r="M294" i="19"/>
  <c r="M281" i="19"/>
  <c r="K281" i="19"/>
  <c r="M196" i="19"/>
  <c r="K196" i="19"/>
  <c r="J299" i="19"/>
  <c r="J281" i="19"/>
  <c r="K279" i="19"/>
  <c r="J161" i="19"/>
  <c r="K282" i="19"/>
  <c r="M283" i="19"/>
  <c r="J283" i="19"/>
  <c r="K294" i="19"/>
  <c r="K181" i="19"/>
  <c r="M109" i="19"/>
  <c r="K109" i="19"/>
  <c r="M163" i="19"/>
  <c r="K163" i="19"/>
  <c r="J282" i="19"/>
  <c r="J245" i="19"/>
  <c r="K296" i="19"/>
  <c r="J196" i="19"/>
  <c r="K161" i="19"/>
  <c r="M295" i="19"/>
  <c r="K295" i="19"/>
  <c r="M195" i="19"/>
  <c r="K195" i="19"/>
  <c r="M162" i="19"/>
  <c r="J162" i="19"/>
  <c r="K110" i="19"/>
  <c r="J278" i="19"/>
  <c r="J110" i="19"/>
  <c r="M275" i="19"/>
  <c r="J200" i="19"/>
  <c r="K165" i="19"/>
  <c r="M160" i="19"/>
  <c r="J279" i="19"/>
  <c r="J246" i="19"/>
  <c r="J195" i="19"/>
  <c r="J163" i="19"/>
  <c r="M113" i="19"/>
  <c r="K113" i="19"/>
  <c r="K164" i="19"/>
  <c r="K245" i="19"/>
  <c r="AW11" i="18"/>
  <c r="BA13" i="18"/>
  <c r="BA9" i="18"/>
  <c r="BA10" i="18"/>
  <c r="AZ10" i="18" s="1"/>
  <c r="BC8" i="18"/>
  <c r="BC12" i="18"/>
  <c r="BC31" i="18"/>
  <c r="AX34" i="18"/>
  <c r="BC35" i="18"/>
  <c r="BC30" i="18"/>
  <c r="BA32" i="18"/>
  <c r="AZ32" i="18" s="1"/>
  <c r="BC34" i="18"/>
  <c r="BA36" i="18"/>
  <c r="AZ36" i="18" s="1"/>
  <c r="BC38" i="18"/>
  <c r="AY29" i="18"/>
  <c r="AY30" i="18"/>
  <c r="AY31" i="18"/>
  <c r="AY32" i="18"/>
  <c r="AY33" i="18"/>
  <c r="AY34" i="18"/>
  <c r="AY35" i="18"/>
  <c r="AY36" i="18"/>
  <c r="AY37" i="18"/>
  <c r="AY38" i="18"/>
  <c r="AW34" i="18"/>
  <c r="AW38" i="18"/>
  <c r="BC10" i="18"/>
  <c r="BC9" i="18"/>
  <c r="BC13" i="18"/>
  <c r="AZ7" i="18"/>
  <c r="AG43" i="18"/>
  <c r="AF43" i="18" s="1"/>
  <c r="AG39" i="18"/>
  <c r="AF39" i="18" s="1"/>
  <c r="AG35" i="18"/>
  <c r="AF35" i="18" s="1"/>
  <c r="AG31" i="18"/>
  <c r="AF31" i="18" s="1"/>
  <c r="AE39" i="18"/>
  <c r="AG34" i="18"/>
  <c r="AC34" i="18" s="1"/>
  <c r="AE43" i="18"/>
  <c r="AG38" i="18"/>
  <c r="AC38" i="18" s="1"/>
  <c r="AG42" i="18"/>
  <c r="AF42" i="18" s="1"/>
  <c r="AE31" i="18"/>
  <c r="AC44" i="18"/>
  <c r="AF44" i="18"/>
  <c r="AC40" i="18"/>
  <c r="AF40" i="18"/>
  <c r="AC36" i="18"/>
  <c r="AF36" i="18"/>
  <c r="AC32" i="18"/>
  <c r="AF32" i="18"/>
  <c r="AD44" i="18"/>
  <c r="AD40" i="18"/>
  <c r="AD36" i="18"/>
  <c r="AD32" i="18"/>
  <c r="AG45" i="18"/>
  <c r="AD45" i="18" s="1"/>
  <c r="AE44" i="18"/>
  <c r="AG41" i="18"/>
  <c r="AD41" i="18" s="1"/>
  <c r="AE40" i="18"/>
  <c r="AG37" i="18"/>
  <c r="AD37" i="18" s="1"/>
  <c r="AE36" i="18"/>
  <c r="AG33" i="18"/>
  <c r="AC33" i="18" s="1"/>
  <c r="AE32" i="18"/>
  <c r="AI36" i="18"/>
  <c r="AI29" i="18"/>
  <c r="AI30" i="18"/>
  <c r="AI31" i="18"/>
  <c r="AI32" i="18"/>
  <c r="AI33" i="18"/>
  <c r="AI34" i="18"/>
  <c r="AI35" i="18"/>
  <c r="AG29" i="18"/>
  <c r="AG11" i="18"/>
  <c r="AF11" i="18" s="1"/>
  <c r="AG10" i="18"/>
  <c r="AF10" i="18" s="1"/>
  <c r="AG9" i="18"/>
  <c r="AC9" i="18" s="1"/>
  <c r="AG13" i="18"/>
  <c r="AF13" i="18" s="1"/>
  <c r="AF12" i="18"/>
  <c r="AD12" i="18"/>
  <c r="AE7" i="18"/>
  <c r="AE8" i="18"/>
  <c r="AE9" i="18"/>
  <c r="AE10" i="18"/>
  <c r="AE11" i="18"/>
  <c r="AE12" i="18"/>
  <c r="AE13" i="18"/>
  <c r="AC12" i="18"/>
  <c r="K58" i="18"/>
  <c r="K60" i="18"/>
  <c r="N40" i="18"/>
  <c r="J40" i="18" s="1"/>
  <c r="N36" i="18"/>
  <c r="J36" i="18" s="1"/>
  <c r="N32" i="18"/>
  <c r="J32" i="18" s="1"/>
  <c r="L54" i="18"/>
  <c r="H77" i="18"/>
  <c r="H78" i="18" s="1"/>
  <c r="I77" i="18"/>
  <c r="I78" i="18" s="1"/>
  <c r="I81" i="18"/>
  <c r="I97" i="18"/>
  <c r="P56" i="18"/>
  <c r="N10" i="18"/>
  <c r="J10" i="18" s="1"/>
  <c r="N53" i="18"/>
  <c r="J53" i="18" s="1"/>
  <c r="L59" i="18"/>
  <c r="N56" i="18"/>
  <c r="M56" i="18" s="1"/>
  <c r="I71" i="18"/>
  <c r="H71" i="18"/>
  <c r="H81" i="18"/>
  <c r="I92" i="18"/>
  <c r="H97" i="18"/>
  <c r="H72" i="18"/>
  <c r="H73" i="18" s="1"/>
  <c r="H82" i="18"/>
  <c r="H83" i="18" s="1"/>
  <c r="H92" i="18"/>
  <c r="H76" i="18"/>
  <c r="H93" i="18"/>
  <c r="H94" i="18" s="1"/>
  <c r="J60" i="18"/>
  <c r="N63" i="18"/>
  <c r="K63" i="18" s="1"/>
  <c r="N61" i="18"/>
  <c r="N59" i="18"/>
  <c r="N57" i="18"/>
  <c r="J58" i="18"/>
  <c r="L35" i="18"/>
  <c r="L52" i="18"/>
  <c r="L14" i="18"/>
  <c r="L32" i="18"/>
  <c r="N51" i="18"/>
  <c r="J51" i="18" s="1"/>
  <c r="N55" i="18"/>
  <c r="M55" i="18" s="1"/>
  <c r="P55" i="18"/>
  <c r="N9" i="18"/>
  <c r="K9" i="18" s="1"/>
  <c r="L40" i="18"/>
  <c r="L81" i="18" s="1"/>
  <c r="L51" i="18"/>
  <c r="N39" i="18"/>
  <c r="M39" i="18" s="1"/>
  <c r="L53" i="18"/>
  <c r="N44" i="18"/>
  <c r="K52" i="18"/>
  <c r="N49" i="18"/>
  <c r="M49" i="18" s="1"/>
  <c r="N48" i="18"/>
  <c r="K48" i="18" s="1"/>
  <c r="I19" i="18"/>
  <c r="L15" i="18"/>
  <c r="N43" i="18"/>
  <c r="M43" i="18" s="1"/>
  <c r="L36" i="18"/>
  <c r="P52" i="18"/>
  <c r="N50" i="18"/>
  <c r="M50" i="18" s="1"/>
  <c r="L49" i="18"/>
  <c r="L48" i="18"/>
  <c r="N47" i="18"/>
  <c r="M47" i="18" s="1"/>
  <c r="N31" i="18"/>
  <c r="N15" i="18"/>
  <c r="M15" i="18" s="1"/>
  <c r="P57" i="18"/>
  <c r="P53" i="18"/>
  <c r="P54" i="18"/>
  <c r="H19" i="18"/>
  <c r="H20" i="18"/>
  <c r="H21" i="18" s="1"/>
  <c r="I20" i="18"/>
  <c r="I21" i="18" s="1"/>
  <c r="N45" i="18"/>
  <c r="K45" i="18" s="1"/>
  <c r="N41" i="18"/>
  <c r="K41" i="18" s="1"/>
  <c r="N37" i="18"/>
  <c r="N33" i="18"/>
  <c r="K14" i="18"/>
  <c r="P38" i="18"/>
  <c r="N46" i="18"/>
  <c r="M46" i="18" s="1"/>
  <c r="N42" i="18"/>
  <c r="M42" i="18" s="1"/>
  <c r="N38" i="18"/>
  <c r="M38" i="18" s="1"/>
  <c r="N34" i="18"/>
  <c r="M34" i="18" s="1"/>
  <c r="N30" i="18"/>
  <c r="N29" i="18"/>
  <c r="K29" i="18" s="1"/>
  <c r="P36" i="18"/>
  <c r="K11" i="18"/>
  <c r="M11" i="18"/>
  <c r="P16" i="18"/>
  <c r="M14" i="18"/>
  <c r="N16" i="18"/>
  <c r="M16" i="18" s="1"/>
  <c r="N12" i="18"/>
  <c r="M12" i="18" s="1"/>
  <c r="N8" i="18"/>
  <c r="M8" i="18" s="1"/>
  <c r="N13" i="18"/>
  <c r="M13" i="18" s="1"/>
  <c r="P11" i="18"/>
  <c r="P7" i="18"/>
  <c r="P8" i="18"/>
  <c r="P13" i="18"/>
  <c r="P30" i="18"/>
  <c r="P32" i="18"/>
  <c r="P31" i="18"/>
  <c r="P33" i="18"/>
  <c r="P10" i="18"/>
  <c r="P12" i="18"/>
  <c r="P14" i="18"/>
  <c r="P9" i="18"/>
  <c r="P44" i="18"/>
  <c r="P34" i="18"/>
  <c r="P41" i="18"/>
  <c r="P43" i="18"/>
  <c r="N7" i="18"/>
  <c r="P29" i="18"/>
  <c r="P35" i="18"/>
  <c r="P37" i="18"/>
  <c r="P40" i="18"/>
  <c r="P42" i="18"/>
  <c r="P47" i="18"/>
  <c r="P51" i="18"/>
  <c r="O314" i="17"/>
  <c r="O315" i="17" s="1"/>
  <c r="P314" i="17"/>
  <c r="P315" i="17" s="1"/>
  <c r="O313" i="17"/>
  <c r="P313" i="17"/>
  <c r="H310" i="17"/>
  <c r="H292" i="17"/>
  <c r="L292" i="17" s="1"/>
  <c r="I292" i="17"/>
  <c r="H293" i="17"/>
  <c r="L293" i="17" s="1"/>
  <c r="I293" i="17"/>
  <c r="H294" i="17"/>
  <c r="L294" i="17" s="1"/>
  <c r="I294" i="17"/>
  <c r="H295" i="17"/>
  <c r="L295" i="17" s="1"/>
  <c r="I295" i="17"/>
  <c r="H296" i="17"/>
  <c r="L296" i="17" s="1"/>
  <c r="I296" i="17"/>
  <c r="H297" i="17"/>
  <c r="L297" i="17" s="1"/>
  <c r="I297" i="17"/>
  <c r="H298" i="17"/>
  <c r="L298" i="17" s="1"/>
  <c r="I298" i="17"/>
  <c r="H299" i="17"/>
  <c r="L299" i="17" s="1"/>
  <c r="I299" i="17"/>
  <c r="H300" i="17"/>
  <c r="L300" i="17" s="1"/>
  <c r="I300" i="17"/>
  <c r="H301" i="17"/>
  <c r="L301" i="17" s="1"/>
  <c r="I301" i="17"/>
  <c r="H302" i="17"/>
  <c r="L302" i="17" s="1"/>
  <c r="I302" i="17"/>
  <c r="H303" i="17"/>
  <c r="L303" i="17" s="1"/>
  <c r="I303" i="17"/>
  <c r="H304" i="17"/>
  <c r="L304" i="17" s="1"/>
  <c r="I304" i="17"/>
  <c r="H305" i="17"/>
  <c r="L305" i="17" s="1"/>
  <c r="I305" i="17"/>
  <c r="H306" i="17"/>
  <c r="L306" i="17" s="1"/>
  <c r="I306" i="17"/>
  <c r="H307" i="17"/>
  <c r="L307" i="17" s="1"/>
  <c r="I307" i="17"/>
  <c r="H308" i="17"/>
  <c r="L308" i="17" s="1"/>
  <c r="I308" i="17"/>
  <c r="H309" i="17"/>
  <c r="L309" i="17" s="1"/>
  <c r="I309" i="17"/>
  <c r="I291" i="17"/>
  <c r="H291" i="17"/>
  <c r="O270" i="17"/>
  <c r="O271" i="17" s="1"/>
  <c r="P270" i="17"/>
  <c r="P271" i="17" s="1"/>
  <c r="O269" i="17"/>
  <c r="P269" i="17"/>
  <c r="O287" i="17"/>
  <c r="O288" i="17" s="1"/>
  <c r="P287" i="17"/>
  <c r="P288" i="17" s="1"/>
  <c r="O286" i="17"/>
  <c r="P286" i="17"/>
  <c r="H274" i="17"/>
  <c r="L274" i="17" s="1"/>
  <c r="I274" i="17"/>
  <c r="H275" i="17"/>
  <c r="L275" i="17" s="1"/>
  <c r="I275" i="17"/>
  <c r="H276" i="17"/>
  <c r="L276" i="17" s="1"/>
  <c r="I276" i="17"/>
  <c r="H277" i="17"/>
  <c r="L277" i="17" s="1"/>
  <c r="I277" i="17"/>
  <c r="H278" i="17"/>
  <c r="L278" i="17" s="1"/>
  <c r="I278" i="17"/>
  <c r="H279" i="17"/>
  <c r="L279" i="17" s="1"/>
  <c r="I279" i="17"/>
  <c r="H280" i="17"/>
  <c r="L280" i="17" s="1"/>
  <c r="I280" i="17"/>
  <c r="H281" i="17"/>
  <c r="L281" i="17" s="1"/>
  <c r="I281" i="17"/>
  <c r="H282" i="17"/>
  <c r="L282" i="17" s="1"/>
  <c r="I282" i="17"/>
  <c r="H283" i="17"/>
  <c r="H258" i="17"/>
  <c r="L258" i="17" s="1"/>
  <c r="I258" i="17"/>
  <c r="H259" i="17"/>
  <c r="L259" i="17" s="1"/>
  <c r="I259" i="17"/>
  <c r="H260" i="17"/>
  <c r="L260" i="17" s="1"/>
  <c r="I260" i="17"/>
  <c r="H261" i="17"/>
  <c r="I261" i="17"/>
  <c r="H262" i="17"/>
  <c r="L262" i="17" s="1"/>
  <c r="I262" i="17"/>
  <c r="H263" i="17"/>
  <c r="L263" i="17" s="1"/>
  <c r="I263" i="17"/>
  <c r="H264" i="17"/>
  <c r="L264" i="17" s="1"/>
  <c r="I264" i="17"/>
  <c r="H265" i="17"/>
  <c r="I265" i="17"/>
  <c r="H266" i="17"/>
  <c r="I257" i="17"/>
  <c r="H257" i="17"/>
  <c r="O253" i="17"/>
  <c r="O254" i="17" s="1"/>
  <c r="P253" i="17"/>
  <c r="P254" i="17" s="1"/>
  <c r="O252" i="17"/>
  <c r="P252" i="17"/>
  <c r="H240" i="17"/>
  <c r="I240" i="17"/>
  <c r="H241" i="17"/>
  <c r="L241" i="17" s="1"/>
  <c r="I241" i="17"/>
  <c r="H242" i="17"/>
  <c r="L242" i="17" s="1"/>
  <c r="I242" i="17"/>
  <c r="H243" i="17"/>
  <c r="L243" i="17" s="1"/>
  <c r="I243" i="17"/>
  <c r="H244" i="17"/>
  <c r="I244" i="17"/>
  <c r="H245" i="17"/>
  <c r="L245" i="17" s="1"/>
  <c r="I245" i="17"/>
  <c r="H246" i="17"/>
  <c r="L246" i="17" s="1"/>
  <c r="I246" i="17"/>
  <c r="H247" i="17"/>
  <c r="L247" i="17" s="1"/>
  <c r="I247" i="17"/>
  <c r="H248" i="17"/>
  <c r="L248" i="17" s="1"/>
  <c r="I248" i="17"/>
  <c r="H249" i="17"/>
  <c r="I239" i="17"/>
  <c r="H239" i="17"/>
  <c r="P235" i="17"/>
  <c r="P236" i="17" s="1"/>
  <c r="O235" i="17"/>
  <c r="O236" i="17" s="1"/>
  <c r="H222" i="17"/>
  <c r="L222" i="17" s="1"/>
  <c r="I222" i="17"/>
  <c r="H223" i="17"/>
  <c r="L223" i="17" s="1"/>
  <c r="I223" i="17"/>
  <c r="H224" i="17"/>
  <c r="L224" i="17" s="1"/>
  <c r="I224" i="17"/>
  <c r="H225" i="17"/>
  <c r="L225" i="17" s="1"/>
  <c r="I225" i="17"/>
  <c r="H226" i="17"/>
  <c r="L226" i="17" s="1"/>
  <c r="I226" i="17"/>
  <c r="H227" i="17"/>
  <c r="L227" i="17" s="1"/>
  <c r="I227" i="17"/>
  <c r="H228" i="17"/>
  <c r="L228" i="17" s="1"/>
  <c r="I228" i="17"/>
  <c r="H229" i="17"/>
  <c r="I229" i="17"/>
  <c r="H230" i="17"/>
  <c r="L230" i="17" s="1"/>
  <c r="I230" i="17"/>
  <c r="H231" i="17"/>
  <c r="I221" i="17"/>
  <c r="H221" i="17"/>
  <c r="I220" i="17"/>
  <c r="H220" i="17"/>
  <c r="L220" i="17" s="1"/>
  <c r="H185" i="17"/>
  <c r="I185" i="17"/>
  <c r="H186" i="17"/>
  <c r="L186" i="17" s="1"/>
  <c r="I186" i="17"/>
  <c r="H187" i="17"/>
  <c r="I187" i="17"/>
  <c r="H188" i="17"/>
  <c r="L188" i="17" s="1"/>
  <c r="I188" i="17"/>
  <c r="H189" i="17"/>
  <c r="I189" i="17"/>
  <c r="H190" i="17"/>
  <c r="L190" i="17" s="1"/>
  <c r="I190" i="17"/>
  <c r="H191" i="17"/>
  <c r="I191" i="17"/>
  <c r="H192" i="17"/>
  <c r="L192" i="17" s="1"/>
  <c r="I192" i="17"/>
  <c r="H193" i="17"/>
  <c r="I193" i="17"/>
  <c r="H194" i="17"/>
  <c r="L194" i="17" s="1"/>
  <c r="I194" i="17"/>
  <c r="H195" i="17"/>
  <c r="I195" i="17"/>
  <c r="H196" i="17"/>
  <c r="L196" i="17" s="1"/>
  <c r="I196" i="17"/>
  <c r="H197" i="17"/>
  <c r="L197" i="17" s="1"/>
  <c r="I197" i="17"/>
  <c r="H198" i="17"/>
  <c r="L198" i="17" s="1"/>
  <c r="I198" i="17"/>
  <c r="H199" i="17"/>
  <c r="I199" i="17"/>
  <c r="H200" i="17"/>
  <c r="L200" i="17" s="1"/>
  <c r="I200" i="17"/>
  <c r="H201" i="17"/>
  <c r="I201" i="17"/>
  <c r="H202" i="17"/>
  <c r="L202" i="17" s="1"/>
  <c r="I202" i="17"/>
  <c r="H203" i="17"/>
  <c r="I203" i="17"/>
  <c r="H204" i="17"/>
  <c r="L204" i="17" s="1"/>
  <c r="I204" i="17"/>
  <c r="H205" i="17"/>
  <c r="I205" i="17"/>
  <c r="H206" i="17"/>
  <c r="L206" i="17" s="1"/>
  <c r="I206" i="17"/>
  <c r="H207" i="17"/>
  <c r="O210" i="17"/>
  <c r="O234" i="17" s="1"/>
  <c r="P210" i="17"/>
  <c r="P234" i="17" s="1"/>
  <c r="P211" i="17"/>
  <c r="P212" i="17" s="1"/>
  <c r="O211" i="17"/>
  <c r="O212" i="17" s="1"/>
  <c r="I184" i="17"/>
  <c r="H184" i="17"/>
  <c r="I160" i="17"/>
  <c r="I161" i="17"/>
  <c r="I162" i="17"/>
  <c r="I163" i="17"/>
  <c r="I164" i="17"/>
  <c r="I165" i="17"/>
  <c r="I166" i="17"/>
  <c r="I167" i="17"/>
  <c r="I168" i="17"/>
  <c r="H161" i="17"/>
  <c r="L161" i="17" s="1"/>
  <c r="H162" i="17"/>
  <c r="L162" i="17" s="1"/>
  <c r="H163" i="17"/>
  <c r="H164" i="17"/>
  <c r="N164" i="17" s="1"/>
  <c r="M164" i="17" s="1"/>
  <c r="H165" i="17"/>
  <c r="L165" i="17" s="1"/>
  <c r="H166" i="17"/>
  <c r="N166" i="17" s="1"/>
  <c r="M166" i="17" s="1"/>
  <c r="H167" i="17"/>
  <c r="N167" i="17" s="1"/>
  <c r="M167" i="17" s="1"/>
  <c r="H168" i="17"/>
  <c r="L168" i="17" s="1"/>
  <c r="H169" i="17"/>
  <c r="P173" i="17"/>
  <c r="P174" i="17" s="1"/>
  <c r="O173" i="17"/>
  <c r="O174" i="17" s="1"/>
  <c r="P172" i="17"/>
  <c r="O172" i="17"/>
  <c r="H160" i="17"/>
  <c r="L160" i="17" s="1"/>
  <c r="I159" i="17"/>
  <c r="H159" i="17"/>
  <c r="I158" i="17"/>
  <c r="H158" i="17"/>
  <c r="L158" i="17" s="1"/>
  <c r="I157" i="17"/>
  <c r="H157" i="17"/>
  <c r="L157" i="17" s="1"/>
  <c r="I156" i="17"/>
  <c r="H156" i="17"/>
  <c r="I155" i="17"/>
  <c r="H155" i="17"/>
  <c r="I154" i="17"/>
  <c r="H154" i="17"/>
  <c r="I153" i="17"/>
  <c r="H153" i="17"/>
  <c r="L153" i="17" s="1"/>
  <c r="P149" i="17"/>
  <c r="P150" i="17" s="1"/>
  <c r="O149" i="17"/>
  <c r="O150" i="17" s="1"/>
  <c r="P148" i="17"/>
  <c r="O148" i="17"/>
  <c r="H145" i="17"/>
  <c r="I144" i="17"/>
  <c r="H144" i="17"/>
  <c r="I143" i="17"/>
  <c r="H143" i="17"/>
  <c r="I142" i="17"/>
  <c r="H142" i="17"/>
  <c r="L142" i="17" s="1"/>
  <c r="I141" i="17"/>
  <c r="H141" i="17"/>
  <c r="I140" i="17"/>
  <c r="H140" i="17"/>
  <c r="I139" i="17"/>
  <c r="H139" i="17"/>
  <c r="I138" i="17"/>
  <c r="H138" i="17"/>
  <c r="L138" i="17" s="1"/>
  <c r="O134" i="17"/>
  <c r="O135" i="17" s="1"/>
  <c r="P134" i="17"/>
  <c r="P135" i="17" s="1"/>
  <c r="O133" i="17"/>
  <c r="P133" i="17"/>
  <c r="H124" i="17"/>
  <c r="I124" i="17"/>
  <c r="H125" i="17"/>
  <c r="L125" i="17" s="1"/>
  <c r="I125" i="17"/>
  <c r="H126" i="17"/>
  <c r="L126" i="17" s="1"/>
  <c r="I126" i="17"/>
  <c r="H127" i="17"/>
  <c r="L127" i="17" s="1"/>
  <c r="I127" i="17"/>
  <c r="H128" i="17"/>
  <c r="L128" i="17" s="1"/>
  <c r="I128" i="17"/>
  <c r="H129" i="17"/>
  <c r="L129" i="17" s="1"/>
  <c r="I129" i="17"/>
  <c r="H130" i="17"/>
  <c r="I123" i="17"/>
  <c r="H123" i="17"/>
  <c r="P119" i="17"/>
  <c r="P120" i="17" s="1"/>
  <c r="O119" i="17"/>
  <c r="O120" i="17" s="1"/>
  <c r="P118" i="17"/>
  <c r="O118" i="17"/>
  <c r="H109" i="17"/>
  <c r="I109" i="17"/>
  <c r="H110" i="17"/>
  <c r="L110" i="17" s="1"/>
  <c r="I110" i="17"/>
  <c r="H111" i="17"/>
  <c r="I111" i="17"/>
  <c r="H112" i="17"/>
  <c r="L112" i="17" s="1"/>
  <c r="I112" i="17"/>
  <c r="H113" i="17"/>
  <c r="L113" i="17" s="1"/>
  <c r="I113" i="17"/>
  <c r="H114" i="17"/>
  <c r="L114" i="17" s="1"/>
  <c r="I114" i="17"/>
  <c r="H115" i="17"/>
  <c r="I108" i="17"/>
  <c r="H108" i="17"/>
  <c r="P104" i="17"/>
  <c r="P105" i="17" s="1"/>
  <c r="O104" i="17"/>
  <c r="O105" i="17" s="1"/>
  <c r="P103" i="17"/>
  <c r="O103" i="17"/>
  <c r="H93" i="17"/>
  <c r="I93" i="17"/>
  <c r="H94" i="17"/>
  <c r="L94" i="17" s="1"/>
  <c r="I94" i="17"/>
  <c r="H95" i="17"/>
  <c r="L95" i="17" s="1"/>
  <c r="I95" i="17"/>
  <c r="H96" i="17"/>
  <c r="L96" i="17" s="1"/>
  <c r="I96" i="17"/>
  <c r="H97" i="17"/>
  <c r="L97" i="17" s="1"/>
  <c r="I97" i="17"/>
  <c r="H98" i="17"/>
  <c r="L98" i="17" s="1"/>
  <c r="I98" i="17"/>
  <c r="H99" i="17"/>
  <c r="I99" i="17"/>
  <c r="H100" i="17"/>
  <c r="I92" i="17"/>
  <c r="H92" i="17"/>
  <c r="O80" i="17"/>
  <c r="O81" i="17" s="1"/>
  <c r="O52" i="17"/>
  <c r="O53" i="17"/>
  <c r="O54" i="17" s="1"/>
  <c r="O48" i="17"/>
  <c r="O49" i="17" s="1"/>
  <c r="O47" i="17"/>
  <c r="H63" i="17"/>
  <c r="I63" i="17"/>
  <c r="H64" i="17"/>
  <c r="L64" i="17" s="1"/>
  <c r="I64" i="17"/>
  <c r="H65" i="17"/>
  <c r="L65" i="17" s="1"/>
  <c r="I65" i="17"/>
  <c r="H66" i="17"/>
  <c r="L66" i="17" s="1"/>
  <c r="I66" i="17"/>
  <c r="H67" i="17"/>
  <c r="I67" i="17"/>
  <c r="H68" i="17"/>
  <c r="L68" i="17" s="1"/>
  <c r="I68" i="17"/>
  <c r="H69" i="17"/>
  <c r="I62" i="17"/>
  <c r="H62" i="17"/>
  <c r="I41" i="17"/>
  <c r="H42" i="17"/>
  <c r="H41" i="17"/>
  <c r="L41" i="17" s="1"/>
  <c r="H40" i="17"/>
  <c r="L40" i="17" s="1"/>
  <c r="I39" i="17"/>
  <c r="I40" i="17"/>
  <c r="H38" i="17"/>
  <c r="L38" i="17" s="1"/>
  <c r="I38" i="17"/>
  <c r="H39" i="17"/>
  <c r="I37" i="17"/>
  <c r="H37" i="17"/>
  <c r="L37" i="17" s="1"/>
  <c r="I36" i="17"/>
  <c r="H36" i="17"/>
  <c r="L36" i="17" s="1"/>
  <c r="I35" i="17"/>
  <c r="H35" i="17"/>
  <c r="P35" i="17" s="1"/>
  <c r="I34" i="17"/>
  <c r="H34" i="17"/>
  <c r="I33" i="17"/>
  <c r="H33" i="17"/>
  <c r="L33" i="17" s="1"/>
  <c r="I32" i="17"/>
  <c r="H32" i="17"/>
  <c r="L32" i="17" s="1"/>
  <c r="I31" i="17"/>
  <c r="H31" i="17"/>
  <c r="I30" i="17"/>
  <c r="H30" i="17"/>
  <c r="P30" i="17" s="1"/>
  <c r="O19" i="17"/>
  <c r="O20" i="17" s="1"/>
  <c r="O18" i="17"/>
  <c r="H15" i="17"/>
  <c r="P15" i="17" s="1"/>
  <c r="I14" i="17"/>
  <c r="H14" i="17"/>
  <c r="P14" i="17" s="1"/>
  <c r="I13" i="17"/>
  <c r="H13" i="17"/>
  <c r="P13" i="17" s="1"/>
  <c r="I12" i="17"/>
  <c r="H12" i="17"/>
  <c r="P12" i="17" s="1"/>
  <c r="I11" i="17"/>
  <c r="H11" i="17"/>
  <c r="L11" i="17" s="1"/>
  <c r="I10" i="17"/>
  <c r="H10" i="17"/>
  <c r="P10" i="17" s="1"/>
  <c r="I9" i="17"/>
  <c r="H9" i="17"/>
  <c r="P9" i="17" s="1"/>
  <c r="I8" i="17"/>
  <c r="H8" i="17"/>
  <c r="P8" i="17" s="1"/>
  <c r="I7" i="17"/>
  <c r="H7" i="17"/>
  <c r="L7" i="17" s="1"/>
  <c r="AF8" i="18" l="1"/>
  <c r="AC52" i="18"/>
  <c r="AX30" i="18"/>
  <c r="AC8" i="18"/>
  <c r="AW30" i="18"/>
  <c r="K257" i="19"/>
  <c r="K258" i="19"/>
  <c r="K259" i="19" s="1"/>
  <c r="K264" i="19"/>
  <c r="K265" i="19"/>
  <c r="K266" i="19" s="1"/>
  <c r="J264" i="19"/>
  <c r="J265" i="19"/>
  <c r="J266" i="19" s="1"/>
  <c r="M265" i="19"/>
  <c r="M266" i="19" s="1"/>
  <c r="M264" i="19"/>
  <c r="J257" i="19"/>
  <c r="J258" i="19"/>
  <c r="J259" i="19" s="1"/>
  <c r="M257" i="19"/>
  <c r="M258" i="19"/>
  <c r="M259" i="19" s="1"/>
  <c r="J62" i="18"/>
  <c r="AD7" i="18"/>
  <c r="AW12" i="18"/>
  <c r="AC7" i="18"/>
  <c r="AC48" i="18"/>
  <c r="AW31" i="18"/>
  <c r="AX31" i="18"/>
  <c r="AX8" i="18"/>
  <c r="J54" i="18"/>
  <c r="AW29" i="18"/>
  <c r="M35" i="18"/>
  <c r="J52" i="18"/>
  <c r="AX29" i="18"/>
  <c r="AW8" i="18"/>
  <c r="AD52" i="18"/>
  <c r="AC43" i="18"/>
  <c r="N189" i="17"/>
  <c r="J189" i="17" s="1"/>
  <c r="AX33" i="18"/>
  <c r="AX11" i="18"/>
  <c r="AC55" i="18"/>
  <c r="J9" i="18"/>
  <c r="AW33" i="18"/>
  <c r="M62" i="18"/>
  <c r="AF33" i="18"/>
  <c r="AW37" i="18"/>
  <c r="AX38" i="18"/>
  <c r="M290" i="19"/>
  <c r="M291" i="19" s="1"/>
  <c r="M289" i="19"/>
  <c r="K307" i="19"/>
  <c r="K308" i="19" s="1"/>
  <c r="K306" i="19"/>
  <c r="M307" i="19"/>
  <c r="M308" i="19" s="1"/>
  <c r="M306" i="19"/>
  <c r="K290" i="19"/>
  <c r="K291" i="19" s="1"/>
  <c r="K289" i="19"/>
  <c r="J290" i="19"/>
  <c r="J291" i="19" s="1"/>
  <c r="J289" i="19"/>
  <c r="J64" i="18"/>
  <c r="K64" i="18"/>
  <c r="AF30" i="18"/>
  <c r="AW36" i="18"/>
  <c r="AX35" i="18"/>
  <c r="J307" i="19"/>
  <c r="J308" i="19" s="1"/>
  <c r="J306" i="19"/>
  <c r="AX12" i="18"/>
  <c r="P92" i="18"/>
  <c r="BC20" i="18"/>
  <c r="BC21" i="18" s="1"/>
  <c r="BC19" i="18"/>
  <c r="N225" i="17"/>
  <c r="M225" i="17" s="1"/>
  <c r="K54" i="18"/>
  <c r="M53" i="18"/>
  <c r="K32" i="18"/>
  <c r="AD30" i="18"/>
  <c r="AW35" i="18"/>
  <c r="AX37" i="18"/>
  <c r="J78" i="19"/>
  <c r="J79" i="19" s="1"/>
  <c r="AY19" i="18"/>
  <c r="N156" i="17"/>
  <c r="M156" i="17" s="1"/>
  <c r="N206" i="17"/>
  <c r="M206" i="17" s="1"/>
  <c r="N277" i="17"/>
  <c r="M277" i="17" s="1"/>
  <c r="N308" i="17"/>
  <c r="M308" i="17" s="1"/>
  <c r="N295" i="17"/>
  <c r="M295" i="17" s="1"/>
  <c r="AC13" i="18"/>
  <c r="AC37" i="18"/>
  <c r="N128" i="17"/>
  <c r="M128" i="17" s="1"/>
  <c r="N205" i="17"/>
  <c r="M205" i="17" s="1"/>
  <c r="N248" i="17"/>
  <c r="M248" i="17" s="1"/>
  <c r="I270" i="17"/>
  <c r="I271" i="17" s="1"/>
  <c r="N292" i="17"/>
  <c r="M292" i="17" s="1"/>
  <c r="K53" i="18"/>
  <c r="L98" i="18"/>
  <c r="L99" i="18" s="1"/>
  <c r="AC39" i="18"/>
  <c r="AD34" i="18"/>
  <c r="H79" i="17"/>
  <c r="I235" i="17"/>
  <c r="I236" i="17" s="1"/>
  <c r="N265" i="17"/>
  <c r="M265" i="17" s="1"/>
  <c r="N261" i="17"/>
  <c r="M261" i="17" s="1"/>
  <c r="I314" i="17"/>
  <c r="I315" i="17" s="1"/>
  <c r="N307" i="17"/>
  <c r="M307" i="17" s="1"/>
  <c r="K15" i="18"/>
  <c r="AC11" i="18"/>
  <c r="AF41" i="18"/>
  <c r="AF34" i="18"/>
  <c r="L205" i="17"/>
  <c r="L286" i="17"/>
  <c r="N300" i="17"/>
  <c r="M300" i="17" s="1"/>
  <c r="I313" i="17"/>
  <c r="L97" i="18"/>
  <c r="AD11" i="18"/>
  <c r="AX10" i="18"/>
  <c r="N190" i="17"/>
  <c r="M190" i="17" s="1"/>
  <c r="N222" i="17"/>
  <c r="M222" i="17" s="1"/>
  <c r="H269" i="17"/>
  <c r="AE63" i="18"/>
  <c r="AE64" i="18" s="1"/>
  <c r="AD48" i="18"/>
  <c r="AC53" i="18"/>
  <c r="AD53" i="18"/>
  <c r="N93" i="17"/>
  <c r="J93" i="17" s="1"/>
  <c r="N127" i="17"/>
  <c r="M127" i="17" s="1"/>
  <c r="N221" i="17"/>
  <c r="K221" i="17" s="1"/>
  <c r="N226" i="17"/>
  <c r="M226" i="17" s="1"/>
  <c r="I286" i="17"/>
  <c r="N278" i="17"/>
  <c r="M278" i="17" s="1"/>
  <c r="I287" i="17"/>
  <c r="I288" i="17" s="1"/>
  <c r="N296" i="17"/>
  <c r="M296" i="17" s="1"/>
  <c r="M36" i="18"/>
  <c r="L19" i="18"/>
  <c r="AD39" i="18"/>
  <c r="AC41" i="18"/>
  <c r="AE69" i="18"/>
  <c r="AW32" i="18"/>
  <c r="BA20" i="18"/>
  <c r="BA21" i="18" s="1"/>
  <c r="L287" i="17"/>
  <c r="L288" i="17" s="1"/>
  <c r="H313" i="17"/>
  <c r="L82" i="18"/>
  <c r="L83" i="18" s="1"/>
  <c r="AG69" i="18"/>
  <c r="AG70" i="18"/>
  <c r="AG71" i="18" s="1"/>
  <c r="BA19" i="18"/>
  <c r="AF54" i="18"/>
  <c r="AD54" i="18"/>
  <c r="M251" i="19"/>
  <c r="M252" i="19" s="1"/>
  <c r="M250" i="19"/>
  <c r="N108" i="17"/>
  <c r="J108" i="17" s="1"/>
  <c r="N110" i="17"/>
  <c r="M110" i="17" s="1"/>
  <c r="N109" i="17"/>
  <c r="M109" i="17" s="1"/>
  <c r="N144" i="17"/>
  <c r="K144" i="17" s="1"/>
  <c r="N163" i="17"/>
  <c r="M163" i="17" s="1"/>
  <c r="L163" i="17"/>
  <c r="N198" i="17"/>
  <c r="N197" i="17"/>
  <c r="J197" i="17" s="1"/>
  <c r="N262" i="17"/>
  <c r="M262" i="17" s="1"/>
  <c r="N274" i="17"/>
  <c r="M274" i="17" s="1"/>
  <c r="I269" i="17"/>
  <c r="N291" i="17"/>
  <c r="J291" i="17" s="1"/>
  <c r="N304" i="17"/>
  <c r="M304" i="17" s="1"/>
  <c r="N299" i="17"/>
  <c r="M299" i="17" s="1"/>
  <c r="K296" i="17"/>
  <c r="H314" i="17"/>
  <c r="H315" i="17" s="1"/>
  <c r="J55" i="18"/>
  <c r="L76" i="18"/>
  <c r="K36" i="18"/>
  <c r="K35" i="18"/>
  <c r="AC31" i="18"/>
  <c r="AD31" i="18"/>
  <c r="AD43" i="18"/>
  <c r="AD33" i="18"/>
  <c r="AG62" i="18"/>
  <c r="AG63" i="18"/>
  <c r="AG64" i="18" s="1"/>
  <c r="AW10" i="18"/>
  <c r="AC54" i="18"/>
  <c r="AF46" i="18"/>
  <c r="AD46" i="18"/>
  <c r="AC46" i="18"/>
  <c r="AF49" i="18"/>
  <c r="AC49" i="18"/>
  <c r="AE70" i="18"/>
  <c r="AE71" i="18" s="1"/>
  <c r="L93" i="17"/>
  <c r="L189" i="17"/>
  <c r="L72" i="18"/>
  <c r="L73" i="18" s="1"/>
  <c r="N97" i="18"/>
  <c r="AC35" i="18"/>
  <c r="K250" i="19"/>
  <c r="K251" i="19"/>
  <c r="K252" i="19" s="1"/>
  <c r="J250" i="19"/>
  <c r="J251" i="19"/>
  <c r="J252" i="19" s="1"/>
  <c r="AE62" i="18"/>
  <c r="AF50" i="18"/>
  <c r="AD50" i="18"/>
  <c r="AC51" i="18"/>
  <c r="AI20" i="18"/>
  <c r="AI21" i="18" s="1"/>
  <c r="AI19" i="18"/>
  <c r="AD47" i="18"/>
  <c r="L265" i="17"/>
  <c r="N258" i="17"/>
  <c r="M258" i="17" s="1"/>
  <c r="N282" i="17"/>
  <c r="M282" i="17" s="1"/>
  <c r="H270" i="17"/>
  <c r="H271" i="17" s="1"/>
  <c r="N303" i="17"/>
  <c r="M303" i="17" s="1"/>
  <c r="K300" i="17"/>
  <c r="I103" i="17"/>
  <c r="N220" i="17"/>
  <c r="J220" i="17" s="1"/>
  <c r="N257" i="17"/>
  <c r="K257" i="17" s="1"/>
  <c r="H286" i="17"/>
  <c r="H287" i="17"/>
  <c r="H288" i="17" s="1"/>
  <c r="K299" i="17"/>
  <c r="K10" i="18"/>
  <c r="P98" i="18"/>
  <c r="P99" i="18" s="1"/>
  <c r="AE19" i="18"/>
  <c r="AE20" i="18"/>
  <c r="AE21" i="18" s="1"/>
  <c r="AI62" i="18"/>
  <c r="AI63" i="18"/>
  <c r="AI64" i="18" s="1"/>
  <c r="AI70" i="18"/>
  <c r="AI71" i="18" s="1"/>
  <c r="AI69" i="18"/>
  <c r="AG19" i="18"/>
  <c r="AG20" i="18"/>
  <c r="AG21" i="18" s="1"/>
  <c r="AC47" i="18"/>
  <c r="AD49" i="18"/>
  <c r="AD51" i="18"/>
  <c r="AD55" i="18"/>
  <c r="M226" i="19"/>
  <c r="M227" i="19" s="1"/>
  <c r="M225" i="19"/>
  <c r="K226" i="19"/>
  <c r="K225" i="19"/>
  <c r="J226" i="19"/>
  <c r="J227" i="19" s="1"/>
  <c r="J225" i="19"/>
  <c r="M77" i="19"/>
  <c r="K207" i="19"/>
  <c r="K208" i="19" s="1"/>
  <c r="K206" i="19"/>
  <c r="M207" i="19"/>
  <c r="M208" i="19" s="1"/>
  <c r="M206" i="19"/>
  <c r="J207" i="19"/>
  <c r="J208" i="19" s="1"/>
  <c r="J206" i="19"/>
  <c r="M78" i="19"/>
  <c r="M79" i="19" s="1"/>
  <c r="K227" i="19"/>
  <c r="K190" i="19"/>
  <c r="K191" i="19" s="1"/>
  <c r="K189" i="19"/>
  <c r="M190" i="19"/>
  <c r="M191" i="19" s="1"/>
  <c r="M189" i="19"/>
  <c r="J77" i="19"/>
  <c r="J190" i="19"/>
  <c r="J191" i="19" s="1"/>
  <c r="J189" i="19"/>
  <c r="K171" i="19"/>
  <c r="K172" i="19"/>
  <c r="K173" i="19" s="1"/>
  <c r="J172" i="19"/>
  <c r="J173" i="19" s="1"/>
  <c r="J171" i="19"/>
  <c r="M172" i="19"/>
  <c r="M173" i="19" s="1"/>
  <c r="M171" i="19"/>
  <c r="M97" i="19"/>
  <c r="J98" i="19"/>
  <c r="J99" i="19" s="1"/>
  <c r="M155" i="19"/>
  <c r="M156" i="19"/>
  <c r="M157" i="19" s="1"/>
  <c r="K156" i="19"/>
  <c r="K157" i="19" s="1"/>
  <c r="K155" i="19"/>
  <c r="J156" i="19"/>
  <c r="J157" i="19" s="1"/>
  <c r="J155" i="19"/>
  <c r="K137" i="19"/>
  <c r="K138" i="19" s="1"/>
  <c r="K136" i="19"/>
  <c r="J137" i="19"/>
  <c r="J138" i="19" s="1"/>
  <c r="J136" i="19"/>
  <c r="M137" i="19"/>
  <c r="M138" i="19" s="1"/>
  <c r="M136" i="19"/>
  <c r="K121" i="19"/>
  <c r="K122" i="19" s="1"/>
  <c r="K120" i="19"/>
  <c r="M121" i="19"/>
  <c r="M122" i="19" s="1"/>
  <c r="M120" i="19"/>
  <c r="J121" i="19"/>
  <c r="J122" i="19" s="1"/>
  <c r="J120" i="19"/>
  <c r="K98" i="19"/>
  <c r="K99" i="19" s="1"/>
  <c r="J97" i="19"/>
  <c r="K97" i="19"/>
  <c r="M73" i="19"/>
  <c r="M74" i="19" s="1"/>
  <c r="M72" i="19"/>
  <c r="J73" i="19"/>
  <c r="J74" i="19" s="1"/>
  <c r="J72" i="19"/>
  <c r="K73" i="19"/>
  <c r="K74" i="19" s="1"/>
  <c r="K72" i="19"/>
  <c r="K78" i="19"/>
  <c r="K79" i="19" s="1"/>
  <c r="K77" i="19"/>
  <c r="L44" i="19"/>
  <c r="L45" i="19" s="1"/>
  <c r="N44" i="19"/>
  <c r="N45" i="19" s="1"/>
  <c r="P43" i="19"/>
  <c r="J49" i="19"/>
  <c r="J50" i="19" s="1"/>
  <c r="J48" i="19"/>
  <c r="K49" i="19"/>
  <c r="K50" i="19" s="1"/>
  <c r="K48" i="19"/>
  <c r="N43" i="19"/>
  <c r="M48" i="19"/>
  <c r="M49" i="19"/>
  <c r="M50" i="19" s="1"/>
  <c r="J43" i="19"/>
  <c r="J44" i="19"/>
  <c r="J45" i="19" s="1"/>
  <c r="K37" i="19"/>
  <c r="K43" i="19" s="1"/>
  <c r="M37" i="19"/>
  <c r="M44" i="19" s="1"/>
  <c r="M45" i="19" s="1"/>
  <c r="K19" i="19"/>
  <c r="K20" i="19" s="1"/>
  <c r="K18" i="19"/>
  <c r="M19" i="19"/>
  <c r="M20" i="19" s="1"/>
  <c r="M18" i="19"/>
  <c r="J19" i="19"/>
  <c r="J20" i="19" s="1"/>
  <c r="J18" i="19"/>
  <c r="AZ9" i="18"/>
  <c r="AX9" i="18"/>
  <c r="AW9" i="18"/>
  <c r="AZ13" i="18"/>
  <c r="AX13" i="18"/>
  <c r="AW13" i="18"/>
  <c r="AW7" i="18"/>
  <c r="AX7" i="18"/>
  <c r="AX36" i="18"/>
  <c r="AX32" i="18"/>
  <c r="AC42" i="18"/>
  <c r="AD42" i="18"/>
  <c r="AD38" i="18"/>
  <c r="AD35" i="18"/>
  <c r="AF38" i="18"/>
  <c r="AC45" i="18"/>
  <c r="AF37" i="18"/>
  <c r="AF45" i="18"/>
  <c r="AC29" i="18"/>
  <c r="AF29" i="18"/>
  <c r="AD29" i="18"/>
  <c r="AD9" i="18"/>
  <c r="AC10" i="18"/>
  <c r="AD13" i="18"/>
  <c r="AD10" i="18"/>
  <c r="AF9" i="18"/>
  <c r="AF20" i="18" s="1"/>
  <c r="AF21" i="18" s="1"/>
  <c r="J31" i="18"/>
  <c r="N77" i="18"/>
  <c r="N78" i="18" s="1"/>
  <c r="N76" i="18"/>
  <c r="N98" i="18"/>
  <c r="N99" i="18" s="1"/>
  <c r="P76" i="18"/>
  <c r="P77" i="18"/>
  <c r="P78" i="18" s="1"/>
  <c r="M10" i="18"/>
  <c r="M40" i="18"/>
  <c r="M31" i="18"/>
  <c r="L20" i="18"/>
  <c r="L21" i="18" s="1"/>
  <c r="K51" i="18"/>
  <c r="P97" i="18"/>
  <c r="L77" i="18"/>
  <c r="L78" i="18" s="1"/>
  <c r="K56" i="18"/>
  <c r="N81" i="18"/>
  <c r="N82" i="18"/>
  <c r="N83" i="18" s="1"/>
  <c r="M30" i="18"/>
  <c r="N72" i="18"/>
  <c r="N73" i="18" s="1"/>
  <c r="N71" i="18"/>
  <c r="L92" i="18"/>
  <c r="L93" i="18"/>
  <c r="L94" i="18" s="1"/>
  <c r="L71" i="18"/>
  <c r="M32" i="18"/>
  <c r="M48" i="18"/>
  <c r="N93" i="18"/>
  <c r="N94" i="18" s="1"/>
  <c r="N92" i="18"/>
  <c r="K40" i="18"/>
  <c r="J56" i="18"/>
  <c r="P93" i="18"/>
  <c r="P94" i="18" s="1"/>
  <c r="J57" i="18"/>
  <c r="M57" i="18"/>
  <c r="M59" i="18"/>
  <c r="J59" i="18"/>
  <c r="K57" i="18"/>
  <c r="M61" i="18"/>
  <c r="J61" i="18"/>
  <c r="K61" i="18"/>
  <c r="J63" i="18"/>
  <c r="M63" i="18"/>
  <c r="K59" i="18"/>
  <c r="J42" i="18"/>
  <c r="M51" i="18"/>
  <c r="M9" i="18"/>
  <c r="J50" i="18"/>
  <c r="J39" i="18"/>
  <c r="K31" i="18"/>
  <c r="J15" i="18"/>
  <c r="J43" i="18"/>
  <c r="K50" i="18"/>
  <c r="K39" i="18"/>
  <c r="K55" i="18"/>
  <c r="J44" i="18"/>
  <c r="K44" i="18"/>
  <c r="J47" i="18"/>
  <c r="K47" i="18"/>
  <c r="J46" i="18"/>
  <c r="K49" i="18"/>
  <c r="M44" i="18"/>
  <c r="J30" i="18"/>
  <c r="J49" i="18"/>
  <c r="J48" i="18"/>
  <c r="K43" i="18"/>
  <c r="K7" i="18"/>
  <c r="N20" i="18"/>
  <c r="N21" i="18" s="1"/>
  <c r="N19" i="18"/>
  <c r="K12" i="18"/>
  <c r="J33" i="18"/>
  <c r="M33" i="18"/>
  <c r="K38" i="18"/>
  <c r="J37" i="18"/>
  <c r="M37" i="18"/>
  <c r="K42" i="18"/>
  <c r="P20" i="18"/>
  <c r="P21" i="18" s="1"/>
  <c r="P19" i="18"/>
  <c r="K8" i="18"/>
  <c r="J38" i="18"/>
  <c r="J41" i="18"/>
  <c r="M41" i="18"/>
  <c r="K33" i="18"/>
  <c r="K30" i="18"/>
  <c r="K46" i="18"/>
  <c r="J12" i="18"/>
  <c r="J34" i="18"/>
  <c r="J45" i="18"/>
  <c r="M45" i="18"/>
  <c r="K37" i="18"/>
  <c r="K34" i="18"/>
  <c r="M29" i="18"/>
  <c r="J29" i="18"/>
  <c r="J8" i="18"/>
  <c r="J16" i="18"/>
  <c r="K13" i="18"/>
  <c r="J13" i="18"/>
  <c r="K16" i="18"/>
  <c r="P39" i="18"/>
  <c r="P82" i="18" s="1"/>
  <c r="P83" i="18" s="1"/>
  <c r="P46" i="18"/>
  <c r="P72" i="18" s="1"/>
  <c r="P73" i="18" s="1"/>
  <c r="J7" i="18"/>
  <c r="M7" i="18"/>
  <c r="O79" i="17"/>
  <c r="J295" i="17"/>
  <c r="J296" i="17"/>
  <c r="J292" i="17"/>
  <c r="N309" i="17"/>
  <c r="N305" i="17"/>
  <c r="N301" i="17"/>
  <c r="N297" i="17"/>
  <c r="N293" i="17"/>
  <c r="J293" i="17" s="1"/>
  <c r="N306" i="17"/>
  <c r="M306" i="17" s="1"/>
  <c r="N302" i="17"/>
  <c r="M302" i="17" s="1"/>
  <c r="N298" i="17"/>
  <c r="M298" i="17" s="1"/>
  <c r="N294" i="17"/>
  <c r="M294" i="17" s="1"/>
  <c r="L291" i="17"/>
  <c r="P67" i="17"/>
  <c r="L67" i="17"/>
  <c r="L80" i="17" s="1"/>
  <c r="L81" i="17" s="1"/>
  <c r="O74" i="17"/>
  <c r="P66" i="17"/>
  <c r="I172" i="17"/>
  <c r="L167" i="17"/>
  <c r="N202" i="17"/>
  <c r="L201" i="17"/>
  <c r="N201" i="17"/>
  <c r="J201" i="17" s="1"/>
  <c r="N194" i="17"/>
  <c r="L193" i="17"/>
  <c r="N193" i="17"/>
  <c r="J193" i="17" s="1"/>
  <c r="N186" i="17"/>
  <c r="J186" i="17" s="1"/>
  <c r="L185" i="17"/>
  <c r="N185" i="17"/>
  <c r="M185" i="17" s="1"/>
  <c r="N241" i="17"/>
  <c r="J241" i="17" s="1"/>
  <c r="L240" i="17"/>
  <c r="N240" i="17"/>
  <c r="M240" i="17" s="1"/>
  <c r="N239" i="17"/>
  <c r="M239" i="17" s="1"/>
  <c r="H253" i="17"/>
  <c r="H254" i="17" s="1"/>
  <c r="H252" i="17"/>
  <c r="L124" i="17"/>
  <c r="N124" i="17"/>
  <c r="M124" i="17" s="1"/>
  <c r="L139" i="17"/>
  <c r="H148" i="17"/>
  <c r="K166" i="17"/>
  <c r="I253" i="17"/>
  <c r="I254" i="17" s="1"/>
  <c r="N244" i="17"/>
  <c r="M244" i="17" s="1"/>
  <c r="N230" i="17"/>
  <c r="J230" i="17" s="1"/>
  <c r="L229" i="17"/>
  <c r="N229" i="17"/>
  <c r="M229" i="17" s="1"/>
  <c r="H172" i="17"/>
  <c r="K205" i="17"/>
  <c r="I234" i="17"/>
  <c r="N245" i="17"/>
  <c r="M245" i="17" s="1"/>
  <c r="I80" i="17"/>
  <c r="I81" i="17" s="1"/>
  <c r="I149" i="17"/>
  <c r="I150" i="17" s="1"/>
  <c r="N159" i="17"/>
  <c r="K159" i="17" s="1"/>
  <c r="L166" i="17"/>
  <c r="N161" i="17"/>
  <c r="M161" i="17" s="1"/>
  <c r="N184" i="17"/>
  <c r="K184" i="17" s="1"/>
  <c r="H234" i="17"/>
  <c r="L244" i="17"/>
  <c r="I252" i="17"/>
  <c r="L261" i="17"/>
  <c r="K261" i="17"/>
  <c r="N281" i="17"/>
  <c r="M281" i="17" s="1"/>
  <c r="P69" i="17"/>
  <c r="I134" i="17"/>
  <c r="I135" i="17" s="1"/>
  <c r="H149" i="17"/>
  <c r="H150" i="17" s="1"/>
  <c r="N162" i="17"/>
  <c r="M162" i="17" s="1"/>
  <c r="H235" i="17"/>
  <c r="H236" i="17" s="1"/>
  <c r="N279" i="17"/>
  <c r="N275" i="17"/>
  <c r="J275" i="17" s="1"/>
  <c r="N280" i="17"/>
  <c r="M280" i="17" s="1"/>
  <c r="N276" i="17"/>
  <c r="M276" i="17" s="1"/>
  <c r="J261" i="17"/>
  <c r="N263" i="17"/>
  <c r="N259" i="17"/>
  <c r="J259" i="17" s="1"/>
  <c r="N264" i="17"/>
  <c r="M264" i="17" s="1"/>
  <c r="N260" i="17"/>
  <c r="M260" i="17" s="1"/>
  <c r="L257" i="17"/>
  <c r="N246" i="17"/>
  <c r="N242" i="17"/>
  <c r="N247" i="17"/>
  <c r="M247" i="17" s="1"/>
  <c r="N243" i="17"/>
  <c r="M243" i="17" s="1"/>
  <c r="L239" i="17"/>
  <c r="J226" i="17"/>
  <c r="N227" i="17"/>
  <c r="N223" i="17"/>
  <c r="N228" i="17"/>
  <c r="M228" i="17" s="1"/>
  <c r="N224" i="17"/>
  <c r="M224" i="17" s="1"/>
  <c r="L221" i="17"/>
  <c r="N204" i="17"/>
  <c r="M204" i="17" s="1"/>
  <c r="N200" i="17"/>
  <c r="M200" i="17" s="1"/>
  <c r="N196" i="17"/>
  <c r="M196" i="17" s="1"/>
  <c r="N192" i="17"/>
  <c r="M192" i="17" s="1"/>
  <c r="N188" i="17"/>
  <c r="M188" i="17" s="1"/>
  <c r="L203" i="17"/>
  <c r="L199" i="17"/>
  <c r="L195" i="17"/>
  <c r="I210" i="17"/>
  <c r="J198" i="17"/>
  <c r="M197" i="17"/>
  <c r="L191" i="17"/>
  <c r="L187" i="17"/>
  <c r="N203" i="17"/>
  <c r="N199" i="17"/>
  <c r="J199" i="17" s="1"/>
  <c r="N195" i="17"/>
  <c r="N191" i="17"/>
  <c r="N187" i="17"/>
  <c r="N114" i="17"/>
  <c r="J114" i="17" s="1"/>
  <c r="H118" i="17"/>
  <c r="H211" i="17"/>
  <c r="H212" i="17" s="1"/>
  <c r="H52" i="17"/>
  <c r="P68" i="17"/>
  <c r="P63" i="17"/>
  <c r="I118" i="17"/>
  <c r="L109" i="17"/>
  <c r="H119" i="17"/>
  <c r="H120" i="17" s="1"/>
  <c r="P34" i="17"/>
  <c r="H53" i="17"/>
  <c r="H54" i="17" s="1"/>
  <c r="L39" i="17"/>
  <c r="P39" i="17"/>
  <c r="N68" i="17"/>
  <c r="J68" i="17" s="1"/>
  <c r="N64" i="17"/>
  <c r="M64" i="17" s="1"/>
  <c r="H47" i="17"/>
  <c r="O75" i="17"/>
  <c r="O76" i="17" s="1"/>
  <c r="N97" i="17"/>
  <c r="M97" i="17" s="1"/>
  <c r="H104" i="17"/>
  <c r="H105" i="17" s="1"/>
  <c r="N113" i="17"/>
  <c r="M113" i="17" s="1"/>
  <c r="I119" i="17"/>
  <c r="I120" i="17" s="1"/>
  <c r="I133" i="17"/>
  <c r="L143" i="17"/>
  <c r="N143" i="17"/>
  <c r="M143" i="17" s="1"/>
  <c r="I148" i="17"/>
  <c r="N158" i="17"/>
  <c r="M158" i="17" s="1"/>
  <c r="N160" i="17"/>
  <c r="M160" i="17" s="1"/>
  <c r="H173" i="17"/>
  <c r="H174" i="17" s="1"/>
  <c r="I52" i="17"/>
  <c r="I53" i="17"/>
  <c r="I54" i="17" s="1"/>
  <c r="L62" i="17"/>
  <c r="N62" i="17"/>
  <c r="M62" i="17" s="1"/>
  <c r="H48" i="17"/>
  <c r="H49" i="17" s="1"/>
  <c r="I104" i="17"/>
  <c r="I105" i="17" s="1"/>
  <c r="N168" i="17"/>
  <c r="M168" i="17" s="1"/>
  <c r="I74" i="17"/>
  <c r="P62" i="17"/>
  <c r="P64" i="17"/>
  <c r="L108" i="17"/>
  <c r="N123" i="17"/>
  <c r="K123" i="17" s="1"/>
  <c r="H134" i="17"/>
  <c r="H135" i="17" s="1"/>
  <c r="H133" i="17"/>
  <c r="L164" i="17"/>
  <c r="P41" i="17"/>
  <c r="H103" i="17"/>
  <c r="I173" i="17"/>
  <c r="I174" i="17" s="1"/>
  <c r="N165" i="17"/>
  <c r="M165" i="17" s="1"/>
  <c r="K164" i="17"/>
  <c r="I48" i="17"/>
  <c r="I49" i="17" s="1"/>
  <c r="N40" i="17"/>
  <c r="M40" i="17" s="1"/>
  <c r="N67" i="17"/>
  <c r="M67" i="17" s="1"/>
  <c r="P65" i="17"/>
  <c r="N92" i="17"/>
  <c r="K92" i="17" s="1"/>
  <c r="K109" i="17"/>
  <c r="N140" i="17"/>
  <c r="J140" i="17" s="1"/>
  <c r="K167" i="17"/>
  <c r="I211" i="17"/>
  <c r="I212" i="17" s="1"/>
  <c r="H210" i="17"/>
  <c r="L184" i="17"/>
  <c r="J167" i="17"/>
  <c r="J166" i="17"/>
  <c r="J164" i="17"/>
  <c r="N154" i="17"/>
  <c r="K154" i="17" s="1"/>
  <c r="N155" i="17"/>
  <c r="K155" i="17" s="1"/>
  <c r="K156" i="17"/>
  <c r="L156" i="17"/>
  <c r="N153" i="17"/>
  <c r="L155" i="17"/>
  <c r="N157" i="17"/>
  <c r="L159" i="17"/>
  <c r="L154" i="17"/>
  <c r="J159" i="17"/>
  <c r="N139" i="17"/>
  <c r="M139" i="17" s="1"/>
  <c r="L141" i="17"/>
  <c r="N138" i="17"/>
  <c r="K138" i="17" s="1"/>
  <c r="L140" i="17"/>
  <c r="N142" i="17"/>
  <c r="K142" i="17" s="1"/>
  <c r="L144" i="17"/>
  <c r="N141" i="17"/>
  <c r="M141" i="17" s="1"/>
  <c r="J128" i="17"/>
  <c r="N129" i="17"/>
  <c r="J129" i="17" s="1"/>
  <c r="N125" i="17"/>
  <c r="N126" i="17"/>
  <c r="M126" i="17" s="1"/>
  <c r="L123" i="17"/>
  <c r="J109" i="17"/>
  <c r="N112" i="17"/>
  <c r="M112" i="17" s="1"/>
  <c r="L111" i="17"/>
  <c r="N111" i="17"/>
  <c r="L99" i="17"/>
  <c r="N96" i="17"/>
  <c r="K96" i="17" s="1"/>
  <c r="K93" i="17"/>
  <c r="N98" i="17"/>
  <c r="N94" i="17"/>
  <c r="N99" i="17"/>
  <c r="M99" i="17" s="1"/>
  <c r="N95" i="17"/>
  <c r="M95" i="17" s="1"/>
  <c r="L92" i="17"/>
  <c r="N31" i="17"/>
  <c r="M31" i="17" s="1"/>
  <c r="L63" i="17"/>
  <c r="L79" i="17" s="1"/>
  <c r="I75" i="17"/>
  <c r="I76" i="17" s="1"/>
  <c r="H80" i="17"/>
  <c r="H81" i="17" s="1"/>
  <c r="H74" i="17"/>
  <c r="P11" i="17"/>
  <c r="P36" i="17"/>
  <c r="P32" i="17"/>
  <c r="N39" i="17"/>
  <c r="M39" i="17" s="1"/>
  <c r="P38" i="17"/>
  <c r="P40" i="17"/>
  <c r="I79" i="17"/>
  <c r="N38" i="17"/>
  <c r="M38" i="17" s="1"/>
  <c r="N63" i="17"/>
  <c r="J63" i="17" s="1"/>
  <c r="H75" i="17"/>
  <c r="H76" i="17" s="1"/>
  <c r="P7" i="17"/>
  <c r="P37" i="17"/>
  <c r="P33" i="17"/>
  <c r="P31" i="17"/>
  <c r="N65" i="17"/>
  <c r="N66" i="17"/>
  <c r="M66" i="17" s="1"/>
  <c r="N41" i="17"/>
  <c r="M41" i="17" s="1"/>
  <c r="N34" i="17"/>
  <c r="N33" i="17"/>
  <c r="K33" i="17" s="1"/>
  <c r="I47" i="17"/>
  <c r="N30" i="17"/>
  <c r="J30" i="17" s="1"/>
  <c r="N35" i="17"/>
  <c r="M35" i="17" s="1"/>
  <c r="N37" i="17"/>
  <c r="M37" i="17" s="1"/>
  <c r="L31" i="17"/>
  <c r="L35" i="17"/>
  <c r="L30" i="17"/>
  <c r="N32" i="17"/>
  <c r="K32" i="17" s="1"/>
  <c r="L34" i="17"/>
  <c r="N36" i="17"/>
  <c r="K36" i="17" s="1"/>
  <c r="I19" i="17"/>
  <c r="I20" i="17" s="1"/>
  <c r="I18" i="17"/>
  <c r="N11" i="17"/>
  <c r="M11" i="17" s="1"/>
  <c r="N8" i="17"/>
  <c r="M8" i="17" s="1"/>
  <c r="N12" i="17"/>
  <c r="K12" i="17" s="1"/>
  <c r="N7" i="17"/>
  <c r="K7" i="17" s="1"/>
  <c r="L10" i="17"/>
  <c r="L14" i="17"/>
  <c r="H18" i="17"/>
  <c r="H19" i="17"/>
  <c r="H20" i="17" s="1"/>
  <c r="L9" i="17"/>
  <c r="N10" i="17"/>
  <c r="J10" i="17" s="1"/>
  <c r="L13" i="17"/>
  <c r="N14" i="17"/>
  <c r="L8" i="17"/>
  <c r="N9" i="17"/>
  <c r="J9" i="17" s="1"/>
  <c r="L12" i="17"/>
  <c r="N13" i="17"/>
  <c r="I84" i="4"/>
  <c r="I85" i="4"/>
  <c r="I86" i="4"/>
  <c r="I87" i="4"/>
  <c r="I88" i="4"/>
  <c r="I89" i="4"/>
  <c r="I90" i="4"/>
  <c r="I91" i="4"/>
  <c r="I92" i="4"/>
  <c r="I93" i="4"/>
  <c r="H84" i="4"/>
  <c r="L84" i="4" s="1"/>
  <c r="H85" i="4"/>
  <c r="L85" i="4" s="1"/>
  <c r="H86" i="4"/>
  <c r="H87" i="4"/>
  <c r="H88" i="4"/>
  <c r="L88" i="4" s="1"/>
  <c r="H89" i="4"/>
  <c r="L89" i="4" s="1"/>
  <c r="H90" i="4"/>
  <c r="H91" i="4"/>
  <c r="H92" i="4"/>
  <c r="L92" i="4" s="1"/>
  <c r="H93" i="4"/>
  <c r="L93" i="4" s="1"/>
  <c r="O77" i="4"/>
  <c r="O76" i="4"/>
  <c r="O75" i="4"/>
  <c r="O35" i="4"/>
  <c r="O34" i="4"/>
  <c r="O33" i="4"/>
  <c r="O81" i="6"/>
  <c r="O80" i="6"/>
  <c r="O78" i="6"/>
  <c r="O77" i="6"/>
  <c r="O74" i="6"/>
  <c r="O73" i="6"/>
  <c r="O72" i="6"/>
  <c r="O42" i="6"/>
  <c r="O41" i="6"/>
  <c r="O40" i="6"/>
  <c r="O36" i="6"/>
  <c r="O35" i="6"/>
  <c r="O32" i="6"/>
  <c r="O31" i="6"/>
  <c r="O30" i="6"/>
  <c r="M221" i="17" l="1"/>
  <c r="K265" i="17"/>
  <c r="J274" i="17"/>
  <c r="J221" i="17"/>
  <c r="J222" i="17"/>
  <c r="J277" i="17"/>
  <c r="J299" i="17"/>
  <c r="J110" i="17"/>
  <c r="K277" i="17"/>
  <c r="K110" i="17"/>
  <c r="J265" i="17"/>
  <c r="M193" i="17"/>
  <c r="K258" i="17"/>
  <c r="M291" i="17"/>
  <c r="AF62" i="18"/>
  <c r="K291" i="17"/>
  <c r="M93" i="17"/>
  <c r="J144" i="17"/>
  <c r="M144" i="17"/>
  <c r="J156" i="17"/>
  <c r="M189" i="17"/>
  <c r="J205" i="17"/>
  <c r="M257" i="17"/>
  <c r="K226" i="17"/>
  <c r="J300" i="17"/>
  <c r="L74" i="17"/>
  <c r="J225" i="17"/>
  <c r="J258" i="17"/>
  <c r="K225" i="17"/>
  <c r="K189" i="17"/>
  <c r="J308" i="17"/>
  <c r="K295" i="17"/>
  <c r="J92" i="17"/>
  <c r="K278" i="17"/>
  <c r="M98" i="18"/>
  <c r="M99" i="18" s="1"/>
  <c r="K240" i="17"/>
  <c r="J168" i="17"/>
  <c r="K127" i="17"/>
  <c r="J262" i="17"/>
  <c r="K262" i="17"/>
  <c r="L47" i="17"/>
  <c r="M92" i="17"/>
  <c r="K222" i="17"/>
  <c r="K40" i="17"/>
  <c r="J161" i="17"/>
  <c r="AZ19" i="18"/>
  <c r="K161" i="17"/>
  <c r="M108" i="17"/>
  <c r="L103" i="17"/>
  <c r="J127" i="17"/>
  <c r="M155" i="17"/>
  <c r="J163" i="17"/>
  <c r="K163" i="17"/>
  <c r="J190" i="17"/>
  <c r="J206" i="17"/>
  <c r="K248" i="17"/>
  <c r="M220" i="17"/>
  <c r="J303" i="17"/>
  <c r="K206" i="17"/>
  <c r="K108" i="17"/>
  <c r="K124" i="17"/>
  <c r="K220" i="17"/>
  <c r="J248" i="17"/>
  <c r="J278" i="17"/>
  <c r="K197" i="17"/>
  <c r="J307" i="17"/>
  <c r="K93" i="18"/>
  <c r="K94" i="18" s="1"/>
  <c r="J98" i="18"/>
  <c r="J99" i="18" s="1"/>
  <c r="AC19" i="18"/>
  <c r="J204" i="17"/>
  <c r="J257" i="17"/>
  <c r="K274" i="17"/>
  <c r="K307" i="17"/>
  <c r="K128" i="17"/>
  <c r="K308" i="17"/>
  <c r="L75" i="17"/>
  <c r="L76" i="17" s="1"/>
  <c r="M159" i="17"/>
  <c r="K282" i="17"/>
  <c r="K190" i="17"/>
  <c r="AC62" i="18"/>
  <c r="J158" i="17"/>
  <c r="J282" i="17"/>
  <c r="J304" i="17"/>
  <c r="K292" i="17"/>
  <c r="N234" i="17"/>
  <c r="K229" i="17"/>
  <c r="AC63" i="18"/>
  <c r="AC64" i="18" s="1"/>
  <c r="N90" i="4"/>
  <c r="M90" i="4" s="1"/>
  <c r="N86" i="4"/>
  <c r="J86" i="4" s="1"/>
  <c r="K162" i="17"/>
  <c r="K294" i="17"/>
  <c r="N93" i="4"/>
  <c r="J93" i="4" s="1"/>
  <c r="J62" i="17"/>
  <c r="K140" i="17"/>
  <c r="K193" i="17"/>
  <c r="J123" i="17"/>
  <c r="J185" i="17"/>
  <c r="L234" i="17"/>
  <c r="J239" i="17"/>
  <c r="K92" i="18"/>
  <c r="AD19" i="18"/>
  <c r="N91" i="4"/>
  <c r="M91" i="4" s="1"/>
  <c r="N87" i="4"/>
  <c r="M87" i="4" s="1"/>
  <c r="L91" i="4"/>
  <c r="L87" i="4"/>
  <c r="N89" i="4"/>
  <c r="M89" i="4" s="1"/>
  <c r="N85" i="4"/>
  <c r="M85" i="4" s="1"/>
  <c r="J184" i="17"/>
  <c r="J229" i="17"/>
  <c r="L270" i="17"/>
  <c r="L271" i="17" s="1"/>
  <c r="L269" i="17"/>
  <c r="J276" i="17"/>
  <c r="P81" i="18"/>
  <c r="AD70" i="18"/>
  <c r="AD71" i="18" s="1"/>
  <c r="AD69" i="18"/>
  <c r="AW20" i="18"/>
  <c r="AW21" i="18" s="1"/>
  <c r="AW19" i="18"/>
  <c r="AF19" i="18"/>
  <c r="AZ20" i="18"/>
  <c r="AZ21" i="18" s="1"/>
  <c r="AF63" i="18"/>
  <c r="AF64" i="18" s="1"/>
  <c r="L90" i="4"/>
  <c r="L86" i="4"/>
  <c r="N92" i="4"/>
  <c r="N88" i="4"/>
  <c r="N84" i="4"/>
  <c r="K84" i="4" s="1"/>
  <c r="K64" i="17"/>
  <c r="M201" i="17"/>
  <c r="K228" i="17"/>
  <c r="J244" i="17"/>
  <c r="K201" i="17"/>
  <c r="K244" i="17"/>
  <c r="K298" i="17"/>
  <c r="J97" i="18"/>
  <c r="K97" i="18"/>
  <c r="AF70" i="18"/>
  <c r="AF71" i="18" s="1"/>
  <c r="AF69" i="18"/>
  <c r="N269" i="17"/>
  <c r="N270" i="17"/>
  <c r="N271" i="17" s="1"/>
  <c r="N287" i="17"/>
  <c r="N288" i="17" s="1"/>
  <c r="N286" i="17"/>
  <c r="M198" i="17"/>
  <c r="K198" i="17"/>
  <c r="AC20" i="18"/>
  <c r="AC21" i="18" s="1"/>
  <c r="K303" i="17"/>
  <c r="L314" i="17"/>
  <c r="L315" i="17" s="1"/>
  <c r="L313" i="17"/>
  <c r="AC69" i="18"/>
  <c r="AC70" i="18"/>
  <c r="AC71" i="18" s="1"/>
  <c r="AD20" i="18"/>
  <c r="AD21" i="18" s="1"/>
  <c r="AD62" i="18"/>
  <c r="AD63" i="18"/>
  <c r="AD64" i="18" s="1"/>
  <c r="N235" i="17"/>
  <c r="N236" i="17" s="1"/>
  <c r="K281" i="17"/>
  <c r="K81" i="18"/>
  <c r="AX20" i="18"/>
  <c r="AX21" i="18" s="1"/>
  <c r="AX19" i="18"/>
  <c r="N313" i="17"/>
  <c r="N314" i="17"/>
  <c r="N315" i="17" s="1"/>
  <c r="K304" i="17"/>
  <c r="K44" i="19"/>
  <c r="K45" i="19" s="1"/>
  <c r="M43" i="19"/>
  <c r="K77" i="18"/>
  <c r="K78" i="18" s="1"/>
  <c r="K76" i="18"/>
  <c r="P71" i="18"/>
  <c r="K98" i="18"/>
  <c r="K99" i="18" s="1"/>
  <c r="J81" i="18"/>
  <c r="J82" i="18"/>
  <c r="J83" i="18" s="1"/>
  <c r="J93" i="18"/>
  <c r="J94" i="18" s="1"/>
  <c r="J92" i="18"/>
  <c r="M72" i="18"/>
  <c r="M73" i="18" s="1"/>
  <c r="M71" i="18"/>
  <c r="M76" i="18"/>
  <c r="M77" i="18"/>
  <c r="M78" i="18" s="1"/>
  <c r="J77" i="18"/>
  <c r="J78" i="18" s="1"/>
  <c r="J76" i="18"/>
  <c r="M82" i="18"/>
  <c r="M83" i="18" s="1"/>
  <c r="M81" i="18"/>
  <c r="K71" i="18"/>
  <c r="K72" i="18"/>
  <c r="K73" i="18" s="1"/>
  <c r="M93" i="18"/>
  <c r="M94" i="18" s="1"/>
  <c r="M92" i="18"/>
  <c r="M97" i="18"/>
  <c r="K82" i="18"/>
  <c r="K83" i="18" s="1"/>
  <c r="J72" i="18"/>
  <c r="J73" i="18" s="1"/>
  <c r="J71" i="18"/>
  <c r="M19" i="18"/>
  <c r="M20" i="18"/>
  <c r="M21" i="18" s="1"/>
  <c r="J20" i="18"/>
  <c r="J21" i="18" s="1"/>
  <c r="J19" i="18"/>
  <c r="K20" i="18"/>
  <c r="K21" i="18" s="1"/>
  <c r="K19" i="18"/>
  <c r="P79" i="17"/>
  <c r="M301" i="17"/>
  <c r="K301" i="17"/>
  <c r="J302" i="17"/>
  <c r="J301" i="17"/>
  <c r="M305" i="17"/>
  <c r="K305" i="17"/>
  <c r="J305" i="17"/>
  <c r="K302" i="17"/>
  <c r="M293" i="17"/>
  <c r="K293" i="17"/>
  <c r="M309" i="17"/>
  <c r="K309" i="17"/>
  <c r="J306" i="17"/>
  <c r="K306" i="17"/>
  <c r="J294" i="17"/>
  <c r="M297" i="17"/>
  <c r="K297" i="17"/>
  <c r="J309" i="17"/>
  <c r="J298" i="17"/>
  <c r="J297" i="17"/>
  <c r="N118" i="17"/>
  <c r="K62" i="17"/>
  <c r="K158" i="17"/>
  <c r="M154" i="17"/>
  <c r="M184" i="17"/>
  <c r="K264" i="17"/>
  <c r="M230" i="17"/>
  <c r="K230" i="17"/>
  <c r="M202" i="17"/>
  <c r="K202" i="17"/>
  <c r="N253" i="17"/>
  <c r="N254" i="17" s="1"/>
  <c r="N252" i="17"/>
  <c r="M194" i="17"/>
  <c r="K194" i="17"/>
  <c r="J35" i="17"/>
  <c r="K41" i="17"/>
  <c r="N80" i="17"/>
  <c r="N81" i="17" s="1"/>
  <c r="N103" i="17"/>
  <c r="K97" i="17"/>
  <c r="N119" i="17"/>
  <c r="N120" i="17" s="1"/>
  <c r="M123" i="17"/>
  <c r="M134" i="17" s="1"/>
  <c r="M135" i="17" s="1"/>
  <c r="M140" i="17"/>
  <c r="J162" i="17"/>
  <c r="J194" i="17"/>
  <c r="J202" i="17"/>
  <c r="L253" i="17"/>
  <c r="L254" i="17" s="1"/>
  <c r="L252" i="17"/>
  <c r="J245" i="17"/>
  <c r="J243" i="17"/>
  <c r="K276" i="17"/>
  <c r="L235" i="17"/>
  <c r="L236" i="17" s="1"/>
  <c r="K185" i="17"/>
  <c r="M186" i="17"/>
  <c r="K186" i="17"/>
  <c r="K31" i="17"/>
  <c r="J41" i="17"/>
  <c r="J64" i="17"/>
  <c r="J97" i="17"/>
  <c r="K112" i="17"/>
  <c r="J124" i="17"/>
  <c r="J154" i="17"/>
  <c r="P80" i="17"/>
  <c r="P81" i="17" s="1"/>
  <c r="K168" i="17"/>
  <c r="J188" i="17"/>
  <c r="J228" i="17"/>
  <c r="K239" i="17"/>
  <c r="J240" i="17"/>
  <c r="K243" i="17"/>
  <c r="J281" i="17"/>
  <c r="K245" i="17"/>
  <c r="M241" i="17"/>
  <c r="K241" i="17"/>
  <c r="M275" i="17"/>
  <c r="K275" i="17"/>
  <c r="M279" i="17"/>
  <c r="K279" i="17"/>
  <c r="J279" i="17"/>
  <c r="J280" i="17"/>
  <c r="K280" i="17"/>
  <c r="M263" i="17"/>
  <c r="K263" i="17"/>
  <c r="J260" i="17"/>
  <c r="K260" i="17"/>
  <c r="M259" i="17"/>
  <c r="K259" i="17"/>
  <c r="J263" i="17"/>
  <c r="J264" i="17"/>
  <c r="K247" i="17"/>
  <c r="M242" i="17"/>
  <c r="K242" i="17"/>
  <c r="J247" i="17"/>
  <c r="J242" i="17"/>
  <c r="M246" i="17"/>
  <c r="K246" i="17"/>
  <c r="J246" i="17"/>
  <c r="M223" i="17"/>
  <c r="K223" i="17"/>
  <c r="M227" i="17"/>
  <c r="K227" i="17"/>
  <c r="J227" i="17"/>
  <c r="J223" i="17"/>
  <c r="J224" i="17"/>
  <c r="K224" i="17"/>
  <c r="K191" i="17"/>
  <c r="M191" i="17"/>
  <c r="K188" i="17"/>
  <c r="J192" i="17"/>
  <c r="K192" i="17"/>
  <c r="K195" i="17"/>
  <c r="M195" i="17"/>
  <c r="K196" i="17"/>
  <c r="J195" i="17"/>
  <c r="K199" i="17"/>
  <c r="M199" i="17"/>
  <c r="K204" i="17"/>
  <c r="J200" i="17"/>
  <c r="J191" i="17"/>
  <c r="K187" i="17"/>
  <c r="M187" i="17"/>
  <c r="K203" i="17"/>
  <c r="M203" i="17"/>
  <c r="J187" i="17"/>
  <c r="J203" i="17"/>
  <c r="J196" i="17"/>
  <c r="K200" i="17"/>
  <c r="N104" i="17"/>
  <c r="N105" i="17" s="1"/>
  <c r="J12" i="17"/>
  <c r="J39" i="17"/>
  <c r="M34" i="17"/>
  <c r="N53" i="17"/>
  <c r="N54" i="17" s="1"/>
  <c r="N52" i="17"/>
  <c r="P48" i="17"/>
  <c r="P49" i="17" s="1"/>
  <c r="P47" i="17"/>
  <c r="N148" i="17"/>
  <c r="N149" i="17"/>
  <c r="N150" i="17" s="1"/>
  <c r="L211" i="17"/>
  <c r="L212" i="17" s="1"/>
  <c r="L210" i="17"/>
  <c r="L119" i="17"/>
  <c r="L120" i="17" s="1"/>
  <c r="L118" i="17"/>
  <c r="K165" i="17"/>
  <c r="M12" i="17"/>
  <c r="L53" i="17"/>
  <c r="L54" i="17" s="1"/>
  <c r="L52" i="17"/>
  <c r="L48" i="17"/>
  <c r="L49" i="17" s="1"/>
  <c r="K39" i="17"/>
  <c r="J67" i="17"/>
  <c r="K67" i="17"/>
  <c r="K99" i="17"/>
  <c r="J113" i="17"/>
  <c r="J160" i="17"/>
  <c r="N134" i="17"/>
  <c r="N135" i="17" s="1"/>
  <c r="N133" i="17"/>
  <c r="M68" i="17"/>
  <c r="M75" i="17" s="1"/>
  <c r="M76" i="17" s="1"/>
  <c r="K68" i="17"/>
  <c r="P52" i="17"/>
  <c r="P53" i="17"/>
  <c r="P54" i="17" s="1"/>
  <c r="K113" i="17"/>
  <c r="P75" i="17"/>
  <c r="P76" i="17" s="1"/>
  <c r="P74" i="17"/>
  <c r="N75" i="17"/>
  <c r="N76" i="17" s="1"/>
  <c r="K160" i="17"/>
  <c r="M114" i="17"/>
  <c r="K114" i="17"/>
  <c r="J40" i="17"/>
  <c r="L133" i="17"/>
  <c r="L134" i="17"/>
  <c r="L135" i="17" s="1"/>
  <c r="J143" i="17"/>
  <c r="K143" i="17"/>
  <c r="L149" i="17"/>
  <c r="L150" i="17" s="1"/>
  <c r="L148" i="17"/>
  <c r="L173" i="17"/>
  <c r="L174" i="17" s="1"/>
  <c r="L172" i="17"/>
  <c r="N172" i="17"/>
  <c r="N173" i="17"/>
  <c r="N174" i="17" s="1"/>
  <c r="J165" i="17"/>
  <c r="L104" i="17"/>
  <c r="L105" i="17" s="1"/>
  <c r="N210" i="17"/>
  <c r="N211" i="17"/>
  <c r="N212" i="17" s="1"/>
  <c r="J155" i="17"/>
  <c r="J153" i="17"/>
  <c r="M153" i="17"/>
  <c r="K153" i="17"/>
  <c r="J157" i="17"/>
  <c r="M157" i="17"/>
  <c r="K157" i="17"/>
  <c r="J141" i="17"/>
  <c r="J139" i="17"/>
  <c r="K141" i="17"/>
  <c r="K139" i="17"/>
  <c r="J138" i="17"/>
  <c r="M138" i="17"/>
  <c r="J142" i="17"/>
  <c r="M142" i="17"/>
  <c r="J126" i="17"/>
  <c r="K126" i="17"/>
  <c r="M125" i="17"/>
  <c r="K125" i="17"/>
  <c r="M129" i="17"/>
  <c r="K129" i="17"/>
  <c r="J125" i="17"/>
  <c r="K111" i="17"/>
  <c r="M111" i="17"/>
  <c r="J111" i="17"/>
  <c r="J112" i="17"/>
  <c r="M98" i="17"/>
  <c r="K98" i="17"/>
  <c r="M94" i="17"/>
  <c r="K94" i="17"/>
  <c r="J94" i="17"/>
  <c r="J95" i="17"/>
  <c r="J99" i="17"/>
  <c r="K95" i="17"/>
  <c r="M96" i="17"/>
  <c r="J96" i="17"/>
  <c r="J98" i="17"/>
  <c r="K34" i="17"/>
  <c r="K63" i="17"/>
  <c r="M7" i="17"/>
  <c r="J38" i="17"/>
  <c r="K38" i="17"/>
  <c r="N74" i="17"/>
  <c r="M63" i="17"/>
  <c r="N79" i="17"/>
  <c r="J31" i="17"/>
  <c r="P18" i="17"/>
  <c r="P19" i="17"/>
  <c r="P20" i="17" s="1"/>
  <c r="J66" i="17"/>
  <c r="M65" i="17"/>
  <c r="M80" i="17" s="1"/>
  <c r="M81" i="17" s="1"/>
  <c r="K65" i="17"/>
  <c r="J65" i="17"/>
  <c r="K66" i="17"/>
  <c r="J11" i="17"/>
  <c r="M33" i="17"/>
  <c r="N47" i="17"/>
  <c r="N48" i="17"/>
  <c r="N49" i="17" s="1"/>
  <c r="J34" i="17"/>
  <c r="J33" i="17"/>
  <c r="K30" i="17"/>
  <c r="M30" i="17"/>
  <c r="K35" i="17"/>
  <c r="K37" i="17"/>
  <c r="J37" i="17"/>
  <c r="J32" i="17"/>
  <c r="M32" i="17"/>
  <c r="J36" i="17"/>
  <c r="M36" i="17"/>
  <c r="J8" i="17"/>
  <c r="K11" i="17"/>
  <c r="K8" i="17"/>
  <c r="L19" i="17"/>
  <c r="L20" i="17" s="1"/>
  <c r="J7" i="17"/>
  <c r="M14" i="17"/>
  <c r="K14" i="17"/>
  <c r="L18" i="17"/>
  <c r="J14" i="17"/>
  <c r="M13" i="17"/>
  <c r="K13" i="17"/>
  <c r="M9" i="17"/>
  <c r="K9" i="17"/>
  <c r="N19" i="17"/>
  <c r="N20" i="17" s="1"/>
  <c r="J13" i="17"/>
  <c r="N18" i="17"/>
  <c r="M10" i="17"/>
  <c r="K10" i="17"/>
  <c r="K87" i="4"/>
  <c r="AD33" i="16"/>
  <c r="Y33" i="16"/>
  <c r="X33" i="16"/>
  <c r="AD10" i="16"/>
  <c r="Y10" i="16"/>
  <c r="X10" i="16"/>
  <c r="AD9" i="16"/>
  <c r="Y9" i="16"/>
  <c r="X9" i="16"/>
  <c r="AD8" i="16"/>
  <c r="Y8" i="16"/>
  <c r="X8" i="16"/>
  <c r="K93" i="4" l="1"/>
  <c r="M93" i="4"/>
  <c r="M119" i="17"/>
  <c r="M120" i="17" s="1"/>
  <c r="M269" i="17"/>
  <c r="K90" i="4"/>
  <c r="K86" i="4"/>
  <c r="M86" i="4"/>
  <c r="M133" i="17"/>
  <c r="EK62" i="16"/>
  <c r="EK10" i="16"/>
  <c r="EK35" i="16"/>
  <c r="EF9" i="16"/>
  <c r="EF34" i="16"/>
  <c r="EF61" i="16"/>
  <c r="EF60" i="16"/>
  <c r="EF33" i="16"/>
  <c r="EF8" i="16"/>
  <c r="EK61" i="16"/>
  <c r="EK9" i="16"/>
  <c r="EK34" i="16"/>
  <c r="EK33" i="16"/>
  <c r="EK60" i="16"/>
  <c r="EK8" i="16"/>
  <c r="EE10" i="16"/>
  <c r="EE35" i="16"/>
  <c r="EE62" i="16"/>
  <c r="EE34" i="16"/>
  <c r="EE61" i="16"/>
  <c r="EE9" i="16"/>
  <c r="EF62" i="16"/>
  <c r="EF10" i="16"/>
  <c r="EF35" i="16"/>
  <c r="AC9" i="16"/>
  <c r="AC10" i="16"/>
  <c r="K91" i="4"/>
  <c r="K134" i="17"/>
  <c r="K135" i="17" s="1"/>
  <c r="EE60" i="16"/>
  <c r="EE33" i="16"/>
  <c r="EE8" i="16"/>
  <c r="AB9" i="16"/>
  <c r="AB10" i="16"/>
  <c r="AE25" i="16"/>
  <c r="AE26" i="16"/>
  <c r="AE27" i="16" s="1"/>
  <c r="Y51" i="16"/>
  <c r="Y52" i="16" s="1"/>
  <c r="Y50" i="16"/>
  <c r="AD51" i="16"/>
  <c r="AD52" i="16" s="1"/>
  <c r="AD50" i="16"/>
  <c r="X26" i="16"/>
  <c r="X27" i="16" s="1"/>
  <c r="X25" i="16"/>
  <c r="AE50" i="16"/>
  <c r="AE51" i="16"/>
  <c r="AE52" i="16" s="1"/>
  <c r="Y26" i="16"/>
  <c r="Y27" i="16" s="1"/>
  <c r="Y25" i="16"/>
  <c r="X51" i="16"/>
  <c r="X52" i="16" s="1"/>
  <c r="X50" i="16"/>
  <c r="M79" i="17"/>
  <c r="AD26" i="16"/>
  <c r="AD27" i="16" s="1"/>
  <c r="AD25" i="16"/>
  <c r="M172" i="17"/>
  <c r="J133" i="17"/>
  <c r="J90" i="4"/>
  <c r="K149" i="17"/>
  <c r="K150" i="17" s="1"/>
  <c r="J286" i="17"/>
  <c r="AC8" i="16"/>
  <c r="J313" i="17"/>
  <c r="K85" i="4"/>
  <c r="K103" i="17"/>
  <c r="J270" i="17"/>
  <c r="J271" i="17" s="1"/>
  <c r="K286" i="17"/>
  <c r="K313" i="17"/>
  <c r="J87" i="4"/>
  <c r="J80" i="17"/>
  <c r="J81" i="17" s="1"/>
  <c r="M104" i="17"/>
  <c r="M105" i="17" s="1"/>
  <c r="K269" i="17"/>
  <c r="J287" i="17"/>
  <c r="J288" i="17" s="1"/>
  <c r="M287" i="17"/>
  <c r="M288" i="17" s="1"/>
  <c r="M314" i="17"/>
  <c r="M315" i="17" s="1"/>
  <c r="K80" i="17"/>
  <c r="K81" i="17" s="1"/>
  <c r="J235" i="17"/>
  <c r="J236" i="17" s="1"/>
  <c r="M234" i="17"/>
  <c r="K287" i="17"/>
  <c r="K288" i="17" s="1"/>
  <c r="M88" i="4"/>
  <c r="J88" i="4"/>
  <c r="M313" i="17"/>
  <c r="M270" i="17"/>
  <c r="M271" i="17" s="1"/>
  <c r="J89" i="4"/>
  <c r="K172" i="17"/>
  <c r="M118" i="17"/>
  <c r="K235" i="17"/>
  <c r="K236" i="17" s="1"/>
  <c r="M252" i="17"/>
  <c r="J252" i="17"/>
  <c r="K314" i="17"/>
  <c r="K315" i="17" s="1"/>
  <c r="J314" i="17"/>
  <c r="J315" i="17" s="1"/>
  <c r="K270" i="17"/>
  <c r="K271" i="17" s="1"/>
  <c r="M92" i="4"/>
  <c r="J92" i="4"/>
  <c r="K88" i="4"/>
  <c r="K89" i="4"/>
  <c r="J269" i="17"/>
  <c r="M286" i="17"/>
  <c r="Z33" i="16"/>
  <c r="M253" i="17"/>
  <c r="M254" i="17" s="1"/>
  <c r="J253" i="17"/>
  <c r="J254" i="17" s="1"/>
  <c r="M84" i="4"/>
  <c r="J84" i="4"/>
  <c r="J85" i="4"/>
  <c r="J91" i="4"/>
  <c r="K92" i="4"/>
  <c r="K173" i="17"/>
  <c r="K174" i="17" s="1"/>
  <c r="M74" i="17"/>
  <c r="K253" i="17"/>
  <c r="K254" i="17" s="1"/>
  <c r="K252" i="17"/>
  <c r="M235" i="17"/>
  <c r="M236" i="17" s="1"/>
  <c r="J234" i="17"/>
  <c r="M103" i="17"/>
  <c r="J119" i="17"/>
  <c r="J120" i="17" s="1"/>
  <c r="J173" i="17"/>
  <c r="J174" i="17" s="1"/>
  <c r="K118" i="17"/>
  <c r="K234" i="17"/>
  <c r="K48" i="17"/>
  <c r="K49" i="17" s="1"/>
  <c r="J134" i="17"/>
  <c r="J135" i="17" s="1"/>
  <c r="J53" i="17"/>
  <c r="J54" i="17" s="1"/>
  <c r="J52" i="17"/>
  <c r="K52" i="17"/>
  <c r="K53" i="17"/>
  <c r="K54" i="17" s="1"/>
  <c r="M173" i="17"/>
  <c r="M174" i="17" s="1"/>
  <c r="K148" i="17"/>
  <c r="K119" i="17"/>
  <c r="K120" i="17" s="1"/>
  <c r="M52" i="17"/>
  <c r="M53" i="17"/>
  <c r="M54" i="17" s="1"/>
  <c r="J118" i="17"/>
  <c r="M148" i="17"/>
  <c r="M149" i="17"/>
  <c r="M150" i="17" s="1"/>
  <c r="K104" i="17"/>
  <c r="K105" i="17" s="1"/>
  <c r="J148" i="17"/>
  <c r="J149" i="17"/>
  <c r="J150" i="17" s="1"/>
  <c r="J172" i="17"/>
  <c r="K133" i="17"/>
  <c r="K75" i="17"/>
  <c r="K76" i="17" s="1"/>
  <c r="J74" i="17"/>
  <c r="K79" i="17"/>
  <c r="J103" i="17"/>
  <c r="J104" i="17"/>
  <c r="J105" i="17" s="1"/>
  <c r="J210" i="17"/>
  <c r="J211" i="17"/>
  <c r="J212" i="17" s="1"/>
  <c r="K211" i="17"/>
  <c r="K212" i="17" s="1"/>
  <c r="K210" i="17"/>
  <c r="M211" i="17"/>
  <c r="M212" i="17" s="1"/>
  <c r="M210" i="17"/>
  <c r="K74" i="17"/>
  <c r="J75" i="17"/>
  <c r="J76" i="17" s="1"/>
  <c r="K47" i="17"/>
  <c r="J79" i="17"/>
  <c r="M48" i="17"/>
  <c r="M49" i="17" s="1"/>
  <c r="M47" i="17"/>
  <c r="J47" i="17"/>
  <c r="J48" i="17"/>
  <c r="J49" i="17" s="1"/>
  <c r="J19" i="17"/>
  <c r="J20" i="17" s="1"/>
  <c r="J18" i="17"/>
  <c r="M19" i="17"/>
  <c r="M20" i="17" s="1"/>
  <c r="K18" i="17"/>
  <c r="M18" i="17"/>
  <c r="K19" i="17"/>
  <c r="K20" i="17" s="1"/>
  <c r="AA9" i="16"/>
  <c r="AA10" i="16"/>
  <c r="Z8" i="16"/>
  <c r="Z9" i="16"/>
  <c r="Z10" i="16"/>
  <c r="AA8" i="16"/>
  <c r="AA33" i="16"/>
  <c r="AB8" i="16"/>
  <c r="AB33" i="16"/>
  <c r="AC33" i="16"/>
  <c r="EK78" i="16" l="1"/>
  <c r="EK79" i="16" s="1"/>
  <c r="EG62" i="16"/>
  <c r="EG35" i="16"/>
  <c r="EG10" i="16"/>
  <c r="EH61" i="16"/>
  <c r="EH9" i="16"/>
  <c r="EH34" i="16"/>
  <c r="EI8" i="16"/>
  <c r="EI60" i="16"/>
  <c r="EI33" i="16"/>
  <c r="EG61" i="16"/>
  <c r="EG9" i="16"/>
  <c r="EG34" i="16"/>
  <c r="EH8" i="16"/>
  <c r="EH33" i="16"/>
  <c r="EH60" i="16"/>
  <c r="EG33" i="16"/>
  <c r="EG60" i="16"/>
  <c r="EG8" i="16"/>
  <c r="EJ62" i="16"/>
  <c r="EJ10" i="16"/>
  <c r="EJ35" i="16"/>
  <c r="EH35" i="16"/>
  <c r="EH62" i="16"/>
  <c r="EH10" i="16"/>
  <c r="EI10" i="16"/>
  <c r="EI35" i="16"/>
  <c r="EI62" i="16"/>
  <c r="EJ60" i="16"/>
  <c r="EJ33" i="16"/>
  <c r="EJ8" i="16"/>
  <c r="EI34" i="16"/>
  <c r="EI61" i="16"/>
  <c r="EI9" i="16"/>
  <c r="EJ9" i="16"/>
  <c r="EJ34" i="16"/>
  <c r="EJ61" i="16"/>
  <c r="EE50" i="16"/>
  <c r="EE51" i="16"/>
  <c r="EE52" i="16" s="1"/>
  <c r="EK26" i="16"/>
  <c r="EK27" i="16" s="1"/>
  <c r="EK77" i="16"/>
  <c r="EF77" i="16"/>
  <c r="EF78" i="16"/>
  <c r="EF79" i="16" s="1"/>
  <c r="EE26" i="16"/>
  <c r="EE27" i="16" s="1"/>
  <c r="EE25" i="16"/>
  <c r="EK50" i="16"/>
  <c r="EF26" i="16"/>
  <c r="EF27" i="16" s="1"/>
  <c r="EF25" i="16"/>
  <c r="EE77" i="16"/>
  <c r="EE78" i="16"/>
  <c r="EE79" i="16" s="1"/>
  <c r="EK51" i="16"/>
  <c r="EK52" i="16" s="1"/>
  <c r="EK25" i="16"/>
  <c r="EF51" i="16"/>
  <c r="EF52" i="16" s="1"/>
  <c r="EF50" i="16"/>
  <c r="AB51" i="16"/>
  <c r="AB52" i="16" s="1"/>
  <c r="AB50" i="16"/>
  <c r="AC26" i="16"/>
  <c r="AC27" i="16" s="1"/>
  <c r="AC25" i="16"/>
  <c r="AC51" i="16"/>
  <c r="AC52" i="16" s="1"/>
  <c r="AC50" i="16"/>
  <c r="AB26" i="16"/>
  <c r="AB27" i="16" s="1"/>
  <c r="AB25" i="16"/>
  <c r="AA25" i="16"/>
  <c r="AA26" i="16"/>
  <c r="AA27" i="16" s="1"/>
  <c r="AA50" i="16"/>
  <c r="AA51" i="16"/>
  <c r="AA52" i="16" s="1"/>
  <c r="Z26" i="16"/>
  <c r="Z27" i="16" s="1"/>
  <c r="Z25" i="16"/>
  <c r="Z50" i="16"/>
  <c r="Z51" i="16"/>
  <c r="Z52" i="16" s="1"/>
  <c r="O106" i="15"/>
  <c r="O107" i="15" s="1"/>
  <c r="O105" i="15"/>
  <c r="O101" i="15"/>
  <c r="O102" i="15" s="1"/>
  <c r="O100" i="15"/>
  <c r="O74" i="15"/>
  <c r="O75" i="15" s="1"/>
  <c r="O73" i="15"/>
  <c r="O69" i="15"/>
  <c r="O70" i="15" s="1"/>
  <c r="O68" i="15"/>
  <c r="O63" i="15"/>
  <c r="O64" i="15"/>
  <c r="O65" i="15" s="1"/>
  <c r="O18" i="15"/>
  <c r="O19" i="15" s="1"/>
  <c r="O17" i="15"/>
  <c r="F96" i="15"/>
  <c r="D95" i="15"/>
  <c r="G95" i="15"/>
  <c r="F95" i="15"/>
  <c r="D94" i="15"/>
  <c r="G94" i="15"/>
  <c r="F94" i="15"/>
  <c r="D93" i="15"/>
  <c r="G93" i="15"/>
  <c r="F93" i="15"/>
  <c r="D92" i="15"/>
  <c r="G92" i="15"/>
  <c r="F92" i="15"/>
  <c r="G91" i="15"/>
  <c r="F91" i="15"/>
  <c r="G90" i="15"/>
  <c r="F90" i="15"/>
  <c r="G89" i="15"/>
  <c r="F89" i="15"/>
  <c r="D88" i="15"/>
  <c r="G88" i="15"/>
  <c r="F88" i="15"/>
  <c r="G87" i="15"/>
  <c r="F87" i="15"/>
  <c r="D85" i="15"/>
  <c r="D84" i="15"/>
  <c r="D57" i="15"/>
  <c r="D55" i="15"/>
  <c r="H56" i="15"/>
  <c r="L56" i="15" s="1"/>
  <c r="I56" i="15"/>
  <c r="H57" i="15"/>
  <c r="P57" i="15" s="1"/>
  <c r="I57" i="15"/>
  <c r="H58" i="15"/>
  <c r="I58" i="15"/>
  <c r="H59" i="15"/>
  <c r="L59" i="15" s="1"/>
  <c r="I59" i="15"/>
  <c r="D53" i="15"/>
  <c r="D50" i="15"/>
  <c r="D48" i="15"/>
  <c r="EH51" i="16" l="1"/>
  <c r="EH52" i="16" s="1"/>
  <c r="EH50" i="16"/>
  <c r="EJ78" i="16"/>
  <c r="EJ79" i="16" s="1"/>
  <c r="EJ77" i="16"/>
  <c r="EI26" i="16"/>
  <c r="EI27" i="16" s="1"/>
  <c r="EI25" i="16"/>
  <c r="EH78" i="16"/>
  <c r="EH79" i="16" s="1"/>
  <c r="EH77" i="16"/>
  <c r="EG77" i="16"/>
  <c r="EJ51" i="16"/>
  <c r="EJ52" i="16" s="1"/>
  <c r="EJ50" i="16"/>
  <c r="EI78" i="16"/>
  <c r="EI79" i="16" s="1"/>
  <c r="EI77" i="16"/>
  <c r="EG25" i="16"/>
  <c r="EG26" i="16"/>
  <c r="EG27" i="16" s="1"/>
  <c r="EJ26" i="16"/>
  <c r="EJ27" i="16" s="1"/>
  <c r="EJ25" i="16"/>
  <c r="EG78" i="16"/>
  <c r="EG79" i="16" s="1"/>
  <c r="EI51" i="16"/>
  <c r="EI52" i="16" s="1"/>
  <c r="EI50" i="16"/>
  <c r="EH25" i="16"/>
  <c r="EH26" i="16"/>
  <c r="EH27" i="16" s="1"/>
  <c r="EG51" i="16"/>
  <c r="EG52" i="16" s="1"/>
  <c r="EG50" i="16"/>
  <c r="P59" i="15"/>
  <c r="N59" i="15"/>
  <c r="J59" i="15" s="1"/>
  <c r="P58" i="15"/>
  <c r="L58" i="15"/>
  <c r="N58" i="15"/>
  <c r="M58" i="15" s="1"/>
  <c r="N57" i="15"/>
  <c r="M57" i="15" s="1"/>
  <c r="L57" i="15"/>
  <c r="N56" i="15"/>
  <c r="M56" i="15" s="1"/>
  <c r="P56" i="15"/>
  <c r="K59" i="15"/>
  <c r="O122" i="14"/>
  <c r="O123" i="14" s="1"/>
  <c r="O121" i="14"/>
  <c r="O117" i="14"/>
  <c r="O118" i="14" s="1"/>
  <c r="O116" i="14"/>
  <c r="O112" i="14"/>
  <c r="O113" i="14" s="1"/>
  <c r="O111" i="14"/>
  <c r="O75" i="14"/>
  <c r="O76" i="14" s="1"/>
  <c r="O74" i="14"/>
  <c r="O70" i="14"/>
  <c r="O71" i="14" s="1"/>
  <c r="O69" i="14"/>
  <c r="O65" i="14"/>
  <c r="O66" i="14" s="1"/>
  <c r="O64" i="14"/>
  <c r="O23" i="14"/>
  <c r="O24" i="14" s="1"/>
  <c r="O22" i="14"/>
  <c r="O134" i="12"/>
  <c r="O135" i="12" s="1"/>
  <c r="O133" i="12"/>
  <c r="O120" i="12"/>
  <c r="O121" i="12" s="1"/>
  <c r="O119" i="12"/>
  <c r="O115" i="12"/>
  <c r="O116" i="12" s="1"/>
  <c r="O114" i="12"/>
  <c r="O129" i="12"/>
  <c r="O130" i="12" s="1"/>
  <c r="O128" i="12"/>
  <c r="O125" i="12"/>
  <c r="O126" i="12" s="1"/>
  <c r="O124" i="12"/>
  <c r="O62" i="12"/>
  <c r="O63" i="12" s="1"/>
  <c r="O61" i="12"/>
  <c r="O80" i="12"/>
  <c r="O81" i="12" s="1"/>
  <c r="O79" i="12"/>
  <c r="O76" i="12"/>
  <c r="O77" i="12" s="1"/>
  <c r="O75" i="12"/>
  <c r="O72" i="12"/>
  <c r="O73" i="12" s="1"/>
  <c r="O71" i="12"/>
  <c r="O67" i="12"/>
  <c r="O68" i="12" s="1"/>
  <c r="O66" i="12"/>
  <c r="M59" i="15" l="1"/>
  <c r="K58" i="15"/>
  <c r="J58" i="15"/>
  <c r="J56" i="15"/>
  <c r="K56" i="15"/>
  <c r="K57" i="15"/>
  <c r="J57" i="15"/>
  <c r="O19" i="12"/>
  <c r="O20" i="12" s="1"/>
  <c r="O18" i="12"/>
  <c r="O110" i="11"/>
  <c r="O111" i="11" s="1"/>
  <c r="O105" i="11"/>
  <c r="O106" i="11" s="1"/>
  <c r="O100" i="11"/>
  <c r="O101" i="11" s="1"/>
  <c r="O109" i="11"/>
  <c r="O104" i="11"/>
  <c r="O99" i="11"/>
  <c r="O61" i="11"/>
  <c r="O62" i="11" s="1"/>
  <c r="O56" i="11"/>
  <c r="O57" i="11" s="1"/>
  <c r="O51" i="11"/>
  <c r="O52" i="11" s="1"/>
  <c r="O60" i="11"/>
  <c r="O55" i="11"/>
  <c r="O50" i="11"/>
  <c r="O19" i="11"/>
  <c r="O20" i="11" s="1"/>
  <c r="O18" i="11"/>
  <c r="O135" i="10"/>
  <c r="O136" i="10" s="1"/>
  <c r="O131" i="10"/>
  <c r="O132" i="10" s="1"/>
  <c r="O126" i="10"/>
  <c r="O127" i="10" s="1"/>
  <c r="O134" i="10"/>
  <c r="O130" i="10"/>
  <c r="O125" i="10"/>
  <c r="H101" i="10"/>
  <c r="O90" i="10"/>
  <c r="O91" i="10" s="1"/>
  <c r="O89" i="10"/>
  <c r="O86" i="10"/>
  <c r="O87" i="10" s="1"/>
  <c r="O85" i="10"/>
  <c r="O81" i="10"/>
  <c r="O82" i="10" s="1"/>
  <c r="O80" i="10"/>
  <c r="O19" i="10"/>
  <c r="O20" i="10" s="1"/>
  <c r="O18" i="10"/>
  <c r="D42" i="15" l="1"/>
  <c r="D40" i="15"/>
  <c r="G34" i="15"/>
  <c r="F34" i="15"/>
  <c r="D33" i="15"/>
  <c r="G33" i="15"/>
  <c r="F33" i="15"/>
  <c r="D32" i="15"/>
  <c r="G32" i="15"/>
  <c r="F32" i="15"/>
  <c r="D31" i="15"/>
  <c r="F14" i="15"/>
  <c r="G13" i="15"/>
  <c r="F13" i="15"/>
  <c r="G12" i="15"/>
  <c r="F12" i="15"/>
  <c r="I95" i="15" l="1"/>
  <c r="H95" i="15"/>
  <c r="L95" i="15" s="1"/>
  <c r="H94" i="15"/>
  <c r="I94" i="15"/>
  <c r="I93" i="15"/>
  <c r="H93" i="15"/>
  <c r="L93" i="15" s="1"/>
  <c r="I92" i="15"/>
  <c r="H92" i="15"/>
  <c r="P92" i="15" s="1"/>
  <c r="I91" i="15"/>
  <c r="H91" i="15"/>
  <c r="P91" i="15" s="1"/>
  <c r="I90" i="15"/>
  <c r="H90" i="15"/>
  <c r="I89" i="15"/>
  <c r="H89" i="15"/>
  <c r="L89" i="15" s="1"/>
  <c r="I88" i="15"/>
  <c r="H88" i="15"/>
  <c r="P88" i="15" s="1"/>
  <c r="I87" i="15"/>
  <c r="H87" i="15"/>
  <c r="P87" i="15" s="1"/>
  <c r="I86" i="15"/>
  <c r="H86" i="15"/>
  <c r="I85" i="15"/>
  <c r="H85" i="15"/>
  <c r="L85" i="15" s="1"/>
  <c r="I84" i="15"/>
  <c r="H84" i="15"/>
  <c r="I83" i="15"/>
  <c r="H83" i="15"/>
  <c r="L83" i="15" s="1"/>
  <c r="I82" i="15"/>
  <c r="H82" i="15"/>
  <c r="L82" i="15" s="1"/>
  <c r="I55" i="15"/>
  <c r="I53" i="15"/>
  <c r="I51" i="15"/>
  <c r="I49" i="15"/>
  <c r="H49" i="15"/>
  <c r="I48" i="15"/>
  <c r="H48" i="15"/>
  <c r="L48" i="15" s="1"/>
  <c r="H46" i="15"/>
  <c r="L46" i="15" s="1"/>
  <c r="H43" i="15"/>
  <c r="I43" i="15"/>
  <c r="I42" i="15"/>
  <c r="H42" i="15"/>
  <c r="L42" i="15" s="1"/>
  <c r="I41" i="15"/>
  <c r="H41" i="15"/>
  <c r="I40" i="15"/>
  <c r="H40" i="15"/>
  <c r="L40" i="15" s="1"/>
  <c r="I39" i="15"/>
  <c r="H39" i="15"/>
  <c r="L39" i="15" s="1"/>
  <c r="I38" i="15"/>
  <c r="H38" i="15"/>
  <c r="L38" i="15" s="1"/>
  <c r="I37" i="15"/>
  <c r="H37" i="15"/>
  <c r="P37" i="15" s="1"/>
  <c r="H34" i="15"/>
  <c r="I33" i="15"/>
  <c r="H33" i="15"/>
  <c r="L33" i="15" s="1"/>
  <c r="I32" i="15"/>
  <c r="H32" i="15"/>
  <c r="L32" i="15" s="1"/>
  <c r="I31" i="15"/>
  <c r="H31" i="15"/>
  <c r="I30" i="15"/>
  <c r="H30" i="15"/>
  <c r="L30" i="15" s="1"/>
  <c r="I29" i="15"/>
  <c r="H29" i="15"/>
  <c r="I13" i="15"/>
  <c r="H13" i="15"/>
  <c r="L13" i="15" s="1"/>
  <c r="I12" i="15"/>
  <c r="H12" i="15"/>
  <c r="L12" i="15" s="1"/>
  <c r="I11" i="15"/>
  <c r="H11" i="15"/>
  <c r="L11" i="15" s="1"/>
  <c r="I10" i="15"/>
  <c r="H10" i="15"/>
  <c r="L10" i="15" s="1"/>
  <c r="I9" i="15"/>
  <c r="H9" i="15"/>
  <c r="L9" i="15" s="1"/>
  <c r="I8" i="15"/>
  <c r="H8" i="15"/>
  <c r="L8" i="15" s="1"/>
  <c r="I7" i="15"/>
  <c r="H7" i="15"/>
  <c r="D103" i="14"/>
  <c r="D101" i="14"/>
  <c r="F108" i="14"/>
  <c r="G107" i="14"/>
  <c r="F107" i="14"/>
  <c r="G106" i="14"/>
  <c r="F106" i="14"/>
  <c r="G105" i="14"/>
  <c r="F105" i="14"/>
  <c r="G104" i="14"/>
  <c r="F104" i="14"/>
  <c r="G103" i="14"/>
  <c r="F103" i="14"/>
  <c r="G102" i="14"/>
  <c r="F102" i="14"/>
  <c r="G101" i="14"/>
  <c r="F101" i="14"/>
  <c r="I100" i="14" s="1"/>
  <c r="G100" i="14"/>
  <c r="F100" i="14"/>
  <c r="D99" i="14"/>
  <c r="D97" i="14"/>
  <c r="G99" i="14"/>
  <c r="F99" i="14"/>
  <c r="G98" i="14"/>
  <c r="F98" i="14"/>
  <c r="G97" i="14"/>
  <c r="F97" i="14"/>
  <c r="D95" i="14"/>
  <c r="G96" i="14"/>
  <c r="F96" i="14"/>
  <c r="D93" i="14"/>
  <c r="G95" i="14"/>
  <c r="F95" i="14"/>
  <c r="G94" i="14"/>
  <c r="F94" i="14"/>
  <c r="G93" i="14"/>
  <c r="F93" i="14"/>
  <c r="G92" i="14"/>
  <c r="F92" i="14"/>
  <c r="I91" i="14" s="1"/>
  <c r="D91" i="14"/>
  <c r="D89" i="14"/>
  <c r="D87" i="14"/>
  <c r="D85" i="14"/>
  <c r="D84" i="14"/>
  <c r="F59" i="14"/>
  <c r="G59" i="14"/>
  <c r="F60" i="14"/>
  <c r="G58" i="14"/>
  <c r="F58" i="14"/>
  <c r="G57" i="14"/>
  <c r="F57" i="14"/>
  <c r="G56" i="14"/>
  <c r="F56" i="14"/>
  <c r="G55" i="14"/>
  <c r="F55" i="14"/>
  <c r="D54" i="14"/>
  <c r="G54" i="14"/>
  <c r="F54" i="14"/>
  <c r="G53" i="14"/>
  <c r="F53" i="14"/>
  <c r="G52" i="14"/>
  <c r="F52" i="14"/>
  <c r="G51" i="14"/>
  <c r="F51" i="14"/>
  <c r="G50" i="14"/>
  <c r="F50" i="14"/>
  <c r="G49" i="14"/>
  <c r="F49" i="14"/>
  <c r="H7" i="14"/>
  <c r="I7" i="14"/>
  <c r="H8" i="14"/>
  <c r="L8" i="14" s="1"/>
  <c r="I8" i="14"/>
  <c r="H9" i="14"/>
  <c r="L9" i="14" s="1"/>
  <c r="I9" i="14"/>
  <c r="H10" i="14"/>
  <c r="L10" i="14" s="1"/>
  <c r="I10" i="14"/>
  <c r="H11" i="14"/>
  <c r="L11" i="14" s="1"/>
  <c r="I11" i="14"/>
  <c r="H12" i="14"/>
  <c r="L12" i="14" s="1"/>
  <c r="I12" i="14"/>
  <c r="H13" i="14"/>
  <c r="L13" i="14" s="1"/>
  <c r="I13" i="14"/>
  <c r="H14" i="14"/>
  <c r="L14" i="14" s="1"/>
  <c r="I14" i="14"/>
  <c r="H15" i="14"/>
  <c r="L15" i="14" s="1"/>
  <c r="I15" i="14"/>
  <c r="H16" i="14"/>
  <c r="L16" i="14" s="1"/>
  <c r="I16" i="14"/>
  <c r="H17" i="14"/>
  <c r="L17" i="14" s="1"/>
  <c r="I17" i="14"/>
  <c r="H18" i="14"/>
  <c r="L18" i="14" s="1"/>
  <c r="I18" i="14"/>
  <c r="H19" i="14"/>
  <c r="L19" i="14" s="1"/>
  <c r="I19" i="14"/>
  <c r="H33" i="14"/>
  <c r="I33" i="14"/>
  <c r="H34" i="14"/>
  <c r="L34" i="14" s="1"/>
  <c r="I34" i="14"/>
  <c r="H35" i="14"/>
  <c r="L35" i="14" s="1"/>
  <c r="I35" i="14"/>
  <c r="D36" i="14"/>
  <c r="H36" i="14"/>
  <c r="I36" i="14"/>
  <c r="H37" i="14"/>
  <c r="I37" i="14"/>
  <c r="H38" i="14"/>
  <c r="L38" i="14" s="1"/>
  <c r="I38" i="14"/>
  <c r="D39" i="14"/>
  <c r="H39" i="14"/>
  <c r="P39" i="14" s="1"/>
  <c r="I39" i="14"/>
  <c r="H40" i="14"/>
  <c r="P40" i="14" s="1"/>
  <c r="I40" i="14"/>
  <c r="H41" i="14"/>
  <c r="P41" i="14" s="1"/>
  <c r="I41" i="14"/>
  <c r="D42" i="14"/>
  <c r="H42" i="14"/>
  <c r="L42" i="14" s="1"/>
  <c r="I42" i="14"/>
  <c r="D43" i="14"/>
  <c r="H43" i="14"/>
  <c r="P43" i="14" s="1"/>
  <c r="I43" i="14"/>
  <c r="D44" i="14"/>
  <c r="H44" i="14"/>
  <c r="I44" i="14"/>
  <c r="H45" i="14"/>
  <c r="L45" i="14" s="1"/>
  <c r="I45" i="14"/>
  <c r="H46" i="14"/>
  <c r="P46" i="14" s="1"/>
  <c r="D47" i="14"/>
  <c r="F47" i="14"/>
  <c r="I46" i="14" s="1"/>
  <c r="G47" i="14"/>
  <c r="D48" i="14"/>
  <c r="F48" i="14"/>
  <c r="G48" i="14"/>
  <c r="H82" i="14"/>
  <c r="I82" i="14"/>
  <c r="H83" i="14"/>
  <c r="L83" i="14" s="1"/>
  <c r="I83" i="14"/>
  <c r="H84" i="14"/>
  <c r="I84" i="14"/>
  <c r="H85" i="14"/>
  <c r="L85" i="14" s="1"/>
  <c r="I85" i="14"/>
  <c r="H86" i="14"/>
  <c r="I86" i="14"/>
  <c r="H87" i="14"/>
  <c r="L87" i="14" s="1"/>
  <c r="I87" i="14"/>
  <c r="H88" i="14"/>
  <c r="L88" i="14" s="1"/>
  <c r="I88" i="14"/>
  <c r="H89" i="14"/>
  <c r="L89" i="14" s="1"/>
  <c r="I89" i="14"/>
  <c r="H90" i="14"/>
  <c r="L90" i="14" s="1"/>
  <c r="I90" i="14"/>
  <c r="H91" i="14"/>
  <c r="L91" i="14" s="1"/>
  <c r="I96" i="14" l="1"/>
  <c r="I94" i="14"/>
  <c r="I106" i="14"/>
  <c r="N106" i="14" s="1"/>
  <c r="J106" i="14" s="1"/>
  <c r="H96" i="14"/>
  <c r="P96" i="14" s="1"/>
  <c r="I49" i="14"/>
  <c r="I51" i="14"/>
  <c r="H94" i="14"/>
  <c r="L94" i="14" s="1"/>
  <c r="I97" i="14"/>
  <c r="H106" i="14"/>
  <c r="L106" i="14" s="1"/>
  <c r="H93" i="14"/>
  <c r="L93" i="14" s="1"/>
  <c r="I95" i="14"/>
  <c r="H101" i="14"/>
  <c r="P101" i="14" s="1"/>
  <c r="H105" i="14"/>
  <c r="L105" i="14" s="1"/>
  <c r="H59" i="14"/>
  <c r="P59" i="14" s="1"/>
  <c r="H95" i="14"/>
  <c r="L95" i="14" s="1"/>
  <c r="I50" i="14"/>
  <c r="L84" i="15"/>
  <c r="H101" i="15"/>
  <c r="H102" i="15" s="1"/>
  <c r="H100" i="15"/>
  <c r="L86" i="15"/>
  <c r="H106" i="15"/>
  <c r="H107" i="15" s="1"/>
  <c r="H105" i="15"/>
  <c r="I101" i="15"/>
  <c r="I102" i="15" s="1"/>
  <c r="I100" i="15"/>
  <c r="I106" i="15"/>
  <c r="I107" i="15" s="1"/>
  <c r="I105" i="15"/>
  <c r="I53" i="14"/>
  <c r="H55" i="14"/>
  <c r="L55" i="14" s="1"/>
  <c r="H57" i="14"/>
  <c r="L57" i="14" s="1"/>
  <c r="I59" i="14"/>
  <c r="L41" i="15"/>
  <c r="L29" i="15"/>
  <c r="L31" i="15"/>
  <c r="L7" i="15"/>
  <c r="H18" i="15"/>
  <c r="H19" i="15" s="1"/>
  <c r="H17" i="15"/>
  <c r="I18" i="15"/>
  <c r="I19" i="15" s="1"/>
  <c r="I17" i="15"/>
  <c r="N84" i="15"/>
  <c r="J84" i="15" s="1"/>
  <c r="H97" i="14"/>
  <c r="N97" i="14" s="1"/>
  <c r="J97" i="14" s="1"/>
  <c r="H99" i="14"/>
  <c r="I99" i="14"/>
  <c r="H102" i="14"/>
  <c r="L102" i="14" s="1"/>
  <c r="I107" i="14"/>
  <c r="H48" i="14"/>
  <c r="L48" i="14" s="1"/>
  <c r="L37" i="14"/>
  <c r="P8" i="14"/>
  <c r="H50" i="14"/>
  <c r="L50" i="14" s="1"/>
  <c r="H52" i="14"/>
  <c r="P52" i="14" s="1"/>
  <c r="L33" i="14"/>
  <c r="L86" i="14"/>
  <c r="L84" i="14"/>
  <c r="L82" i="14"/>
  <c r="L36" i="14"/>
  <c r="H58" i="14"/>
  <c r="P58" i="14" s="1"/>
  <c r="H98" i="14"/>
  <c r="P98" i="14" s="1"/>
  <c r="H107" i="14"/>
  <c r="L107" i="14" s="1"/>
  <c r="P9" i="14"/>
  <c r="P36" i="14"/>
  <c r="N46" i="14"/>
  <c r="M46" i="14" s="1"/>
  <c r="L40" i="14"/>
  <c r="P35" i="14"/>
  <c r="N38" i="14"/>
  <c r="J38" i="14" s="1"/>
  <c r="P19" i="14"/>
  <c r="I23" i="14"/>
  <c r="I24" i="14" s="1"/>
  <c r="I22" i="14"/>
  <c r="L7" i="14"/>
  <c r="H23" i="14"/>
  <c r="H24" i="14" s="1"/>
  <c r="H22" i="14"/>
  <c r="L41" i="14"/>
  <c r="N36" i="14"/>
  <c r="P18" i="14"/>
  <c r="P13" i="14"/>
  <c r="P12" i="14"/>
  <c r="P14" i="14"/>
  <c r="P10" i="14"/>
  <c r="P15" i="14"/>
  <c r="P11" i="14"/>
  <c r="P7" i="14"/>
  <c r="N37" i="14"/>
  <c r="I52" i="14"/>
  <c r="N52" i="14" s="1"/>
  <c r="M52" i="14" s="1"/>
  <c r="I56" i="14"/>
  <c r="I93" i="14"/>
  <c r="I101" i="14"/>
  <c r="I103" i="14"/>
  <c r="I105" i="14"/>
  <c r="N105" i="14" s="1"/>
  <c r="J105" i="14" s="1"/>
  <c r="P89" i="15"/>
  <c r="P16" i="14"/>
  <c r="H56" i="14"/>
  <c r="P56" i="14" s="1"/>
  <c r="N13" i="15"/>
  <c r="M13" i="15" s="1"/>
  <c r="N92" i="15"/>
  <c r="M92" i="15" s="1"/>
  <c r="P45" i="14"/>
  <c r="N45" i="14"/>
  <c r="J45" i="14" s="1"/>
  <c r="N44" i="14"/>
  <c r="J44" i="14" s="1"/>
  <c r="L43" i="14"/>
  <c r="P33" i="14"/>
  <c r="L46" i="14"/>
  <c r="L39" i="14"/>
  <c r="P38" i="14"/>
  <c r="P37" i="14"/>
  <c r="P34" i="14"/>
  <c r="P17" i="14"/>
  <c r="I54" i="14"/>
  <c r="H54" i="14"/>
  <c r="P54" i="14" s="1"/>
  <c r="I55" i="14"/>
  <c r="I57" i="14"/>
  <c r="I92" i="14"/>
  <c r="I102" i="14"/>
  <c r="P85" i="15"/>
  <c r="P41" i="15"/>
  <c r="P8" i="15"/>
  <c r="H47" i="14"/>
  <c r="P47" i="14" s="1"/>
  <c r="P44" i="14"/>
  <c r="L37" i="15"/>
  <c r="I47" i="14"/>
  <c r="L44" i="14"/>
  <c r="I58" i="14"/>
  <c r="I48" i="14"/>
  <c r="H49" i="14"/>
  <c r="L49" i="14" s="1"/>
  <c r="H104" i="14"/>
  <c r="L104" i="14" s="1"/>
  <c r="P7" i="15"/>
  <c r="N29" i="15"/>
  <c r="P40" i="15"/>
  <c r="P83" i="15"/>
  <c r="P84" i="15"/>
  <c r="N86" i="15"/>
  <c r="L87" i="15"/>
  <c r="N93" i="15"/>
  <c r="M93" i="15" s="1"/>
  <c r="N85" i="15"/>
  <c r="M85" i="15" s="1"/>
  <c r="P86" i="15"/>
  <c r="N91" i="15"/>
  <c r="M91" i="15" s="1"/>
  <c r="P29" i="15"/>
  <c r="N30" i="15"/>
  <c r="K30" i="15" s="1"/>
  <c r="N31" i="15"/>
  <c r="N42" i="15"/>
  <c r="M42" i="15" s="1"/>
  <c r="P30" i="15"/>
  <c r="P31" i="15"/>
  <c r="N41" i="15"/>
  <c r="P42" i="15"/>
  <c r="P12" i="15"/>
  <c r="P13" i="15"/>
  <c r="N9" i="15"/>
  <c r="M9" i="15" s="1"/>
  <c r="N10" i="15"/>
  <c r="M10" i="15" s="1"/>
  <c r="N11" i="15"/>
  <c r="M11" i="15" s="1"/>
  <c r="N7" i="15"/>
  <c r="N8" i="15"/>
  <c r="M8" i="15" s="1"/>
  <c r="P9" i="15"/>
  <c r="P10" i="15"/>
  <c r="P11" i="15"/>
  <c r="N12" i="15"/>
  <c r="M12" i="15" s="1"/>
  <c r="H45" i="15"/>
  <c r="I45" i="15"/>
  <c r="L49" i="15"/>
  <c r="P49" i="15"/>
  <c r="N49" i="15"/>
  <c r="M49" i="15" s="1"/>
  <c r="H50" i="15"/>
  <c r="H53" i="15"/>
  <c r="H54" i="15"/>
  <c r="H68" i="15" s="1"/>
  <c r="N90" i="15"/>
  <c r="M90" i="15" s="1"/>
  <c r="L90" i="15"/>
  <c r="P90" i="15"/>
  <c r="P46" i="15"/>
  <c r="L43" i="15"/>
  <c r="P43" i="15"/>
  <c r="I46" i="15"/>
  <c r="N48" i="15"/>
  <c r="M48" i="15" s="1"/>
  <c r="P48" i="15"/>
  <c r="N88" i="15"/>
  <c r="M88" i="15" s="1"/>
  <c r="N94" i="15"/>
  <c r="M94" i="15" s="1"/>
  <c r="L94" i="15"/>
  <c r="P94" i="15"/>
  <c r="P39" i="15"/>
  <c r="N39" i="15"/>
  <c r="J39" i="15" s="1"/>
  <c r="N43" i="15"/>
  <c r="M43" i="15" s="1"/>
  <c r="H47" i="15"/>
  <c r="I47" i="15"/>
  <c r="I50" i="15"/>
  <c r="I63" i="15" s="1"/>
  <c r="H51" i="15"/>
  <c r="I54" i="15"/>
  <c r="I68" i="15" s="1"/>
  <c r="H55" i="15"/>
  <c r="P95" i="15"/>
  <c r="N95" i="15"/>
  <c r="M95" i="15" s="1"/>
  <c r="N32" i="15"/>
  <c r="M32" i="15" s="1"/>
  <c r="N33" i="15"/>
  <c r="M33" i="15" s="1"/>
  <c r="N38" i="15"/>
  <c r="J38" i="15" s="1"/>
  <c r="N40" i="15"/>
  <c r="N82" i="15"/>
  <c r="J82" i="15" s="1"/>
  <c r="P93" i="15"/>
  <c r="P32" i="15"/>
  <c r="P33" i="15"/>
  <c r="P34" i="15"/>
  <c r="P38" i="15"/>
  <c r="P82" i="15"/>
  <c r="N87" i="15"/>
  <c r="M87" i="15" s="1"/>
  <c r="L88" i="15"/>
  <c r="N89" i="15"/>
  <c r="J89" i="15" s="1"/>
  <c r="L91" i="15"/>
  <c r="L92" i="15"/>
  <c r="N37" i="15"/>
  <c r="N83" i="15"/>
  <c r="M83" i="15" s="1"/>
  <c r="P106" i="14"/>
  <c r="P105" i="14"/>
  <c r="I104" i="14"/>
  <c r="H103" i="14"/>
  <c r="H100" i="14"/>
  <c r="P100" i="14" s="1"/>
  <c r="I98" i="14"/>
  <c r="H92" i="14"/>
  <c r="L92" i="14" s="1"/>
  <c r="P57" i="14"/>
  <c r="H53" i="14"/>
  <c r="H51" i="14"/>
  <c r="L51" i="14" s="1"/>
  <c r="N88" i="14"/>
  <c r="M88" i="14" s="1"/>
  <c r="P88" i="14"/>
  <c r="N84" i="14"/>
  <c r="P84" i="14"/>
  <c r="N41" i="14"/>
  <c r="L99" i="14"/>
  <c r="N89" i="14"/>
  <c r="M89" i="14" s="1"/>
  <c r="P89" i="14"/>
  <c r="N85" i="14"/>
  <c r="M85" i="14" s="1"/>
  <c r="P85" i="14"/>
  <c r="N40" i="14"/>
  <c r="K40" i="14" s="1"/>
  <c r="P94" i="14"/>
  <c r="N91" i="14"/>
  <c r="M91" i="14" s="1"/>
  <c r="P91" i="14"/>
  <c r="N90" i="14"/>
  <c r="M90" i="14" s="1"/>
  <c r="P90" i="14"/>
  <c r="N86" i="14"/>
  <c r="P86" i="14"/>
  <c r="N82" i="14"/>
  <c r="P82" i="14"/>
  <c r="N39" i="14"/>
  <c r="K39" i="14" s="1"/>
  <c r="M36" i="14"/>
  <c r="N87" i="14"/>
  <c r="M87" i="14" s="1"/>
  <c r="P87" i="14"/>
  <c r="N83" i="14"/>
  <c r="M83" i="14" s="1"/>
  <c r="P83" i="14"/>
  <c r="N42" i="14"/>
  <c r="M42" i="14" s="1"/>
  <c r="P42" i="14"/>
  <c r="N43" i="14"/>
  <c r="N35" i="14"/>
  <c r="N34" i="14"/>
  <c r="N33" i="14"/>
  <c r="N19" i="14"/>
  <c r="J19" i="14" s="1"/>
  <c r="N18" i="14"/>
  <c r="N17" i="14"/>
  <c r="J17" i="14" s="1"/>
  <c r="N16" i="14"/>
  <c r="N15" i="14"/>
  <c r="J15" i="14" s="1"/>
  <c r="N14" i="14"/>
  <c r="J14" i="14" s="1"/>
  <c r="N13" i="14"/>
  <c r="J13" i="14" s="1"/>
  <c r="N12" i="14"/>
  <c r="J12" i="14" s="1"/>
  <c r="N11" i="14"/>
  <c r="N10" i="14"/>
  <c r="N9" i="14"/>
  <c r="J9" i="14" s="1"/>
  <c r="N8" i="14"/>
  <c r="J8" i="14" s="1"/>
  <c r="N7" i="14"/>
  <c r="P50" i="14" l="1"/>
  <c r="L58" i="14"/>
  <c r="N94" i="14"/>
  <c r="M94" i="14" s="1"/>
  <c r="P93" i="14"/>
  <c r="L98" i="14"/>
  <c r="N107" i="14"/>
  <c r="M107" i="14" s="1"/>
  <c r="N101" i="14"/>
  <c r="J101" i="14" s="1"/>
  <c r="N50" i="14"/>
  <c r="M50" i="14" s="1"/>
  <c r="N96" i="14"/>
  <c r="J96" i="14" s="1"/>
  <c r="L101" i="14"/>
  <c r="L96" i="14"/>
  <c r="P55" i="14"/>
  <c r="I122" i="14"/>
  <c r="I123" i="14" s="1"/>
  <c r="P97" i="14"/>
  <c r="L97" i="14"/>
  <c r="N98" i="14"/>
  <c r="J98" i="14" s="1"/>
  <c r="N55" i="14"/>
  <c r="J55" i="14" s="1"/>
  <c r="N104" i="14"/>
  <c r="M104" i="14" s="1"/>
  <c r="K93" i="15"/>
  <c r="N93" i="14"/>
  <c r="M93" i="14" s="1"/>
  <c r="M44" i="14"/>
  <c r="L59" i="14"/>
  <c r="N59" i="14"/>
  <c r="M59" i="14" s="1"/>
  <c r="N99" i="14"/>
  <c r="K99" i="14" s="1"/>
  <c r="P92" i="14"/>
  <c r="J107" i="14"/>
  <c r="H74" i="15"/>
  <c r="H75" i="15" s="1"/>
  <c r="K38" i="14"/>
  <c r="P95" i="14"/>
  <c r="P102" i="14"/>
  <c r="N95" i="14"/>
  <c r="M95" i="14" s="1"/>
  <c r="K44" i="14"/>
  <c r="K84" i="15"/>
  <c r="K92" i="15"/>
  <c r="I64" i="14"/>
  <c r="L52" i="14"/>
  <c r="H63" i="15"/>
  <c r="I74" i="15"/>
  <c r="I75" i="15" s="1"/>
  <c r="N58" i="14"/>
  <c r="M58" i="14" s="1"/>
  <c r="M41" i="15"/>
  <c r="P99" i="14"/>
  <c r="H112" i="14"/>
  <c r="H113" i="14" s="1"/>
  <c r="H64" i="15"/>
  <c r="H65" i="15" s="1"/>
  <c r="I73" i="15"/>
  <c r="M31" i="15"/>
  <c r="P106" i="15"/>
  <c r="P107" i="15" s="1"/>
  <c r="P105" i="15"/>
  <c r="I69" i="15"/>
  <c r="I70" i="15" s="1"/>
  <c r="H69" i="15"/>
  <c r="H70" i="15" s="1"/>
  <c r="L101" i="15"/>
  <c r="L102" i="15" s="1"/>
  <c r="L100" i="15"/>
  <c r="P48" i="14"/>
  <c r="P65" i="14" s="1"/>
  <c r="P66" i="14" s="1"/>
  <c r="N57" i="14"/>
  <c r="M57" i="14" s="1"/>
  <c r="P107" i="14"/>
  <c r="P122" i="14" s="1"/>
  <c r="P123" i="14" s="1"/>
  <c r="M86" i="15"/>
  <c r="N105" i="15"/>
  <c r="N106" i="15"/>
  <c r="N107" i="15" s="1"/>
  <c r="K29" i="15"/>
  <c r="N48" i="14"/>
  <c r="M48" i="14" s="1"/>
  <c r="N102" i="14"/>
  <c r="J102" i="14" s="1"/>
  <c r="I112" i="14"/>
  <c r="I113" i="14" s="1"/>
  <c r="H73" i="15"/>
  <c r="L106" i="15"/>
  <c r="L107" i="15" s="1"/>
  <c r="L105" i="15"/>
  <c r="I64" i="15"/>
  <c r="I65" i="15" s="1"/>
  <c r="P101" i="15"/>
  <c r="P102" i="15" s="1"/>
  <c r="P100" i="15"/>
  <c r="I116" i="14"/>
  <c r="I111" i="14"/>
  <c r="M84" i="15"/>
  <c r="N101" i="15"/>
  <c r="N102" i="15" s="1"/>
  <c r="N100" i="15"/>
  <c r="J92" i="15"/>
  <c r="J7" i="15"/>
  <c r="N18" i="15"/>
  <c r="N19" i="15" s="1"/>
  <c r="N17" i="15"/>
  <c r="P17" i="15"/>
  <c r="P18" i="15"/>
  <c r="P19" i="15" s="1"/>
  <c r="L17" i="15"/>
  <c r="L18" i="15"/>
  <c r="L19" i="15" s="1"/>
  <c r="J11" i="15"/>
  <c r="K90" i="15"/>
  <c r="K42" i="15"/>
  <c r="K13" i="15"/>
  <c r="J13" i="15"/>
  <c r="M7" i="15"/>
  <c r="M86" i="14"/>
  <c r="H64" i="14"/>
  <c r="H121" i="14"/>
  <c r="H74" i="14"/>
  <c r="I121" i="14"/>
  <c r="I65" i="14"/>
  <c r="I66" i="14" s="1"/>
  <c r="H69" i="14"/>
  <c r="I117" i="14"/>
  <c r="I118" i="14" s="1"/>
  <c r="M82" i="14"/>
  <c r="M84" i="14"/>
  <c r="J33" i="14"/>
  <c r="H65" i="14"/>
  <c r="H66" i="14" s="1"/>
  <c r="L122" i="14"/>
  <c r="L123" i="14" s="1"/>
  <c r="L121" i="14"/>
  <c r="H116" i="14"/>
  <c r="H75" i="14"/>
  <c r="H76" i="14" s="1"/>
  <c r="I74" i="14"/>
  <c r="L69" i="14"/>
  <c r="L70" i="14"/>
  <c r="L71" i="14" s="1"/>
  <c r="J37" i="14"/>
  <c r="H111" i="14"/>
  <c r="H117" i="14"/>
  <c r="H118" i="14" s="1"/>
  <c r="I75" i="14"/>
  <c r="I76" i="14" s="1"/>
  <c r="I70" i="14"/>
  <c r="I71" i="14" s="1"/>
  <c r="J42" i="15"/>
  <c r="J36" i="14"/>
  <c r="H122" i="14"/>
  <c r="H123" i="14" s="1"/>
  <c r="H70" i="14"/>
  <c r="H71" i="14" s="1"/>
  <c r="I69" i="14"/>
  <c r="K36" i="14"/>
  <c r="M38" i="14"/>
  <c r="K46" i="14"/>
  <c r="J46" i="14"/>
  <c r="M37" i="14"/>
  <c r="L54" i="14"/>
  <c r="N49" i="14"/>
  <c r="M49" i="14" s="1"/>
  <c r="J7" i="14"/>
  <c r="N23" i="14"/>
  <c r="N24" i="14" s="1"/>
  <c r="N22" i="14"/>
  <c r="N54" i="14"/>
  <c r="K37" i="14"/>
  <c r="P23" i="14"/>
  <c r="P24" i="14" s="1"/>
  <c r="P22" i="14"/>
  <c r="L23" i="14"/>
  <c r="L24" i="14" s="1"/>
  <c r="L22" i="14"/>
  <c r="K57" i="14"/>
  <c r="J85" i="15"/>
  <c r="J86" i="15"/>
  <c r="K49" i="15"/>
  <c r="M45" i="14"/>
  <c r="J94" i="14"/>
  <c r="M106" i="14"/>
  <c r="L56" i="14"/>
  <c r="K85" i="15"/>
  <c r="K45" i="14"/>
  <c r="P49" i="14"/>
  <c r="K106" i="14"/>
  <c r="N56" i="14"/>
  <c r="J56" i="14" s="1"/>
  <c r="K86" i="15"/>
  <c r="J33" i="15"/>
  <c r="J9" i="15"/>
  <c r="J8" i="15"/>
  <c r="K7" i="15"/>
  <c r="P104" i="14"/>
  <c r="J42" i="14"/>
  <c r="L47" i="14"/>
  <c r="N92" i="14"/>
  <c r="M92" i="14" s="1"/>
  <c r="J87" i="15"/>
  <c r="J93" i="15"/>
  <c r="K9" i="15"/>
  <c r="J48" i="15"/>
  <c r="J12" i="15"/>
  <c r="N47" i="14"/>
  <c r="M29" i="15"/>
  <c r="J29" i="15"/>
  <c r="J88" i="15"/>
  <c r="K91" i="15"/>
  <c r="J91" i="15"/>
  <c r="K88" i="15"/>
  <c r="K41" i="15"/>
  <c r="J41" i="15"/>
  <c r="M30" i="15"/>
  <c r="J30" i="15"/>
  <c r="J31" i="15"/>
  <c r="K48" i="15"/>
  <c r="J49" i="15"/>
  <c r="K31" i="15"/>
  <c r="K11" i="15"/>
  <c r="K8" i="15"/>
  <c r="K10" i="15"/>
  <c r="K12" i="15"/>
  <c r="J10" i="15"/>
  <c r="M37" i="15"/>
  <c r="J37" i="15"/>
  <c r="K95" i="15"/>
  <c r="P53" i="15"/>
  <c r="N53" i="15"/>
  <c r="L53" i="15"/>
  <c r="L45" i="15"/>
  <c r="P45" i="15"/>
  <c r="N45" i="15"/>
  <c r="M45" i="15" s="1"/>
  <c r="J95" i="15"/>
  <c r="K83" i="15"/>
  <c r="K32" i="15"/>
  <c r="K43" i="15"/>
  <c r="K37" i="15"/>
  <c r="J40" i="15"/>
  <c r="M40" i="15"/>
  <c r="J83" i="15"/>
  <c r="K87" i="15"/>
  <c r="J32" i="15"/>
  <c r="P55" i="15"/>
  <c r="N55" i="15"/>
  <c r="J55" i="15" s="1"/>
  <c r="L55" i="15"/>
  <c r="M39" i="15"/>
  <c r="K39" i="15"/>
  <c r="J90" i="15"/>
  <c r="P50" i="15"/>
  <c r="N50" i="15"/>
  <c r="M50" i="15" s="1"/>
  <c r="L50" i="15"/>
  <c r="P51" i="15"/>
  <c r="N51" i="15"/>
  <c r="J51" i="15" s="1"/>
  <c r="L51" i="15"/>
  <c r="M89" i="15"/>
  <c r="K89" i="15"/>
  <c r="K82" i="15"/>
  <c r="M82" i="15"/>
  <c r="K38" i="15"/>
  <c r="M38" i="15"/>
  <c r="K94" i="15"/>
  <c r="L47" i="15"/>
  <c r="P47" i="15"/>
  <c r="N47" i="15"/>
  <c r="M47" i="15" s="1"/>
  <c r="J94" i="15"/>
  <c r="K40" i="15"/>
  <c r="J43" i="15"/>
  <c r="K33" i="15"/>
  <c r="N46" i="15"/>
  <c r="K46" i="15" s="1"/>
  <c r="P54" i="15"/>
  <c r="P68" i="15" s="1"/>
  <c r="N54" i="15"/>
  <c r="M54" i="15" s="1"/>
  <c r="L54" i="15"/>
  <c r="L68" i="15" s="1"/>
  <c r="M105" i="14"/>
  <c r="K105" i="14"/>
  <c r="L103" i="14"/>
  <c r="P103" i="14"/>
  <c r="N103" i="14"/>
  <c r="N100" i="14"/>
  <c r="J100" i="14" s="1"/>
  <c r="L100" i="14"/>
  <c r="J91" i="14"/>
  <c r="K91" i="14"/>
  <c r="J90" i="14"/>
  <c r="K88" i="14"/>
  <c r="J88" i="14"/>
  <c r="J87" i="14"/>
  <c r="K87" i="14"/>
  <c r="J86" i="14"/>
  <c r="K84" i="14"/>
  <c r="J84" i="14"/>
  <c r="J83" i="14"/>
  <c r="K83" i="14"/>
  <c r="J82" i="14"/>
  <c r="K55" i="14"/>
  <c r="J52" i="14"/>
  <c r="L53" i="14"/>
  <c r="N53" i="14"/>
  <c r="J53" i="14" s="1"/>
  <c r="P53" i="14"/>
  <c r="K52" i="14"/>
  <c r="P51" i="14"/>
  <c r="N51" i="14"/>
  <c r="J51" i="14" s="1"/>
  <c r="J50" i="14"/>
  <c r="M10" i="14"/>
  <c r="K10" i="14"/>
  <c r="M18" i="14"/>
  <c r="K18" i="14"/>
  <c r="M35" i="14"/>
  <c r="K35" i="14"/>
  <c r="K96" i="14"/>
  <c r="J41" i="14"/>
  <c r="M41" i="14"/>
  <c r="M11" i="14"/>
  <c r="K11" i="14"/>
  <c r="M15" i="14"/>
  <c r="K15" i="14"/>
  <c r="M43" i="14"/>
  <c r="K43" i="14"/>
  <c r="J43" i="14"/>
  <c r="J39" i="14"/>
  <c r="M39" i="14"/>
  <c r="J40" i="14"/>
  <c r="M40" i="14"/>
  <c r="J10" i="14"/>
  <c r="K85" i="14"/>
  <c r="K89" i="14"/>
  <c r="M8" i="14"/>
  <c r="K8" i="14"/>
  <c r="M12" i="14"/>
  <c r="K12" i="14"/>
  <c r="M16" i="14"/>
  <c r="K16" i="14"/>
  <c r="M33" i="14"/>
  <c r="K33" i="14"/>
  <c r="J16" i="14"/>
  <c r="K42" i="14"/>
  <c r="J85" i="14"/>
  <c r="J89" i="14"/>
  <c r="K97" i="14"/>
  <c r="M97" i="14"/>
  <c r="M14" i="14"/>
  <c r="K14" i="14"/>
  <c r="J35" i="14"/>
  <c r="M7" i="14"/>
  <c r="K7" i="14"/>
  <c r="M19" i="14"/>
  <c r="K19" i="14"/>
  <c r="J93" i="14"/>
  <c r="M9" i="14"/>
  <c r="K9" i="14"/>
  <c r="M13" i="14"/>
  <c r="K13" i="14"/>
  <c r="M17" i="14"/>
  <c r="K17" i="14"/>
  <c r="M34" i="14"/>
  <c r="K34" i="14"/>
  <c r="J11" i="14"/>
  <c r="J34" i="14"/>
  <c r="K82" i="14"/>
  <c r="K86" i="14"/>
  <c r="K90" i="14"/>
  <c r="K94" i="14"/>
  <c r="J18" i="14"/>
  <c r="K41" i="14"/>
  <c r="K93" i="14" l="1"/>
  <c r="M99" i="14"/>
  <c r="M98" i="14"/>
  <c r="P64" i="14"/>
  <c r="K50" i="14"/>
  <c r="K98" i="14"/>
  <c r="J99" i="14"/>
  <c r="K104" i="14"/>
  <c r="N122" i="14"/>
  <c r="N123" i="14" s="1"/>
  <c r="M96" i="14"/>
  <c r="M55" i="14"/>
  <c r="M69" i="14" s="1"/>
  <c r="K107" i="14"/>
  <c r="K122" i="14" s="1"/>
  <c r="K123" i="14" s="1"/>
  <c r="J57" i="14"/>
  <c r="P121" i="14"/>
  <c r="N121" i="14"/>
  <c r="J104" i="14"/>
  <c r="P117" i="14"/>
  <c r="P118" i="14" s="1"/>
  <c r="P69" i="14"/>
  <c r="J59" i="14"/>
  <c r="M101" i="14"/>
  <c r="J48" i="14"/>
  <c r="N112" i="14"/>
  <c r="N113" i="14" s="1"/>
  <c r="K59" i="14"/>
  <c r="K101" i="14"/>
  <c r="K48" i="14"/>
  <c r="K95" i="14"/>
  <c r="L64" i="15"/>
  <c r="L65" i="15" s="1"/>
  <c r="J95" i="14"/>
  <c r="K58" i="14"/>
  <c r="L117" i="14"/>
  <c r="L118" i="14" s="1"/>
  <c r="L112" i="14"/>
  <c r="L113" i="14" s="1"/>
  <c r="K102" i="14"/>
  <c r="L74" i="14"/>
  <c r="N70" i="14"/>
  <c r="N71" i="14" s="1"/>
  <c r="P74" i="15"/>
  <c r="P75" i="15" s="1"/>
  <c r="N68" i="15"/>
  <c r="P112" i="14"/>
  <c r="P113" i="14" s="1"/>
  <c r="P63" i="15"/>
  <c r="K100" i="15"/>
  <c r="P73" i="15"/>
  <c r="P75" i="14"/>
  <c r="P76" i="14" s="1"/>
  <c r="J58" i="14"/>
  <c r="J75" i="14" s="1"/>
  <c r="J76" i="14" s="1"/>
  <c r="N65" i="14"/>
  <c r="N66" i="14" s="1"/>
  <c r="L74" i="15"/>
  <c r="L75" i="15" s="1"/>
  <c r="J101" i="15"/>
  <c r="J102" i="15" s="1"/>
  <c r="L64" i="14"/>
  <c r="M102" i="14"/>
  <c r="P64" i="15"/>
  <c r="P65" i="15" s="1"/>
  <c r="L63" i="15"/>
  <c r="N63" i="15"/>
  <c r="K101" i="15"/>
  <c r="K102" i="15" s="1"/>
  <c r="L116" i="14"/>
  <c r="L69" i="15"/>
  <c r="L70" i="15" s="1"/>
  <c r="M101" i="15"/>
  <c r="M102" i="15" s="1"/>
  <c r="M100" i="15"/>
  <c r="N73" i="15"/>
  <c r="N64" i="15"/>
  <c r="N65" i="15" s="1"/>
  <c r="P69" i="15"/>
  <c r="P70" i="15" s="1"/>
  <c r="K92" i="14"/>
  <c r="J92" i="14"/>
  <c r="J117" i="14" s="1"/>
  <c r="J118" i="14" s="1"/>
  <c r="J105" i="15"/>
  <c r="J106" i="15"/>
  <c r="J107" i="15" s="1"/>
  <c r="J100" i="15"/>
  <c r="N74" i="15"/>
  <c r="N75" i="15" s="1"/>
  <c r="M106" i="15"/>
  <c r="M107" i="15" s="1"/>
  <c r="M105" i="15"/>
  <c r="L73" i="15"/>
  <c r="N69" i="15"/>
  <c r="N70" i="15" s="1"/>
  <c r="K105" i="15"/>
  <c r="K106" i="15"/>
  <c r="K107" i="15" s="1"/>
  <c r="M68" i="15"/>
  <c r="M69" i="15"/>
  <c r="M70" i="15" s="1"/>
  <c r="K18" i="15"/>
  <c r="K19" i="15" s="1"/>
  <c r="K17" i="15"/>
  <c r="M18" i="15"/>
  <c r="M19" i="15" s="1"/>
  <c r="M17" i="15"/>
  <c r="J18" i="15"/>
  <c r="J19" i="15" s="1"/>
  <c r="J17" i="15"/>
  <c r="J53" i="15"/>
  <c r="J121" i="14"/>
  <c r="J122" i="14"/>
  <c r="J123" i="14" s="1"/>
  <c r="N64" i="14"/>
  <c r="P116" i="14"/>
  <c r="L75" i="14"/>
  <c r="L76" i="14" s="1"/>
  <c r="L65" i="14"/>
  <c r="L66" i="14" s="1"/>
  <c r="P74" i="14"/>
  <c r="L111" i="14"/>
  <c r="N116" i="14"/>
  <c r="N69" i="14"/>
  <c r="N111" i="14"/>
  <c r="N117" i="14"/>
  <c r="N118" i="14" s="1"/>
  <c r="P70" i="14"/>
  <c r="P71" i="14" s="1"/>
  <c r="P111" i="14"/>
  <c r="N74" i="14"/>
  <c r="M121" i="14"/>
  <c r="M122" i="14"/>
  <c r="M123" i="14" s="1"/>
  <c r="N75" i="14"/>
  <c r="N76" i="14" s="1"/>
  <c r="J49" i="14"/>
  <c r="J69" i="14" s="1"/>
  <c r="K49" i="14"/>
  <c r="K70" i="14" s="1"/>
  <c r="K71" i="14" s="1"/>
  <c r="K22" i="14"/>
  <c r="K23" i="14"/>
  <c r="K24" i="14" s="1"/>
  <c r="M23" i="14"/>
  <c r="M24" i="14" s="1"/>
  <c r="M22" i="14"/>
  <c r="J22" i="14"/>
  <c r="J23" i="14"/>
  <c r="J24" i="14" s="1"/>
  <c r="M54" i="14"/>
  <c r="K54" i="14"/>
  <c r="J54" i="14"/>
  <c r="M56" i="14"/>
  <c r="K56" i="14"/>
  <c r="M47" i="14"/>
  <c r="K47" i="14"/>
  <c r="J47" i="14"/>
  <c r="K50" i="15"/>
  <c r="J50" i="15"/>
  <c r="J45" i="15"/>
  <c r="K45" i="15"/>
  <c r="J54" i="15"/>
  <c r="J68" i="15" s="1"/>
  <c r="K54" i="15"/>
  <c r="K68" i="15" s="1"/>
  <c r="K47" i="15"/>
  <c r="M55" i="15"/>
  <c r="K55" i="15"/>
  <c r="J47" i="15"/>
  <c r="M46" i="15"/>
  <c r="M73" i="15" s="1"/>
  <c r="J46" i="15"/>
  <c r="M51" i="15"/>
  <c r="K51" i="15"/>
  <c r="M53" i="15"/>
  <c r="K53" i="15"/>
  <c r="M103" i="14"/>
  <c r="K103" i="14"/>
  <c r="J103" i="14"/>
  <c r="M100" i="14"/>
  <c r="K100" i="14"/>
  <c r="M53" i="14"/>
  <c r="K53" i="14"/>
  <c r="M51" i="14"/>
  <c r="K51" i="14"/>
  <c r="G57" i="12"/>
  <c r="F57" i="12"/>
  <c r="I56" i="12" s="1"/>
  <c r="D56" i="12"/>
  <c r="D54" i="12"/>
  <c r="H56" i="12"/>
  <c r="I55" i="12"/>
  <c r="H55" i="12"/>
  <c r="I54" i="12"/>
  <c r="I53" i="12"/>
  <c r="H53" i="12"/>
  <c r="I52" i="12"/>
  <c r="H52" i="12"/>
  <c r="F111" i="12"/>
  <c r="F106" i="12"/>
  <c r="D105" i="12"/>
  <c r="D101" i="12"/>
  <c r="G103" i="12"/>
  <c r="F103" i="12"/>
  <c r="F105" i="12"/>
  <c r="G105" i="12"/>
  <c r="G104" i="12"/>
  <c r="F104" i="12"/>
  <c r="G102" i="12"/>
  <c r="F102" i="12"/>
  <c r="G101" i="12"/>
  <c r="F101" i="12"/>
  <c r="G100" i="12"/>
  <c r="F100" i="12"/>
  <c r="G99" i="12"/>
  <c r="F99" i="12"/>
  <c r="G98" i="12"/>
  <c r="F98" i="12"/>
  <c r="D97" i="12"/>
  <c r="G97" i="12"/>
  <c r="F97" i="12"/>
  <c r="G96" i="12"/>
  <c r="F96" i="12"/>
  <c r="D95" i="12"/>
  <c r="G95" i="12"/>
  <c r="F95" i="12"/>
  <c r="G94" i="12"/>
  <c r="F94" i="12"/>
  <c r="I87" i="12"/>
  <c r="I88" i="12"/>
  <c r="I89" i="12"/>
  <c r="I86" i="12"/>
  <c r="D93" i="12"/>
  <c r="G93" i="12"/>
  <c r="F93" i="12"/>
  <c r="G92" i="12"/>
  <c r="F92" i="12"/>
  <c r="G91" i="12"/>
  <c r="F91" i="12"/>
  <c r="I90" i="12" s="1"/>
  <c r="D90" i="12"/>
  <c r="D49" i="12"/>
  <c r="D48" i="12"/>
  <c r="G50" i="12"/>
  <c r="I50" i="12" s="1"/>
  <c r="F50" i="12"/>
  <c r="G49" i="12"/>
  <c r="F49" i="12"/>
  <c r="G48" i="12"/>
  <c r="F48" i="12"/>
  <c r="G47" i="12"/>
  <c r="F47" i="12"/>
  <c r="D45" i="12"/>
  <c r="G46" i="12"/>
  <c r="F46" i="12"/>
  <c r="G45" i="12"/>
  <c r="F45" i="12"/>
  <c r="D43" i="12"/>
  <c r="G44" i="12"/>
  <c r="F44" i="12"/>
  <c r="G43" i="12"/>
  <c r="F43" i="12"/>
  <c r="F41" i="12"/>
  <c r="G41" i="12"/>
  <c r="G42" i="12"/>
  <c r="F42" i="12"/>
  <c r="G40" i="12"/>
  <c r="F40" i="12"/>
  <c r="D39" i="12"/>
  <c r="D37" i="12"/>
  <c r="G39" i="12"/>
  <c r="F39" i="12"/>
  <c r="G38" i="12"/>
  <c r="F38" i="12"/>
  <c r="G37" i="12"/>
  <c r="F37" i="12"/>
  <c r="G36" i="12"/>
  <c r="F36" i="12"/>
  <c r="D35" i="12"/>
  <c r="D33" i="12"/>
  <c r="D29" i="12"/>
  <c r="J111" i="14" l="1"/>
  <c r="K121" i="14"/>
  <c r="K116" i="14"/>
  <c r="M112" i="14"/>
  <c r="M113" i="14" s="1"/>
  <c r="J74" i="14"/>
  <c r="M70" i="14"/>
  <c r="M71" i="14" s="1"/>
  <c r="M116" i="14"/>
  <c r="K112" i="14"/>
  <c r="K113" i="14" s="1"/>
  <c r="H50" i="12"/>
  <c r="L50" i="12" s="1"/>
  <c r="K73" i="15"/>
  <c r="J65" i="14"/>
  <c r="J66" i="14" s="1"/>
  <c r="K64" i="15"/>
  <c r="K65" i="15" s="1"/>
  <c r="M74" i="15"/>
  <c r="M75" i="15" s="1"/>
  <c r="J69" i="15"/>
  <c r="J70" i="15" s="1"/>
  <c r="M64" i="15"/>
  <c r="M65" i="15" s="1"/>
  <c r="J73" i="15"/>
  <c r="J116" i="14"/>
  <c r="M111" i="14"/>
  <c r="I94" i="12"/>
  <c r="J64" i="15"/>
  <c r="J65" i="15" s="1"/>
  <c r="M64" i="14"/>
  <c r="K64" i="14"/>
  <c r="J70" i="14"/>
  <c r="J71" i="14" s="1"/>
  <c r="M75" i="14"/>
  <c r="M76" i="14" s="1"/>
  <c r="K65" i="14"/>
  <c r="K66" i="14" s="1"/>
  <c r="K111" i="14"/>
  <c r="J112" i="14"/>
  <c r="J113" i="14" s="1"/>
  <c r="K74" i="15"/>
  <c r="K75" i="15" s="1"/>
  <c r="J74" i="15"/>
  <c r="J75" i="15" s="1"/>
  <c r="M63" i="15"/>
  <c r="K69" i="15"/>
  <c r="K70" i="15" s="1"/>
  <c r="J63" i="15"/>
  <c r="K74" i="14"/>
  <c r="K117" i="14"/>
  <c r="K118" i="14" s="1"/>
  <c r="K63" i="15"/>
  <c r="I93" i="12"/>
  <c r="M117" i="14"/>
  <c r="M118" i="14" s="1"/>
  <c r="J64" i="14"/>
  <c r="K75" i="14"/>
  <c r="K76" i="14" s="1"/>
  <c r="I49" i="12"/>
  <c r="I91" i="12"/>
  <c r="K69" i="14"/>
  <c r="M74" i="14"/>
  <c r="I92" i="12"/>
  <c r="M65" i="14"/>
  <c r="M66" i="14" s="1"/>
  <c r="H49" i="12"/>
  <c r="L49" i="12" s="1"/>
  <c r="H57" i="12"/>
  <c r="N56" i="12"/>
  <c r="K56" i="12" s="1"/>
  <c r="N55" i="12"/>
  <c r="M55" i="12" s="1"/>
  <c r="P55" i="12"/>
  <c r="L53" i="12"/>
  <c r="P53" i="12"/>
  <c r="N53" i="12"/>
  <c r="M53" i="12" s="1"/>
  <c r="N52" i="12"/>
  <c r="M52" i="12" s="1"/>
  <c r="L52" i="12"/>
  <c r="P52" i="12"/>
  <c r="H54" i="12"/>
  <c r="L55" i="12"/>
  <c r="L56" i="12"/>
  <c r="J56" i="12"/>
  <c r="P50" i="12"/>
  <c r="I110" i="12"/>
  <c r="H110" i="12"/>
  <c r="I108" i="12"/>
  <c r="H108" i="12"/>
  <c r="I106" i="12"/>
  <c r="H106" i="12"/>
  <c r="I104" i="12"/>
  <c r="H104" i="12"/>
  <c r="I102" i="12"/>
  <c r="H101" i="12"/>
  <c r="I100" i="12"/>
  <c r="H99" i="12"/>
  <c r="I98" i="12"/>
  <c r="H97" i="12"/>
  <c r="I96" i="12"/>
  <c r="H96" i="12"/>
  <c r="I95" i="12"/>
  <c r="H95" i="12"/>
  <c r="H92" i="12"/>
  <c r="L92" i="12" s="1"/>
  <c r="H90" i="12"/>
  <c r="H89" i="12"/>
  <c r="H88" i="12"/>
  <c r="L88" i="12" s="1"/>
  <c r="H87" i="12"/>
  <c r="L87" i="12" s="1"/>
  <c r="H86" i="12"/>
  <c r="I48" i="12"/>
  <c r="H48" i="12"/>
  <c r="L48" i="12" s="1"/>
  <c r="I47" i="12"/>
  <c r="H46" i="12"/>
  <c r="L46" i="12" s="1"/>
  <c r="I45" i="12"/>
  <c r="I43" i="12"/>
  <c r="H43" i="12"/>
  <c r="I42" i="12"/>
  <c r="H42" i="12"/>
  <c r="I41" i="12"/>
  <c r="H41" i="12"/>
  <c r="H40" i="12"/>
  <c r="P40" i="12" s="1"/>
  <c r="I40" i="12"/>
  <c r="I39" i="12"/>
  <c r="H39" i="12"/>
  <c r="I38" i="12"/>
  <c r="H38" i="12"/>
  <c r="H37" i="12"/>
  <c r="I36" i="12"/>
  <c r="I35" i="12"/>
  <c r="H35" i="12"/>
  <c r="I34" i="12"/>
  <c r="H34" i="12"/>
  <c r="I33" i="12"/>
  <c r="I32" i="12"/>
  <c r="H32" i="12"/>
  <c r="L32" i="12" s="1"/>
  <c r="I31" i="12"/>
  <c r="H31" i="12"/>
  <c r="P31" i="12" s="1"/>
  <c r="I30" i="12"/>
  <c r="H30" i="12"/>
  <c r="P30" i="12" s="1"/>
  <c r="I29" i="12"/>
  <c r="H29" i="12"/>
  <c r="L29" i="12" s="1"/>
  <c r="I28" i="12"/>
  <c r="H28" i="12"/>
  <c r="I15" i="12"/>
  <c r="I14" i="12"/>
  <c r="H14" i="12"/>
  <c r="P14" i="12" s="1"/>
  <c r="I13" i="12"/>
  <c r="I12" i="12"/>
  <c r="H12" i="12"/>
  <c r="P12" i="12" s="1"/>
  <c r="I11" i="12"/>
  <c r="I10" i="12"/>
  <c r="H10" i="12"/>
  <c r="I9" i="12"/>
  <c r="H9" i="12"/>
  <c r="I8" i="12"/>
  <c r="H8" i="12"/>
  <c r="I7" i="12"/>
  <c r="H7" i="12"/>
  <c r="P7" i="12" s="1"/>
  <c r="F96" i="11"/>
  <c r="H96" i="11" s="1"/>
  <c r="L96" i="11" s="1"/>
  <c r="G95" i="11"/>
  <c r="F95" i="11"/>
  <c r="I96" i="11"/>
  <c r="G94" i="11"/>
  <c r="F94" i="11"/>
  <c r="G93" i="11"/>
  <c r="F93" i="11"/>
  <c r="G92" i="11"/>
  <c r="F92" i="11"/>
  <c r="G91" i="11"/>
  <c r="F91" i="11"/>
  <c r="G90" i="11"/>
  <c r="F90" i="11"/>
  <c r="G89" i="11"/>
  <c r="F89" i="11"/>
  <c r="G88" i="11"/>
  <c r="F88" i="11"/>
  <c r="G87" i="11"/>
  <c r="F87" i="11"/>
  <c r="G86" i="11"/>
  <c r="F86" i="11"/>
  <c r="G85" i="11"/>
  <c r="F85" i="11"/>
  <c r="D84" i="11"/>
  <c r="G84" i="11"/>
  <c r="F84" i="11"/>
  <c r="G83" i="11"/>
  <c r="F83" i="11"/>
  <c r="G82" i="11"/>
  <c r="F82" i="11"/>
  <c r="G81" i="11"/>
  <c r="F81" i="11"/>
  <c r="G80" i="11"/>
  <c r="F80" i="11"/>
  <c r="G79" i="11"/>
  <c r="F79" i="11"/>
  <c r="G78" i="11"/>
  <c r="F78" i="11"/>
  <c r="D77" i="11"/>
  <c r="G77" i="11"/>
  <c r="F77" i="11"/>
  <c r="G76" i="11"/>
  <c r="F76" i="11"/>
  <c r="D75" i="11"/>
  <c r="G75" i="11"/>
  <c r="F75" i="11"/>
  <c r="G74" i="11"/>
  <c r="F74" i="11"/>
  <c r="G73" i="11"/>
  <c r="F73" i="11"/>
  <c r="G72" i="11"/>
  <c r="F72" i="11"/>
  <c r="G71" i="11"/>
  <c r="F71" i="11"/>
  <c r="D70" i="11"/>
  <c r="G70" i="11"/>
  <c r="F70" i="11"/>
  <c r="D69" i="11"/>
  <c r="D67" i="11"/>
  <c r="N50" i="12" l="1"/>
  <c r="J50" i="12" s="1"/>
  <c r="H94" i="11"/>
  <c r="L94" i="11" s="1"/>
  <c r="P49" i="12"/>
  <c r="N49" i="12"/>
  <c r="M49" i="12" s="1"/>
  <c r="L86" i="12"/>
  <c r="L90" i="12"/>
  <c r="I119" i="12"/>
  <c r="I120" i="12"/>
  <c r="I121" i="12" s="1"/>
  <c r="I93" i="11"/>
  <c r="I95" i="11"/>
  <c r="P34" i="12"/>
  <c r="P43" i="12"/>
  <c r="L28" i="12"/>
  <c r="I75" i="12"/>
  <c r="I76" i="12"/>
  <c r="I77" i="12" s="1"/>
  <c r="I71" i="12"/>
  <c r="I72" i="12"/>
  <c r="I73" i="12" s="1"/>
  <c r="P8" i="12"/>
  <c r="I19" i="12"/>
  <c r="I20" i="12" s="1"/>
  <c r="I18" i="12"/>
  <c r="H95" i="11"/>
  <c r="L95" i="11" s="1"/>
  <c r="M56" i="12"/>
  <c r="I92" i="11"/>
  <c r="H93" i="11"/>
  <c r="P93" i="11" s="1"/>
  <c r="H92" i="11"/>
  <c r="L92" i="11" s="1"/>
  <c r="I94" i="11"/>
  <c r="K55" i="12"/>
  <c r="J55" i="12"/>
  <c r="J52" i="12"/>
  <c r="N54" i="12"/>
  <c r="J54" i="12" s="1"/>
  <c r="L54" i="12"/>
  <c r="P54" i="12"/>
  <c r="K53" i="12"/>
  <c r="J53" i="12"/>
  <c r="K52" i="12"/>
  <c r="N87" i="12"/>
  <c r="J87" i="12" s="1"/>
  <c r="N89" i="12"/>
  <c r="M89" i="12" s="1"/>
  <c r="K50" i="12"/>
  <c r="N43" i="12"/>
  <c r="N10" i="12"/>
  <c r="M10" i="12" s="1"/>
  <c r="N9" i="12"/>
  <c r="J9" i="12" s="1"/>
  <c r="N96" i="12"/>
  <c r="M96" i="12" s="1"/>
  <c r="N86" i="12"/>
  <c r="P88" i="12"/>
  <c r="P9" i="12"/>
  <c r="N7" i="12"/>
  <c r="J7" i="12" s="1"/>
  <c r="N8" i="12"/>
  <c r="L9" i="12"/>
  <c r="P10" i="12"/>
  <c r="P39" i="12"/>
  <c r="N39" i="12"/>
  <c r="M39" i="12" s="1"/>
  <c r="L39" i="12"/>
  <c r="P35" i="12"/>
  <c r="N35" i="12"/>
  <c r="M35" i="12" s="1"/>
  <c r="L35" i="12"/>
  <c r="L12" i="12"/>
  <c r="L14" i="12"/>
  <c r="L30" i="12"/>
  <c r="N32" i="12"/>
  <c r="K32" i="12" s="1"/>
  <c r="H33" i="12"/>
  <c r="L37" i="12"/>
  <c r="P37" i="12"/>
  <c r="L42" i="12"/>
  <c r="N42" i="12"/>
  <c r="M42" i="12" s="1"/>
  <c r="P42" i="12"/>
  <c r="H45" i="12"/>
  <c r="H75" i="12" s="1"/>
  <c r="I44" i="12"/>
  <c r="H47" i="12"/>
  <c r="H71" i="12" s="1"/>
  <c r="I46" i="12"/>
  <c r="N46" i="12" s="1"/>
  <c r="M46" i="12" s="1"/>
  <c r="N88" i="12"/>
  <c r="L89" i="12"/>
  <c r="P89" i="12"/>
  <c r="H91" i="12"/>
  <c r="N90" i="12"/>
  <c r="H93" i="12"/>
  <c r="H133" i="12" s="1"/>
  <c r="N92" i="12"/>
  <c r="M92" i="12" s="1"/>
  <c r="P97" i="12"/>
  <c r="P99" i="12"/>
  <c r="P101" i="12"/>
  <c r="I103" i="12"/>
  <c r="H103" i="12"/>
  <c r="L104" i="12"/>
  <c r="P104" i="12"/>
  <c r="N104" i="12"/>
  <c r="M104" i="12" s="1"/>
  <c r="I105" i="12"/>
  <c r="H105" i="12"/>
  <c r="H129" i="12" s="1"/>
  <c r="H130" i="12" s="1"/>
  <c r="L106" i="12"/>
  <c r="P106" i="12"/>
  <c r="N106" i="12"/>
  <c r="M106" i="12" s="1"/>
  <c r="I107" i="12"/>
  <c r="H107" i="12"/>
  <c r="L108" i="12"/>
  <c r="P108" i="12"/>
  <c r="N108" i="12"/>
  <c r="M108" i="12" s="1"/>
  <c r="I109" i="12"/>
  <c r="H109" i="12"/>
  <c r="L110" i="12"/>
  <c r="P110" i="12"/>
  <c r="N110" i="12"/>
  <c r="M110" i="12" s="1"/>
  <c r="L7" i="12"/>
  <c r="L10" i="12"/>
  <c r="N28" i="12"/>
  <c r="N29" i="12"/>
  <c r="K29" i="12" s="1"/>
  <c r="H11" i="12"/>
  <c r="N12" i="12"/>
  <c r="M12" i="12" s="1"/>
  <c r="H13" i="12"/>
  <c r="N14" i="12"/>
  <c r="M14" i="12" s="1"/>
  <c r="H15" i="12"/>
  <c r="P28" i="12"/>
  <c r="P29" i="12"/>
  <c r="N30" i="12"/>
  <c r="M30" i="12" s="1"/>
  <c r="N31" i="12"/>
  <c r="M31" i="12" s="1"/>
  <c r="P32" i="12"/>
  <c r="N34" i="12"/>
  <c r="H36" i="12"/>
  <c r="I37" i="12"/>
  <c r="I61" i="12" s="1"/>
  <c r="L97" i="12"/>
  <c r="L99" i="12"/>
  <c r="L101" i="12"/>
  <c r="L31" i="12"/>
  <c r="L34" i="12"/>
  <c r="N40" i="12"/>
  <c r="M40" i="12" s="1"/>
  <c r="L8" i="12"/>
  <c r="N38" i="12"/>
  <c r="M38" i="12" s="1"/>
  <c r="L38" i="12"/>
  <c r="P38" i="12"/>
  <c r="L40" i="12"/>
  <c r="N41" i="12"/>
  <c r="M41" i="12" s="1"/>
  <c r="L41" i="12"/>
  <c r="P41" i="12"/>
  <c r="L43" i="12"/>
  <c r="H44" i="12"/>
  <c r="P46" i="12"/>
  <c r="P48" i="12"/>
  <c r="N48" i="12"/>
  <c r="M48" i="12" s="1"/>
  <c r="P90" i="12"/>
  <c r="P92" i="12"/>
  <c r="H94" i="12"/>
  <c r="L95" i="12"/>
  <c r="P95" i="12"/>
  <c r="N95" i="12"/>
  <c r="M95" i="12" s="1"/>
  <c r="L96" i="12"/>
  <c r="P96" i="12"/>
  <c r="H98" i="12"/>
  <c r="I97" i="12"/>
  <c r="H100" i="12"/>
  <c r="I99" i="12"/>
  <c r="H102" i="12"/>
  <c r="I101" i="12"/>
  <c r="P86" i="12"/>
  <c r="P87" i="12"/>
  <c r="P96" i="11"/>
  <c r="N96" i="11"/>
  <c r="M96" i="11" s="1"/>
  <c r="P94" i="11"/>
  <c r="N94" i="11"/>
  <c r="M94" i="11" s="1"/>
  <c r="F47" i="11"/>
  <c r="G46" i="11"/>
  <c r="F46" i="11"/>
  <c r="G45" i="11"/>
  <c r="F45" i="11"/>
  <c r="G44" i="11"/>
  <c r="F44" i="11"/>
  <c r="G43" i="11"/>
  <c r="F43" i="11"/>
  <c r="G42" i="11"/>
  <c r="F42" i="11"/>
  <c r="D41" i="11"/>
  <c r="G41" i="11"/>
  <c r="F41" i="11"/>
  <c r="G40" i="11"/>
  <c r="F40" i="11"/>
  <c r="D39" i="11"/>
  <c r="G39" i="11"/>
  <c r="F39" i="11"/>
  <c r="G38" i="11"/>
  <c r="F38" i="11"/>
  <c r="D37" i="11"/>
  <c r="G37" i="11"/>
  <c r="F37" i="11"/>
  <c r="G36" i="11"/>
  <c r="F36" i="11"/>
  <c r="D35" i="11"/>
  <c r="G35" i="11"/>
  <c r="F35" i="11"/>
  <c r="G34" i="11"/>
  <c r="F34" i="11"/>
  <c r="G33" i="11"/>
  <c r="F33" i="11"/>
  <c r="D32" i="11"/>
  <c r="G32" i="11"/>
  <c r="F32" i="11"/>
  <c r="G31" i="11"/>
  <c r="F31" i="11"/>
  <c r="C30" i="11"/>
  <c r="D30" i="11" s="1"/>
  <c r="G30" i="11"/>
  <c r="D28" i="11"/>
  <c r="F16" i="11"/>
  <c r="G15" i="11"/>
  <c r="F15" i="11"/>
  <c r="G14" i="11"/>
  <c r="F14" i="11"/>
  <c r="G13" i="11"/>
  <c r="F13" i="11"/>
  <c r="G12" i="11"/>
  <c r="F12" i="11"/>
  <c r="G11" i="11"/>
  <c r="I91" i="11"/>
  <c r="H91" i="11"/>
  <c r="H90" i="11"/>
  <c r="I89" i="11"/>
  <c r="H89" i="11"/>
  <c r="H88" i="11"/>
  <c r="H87" i="11"/>
  <c r="I86" i="11"/>
  <c r="H86" i="11"/>
  <c r="H85" i="11"/>
  <c r="I84" i="11"/>
  <c r="I83" i="11"/>
  <c r="H83" i="11"/>
  <c r="H82" i="11"/>
  <c r="I82" i="11"/>
  <c r="I81" i="11"/>
  <c r="H81" i="11"/>
  <c r="H80" i="11"/>
  <c r="H79" i="11"/>
  <c r="I78" i="11"/>
  <c r="H77" i="11"/>
  <c r="L77" i="11" s="1"/>
  <c r="I75" i="11"/>
  <c r="H75" i="11"/>
  <c r="L75" i="11" s="1"/>
  <c r="I74" i="11"/>
  <c r="H74" i="11"/>
  <c r="P74" i="11" s="1"/>
  <c r="I73" i="11"/>
  <c r="H73" i="11"/>
  <c r="P73" i="11" s="1"/>
  <c r="I72" i="11"/>
  <c r="H72" i="11"/>
  <c r="I71" i="11"/>
  <c r="H71" i="11"/>
  <c r="P71" i="11" s="1"/>
  <c r="I70" i="11"/>
  <c r="H70" i="11"/>
  <c r="P70" i="11" s="1"/>
  <c r="I69" i="11"/>
  <c r="H69" i="11"/>
  <c r="L69" i="11" s="1"/>
  <c r="I68" i="11"/>
  <c r="H68" i="11"/>
  <c r="I67" i="11"/>
  <c r="H67" i="11"/>
  <c r="P67" i="11" s="1"/>
  <c r="I29" i="11"/>
  <c r="H29" i="11"/>
  <c r="I28" i="11"/>
  <c r="H28" i="11"/>
  <c r="I27" i="11"/>
  <c r="H27" i="11"/>
  <c r="P27" i="11" s="1"/>
  <c r="I26" i="11"/>
  <c r="H26" i="11"/>
  <c r="I10" i="11"/>
  <c r="H10" i="11"/>
  <c r="I9" i="11"/>
  <c r="H9" i="11"/>
  <c r="L9" i="11" s="1"/>
  <c r="I8" i="11"/>
  <c r="H8" i="11"/>
  <c r="I7" i="11"/>
  <c r="H7" i="11"/>
  <c r="M50" i="12" l="1"/>
  <c r="N95" i="11"/>
  <c r="M95" i="11" s="1"/>
  <c r="N93" i="11"/>
  <c r="M93" i="11" s="1"/>
  <c r="P92" i="11"/>
  <c r="N92" i="11"/>
  <c r="M92" i="11" s="1"/>
  <c r="P95" i="11"/>
  <c r="H42" i="11"/>
  <c r="P42" i="11" s="1"/>
  <c r="L93" i="11"/>
  <c r="K49" i="12"/>
  <c r="H34" i="11"/>
  <c r="L34" i="11" s="1"/>
  <c r="I39" i="11"/>
  <c r="I40" i="11"/>
  <c r="H44" i="11"/>
  <c r="L44" i="11" s="1"/>
  <c r="H46" i="11"/>
  <c r="L46" i="11" s="1"/>
  <c r="H66" i="12"/>
  <c r="I66" i="12"/>
  <c r="H128" i="12"/>
  <c r="H35" i="11"/>
  <c r="P35" i="11" s="1"/>
  <c r="H43" i="11"/>
  <c r="L43" i="11" s="1"/>
  <c r="H125" i="12"/>
  <c r="H126" i="12" s="1"/>
  <c r="J49" i="12"/>
  <c r="I115" i="12"/>
  <c r="I116" i="12" s="1"/>
  <c r="H72" i="12"/>
  <c r="H73" i="12" s="1"/>
  <c r="L28" i="11"/>
  <c r="H61" i="12"/>
  <c r="H62" i="12"/>
  <c r="H63" i="12" s="1"/>
  <c r="H79" i="12"/>
  <c r="H80" i="12"/>
  <c r="H81" i="12" s="1"/>
  <c r="I67" i="12"/>
  <c r="I68" i="12" s="1"/>
  <c r="I133" i="12"/>
  <c r="H134" i="12"/>
  <c r="H135" i="12" s="1"/>
  <c r="I62" i="12"/>
  <c r="I63" i="12" s="1"/>
  <c r="L67" i="11"/>
  <c r="N99" i="12"/>
  <c r="M99" i="12" s="1"/>
  <c r="I124" i="12"/>
  <c r="J86" i="12"/>
  <c r="M43" i="12"/>
  <c r="H67" i="12"/>
  <c r="H68" i="12" s="1"/>
  <c r="H114" i="12"/>
  <c r="I80" i="12"/>
  <c r="I81" i="12" s="1"/>
  <c r="M34" i="12"/>
  <c r="K28" i="12"/>
  <c r="H76" i="12"/>
  <c r="H77" i="12" s="1"/>
  <c r="H115" i="12"/>
  <c r="H116" i="12" s="1"/>
  <c r="H124" i="12"/>
  <c r="I79" i="12"/>
  <c r="I125" i="12"/>
  <c r="I126" i="12" s="1"/>
  <c r="L68" i="11"/>
  <c r="P72" i="11"/>
  <c r="H110" i="11"/>
  <c r="H111" i="11" s="1"/>
  <c r="H109" i="11"/>
  <c r="N101" i="12"/>
  <c r="J101" i="12" s="1"/>
  <c r="I129" i="12"/>
  <c r="I130" i="12" s="1"/>
  <c r="I128" i="12"/>
  <c r="N97" i="12"/>
  <c r="M97" i="12" s="1"/>
  <c r="I114" i="12"/>
  <c r="H119" i="12"/>
  <c r="H120" i="12"/>
  <c r="H121" i="12" s="1"/>
  <c r="I134" i="12"/>
  <c r="I135" i="12" s="1"/>
  <c r="H19" i="12"/>
  <c r="H20" i="12" s="1"/>
  <c r="H18" i="12"/>
  <c r="K8" i="12"/>
  <c r="L8" i="11"/>
  <c r="M87" i="12"/>
  <c r="I12" i="11"/>
  <c r="I14" i="11"/>
  <c r="H31" i="11"/>
  <c r="L31" i="11" s="1"/>
  <c r="I32" i="11"/>
  <c r="H36" i="11"/>
  <c r="L36" i="11" s="1"/>
  <c r="I37" i="11"/>
  <c r="H41" i="11"/>
  <c r="L41" i="11" s="1"/>
  <c r="I44" i="11"/>
  <c r="I11" i="11"/>
  <c r="I13" i="11"/>
  <c r="I30" i="11"/>
  <c r="H32" i="11"/>
  <c r="L32" i="11" s="1"/>
  <c r="I35" i="11"/>
  <c r="N35" i="11" s="1"/>
  <c r="I43" i="11"/>
  <c r="I45" i="11"/>
  <c r="K106" i="12"/>
  <c r="K87" i="12"/>
  <c r="H11" i="11"/>
  <c r="P11" i="11" s="1"/>
  <c r="K43" i="12"/>
  <c r="J89" i="12"/>
  <c r="J10" i="12"/>
  <c r="K89" i="12"/>
  <c r="J8" i="12"/>
  <c r="M54" i="12"/>
  <c r="K54" i="12"/>
  <c r="K96" i="12"/>
  <c r="M8" i="12"/>
  <c r="K9" i="12"/>
  <c r="K10" i="12"/>
  <c r="M9" i="12"/>
  <c r="J43" i="12"/>
  <c r="J42" i="12"/>
  <c r="J41" i="12"/>
  <c r="J39" i="12"/>
  <c r="K39" i="12"/>
  <c r="J38" i="12"/>
  <c r="K35" i="12"/>
  <c r="J12" i="12"/>
  <c r="M90" i="12"/>
  <c r="J90" i="12"/>
  <c r="K86" i="12"/>
  <c r="K110" i="12"/>
  <c r="M86" i="12"/>
  <c r="J106" i="12"/>
  <c r="J96" i="12"/>
  <c r="J110" i="12"/>
  <c r="J31" i="12"/>
  <c r="J48" i="12"/>
  <c r="J30" i="12"/>
  <c r="K48" i="12"/>
  <c r="M7" i="12"/>
  <c r="K7" i="12"/>
  <c r="J99" i="12"/>
  <c r="L102" i="12"/>
  <c r="P102" i="12"/>
  <c r="N102" i="12"/>
  <c r="J92" i="12"/>
  <c r="K104" i="12"/>
  <c r="P36" i="12"/>
  <c r="N36" i="12"/>
  <c r="J36" i="12" s="1"/>
  <c r="L36" i="12"/>
  <c r="J14" i="12"/>
  <c r="L11" i="12"/>
  <c r="P11" i="12"/>
  <c r="N11" i="12"/>
  <c r="J11" i="12" s="1"/>
  <c r="N109" i="12"/>
  <c r="M109" i="12" s="1"/>
  <c r="L109" i="12"/>
  <c r="P109" i="12"/>
  <c r="N105" i="12"/>
  <c r="M105" i="12" s="1"/>
  <c r="L105" i="12"/>
  <c r="L128" i="12" s="1"/>
  <c r="P105" i="12"/>
  <c r="P129" i="12" s="1"/>
  <c r="P130" i="12" s="1"/>
  <c r="K90" i="12"/>
  <c r="M32" i="12"/>
  <c r="J32" i="12"/>
  <c r="K31" i="12"/>
  <c r="K42" i="12"/>
  <c r="K14" i="12"/>
  <c r="L100" i="12"/>
  <c r="P100" i="12"/>
  <c r="N100" i="12"/>
  <c r="N33" i="12"/>
  <c r="L33" i="12"/>
  <c r="P33" i="12"/>
  <c r="K40" i="12"/>
  <c r="P44" i="12"/>
  <c r="N44" i="12"/>
  <c r="M44" i="12" s="1"/>
  <c r="L44" i="12"/>
  <c r="N13" i="12"/>
  <c r="L13" i="12"/>
  <c r="P13" i="12"/>
  <c r="M29" i="12"/>
  <c r="J29" i="12"/>
  <c r="K92" i="12"/>
  <c r="L91" i="12"/>
  <c r="P91" i="12"/>
  <c r="N91" i="12"/>
  <c r="J88" i="12"/>
  <c r="M88" i="12"/>
  <c r="K46" i="12"/>
  <c r="L45" i="12"/>
  <c r="L75" i="12" s="1"/>
  <c r="P45" i="12"/>
  <c r="P75" i="12" s="1"/>
  <c r="N45" i="12"/>
  <c r="N75" i="12" s="1"/>
  <c r="N37" i="12"/>
  <c r="J35" i="12"/>
  <c r="K12" i="12"/>
  <c r="K41" i="12"/>
  <c r="K99" i="12"/>
  <c r="L98" i="12"/>
  <c r="P98" i="12"/>
  <c r="N98" i="12"/>
  <c r="J98" i="12" s="1"/>
  <c r="J95" i="12"/>
  <c r="N94" i="12"/>
  <c r="M94" i="12" s="1"/>
  <c r="L94" i="12"/>
  <c r="P94" i="12"/>
  <c r="J46" i="12"/>
  <c r="K108" i="12"/>
  <c r="J40" i="12"/>
  <c r="J34" i="12"/>
  <c r="N15" i="12"/>
  <c r="L15" i="12"/>
  <c r="P15" i="12"/>
  <c r="J28" i="12"/>
  <c r="M28" i="12"/>
  <c r="J108" i="12"/>
  <c r="N107" i="12"/>
  <c r="M107" i="12" s="1"/>
  <c r="L107" i="12"/>
  <c r="P107" i="12"/>
  <c r="J104" i="12"/>
  <c r="N103" i="12"/>
  <c r="M103" i="12" s="1"/>
  <c r="L103" i="12"/>
  <c r="P103" i="12"/>
  <c r="L93" i="12"/>
  <c r="P93" i="12"/>
  <c r="N93" i="12"/>
  <c r="J93" i="12" s="1"/>
  <c r="K88" i="12"/>
  <c r="L47" i="12"/>
  <c r="L72" i="12" s="1"/>
  <c r="L73" i="12" s="1"/>
  <c r="P47" i="12"/>
  <c r="P72" i="12" s="1"/>
  <c r="P73" i="12" s="1"/>
  <c r="N47" i="12"/>
  <c r="N71" i="12" s="1"/>
  <c r="K95" i="12"/>
  <c r="K34" i="12"/>
  <c r="K38" i="12"/>
  <c r="K30" i="12"/>
  <c r="J95" i="11"/>
  <c r="J96" i="11"/>
  <c r="K96" i="11"/>
  <c r="K95" i="11"/>
  <c r="J94" i="11"/>
  <c r="K94" i="11"/>
  <c r="H15" i="11"/>
  <c r="P15" i="11" s="1"/>
  <c r="I31" i="11"/>
  <c r="H30" i="11"/>
  <c r="L30" i="11" s="1"/>
  <c r="I41" i="11"/>
  <c r="H33" i="11"/>
  <c r="L33" i="11" s="1"/>
  <c r="I34" i="11"/>
  <c r="N34" i="11" s="1"/>
  <c r="H45" i="11"/>
  <c r="L45" i="11" s="1"/>
  <c r="N29" i="11"/>
  <c r="N75" i="11"/>
  <c r="H12" i="11"/>
  <c r="L12" i="11" s="1"/>
  <c r="H14" i="11"/>
  <c r="L14" i="11" s="1"/>
  <c r="I15" i="11"/>
  <c r="I33" i="11"/>
  <c r="N67" i="11"/>
  <c r="P69" i="11"/>
  <c r="I42" i="11"/>
  <c r="H39" i="11"/>
  <c r="P39" i="11" s="1"/>
  <c r="L35" i="11"/>
  <c r="P29" i="11"/>
  <c r="P28" i="11"/>
  <c r="H13" i="11"/>
  <c r="P13" i="11" s="1"/>
  <c r="P68" i="11"/>
  <c r="N68" i="11"/>
  <c r="N69" i="11"/>
  <c r="J69" i="11" s="1"/>
  <c r="L70" i="11"/>
  <c r="N72" i="11"/>
  <c r="P34" i="11"/>
  <c r="N27" i="11"/>
  <c r="M27" i="11" s="1"/>
  <c r="N28" i="11"/>
  <c r="N7" i="11"/>
  <c r="P7" i="11"/>
  <c r="N10" i="11"/>
  <c r="P10" i="11"/>
  <c r="L7" i="11"/>
  <c r="N9" i="11"/>
  <c r="J9" i="11" s="1"/>
  <c r="P9" i="11"/>
  <c r="N8" i="11"/>
  <c r="P8" i="11"/>
  <c r="L10" i="11"/>
  <c r="N26" i="11"/>
  <c r="P26" i="11"/>
  <c r="L26" i="11"/>
  <c r="L27" i="11"/>
  <c r="I36" i="11"/>
  <c r="L29" i="11"/>
  <c r="H37" i="11"/>
  <c r="H38" i="11"/>
  <c r="H40" i="11"/>
  <c r="I46" i="11"/>
  <c r="N46" i="11" s="1"/>
  <c r="M46" i="11" s="1"/>
  <c r="P46" i="11"/>
  <c r="I38" i="11"/>
  <c r="I76" i="11"/>
  <c r="H76" i="11"/>
  <c r="H105" i="11" s="1"/>
  <c r="H106" i="11" s="1"/>
  <c r="H78" i="11"/>
  <c r="I77" i="11"/>
  <c r="N77" i="11" s="1"/>
  <c r="M77" i="11" s="1"/>
  <c r="P83" i="11"/>
  <c r="N83" i="11"/>
  <c r="M83" i="11" s="1"/>
  <c r="L83" i="11"/>
  <c r="L86" i="11"/>
  <c r="P86" i="11"/>
  <c r="N86" i="11"/>
  <c r="M86" i="11" s="1"/>
  <c r="L89" i="11"/>
  <c r="P89" i="11"/>
  <c r="N89" i="11"/>
  <c r="M89" i="11" s="1"/>
  <c r="N70" i="11"/>
  <c r="K70" i="11" s="1"/>
  <c r="L73" i="11"/>
  <c r="L81" i="11"/>
  <c r="P81" i="11"/>
  <c r="N81" i="11"/>
  <c r="M81" i="11" s="1"/>
  <c r="N82" i="11"/>
  <c r="M82" i="11" s="1"/>
  <c r="L88" i="11"/>
  <c r="P88" i="11"/>
  <c r="L91" i="11"/>
  <c r="P91" i="11"/>
  <c r="N91" i="11"/>
  <c r="M91" i="11" s="1"/>
  <c r="N73" i="11"/>
  <c r="L74" i="11"/>
  <c r="P77" i="11"/>
  <c r="L80" i="11"/>
  <c r="P80" i="11"/>
  <c r="N71" i="11"/>
  <c r="M71" i="11" s="1"/>
  <c r="N74" i="11"/>
  <c r="L71" i="11"/>
  <c r="L72" i="11"/>
  <c r="P79" i="11"/>
  <c r="I80" i="11"/>
  <c r="N80" i="11" s="1"/>
  <c r="M80" i="11" s="1"/>
  <c r="P82" i="11"/>
  <c r="P85" i="11"/>
  <c r="P87" i="11"/>
  <c r="I88" i="11"/>
  <c r="N88" i="11" s="1"/>
  <c r="M88" i="11" s="1"/>
  <c r="P90" i="11"/>
  <c r="L79" i="11"/>
  <c r="L82" i="11"/>
  <c r="L85" i="11"/>
  <c r="L87" i="11"/>
  <c r="L90" i="11"/>
  <c r="P75" i="11"/>
  <c r="I79" i="11"/>
  <c r="H84" i="11"/>
  <c r="H100" i="11" s="1"/>
  <c r="H101" i="11" s="1"/>
  <c r="I85" i="11"/>
  <c r="I87" i="11"/>
  <c r="I90" i="11"/>
  <c r="F122" i="10"/>
  <c r="G121" i="10"/>
  <c r="F121" i="10"/>
  <c r="G120" i="10"/>
  <c r="F120" i="10"/>
  <c r="C119" i="10"/>
  <c r="D119" i="10" s="1"/>
  <c r="G119" i="10"/>
  <c r="F119" i="10"/>
  <c r="G118" i="10"/>
  <c r="F118" i="10"/>
  <c r="G117" i="10"/>
  <c r="F117" i="10"/>
  <c r="G116" i="10"/>
  <c r="F116" i="10"/>
  <c r="D115" i="10"/>
  <c r="G115" i="10"/>
  <c r="F115" i="10"/>
  <c r="G114" i="10"/>
  <c r="F114" i="10"/>
  <c r="D113" i="10"/>
  <c r="G113" i="10"/>
  <c r="F113" i="10"/>
  <c r="G112" i="10"/>
  <c r="F112" i="10"/>
  <c r="C111" i="10"/>
  <c r="D111" i="10" s="1"/>
  <c r="G111" i="10"/>
  <c r="F111" i="10"/>
  <c r="G110" i="10"/>
  <c r="F110" i="10"/>
  <c r="G109" i="10"/>
  <c r="F109" i="10"/>
  <c r="G108" i="10"/>
  <c r="F108" i="10"/>
  <c r="D107" i="10"/>
  <c r="D106" i="10"/>
  <c r="G107" i="10"/>
  <c r="F107" i="10"/>
  <c r="G106" i="10"/>
  <c r="F106" i="10"/>
  <c r="D105" i="10"/>
  <c r="G105" i="10"/>
  <c r="H105" i="10" s="1"/>
  <c r="P105" i="10" s="1"/>
  <c r="D103" i="10"/>
  <c r="D101" i="10"/>
  <c r="D100" i="10"/>
  <c r="F77" i="10"/>
  <c r="G76" i="10"/>
  <c r="F76" i="10"/>
  <c r="F75" i="10"/>
  <c r="G75" i="10"/>
  <c r="G74" i="10"/>
  <c r="F74" i="10"/>
  <c r="H97" i="10"/>
  <c r="I97" i="10"/>
  <c r="H98" i="10"/>
  <c r="P98" i="10" s="1"/>
  <c r="I98" i="10"/>
  <c r="H99" i="10"/>
  <c r="P99" i="10" s="1"/>
  <c r="I99" i="10"/>
  <c r="H100" i="10"/>
  <c r="I100" i="10"/>
  <c r="P101" i="10"/>
  <c r="I101" i="10"/>
  <c r="H102" i="10"/>
  <c r="I102" i="10"/>
  <c r="H103" i="10"/>
  <c r="P103" i="10" s="1"/>
  <c r="I103" i="10"/>
  <c r="H104" i="10"/>
  <c r="P104" i="10" s="1"/>
  <c r="I104" i="10"/>
  <c r="G73" i="10"/>
  <c r="F73" i="10"/>
  <c r="G72" i="10"/>
  <c r="F72" i="10"/>
  <c r="G71" i="10"/>
  <c r="F71" i="10"/>
  <c r="G70" i="10"/>
  <c r="F70" i="10"/>
  <c r="G69" i="10"/>
  <c r="F69" i="10"/>
  <c r="G68" i="10"/>
  <c r="F68" i="10"/>
  <c r="D67" i="10"/>
  <c r="G67" i="10"/>
  <c r="F67" i="10"/>
  <c r="F66" i="10"/>
  <c r="G66" i="10"/>
  <c r="D65" i="10"/>
  <c r="G65" i="10"/>
  <c r="F65" i="10"/>
  <c r="D64" i="10"/>
  <c r="G64" i="10"/>
  <c r="F64" i="10"/>
  <c r="D63" i="10"/>
  <c r="G63" i="10"/>
  <c r="F63" i="10"/>
  <c r="G62" i="10"/>
  <c r="F62" i="10"/>
  <c r="G61" i="10"/>
  <c r="F61" i="10"/>
  <c r="D60" i="10"/>
  <c r="G60" i="10"/>
  <c r="F60" i="10"/>
  <c r="G59" i="10"/>
  <c r="F59" i="10"/>
  <c r="G58" i="10"/>
  <c r="D57" i="10"/>
  <c r="F58" i="10"/>
  <c r="G57" i="10"/>
  <c r="F57" i="10"/>
  <c r="D56" i="10"/>
  <c r="G56" i="10"/>
  <c r="F56" i="10"/>
  <c r="G55" i="10"/>
  <c r="F55" i="10"/>
  <c r="D47" i="10"/>
  <c r="D54" i="10"/>
  <c r="G54" i="10"/>
  <c r="F54" i="10"/>
  <c r="G53" i="10"/>
  <c r="F53" i="10"/>
  <c r="G52" i="10"/>
  <c r="F52" i="10"/>
  <c r="D51" i="10"/>
  <c r="G51" i="10"/>
  <c r="F51" i="10"/>
  <c r="G50" i="10"/>
  <c r="F50" i="10"/>
  <c r="G49" i="10"/>
  <c r="F49" i="10"/>
  <c r="G48" i="10"/>
  <c r="F48" i="10"/>
  <c r="G47" i="10"/>
  <c r="F47" i="10"/>
  <c r="G46" i="10"/>
  <c r="F46" i="10"/>
  <c r="D45" i="10"/>
  <c r="G45" i="10"/>
  <c r="F45" i="10"/>
  <c r="G44" i="10"/>
  <c r="F44" i="10"/>
  <c r="G43" i="10"/>
  <c r="F43" i="10"/>
  <c r="D42" i="10"/>
  <c r="G42" i="10"/>
  <c r="F42" i="10"/>
  <c r="G41" i="10"/>
  <c r="F41" i="10"/>
  <c r="G40" i="10"/>
  <c r="F40" i="10"/>
  <c r="I39" i="10" s="1"/>
  <c r="D39" i="10"/>
  <c r="D35" i="10"/>
  <c r="D31" i="10"/>
  <c r="H31" i="10"/>
  <c r="I31" i="10"/>
  <c r="H32" i="10"/>
  <c r="I32" i="10"/>
  <c r="H33" i="10"/>
  <c r="I33" i="10"/>
  <c r="H34" i="10"/>
  <c r="L34" i="10" s="1"/>
  <c r="I34" i="10"/>
  <c r="H35" i="10"/>
  <c r="L35" i="10" s="1"/>
  <c r="I35" i="10"/>
  <c r="H36" i="10"/>
  <c r="L36" i="10" s="1"/>
  <c r="I36" i="10"/>
  <c r="H37" i="10"/>
  <c r="L37" i="10" s="1"/>
  <c r="I37" i="10"/>
  <c r="H38" i="10"/>
  <c r="L38" i="10" s="1"/>
  <c r="I38" i="10"/>
  <c r="H39" i="10"/>
  <c r="L39" i="10" s="1"/>
  <c r="I30" i="10"/>
  <c r="H30" i="10"/>
  <c r="H8" i="10"/>
  <c r="I8" i="10"/>
  <c r="H9" i="10"/>
  <c r="L9" i="10" s="1"/>
  <c r="I9" i="10"/>
  <c r="H10" i="10"/>
  <c r="P10" i="10" s="1"/>
  <c r="I10" i="10"/>
  <c r="H11" i="10"/>
  <c r="L11" i="10" s="1"/>
  <c r="I11" i="10"/>
  <c r="H12" i="10"/>
  <c r="P12" i="10" s="1"/>
  <c r="I12" i="10"/>
  <c r="H13" i="10"/>
  <c r="L13" i="10" s="1"/>
  <c r="I13" i="10"/>
  <c r="H14" i="10"/>
  <c r="P14" i="10" s="1"/>
  <c r="I14" i="10"/>
  <c r="H15" i="10"/>
  <c r="P15" i="10" s="1"/>
  <c r="I7" i="10"/>
  <c r="H7" i="10"/>
  <c r="L7" i="10" s="1"/>
  <c r="P115" i="12" l="1"/>
  <c r="P116" i="12" s="1"/>
  <c r="J92" i="11"/>
  <c r="K92" i="11"/>
  <c r="K101" i="12"/>
  <c r="M101" i="12"/>
  <c r="M128" i="12" s="1"/>
  <c r="K93" i="11"/>
  <c r="L42" i="11"/>
  <c r="N42" i="11"/>
  <c r="M42" i="11" s="1"/>
  <c r="J93" i="11"/>
  <c r="K86" i="11"/>
  <c r="I119" i="10"/>
  <c r="P66" i="12"/>
  <c r="P44" i="11"/>
  <c r="H57" i="10"/>
  <c r="P57" i="10" s="1"/>
  <c r="H109" i="10"/>
  <c r="L109" i="10" s="1"/>
  <c r="N44" i="11"/>
  <c r="M44" i="11" s="1"/>
  <c r="I70" i="10"/>
  <c r="I116" i="10"/>
  <c r="I75" i="10"/>
  <c r="P36" i="11"/>
  <c r="I66" i="10"/>
  <c r="L125" i="12"/>
  <c r="L126" i="12" s="1"/>
  <c r="H114" i="10"/>
  <c r="L114" i="10" s="1"/>
  <c r="I117" i="10"/>
  <c r="H121" i="10"/>
  <c r="P121" i="10" s="1"/>
  <c r="L67" i="12"/>
  <c r="L68" i="12" s="1"/>
  <c r="K97" i="12"/>
  <c r="I110" i="10"/>
  <c r="I113" i="10"/>
  <c r="N43" i="11"/>
  <c r="M43" i="11" s="1"/>
  <c r="H42" i="10"/>
  <c r="P42" i="10" s="1"/>
  <c r="H52" i="10"/>
  <c r="P52" i="10" s="1"/>
  <c r="I54" i="10"/>
  <c r="I107" i="10"/>
  <c r="I111" i="10"/>
  <c r="I115" i="10"/>
  <c r="N115" i="10" s="1"/>
  <c r="J115" i="10" s="1"/>
  <c r="P43" i="11"/>
  <c r="I41" i="10"/>
  <c r="H43" i="10"/>
  <c r="L43" i="10" s="1"/>
  <c r="H45" i="10"/>
  <c r="P45" i="10" s="1"/>
  <c r="H72" i="10"/>
  <c r="P72" i="10" s="1"/>
  <c r="J97" i="12"/>
  <c r="J133" i="12" s="1"/>
  <c r="H49" i="10"/>
  <c r="P49" i="10" s="1"/>
  <c r="H67" i="10"/>
  <c r="P67" i="10" s="1"/>
  <c r="I72" i="10"/>
  <c r="I104" i="11"/>
  <c r="I55" i="11"/>
  <c r="N125" i="12"/>
  <c r="N126" i="12" s="1"/>
  <c r="I50" i="11"/>
  <c r="N124" i="12"/>
  <c r="H47" i="10"/>
  <c r="L47" i="10" s="1"/>
  <c r="H54" i="10"/>
  <c r="P54" i="10" s="1"/>
  <c r="H59" i="10"/>
  <c r="L59" i="10" s="1"/>
  <c r="I62" i="10"/>
  <c r="I68" i="10"/>
  <c r="I52" i="10"/>
  <c r="I55" i="10"/>
  <c r="H119" i="10"/>
  <c r="L119" i="10" s="1"/>
  <c r="H120" i="10"/>
  <c r="L120" i="10" s="1"/>
  <c r="I110" i="11"/>
  <c r="I111" i="11" s="1"/>
  <c r="L115" i="12"/>
  <c r="L116" i="12" s="1"/>
  <c r="P125" i="12"/>
  <c r="P126" i="12" s="1"/>
  <c r="P67" i="12"/>
  <c r="P68" i="12" s="1"/>
  <c r="I64" i="10"/>
  <c r="M26" i="11"/>
  <c r="L119" i="12"/>
  <c r="L120" i="12"/>
  <c r="L121" i="12" s="1"/>
  <c r="P61" i="12"/>
  <c r="P80" i="12"/>
  <c r="P81" i="12" s="1"/>
  <c r="P79" i="12"/>
  <c r="P62" i="12"/>
  <c r="P63" i="12" s="1"/>
  <c r="L71" i="12"/>
  <c r="P71" i="12"/>
  <c r="N128" i="12"/>
  <c r="N129" i="12"/>
  <c r="N130" i="12" s="1"/>
  <c r="H104" i="11"/>
  <c r="I56" i="11"/>
  <c r="I57" i="11" s="1"/>
  <c r="I100" i="11"/>
  <c r="I101" i="11" s="1"/>
  <c r="N134" i="12"/>
  <c r="N135" i="12" s="1"/>
  <c r="L133" i="12"/>
  <c r="N76" i="12"/>
  <c r="N77" i="12" s="1"/>
  <c r="L129" i="12"/>
  <c r="L130" i="12" s="1"/>
  <c r="I51" i="11"/>
  <c r="I52" i="11" s="1"/>
  <c r="P133" i="12"/>
  <c r="I105" i="11"/>
  <c r="I106" i="11" s="1"/>
  <c r="H61" i="11"/>
  <c r="H62" i="11" s="1"/>
  <c r="I40" i="10"/>
  <c r="H44" i="10"/>
  <c r="P44" i="10" s="1"/>
  <c r="H50" i="10"/>
  <c r="P50" i="10" s="1"/>
  <c r="H66" i="10"/>
  <c r="P66" i="10" s="1"/>
  <c r="P97" i="10"/>
  <c r="H75" i="10"/>
  <c r="P75" i="10" s="1"/>
  <c r="I108" i="10"/>
  <c r="H112" i="10"/>
  <c r="L112" i="10" s="1"/>
  <c r="I120" i="10"/>
  <c r="M68" i="11"/>
  <c r="K29" i="11"/>
  <c r="L61" i="12"/>
  <c r="L62" i="12"/>
  <c r="L63" i="12" s="1"/>
  <c r="L80" i="12"/>
  <c r="L81" i="12" s="1"/>
  <c r="L79" i="12"/>
  <c r="P124" i="12"/>
  <c r="N114" i="12"/>
  <c r="N67" i="12"/>
  <c r="N68" i="12" s="1"/>
  <c r="L114" i="12"/>
  <c r="P128" i="12"/>
  <c r="L76" i="12"/>
  <c r="L77" i="12" s="1"/>
  <c r="H99" i="11"/>
  <c r="L124" i="12"/>
  <c r="P76" i="12"/>
  <c r="P77" i="12" s="1"/>
  <c r="P114" i="12"/>
  <c r="I109" i="11"/>
  <c r="H51" i="11"/>
  <c r="H52" i="11" s="1"/>
  <c r="H60" i="11"/>
  <c r="M72" i="11"/>
  <c r="J91" i="12"/>
  <c r="N120" i="12"/>
  <c r="N121" i="12" s="1"/>
  <c r="N119" i="12"/>
  <c r="J33" i="12"/>
  <c r="N80" i="12"/>
  <c r="N81" i="12" s="1"/>
  <c r="N79" i="12"/>
  <c r="N62" i="12"/>
  <c r="N63" i="12" s="1"/>
  <c r="N61" i="12"/>
  <c r="J134" i="12"/>
  <c r="J135" i="12" s="1"/>
  <c r="L66" i="12"/>
  <c r="N115" i="12"/>
  <c r="N116" i="12" s="1"/>
  <c r="N72" i="12"/>
  <c r="N73" i="12" s="1"/>
  <c r="N66" i="12"/>
  <c r="L134" i="12"/>
  <c r="L135" i="12" s="1"/>
  <c r="I61" i="11"/>
  <c r="I62" i="11" s="1"/>
  <c r="P134" i="12"/>
  <c r="P135" i="12" s="1"/>
  <c r="H50" i="11"/>
  <c r="H55" i="11"/>
  <c r="L109" i="11"/>
  <c r="L110" i="11"/>
  <c r="L111" i="11" s="1"/>
  <c r="L60" i="11"/>
  <c r="L61" i="11"/>
  <c r="L62" i="11" s="1"/>
  <c r="J67" i="11"/>
  <c r="I46" i="10"/>
  <c r="I50" i="10"/>
  <c r="I56" i="10"/>
  <c r="I57" i="10"/>
  <c r="H68" i="10"/>
  <c r="P68" i="10" s="1"/>
  <c r="P102" i="10"/>
  <c r="P100" i="10"/>
  <c r="I73" i="10"/>
  <c r="H76" i="10"/>
  <c r="P76" i="10" s="1"/>
  <c r="H106" i="10"/>
  <c r="L106" i="10" s="1"/>
  <c r="I114" i="10"/>
  <c r="H115" i="10"/>
  <c r="P115" i="10" s="1"/>
  <c r="I118" i="10"/>
  <c r="M28" i="11"/>
  <c r="P120" i="12"/>
  <c r="P121" i="12" s="1"/>
  <c r="P119" i="12"/>
  <c r="P18" i="12"/>
  <c r="P109" i="11"/>
  <c r="P110" i="11"/>
  <c r="P111" i="11" s="1"/>
  <c r="I99" i="11"/>
  <c r="N133" i="12"/>
  <c r="I60" i="11"/>
  <c r="H56" i="11"/>
  <c r="H57" i="11" s="1"/>
  <c r="N19" i="12"/>
  <c r="N20" i="12" s="1"/>
  <c r="L19" i="12"/>
  <c r="L20" i="12" s="1"/>
  <c r="L18" i="12"/>
  <c r="N18" i="12"/>
  <c r="P19" i="12"/>
  <c r="P20" i="12" s="1"/>
  <c r="P33" i="11"/>
  <c r="L11" i="11"/>
  <c r="P41" i="11"/>
  <c r="N31" i="11"/>
  <c r="M31" i="11" s="1"/>
  <c r="I19" i="11"/>
  <c r="I20" i="11" s="1"/>
  <c r="H19" i="11"/>
  <c r="H20" i="11" s="1"/>
  <c r="P32" i="11"/>
  <c r="N36" i="11"/>
  <c r="M36" i="11" s="1"/>
  <c r="J8" i="11"/>
  <c r="N11" i="11"/>
  <c r="J11" i="11" s="1"/>
  <c r="P31" i="11"/>
  <c r="I18" i="11"/>
  <c r="N41" i="11"/>
  <c r="J41" i="11" s="1"/>
  <c r="H18" i="11"/>
  <c r="L33" i="10"/>
  <c r="N31" i="10"/>
  <c r="J31" i="10" s="1"/>
  <c r="L31" i="10"/>
  <c r="L32" i="10"/>
  <c r="P8" i="10"/>
  <c r="H18" i="10"/>
  <c r="H19" i="10"/>
  <c r="H20" i="10" s="1"/>
  <c r="P31" i="10"/>
  <c r="L8" i="10"/>
  <c r="I19" i="10"/>
  <c r="I20" i="10" s="1"/>
  <c r="I18" i="10"/>
  <c r="N30" i="10"/>
  <c r="M30" i="10" s="1"/>
  <c r="P32" i="10"/>
  <c r="I49" i="10"/>
  <c r="H64" i="10"/>
  <c r="P64" i="10" s="1"/>
  <c r="H111" i="10"/>
  <c r="H113" i="10"/>
  <c r="P113" i="10" s="1"/>
  <c r="P12" i="11"/>
  <c r="L39" i="11"/>
  <c r="I44" i="10"/>
  <c r="I45" i="10"/>
  <c r="I59" i="10"/>
  <c r="H61" i="10"/>
  <c r="L61" i="10" s="1"/>
  <c r="I63" i="10"/>
  <c r="H69" i="10"/>
  <c r="P69" i="10" s="1"/>
  <c r="H71" i="10"/>
  <c r="P71" i="10" s="1"/>
  <c r="H73" i="10"/>
  <c r="P73" i="10" s="1"/>
  <c r="H74" i="10"/>
  <c r="P74" i="10" s="1"/>
  <c r="I121" i="10"/>
  <c r="I109" i="10"/>
  <c r="I42" i="10"/>
  <c r="P36" i="10"/>
  <c r="I43" i="10"/>
  <c r="I58" i="10"/>
  <c r="H60" i="10"/>
  <c r="L60" i="10" s="1"/>
  <c r="H62" i="10"/>
  <c r="P62" i="10" s="1"/>
  <c r="H65" i="10"/>
  <c r="P65" i="10" s="1"/>
  <c r="I65" i="10"/>
  <c r="I67" i="10"/>
  <c r="H70" i="10"/>
  <c r="I71" i="10"/>
  <c r="I76" i="10"/>
  <c r="I106" i="10"/>
  <c r="H107" i="10"/>
  <c r="P107" i="10" s="1"/>
  <c r="H108" i="10"/>
  <c r="J72" i="11"/>
  <c r="N32" i="11"/>
  <c r="J32" i="11" s="1"/>
  <c r="P39" i="10"/>
  <c r="P35" i="10"/>
  <c r="I47" i="10"/>
  <c r="I53" i="10"/>
  <c r="I69" i="10"/>
  <c r="I105" i="10"/>
  <c r="N105" i="10" s="1"/>
  <c r="J105" i="10" s="1"/>
  <c r="I74" i="10"/>
  <c r="H41" i="10"/>
  <c r="P41" i="10" s="1"/>
  <c r="P37" i="10"/>
  <c r="P33" i="10"/>
  <c r="H48" i="10"/>
  <c r="H46" i="10"/>
  <c r="H51" i="10"/>
  <c r="P51" i="10" s="1"/>
  <c r="H58" i="10"/>
  <c r="P58" i="10" s="1"/>
  <c r="H55" i="10"/>
  <c r="P55" i="10" s="1"/>
  <c r="H63" i="10"/>
  <c r="P63" i="10" s="1"/>
  <c r="I60" i="10"/>
  <c r="H118" i="10"/>
  <c r="P118" i="10" s="1"/>
  <c r="P7" i="10"/>
  <c r="P11" i="10"/>
  <c r="J29" i="11"/>
  <c r="N33" i="11"/>
  <c r="K33" i="11" s="1"/>
  <c r="K105" i="12"/>
  <c r="I61" i="10"/>
  <c r="P13" i="10"/>
  <c r="P9" i="10"/>
  <c r="L15" i="11"/>
  <c r="I51" i="10"/>
  <c r="H110" i="10"/>
  <c r="P110" i="10" s="1"/>
  <c r="H116" i="10"/>
  <c r="P116" i="10" s="1"/>
  <c r="N8" i="10"/>
  <c r="N39" i="10"/>
  <c r="M39" i="10" s="1"/>
  <c r="P30" i="10"/>
  <c r="P38" i="10"/>
  <c r="P34" i="10"/>
  <c r="H117" i="10"/>
  <c r="L117" i="10" s="1"/>
  <c r="P14" i="11"/>
  <c r="N15" i="11"/>
  <c r="J15" i="11" s="1"/>
  <c r="J105" i="12"/>
  <c r="J128" i="12" s="1"/>
  <c r="J109" i="12"/>
  <c r="K109" i="12"/>
  <c r="K103" i="12"/>
  <c r="J103" i="12"/>
  <c r="M37" i="12"/>
  <c r="J37" i="12"/>
  <c r="K44" i="12"/>
  <c r="M45" i="12"/>
  <c r="M75" i="12" s="1"/>
  <c r="K45" i="12"/>
  <c r="K75" i="12" s="1"/>
  <c r="M13" i="12"/>
  <c r="K13" i="12"/>
  <c r="K107" i="12"/>
  <c r="M91" i="12"/>
  <c r="K91" i="12"/>
  <c r="M100" i="12"/>
  <c r="M125" i="12" s="1"/>
  <c r="M126" i="12" s="1"/>
  <c r="K100" i="12"/>
  <c r="M47" i="12"/>
  <c r="M71" i="12" s="1"/>
  <c r="K47" i="12"/>
  <c r="K72" i="12" s="1"/>
  <c r="K73" i="12" s="1"/>
  <c r="J45" i="12"/>
  <c r="J76" i="12" s="1"/>
  <c r="J77" i="12" s="1"/>
  <c r="J13" i="12"/>
  <c r="J18" i="12" s="1"/>
  <c r="M36" i="12"/>
  <c r="M66" i="12" s="1"/>
  <c r="K36" i="12"/>
  <c r="M15" i="12"/>
  <c r="K15" i="12"/>
  <c r="M102" i="12"/>
  <c r="K102" i="12"/>
  <c r="J47" i="12"/>
  <c r="J71" i="12" s="1"/>
  <c r="M93" i="12"/>
  <c r="K93" i="12"/>
  <c r="J107" i="12"/>
  <c r="J15" i="12"/>
  <c r="J94" i="12"/>
  <c r="M98" i="12"/>
  <c r="K98" i="12"/>
  <c r="K94" i="12"/>
  <c r="J44" i="12"/>
  <c r="J66" i="12" s="1"/>
  <c r="M33" i="12"/>
  <c r="K33" i="12"/>
  <c r="J100" i="12"/>
  <c r="M11" i="12"/>
  <c r="K11" i="12"/>
  <c r="J102" i="12"/>
  <c r="K37" i="12"/>
  <c r="K34" i="11"/>
  <c r="M34" i="11"/>
  <c r="J34" i="11"/>
  <c r="K67" i="11"/>
  <c r="M67" i="11"/>
  <c r="N13" i="11"/>
  <c r="J13" i="11" s="1"/>
  <c r="P30" i="11"/>
  <c r="L13" i="11"/>
  <c r="N45" i="11"/>
  <c r="M45" i="11" s="1"/>
  <c r="N30" i="11"/>
  <c r="M30" i="11" s="1"/>
  <c r="N12" i="11"/>
  <c r="J12" i="11" s="1"/>
  <c r="N39" i="11"/>
  <c r="M39" i="11" s="1"/>
  <c r="K89" i="11"/>
  <c r="J89" i="11"/>
  <c r="J86" i="11"/>
  <c r="P45" i="11"/>
  <c r="M75" i="11"/>
  <c r="J75" i="11"/>
  <c r="K81" i="11"/>
  <c r="K72" i="11"/>
  <c r="J81" i="11"/>
  <c r="K75" i="11"/>
  <c r="K83" i="11"/>
  <c r="M29" i="11"/>
  <c r="N14" i="11"/>
  <c r="J27" i="11"/>
  <c r="K27" i="11"/>
  <c r="M69" i="11"/>
  <c r="J68" i="11"/>
  <c r="K68" i="11"/>
  <c r="J77" i="11"/>
  <c r="K69" i="11"/>
  <c r="J28" i="11"/>
  <c r="K28" i="11"/>
  <c r="N87" i="11"/>
  <c r="K87" i="11" s="1"/>
  <c r="L76" i="11"/>
  <c r="L105" i="11" s="1"/>
  <c r="L106" i="11" s="1"/>
  <c r="N76" i="11"/>
  <c r="M76" i="11" s="1"/>
  <c r="P76" i="11"/>
  <c r="M10" i="11"/>
  <c r="K10" i="11"/>
  <c r="J80" i="11"/>
  <c r="M73" i="11"/>
  <c r="K73" i="11"/>
  <c r="J73" i="11"/>
  <c r="J91" i="11"/>
  <c r="J88" i="11"/>
  <c r="N90" i="11"/>
  <c r="L78" i="11"/>
  <c r="P78" i="11"/>
  <c r="N78" i="11"/>
  <c r="J78" i="11" s="1"/>
  <c r="J43" i="11"/>
  <c r="P37" i="11"/>
  <c r="N37" i="11"/>
  <c r="J37" i="11" s="1"/>
  <c r="L37" i="11"/>
  <c r="J10" i="11"/>
  <c r="M7" i="11"/>
  <c r="K7" i="11"/>
  <c r="M8" i="11"/>
  <c r="K8" i="11"/>
  <c r="J82" i="11"/>
  <c r="K88" i="11"/>
  <c r="K80" i="11"/>
  <c r="K91" i="11"/>
  <c r="N79" i="11"/>
  <c r="K79" i="11" s="1"/>
  <c r="K82" i="11"/>
  <c r="M35" i="11"/>
  <c r="J35" i="11"/>
  <c r="L40" i="11"/>
  <c r="N40" i="11"/>
  <c r="J40" i="11" s="1"/>
  <c r="P40" i="11"/>
  <c r="K35" i="11"/>
  <c r="K26" i="11"/>
  <c r="M70" i="11"/>
  <c r="J70" i="11"/>
  <c r="L84" i="11"/>
  <c r="L100" i="11" s="1"/>
  <c r="L101" i="11" s="1"/>
  <c r="P84" i="11"/>
  <c r="P99" i="11" s="1"/>
  <c r="N84" i="11"/>
  <c r="N99" i="11" s="1"/>
  <c r="J71" i="11"/>
  <c r="N85" i="11"/>
  <c r="M74" i="11"/>
  <c r="K74" i="11"/>
  <c r="J74" i="11"/>
  <c r="J83" i="11"/>
  <c r="K77" i="11"/>
  <c r="K71" i="11"/>
  <c r="K46" i="11"/>
  <c r="L38" i="11"/>
  <c r="N38" i="11"/>
  <c r="M38" i="11" s="1"/>
  <c r="P38" i="11"/>
  <c r="J46" i="11"/>
  <c r="J26" i="11"/>
  <c r="M9" i="11"/>
  <c r="K9" i="11"/>
  <c r="J7" i="11"/>
  <c r="L121" i="10"/>
  <c r="P119" i="10"/>
  <c r="I112" i="10"/>
  <c r="N104" i="10"/>
  <c r="M104" i="10" s="1"/>
  <c r="N103" i="10"/>
  <c r="M103" i="10" s="1"/>
  <c r="N102" i="10"/>
  <c r="K102" i="10" s="1"/>
  <c r="N101" i="10"/>
  <c r="M101" i="10" s="1"/>
  <c r="N100" i="10"/>
  <c r="N99" i="10"/>
  <c r="J99" i="10" s="1"/>
  <c r="N98" i="10"/>
  <c r="M98" i="10" s="1"/>
  <c r="N97" i="10"/>
  <c r="L105" i="10"/>
  <c r="L104" i="10"/>
  <c r="L103" i="10"/>
  <c r="L102" i="10"/>
  <c r="L101" i="10"/>
  <c r="L100" i="10"/>
  <c r="L99" i="10"/>
  <c r="L98" i="10"/>
  <c r="L97" i="10"/>
  <c r="N72" i="10"/>
  <c r="M72" i="10" s="1"/>
  <c r="L57" i="10"/>
  <c r="H56" i="10"/>
  <c r="L56" i="10" s="1"/>
  <c r="H53" i="10"/>
  <c r="I48" i="10"/>
  <c r="H40" i="10"/>
  <c r="N38" i="10"/>
  <c r="J38" i="10" s="1"/>
  <c r="N35" i="10"/>
  <c r="J35" i="10" s="1"/>
  <c r="N34" i="10"/>
  <c r="J34" i="10" s="1"/>
  <c r="N36" i="10"/>
  <c r="N32" i="10"/>
  <c r="N37" i="10"/>
  <c r="M37" i="10" s="1"/>
  <c r="N33" i="10"/>
  <c r="L30" i="10"/>
  <c r="N12" i="10"/>
  <c r="M12" i="10" s="1"/>
  <c r="L12" i="10"/>
  <c r="L14" i="10"/>
  <c r="N11" i="10"/>
  <c r="K11" i="10" s="1"/>
  <c r="L10" i="10"/>
  <c r="N13" i="10"/>
  <c r="N9" i="10"/>
  <c r="J9" i="10" s="1"/>
  <c r="N14" i="10"/>
  <c r="M14" i="10" s="1"/>
  <c r="N10" i="10"/>
  <c r="M10" i="10" s="1"/>
  <c r="N7" i="10"/>
  <c r="M7" i="10" s="1"/>
  <c r="V18" i="9"/>
  <c r="U18" i="9" s="1"/>
  <c r="Q18" i="9"/>
  <c r="P18" i="9"/>
  <c r="W18" i="9"/>
  <c r="J18" i="9"/>
  <c r="I18" i="9" s="1"/>
  <c r="E18" i="9"/>
  <c r="D18" i="9"/>
  <c r="K18" i="9"/>
  <c r="V17" i="9"/>
  <c r="U17" i="9" s="1"/>
  <c r="Q17" i="9"/>
  <c r="P17" i="9"/>
  <c r="W17" i="9"/>
  <c r="J17" i="9"/>
  <c r="I17" i="9" s="1"/>
  <c r="E17" i="9"/>
  <c r="D17" i="9"/>
  <c r="K17" i="9"/>
  <c r="V16" i="9"/>
  <c r="U16" i="9" s="1"/>
  <c r="Q16" i="9"/>
  <c r="P16" i="9"/>
  <c r="W16" i="9"/>
  <c r="J16" i="9"/>
  <c r="I16" i="9" s="1"/>
  <c r="E16" i="9"/>
  <c r="D16" i="9"/>
  <c r="K16" i="9"/>
  <c r="V15" i="9"/>
  <c r="U15" i="9" s="1"/>
  <c r="Q15" i="9"/>
  <c r="P15" i="9"/>
  <c r="W15" i="9"/>
  <c r="J15" i="9"/>
  <c r="I15" i="9" s="1"/>
  <c r="E15" i="9"/>
  <c r="D15" i="9"/>
  <c r="K15" i="9"/>
  <c r="V14" i="9"/>
  <c r="U14" i="9" s="1"/>
  <c r="Q14" i="9"/>
  <c r="P14" i="9"/>
  <c r="W14" i="9"/>
  <c r="J14" i="9"/>
  <c r="I14" i="9" s="1"/>
  <c r="E14" i="9"/>
  <c r="D14" i="9"/>
  <c r="K14" i="9"/>
  <c r="V13" i="9"/>
  <c r="U13" i="9" s="1"/>
  <c r="Q13" i="9"/>
  <c r="P13" i="9"/>
  <c r="W13" i="9"/>
  <c r="J13" i="9"/>
  <c r="I13" i="9" s="1"/>
  <c r="E13" i="9"/>
  <c r="D13" i="9"/>
  <c r="K13" i="9"/>
  <c r="V12" i="9"/>
  <c r="U12" i="9" s="1"/>
  <c r="Q12" i="9"/>
  <c r="P12" i="9"/>
  <c r="W12" i="9"/>
  <c r="J12" i="9"/>
  <c r="I12" i="9" s="1"/>
  <c r="E12" i="9"/>
  <c r="D12" i="9"/>
  <c r="K12" i="9"/>
  <c r="V11" i="9"/>
  <c r="U11" i="9" s="1"/>
  <c r="Q11" i="9"/>
  <c r="P11" i="9"/>
  <c r="W11" i="9"/>
  <c r="J11" i="9"/>
  <c r="I11" i="9" s="1"/>
  <c r="E11" i="9"/>
  <c r="D11" i="9"/>
  <c r="K11" i="9"/>
  <c r="V10" i="9"/>
  <c r="U10" i="9" s="1"/>
  <c r="Q10" i="9"/>
  <c r="P10" i="9"/>
  <c r="W10" i="9"/>
  <c r="J10" i="9"/>
  <c r="I10" i="9" s="1"/>
  <c r="E10" i="9"/>
  <c r="D10" i="9"/>
  <c r="K10" i="9"/>
  <c r="V9" i="9"/>
  <c r="Q9" i="9"/>
  <c r="P9" i="9"/>
  <c r="W9" i="9"/>
  <c r="J9" i="9"/>
  <c r="E9" i="9"/>
  <c r="D9" i="9"/>
  <c r="K9" i="9"/>
  <c r="U5" i="9"/>
  <c r="T5" i="9"/>
  <c r="S5" i="9"/>
  <c r="R5" i="9"/>
  <c r="I5" i="9"/>
  <c r="H5" i="9"/>
  <c r="G5" i="9"/>
  <c r="F5" i="9"/>
  <c r="U4" i="9"/>
  <c r="T4" i="9"/>
  <c r="S4" i="9"/>
  <c r="R4" i="9"/>
  <c r="I4" i="9"/>
  <c r="H4" i="9"/>
  <c r="G4" i="9"/>
  <c r="F4" i="9"/>
  <c r="N52" i="10" l="1"/>
  <c r="M52" i="10" s="1"/>
  <c r="K129" i="12"/>
  <c r="K130" i="12" s="1"/>
  <c r="L69" i="10"/>
  <c r="M33" i="11"/>
  <c r="L118" i="10"/>
  <c r="L50" i="10"/>
  <c r="L55" i="10"/>
  <c r="J42" i="11"/>
  <c r="P60" i="11"/>
  <c r="N108" i="10"/>
  <c r="N121" i="10"/>
  <c r="M121" i="10" s="1"/>
  <c r="M129" i="12"/>
  <c r="M130" i="12" s="1"/>
  <c r="P59" i="10"/>
  <c r="P117" i="10"/>
  <c r="M115" i="12"/>
  <c r="M116" i="12" s="1"/>
  <c r="N59" i="10"/>
  <c r="M59" i="10" s="1"/>
  <c r="N50" i="10"/>
  <c r="J50" i="10" s="1"/>
  <c r="L72" i="10"/>
  <c r="K42" i="11"/>
  <c r="N70" i="10"/>
  <c r="M70" i="10" s="1"/>
  <c r="G9" i="9"/>
  <c r="K30" i="10"/>
  <c r="N57" i="10"/>
  <c r="M57" i="10" s="1"/>
  <c r="K24" i="9"/>
  <c r="K25" i="9"/>
  <c r="W24" i="9"/>
  <c r="W25" i="9"/>
  <c r="D25" i="9"/>
  <c r="D24" i="9"/>
  <c r="P25" i="9"/>
  <c r="P24" i="9"/>
  <c r="E24" i="9"/>
  <c r="E25" i="9"/>
  <c r="Q24" i="9"/>
  <c r="Q25" i="9"/>
  <c r="I9" i="9"/>
  <c r="I24" i="9" s="1"/>
  <c r="J25" i="9"/>
  <c r="J24" i="9"/>
  <c r="U9" i="9"/>
  <c r="U24" i="9" s="1"/>
  <c r="V24" i="9"/>
  <c r="V25" i="9"/>
  <c r="L9" i="9"/>
  <c r="X9" i="9"/>
  <c r="L10" i="9"/>
  <c r="X10" i="9"/>
  <c r="L11" i="9"/>
  <c r="X11" i="9"/>
  <c r="L12" i="9"/>
  <c r="X12" i="9"/>
  <c r="L13" i="9"/>
  <c r="X13" i="9"/>
  <c r="L14" i="9"/>
  <c r="X14" i="9"/>
  <c r="L15" i="9"/>
  <c r="X15" i="9"/>
  <c r="L16" i="9"/>
  <c r="X16" i="9"/>
  <c r="L17" i="9"/>
  <c r="X17" i="9"/>
  <c r="L18" i="9"/>
  <c r="X18" i="9"/>
  <c r="P109" i="10"/>
  <c r="L65" i="10"/>
  <c r="N109" i="10"/>
  <c r="M109" i="10" s="1"/>
  <c r="N75" i="10"/>
  <c r="J75" i="10" s="1"/>
  <c r="N43" i="10"/>
  <c r="M43" i="10" s="1"/>
  <c r="L108" i="10"/>
  <c r="L49" i="10"/>
  <c r="N76" i="10"/>
  <c r="M76" i="10" s="1"/>
  <c r="L51" i="11"/>
  <c r="L52" i="11" s="1"/>
  <c r="N117" i="10"/>
  <c r="J117" i="10" s="1"/>
  <c r="G11" i="9"/>
  <c r="L45" i="10"/>
  <c r="J44" i="11"/>
  <c r="N54" i="10"/>
  <c r="M54" i="10" s="1"/>
  <c r="K44" i="11"/>
  <c r="L44" i="10"/>
  <c r="L52" i="10"/>
  <c r="L115" i="10"/>
  <c r="N67" i="10"/>
  <c r="M67" i="10" s="1"/>
  <c r="F14" i="9"/>
  <c r="F15" i="9"/>
  <c r="F17" i="9"/>
  <c r="P104" i="11"/>
  <c r="P55" i="11"/>
  <c r="N111" i="10"/>
  <c r="M111" i="10" s="1"/>
  <c r="S13" i="9"/>
  <c r="G15" i="9"/>
  <c r="P114" i="10"/>
  <c r="P120" i="10"/>
  <c r="K45" i="11"/>
  <c r="L19" i="11"/>
  <c r="L20" i="11" s="1"/>
  <c r="N114" i="10"/>
  <c r="M114" i="10" s="1"/>
  <c r="P47" i="10"/>
  <c r="N42" i="10"/>
  <c r="J42" i="10" s="1"/>
  <c r="L42" i="10"/>
  <c r="N120" i="10"/>
  <c r="M120" i="10" s="1"/>
  <c r="N47" i="10"/>
  <c r="J47" i="10" s="1"/>
  <c r="N118" i="10"/>
  <c r="M118" i="10" s="1"/>
  <c r="P43" i="10"/>
  <c r="K133" i="12"/>
  <c r="N49" i="10"/>
  <c r="K49" i="10" s="1"/>
  <c r="P112" i="10"/>
  <c r="P51" i="11"/>
  <c r="P52" i="11" s="1"/>
  <c r="K66" i="12"/>
  <c r="N46" i="10"/>
  <c r="M46" i="10" s="1"/>
  <c r="N119" i="10"/>
  <c r="M119" i="10" s="1"/>
  <c r="N68" i="10"/>
  <c r="M68" i="10" s="1"/>
  <c r="L76" i="10"/>
  <c r="N112" i="10"/>
  <c r="M112" i="10" s="1"/>
  <c r="K43" i="11"/>
  <c r="M11" i="11"/>
  <c r="I135" i="10"/>
  <c r="I136" i="10" s="1"/>
  <c r="M134" i="12"/>
  <c r="M135" i="12" s="1"/>
  <c r="J67" i="12"/>
  <c r="J68" i="12" s="1"/>
  <c r="L66" i="10"/>
  <c r="J30" i="10"/>
  <c r="L68" i="10"/>
  <c r="N66" i="10"/>
  <c r="M66" i="10" s="1"/>
  <c r="L75" i="10"/>
  <c r="L110" i="10"/>
  <c r="L135" i="10" s="1"/>
  <c r="L136" i="10" s="1"/>
  <c r="J124" i="12"/>
  <c r="N44" i="10"/>
  <c r="M44" i="10" s="1"/>
  <c r="I131" i="10"/>
  <c r="I132" i="10" s="1"/>
  <c r="J102" i="10"/>
  <c r="J121" i="10"/>
  <c r="L55" i="11"/>
  <c r="J36" i="11"/>
  <c r="K134" i="12"/>
  <c r="K135" i="12" s="1"/>
  <c r="R9" i="9"/>
  <c r="F10" i="9"/>
  <c r="F11" i="9"/>
  <c r="F13" i="9"/>
  <c r="L54" i="10"/>
  <c r="L74" i="10"/>
  <c r="L113" i="10"/>
  <c r="K125" i="12"/>
  <c r="K126" i="12" s="1"/>
  <c r="I126" i="10"/>
  <c r="I127" i="10" s="1"/>
  <c r="N45" i="10"/>
  <c r="M45" i="10" s="1"/>
  <c r="L67" i="10"/>
  <c r="M67" i="12"/>
  <c r="M68" i="12" s="1"/>
  <c r="S17" i="9"/>
  <c r="J108" i="10"/>
  <c r="M108" i="10"/>
  <c r="K108" i="10"/>
  <c r="S12" i="9"/>
  <c r="K31" i="10"/>
  <c r="N74" i="10"/>
  <c r="M74" i="10" s="1"/>
  <c r="M97" i="10"/>
  <c r="M62" i="12"/>
  <c r="M63" i="12" s="1"/>
  <c r="M61" i="12"/>
  <c r="M79" i="12"/>
  <c r="M80" i="12"/>
  <c r="M81" i="12" s="1"/>
  <c r="M119" i="12"/>
  <c r="M120" i="12"/>
  <c r="M121" i="12" s="1"/>
  <c r="P108" i="10"/>
  <c r="P106" i="10"/>
  <c r="L50" i="11"/>
  <c r="L99" i="11"/>
  <c r="K76" i="12"/>
  <c r="K77" i="12" s="1"/>
  <c r="M114" i="12"/>
  <c r="M124" i="12"/>
  <c r="K114" i="12"/>
  <c r="K128" i="12"/>
  <c r="J72" i="12"/>
  <c r="J73" i="12" s="1"/>
  <c r="H131" i="10"/>
  <c r="H132" i="10" s="1"/>
  <c r="N100" i="11"/>
  <c r="N101" i="11" s="1"/>
  <c r="P105" i="11"/>
  <c r="P106" i="11" s="1"/>
  <c r="L56" i="11"/>
  <c r="L57" i="11" s="1"/>
  <c r="I130" i="10"/>
  <c r="J80" i="12"/>
  <c r="J81" i="12" s="1"/>
  <c r="J79" i="12"/>
  <c r="J62" i="12"/>
  <c r="J63" i="12" s="1"/>
  <c r="J61" i="12"/>
  <c r="M72" i="12"/>
  <c r="M73" i="12" s="1"/>
  <c r="K124" i="12"/>
  <c r="N56" i="11"/>
  <c r="N57" i="11" s="1"/>
  <c r="P56" i="11"/>
  <c r="P57" i="11" s="1"/>
  <c r="H135" i="10"/>
  <c r="H136" i="10" s="1"/>
  <c r="J125" i="12"/>
  <c r="J126" i="12" s="1"/>
  <c r="K71" i="12"/>
  <c r="P100" i="11"/>
  <c r="P101" i="11" s="1"/>
  <c r="N60" i="11"/>
  <c r="I134" i="10"/>
  <c r="M31" i="10"/>
  <c r="M102" i="10"/>
  <c r="J75" i="12"/>
  <c r="M133" i="12"/>
  <c r="K115" i="12"/>
  <c r="K116" i="12" s="1"/>
  <c r="P61" i="11"/>
  <c r="P62" i="11" s="1"/>
  <c r="H125" i="10"/>
  <c r="H130" i="10"/>
  <c r="L104" i="11"/>
  <c r="J115" i="12"/>
  <c r="J116" i="12" s="1"/>
  <c r="N55" i="11"/>
  <c r="N104" i="11"/>
  <c r="H134" i="10"/>
  <c r="N61" i="11"/>
  <c r="N62" i="11" s="1"/>
  <c r="I90" i="10"/>
  <c r="I91" i="10" s="1"/>
  <c r="N51" i="11"/>
  <c r="N52" i="11" s="1"/>
  <c r="H126" i="10"/>
  <c r="H127" i="10" s="1"/>
  <c r="N109" i="11"/>
  <c r="M76" i="12"/>
  <c r="M77" i="12" s="1"/>
  <c r="N105" i="11"/>
  <c r="N106" i="11" s="1"/>
  <c r="P134" i="10"/>
  <c r="P135" i="10"/>
  <c r="P136" i="10" s="1"/>
  <c r="J129" i="12"/>
  <c r="J130" i="12" s="1"/>
  <c r="K67" i="12"/>
  <c r="K68" i="12" s="1"/>
  <c r="P50" i="11"/>
  <c r="M60" i="11"/>
  <c r="M61" i="11"/>
  <c r="M62" i="11" s="1"/>
  <c r="I125" i="10"/>
  <c r="H11" i="9"/>
  <c r="H15" i="9"/>
  <c r="F16" i="9"/>
  <c r="M105" i="10"/>
  <c r="J100" i="10"/>
  <c r="N113" i="10"/>
  <c r="M113" i="10" s="1"/>
  <c r="J31" i="11"/>
  <c r="K62" i="12"/>
  <c r="K63" i="12" s="1"/>
  <c r="K80" i="12"/>
  <c r="K81" i="12" s="1"/>
  <c r="K79" i="12"/>
  <c r="K61" i="12"/>
  <c r="K120" i="12"/>
  <c r="K121" i="12" s="1"/>
  <c r="K119" i="12"/>
  <c r="N106" i="10"/>
  <c r="M106" i="10" s="1"/>
  <c r="N50" i="11"/>
  <c r="J114" i="12"/>
  <c r="J120" i="12"/>
  <c r="J121" i="12" s="1"/>
  <c r="J119" i="12"/>
  <c r="N110" i="11"/>
  <c r="N111" i="11" s="1"/>
  <c r="M19" i="12"/>
  <c r="M20" i="12" s="1"/>
  <c r="K18" i="12"/>
  <c r="J19" i="12"/>
  <c r="J20" i="12" s="1"/>
  <c r="K19" i="12"/>
  <c r="K20" i="12" s="1"/>
  <c r="M18" i="12"/>
  <c r="P19" i="11"/>
  <c r="P20" i="11" s="1"/>
  <c r="K41" i="11"/>
  <c r="M41" i="11"/>
  <c r="J33" i="11"/>
  <c r="K31" i="11"/>
  <c r="P18" i="11"/>
  <c r="N19" i="11"/>
  <c r="N20" i="11" s="1"/>
  <c r="L18" i="11"/>
  <c r="K39" i="11"/>
  <c r="K36" i="11"/>
  <c r="K11" i="11"/>
  <c r="N18" i="11"/>
  <c r="K13" i="11"/>
  <c r="N71" i="10"/>
  <c r="M71" i="10" s="1"/>
  <c r="I85" i="10"/>
  <c r="H90" i="10"/>
  <c r="H91" i="10" s="1"/>
  <c r="M33" i="10"/>
  <c r="I89" i="10"/>
  <c r="K35" i="10"/>
  <c r="P70" i="10"/>
  <c r="H89" i="10"/>
  <c r="H80" i="10"/>
  <c r="H86" i="10"/>
  <c r="H87" i="10" s="1"/>
  <c r="I86" i="10"/>
  <c r="I87" i="10" s="1"/>
  <c r="N58" i="10"/>
  <c r="M58" i="10" s="1"/>
  <c r="L62" i="10"/>
  <c r="N48" i="10"/>
  <c r="M48" i="10" s="1"/>
  <c r="N65" i="10"/>
  <c r="M65" i="10" s="1"/>
  <c r="L41" i="10"/>
  <c r="H85" i="10"/>
  <c r="H81" i="10"/>
  <c r="H82" i="10" s="1"/>
  <c r="I80" i="10"/>
  <c r="N51" i="10"/>
  <c r="M51" i="10" s="1"/>
  <c r="I81" i="10"/>
  <c r="I82" i="10" s="1"/>
  <c r="J39" i="10"/>
  <c r="K39" i="10"/>
  <c r="J49" i="10"/>
  <c r="N62" i="10"/>
  <c r="J62" i="10" s="1"/>
  <c r="J43" i="10"/>
  <c r="L51" i="10"/>
  <c r="L70" i="10"/>
  <c r="L64" i="10"/>
  <c r="L19" i="10"/>
  <c r="L20" i="10" s="1"/>
  <c r="L18" i="10"/>
  <c r="P19" i="10"/>
  <c r="P20" i="10" s="1"/>
  <c r="P18" i="10"/>
  <c r="P61" i="10"/>
  <c r="N63" i="10"/>
  <c r="M63" i="10" s="1"/>
  <c r="J12" i="10"/>
  <c r="K50" i="10"/>
  <c r="L63" i="10"/>
  <c r="M8" i="10"/>
  <c r="N18" i="10"/>
  <c r="N19" i="10"/>
  <c r="N20" i="10" s="1"/>
  <c r="N41" i="10"/>
  <c r="M41" i="10" s="1"/>
  <c r="M34" i="10"/>
  <c r="N64" i="10"/>
  <c r="N69" i="10"/>
  <c r="L71" i="10"/>
  <c r="J8" i="10"/>
  <c r="K8" i="10"/>
  <c r="F12" i="9"/>
  <c r="S9" i="9"/>
  <c r="H12" i="9"/>
  <c r="R12" i="9"/>
  <c r="H16" i="9"/>
  <c r="R16" i="9"/>
  <c r="G18" i="9"/>
  <c r="K12" i="10"/>
  <c r="M38" i="10"/>
  <c r="K67" i="10"/>
  <c r="N61" i="10"/>
  <c r="M61" i="10" s="1"/>
  <c r="L73" i="10"/>
  <c r="K101" i="10"/>
  <c r="J120" i="10"/>
  <c r="M32" i="11"/>
  <c r="S16" i="9"/>
  <c r="P111" i="10"/>
  <c r="L111" i="10"/>
  <c r="L58" i="10"/>
  <c r="N60" i="10"/>
  <c r="M60" i="10" s="1"/>
  <c r="J97" i="10"/>
  <c r="L116" i="10"/>
  <c r="K12" i="11"/>
  <c r="G12" i="9"/>
  <c r="J7" i="10"/>
  <c r="M35" i="10"/>
  <c r="K52" i="10"/>
  <c r="K72" i="10"/>
  <c r="P60" i="10"/>
  <c r="N73" i="10"/>
  <c r="J73" i="10" s="1"/>
  <c r="K98" i="10"/>
  <c r="N110" i="10"/>
  <c r="M110" i="10" s="1"/>
  <c r="K115" i="10"/>
  <c r="N116" i="10"/>
  <c r="M116" i="10" s="1"/>
  <c r="J39" i="11"/>
  <c r="M12" i="11"/>
  <c r="K32" i="11"/>
  <c r="L107" i="10"/>
  <c r="N55" i="10"/>
  <c r="N107" i="10"/>
  <c r="J45" i="11"/>
  <c r="R11" i="9"/>
  <c r="G14" i="9"/>
  <c r="R15" i="9"/>
  <c r="H10" i="9"/>
  <c r="R10" i="9"/>
  <c r="S11" i="9"/>
  <c r="G13" i="9"/>
  <c r="H14" i="9"/>
  <c r="R14" i="9"/>
  <c r="S15" i="9"/>
  <c r="G17" i="9"/>
  <c r="S18" i="9"/>
  <c r="L40" i="10"/>
  <c r="P40" i="10"/>
  <c r="M50" i="10"/>
  <c r="L46" i="10"/>
  <c r="P46" i="10"/>
  <c r="F9" i="9"/>
  <c r="G10" i="9"/>
  <c r="R18" i="9"/>
  <c r="H9" i="9"/>
  <c r="S10" i="9"/>
  <c r="H13" i="9"/>
  <c r="R13" i="9"/>
  <c r="S14" i="9"/>
  <c r="G16" i="9"/>
  <c r="H17" i="9"/>
  <c r="R17" i="9"/>
  <c r="K38" i="10"/>
  <c r="K97" i="10"/>
  <c r="M15" i="11"/>
  <c r="K15" i="11"/>
  <c r="L48" i="10"/>
  <c r="P48" i="10"/>
  <c r="J76" i="11"/>
  <c r="M13" i="11"/>
  <c r="K30" i="11"/>
  <c r="J30" i="11"/>
  <c r="K76" i="11"/>
  <c r="J14" i="11"/>
  <c r="J18" i="11" s="1"/>
  <c r="M14" i="11"/>
  <c r="K14" i="11"/>
  <c r="M84" i="11"/>
  <c r="M100" i="11" s="1"/>
  <c r="M101" i="11" s="1"/>
  <c r="K84" i="11"/>
  <c r="K99" i="11" s="1"/>
  <c r="M40" i="11"/>
  <c r="M56" i="11" s="1"/>
  <c r="M57" i="11" s="1"/>
  <c r="K40" i="11"/>
  <c r="M87" i="11"/>
  <c r="J87" i="11"/>
  <c r="M85" i="11"/>
  <c r="M105" i="11" s="1"/>
  <c r="M106" i="11" s="1"/>
  <c r="J85" i="11"/>
  <c r="M90" i="11"/>
  <c r="J90" i="11"/>
  <c r="K90" i="11"/>
  <c r="K110" i="11" s="1"/>
  <c r="K111" i="11" s="1"/>
  <c r="J38" i="11"/>
  <c r="J84" i="11"/>
  <c r="J99" i="11" s="1"/>
  <c r="M79" i="11"/>
  <c r="J79" i="11"/>
  <c r="K85" i="11"/>
  <c r="M37" i="11"/>
  <c r="K37" i="11"/>
  <c r="M78" i="11"/>
  <c r="M104" i="11" s="1"/>
  <c r="K78" i="11"/>
  <c r="K38" i="11"/>
  <c r="K121" i="10"/>
  <c r="M115" i="10"/>
  <c r="K105" i="10"/>
  <c r="J104" i="10"/>
  <c r="J101" i="10"/>
  <c r="M99" i="10"/>
  <c r="J103" i="10"/>
  <c r="K99" i="10"/>
  <c r="K103" i="10"/>
  <c r="J98" i="10"/>
  <c r="M100" i="10"/>
  <c r="K100" i="10"/>
  <c r="K104" i="10"/>
  <c r="J74" i="10"/>
  <c r="J72" i="10"/>
  <c r="K57" i="10"/>
  <c r="P56" i="10"/>
  <c r="N56" i="10"/>
  <c r="J52" i="10"/>
  <c r="P53" i="10"/>
  <c r="L53" i="10"/>
  <c r="N53" i="10"/>
  <c r="K43" i="10"/>
  <c r="N40" i="10"/>
  <c r="J40" i="10" s="1"/>
  <c r="K34" i="10"/>
  <c r="J33" i="10"/>
  <c r="K33" i="10"/>
  <c r="M36" i="10"/>
  <c r="K36" i="10"/>
  <c r="J36" i="10"/>
  <c r="J37" i="10"/>
  <c r="K37" i="10"/>
  <c r="J44" i="10"/>
  <c r="M32" i="10"/>
  <c r="K32" i="10"/>
  <c r="J32" i="10"/>
  <c r="M9" i="10"/>
  <c r="K9" i="10"/>
  <c r="M11" i="10"/>
  <c r="J11" i="10"/>
  <c r="K10" i="10"/>
  <c r="M13" i="10"/>
  <c r="K13" i="10"/>
  <c r="J10" i="10"/>
  <c r="J13" i="10"/>
  <c r="J14" i="10"/>
  <c r="K14" i="10"/>
  <c r="K7" i="10"/>
  <c r="T9" i="9"/>
  <c r="T10" i="9"/>
  <c r="T11" i="9"/>
  <c r="T12" i="9"/>
  <c r="T13" i="9"/>
  <c r="T14" i="9"/>
  <c r="T15" i="9"/>
  <c r="T16" i="9"/>
  <c r="T17" i="9"/>
  <c r="F18" i="9"/>
  <c r="H18" i="9"/>
  <c r="T18" i="9"/>
  <c r="K59" i="10" l="1"/>
  <c r="J67" i="10"/>
  <c r="K70" i="10"/>
  <c r="K44" i="10"/>
  <c r="K71" i="10"/>
  <c r="K75" i="10"/>
  <c r="M75" i="10"/>
  <c r="K76" i="10"/>
  <c r="J119" i="10"/>
  <c r="K51" i="10"/>
  <c r="J109" i="10"/>
  <c r="J71" i="10"/>
  <c r="J76" i="10"/>
  <c r="K74" i="10"/>
  <c r="K119" i="10"/>
  <c r="J70" i="10"/>
  <c r="J59" i="10"/>
  <c r="K109" i="10"/>
  <c r="T25" i="9"/>
  <c r="J57" i="10"/>
  <c r="R24" i="9"/>
  <c r="M42" i="10"/>
  <c r="F25" i="9"/>
  <c r="J63" i="10"/>
  <c r="K117" i="10"/>
  <c r="T24" i="9"/>
  <c r="K54" i="10"/>
  <c r="K112" i="10"/>
  <c r="K118" i="10"/>
  <c r="K42" i="10"/>
  <c r="G24" i="9"/>
  <c r="H24" i="9"/>
  <c r="J54" i="10"/>
  <c r="J112" i="10"/>
  <c r="J118" i="10"/>
  <c r="S25" i="9"/>
  <c r="M117" i="10"/>
  <c r="M134" i="10" s="1"/>
  <c r="K60" i="11"/>
  <c r="S24" i="9"/>
  <c r="X25" i="9"/>
  <c r="X24" i="9"/>
  <c r="F24" i="9"/>
  <c r="L25" i="9"/>
  <c r="L24" i="9"/>
  <c r="I25" i="9"/>
  <c r="G25" i="9"/>
  <c r="H25" i="9"/>
  <c r="R25" i="9"/>
  <c r="U25" i="9"/>
  <c r="J60" i="11"/>
  <c r="L130" i="10"/>
  <c r="J111" i="10"/>
  <c r="K111" i="10"/>
  <c r="P90" i="10"/>
  <c r="P91" i="10" s="1"/>
  <c r="J48" i="10"/>
  <c r="K48" i="10"/>
  <c r="K66" i="10"/>
  <c r="J66" i="10"/>
  <c r="K45" i="10"/>
  <c r="J45" i="10"/>
  <c r="K120" i="10"/>
  <c r="P125" i="10"/>
  <c r="J114" i="10"/>
  <c r="J65" i="10"/>
  <c r="K114" i="10"/>
  <c r="P130" i="10"/>
  <c r="K46" i="10"/>
  <c r="P81" i="10"/>
  <c r="P82" i="10" s="1"/>
  <c r="M49" i="10"/>
  <c r="K61" i="11"/>
  <c r="K62" i="11" s="1"/>
  <c r="P131" i="10"/>
  <c r="P132" i="10" s="1"/>
  <c r="P126" i="10"/>
  <c r="P127" i="10" s="1"/>
  <c r="M47" i="10"/>
  <c r="K104" i="11"/>
  <c r="J105" i="11"/>
  <c r="J106" i="11" s="1"/>
  <c r="K47" i="10"/>
  <c r="J46" i="10"/>
  <c r="K106" i="10"/>
  <c r="K68" i="10"/>
  <c r="J106" i="10"/>
  <c r="K110" i="10"/>
  <c r="J110" i="10"/>
  <c r="J110" i="11"/>
  <c r="J111" i="11" s="1"/>
  <c r="K50" i="11"/>
  <c r="J68" i="10"/>
  <c r="J113" i="10"/>
  <c r="M51" i="11"/>
  <c r="M52" i="11" s="1"/>
  <c r="J50" i="11"/>
  <c r="L125" i="10"/>
  <c r="L134" i="10"/>
  <c r="K41" i="10"/>
  <c r="K113" i="10"/>
  <c r="M109" i="11"/>
  <c r="J55" i="11"/>
  <c r="K55" i="11"/>
  <c r="N125" i="10"/>
  <c r="K116" i="10"/>
  <c r="L89" i="10"/>
  <c r="N126" i="10"/>
  <c r="N127" i="10" s="1"/>
  <c r="J56" i="11"/>
  <c r="J57" i="11" s="1"/>
  <c r="M55" i="11"/>
  <c r="K100" i="11"/>
  <c r="K101" i="11" s="1"/>
  <c r="M99" i="11"/>
  <c r="K51" i="11"/>
  <c r="K52" i="11" s="1"/>
  <c r="M130" i="10"/>
  <c r="M131" i="10"/>
  <c r="M132" i="10" s="1"/>
  <c r="M110" i="11"/>
  <c r="M111" i="11" s="1"/>
  <c r="M50" i="11"/>
  <c r="J61" i="11"/>
  <c r="J62" i="11" s="1"/>
  <c r="L131" i="10"/>
  <c r="L132" i="10" s="1"/>
  <c r="M73" i="10"/>
  <c r="L90" i="10"/>
  <c r="L91" i="10" s="1"/>
  <c r="K56" i="11"/>
  <c r="K57" i="11" s="1"/>
  <c r="J100" i="11"/>
  <c r="J101" i="11" s="1"/>
  <c r="J109" i="11"/>
  <c r="N135" i="10"/>
  <c r="N136" i="10" s="1"/>
  <c r="L126" i="10"/>
  <c r="L127" i="10" s="1"/>
  <c r="K109" i="11"/>
  <c r="J51" i="11"/>
  <c r="J52" i="11" s="1"/>
  <c r="J104" i="11"/>
  <c r="K105" i="11"/>
  <c r="K106" i="11" s="1"/>
  <c r="N130" i="10"/>
  <c r="N134" i="10"/>
  <c r="K60" i="10"/>
  <c r="N131" i="10"/>
  <c r="N132" i="10" s="1"/>
  <c r="M19" i="11"/>
  <c r="M20" i="11" s="1"/>
  <c r="K19" i="11"/>
  <c r="K20" i="11" s="1"/>
  <c r="M18" i="11"/>
  <c r="K18" i="11"/>
  <c r="J19" i="11"/>
  <c r="J20" i="11" s="1"/>
  <c r="N89" i="10"/>
  <c r="N90" i="10"/>
  <c r="N91" i="10" s="1"/>
  <c r="P89" i="10"/>
  <c r="L85" i="10"/>
  <c r="K58" i="10"/>
  <c r="J51" i="10"/>
  <c r="J58" i="10"/>
  <c r="K65" i="10"/>
  <c r="P85" i="10"/>
  <c r="L86" i="10"/>
  <c r="L87" i="10" s="1"/>
  <c r="L80" i="10"/>
  <c r="L81" i="10"/>
  <c r="L82" i="10" s="1"/>
  <c r="N85" i="10"/>
  <c r="N86" i="10"/>
  <c r="N87" i="10" s="1"/>
  <c r="P80" i="10"/>
  <c r="N81" i="10"/>
  <c r="N82" i="10" s="1"/>
  <c r="P86" i="10"/>
  <c r="P87" i="10" s="1"/>
  <c r="N80" i="10"/>
  <c r="J60" i="10"/>
  <c r="M62" i="10"/>
  <c r="K62" i="10"/>
  <c r="K61" i="10"/>
  <c r="K63" i="10"/>
  <c r="J61" i="10"/>
  <c r="K19" i="10"/>
  <c r="K20" i="10" s="1"/>
  <c r="K18" i="10"/>
  <c r="M64" i="10"/>
  <c r="K64" i="10"/>
  <c r="J41" i="10"/>
  <c r="K73" i="10"/>
  <c r="J19" i="10"/>
  <c r="J20" i="10" s="1"/>
  <c r="J18" i="10"/>
  <c r="J64" i="10"/>
  <c r="M69" i="10"/>
  <c r="K69" i="10"/>
  <c r="J69" i="10"/>
  <c r="M19" i="10"/>
  <c r="M20" i="10" s="1"/>
  <c r="M18" i="10"/>
  <c r="J107" i="10"/>
  <c r="M107" i="10"/>
  <c r="M126" i="10" s="1"/>
  <c r="M127" i="10" s="1"/>
  <c r="K107" i="10"/>
  <c r="M55" i="10"/>
  <c r="J55" i="10"/>
  <c r="K55" i="10"/>
  <c r="J116" i="10"/>
  <c r="K40" i="10"/>
  <c r="M56" i="10"/>
  <c r="K56" i="10"/>
  <c r="J56" i="10"/>
  <c r="J53" i="10"/>
  <c r="K53" i="10"/>
  <c r="M53" i="10"/>
  <c r="M40" i="10"/>
  <c r="M135" i="10" l="1"/>
  <c r="M136" i="10" s="1"/>
  <c r="J134" i="10"/>
  <c r="K134" i="10"/>
  <c r="K130" i="10"/>
  <c r="J131" i="10"/>
  <c r="J132" i="10" s="1"/>
  <c r="M80" i="10"/>
  <c r="J125" i="10"/>
  <c r="J135" i="10"/>
  <c r="J136" i="10" s="1"/>
  <c r="M90" i="10"/>
  <c r="M91" i="10" s="1"/>
  <c r="K135" i="10"/>
  <c r="K136" i="10" s="1"/>
  <c r="K125" i="10"/>
  <c r="M85" i="10"/>
  <c r="K89" i="10"/>
  <c r="J126" i="10"/>
  <c r="J127" i="10" s="1"/>
  <c r="M89" i="10"/>
  <c r="J90" i="10"/>
  <c r="J91" i="10" s="1"/>
  <c r="K131" i="10"/>
  <c r="K132" i="10" s="1"/>
  <c r="J80" i="10"/>
  <c r="K90" i="10"/>
  <c r="K91" i="10" s="1"/>
  <c r="K126" i="10"/>
  <c r="K127" i="10" s="1"/>
  <c r="K81" i="10"/>
  <c r="K82" i="10" s="1"/>
  <c r="M125" i="10"/>
  <c r="J130" i="10"/>
  <c r="J86" i="10"/>
  <c r="J87" i="10" s="1"/>
  <c r="K80" i="10"/>
  <c r="J89" i="10"/>
  <c r="J85" i="10"/>
  <c r="K85" i="10"/>
  <c r="M86" i="10"/>
  <c r="M87" i="10" s="1"/>
  <c r="K86" i="10"/>
  <c r="K87" i="10" s="1"/>
  <c r="M81" i="10"/>
  <c r="M82" i="10" s="1"/>
  <c r="J81" i="10"/>
  <c r="J82" i="10" s="1"/>
  <c r="N173" i="1" l="1"/>
  <c r="N174" i="1"/>
  <c r="N175" i="1"/>
  <c r="M175" i="1" s="1"/>
  <c r="N176" i="1"/>
  <c r="N177" i="1"/>
  <c r="N178" i="1"/>
  <c r="N179" i="1"/>
  <c r="M179" i="1" s="1"/>
  <c r="N180" i="1"/>
  <c r="M180" i="1" s="1"/>
  <c r="N181" i="1"/>
  <c r="N182" i="1"/>
  <c r="N183" i="1"/>
  <c r="M183" i="1" s="1"/>
  <c r="N184" i="1"/>
  <c r="M184" i="1" s="1"/>
  <c r="N185" i="1"/>
  <c r="N186" i="1"/>
  <c r="N187" i="1"/>
  <c r="M187" i="1" s="1"/>
  <c r="N172" i="1"/>
  <c r="N150" i="1"/>
  <c r="N151" i="1"/>
  <c r="M151" i="1" s="1"/>
  <c r="N152" i="1"/>
  <c r="M152" i="1" s="1"/>
  <c r="N153" i="1"/>
  <c r="M153" i="1" s="1"/>
  <c r="N154" i="1"/>
  <c r="M154" i="1" s="1"/>
  <c r="N155" i="1"/>
  <c r="M155" i="1" s="1"/>
  <c r="N156" i="1"/>
  <c r="M156" i="1" s="1"/>
  <c r="N157" i="1"/>
  <c r="M157" i="1" s="1"/>
  <c r="N158" i="1"/>
  <c r="M158" i="1" s="1"/>
  <c r="N159" i="1"/>
  <c r="M159" i="1" s="1"/>
  <c r="N160" i="1"/>
  <c r="M160" i="1" s="1"/>
  <c r="N161" i="1"/>
  <c r="M161" i="1" s="1"/>
  <c r="N162" i="1"/>
  <c r="M162" i="1" s="1"/>
  <c r="N149" i="1"/>
  <c r="M149" i="1" s="1"/>
  <c r="N143" i="1"/>
  <c r="N144" i="1"/>
  <c r="M144" i="1" s="1"/>
  <c r="N145" i="1"/>
  <c r="M145" i="1" s="1"/>
  <c r="N146" i="1"/>
  <c r="M146" i="1" s="1"/>
  <c r="N142" i="1"/>
  <c r="N129" i="1"/>
  <c r="N130" i="1"/>
  <c r="N128" i="1"/>
  <c r="M128" i="1" s="1"/>
  <c r="N95" i="1"/>
  <c r="N96" i="1"/>
  <c r="N97" i="1"/>
  <c r="M97" i="1" s="1"/>
  <c r="N98" i="1"/>
  <c r="N99" i="1"/>
  <c r="N100" i="1"/>
  <c r="N101" i="1"/>
  <c r="N102" i="1"/>
  <c r="N103" i="1"/>
  <c r="N104" i="1"/>
  <c r="M104" i="1" s="1"/>
  <c r="N105" i="1"/>
  <c r="M105" i="1" s="1"/>
  <c r="N106" i="1"/>
  <c r="N107" i="1"/>
  <c r="M107" i="1" s="1"/>
  <c r="N108" i="1"/>
  <c r="M108" i="1" s="1"/>
  <c r="N109" i="1"/>
  <c r="N110" i="1"/>
  <c r="N111" i="1"/>
  <c r="N112" i="1"/>
  <c r="M112" i="1" s="1"/>
  <c r="N113" i="1"/>
  <c r="N114" i="1"/>
  <c r="N115" i="1"/>
  <c r="M115" i="1" s="1"/>
  <c r="N116" i="1"/>
  <c r="M116" i="1" s="1"/>
  <c r="N117" i="1"/>
  <c r="N118" i="1"/>
  <c r="N94" i="1"/>
  <c r="M94" i="1" s="1"/>
  <c r="N74" i="1"/>
  <c r="N75" i="1"/>
  <c r="M75" i="1" s="1"/>
  <c r="N76" i="1"/>
  <c r="N77" i="1"/>
  <c r="M77" i="1" s="1"/>
  <c r="N78" i="1"/>
  <c r="N79" i="1"/>
  <c r="N80" i="1"/>
  <c r="N81" i="1"/>
  <c r="M81" i="1" s="1"/>
  <c r="N82" i="1"/>
  <c r="N83" i="1"/>
  <c r="M83" i="1" s="1"/>
  <c r="N84" i="1"/>
  <c r="N85" i="1"/>
  <c r="M85" i="1" s="1"/>
  <c r="N86" i="1"/>
  <c r="N87" i="1"/>
  <c r="M87" i="1" s="1"/>
  <c r="N88" i="1"/>
  <c r="M88" i="1" s="1"/>
  <c r="N89" i="1"/>
  <c r="M89" i="1" s="1"/>
  <c r="N90" i="1"/>
  <c r="N73" i="1"/>
  <c r="M73" i="1" s="1"/>
  <c r="N40" i="1"/>
  <c r="N41" i="1"/>
  <c r="N42" i="1"/>
  <c r="N43" i="1"/>
  <c r="M43" i="1" s="1"/>
  <c r="N44" i="1"/>
  <c r="N45" i="1"/>
  <c r="M45" i="1" s="1"/>
  <c r="N46" i="1"/>
  <c r="M46" i="1" s="1"/>
  <c r="N47" i="1"/>
  <c r="M47" i="1" s="1"/>
  <c r="N48" i="1"/>
  <c r="N49" i="1"/>
  <c r="M49" i="1" s="1"/>
  <c r="N50" i="1"/>
  <c r="M50" i="1" s="1"/>
  <c r="N51" i="1"/>
  <c r="M51" i="1" s="1"/>
  <c r="N52" i="1"/>
  <c r="N53" i="1"/>
  <c r="M53" i="1" s="1"/>
  <c r="N54" i="1"/>
  <c r="M54" i="1" s="1"/>
  <c r="N55" i="1"/>
  <c r="M55" i="1" s="1"/>
  <c r="N56" i="1"/>
  <c r="N39" i="1"/>
  <c r="M39" i="1" s="1"/>
  <c r="N31" i="1"/>
  <c r="M31" i="1" s="1"/>
  <c r="N23" i="1"/>
  <c r="M23" i="1" s="1"/>
  <c r="N24" i="1"/>
  <c r="M24" i="1" s="1"/>
  <c r="N25" i="1"/>
  <c r="N26" i="1"/>
  <c r="N27" i="1"/>
  <c r="M27" i="1" s="1"/>
  <c r="N28" i="1"/>
  <c r="M28" i="1" s="1"/>
  <c r="N29" i="1"/>
  <c r="M29" i="1" s="1"/>
  <c r="N30" i="1"/>
  <c r="N22" i="1"/>
  <c r="M22" i="1" s="1"/>
  <c r="N7" i="1"/>
  <c r="M7" i="1" s="1"/>
  <c r="N8" i="1"/>
  <c r="M8" i="1" s="1"/>
  <c r="N9" i="1"/>
  <c r="M9" i="1" s="1"/>
  <c r="N10" i="1"/>
  <c r="M10" i="1" s="1"/>
  <c r="N11" i="1"/>
  <c r="M11" i="1" s="1"/>
  <c r="N12" i="1"/>
  <c r="M12" i="1" s="1"/>
  <c r="N13" i="1"/>
  <c r="M13" i="1" s="1"/>
  <c r="N14" i="1"/>
  <c r="M14" i="1" s="1"/>
  <c r="N6" i="1"/>
  <c r="M6" i="1" s="1"/>
  <c r="U170" i="6"/>
  <c r="T173" i="6"/>
  <c r="D173" i="6"/>
  <c r="I172" i="6"/>
  <c r="H173" i="6"/>
  <c r="I171" i="6"/>
  <c r="H172" i="6"/>
  <c r="D171" i="6"/>
  <c r="I170" i="6"/>
  <c r="H171" i="6"/>
  <c r="U168" i="6"/>
  <c r="T170" i="6"/>
  <c r="D170" i="6"/>
  <c r="H170" i="6"/>
  <c r="T168" i="6"/>
  <c r="U166" i="6"/>
  <c r="T166" i="6"/>
  <c r="U165" i="6"/>
  <c r="T165" i="6"/>
  <c r="U161" i="6"/>
  <c r="T161" i="6"/>
  <c r="U163" i="6"/>
  <c r="T163" i="6"/>
  <c r="U159" i="6"/>
  <c r="U156" i="6"/>
  <c r="T159" i="6"/>
  <c r="U154" i="6"/>
  <c r="T156" i="6"/>
  <c r="H153" i="6"/>
  <c r="H154" i="6"/>
  <c r="H155" i="6"/>
  <c r="H156" i="6"/>
  <c r="H157" i="6"/>
  <c r="H158" i="6"/>
  <c r="H159" i="6"/>
  <c r="H160" i="6"/>
  <c r="H161" i="6"/>
  <c r="H162" i="6"/>
  <c r="H163" i="6"/>
  <c r="H164" i="6"/>
  <c r="H165" i="6"/>
  <c r="H166" i="6"/>
  <c r="H167" i="6"/>
  <c r="H168" i="6"/>
  <c r="H169" i="6"/>
  <c r="I165" i="6"/>
  <c r="I166" i="6"/>
  <c r="I167" i="6"/>
  <c r="I168" i="6"/>
  <c r="I169" i="6"/>
  <c r="I155" i="6"/>
  <c r="I156" i="6"/>
  <c r="I157" i="6"/>
  <c r="I158" i="6"/>
  <c r="I159" i="6"/>
  <c r="I160" i="6"/>
  <c r="I161" i="6"/>
  <c r="I162" i="6"/>
  <c r="I163" i="6"/>
  <c r="I164" i="6"/>
  <c r="I151" i="6"/>
  <c r="I152" i="6"/>
  <c r="I153" i="6"/>
  <c r="I154" i="6"/>
  <c r="U152" i="6"/>
  <c r="T154" i="6"/>
  <c r="D154" i="6"/>
  <c r="I149" i="6"/>
  <c r="I150" i="6"/>
  <c r="U150" i="6"/>
  <c r="T152" i="6"/>
  <c r="D152" i="6"/>
  <c r="H152" i="6"/>
  <c r="U147" i="6"/>
  <c r="T150" i="6"/>
  <c r="D150" i="6"/>
  <c r="D148" i="6"/>
  <c r="U145" i="6"/>
  <c r="T147" i="6"/>
  <c r="D147" i="6"/>
  <c r="U142" i="6"/>
  <c r="T145" i="6"/>
  <c r="D145" i="6"/>
  <c r="D143" i="6"/>
  <c r="U140" i="6"/>
  <c r="T142" i="6"/>
  <c r="D142" i="6"/>
  <c r="U136" i="6"/>
  <c r="T140" i="6"/>
  <c r="T136" i="6"/>
  <c r="U134" i="6"/>
  <c r="T134" i="6"/>
  <c r="H135" i="6"/>
  <c r="I135" i="6"/>
  <c r="H136" i="6"/>
  <c r="I136" i="6"/>
  <c r="H137" i="6"/>
  <c r="I137" i="6"/>
  <c r="H138" i="6"/>
  <c r="I138" i="6"/>
  <c r="H139" i="6"/>
  <c r="I139" i="6"/>
  <c r="H140" i="6"/>
  <c r="I140" i="6"/>
  <c r="H141" i="6"/>
  <c r="I141" i="6"/>
  <c r="H142" i="6"/>
  <c r="I142" i="6"/>
  <c r="H143" i="6"/>
  <c r="I143" i="6"/>
  <c r="H144" i="6"/>
  <c r="I144" i="6"/>
  <c r="H145" i="6"/>
  <c r="I145" i="6"/>
  <c r="H146" i="6"/>
  <c r="I146" i="6"/>
  <c r="H147" i="6"/>
  <c r="I147" i="6"/>
  <c r="H148" i="6"/>
  <c r="I148" i="6"/>
  <c r="H149" i="6"/>
  <c r="H150" i="6"/>
  <c r="H151" i="6"/>
  <c r="I134" i="6"/>
  <c r="H134" i="6"/>
  <c r="U114" i="6"/>
  <c r="T116" i="6"/>
  <c r="D116" i="6"/>
  <c r="I114" i="6"/>
  <c r="I115" i="6"/>
  <c r="H116" i="6"/>
  <c r="H115" i="6"/>
  <c r="U112" i="6"/>
  <c r="T114" i="6"/>
  <c r="D114" i="6"/>
  <c r="I113" i="6"/>
  <c r="H114" i="6"/>
  <c r="H113" i="6"/>
  <c r="U110" i="6"/>
  <c r="T112" i="6"/>
  <c r="D112" i="6"/>
  <c r="H112" i="6"/>
  <c r="I111" i="6"/>
  <c r="I112" i="6"/>
  <c r="H111" i="6"/>
  <c r="T110" i="6"/>
  <c r="U108" i="6"/>
  <c r="D110" i="6"/>
  <c r="U106" i="6"/>
  <c r="T108" i="6"/>
  <c r="D108" i="6"/>
  <c r="D106" i="6"/>
  <c r="U104" i="6"/>
  <c r="T106" i="6"/>
  <c r="H106" i="6"/>
  <c r="H107" i="6"/>
  <c r="H108" i="6"/>
  <c r="H109" i="6"/>
  <c r="H110" i="6"/>
  <c r="I105" i="6"/>
  <c r="I106" i="6"/>
  <c r="I107" i="6"/>
  <c r="I108" i="6"/>
  <c r="I109" i="6"/>
  <c r="I110" i="6"/>
  <c r="H105" i="6"/>
  <c r="U102" i="6"/>
  <c r="T104" i="6"/>
  <c r="D103" i="6"/>
  <c r="U100" i="6"/>
  <c r="T102" i="6"/>
  <c r="U97" i="6"/>
  <c r="T100" i="6"/>
  <c r="U93" i="6"/>
  <c r="T97" i="6"/>
  <c r="D94" i="6"/>
  <c r="D95" i="6"/>
  <c r="D97" i="6"/>
  <c r="D98" i="6"/>
  <c r="D100" i="6"/>
  <c r="D102" i="6"/>
  <c r="U91" i="6"/>
  <c r="U89" i="6"/>
  <c r="U87" i="6"/>
  <c r="T93" i="6"/>
  <c r="T91" i="6"/>
  <c r="T89" i="6"/>
  <c r="T87" i="6"/>
  <c r="D93" i="6"/>
  <c r="I88" i="6"/>
  <c r="I89" i="6"/>
  <c r="I90" i="6"/>
  <c r="I91" i="6"/>
  <c r="I92" i="6"/>
  <c r="I93" i="6"/>
  <c r="I94" i="6"/>
  <c r="I95" i="6"/>
  <c r="I96" i="6"/>
  <c r="I97" i="6"/>
  <c r="I98" i="6"/>
  <c r="I99" i="6"/>
  <c r="I100" i="6"/>
  <c r="I101" i="6"/>
  <c r="I102" i="6"/>
  <c r="I103" i="6"/>
  <c r="I104" i="6"/>
  <c r="H88" i="6"/>
  <c r="H89" i="6"/>
  <c r="H90" i="6"/>
  <c r="H91" i="6"/>
  <c r="H92" i="6"/>
  <c r="H93" i="6"/>
  <c r="H94" i="6"/>
  <c r="H95" i="6"/>
  <c r="H96" i="6"/>
  <c r="H97" i="6"/>
  <c r="H98" i="6"/>
  <c r="H99" i="6"/>
  <c r="H100" i="6"/>
  <c r="H101" i="6"/>
  <c r="H102" i="6"/>
  <c r="H103" i="6"/>
  <c r="H104" i="6"/>
  <c r="I87" i="6"/>
  <c r="H87" i="6"/>
  <c r="M25" i="1" l="1"/>
  <c r="M34" i="1" s="1"/>
  <c r="N34" i="1"/>
  <c r="M79" i="1"/>
  <c r="N123" i="1"/>
  <c r="N165" i="1"/>
  <c r="D119" i="6"/>
  <c r="H117" i="6"/>
  <c r="N190" i="1"/>
  <c r="D120" i="6"/>
  <c r="H118" i="6"/>
  <c r="N191" i="1"/>
  <c r="H129" i="6"/>
  <c r="M166" i="1"/>
  <c r="M167" i="1"/>
  <c r="H127" i="6"/>
  <c r="I123" i="6"/>
  <c r="L151" i="6"/>
  <c r="N151" i="6"/>
  <c r="M151" i="6" s="1"/>
  <c r="L146" i="6"/>
  <c r="N146" i="6"/>
  <c r="J146" i="6" s="1"/>
  <c r="H181" i="6"/>
  <c r="L142" i="6"/>
  <c r="N142" i="6"/>
  <c r="H175" i="6"/>
  <c r="L140" i="6"/>
  <c r="N140" i="6"/>
  <c r="M140" i="6" s="1"/>
  <c r="L167" i="6"/>
  <c r="N167" i="6"/>
  <c r="M167" i="6" s="1"/>
  <c r="L159" i="6"/>
  <c r="N159" i="6"/>
  <c r="M159" i="6" s="1"/>
  <c r="L172" i="6"/>
  <c r="N172" i="6"/>
  <c r="M172" i="6" s="1"/>
  <c r="I129" i="6"/>
  <c r="I127" i="6"/>
  <c r="L150" i="6"/>
  <c r="N150" i="6"/>
  <c r="J150" i="6" s="1"/>
  <c r="H122" i="6"/>
  <c r="H128" i="6"/>
  <c r="H180" i="6"/>
  <c r="L134" i="6"/>
  <c r="H174" i="6"/>
  <c r="N134" i="6"/>
  <c r="L149" i="6"/>
  <c r="N149" i="6"/>
  <c r="M149" i="6" s="1"/>
  <c r="L145" i="6"/>
  <c r="N145" i="6"/>
  <c r="M145" i="6" s="1"/>
  <c r="H186" i="6"/>
  <c r="L143" i="6"/>
  <c r="N143" i="6"/>
  <c r="J143" i="6" s="1"/>
  <c r="L141" i="6"/>
  <c r="N141" i="6"/>
  <c r="M141" i="6" s="1"/>
  <c r="L139" i="6"/>
  <c r="N139" i="6"/>
  <c r="M139" i="6" s="1"/>
  <c r="L137" i="6"/>
  <c r="N137" i="6"/>
  <c r="M137" i="6" s="1"/>
  <c r="H185" i="6"/>
  <c r="L135" i="6"/>
  <c r="N135" i="6"/>
  <c r="J135" i="6" s="1"/>
  <c r="I122" i="6"/>
  <c r="H123" i="6"/>
  <c r="I128" i="6"/>
  <c r="I180" i="6"/>
  <c r="I174" i="6"/>
  <c r="I187" i="6"/>
  <c r="I176" i="6"/>
  <c r="I181" i="6"/>
  <c r="I175" i="6"/>
  <c r="I182" i="6"/>
  <c r="L168" i="6"/>
  <c r="N168" i="6"/>
  <c r="M168" i="6" s="1"/>
  <c r="L164" i="6"/>
  <c r="N164" i="6"/>
  <c r="M164" i="6" s="1"/>
  <c r="L160" i="6"/>
  <c r="N160" i="6"/>
  <c r="M160" i="6" s="1"/>
  <c r="H182" i="6"/>
  <c r="L156" i="6"/>
  <c r="N156" i="6"/>
  <c r="K156" i="6" s="1"/>
  <c r="M176" i="1"/>
  <c r="N166" i="1"/>
  <c r="M142" i="1"/>
  <c r="M172" i="1"/>
  <c r="H187" i="6"/>
  <c r="L144" i="6"/>
  <c r="H176" i="6"/>
  <c r="N144" i="6"/>
  <c r="K144" i="6" s="1"/>
  <c r="L138" i="6"/>
  <c r="N138" i="6"/>
  <c r="J138" i="6" s="1"/>
  <c r="L155" i="6"/>
  <c r="N155" i="6"/>
  <c r="M155" i="6" s="1"/>
  <c r="I186" i="6"/>
  <c r="I185" i="6"/>
  <c r="L166" i="6"/>
  <c r="N166" i="6"/>
  <c r="J166" i="6" s="1"/>
  <c r="L162" i="6"/>
  <c r="N162" i="6"/>
  <c r="J162" i="6" s="1"/>
  <c r="L158" i="6"/>
  <c r="N158" i="6"/>
  <c r="J158" i="6" s="1"/>
  <c r="L154" i="6"/>
  <c r="N154" i="6"/>
  <c r="J154" i="6" s="1"/>
  <c r="L170" i="6"/>
  <c r="N170" i="6"/>
  <c r="J170" i="6" s="1"/>
  <c r="L171" i="6"/>
  <c r="N171" i="6"/>
  <c r="M171" i="6" s="1"/>
  <c r="M186" i="1"/>
  <c r="M182" i="1"/>
  <c r="M178" i="1"/>
  <c r="M174" i="1"/>
  <c r="L148" i="6"/>
  <c r="N148" i="6"/>
  <c r="M148" i="6" s="1"/>
  <c r="L136" i="6"/>
  <c r="N136" i="6"/>
  <c r="M136" i="6" s="1"/>
  <c r="L163" i="6"/>
  <c r="N163" i="6"/>
  <c r="M163" i="6" s="1"/>
  <c r="L147" i="6"/>
  <c r="N147" i="6"/>
  <c r="M147" i="6" s="1"/>
  <c r="L152" i="6"/>
  <c r="N152" i="6"/>
  <c r="M152" i="6" s="1"/>
  <c r="L169" i="6"/>
  <c r="N169" i="6"/>
  <c r="M169" i="6" s="1"/>
  <c r="L165" i="6"/>
  <c r="N165" i="6"/>
  <c r="M165" i="6" s="1"/>
  <c r="L161" i="6"/>
  <c r="N161" i="6"/>
  <c r="M161" i="6" s="1"/>
  <c r="L157" i="6"/>
  <c r="N157" i="6"/>
  <c r="M157" i="6" s="1"/>
  <c r="L153" i="6"/>
  <c r="N153" i="6"/>
  <c r="M153" i="6" s="1"/>
  <c r="M41" i="1"/>
  <c r="N60" i="1"/>
  <c r="N167" i="1"/>
  <c r="N192" i="1"/>
  <c r="I118" i="6"/>
  <c r="I117" i="6"/>
  <c r="L101" i="6"/>
  <c r="N101" i="6"/>
  <c r="K101" i="6" s="1"/>
  <c r="L97" i="6"/>
  <c r="N97" i="6"/>
  <c r="K97" i="6" s="1"/>
  <c r="L93" i="6"/>
  <c r="N93" i="6"/>
  <c r="L89" i="6"/>
  <c r="N89" i="6"/>
  <c r="K89" i="6" s="1"/>
  <c r="L107" i="6"/>
  <c r="N107" i="6"/>
  <c r="K107" i="6" s="1"/>
  <c r="L115" i="6"/>
  <c r="N115" i="6"/>
  <c r="K115" i="6" s="1"/>
  <c r="L104" i="6"/>
  <c r="N104" i="6"/>
  <c r="J104" i="6" s="1"/>
  <c r="N100" i="6"/>
  <c r="J100" i="6" s="1"/>
  <c r="L100" i="6"/>
  <c r="H119" i="6"/>
  <c r="L96" i="6"/>
  <c r="N96" i="6"/>
  <c r="J96" i="6" s="1"/>
  <c r="N92" i="6"/>
  <c r="L92" i="6"/>
  <c r="L88" i="6"/>
  <c r="N88" i="6"/>
  <c r="L110" i="6"/>
  <c r="N110" i="6"/>
  <c r="M110" i="6" s="1"/>
  <c r="L106" i="6"/>
  <c r="N106" i="6"/>
  <c r="M106" i="6" s="1"/>
  <c r="L103" i="6"/>
  <c r="N103" i="6"/>
  <c r="M103" i="6" s="1"/>
  <c r="L99" i="6"/>
  <c r="N99" i="6"/>
  <c r="L95" i="6"/>
  <c r="N95" i="6"/>
  <c r="M95" i="6" s="1"/>
  <c r="L91" i="6"/>
  <c r="N91" i="6"/>
  <c r="K91" i="6" s="1"/>
  <c r="I119" i="6"/>
  <c r="L105" i="6"/>
  <c r="N105" i="6"/>
  <c r="L109" i="6"/>
  <c r="N109" i="6"/>
  <c r="L112" i="6"/>
  <c r="N112" i="6"/>
  <c r="L113" i="6"/>
  <c r="N113" i="6"/>
  <c r="L87" i="6"/>
  <c r="N87" i="6"/>
  <c r="N102" i="6"/>
  <c r="M102" i="6" s="1"/>
  <c r="L102" i="6"/>
  <c r="L98" i="6"/>
  <c r="N98" i="6"/>
  <c r="M98" i="6" s="1"/>
  <c r="L94" i="6"/>
  <c r="N94" i="6"/>
  <c r="K94" i="6" s="1"/>
  <c r="L90" i="6"/>
  <c r="N90" i="6"/>
  <c r="K90" i="6" s="1"/>
  <c r="K99" i="6"/>
  <c r="L108" i="6"/>
  <c r="N108" i="6"/>
  <c r="J108" i="6" s="1"/>
  <c r="L111" i="6"/>
  <c r="N111" i="6"/>
  <c r="M111" i="6" s="1"/>
  <c r="L114" i="6"/>
  <c r="N114" i="6"/>
  <c r="M114" i="6" s="1"/>
  <c r="N121" i="1"/>
  <c r="M130" i="1"/>
  <c r="N120" i="1"/>
  <c r="K155" i="1"/>
  <c r="M103" i="1"/>
  <c r="M100" i="1"/>
  <c r="M99" i="1"/>
  <c r="M96" i="1"/>
  <c r="M95" i="1"/>
  <c r="N122" i="1"/>
  <c r="M111" i="1"/>
  <c r="N132" i="1"/>
  <c r="M185" i="1"/>
  <c r="M192" i="1" s="1"/>
  <c r="M181" i="1"/>
  <c r="M177" i="1"/>
  <c r="M173" i="1"/>
  <c r="M150" i="1"/>
  <c r="M143" i="1"/>
  <c r="M129" i="1"/>
  <c r="M132" i="1" s="1"/>
  <c r="M106" i="1"/>
  <c r="M98" i="1"/>
  <c r="M117" i="1"/>
  <c r="M113" i="1"/>
  <c r="M109" i="1"/>
  <c r="M101" i="1"/>
  <c r="M118" i="1"/>
  <c r="M114" i="1"/>
  <c r="M110" i="1"/>
  <c r="M102" i="1"/>
  <c r="N59" i="1"/>
  <c r="N33" i="1"/>
  <c r="N58" i="1"/>
  <c r="M90" i="1"/>
  <c r="M86" i="1"/>
  <c r="M82" i="1"/>
  <c r="M78" i="1"/>
  <c r="M74" i="1"/>
  <c r="M84" i="1"/>
  <c r="M80" i="1"/>
  <c r="M76" i="1"/>
  <c r="M56" i="1"/>
  <c r="M52" i="1"/>
  <c r="M48" i="1"/>
  <c r="M44" i="1"/>
  <c r="M40" i="1"/>
  <c r="M42" i="1"/>
  <c r="M16" i="1"/>
  <c r="N16" i="1"/>
  <c r="M30" i="1"/>
  <c r="M26" i="1"/>
  <c r="D70" i="6"/>
  <c r="U66" i="6"/>
  <c r="T69" i="6"/>
  <c r="H69" i="6"/>
  <c r="P69" i="6" s="1"/>
  <c r="H70" i="6"/>
  <c r="P70" i="6" s="1"/>
  <c r="H71" i="6"/>
  <c r="H68" i="6"/>
  <c r="P68" i="6" s="1"/>
  <c r="I65" i="6"/>
  <c r="I66" i="6"/>
  <c r="I67" i="6"/>
  <c r="I68" i="6"/>
  <c r="I69" i="6"/>
  <c r="I70" i="6"/>
  <c r="H67" i="6"/>
  <c r="P67" i="6" s="1"/>
  <c r="U64" i="6"/>
  <c r="T66" i="6"/>
  <c r="D66" i="6"/>
  <c r="D68" i="6"/>
  <c r="D69" i="6"/>
  <c r="U62" i="6"/>
  <c r="T64" i="6"/>
  <c r="U60" i="6"/>
  <c r="T62" i="6"/>
  <c r="D61" i="6"/>
  <c r="D62" i="6"/>
  <c r="D64" i="6"/>
  <c r="D60" i="6"/>
  <c r="U57" i="6"/>
  <c r="T60" i="6"/>
  <c r="H56" i="6"/>
  <c r="P56" i="6" s="1"/>
  <c r="H57" i="6"/>
  <c r="P57" i="6" s="1"/>
  <c r="H58" i="6"/>
  <c r="P58" i="6" s="1"/>
  <c r="H59" i="6"/>
  <c r="P59" i="6" s="1"/>
  <c r="H60" i="6"/>
  <c r="P60" i="6" s="1"/>
  <c r="H61" i="6"/>
  <c r="P61" i="6" s="1"/>
  <c r="H62" i="6"/>
  <c r="P62" i="6" s="1"/>
  <c r="H63" i="6"/>
  <c r="P63" i="6" s="1"/>
  <c r="H64" i="6"/>
  <c r="P64" i="6" s="1"/>
  <c r="H65" i="6"/>
  <c r="P65" i="6" s="1"/>
  <c r="H66" i="6"/>
  <c r="P66" i="6" s="1"/>
  <c r="I55" i="6"/>
  <c r="I56" i="6"/>
  <c r="I57" i="6"/>
  <c r="I58" i="6"/>
  <c r="I59" i="6"/>
  <c r="I60" i="6"/>
  <c r="I61" i="6"/>
  <c r="I62" i="6"/>
  <c r="I63" i="6"/>
  <c r="I64" i="6"/>
  <c r="U54" i="6"/>
  <c r="T57" i="6"/>
  <c r="U51" i="6"/>
  <c r="T54" i="6"/>
  <c r="U48" i="6"/>
  <c r="T51" i="6"/>
  <c r="T48" i="6"/>
  <c r="I48" i="6"/>
  <c r="I49" i="6"/>
  <c r="I50" i="6"/>
  <c r="I51" i="6"/>
  <c r="I52" i="6"/>
  <c r="I53" i="6"/>
  <c r="I54" i="6"/>
  <c r="H48" i="6"/>
  <c r="P48" i="6" s="1"/>
  <c r="H49" i="6"/>
  <c r="P49" i="6" s="1"/>
  <c r="H50" i="6"/>
  <c r="P50" i="6" s="1"/>
  <c r="H51" i="6"/>
  <c r="P51" i="6" s="1"/>
  <c r="H52" i="6"/>
  <c r="P52" i="6" s="1"/>
  <c r="H53" i="6"/>
  <c r="P53" i="6" s="1"/>
  <c r="H54" i="6"/>
  <c r="P54" i="6" s="1"/>
  <c r="H55" i="6"/>
  <c r="P55" i="6" s="1"/>
  <c r="I47" i="6"/>
  <c r="H47" i="6"/>
  <c r="P47" i="6" s="1"/>
  <c r="U25" i="6"/>
  <c r="H29" i="6"/>
  <c r="U23" i="6"/>
  <c r="T25" i="6"/>
  <c r="U20" i="6"/>
  <c r="T23" i="6"/>
  <c r="D22" i="6"/>
  <c r="D23" i="6"/>
  <c r="D24" i="6"/>
  <c r="D25" i="6"/>
  <c r="D26" i="6"/>
  <c r="I26" i="6"/>
  <c r="I27" i="6"/>
  <c r="I28" i="6"/>
  <c r="H21" i="6"/>
  <c r="P21" i="6" s="1"/>
  <c r="H22" i="6"/>
  <c r="P22" i="6" s="1"/>
  <c r="H23" i="6"/>
  <c r="P23" i="6" s="1"/>
  <c r="H24" i="6"/>
  <c r="P24" i="6" s="1"/>
  <c r="H25" i="6"/>
  <c r="P25" i="6" s="1"/>
  <c r="H26" i="6"/>
  <c r="P26" i="6" s="1"/>
  <c r="H27" i="6"/>
  <c r="P27" i="6" s="1"/>
  <c r="H28" i="6"/>
  <c r="P28" i="6" s="1"/>
  <c r="I22" i="6"/>
  <c r="I23" i="6"/>
  <c r="I24" i="6"/>
  <c r="I25" i="6"/>
  <c r="I19" i="6"/>
  <c r="I20" i="6"/>
  <c r="I21" i="6"/>
  <c r="U16" i="6"/>
  <c r="T20" i="6"/>
  <c r="U14" i="6"/>
  <c r="T16" i="6"/>
  <c r="D17" i="6"/>
  <c r="D16" i="6"/>
  <c r="U12" i="6"/>
  <c r="T14" i="6"/>
  <c r="U10" i="6"/>
  <c r="T12" i="6"/>
  <c r="K135" i="6" l="1"/>
  <c r="K151" i="6"/>
  <c r="P72" i="6"/>
  <c r="P73" i="6"/>
  <c r="P74" i="6"/>
  <c r="K140" i="6"/>
  <c r="K159" i="6"/>
  <c r="K145" i="6"/>
  <c r="M123" i="1"/>
  <c r="K172" i="6"/>
  <c r="K137" i="6"/>
  <c r="J157" i="6"/>
  <c r="H72" i="6"/>
  <c r="K168" i="6"/>
  <c r="K141" i="6"/>
  <c r="K143" i="6"/>
  <c r="K114" i="6"/>
  <c r="J147" i="6"/>
  <c r="J145" i="6"/>
  <c r="H77" i="6"/>
  <c r="L122" i="6"/>
  <c r="J164" i="6"/>
  <c r="J137" i="6"/>
  <c r="J95" i="6"/>
  <c r="J163" i="6"/>
  <c r="J136" i="6"/>
  <c r="J144" i="6"/>
  <c r="K167" i="6"/>
  <c r="J139" i="6"/>
  <c r="J149" i="6"/>
  <c r="K103" i="6"/>
  <c r="J161" i="6"/>
  <c r="K149" i="6"/>
  <c r="K139" i="6"/>
  <c r="K152" i="6"/>
  <c r="N127" i="6"/>
  <c r="K161" i="6"/>
  <c r="K160" i="6"/>
  <c r="K171" i="6"/>
  <c r="M120" i="1"/>
  <c r="M122" i="1"/>
  <c r="J111" i="6"/>
  <c r="J165" i="6"/>
  <c r="J152" i="6"/>
  <c r="J171" i="6"/>
  <c r="J156" i="6"/>
  <c r="J160" i="6"/>
  <c r="J114" i="6"/>
  <c r="K110" i="6"/>
  <c r="J87" i="6"/>
  <c r="N122" i="6"/>
  <c r="J88" i="6"/>
  <c r="L123" i="6"/>
  <c r="J153" i="6"/>
  <c r="J169" i="6"/>
  <c r="K157" i="6"/>
  <c r="J148" i="6"/>
  <c r="J186" i="6" s="1"/>
  <c r="K158" i="6"/>
  <c r="M158" i="6"/>
  <c r="K165" i="6"/>
  <c r="J155" i="6"/>
  <c r="M144" i="6"/>
  <c r="N187" i="6"/>
  <c r="N176" i="6"/>
  <c r="M190" i="1"/>
  <c r="L182" i="6"/>
  <c r="J168" i="6"/>
  <c r="K148" i="6"/>
  <c r="L174" i="6"/>
  <c r="L185" i="6"/>
  <c r="J141" i="6"/>
  <c r="N186" i="6"/>
  <c r="M143" i="6"/>
  <c r="M186" i="6" s="1"/>
  <c r="L180" i="6"/>
  <c r="J159" i="6"/>
  <c r="J140" i="6"/>
  <c r="N129" i="6"/>
  <c r="K154" i="6"/>
  <c r="M154" i="6"/>
  <c r="K169" i="6"/>
  <c r="K138" i="6"/>
  <c r="M138" i="6"/>
  <c r="M165" i="1"/>
  <c r="K136" i="6"/>
  <c r="L186" i="6"/>
  <c r="L175" i="6"/>
  <c r="K134" i="6"/>
  <c r="N180" i="6"/>
  <c r="M134" i="6"/>
  <c r="N174" i="6"/>
  <c r="K150" i="6"/>
  <c r="M150" i="6"/>
  <c r="J172" i="6"/>
  <c r="K142" i="6"/>
  <c r="N181" i="6"/>
  <c r="M142" i="6"/>
  <c r="N175" i="6"/>
  <c r="K146" i="6"/>
  <c r="M146" i="6"/>
  <c r="M94" i="6"/>
  <c r="M128" i="6" s="1"/>
  <c r="N128" i="6"/>
  <c r="L127" i="6"/>
  <c r="L129" i="6"/>
  <c r="K170" i="6"/>
  <c r="M170" i="6"/>
  <c r="K166" i="6"/>
  <c r="M166" i="6"/>
  <c r="L187" i="6"/>
  <c r="L176" i="6"/>
  <c r="J134" i="6"/>
  <c r="K155" i="6"/>
  <c r="L181" i="6"/>
  <c r="L47" i="6"/>
  <c r="N47" i="6"/>
  <c r="J47" i="6" s="1"/>
  <c r="L128" i="6"/>
  <c r="N123" i="6"/>
  <c r="M60" i="1"/>
  <c r="K162" i="6"/>
  <c r="M162" i="6"/>
  <c r="K147" i="6"/>
  <c r="K153" i="6"/>
  <c r="M191" i="1"/>
  <c r="M156" i="6"/>
  <c r="N182" i="6"/>
  <c r="K164" i="6"/>
  <c r="N185" i="6"/>
  <c r="M135" i="6"/>
  <c r="J167" i="6"/>
  <c r="K163" i="6"/>
  <c r="J142" i="6"/>
  <c r="J151" i="6"/>
  <c r="J103" i="6"/>
  <c r="K95" i="6"/>
  <c r="J106" i="6"/>
  <c r="J105" i="6"/>
  <c r="M105" i="6"/>
  <c r="K92" i="6"/>
  <c r="M92" i="6"/>
  <c r="M115" i="6"/>
  <c r="J115" i="6"/>
  <c r="H80" i="6"/>
  <c r="J98" i="6"/>
  <c r="K106" i="6"/>
  <c r="L117" i="6"/>
  <c r="J110" i="6"/>
  <c r="K112" i="6"/>
  <c r="M112" i="6"/>
  <c r="M91" i="6"/>
  <c r="J91" i="6"/>
  <c r="M99" i="6"/>
  <c r="J99" i="6"/>
  <c r="M107" i="6"/>
  <c r="J107" i="6"/>
  <c r="J89" i="6"/>
  <c r="M89" i="6"/>
  <c r="J112" i="6"/>
  <c r="J97" i="6"/>
  <c r="M97" i="6"/>
  <c r="I80" i="6"/>
  <c r="I81" i="6"/>
  <c r="H81" i="6"/>
  <c r="K108" i="6"/>
  <c r="M108" i="6"/>
  <c r="M90" i="6"/>
  <c r="J90" i="6"/>
  <c r="K87" i="6"/>
  <c r="K122" i="6" s="1"/>
  <c r="N117" i="6"/>
  <c r="M87" i="6"/>
  <c r="J113" i="6"/>
  <c r="M113" i="6"/>
  <c r="J109" i="6"/>
  <c r="M109" i="6"/>
  <c r="K111" i="6"/>
  <c r="K88" i="6"/>
  <c r="M88" i="6"/>
  <c r="K96" i="6"/>
  <c r="N119" i="6"/>
  <c r="M96" i="6"/>
  <c r="K100" i="6"/>
  <c r="M100" i="6"/>
  <c r="K105" i="6"/>
  <c r="K98" i="6"/>
  <c r="J93" i="6"/>
  <c r="N118" i="6"/>
  <c r="M93" i="6"/>
  <c r="K93" i="6"/>
  <c r="J102" i="6"/>
  <c r="J92" i="6"/>
  <c r="L119" i="6"/>
  <c r="K104" i="6"/>
  <c r="M104" i="6"/>
  <c r="K113" i="6"/>
  <c r="K109" i="6"/>
  <c r="K102" i="6"/>
  <c r="L118" i="6"/>
  <c r="J101" i="6"/>
  <c r="M101" i="6"/>
  <c r="J94" i="6"/>
  <c r="I77" i="6"/>
  <c r="I78" i="6"/>
  <c r="H78" i="6"/>
  <c r="L22" i="6"/>
  <c r="N22" i="6"/>
  <c r="M22" i="6" s="1"/>
  <c r="L49" i="6"/>
  <c r="N49" i="6"/>
  <c r="I72" i="6"/>
  <c r="I73" i="6"/>
  <c r="L64" i="6"/>
  <c r="N64" i="6"/>
  <c r="L60" i="6"/>
  <c r="N60" i="6"/>
  <c r="H73" i="6"/>
  <c r="L56" i="6"/>
  <c r="N56" i="6"/>
  <c r="K56" i="6" s="1"/>
  <c r="L67" i="6"/>
  <c r="N67" i="6"/>
  <c r="J67" i="6" s="1"/>
  <c r="L21" i="6"/>
  <c r="N21" i="6"/>
  <c r="M21" i="6" s="1"/>
  <c r="L28" i="6"/>
  <c r="N28" i="6"/>
  <c r="M28" i="6" s="1"/>
  <c r="L51" i="6"/>
  <c r="N51" i="6"/>
  <c r="J51" i="6" s="1"/>
  <c r="N27" i="6"/>
  <c r="M27" i="6" s="1"/>
  <c r="L27" i="6"/>
  <c r="N23" i="6"/>
  <c r="L23" i="6"/>
  <c r="N54" i="6"/>
  <c r="K54" i="6" s="1"/>
  <c r="L54" i="6"/>
  <c r="L50" i="6"/>
  <c r="N50" i="6"/>
  <c r="K50" i="6" s="1"/>
  <c r="N65" i="6"/>
  <c r="M65" i="6" s="1"/>
  <c r="L65" i="6"/>
  <c r="N61" i="6"/>
  <c r="L61" i="6"/>
  <c r="L57" i="6"/>
  <c r="N57" i="6"/>
  <c r="M57" i="6" s="1"/>
  <c r="N68" i="6"/>
  <c r="L68" i="6"/>
  <c r="L53" i="6"/>
  <c r="N53" i="6"/>
  <c r="M53" i="6" s="1"/>
  <c r="N48" i="6"/>
  <c r="L48" i="6"/>
  <c r="I74" i="6"/>
  <c r="N63" i="6"/>
  <c r="J63" i="6" s="1"/>
  <c r="H74" i="6"/>
  <c r="L63" i="6"/>
  <c r="L59" i="6"/>
  <c r="N59" i="6"/>
  <c r="J59" i="6" s="1"/>
  <c r="N70" i="6"/>
  <c r="K70" i="6" s="1"/>
  <c r="L70" i="6"/>
  <c r="N26" i="6"/>
  <c r="M26" i="6" s="1"/>
  <c r="L26" i="6"/>
  <c r="L25" i="6"/>
  <c r="N25" i="6"/>
  <c r="M25" i="6" s="1"/>
  <c r="L52" i="6"/>
  <c r="N52" i="6"/>
  <c r="N24" i="6"/>
  <c r="M24" i="6" s="1"/>
  <c r="L24" i="6"/>
  <c r="N55" i="6"/>
  <c r="L55" i="6"/>
  <c r="N66" i="6"/>
  <c r="L66" i="6"/>
  <c r="N62" i="6"/>
  <c r="L62" i="6"/>
  <c r="N58" i="6"/>
  <c r="K58" i="6" s="1"/>
  <c r="L58" i="6"/>
  <c r="N69" i="6"/>
  <c r="M69" i="6" s="1"/>
  <c r="L69" i="6"/>
  <c r="M121" i="1"/>
  <c r="M59" i="1"/>
  <c r="M33" i="1"/>
  <c r="M58" i="1"/>
  <c r="U7" i="6"/>
  <c r="T10" i="6"/>
  <c r="T7" i="6"/>
  <c r="I7" i="6"/>
  <c r="I8" i="6"/>
  <c r="I9" i="6"/>
  <c r="I10" i="6"/>
  <c r="I11" i="6"/>
  <c r="I12" i="6"/>
  <c r="I13" i="6"/>
  <c r="I14" i="6"/>
  <c r="I15" i="6"/>
  <c r="I16" i="6"/>
  <c r="I36" i="6" s="1"/>
  <c r="I17" i="6"/>
  <c r="I41" i="6" s="1"/>
  <c r="I18" i="6"/>
  <c r="H7" i="6"/>
  <c r="P7" i="6" s="1"/>
  <c r="H8" i="6"/>
  <c r="P8" i="6" s="1"/>
  <c r="H9" i="6"/>
  <c r="P9" i="6" s="1"/>
  <c r="H10" i="6"/>
  <c r="P10" i="6" s="1"/>
  <c r="H11" i="6"/>
  <c r="P11" i="6" s="1"/>
  <c r="H12" i="6"/>
  <c r="P12" i="6" s="1"/>
  <c r="H13" i="6"/>
  <c r="P13" i="6" s="1"/>
  <c r="H14" i="6"/>
  <c r="P14" i="6" s="1"/>
  <c r="H15" i="6"/>
  <c r="P15" i="6" s="1"/>
  <c r="H16" i="6"/>
  <c r="P16" i="6" s="1"/>
  <c r="H17" i="6"/>
  <c r="H18" i="6"/>
  <c r="H19" i="6"/>
  <c r="P19" i="6" s="1"/>
  <c r="H20" i="6"/>
  <c r="P20" i="6" s="1"/>
  <c r="I6" i="6"/>
  <c r="H6" i="6"/>
  <c r="P6" i="6" s="1"/>
  <c r="J128" i="6" l="1"/>
  <c r="M185" i="6"/>
  <c r="P30" i="6"/>
  <c r="H33" i="6"/>
  <c r="P18" i="6"/>
  <c r="H41" i="6"/>
  <c r="P17" i="6"/>
  <c r="P31" i="6" s="1"/>
  <c r="I42" i="6"/>
  <c r="I33" i="6"/>
  <c r="J182" i="6"/>
  <c r="J185" i="6"/>
  <c r="K185" i="6"/>
  <c r="K127" i="6"/>
  <c r="J176" i="6"/>
  <c r="K186" i="6"/>
  <c r="M182" i="6"/>
  <c r="K65" i="6"/>
  <c r="D32" i="6"/>
  <c r="H30" i="6"/>
  <c r="H36" i="6"/>
  <c r="D33" i="6"/>
  <c r="H31" i="6"/>
  <c r="K128" i="6"/>
  <c r="M122" i="6"/>
  <c r="J187" i="6"/>
  <c r="J129" i="6"/>
  <c r="K182" i="6"/>
  <c r="M123" i="6"/>
  <c r="M176" i="6"/>
  <c r="K180" i="6"/>
  <c r="K174" i="6"/>
  <c r="I40" i="6"/>
  <c r="K129" i="6"/>
  <c r="K176" i="6"/>
  <c r="K181" i="6"/>
  <c r="K175" i="6"/>
  <c r="J127" i="6"/>
  <c r="H35" i="6"/>
  <c r="I35" i="6"/>
  <c r="H40" i="6"/>
  <c r="L6" i="6"/>
  <c r="N6" i="6"/>
  <c r="H42" i="6"/>
  <c r="L81" i="6"/>
  <c r="J123" i="6"/>
  <c r="M127" i="6"/>
  <c r="J119" i="6"/>
  <c r="K47" i="6"/>
  <c r="M47" i="6"/>
  <c r="M180" i="6"/>
  <c r="M174" i="6"/>
  <c r="M187" i="6"/>
  <c r="M23" i="6"/>
  <c r="K123" i="6"/>
  <c r="M129" i="6"/>
  <c r="J181" i="6"/>
  <c r="J175" i="6"/>
  <c r="J180" i="6"/>
  <c r="J174" i="6"/>
  <c r="M181" i="6"/>
  <c r="M175" i="6"/>
  <c r="K187" i="6"/>
  <c r="J122" i="6"/>
  <c r="K27" i="6"/>
  <c r="J27" i="6"/>
  <c r="L74" i="6"/>
  <c r="L77" i="6"/>
  <c r="J26" i="6"/>
  <c r="J117" i="6"/>
  <c r="K119" i="6"/>
  <c r="M117" i="6"/>
  <c r="M61" i="6"/>
  <c r="M81" i="6" s="1"/>
  <c r="N81" i="6"/>
  <c r="J65" i="6"/>
  <c r="J74" i="6" s="1"/>
  <c r="M118" i="6"/>
  <c r="M49" i="6"/>
  <c r="N80" i="6"/>
  <c r="J118" i="6"/>
  <c r="L80" i="6"/>
  <c r="K118" i="6"/>
  <c r="M119" i="6"/>
  <c r="K117" i="6"/>
  <c r="K48" i="6"/>
  <c r="N77" i="6"/>
  <c r="J28" i="6"/>
  <c r="N78" i="6"/>
  <c r="J57" i="6"/>
  <c r="K61" i="6"/>
  <c r="L78" i="6"/>
  <c r="J69" i="6"/>
  <c r="K69" i="6"/>
  <c r="J25" i="6"/>
  <c r="J21" i="6"/>
  <c r="N15" i="6"/>
  <c r="M15" i="6" s="1"/>
  <c r="L15" i="6"/>
  <c r="J68" i="6"/>
  <c r="M68" i="6"/>
  <c r="L13" i="6"/>
  <c r="N13" i="6"/>
  <c r="M13" i="6" s="1"/>
  <c r="L9" i="6"/>
  <c r="N9" i="6"/>
  <c r="M9" i="6" s="1"/>
  <c r="J66" i="6"/>
  <c r="M66" i="6"/>
  <c r="L20" i="6"/>
  <c r="N20" i="6"/>
  <c r="L16" i="6"/>
  <c r="L36" i="6" s="1"/>
  <c r="N16" i="6"/>
  <c r="N12" i="6"/>
  <c r="M12" i="6" s="1"/>
  <c r="L12" i="6"/>
  <c r="L8" i="6"/>
  <c r="N8" i="6"/>
  <c r="M8" i="6" s="1"/>
  <c r="I31" i="6"/>
  <c r="K55" i="6"/>
  <c r="M55" i="6"/>
  <c r="J52" i="6"/>
  <c r="M52" i="6"/>
  <c r="J53" i="6"/>
  <c r="K57" i="6"/>
  <c r="J50" i="6"/>
  <c r="M50" i="6"/>
  <c r="K21" i="6"/>
  <c r="K51" i="6"/>
  <c r="M51" i="6"/>
  <c r="J64" i="6"/>
  <c r="M64" i="6"/>
  <c r="K64" i="6"/>
  <c r="J49" i="6"/>
  <c r="J22" i="6"/>
  <c r="N11" i="6"/>
  <c r="M11" i="6" s="1"/>
  <c r="L11" i="6"/>
  <c r="I30" i="6"/>
  <c r="J62" i="6"/>
  <c r="M62" i="6"/>
  <c r="L72" i="6"/>
  <c r="K62" i="6"/>
  <c r="K67" i="6"/>
  <c r="M67" i="6"/>
  <c r="N18" i="6"/>
  <c r="N33" i="6" s="1"/>
  <c r="H32" i="6"/>
  <c r="L18" i="6"/>
  <c r="L33" i="6" s="1"/>
  <c r="N14" i="6"/>
  <c r="M14" i="6" s="1"/>
  <c r="L14" i="6"/>
  <c r="L10" i="6"/>
  <c r="N10" i="6"/>
  <c r="M10" i="6" s="1"/>
  <c r="I32" i="6"/>
  <c r="J55" i="6"/>
  <c r="J24" i="6"/>
  <c r="J70" i="6"/>
  <c r="M70" i="6"/>
  <c r="K59" i="6"/>
  <c r="M59" i="6"/>
  <c r="J48" i="6"/>
  <c r="M48" i="6"/>
  <c r="N72" i="6"/>
  <c r="K68" i="6"/>
  <c r="J61" i="6"/>
  <c r="K49" i="6"/>
  <c r="J23" i="6"/>
  <c r="K28" i="6"/>
  <c r="K25" i="6"/>
  <c r="K22" i="6"/>
  <c r="J60" i="6"/>
  <c r="N73" i="6"/>
  <c r="M60" i="6"/>
  <c r="K60" i="6"/>
  <c r="N19" i="6"/>
  <c r="J19" i="6" s="1"/>
  <c r="L19" i="6"/>
  <c r="N7" i="6"/>
  <c r="L7" i="6"/>
  <c r="L17" i="6"/>
  <c r="L41" i="6" s="1"/>
  <c r="N17" i="6"/>
  <c r="J58" i="6"/>
  <c r="M58" i="6"/>
  <c r="K66" i="6"/>
  <c r="K63" i="6"/>
  <c r="N74" i="6"/>
  <c r="M63" i="6"/>
  <c r="K53" i="6"/>
  <c r="J54" i="6"/>
  <c r="M54" i="6"/>
  <c r="K24" i="6"/>
  <c r="J56" i="6"/>
  <c r="M56" i="6"/>
  <c r="L73" i="6"/>
  <c r="K52" i="6"/>
  <c r="K26" i="6"/>
  <c r="K23" i="6"/>
  <c r="I109" i="5"/>
  <c r="H110" i="5"/>
  <c r="H109" i="5"/>
  <c r="I107" i="5"/>
  <c r="I108" i="5"/>
  <c r="H108" i="5"/>
  <c r="H107" i="5"/>
  <c r="D104" i="5"/>
  <c r="D102" i="5"/>
  <c r="D100" i="5"/>
  <c r="D99" i="5"/>
  <c r="D97" i="5"/>
  <c r="I97" i="5"/>
  <c r="I98" i="5"/>
  <c r="I99" i="5"/>
  <c r="I100" i="5"/>
  <c r="I101" i="5"/>
  <c r="I102" i="5"/>
  <c r="I103" i="5"/>
  <c r="I104" i="5"/>
  <c r="I105" i="5"/>
  <c r="I106" i="5"/>
  <c r="H97" i="5"/>
  <c r="H98" i="5"/>
  <c r="H99" i="5"/>
  <c r="H100" i="5"/>
  <c r="H101" i="5"/>
  <c r="H102" i="5"/>
  <c r="H103" i="5"/>
  <c r="H104" i="5"/>
  <c r="H105" i="5"/>
  <c r="H106" i="5"/>
  <c r="D95" i="5"/>
  <c r="D94" i="5"/>
  <c r="D92" i="5"/>
  <c r="I87" i="5"/>
  <c r="I88" i="5"/>
  <c r="I89" i="5"/>
  <c r="I90" i="5"/>
  <c r="I91" i="5"/>
  <c r="I92" i="5"/>
  <c r="I93" i="5"/>
  <c r="I94" i="5"/>
  <c r="I95" i="5"/>
  <c r="I96" i="5"/>
  <c r="H87" i="5"/>
  <c r="H88" i="5"/>
  <c r="H89" i="5"/>
  <c r="H90" i="5"/>
  <c r="H91" i="5"/>
  <c r="H92" i="5"/>
  <c r="H93" i="5"/>
  <c r="H94" i="5"/>
  <c r="H95" i="5"/>
  <c r="H96" i="5"/>
  <c r="I86" i="5"/>
  <c r="H86" i="5"/>
  <c r="D78" i="5"/>
  <c r="I71" i="5"/>
  <c r="I72" i="5"/>
  <c r="I73" i="5"/>
  <c r="I74" i="5"/>
  <c r="I75" i="5"/>
  <c r="I76" i="5"/>
  <c r="I77" i="5"/>
  <c r="H73" i="5"/>
  <c r="H74" i="5"/>
  <c r="H75" i="5"/>
  <c r="H76" i="5"/>
  <c r="H77" i="5"/>
  <c r="H78" i="5"/>
  <c r="D66" i="5"/>
  <c r="D68" i="5"/>
  <c r="D70" i="5"/>
  <c r="D71" i="5"/>
  <c r="D72" i="5"/>
  <c r="D73" i="5"/>
  <c r="D65" i="5"/>
  <c r="I59" i="5"/>
  <c r="I60" i="5"/>
  <c r="I61" i="5"/>
  <c r="I62" i="5"/>
  <c r="I63" i="5"/>
  <c r="I64" i="5"/>
  <c r="I65" i="5"/>
  <c r="I66" i="5"/>
  <c r="I67" i="5"/>
  <c r="I68" i="5"/>
  <c r="I69" i="5"/>
  <c r="I70" i="5"/>
  <c r="H59" i="5"/>
  <c r="H60" i="5"/>
  <c r="H61" i="5"/>
  <c r="H62" i="5"/>
  <c r="H63" i="5"/>
  <c r="H64" i="5"/>
  <c r="H65" i="5"/>
  <c r="H66" i="5"/>
  <c r="H67" i="5"/>
  <c r="H68" i="5"/>
  <c r="H69" i="5"/>
  <c r="H70" i="5"/>
  <c r="H71" i="5"/>
  <c r="H72" i="5"/>
  <c r="I58" i="5"/>
  <c r="H58" i="5"/>
  <c r="D38" i="5"/>
  <c r="D39" i="5"/>
  <c r="D41" i="5"/>
  <c r="D43" i="5"/>
  <c r="D45" i="5"/>
  <c r="D37" i="5"/>
  <c r="I32" i="5"/>
  <c r="I33" i="5"/>
  <c r="I34" i="5"/>
  <c r="I35" i="5"/>
  <c r="I36" i="5"/>
  <c r="I37" i="5"/>
  <c r="I38" i="5"/>
  <c r="I39" i="5"/>
  <c r="I40" i="5"/>
  <c r="I41" i="5"/>
  <c r="I42" i="5"/>
  <c r="I43" i="5"/>
  <c r="I44" i="5"/>
  <c r="I45" i="5"/>
  <c r="I46" i="5"/>
  <c r="I47" i="5"/>
  <c r="I48" i="5"/>
  <c r="H32" i="5"/>
  <c r="H33" i="5"/>
  <c r="H34" i="5"/>
  <c r="H35" i="5"/>
  <c r="H36" i="5"/>
  <c r="H37" i="5"/>
  <c r="H38" i="5"/>
  <c r="H39" i="5"/>
  <c r="H40" i="5"/>
  <c r="H41" i="5"/>
  <c r="H42" i="5"/>
  <c r="H43" i="5"/>
  <c r="H44" i="5"/>
  <c r="H45" i="5"/>
  <c r="H46" i="5"/>
  <c r="H47" i="5"/>
  <c r="H48" i="5"/>
  <c r="H49" i="5"/>
  <c r="I31" i="5"/>
  <c r="H31" i="5"/>
  <c r="D21" i="5"/>
  <c r="D12" i="5"/>
  <c r="D13" i="5"/>
  <c r="D14" i="5"/>
  <c r="D11" i="5"/>
  <c r="D10" i="5"/>
  <c r="I7" i="5"/>
  <c r="I8" i="5"/>
  <c r="I9" i="5"/>
  <c r="I10" i="5"/>
  <c r="I11" i="5"/>
  <c r="I12" i="5"/>
  <c r="I13" i="5"/>
  <c r="I14" i="5"/>
  <c r="I15" i="5"/>
  <c r="I16" i="5"/>
  <c r="I17" i="5"/>
  <c r="I18" i="5"/>
  <c r="I19" i="5"/>
  <c r="I20" i="5"/>
  <c r="H7" i="5"/>
  <c r="H8" i="5"/>
  <c r="H9" i="5"/>
  <c r="H10" i="5"/>
  <c r="H11" i="5"/>
  <c r="H12" i="5"/>
  <c r="H13" i="5"/>
  <c r="H14" i="5"/>
  <c r="H15" i="5"/>
  <c r="H16" i="5"/>
  <c r="H17" i="5"/>
  <c r="H18" i="5"/>
  <c r="H19" i="5"/>
  <c r="H20" i="5"/>
  <c r="H21" i="5"/>
  <c r="I6" i="5"/>
  <c r="H6" i="5"/>
  <c r="P32" i="6" l="1"/>
  <c r="P33" i="6"/>
  <c r="K16" i="6"/>
  <c r="K36" i="6" s="1"/>
  <c r="N31" i="6"/>
  <c r="N30" i="6"/>
  <c r="L35" i="6"/>
  <c r="I80" i="5"/>
  <c r="H25" i="5"/>
  <c r="L15" i="5"/>
  <c r="N15" i="5"/>
  <c r="J15" i="5" s="1"/>
  <c r="L7" i="5"/>
  <c r="N7" i="5"/>
  <c r="M7" i="5" s="1"/>
  <c r="I24" i="5"/>
  <c r="N48" i="5"/>
  <c r="K48" i="5" s="1"/>
  <c r="L48" i="5"/>
  <c r="L44" i="5"/>
  <c r="N44" i="5"/>
  <c r="K44" i="5" s="1"/>
  <c r="L40" i="5"/>
  <c r="H53" i="5"/>
  <c r="N40" i="5"/>
  <c r="K40" i="5" s="1"/>
  <c r="L36" i="5"/>
  <c r="N36" i="5"/>
  <c r="K36" i="5" s="1"/>
  <c r="L32" i="5"/>
  <c r="N32" i="5"/>
  <c r="K32" i="5" s="1"/>
  <c r="I52" i="5"/>
  <c r="H80" i="5"/>
  <c r="N58" i="5"/>
  <c r="L58" i="5"/>
  <c r="N70" i="5"/>
  <c r="J70" i="5" s="1"/>
  <c r="L70" i="5"/>
  <c r="N66" i="5"/>
  <c r="L66" i="5"/>
  <c r="N62" i="5"/>
  <c r="J62" i="5" s="1"/>
  <c r="L62" i="5"/>
  <c r="L77" i="5"/>
  <c r="N77" i="5"/>
  <c r="M77" i="5" s="1"/>
  <c r="L73" i="5"/>
  <c r="N73" i="5"/>
  <c r="M73" i="5" s="1"/>
  <c r="L95" i="5"/>
  <c r="N95" i="5"/>
  <c r="K95" i="5" s="1"/>
  <c r="L91" i="5"/>
  <c r="N91" i="5"/>
  <c r="K91" i="5" s="1"/>
  <c r="N87" i="5"/>
  <c r="K87" i="5" s="1"/>
  <c r="L87" i="5"/>
  <c r="I114" i="5"/>
  <c r="N104" i="5"/>
  <c r="K104" i="5" s="1"/>
  <c r="L104" i="5"/>
  <c r="N100" i="5"/>
  <c r="K100" i="5" s="1"/>
  <c r="L100" i="5"/>
  <c r="L108" i="5"/>
  <c r="N108" i="5"/>
  <c r="M108" i="5" s="1"/>
  <c r="N42" i="6"/>
  <c r="N40" i="6"/>
  <c r="M6" i="6"/>
  <c r="M40" i="6" s="1"/>
  <c r="N14" i="5"/>
  <c r="M14" i="5" s="1"/>
  <c r="L14" i="5"/>
  <c r="H51" i="5"/>
  <c r="N31" i="5"/>
  <c r="J31" i="5" s="1"/>
  <c r="L31" i="5"/>
  <c r="H81" i="5"/>
  <c r="L65" i="5"/>
  <c r="N65" i="5"/>
  <c r="K65" i="5" s="1"/>
  <c r="N94" i="5"/>
  <c r="J94" i="5" s="1"/>
  <c r="L94" i="5"/>
  <c r="L40" i="6"/>
  <c r="L6" i="5"/>
  <c r="H23" i="5"/>
  <c r="N6" i="5"/>
  <c r="J6" i="5" s="1"/>
  <c r="L11" i="5"/>
  <c r="N11" i="5"/>
  <c r="M11" i="5" s="1"/>
  <c r="L18" i="5"/>
  <c r="N18" i="5"/>
  <c r="M18" i="5" s="1"/>
  <c r="L10" i="5"/>
  <c r="N10" i="5"/>
  <c r="M10" i="5" s="1"/>
  <c r="L47" i="5"/>
  <c r="N47" i="5"/>
  <c r="K47" i="5" s="1"/>
  <c r="L43" i="5"/>
  <c r="N43" i="5"/>
  <c r="K43" i="5" s="1"/>
  <c r="N39" i="5"/>
  <c r="K39" i="5" s="1"/>
  <c r="L39" i="5"/>
  <c r="N35" i="5"/>
  <c r="K35" i="5" s="1"/>
  <c r="L35" i="5"/>
  <c r="I53" i="5"/>
  <c r="L69" i="5"/>
  <c r="N69" i="5"/>
  <c r="M69" i="5" s="1"/>
  <c r="L61" i="5"/>
  <c r="N61" i="5"/>
  <c r="M61" i="5" s="1"/>
  <c r="I81" i="5"/>
  <c r="N76" i="5"/>
  <c r="M76" i="5" s="1"/>
  <c r="L76" i="5"/>
  <c r="H112" i="5"/>
  <c r="N86" i="5"/>
  <c r="J86" i="5" s="1"/>
  <c r="L86" i="5"/>
  <c r="N90" i="5"/>
  <c r="J90" i="5" s="1"/>
  <c r="L90" i="5"/>
  <c r="I113" i="5"/>
  <c r="N103" i="5"/>
  <c r="K103" i="5" s="1"/>
  <c r="L103" i="5"/>
  <c r="L99" i="5"/>
  <c r="N99" i="5"/>
  <c r="K99" i="5" s="1"/>
  <c r="L17" i="5"/>
  <c r="N17" i="5"/>
  <c r="M17" i="5" s="1"/>
  <c r="L13" i="5"/>
  <c r="H24" i="5"/>
  <c r="N13" i="5"/>
  <c r="K13" i="5" s="1"/>
  <c r="L9" i="5"/>
  <c r="N9" i="5"/>
  <c r="M9" i="5" s="1"/>
  <c r="I25" i="5"/>
  <c r="I51" i="5"/>
  <c r="L46" i="5"/>
  <c r="N46" i="5"/>
  <c r="M46" i="5" s="1"/>
  <c r="N42" i="5"/>
  <c r="M42" i="5" s="1"/>
  <c r="L42" i="5"/>
  <c r="N38" i="5"/>
  <c r="K38" i="5" s="1"/>
  <c r="L38" i="5"/>
  <c r="N34" i="5"/>
  <c r="K34" i="5" s="1"/>
  <c r="L34" i="5"/>
  <c r="N72" i="5"/>
  <c r="M72" i="5" s="1"/>
  <c r="L72" i="5"/>
  <c r="N68" i="5"/>
  <c r="M68" i="5" s="1"/>
  <c r="L68" i="5"/>
  <c r="N64" i="5"/>
  <c r="M64" i="5" s="1"/>
  <c r="L64" i="5"/>
  <c r="N60" i="5"/>
  <c r="M60" i="5" s="1"/>
  <c r="L60" i="5"/>
  <c r="K64" i="5"/>
  <c r="N75" i="5"/>
  <c r="K75" i="5" s="1"/>
  <c r="L75" i="5"/>
  <c r="K76" i="5"/>
  <c r="I112" i="5"/>
  <c r="H114" i="5"/>
  <c r="L93" i="5"/>
  <c r="N93" i="5"/>
  <c r="L89" i="5"/>
  <c r="N89" i="5"/>
  <c r="M89" i="5" s="1"/>
  <c r="N106" i="5"/>
  <c r="L106" i="5"/>
  <c r="L102" i="5"/>
  <c r="N102" i="5"/>
  <c r="J102" i="5" s="1"/>
  <c r="L98" i="5"/>
  <c r="N98" i="5"/>
  <c r="J98" i="5" s="1"/>
  <c r="M17" i="6"/>
  <c r="M41" i="6" s="1"/>
  <c r="N41" i="6"/>
  <c r="K7" i="6"/>
  <c r="N35" i="6"/>
  <c r="L42" i="6"/>
  <c r="N36" i="6"/>
  <c r="K6" i="6"/>
  <c r="L19" i="5"/>
  <c r="N19" i="5"/>
  <c r="M19" i="5" s="1"/>
  <c r="I23" i="5"/>
  <c r="L20" i="5"/>
  <c r="N20" i="5"/>
  <c r="M20" i="5" s="1"/>
  <c r="L16" i="5"/>
  <c r="N16" i="5"/>
  <c r="M16" i="5" s="1"/>
  <c r="L12" i="5"/>
  <c r="N12" i="5"/>
  <c r="M12" i="5" s="1"/>
  <c r="L8" i="5"/>
  <c r="N8" i="5"/>
  <c r="M8" i="5" s="1"/>
  <c r="N45" i="5"/>
  <c r="M45" i="5" s="1"/>
  <c r="L45" i="5"/>
  <c r="L41" i="5"/>
  <c r="N41" i="5"/>
  <c r="M41" i="5" s="1"/>
  <c r="L37" i="5"/>
  <c r="H52" i="5"/>
  <c r="N37" i="5"/>
  <c r="L33" i="5"/>
  <c r="N33" i="5"/>
  <c r="N71" i="5"/>
  <c r="K71" i="5" s="1"/>
  <c r="L71" i="5"/>
  <c r="N67" i="5"/>
  <c r="H82" i="5"/>
  <c r="L67" i="5"/>
  <c r="N63" i="5"/>
  <c r="L63" i="5"/>
  <c r="N59" i="5"/>
  <c r="L59" i="5"/>
  <c r="I82" i="5"/>
  <c r="K67" i="5"/>
  <c r="K59" i="5"/>
  <c r="N78" i="5"/>
  <c r="J78" i="5" s="1"/>
  <c r="L78" i="5"/>
  <c r="N74" i="5"/>
  <c r="J74" i="5" s="1"/>
  <c r="L74" i="5"/>
  <c r="L96" i="5"/>
  <c r="N96" i="5"/>
  <c r="K96" i="5" s="1"/>
  <c r="L92" i="5"/>
  <c r="H113" i="5"/>
  <c r="N92" i="5"/>
  <c r="K92" i="5" s="1"/>
  <c r="N88" i="5"/>
  <c r="L88" i="5"/>
  <c r="L105" i="5"/>
  <c r="N105" i="5"/>
  <c r="M105" i="5" s="1"/>
  <c r="L101" i="5"/>
  <c r="N101" i="5"/>
  <c r="M101" i="5" s="1"/>
  <c r="N97" i="5"/>
  <c r="M97" i="5" s="1"/>
  <c r="L97" i="5"/>
  <c r="N107" i="5"/>
  <c r="K107" i="5" s="1"/>
  <c r="L107" i="5"/>
  <c r="N109" i="5"/>
  <c r="M109" i="5" s="1"/>
  <c r="L109" i="5"/>
  <c r="J6" i="6"/>
  <c r="K13" i="6"/>
  <c r="K80" i="6"/>
  <c r="M74" i="6"/>
  <c r="J81" i="6"/>
  <c r="K8" i="6"/>
  <c r="J8" i="6"/>
  <c r="J17" i="6"/>
  <c r="J41" i="6" s="1"/>
  <c r="J80" i="6"/>
  <c r="K12" i="6"/>
  <c r="K81" i="6"/>
  <c r="M80" i="6"/>
  <c r="J78" i="6"/>
  <c r="M73" i="6"/>
  <c r="M78" i="6"/>
  <c r="J77" i="6"/>
  <c r="K74" i="6"/>
  <c r="L30" i="6"/>
  <c r="K78" i="6"/>
  <c r="M77" i="6"/>
  <c r="K10" i="6"/>
  <c r="K77" i="6"/>
  <c r="J15" i="6"/>
  <c r="K72" i="6"/>
  <c r="K15" i="6"/>
  <c r="J13" i="6"/>
  <c r="J11" i="6"/>
  <c r="J7" i="6"/>
  <c r="K73" i="6"/>
  <c r="M72" i="6"/>
  <c r="J14" i="6"/>
  <c r="K11" i="6"/>
  <c r="N32" i="6"/>
  <c r="M18" i="6"/>
  <c r="M33" i="6" s="1"/>
  <c r="M16" i="6"/>
  <c r="M20" i="6"/>
  <c r="K20" i="6"/>
  <c r="J10" i="6"/>
  <c r="L32" i="6"/>
  <c r="L31" i="6"/>
  <c r="K9" i="6"/>
  <c r="J9" i="6"/>
  <c r="J72" i="6"/>
  <c r="K14" i="6"/>
  <c r="M7" i="6"/>
  <c r="M19" i="6"/>
  <c r="K19" i="6"/>
  <c r="J73" i="6"/>
  <c r="K18" i="6"/>
  <c r="K33" i="6" s="1"/>
  <c r="J18" i="6"/>
  <c r="J12" i="6"/>
  <c r="J16" i="6"/>
  <c r="J36" i="6" s="1"/>
  <c r="J20" i="6"/>
  <c r="K17" i="6"/>
  <c r="U137" i="4"/>
  <c r="U134" i="4"/>
  <c r="U126" i="4"/>
  <c r="U121" i="4"/>
  <c r="T140" i="4"/>
  <c r="T137" i="4"/>
  <c r="T134" i="4"/>
  <c r="T126" i="4"/>
  <c r="T121" i="4"/>
  <c r="H146" i="4"/>
  <c r="H145" i="4"/>
  <c r="H144" i="4"/>
  <c r="H143" i="4"/>
  <c r="I142" i="4"/>
  <c r="I143" i="4"/>
  <c r="I144" i="4"/>
  <c r="I145" i="4"/>
  <c r="H142" i="4"/>
  <c r="H141" i="4"/>
  <c r="H140" i="4"/>
  <c r="I139" i="4"/>
  <c r="I140" i="4"/>
  <c r="I141" i="4"/>
  <c r="H139" i="4"/>
  <c r="D138" i="4"/>
  <c r="D140" i="4"/>
  <c r="D141" i="4"/>
  <c r="D142" i="4"/>
  <c r="D143" i="4"/>
  <c r="D144" i="4"/>
  <c r="D137" i="4"/>
  <c r="D130" i="4"/>
  <c r="D131" i="4"/>
  <c r="D132" i="4"/>
  <c r="K86" i="5" l="1"/>
  <c r="M31" i="6"/>
  <c r="K10" i="5"/>
  <c r="K6" i="5"/>
  <c r="K69" i="5"/>
  <c r="K42" i="5"/>
  <c r="J42" i="6"/>
  <c r="J33" i="6"/>
  <c r="J19" i="5"/>
  <c r="J69" i="5"/>
  <c r="K73" i="5"/>
  <c r="K18" i="5"/>
  <c r="K15" i="5"/>
  <c r="J73" i="5"/>
  <c r="J101" i="5"/>
  <c r="K11" i="5"/>
  <c r="K14" i="5"/>
  <c r="K24" i="5" s="1"/>
  <c r="J17" i="5"/>
  <c r="K7" i="5"/>
  <c r="L24" i="5"/>
  <c r="K72" i="5"/>
  <c r="K60" i="5"/>
  <c r="J46" i="5"/>
  <c r="K108" i="5"/>
  <c r="J108" i="5"/>
  <c r="J16" i="5"/>
  <c r="J9" i="5"/>
  <c r="J13" i="5"/>
  <c r="K46" i="5"/>
  <c r="J11" i="5"/>
  <c r="J97" i="5"/>
  <c r="J12" i="5"/>
  <c r="K68" i="5"/>
  <c r="J72" i="5"/>
  <c r="J40" i="6"/>
  <c r="J68" i="5"/>
  <c r="J76" i="5"/>
  <c r="J77" i="5"/>
  <c r="N143" i="4"/>
  <c r="M143" i="4" s="1"/>
  <c r="L143" i="4"/>
  <c r="L140" i="4"/>
  <c r="N140" i="4"/>
  <c r="M140" i="4" s="1"/>
  <c r="L144" i="4"/>
  <c r="N144" i="4"/>
  <c r="M144" i="4" s="1"/>
  <c r="M36" i="6"/>
  <c r="L82" i="5"/>
  <c r="K143" i="4"/>
  <c r="L145" i="4"/>
  <c r="N145" i="4"/>
  <c r="K42" i="6"/>
  <c r="M30" i="6"/>
  <c r="M35" i="6"/>
  <c r="J109" i="5"/>
  <c r="L113" i="5"/>
  <c r="J59" i="5"/>
  <c r="M59" i="5"/>
  <c r="J33" i="5"/>
  <c r="M33" i="5"/>
  <c r="J45" i="5"/>
  <c r="N142" i="4"/>
  <c r="K142" i="4" s="1"/>
  <c r="L142" i="4"/>
  <c r="M42" i="6"/>
  <c r="J105" i="5"/>
  <c r="J88" i="5"/>
  <c r="M88" i="5"/>
  <c r="J96" i="5"/>
  <c r="M96" i="5"/>
  <c r="J67" i="5"/>
  <c r="N82" i="5"/>
  <c r="M67" i="5"/>
  <c r="J41" i="5"/>
  <c r="J20" i="5"/>
  <c r="J93" i="5"/>
  <c r="N114" i="5"/>
  <c r="M93" i="5"/>
  <c r="J75" i="5"/>
  <c r="M75" i="5"/>
  <c r="J60" i="5"/>
  <c r="J42" i="5"/>
  <c r="K90" i="5"/>
  <c r="M90" i="5"/>
  <c r="J61" i="5"/>
  <c r="J35" i="5"/>
  <c r="M35" i="5"/>
  <c r="K12" i="5"/>
  <c r="J10" i="5"/>
  <c r="K109" i="5"/>
  <c r="K88" i="5"/>
  <c r="K77" i="5"/>
  <c r="J14" i="5"/>
  <c r="J104" i="5"/>
  <c r="M104" i="5"/>
  <c r="J95" i="5"/>
  <c r="M95" i="5"/>
  <c r="K70" i="5"/>
  <c r="M70" i="5"/>
  <c r="K41" i="5"/>
  <c r="J36" i="5"/>
  <c r="M36" i="5"/>
  <c r="L53" i="5"/>
  <c r="J48" i="5"/>
  <c r="M48" i="5"/>
  <c r="K17" i="5"/>
  <c r="N25" i="5"/>
  <c r="M15" i="5"/>
  <c r="M25" i="5" s="1"/>
  <c r="J92" i="5"/>
  <c r="N113" i="5"/>
  <c r="M92" i="5"/>
  <c r="K78" i="5"/>
  <c r="M78" i="5"/>
  <c r="J63" i="5"/>
  <c r="M63" i="5"/>
  <c r="J37" i="5"/>
  <c r="N52" i="5"/>
  <c r="M37" i="5"/>
  <c r="K102" i="5"/>
  <c r="M102" i="5"/>
  <c r="K106" i="5"/>
  <c r="M106" i="5"/>
  <c r="J89" i="5"/>
  <c r="L114" i="5"/>
  <c r="J34" i="5"/>
  <c r="M34" i="5"/>
  <c r="L112" i="5"/>
  <c r="J47" i="5"/>
  <c r="M47" i="5"/>
  <c r="K20" i="5"/>
  <c r="K61" i="5"/>
  <c r="K89" i="5"/>
  <c r="J87" i="5"/>
  <c r="M87" i="5"/>
  <c r="K66" i="5"/>
  <c r="M66" i="5"/>
  <c r="L80" i="5"/>
  <c r="K33" i="5"/>
  <c r="K45" i="5"/>
  <c r="J44" i="5"/>
  <c r="M44" i="5"/>
  <c r="K9" i="5"/>
  <c r="L25" i="5"/>
  <c r="K74" i="5"/>
  <c r="M74" i="5"/>
  <c r="J71" i="5"/>
  <c r="M71" i="5"/>
  <c r="K40" i="6"/>
  <c r="K35" i="6"/>
  <c r="K98" i="5"/>
  <c r="M98" i="5"/>
  <c r="K105" i="5"/>
  <c r="J103" i="5"/>
  <c r="M103" i="5"/>
  <c r="J39" i="5"/>
  <c r="M39" i="5"/>
  <c r="L23" i="5"/>
  <c r="K97" i="5"/>
  <c r="J65" i="5"/>
  <c r="N81" i="5"/>
  <c r="M65" i="5"/>
  <c r="L51" i="5"/>
  <c r="K16" i="5"/>
  <c r="J100" i="5"/>
  <c r="M100" i="5"/>
  <c r="K93" i="5"/>
  <c r="J91" i="5"/>
  <c r="M91" i="5"/>
  <c r="K62" i="5"/>
  <c r="M62" i="5"/>
  <c r="K58" i="5"/>
  <c r="N80" i="5"/>
  <c r="M58" i="5"/>
  <c r="K37" i="5"/>
  <c r="J32" i="5"/>
  <c r="M32" i="5"/>
  <c r="J40" i="5"/>
  <c r="N53" i="5"/>
  <c r="M40" i="5"/>
  <c r="N139" i="4"/>
  <c r="M139" i="4" s="1"/>
  <c r="L139" i="4"/>
  <c r="K31" i="6"/>
  <c r="K41" i="6"/>
  <c r="J35" i="6"/>
  <c r="L141" i="4"/>
  <c r="N141" i="4"/>
  <c r="J141" i="4" s="1"/>
  <c r="J107" i="5"/>
  <c r="M107" i="5"/>
  <c r="K63" i="5"/>
  <c r="L52" i="5"/>
  <c r="J8" i="5"/>
  <c r="J106" i="5"/>
  <c r="J64" i="5"/>
  <c r="J38" i="5"/>
  <c r="M38" i="5"/>
  <c r="K19" i="5"/>
  <c r="M13" i="5"/>
  <c r="M24" i="5" s="1"/>
  <c r="N24" i="5"/>
  <c r="J99" i="5"/>
  <c r="M99" i="5"/>
  <c r="N112" i="5"/>
  <c r="M86" i="5"/>
  <c r="J43" i="5"/>
  <c r="M43" i="5"/>
  <c r="K8" i="5"/>
  <c r="J18" i="5"/>
  <c r="N23" i="5"/>
  <c r="M6" i="5"/>
  <c r="M23" i="5" s="1"/>
  <c r="K101" i="5"/>
  <c r="K94" i="5"/>
  <c r="M94" i="5"/>
  <c r="L81" i="5"/>
  <c r="K31" i="5"/>
  <c r="N51" i="5"/>
  <c r="M31" i="5"/>
  <c r="J66" i="5"/>
  <c r="J58" i="5"/>
  <c r="J7" i="5"/>
  <c r="J31" i="6"/>
  <c r="K30" i="6"/>
  <c r="J32" i="6"/>
  <c r="M32" i="6"/>
  <c r="K32" i="6"/>
  <c r="J30" i="6"/>
  <c r="D129" i="4"/>
  <c r="H130" i="4"/>
  <c r="H131" i="4"/>
  <c r="H132" i="4"/>
  <c r="H133" i="4"/>
  <c r="H134" i="4"/>
  <c r="H135" i="4"/>
  <c r="H136" i="4"/>
  <c r="H137" i="4"/>
  <c r="H138" i="4"/>
  <c r="I122" i="4"/>
  <c r="I123" i="4"/>
  <c r="I124" i="4"/>
  <c r="I125" i="4"/>
  <c r="I126" i="4"/>
  <c r="I127" i="4"/>
  <c r="I128" i="4"/>
  <c r="I129" i="4"/>
  <c r="I130" i="4"/>
  <c r="I131" i="4"/>
  <c r="I132" i="4"/>
  <c r="I133" i="4"/>
  <c r="I134" i="4"/>
  <c r="I135" i="4"/>
  <c r="I136" i="4"/>
  <c r="I137" i="4"/>
  <c r="I138" i="4"/>
  <c r="H122" i="4"/>
  <c r="H123" i="4"/>
  <c r="H124" i="4"/>
  <c r="H125" i="4"/>
  <c r="H126" i="4"/>
  <c r="H127" i="4"/>
  <c r="H128" i="4"/>
  <c r="H129" i="4"/>
  <c r="I121" i="4"/>
  <c r="H121" i="4"/>
  <c r="H108" i="4"/>
  <c r="H109" i="4"/>
  <c r="I107" i="4"/>
  <c r="I108" i="4"/>
  <c r="H107" i="4"/>
  <c r="H106" i="4"/>
  <c r="D107" i="4"/>
  <c r="D109" i="4"/>
  <c r="D101" i="4"/>
  <c r="D103" i="4"/>
  <c r="D104" i="4"/>
  <c r="D105" i="4"/>
  <c r="D100" i="4"/>
  <c r="I95" i="4"/>
  <c r="I96" i="4"/>
  <c r="I97" i="4"/>
  <c r="I98" i="4"/>
  <c r="I99" i="4"/>
  <c r="I100" i="4"/>
  <c r="I101" i="4"/>
  <c r="I102" i="4"/>
  <c r="I103" i="4"/>
  <c r="I104" i="4"/>
  <c r="I105" i="4"/>
  <c r="I106" i="4"/>
  <c r="H95" i="4"/>
  <c r="H96" i="4"/>
  <c r="H97" i="4"/>
  <c r="H98" i="4"/>
  <c r="H99" i="4"/>
  <c r="H100" i="4"/>
  <c r="H101" i="4"/>
  <c r="H102" i="4"/>
  <c r="H103" i="4"/>
  <c r="H104" i="4"/>
  <c r="H105" i="4"/>
  <c r="I94" i="4"/>
  <c r="H94" i="4"/>
  <c r="I67" i="4"/>
  <c r="I68" i="4"/>
  <c r="I69" i="4"/>
  <c r="I70" i="4"/>
  <c r="I71" i="4"/>
  <c r="I72" i="4"/>
  <c r="H67" i="4"/>
  <c r="P67" i="4" s="1"/>
  <c r="H68" i="4"/>
  <c r="P68" i="4" s="1"/>
  <c r="H69" i="4"/>
  <c r="P69" i="4" s="1"/>
  <c r="H70" i="4"/>
  <c r="P70" i="4" s="1"/>
  <c r="H71" i="4"/>
  <c r="P71" i="4" s="1"/>
  <c r="H72" i="4"/>
  <c r="P72" i="4" s="1"/>
  <c r="H73" i="4"/>
  <c r="D67" i="4"/>
  <c r="D68" i="4"/>
  <c r="I64" i="4"/>
  <c r="I65" i="4"/>
  <c r="I66" i="4"/>
  <c r="H64" i="4"/>
  <c r="P64" i="4" s="1"/>
  <c r="H65" i="4"/>
  <c r="P65" i="4" s="1"/>
  <c r="H66" i="4"/>
  <c r="P66" i="4" s="1"/>
  <c r="D58" i="4"/>
  <c r="I55" i="4"/>
  <c r="I56" i="4"/>
  <c r="I57" i="4"/>
  <c r="I58" i="4"/>
  <c r="I59" i="4"/>
  <c r="I60" i="4"/>
  <c r="I61" i="4"/>
  <c r="I62" i="4"/>
  <c r="I63" i="4"/>
  <c r="H55" i="4"/>
  <c r="P55" i="4" s="1"/>
  <c r="H56" i="4"/>
  <c r="P56" i="4" s="1"/>
  <c r="H57" i="4"/>
  <c r="P57" i="4" s="1"/>
  <c r="H58" i="4"/>
  <c r="P58" i="4" s="1"/>
  <c r="H59" i="4"/>
  <c r="P59" i="4" s="1"/>
  <c r="H60" i="4"/>
  <c r="P60" i="4" s="1"/>
  <c r="H61" i="4"/>
  <c r="P61" i="4" s="1"/>
  <c r="H62" i="4"/>
  <c r="P62" i="4" s="1"/>
  <c r="H63" i="4"/>
  <c r="P63" i="4" s="1"/>
  <c r="I54" i="4"/>
  <c r="H54" i="4"/>
  <c r="P54" i="4" s="1"/>
  <c r="D53" i="4"/>
  <c r="D54" i="4"/>
  <c r="D56" i="4"/>
  <c r="D52" i="4"/>
  <c r="I42" i="4"/>
  <c r="I43" i="4"/>
  <c r="I44" i="4"/>
  <c r="I45" i="4"/>
  <c r="I46" i="4"/>
  <c r="I47" i="4"/>
  <c r="I48" i="4"/>
  <c r="I49" i="4"/>
  <c r="I50" i="4"/>
  <c r="I51" i="4"/>
  <c r="I52" i="4"/>
  <c r="I53" i="4"/>
  <c r="H42" i="4"/>
  <c r="P42" i="4" s="1"/>
  <c r="H43" i="4"/>
  <c r="P43" i="4" s="1"/>
  <c r="H44" i="4"/>
  <c r="P44" i="4" s="1"/>
  <c r="H45" i="4"/>
  <c r="P45" i="4" s="1"/>
  <c r="H46" i="4"/>
  <c r="P46" i="4" s="1"/>
  <c r="H47" i="4"/>
  <c r="P47" i="4" s="1"/>
  <c r="H48" i="4"/>
  <c r="P48" i="4" s="1"/>
  <c r="H49" i="4"/>
  <c r="P49" i="4" s="1"/>
  <c r="H50" i="4"/>
  <c r="P50" i="4" s="1"/>
  <c r="H51" i="4"/>
  <c r="P51" i="4" s="1"/>
  <c r="H52" i="4"/>
  <c r="P52" i="4" s="1"/>
  <c r="H53" i="4"/>
  <c r="P53" i="4" s="1"/>
  <c r="I41" i="4"/>
  <c r="H41" i="4"/>
  <c r="P41" i="4" s="1"/>
  <c r="H31" i="4"/>
  <c r="H30" i="4"/>
  <c r="P30" i="4" s="1"/>
  <c r="H29" i="4"/>
  <c r="P29" i="4" s="1"/>
  <c r="I30" i="4"/>
  <c r="I28" i="4"/>
  <c r="I29" i="4"/>
  <c r="H28" i="4"/>
  <c r="P28" i="4" s="1"/>
  <c r="D20" i="4"/>
  <c r="D21" i="4"/>
  <c r="D22" i="4"/>
  <c r="D23" i="4"/>
  <c r="D24" i="4"/>
  <c r="D25" i="4"/>
  <c r="D26" i="4"/>
  <c r="D19" i="4"/>
  <c r="H17" i="4"/>
  <c r="P17" i="4" s="1"/>
  <c r="H18" i="4"/>
  <c r="P18" i="4" s="1"/>
  <c r="H19" i="4"/>
  <c r="P19" i="4" s="1"/>
  <c r="H20" i="4"/>
  <c r="P20" i="4" s="1"/>
  <c r="H21" i="4"/>
  <c r="P21" i="4" s="1"/>
  <c r="H22" i="4"/>
  <c r="P22" i="4" s="1"/>
  <c r="H23" i="4"/>
  <c r="P23" i="4" s="1"/>
  <c r="H24" i="4"/>
  <c r="P24" i="4" s="1"/>
  <c r="H25" i="4"/>
  <c r="P25" i="4" s="1"/>
  <c r="H26" i="4"/>
  <c r="P26" i="4" s="1"/>
  <c r="H27" i="4"/>
  <c r="P27" i="4" s="1"/>
  <c r="I7" i="4"/>
  <c r="I8" i="4"/>
  <c r="I9" i="4"/>
  <c r="I10" i="4"/>
  <c r="I11" i="4"/>
  <c r="I12" i="4"/>
  <c r="I13" i="4"/>
  <c r="I14" i="4"/>
  <c r="I15" i="4"/>
  <c r="I16" i="4"/>
  <c r="I17" i="4"/>
  <c r="I18" i="4"/>
  <c r="I19" i="4"/>
  <c r="I20" i="4"/>
  <c r="I21" i="4"/>
  <c r="I22" i="4"/>
  <c r="I23" i="4"/>
  <c r="I24" i="4"/>
  <c r="I25" i="4"/>
  <c r="I26" i="4"/>
  <c r="I27" i="4"/>
  <c r="H7" i="4"/>
  <c r="P7" i="4" s="1"/>
  <c r="H8" i="4"/>
  <c r="P8" i="4" s="1"/>
  <c r="H9" i="4"/>
  <c r="P9" i="4" s="1"/>
  <c r="H10" i="4"/>
  <c r="P10" i="4" s="1"/>
  <c r="H11" i="4"/>
  <c r="P11" i="4" s="1"/>
  <c r="H12" i="4"/>
  <c r="P12" i="4" s="1"/>
  <c r="H13" i="4"/>
  <c r="P13" i="4" s="1"/>
  <c r="H14" i="4"/>
  <c r="P14" i="4" s="1"/>
  <c r="H15" i="4"/>
  <c r="P15" i="4" s="1"/>
  <c r="H16" i="4"/>
  <c r="P16" i="4" s="1"/>
  <c r="I6" i="4"/>
  <c r="H6" i="4"/>
  <c r="P6" i="4" s="1"/>
  <c r="K53" i="5" l="1"/>
  <c r="P33" i="4"/>
  <c r="P35" i="4"/>
  <c r="P76" i="4"/>
  <c r="P75" i="4"/>
  <c r="P77" i="4"/>
  <c r="P34" i="4"/>
  <c r="J24" i="5"/>
  <c r="M53" i="5"/>
  <c r="J53" i="5"/>
  <c r="J23" i="5"/>
  <c r="K112" i="5"/>
  <c r="K81" i="5"/>
  <c r="J25" i="5"/>
  <c r="J51" i="5"/>
  <c r="J80" i="5"/>
  <c r="K51" i="5"/>
  <c r="K23" i="5"/>
  <c r="K144" i="4"/>
  <c r="H116" i="4"/>
  <c r="H113" i="4"/>
  <c r="M81" i="5"/>
  <c r="H33" i="4"/>
  <c r="H36" i="4"/>
  <c r="I75" i="4"/>
  <c r="K113" i="5"/>
  <c r="M112" i="5"/>
  <c r="J112" i="5"/>
  <c r="H115" i="4"/>
  <c r="H112" i="4"/>
  <c r="H34" i="4"/>
  <c r="H37" i="4"/>
  <c r="K52" i="5"/>
  <c r="K82" i="5"/>
  <c r="K140" i="4"/>
  <c r="M51" i="5"/>
  <c r="K25" i="5"/>
  <c r="N105" i="4"/>
  <c r="M105" i="4" s="1"/>
  <c r="L105" i="4"/>
  <c r="L101" i="4"/>
  <c r="N101" i="4"/>
  <c r="M101" i="4" s="1"/>
  <c r="L97" i="4"/>
  <c r="N97" i="4"/>
  <c r="M97" i="4" s="1"/>
  <c r="H76" i="4"/>
  <c r="N104" i="4"/>
  <c r="K104" i="4" s="1"/>
  <c r="L104" i="4"/>
  <c r="N100" i="4"/>
  <c r="K100" i="4" s="1"/>
  <c r="L100" i="4"/>
  <c r="N96" i="4"/>
  <c r="K96" i="4" s="1"/>
  <c r="L96" i="4"/>
  <c r="I113" i="4"/>
  <c r="H75" i="4"/>
  <c r="H77" i="4"/>
  <c r="L94" i="4"/>
  <c r="N94" i="4"/>
  <c r="N103" i="4"/>
  <c r="L103" i="4"/>
  <c r="N99" i="4"/>
  <c r="L99" i="4"/>
  <c r="N95" i="4"/>
  <c r="K95" i="4" s="1"/>
  <c r="L95" i="4"/>
  <c r="K99" i="4"/>
  <c r="L106" i="4"/>
  <c r="N106" i="4"/>
  <c r="J106" i="4" s="1"/>
  <c r="L129" i="4"/>
  <c r="H149" i="4"/>
  <c r="N129" i="4"/>
  <c r="J129" i="4" s="1"/>
  <c r="L125" i="4"/>
  <c r="N125" i="4"/>
  <c r="N135" i="4"/>
  <c r="M135" i="4" s="1"/>
  <c r="L135" i="4"/>
  <c r="N131" i="4"/>
  <c r="M131" i="4" s="1"/>
  <c r="L131" i="4"/>
  <c r="J139" i="4"/>
  <c r="M113" i="5"/>
  <c r="J114" i="5"/>
  <c r="K145" i="4"/>
  <c r="M145" i="4"/>
  <c r="J140" i="4"/>
  <c r="I77" i="4"/>
  <c r="I112" i="4"/>
  <c r="L102" i="4"/>
  <c r="N102" i="4"/>
  <c r="J102" i="4" s="1"/>
  <c r="L98" i="4"/>
  <c r="N98" i="4"/>
  <c r="J98" i="4" s="1"/>
  <c r="H114" i="4"/>
  <c r="L107" i="4"/>
  <c r="N107" i="4"/>
  <c r="K107" i="4" s="1"/>
  <c r="L108" i="4"/>
  <c r="N108" i="4"/>
  <c r="L128" i="4"/>
  <c r="N128" i="4"/>
  <c r="M128" i="4" s="1"/>
  <c r="L124" i="4"/>
  <c r="N124" i="4"/>
  <c r="M124" i="4" s="1"/>
  <c r="I150" i="4"/>
  <c r="I149" i="4"/>
  <c r="N138" i="4"/>
  <c r="L138" i="4"/>
  <c r="N134" i="4"/>
  <c r="K134" i="4" s="1"/>
  <c r="L134" i="4"/>
  <c r="N130" i="4"/>
  <c r="L130" i="4"/>
  <c r="K80" i="5"/>
  <c r="J81" i="5"/>
  <c r="M52" i="5"/>
  <c r="J82" i="5"/>
  <c r="J144" i="4"/>
  <c r="H148" i="4"/>
  <c r="N121" i="4"/>
  <c r="K121" i="4" s="1"/>
  <c r="L121" i="4"/>
  <c r="N127" i="4"/>
  <c r="M127" i="4" s="1"/>
  <c r="L127" i="4"/>
  <c r="N123" i="4"/>
  <c r="M123" i="4" s="1"/>
  <c r="L123" i="4"/>
  <c r="L137" i="4"/>
  <c r="N137" i="4"/>
  <c r="J137" i="4" s="1"/>
  <c r="L133" i="4"/>
  <c r="N133" i="4"/>
  <c r="J133" i="4" s="1"/>
  <c r="H150" i="4"/>
  <c r="K114" i="5"/>
  <c r="J113" i="5"/>
  <c r="M114" i="5"/>
  <c r="I76" i="4"/>
  <c r="I114" i="4"/>
  <c r="I148" i="4"/>
  <c r="N126" i="4"/>
  <c r="L126" i="4"/>
  <c r="N122" i="4"/>
  <c r="L122" i="4"/>
  <c r="L136" i="4"/>
  <c r="N136" i="4"/>
  <c r="K136" i="4" s="1"/>
  <c r="L132" i="4"/>
  <c r="N132" i="4"/>
  <c r="M132" i="4" s="1"/>
  <c r="K141" i="4"/>
  <c r="M141" i="4"/>
  <c r="K139" i="4"/>
  <c r="M80" i="5"/>
  <c r="J52" i="5"/>
  <c r="M82" i="5"/>
  <c r="J142" i="4"/>
  <c r="M142" i="4"/>
  <c r="J145" i="4"/>
  <c r="J143" i="4"/>
  <c r="N6" i="4"/>
  <c r="M6" i="4" s="1"/>
  <c r="L6" i="4"/>
  <c r="L19" i="4"/>
  <c r="N19" i="4"/>
  <c r="K19" i="4" s="1"/>
  <c r="L30" i="4"/>
  <c r="N30" i="4"/>
  <c r="M30" i="4" s="1"/>
  <c r="L14" i="4"/>
  <c r="N14" i="4"/>
  <c r="M14" i="4" s="1"/>
  <c r="L10" i="4"/>
  <c r="N10" i="4"/>
  <c r="M10" i="4" s="1"/>
  <c r="I35" i="4"/>
  <c r="I34" i="4"/>
  <c r="I33" i="4"/>
  <c r="N24" i="4"/>
  <c r="M24" i="4" s="1"/>
  <c r="L24" i="4"/>
  <c r="N20" i="4"/>
  <c r="M20" i="4" s="1"/>
  <c r="L20" i="4"/>
  <c r="N28" i="4"/>
  <c r="M28" i="4" s="1"/>
  <c r="L28" i="4"/>
  <c r="N29" i="4"/>
  <c r="M29" i="4" s="1"/>
  <c r="L29" i="4"/>
  <c r="L50" i="4"/>
  <c r="N50" i="4"/>
  <c r="K50" i="4" s="1"/>
  <c r="L46" i="4"/>
  <c r="N46" i="4"/>
  <c r="K46" i="4" s="1"/>
  <c r="L42" i="4"/>
  <c r="N42" i="4"/>
  <c r="K42" i="4" s="1"/>
  <c r="L62" i="4"/>
  <c r="N62" i="4"/>
  <c r="K62" i="4" s="1"/>
  <c r="L58" i="4"/>
  <c r="N58" i="4"/>
  <c r="K58" i="4" s="1"/>
  <c r="N64" i="4"/>
  <c r="K64" i="4" s="1"/>
  <c r="L64" i="4"/>
  <c r="N71" i="4"/>
  <c r="M71" i="4" s="1"/>
  <c r="L71" i="4"/>
  <c r="N67" i="4"/>
  <c r="M67" i="4" s="1"/>
  <c r="L67" i="4"/>
  <c r="N13" i="4"/>
  <c r="M13" i="4" s="1"/>
  <c r="L13" i="4"/>
  <c r="H35" i="4"/>
  <c r="L27" i="4"/>
  <c r="N27" i="4"/>
  <c r="J27" i="4" s="1"/>
  <c r="L53" i="4"/>
  <c r="N53" i="4"/>
  <c r="J53" i="4" s="1"/>
  <c r="N49" i="4"/>
  <c r="L49" i="4"/>
  <c r="N45" i="4"/>
  <c r="J45" i="4" s="1"/>
  <c r="L45" i="4"/>
  <c r="L54" i="4"/>
  <c r="N54" i="4"/>
  <c r="K54" i="4" s="1"/>
  <c r="N61" i="4"/>
  <c r="L61" i="4"/>
  <c r="N57" i="4"/>
  <c r="J57" i="4" s="1"/>
  <c r="L57" i="4"/>
  <c r="L70" i="4"/>
  <c r="N70" i="4"/>
  <c r="K70" i="4" s="1"/>
  <c r="N16" i="4"/>
  <c r="M16" i="4" s="1"/>
  <c r="L16" i="4"/>
  <c r="N12" i="4"/>
  <c r="M12" i="4" s="1"/>
  <c r="L12" i="4"/>
  <c r="N8" i="4"/>
  <c r="M8" i="4" s="1"/>
  <c r="L8" i="4"/>
  <c r="L26" i="4"/>
  <c r="N26" i="4"/>
  <c r="M26" i="4" s="1"/>
  <c r="L22" i="4"/>
  <c r="N22" i="4"/>
  <c r="M22" i="4" s="1"/>
  <c r="L18" i="4"/>
  <c r="N18" i="4"/>
  <c r="M18" i="4" s="1"/>
  <c r="N52" i="4"/>
  <c r="L52" i="4"/>
  <c r="L48" i="4"/>
  <c r="N48" i="4"/>
  <c r="M48" i="4" s="1"/>
  <c r="L44" i="4"/>
  <c r="N44" i="4"/>
  <c r="M44" i="4" s="1"/>
  <c r="N60" i="4"/>
  <c r="M60" i="4" s="1"/>
  <c r="L60" i="4"/>
  <c r="L56" i="4"/>
  <c r="N56" i="4"/>
  <c r="K56" i="4" s="1"/>
  <c r="L66" i="4"/>
  <c r="N66" i="4"/>
  <c r="K66" i="4" s="1"/>
  <c r="L69" i="4"/>
  <c r="N69" i="4"/>
  <c r="N9" i="4"/>
  <c r="M9" i="4" s="1"/>
  <c r="L9" i="4"/>
  <c r="L23" i="4"/>
  <c r="N23" i="4"/>
  <c r="M23" i="4" s="1"/>
  <c r="L15" i="4"/>
  <c r="N15" i="4"/>
  <c r="M15" i="4" s="1"/>
  <c r="L11" i="4"/>
  <c r="N11" i="4"/>
  <c r="M11" i="4" s="1"/>
  <c r="L7" i="4"/>
  <c r="N7" i="4"/>
  <c r="N25" i="4"/>
  <c r="M25" i="4" s="1"/>
  <c r="L25" i="4"/>
  <c r="N21" i="4"/>
  <c r="M21" i="4" s="1"/>
  <c r="L21" i="4"/>
  <c r="N17" i="4"/>
  <c r="M17" i="4" s="1"/>
  <c r="L17" i="4"/>
  <c r="L41" i="4"/>
  <c r="N41" i="4"/>
  <c r="L51" i="4"/>
  <c r="N51" i="4"/>
  <c r="M51" i="4" s="1"/>
  <c r="L47" i="4"/>
  <c r="N47" i="4"/>
  <c r="K47" i="4" s="1"/>
  <c r="L43" i="4"/>
  <c r="N43" i="4"/>
  <c r="K43" i="4" s="1"/>
  <c r="L63" i="4"/>
  <c r="N63" i="4"/>
  <c r="M63" i="4" s="1"/>
  <c r="N59" i="4"/>
  <c r="M59" i="4" s="1"/>
  <c r="L59" i="4"/>
  <c r="N55" i="4"/>
  <c r="L55" i="4"/>
  <c r="L65" i="4"/>
  <c r="N65" i="4"/>
  <c r="K65" i="4" s="1"/>
  <c r="N72" i="4"/>
  <c r="L72" i="4"/>
  <c r="L68" i="4"/>
  <c r="N68" i="4"/>
  <c r="K68" i="4" s="1"/>
  <c r="H26" i="3"/>
  <c r="D25" i="3"/>
  <c r="H25" i="3"/>
  <c r="P25" i="3" s="1"/>
  <c r="I24" i="3"/>
  <c r="I25" i="3"/>
  <c r="H24" i="3"/>
  <c r="P24" i="3" s="1"/>
  <c r="H23" i="3"/>
  <c r="P23" i="3" s="1"/>
  <c r="I21" i="3"/>
  <c r="I22" i="3"/>
  <c r="I23" i="3"/>
  <c r="H22" i="3"/>
  <c r="P22" i="3" s="1"/>
  <c r="H21" i="3"/>
  <c r="P21" i="3" s="1"/>
  <c r="D21" i="3"/>
  <c r="D22" i="3"/>
  <c r="H20" i="3"/>
  <c r="P20" i="3" s="1"/>
  <c r="I18" i="3"/>
  <c r="I19" i="3"/>
  <c r="I20" i="3"/>
  <c r="D12" i="3"/>
  <c r="D13" i="3"/>
  <c r="D15" i="3"/>
  <c r="D16" i="3"/>
  <c r="D17" i="3"/>
  <c r="D19" i="3"/>
  <c r="D11" i="3"/>
  <c r="H19" i="3"/>
  <c r="P19" i="3" s="1"/>
  <c r="H18" i="3"/>
  <c r="P18" i="3" s="1"/>
  <c r="I17" i="3"/>
  <c r="H17" i="3"/>
  <c r="P17" i="3" s="1"/>
  <c r="I16" i="3"/>
  <c r="H16" i="3"/>
  <c r="P16" i="3" s="1"/>
  <c r="I15" i="3"/>
  <c r="H15" i="3"/>
  <c r="P15" i="3" s="1"/>
  <c r="I14" i="3"/>
  <c r="H14" i="3"/>
  <c r="I13" i="3"/>
  <c r="H13" i="3"/>
  <c r="P13" i="3" s="1"/>
  <c r="I12" i="3"/>
  <c r="H12" i="3"/>
  <c r="P12" i="3" s="1"/>
  <c r="I11" i="3"/>
  <c r="H11" i="3"/>
  <c r="P11" i="3" s="1"/>
  <c r="I10" i="3"/>
  <c r="H10" i="3"/>
  <c r="P10" i="3" s="1"/>
  <c r="I9" i="3"/>
  <c r="H9" i="3"/>
  <c r="P9" i="3" s="1"/>
  <c r="I8" i="3"/>
  <c r="H8" i="3"/>
  <c r="P8" i="3" s="1"/>
  <c r="I7" i="3"/>
  <c r="H7" i="3"/>
  <c r="P7" i="3" s="1"/>
  <c r="I6" i="3"/>
  <c r="H6" i="3"/>
  <c r="P6" i="3" s="1"/>
  <c r="P28" i="3" l="1"/>
  <c r="K131" i="4"/>
  <c r="H31" i="3"/>
  <c r="P14" i="3"/>
  <c r="P29" i="3"/>
  <c r="K135" i="4"/>
  <c r="I31" i="3"/>
  <c r="K24" i="4"/>
  <c r="K101" i="4"/>
  <c r="K105" i="4"/>
  <c r="K7" i="4"/>
  <c r="N33" i="4"/>
  <c r="K30" i="4"/>
  <c r="K28" i="4"/>
  <c r="K123" i="4"/>
  <c r="K124" i="4"/>
  <c r="K97" i="4"/>
  <c r="L76" i="4"/>
  <c r="J128" i="4"/>
  <c r="J101" i="4"/>
  <c r="K128" i="4"/>
  <c r="K8" i="4"/>
  <c r="J123" i="4"/>
  <c r="J105" i="4"/>
  <c r="I29" i="3"/>
  <c r="L21" i="3"/>
  <c r="N21" i="3"/>
  <c r="M21" i="3" s="1"/>
  <c r="M55" i="4"/>
  <c r="N77" i="4"/>
  <c r="N75" i="4"/>
  <c r="K133" i="4"/>
  <c r="N150" i="4"/>
  <c r="M133" i="4"/>
  <c r="J127" i="4"/>
  <c r="L148" i="4"/>
  <c r="J130" i="4"/>
  <c r="M130" i="4"/>
  <c r="J138" i="4"/>
  <c r="M138" i="4"/>
  <c r="L114" i="4"/>
  <c r="J131" i="4"/>
  <c r="K130" i="4"/>
  <c r="K125" i="4"/>
  <c r="M125" i="4"/>
  <c r="L112" i="4"/>
  <c r="J96" i="4"/>
  <c r="M96" i="4"/>
  <c r="H28" i="3"/>
  <c r="L6" i="3"/>
  <c r="N6" i="3"/>
  <c r="J6" i="3" s="1"/>
  <c r="L8" i="3"/>
  <c r="N8" i="3"/>
  <c r="M8" i="3" s="1"/>
  <c r="L10" i="3"/>
  <c r="N10" i="3"/>
  <c r="M10" i="3" s="1"/>
  <c r="L12" i="3"/>
  <c r="N12" i="3"/>
  <c r="M12" i="3" s="1"/>
  <c r="H30" i="3"/>
  <c r="L14" i="3"/>
  <c r="N14" i="3"/>
  <c r="L16" i="3"/>
  <c r="N16" i="3"/>
  <c r="M16" i="3" s="1"/>
  <c r="L18" i="3"/>
  <c r="N18" i="3"/>
  <c r="M18" i="3" s="1"/>
  <c r="L20" i="3"/>
  <c r="N20" i="3"/>
  <c r="M20" i="3" s="1"/>
  <c r="L22" i="3"/>
  <c r="N22" i="3"/>
  <c r="M22" i="3" s="1"/>
  <c r="L23" i="3"/>
  <c r="N23" i="3"/>
  <c r="M23" i="3" s="1"/>
  <c r="L25" i="3"/>
  <c r="N25" i="3"/>
  <c r="M25" i="3" s="1"/>
  <c r="L75" i="4"/>
  <c r="K6" i="4"/>
  <c r="K127" i="4"/>
  <c r="J122" i="4"/>
  <c r="M122" i="4"/>
  <c r="L150" i="4"/>
  <c r="M121" i="4"/>
  <c r="N148" i="4"/>
  <c r="J108" i="4"/>
  <c r="M108" i="4"/>
  <c r="L149" i="4"/>
  <c r="J95" i="4"/>
  <c r="M95" i="4"/>
  <c r="J103" i="4"/>
  <c r="M103" i="4"/>
  <c r="L113" i="4"/>
  <c r="J104" i="4"/>
  <c r="M104" i="4"/>
  <c r="I28" i="3"/>
  <c r="I30" i="3"/>
  <c r="J136" i="4"/>
  <c r="M136" i="4"/>
  <c r="J134" i="4"/>
  <c r="M134" i="4"/>
  <c r="K102" i="4"/>
  <c r="M102" i="4"/>
  <c r="K122" i="4"/>
  <c r="K138" i="4"/>
  <c r="K94" i="4"/>
  <c r="N112" i="4"/>
  <c r="M94" i="4"/>
  <c r="L19" i="3"/>
  <c r="N19" i="3"/>
  <c r="M19" i="3" s="1"/>
  <c r="L24" i="3"/>
  <c r="N24" i="3"/>
  <c r="M24" i="3" s="1"/>
  <c r="L7" i="3"/>
  <c r="N7" i="3"/>
  <c r="M7" i="3" s="1"/>
  <c r="L9" i="3"/>
  <c r="N9" i="3"/>
  <c r="M9" i="3" s="1"/>
  <c r="L11" i="3"/>
  <c r="N11" i="3"/>
  <c r="M11" i="3" s="1"/>
  <c r="L13" i="3"/>
  <c r="N13" i="3"/>
  <c r="M13" i="3" s="1"/>
  <c r="L15" i="3"/>
  <c r="N15" i="3"/>
  <c r="K15" i="3" s="1"/>
  <c r="H29" i="3"/>
  <c r="L17" i="3"/>
  <c r="N17" i="3"/>
  <c r="M17" i="3" s="1"/>
  <c r="L77" i="4"/>
  <c r="M52" i="4"/>
  <c r="N76" i="4"/>
  <c r="K13" i="4"/>
  <c r="J6" i="4"/>
  <c r="J132" i="4"/>
  <c r="J126" i="4"/>
  <c r="M126" i="4"/>
  <c r="K137" i="4"/>
  <c r="M137" i="4"/>
  <c r="K132" i="4"/>
  <c r="J121" i="4"/>
  <c r="K108" i="4"/>
  <c r="J124" i="4"/>
  <c r="J107" i="4"/>
  <c r="N114" i="4"/>
  <c r="M107" i="4"/>
  <c r="K98" i="4"/>
  <c r="M98" i="4"/>
  <c r="J135" i="4"/>
  <c r="K126" i="4"/>
  <c r="J125" i="4"/>
  <c r="K129" i="4"/>
  <c r="N149" i="4"/>
  <c r="M129" i="4"/>
  <c r="K106" i="4"/>
  <c r="M106" i="4"/>
  <c r="K103" i="4"/>
  <c r="J99" i="4"/>
  <c r="M99" i="4"/>
  <c r="J94" i="4"/>
  <c r="J100" i="4"/>
  <c r="N113" i="4"/>
  <c r="M100" i="4"/>
  <c r="J97" i="4"/>
  <c r="J12" i="4"/>
  <c r="K29" i="4"/>
  <c r="K60" i="4"/>
  <c r="J22" i="4"/>
  <c r="K16" i="4"/>
  <c r="J30" i="4"/>
  <c r="K71" i="4"/>
  <c r="J44" i="4"/>
  <c r="K51" i="4"/>
  <c r="K67" i="4"/>
  <c r="J13" i="4"/>
  <c r="K20" i="4"/>
  <c r="K12" i="4"/>
  <c r="L35" i="4"/>
  <c r="J29" i="4"/>
  <c r="K44" i="4"/>
  <c r="K10" i="4"/>
  <c r="J67" i="4"/>
  <c r="J14" i="4"/>
  <c r="J15" i="4"/>
  <c r="K18" i="4"/>
  <c r="J18" i="4"/>
  <c r="J59" i="4"/>
  <c r="J21" i="4"/>
  <c r="J72" i="4"/>
  <c r="M72" i="4"/>
  <c r="J63" i="4"/>
  <c r="J47" i="4"/>
  <c r="M47" i="4"/>
  <c r="J25" i="4"/>
  <c r="J7" i="4"/>
  <c r="J11" i="4"/>
  <c r="J56" i="4"/>
  <c r="M56" i="4"/>
  <c r="K52" i="4"/>
  <c r="J48" i="4"/>
  <c r="K9" i="4"/>
  <c r="K25" i="4"/>
  <c r="J70" i="4"/>
  <c r="M70" i="4"/>
  <c r="K55" i="4"/>
  <c r="J46" i="4"/>
  <c r="M46" i="4"/>
  <c r="L34" i="4"/>
  <c r="J61" i="4"/>
  <c r="M61" i="4"/>
  <c r="K49" i="4"/>
  <c r="M49" i="4"/>
  <c r="K59" i="4"/>
  <c r="J62" i="4"/>
  <c r="M62" i="4"/>
  <c r="K41" i="4"/>
  <c r="M41" i="4"/>
  <c r="L33" i="4"/>
  <c r="J65" i="4"/>
  <c r="M65" i="4"/>
  <c r="J55" i="4"/>
  <c r="J43" i="4"/>
  <c r="M43" i="4"/>
  <c r="J51" i="4"/>
  <c r="J41" i="4"/>
  <c r="J17" i="4"/>
  <c r="J23" i="4"/>
  <c r="J9" i="4"/>
  <c r="J69" i="4"/>
  <c r="M69" i="4"/>
  <c r="J60" i="4"/>
  <c r="J26" i="4"/>
  <c r="K17" i="4"/>
  <c r="J8" i="4"/>
  <c r="J54" i="4"/>
  <c r="M54" i="4"/>
  <c r="K45" i="4"/>
  <c r="M45" i="4"/>
  <c r="N35" i="4"/>
  <c r="M27" i="4"/>
  <c r="M35" i="4" s="1"/>
  <c r="K63" i="4"/>
  <c r="J42" i="4"/>
  <c r="M42" i="4"/>
  <c r="J50" i="4"/>
  <c r="M50" i="4"/>
  <c r="J24" i="4"/>
  <c r="K11" i="4"/>
  <c r="K23" i="4"/>
  <c r="J10" i="4"/>
  <c r="N34" i="4"/>
  <c r="M19" i="4"/>
  <c r="M34" i="4" s="1"/>
  <c r="K14" i="4"/>
  <c r="J68" i="4"/>
  <c r="M68" i="4"/>
  <c r="J66" i="4"/>
  <c r="M66" i="4"/>
  <c r="M7" i="4"/>
  <c r="M33" i="4" s="1"/>
  <c r="K61" i="4"/>
  <c r="K48" i="4"/>
  <c r="J52" i="4"/>
  <c r="K21" i="4"/>
  <c r="J16" i="4"/>
  <c r="K72" i="4"/>
  <c r="K57" i="4"/>
  <c r="M57" i="4"/>
  <c r="J49" i="4"/>
  <c r="K53" i="4"/>
  <c r="M53" i="4"/>
  <c r="K22" i="4"/>
  <c r="K69" i="4"/>
  <c r="J71" i="4"/>
  <c r="J64" i="4"/>
  <c r="M64" i="4"/>
  <c r="J58" i="4"/>
  <c r="M58" i="4"/>
  <c r="J28" i="4"/>
  <c r="J20" i="4"/>
  <c r="K15" i="4"/>
  <c r="K27" i="4"/>
  <c r="J19" i="4"/>
  <c r="K26" i="4"/>
  <c r="U223" i="2"/>
  <c r="U224" i="2"/>
  <c r="T224" i="2"/>
  <c r="T223" i="2"/>
  <c r="D221" i="2"/>
  <c r="D222" i="2"/>
  <c r="D223" i="2"/>
  <c r="H222" i="2"/>
  <c r="H223" i="2"/>
  <c r="H224" i="2"/>
  <c r="H225" i="2"/>
  <c r="I221" i="2"/>
  <c r="I222" i="2"/>
  <c r="I223" i="2"/>
  <c r="I224" i="2"/>
  <c r="H221" i="2"/>
  <c r="I218" i="2"/>
  <c r="I216" i="2"/>
  <c r="I217" i="2"/>
  <c r="I220" i="2"/>
  <c r="H218" i="2"/>
  <c r="H220" i="2"/>
  <c r="U218" i="2"/>
  <c r="U219" i="2"/>
  <c r="U220" i="2"/>
  <c r="U221" i="2"/>
  <c r="U222" i="2"/>
  <c r="T218" i="2"/>
  <c r="T219" i="2"/>
  <c r="T220" i="2"/>
  <c r="T221" i="2"/>
  <c r="T222" i="2"/>
  <c r="U214" i="2"/>
  <c r="D215" i="2"/>
  <c r="D216" i="2"/>
  <c r="D214" i="2"/>
  <c r="U206" i="2"/>
  <c r="U209" i="2"/>
  <c r="D208" i="2"/>
  <c r="D209" i="2"/>
  <c r="D210" i="2"/>
  <c r="D207" i="2"/>
  <c r="T202" i="2"/>
  <c r="U202" i="2"/>
  <c r="T203" i="2"/>
  <c r="U203" i="2"/>
  <c r="T204" i="2"/>
  <c r="U204" i="2"/>
  <c r="T205" i="2"/>
  <c r="U205" i="2"/>
  <c r="T206" i="2"/>
  <c r="T209" i="2"/>
  <c r="T210" i="2"/>
  <c r="T212" i="2"/>
  <c r="U212" i="2"/>
  <c r="T213" i="2"/>
  <c r="U213" i="2"/>
  <c r="T214" i="2"/>
  <c r="T217" i="2"/>
  <c r="U217" i="2"/>
  <c r="U201" i="2"/>
  <c r="T201" i="2"/>
  <c r="H202" i="2"/>
  <c r="I202" i="2"/>
  <c r="H203" i="2"/>
  <c r="I203" i="2"/>
  <c r="H204" i="2"/>
  <c r="I204" i="2"/>
  <c r="H205" i="2"/>
  <c r="I205" i="2"/>
  <c r="H206" i="2"/>
  <c r="I206" i="2"/>
  <c r="H207" i="2"/>
  <c r="I207" i="2"/>
  <c r="H208" i="2"/>
  <c r="I208" i="2"/>
  <c r="H209" i="2"/>
  <c r="I209" i="2"/>
  <c r="H210" i="2"/>
  <c r="H212" i="2"/>
  <c r="I212" i="2"/>
  <c r="H213" i="2"/>
  <c r="I213" i="2"/>
  <c r="H214" i="2"/>
  <c r="I214" i="2"/>
  <c r="H215" i="2"/>
  <c r="I215" i="2"/>
  <c r="H216" i="2"/>
  <c r="H217" i="2"/>
  <c r="I201" i="2"/>
  <c r="H201" i="2"/>
  <c r="T188" i="2"/>
  <c r="U183" i="2"/>
  <c r="U185" i="2"/>
  <c r="U186" i="2"/>
  <c r="U187" i="2"/>
  <c r="T185" i="2"/>
  <c r="T186" i="2"/>
  <c r="T187" i="2"/>
  <c r="D183" i="2"/>
  <c r="D184" i="2"/>
  <c r="D185" i="2"/>
  <c r="D182" i="2"/>
  <c r="D181" i="2"/>
  <c r="D179" i="2"/>
  <c r="T175" i="2"/>
  <c r="U175" i="2"/>
  <c r="T176" i="2"/>
  <c r="U176" i="2"/>
  <c r="T177" i="2"/>
  <c r="U177" i="2"/>
  <c r="T178" i="2"/>
  <c r="U178" i="2"/>
  <c r="T179" i="2"/>
  <c r="U179" i="2"/>
  <c r="T180" i="2"/>
  <c r="U180" i="2"/>
  <c r="T181" i="2"/>
  <c r="U181" i="2"/>
  <c r="T182" i="2"/>
  <c r="U182" i="2"/>
  <c r="T183" i="2"/>
  <c r="U174" i="2"/>
  <c r="T174" i="2"/>
  <c r="I175" i="2"/>
  <c r="I176" i="2"/>
  <c r="I177" i="2"/>
  <c r="I178" i="2"/>
  <c r="I179" i="2"/>
  <c r="I180" i="2"/>
  <c r="I181" i="2"/>
  <c r="I182" i="2"/>
  <c r="I183" i="2"/>
  <c r="I184" i="2"/>
  <c r="I185" i="2"/>
  <c r="I186" i="2"/>
  <c r="I187" i="2"/>
  <c r="H175" i="2"/>
  <c r="H176" i="2"/>
  <c r="H177" i="2"/>
  <c r="H178" i="2"/>
  <c r="H179" i="2"/>
  <c r="H180" i="2"/>
  <c r="H181" i="2"/>
  <c r="H182" i="2"/>
  <c r="H183" i="2"/>
  <c r="H184" i="2"/>
  <c r="H185" i="2"/>
  <c r="H186" i="2"/>
  <c r="H187" i="2"/>
  <c r="I174" i="2"/>
  <c r="H174" i="2"/>
  <c r="D160" i="2"/>
  <c r="D157" i="2"/>
  <c r="D158" i="2"/>
  <c r="D159" i="2"/>
  <c r="I155" i="2"/>
  <c r="I156" i="2"/>
  <c r="I157" i="2"/>
  <c r="I158" i="2"/>
  <c r="I159" i="2"/>
  <c r="I160" i="2"/>
  <c r="H160" i="2"/>
  <c r="H155" i="2"/>
  <c r="H156" i="2"/>
  <c r="H157" i="2"/>
  <c r="H158" i="2"/>
  <c r="H159" i="2"/>
  <c r="D156" i="2"/>
  <c r="I154" i="2"/>
  <c r="D155" i="2"/>
  <c r="D153" i="2"/>
  <c r="H154" i="2"/>
  <c r="H153" i="2"/>
  <c r="H152" i="2"/>
  <c r="I150" i="2"/>
  <c r="I151" i="2"/>
  <c r="I152" i="2"/>
  <c r="I153" i="2"/>
  <c r="H151" i="2"/>
  <c r="H150" i="2"/>
  <c r="D148" i="2"/>
  <c r="D147" i="2"/>
  <c r="I166" i="2"/>
  <c r="H166" i="2"/>
  <c r="D166" i="2"/>
  <c r="I141" i="2"/>
  <c r="D165" i="2"/>
  <c r="I165" i="2"/>
  <c r="H165" i="2"/>
  <c r="H141" i="2"/>
  <c r="H142" i="2"/>
  <c r="H143" i="2"/>
  <c r="H144" i="2"/>
  <c r="H145" i="2"/>
  <c r="H146" i="2"/>
  <c r="H147" i="2"/>
  <c r="H148" i="2"/>
  <c r="H149" i="2"/>
  <c r="I140" i="2"/>
  <c r="I142" i="2"/>
  <c r="I143" i="2"/>
  <c r="I144" i="2"/>
  <c r="I145" i="2"/>
  <c r="I146" i="2"/>
  <c r="I147" i="2"/>
  <c r="I148" i="2"/>
  <c r="I149" i="2"/>
  <c r="I139" i="2"/>
  <c r="H140" i="2"/>
  <c r="D139" i="2"/>
  <c r="H139" i="2"/>
  <c r="I127" i="2"/>
  <c r="I128" i="2"/>
  <c r="I129" i="2"/>
  <c r="I130" i="2"/>
  <c r="I131" i="2"/>
  <c r="I132" i="2"/>
  <c r="H128" i="2"/>
  <c r="H129" i="2"/>
  <c r="H130" i="2"/>
  <c r="H131" i="2"/>
  <c r="H132" i="2"/>
  <c r="H127" i="2"/>
  <c r="I114" i="2"/>
  <c r="I115" i="2"/>
  <c r="I116" i="2"/>
  <c r="I117" i="2"/>
  <c r="I118" i="2"/>
  <c r="I119" i="2"/>
  <c r="I120" i="2"/>
  <c r="I121" i="2"/>
  <c r="I122" i="2"/>
  <c r="I123" i="2"/>
  <c r="I124" i="2"/>
  <c r="I125" i="2"/>
  <c r="I126" i="2"/>
  <c r="H114" i="2"/>
  <c r="H115" i="2"/>
  <c r="H116" i="2"/>
  <c r="H117" i="2"/>
  <c r="H118" i="2"/>
  <c r="H119" i="2"/>
  <c r="H120" i="2"/>
  <c r="H121" i="2"/>
  <c r="H122" i="2"/>
  <c r="H123" i="2"/>
  <c r="H124" i="2"/>
  <c r="H125" i="2"/>
  <c r="H126" i="2"/>
  <c r="I113" i="2"/>
  <c r="H113" i="2"/>
  <c r="U98" i="2"/>
  <c r="T99" i="2"/>
  <c r="U96" i="2"/>
  <c r="U94" i="2"/>
  <c r="U92" i="2"/>
  <c r="T19" i="2"/>
  <c r="U17" i="2"/>
  <c r="T17" i="2"/>
  <c r="U15" i="2"/>
  <c r="T15" i="2"/>
  <c r="U13" i="2"/>
  <c r="T13" i="2"/>
  <c r="U11" i="2"/>
  <c r="T11" i="2"/>
  <c r="U7" i="2"/>
  <c r="T7" i="2"/>
  <c r="U6" i="2"/>
  <c r="T6" i="2"/>
  <c r="T5" i="2"/>
  <c r="H100" i="2"/>
  <c r="I99" i="2"/>
  <c r="H99" i="2"/>
  <c r="T98" i="2"/>
  <c r="I98" i="2"/>
  <c r="H98" i="2"/>
  <c r="I97" i="2"/>
  <c r="H97" i="2"/>
  <c r="T96" i="2"/>
  <c r="I96" i="2"/>
  <c r="H96" i="2"/>
  <c r="I95" i="2"/>
  <c r="H95" i="2"/>
  <c r="T94" i="2"/>
  <c r="I94" i="2"/>
  <c r="H94" i="2"/>
  <c r="I93" i="2"/>
  <c r="H93" i="2"/>
  <c r="T92" i="2"/>
  <c r="I92" i="2"/>
  <c r="H92" i="2"/>
  <c r="U91" i="2"/>
  <c r="T91" i="2"/>
  <c r="I91" i="2"/>
  <c r="H91" i="2"/>
  <c r="T52" i="2"/>
  <c r="U51" i="2"/>
  <c r="T51" i="2"/>
  <c r="T30" i="2"/>
  <c r="U30" i="2"/>
  <c r="T35" i="2"/>
  <c r="U35" i="2"/>
  <c r="K150" i="4" l="1"/>
  <c r="P30" i="3"/>
  <c r="P31" i="3"/>
  <c r="K113" i="4"/>
  <c r="L31" i="3"/>
  <c r="K14" i="3"/>
  <c r="N31" i="3"/>
  <c r="J114" i="4"/>
  <c r="J113" i="4"/>
  <c r="K35" i="4"/>
  <c r="K6" i="3"/>
  <c r="K21" i="3"/>
  <c r="M114" i="4"/>
  <c r="J7" i="3"/>
  <c r="K25" i="3"/>
  <c r="J9" i="3"/>
  <c r="J24" i="3"/>
  <c r="J25" i="3"/>
  <c r="K149" i="4"/>
  <c r="J12" i="3"/>
  <c r="K75" i="4"/>
  <c r="K22" i="3"/>
  <c r="J17" i="3"/>
  <c r="J15" i="3"/>
  <c r="K10" i="3"/>
  <c r="M113" i="4"/>
  <c r="J149" i="4"/>
  <c r="K19" i="3"/>
  <c r="K148" i="4"/>
  <c r="J150" i="4"/>
  <c r="J18" i="3"/>
  <c r="J10" i="3"/>
  <c r="M149" i="4"/>
  <c r="K114" i="4"/>
  <c r="J16" i="3"/>
  <c r="J8" i="3"/>
  <c r="N98" i="2"/>
  <c r="M98" i="2" s="1"/>
  <c r="L98" i="2"/>
  <c r="L118" i="2"/>
  <c r="N118" i="2"/>
  <c r="K118" i="2" s="1"/>
  <c r="L114" i="2"/>
  <c r="N114" i="2"/>
  <c r="K114" i="2" s="1"/>
  <c r="N140" i="2"/>
  <c r="K140" i="2" s="1"/>
  <c r="L140" i="2"/>
  <c r="L165" i="2"/>
  <c r="N165" i="2"/>
  <c r="J165" i="2" s="1"/>
  <c r="H101" i="2"/>
  <c r="H102" i="2"/>
  <c r="N91" i="2"/>
  <c r="J91" i="2" s="1"/>
  <c r="L91" i="2"/>
  <c r="I103" i="2"/>
  <c r="N125" i="2"/>
  <c r="J125" i="2" s="1"/>
  <c r="L125" i="2"/>
  <c r="N117" i="2"/>
  <c r="J117" i="2" s="1"/>
  <c r="L117" i="2"/>
  <c r="L130" i="2"/>
  <c r="N130" i="2"/>
  <c r="K130" i="2" s="1"/>
  <c r="N147" i="2"/>
  <c r="K147" i="2" s="1"/>
  <c r="L147" i="2"/>
  <c r="L150" i="2"/>
  <c r="N150" i="2"/>
  <c r="J150" i="2" s="1"/>
  <c r="N154" i="2"/>
  <c r="L154" i="2"/>
  <c r="L156" i="2"/>
  <c r="N156" i="2"/>
  <c r="M156" i="2" s="1"/>
  <c r="I101" i="2"/>
  <c r="I102" i="2"/>
  <c r="N94" i="2"/>
  <c r="M94" i="2" s="1"/>
  <c r="L94" i="2"/>
  <c r="T20" i="2"/>
  <c r="N113" i="2"/>
  <c r="L113" i="2"/>
  <c r="L120" i="2"/>
  <c r="N120" i="2"/>
  <c r="M120" i="2" s="1"/>
  <c r="L116" i="2"/>
  <c r="N116" i="2"/>
  <c r="L127" i="2"/>
  <c r="N127" i="2"/>
  <c r="K127" i="2" s="1"/>
  <c r="N129" i="2"/>
  <c r="J129" i="2" s="1"/>
  <c r="L129" i="2"/>
  <c r="L139" i="2"/>
  <c r="N139" i="2"/>
  <c r="J139" i="2" s="1"/>
  <c r="L146" i="2"/>
  <c r="N146" i="2"/>
  <c r="J146" i="2" s="1"/>
  <c r="L142" i="2"/>
  <c r="N142" i="2"/>
  <c r="N151" i="2"/>
  <c r="L151" i="2"/>
  <c r="L159" i="2"/>
  <c r="N159" i="2"/>
  <c r="L155" i="2"/>
  <c r="N155" i="2"/>
  <c r="K155" i="2" s="1"/>
  <c r="L185" i="2"/>
  <c r="N185" i="2"/>
  <c r="M185" i="2" s="1"/>
  <c r="L181" i="2"/>
  <c r="N181" i="2"/>
  <c r="K181" i="2" s="1"/>
  <c r="L177" i="2"/>
  <c r="N177" i="2"/>
  <c r="K177" i="2" s="1"/>
  <c r="N214" i="2"/>
  <c r="K214" i="2" s="1"/>
  <c r="L214" i="2"/>
  <c r="L96" i="2"/>
  <c r="N96" i="2"/>
  <c r="K96" i="2" s="1"/>
  <c r="N99" i="2"/>
  <c r="L99" i="2"/>
  <c r="L123" i="2"/>
  <c r="N123" i="2"/>
  <c r="K123" i="2" s="1"/>
  <c r="L119" i="2"/>
  <c r="N119" i="2"/>
  <c r="K119" i="2" s="1"/>
  <c r="L115" i="2"/>
  <c r="N115" i="2"/>
  <c r="K115" i="2" s="1"/>
  <c r="L132" i="2"/>
  <c r="N132" i="2"/>
  <c r="M132" i="2" s="1"/>
  <c r="L128" i="2"/>
  <c r="N128" i="2"/>
  <c r="M128" i="2" s="1"/>
  <c r="L149" i="2"/>
  <c r="N149" i="2"/>
  <c r="M149" i="2" s="1"/>
  <c r="L141" i="2"/>
  <c r="N141" i="2"/>
  <c r="M141" i="2" s="1"/>
  <c r="L152" i="2"/>
  <c r="N152" i="2"/>
  <c r="M152" i="2" s="1"/>
  <c r="L158" i="2"/>
  <c r="N158" i="2"/>
  <c r="J158" i="2" s="1"/>
  <c r="L160" i="2"/>
  <c r="N160" i="2"/>
  <c r="M160" i="2" s="1"/>
  <c r="N184" i="2"/>
  <c r="K184" i="2" s="1"/>
  <c r="L184" i="2"/>
  <c r="N180" i="2"/>
  <c r="K180" i="2" s="1"/>
  <c r="L180" i="2"/>
  <c r="N176" i="2"/>
  <c r="K176" i="2" s="1"/>
  <c r="L176" i="2"/>
  <c r="L201" i="2"/>
  <c r="N201" i="2"/>
  <c r="M201" i="2" s="1"/>
  <c r="N208" i="2"/>
  <c r="J208" i="2" s="1"/>
  <c r="L208" i="2"/>
  <c r="N206" i="2"/>
  <c r="K206" i="2" s="1"/>
  <c r="L206" i="2"/>
  <c r="L204" i="2"/>
  <c r="N204" i="2"/>
  <c r="M204" i="2" s="1"/>
  <c r="L202" i="2"/>
  <c r="N202" i="2"/>
  <c r="K202" i="2" s="1"/>
  <c r="J76" i="4"/>
  <c r="J75" i="4"/>
  <c r="J77" i="4"/>
  <c r="M75" i="4"/>
  <c r="K77" i="4"/>
  <c r="J148" i="4"/>
  <c r="L29" i="3"/>
  <c r="J13" i="3"/>
  <c r="J23" i="3"/>
  <c r="J20" i="3"/>
  <c r="K18" i="3"/>
  <c r="K7" i="3"/>
  <c r="K8" i="3"/>
  <c r="M77" i="4"/>
  <c r="H103" i="2"/>
  <c r="L93" i="2"/>
  <c r="N93" i="2"/>
  <c r="L122" i="2"/>
  <c r="N122" i="2"/>
  <c r="K122" i="2" s="1"/>
  <c r="N148" i="2"/>
  <c r="M148" i="2" s="1"/>
  <c r="L148" i="2"/>
  <c r="L153" i="2"/>
  <c r="N153" i="2"/>
  <c r="M153" i="2" s="1"/>
  <c r="L157" i="2"/>
  <c r="N157" i="2"/>
  <c r="M157" i="2" s="1"/>
  <c r="L187" i="2"/>
  <c r="N187" i="2"/>
  <c r="N183" i="2"/>
  <c r="K183" i="2" s="1"/>
  <c r="L183" i="2"/>
  <c r="N179" i="2"/>
  <c r="K179" i="2" s="1"/>
  <c r="L179" i="2"/>
  <c r="L175" i="2"/>
  <c r="N175" i="2"/>
  <c r="K175" i="2" s="1"/>
  <c r="L215" i="2"/>
  <c r="N215" i="2"/>
  <c r="M215" i="2" s="1"/>
  <c r="L213" i="2"/>
  <c r="N213" i="2"/>
  <c r="J213" i="2" s="1"/>
  <c r="L220" i="2"/>
  <c r="N220" i="2"/>
  <c r="J220" i="2" s="1"/>
  <c r="L224" i="2"/>
  <c r="N224" i="2"/>
  <c r="J224" i="2" s="1"/>
  <c r="J112" i="4"/>
  <c r="M112" i="4"/>
  <c r="N30" i="3"/>
  <c r="M14" i="3"/>
  <c r="K17" i="3"/>
  <c r="K23" i="3"/>
  <c r="N95" i="2"/>
  <c r="K95" i="2" s="1"/>
  <c r="L95" i="2"/>
  <c r="L166" i="2"/>
  <c r="N166" i="2"/>
  <c r="K166" i="2" s="1"/>
  <c r="N186" i="2"/>
  <c r="L186" i="2"/>
  <c r="L182" i="2"/>
  <c r="N182" i="2"/>
  <c r="K182" i="2" s="1"/>
  <c r="L217" i="2"/>
  <c r="N217" i="2"/>
  <c r="L209" i="2"/>
  <c r="N209" i="2"/>
  <c r="K209" i="2" s="1"/>
  <c r="L207" i="2"/>
  <c r="N207" i="2"/>
  <c r="M207" i="2" s="1"/>
  <c r="L205" i="2"/>
  <c r="N205" i="2"/>
  <c r="N203" i="2"/>
  <c r="M203" i="2" s="1"/>
  <c r="L203" i="2"/>
  <c r="N218" i="2"/>
  <c r="L218" i="2"/>
  <c r="N223" i="2"/>
  <c r="M223" i="2" s="1"/>
  <c r="L223" i="2"/>
  <c r="K76" i="4"/>
  <c r="M76" i="4"/>
  <c r="L30" i="3"/>
  <c r="N28" i="3"/>
  <c r="M6" i="3"/>
  <c r="M28" i="3" s="1"/>
  <c r="K24" i="3"/>
  <c r="K13" i="3"/>
  <c r="K20" i="3"/>
  <c r="K11" i="3"/>
  <c r="L126" i="2"/>
  <c r="N126" i="2"/>
  <c r="K126" i="2" s="1"/>
  <c r="L131" i="2"/>
  <c r="N131" i="2"/>
  <c r="M131" i="2" s="1"/>
  <c r="N144" i="2"/>
  <c r="L144" i="2"/>
  <c r="L92" i="2"/>
  <c r="N92" i="2"/>
  <c r="N121" i="2"/>
  <c r="J121" i="2" s="1"/>
  <c r="L121" i="2"/>
  <c r="L143" i="2"/>
  <c r="N143" i="2"/>
  <c r="J143" i="2" s="1"/>
  <c r="L178" i="2"/>
  <c r="N178" i="2"/>
  <c r="J178" i="2" s="1"/>
  <c r="L97" i="2"/>
  <c r="N97" i="2"/>
  <c r="M97" i="2" s="1"/>
  <c r="L124" i="2"/>
  <c r="N124" i="2"/>
  <c r="M124" i="2" s="1"/>
  <c r="N174" i="2"/>
  <c r="L174" i="2"/>
  <c r="N216" i="2"/>
  <c r="L216" i="2"/>
  <c r="N212" i="2"/>
  <c r="L212" i="2"/>
  <c r="N221" i="2"/>
  <c r="K221" i="2" s="1"/>
  <c r="L221" i="2"/>
  <c r="L222" i="2"/>
  <c r="N222" i="2"/>
  <c r="K222" i="2" s="1"/>
  <c r="N29" i="3"/>
  <c r="M15" i="3"/>
  <c r="M29" i="3" s="1"/>
  <c r="J11" i="3"/>
  <c r="J19" i="3"/>
  <c r="K112" i="4"/>
  <c r="M148" i="4"/>
  <c r="J22" i="3"/>
  <c r="J14" i="3"/>
  <c r="L28" i="3"/>
  <c r="K9" i="3"/>
  <c r="K16" i="3"/>
  <c r="M150" i="4"/>
  <c r="J21" i="3"/>
  <c r="K12" i="3"/>
  <c r="J35" i="4"/>
  <c r="J34" i="4"/>
  <c r="K33" i="4"/>
  <c r="K34" i="4"/>
  <c r="J33" i="4"/>
  <c r="U20" i="2"/>
  <c r="T38" i="2"/>
  <c r="U38" i="2"/>
  <c r="T42" i="2"/>
  <c r="U42" i="2"/>
  <c r="T43" i="2"/>
  <c r="U43" i="2"/>
  <c r="T47" i="2"/>
  <c r="U47" i="2"/>
  <c r="T49" i="2"/>
  <c r="U49" i="2"/>
  <c r="U29" i="2"/>
  <c r="T29" i="2"/>
  <c r="I8" i="2"/>
  <c r="I9" i="2"/>
  <c r="I10" i="2"/>
  <c r="I11" i="2"/>
  <c r="I12" i="2"/>
  <c r="I13" i="2"/>
  <c r="I14" i="2"/>
  <c r="I15" i="2"/>
  <c r="I16" i="2"/>
  <c r="I17" i="2"/>
  <c r="I18" i="2"/>
  <c r="H10" i="2"/>
  <c r="P10" i="2" s="1"/>
  <c r="H19" i="2"/>
  <c r="H18" i="2"/>
  <c r="P18" i="2" s="1"/>
  <c r="H17" i="2"/>
  <c r="P17" i="2" s="1"/>
  <c r="I7" i="2"/>
  <c r="H7" i="2"/>
  <c r="P7" i="2" s="1"/>
  <c r="H8" i="2"/>
  <c r="P8" i="2" s="1"/>
  <c r="H9" i="2"/>
  <c r="P9" i="2" s="1"/>
  <c r="H11" i="2"/>
  <c r="P11" i="2" s="1"/>
  <c r="H12" i="2"/>
  <c r="P12" i="2" s="1"/>
  <c r="H13" i="2"/>
  <c r="P13" i="2" s="1"/>
  <c r="H14" i="2"/>
  <c r="P14" i="2" s="1"/>
  <c r="H15" i="2"/>
  <c r="P15" i="2" s="1"/>
  <c r="H16" i="2"/>
  <c r="P16" i="2" s="1"/>
  <c r="I6" i="2"/>
  <c r="H6" i="2"/>
  <c r="P6" i="2" s="1"/>
  <c r="I187" i="1"/>
  <c r="K187" i="1" s="1"/>
  <c r="H187" i="1"/>
  <c r="I185" i="1"/>
  <c r="I186" i="1"/>
  <c r="K186" i="1" s="1"/>
  <c r="H186" i="1"/>
  <c r="H185" i="1"/>
  <c r="H184" i="1"/>
  <c r="I183" i="1"/>
  <c r="K183" i="1" s="1"/>
  <c r="I184" i="1"/>
  <c r="K184" i="1" s="1"/>
  <c r="D184" i="1"/>
  <c r="D177" i="1"/>
  <c r="D178" i="1"/>
  <c r="D179" i="1"/>
  <c r="D180" i="1"/>
  <c r="D181" i="1"/>
  <c r="D182" i="1"/>
  <c r="D183" i="1"/>
  <c r="D176" i="1"/>
  <c r="H180" i="1"/>
  <c r="I180" i="1"/>
  <c r="K180" i="1" s="1"/>
  <c r="H181" i="1"/>
  <c r="I181" i="1"/>
  <c r="K181" i="1" s="1"/>
  <c r="H182" i="1"/>
  <c r="I182" i="1"/>
  <c r="K182" i="1" s="1"/>
  <c r="H183" i="1"/>
  <c r="H174" i="1"/>
  <c r="I174" i="1"/>
  <c r="K174" i="1" s="1"/>
  <c r="H175" i="1"/>
  <c r="I175" i="1"/>
  <c r="K175" i="1" s="1"/>
  <c r="H176" i="1"/>
  <c r="I176" i="1"/>
  <c r="H177" i="1"/>
  <c r="I177" i="1"/>
  <c r="K177" i="1" s="1"/>
  <c r="H178" i="1"/>
  <c r="I178" i="1"/>
  <c r="K178" i="1" s="1"/>
  <c r="H179" i="1"/>
  <c r="I179" i="1"/>
  <c r="K179" i="1" s="1"/>
  <c r="I173" i="1"/>
  <c r="K173" i="1" s="1"/>
  <c r="H173" i="1"/>
  <c r="I172" i="1"/>
  <c r="H172" i="1"/>
  <c r="H163" i="1"/>
  <c r="H162" i="1"/>
  <c r="H161" i="1"/>
  <c r="D161" i="1"/>
  <c r="D162" i="1"/>
  <c r="D163" i="1"/>
  <c r="D160" i="1"/>
  <c r="H160" i="1"/>
  <c r="H159" i="1"/>
  <c r="I157" i="1"/>
  <c r="K157" i="1" s="1"/>
  <c r="I158" i="1"/>
  <c r="K158" i="1" s="1"/>
  <c r="I159" i="1"/>
  <c r="K159" i="1" s="1"/>
  <c r="I160" i="1"/>
  <c r="K160" i="1" s="1"/>
  <c r="I161" i="1"/>
  <c r="K161" i="1" s="1"/>
  <c r="I162" i="1"/>
  <c r="K162" i="1" s="1"/>
  <c r="H158" i="1"/>
  <c r="H157" i="1"/>
  <c r="I156" i="1"/>
  <c r="K156" i="1" s="1"/>
  <c r="H156" i="1"/>
  <c r="P20" i="2" l="1"/>
  <c r="P21" i="2"/>
  <c r="P22" i="2"/>
  <c r="J31" i="3"/>
  <c r="M30" i="3"/>
  <c r="M31" i="3"/>
  <c r="K31" i="3"/>
  <c r="K201" i="2"/>
  <c r="K91" i="2"/>
  <c r="K141" i="2"/>
  <c r="J141" i="2"/>
  <c r="K29" i="3"/>
  <c r="K156" i="2"/>
  <c r="K120" i="2"/>
  <c r="K157" i="2"/>
  <c r="J30" i="3"/>
  <c r="K204" i="2"/>
  <c r="K128" i="2"/>
  <c r="J201" i="2"/>
  <c r="J28" i="3"/>
  <c r="K28" i="3"/>
  <c r="K131" i="2"/>
  <c r="K223" i="2"/>
  <c r="J148" i="2"/>
  <c r="K30" i="3"/>
  <c r="I21" i="2"/>
  <c r="J29" i="3"/>
  <c r="J97" i="2"/>
  <c r="J203" i="2"/>
  <c r="K160" i="2"/>
  <c r="J128" i="2"/>
  <c r="K94" i="2"/>
  <c r="K98" i="2"/>
  <c r="K203" i="2"/>
  <c r="J157" i="2"/>
  <c r="J172" i="1"/>
  <c r="H190" i="1"/>
  <c r="L172" i="1"/>
  <c r="L183" i="1"/>
  <c r="J183" i="1"/>
  <c r="L181" i="1"/>
  <c r="J181" i="1"/>
  <c r="L186" i="1"/>
  <c r="J186" i="1"/>
  <c r="K216" i="2"/>
  <c r="M216" i="2"/>
  <c r="K174" i="2"/>
  <c r="M174" i="2"/>
  <c r="J92" i="2"/>
  <c r="M92" i="2"/>
  <c r="J218" i="2"/>
  <c r="M218" i="2"/>
  <c r="J205" i="2"/>
  <c r="M205" i="2"/>
  <c r="J217" i="2"/>
  <c r="M217" i="2"/>
  <c r="J215" i="2"/>
  <c r="J183" i="2"/>
  <c r="M183" i="2"/>
  <c r="J153" i="2"/>
  <c r="M93" i="2"/>
  <c r="N103" i="2"/>
  <c r="J204" i="2"/>
  <c r="J206" i="2"/>
  <c r="M206" i="2"/>
  <c r="K215" i="2"/>
  <c r="J176" i="2"/>
  <c r="M176" i="2"/>
  <c r="J184" i="2"/>
  <c r="M184" i="2"/>
  <c r="J152" i="2"/>
  <c r="J149" i="2"/>
  <c r="K148" i="2"/>
  <c r="J132" i="2"/>
  <c r="J119" i="2"/>
  <c r="M119" i="2"/>
  <c r="J177" i="2"/>
  <c r="M177" i="2"/>
  <c r="J185" i="2"/>
  <c r="J151" i="2"/>
  <c r="M151" i="2"/>
  <c r="K146" i="2"/>
  <c r="M146" i="2"/>
  <c r="K139" i="2"/>
  <c r="M139" i="2"/>
  <c r="K113" i="2"/>
  <c r="M113" i="2"/>
  <c r="J94" i="2"/>
  <c r="K154" i="2"/>
  <c r="M154" i="2"/>
  <c r="K93" i="2"/>
  <c r="L177" i="1"/>
  <c r="J177" i="1"/>
  <c r="K212" i="2"/>
  <c r="M212" i="2"/>
  <c r="K143" i="2"/>
  <c r="M143" i="2"/>
  <c r="J144" i="2"/>
  <c r="M144" i="2"/>
  <c r="J209" i="2"/>
  <c r="M209" i="2"/>
  <c r="J182" i="2"/>
  <c r="M182" i="2"/>
  <c r="K186" i="2"/>
  <c r="M186" i="2"/>
  <c r="J187" i="2"/>
  <c r="M187" i="2"/>
  <c r="J122" i="2"/>
  <c r="M122" i="2"/>
  <c r="L103" i="2"/>
  <c r="K217" i="2"/>
  <c r="K124" i="2"/>
  <c r="J99" i="2"/>
  <c r="M99" i="2"/>
  <c r="J159" i="2"/>
  <c r="M159" i="2"/>
  <c r="J116" i="2"/>
  <c r="M116" i="2"/>
  <c r="K187" i="2"/>
  <c r="K151" i="2"/>
  <c r="J130" i="2"/>
  <c r="M130" i="2"/>
  <c r="J114" i="2"/>
  <c r="M114" i="2"/>
  <c r="K99" i="2"/>
  <c r="I190" i="1"/>
  <c r="K172" i="1"/>
  <c r="K190" i="1" s="1"/>
  <c r="L175" i="1"/>
  <c r="J175" i="1"/>
  <c r="L173" i="1"/>
  <c r="J173" i="1"/>
  <c r="K176" i="1"/>
  <c r="K191" i="1" s="1"/>
  <c r="I191" i="1"/>
  <c r="L182" i="1"/>
  <c r="J182" i="1"/>
  <c r="L180" i="1"/>
  <c r="J180" i="1"/>
  <c r="L184" i="1"/>
  <c r="J184" i="1"/>
  <c r="I192" i="1"/>
  <c r="K185" i="1"/>
  <c r="K192" i="1" s="1"/>
  <c r="J216" i="2"/>
  <c r="J174" i="2"/>
  <c r="J124" i="2"/>
  <c r="K178" i="2"/>
  <c r="M178" i="2"/>
  <c r="J131" i="2"/>
  <c r="J126" i="2"/>
  <c r="M126" i="2"/>
  <c r="J223" i="2"/>
  <c r="K218" i="2"/>
  <c r="J207" i="2"/>
  <c r="K205" i="2"/>
  <c r="K213" i="2"/>
  <c r="M213" i="2"/>
  <c r="J179" i="2"/>
  <c r="M179" i="2"/>
  <c r="J202" i="2"/>
  <c r="M202" i="2"/>
  <c r="K185" i="2"/>
  <c r="J180" i="2"/>
  <c r="M180" i="2"/>
  <c r="J160" i="2"/>
  <c r="K158" i="2"/>
  <c r="M158" i="2"/>
  <c r="J115" i="2"/>
  <c r="M115" i="2"/>
  <c r="J123" i="2"/>
  <c r="M123" i="2"/>
  <c r="K97" i="2"/>
  <c r="J181" i="2"/>
  <c r="M181" i="2"/>
  <c r="J142" i="2"/>
  <c r="M142" i="2"/>
  <c r="K129" i="2"/>
  <c r="M129" i="2"/>
  <c r="J113" i="2"/>
  <c r="K92" i="2"/>
  <c r="K159" i="2"/>
  <c r="J154" i="2"/>
  <c r="J147" i="2"/>
  <c r="M147" i="2"/>
  <c r="K125" i="2"/>
  <c r="M125" i="2"/>
  <c r="L101" i="2"/>
  <c r="L102" i="2"/>
  <c r="K165" i="2"/>
  <c r="M165" i="2"/>
  <c r="J140" i="2"/>
  <c r="M140" i="2"/>
  <c r="J98" i="2"/>
  <c r="L179" i="1"/>
  <c r="J179" i="1"/>
  <c r="L6" i="2"/>
  <c r="N6" i="2"/>
  <c r="M6" i="2" s="1"/>
  <c r="L178" i="1"/>
  <c r="J178" i="1"/>
  <c r="H191" i="1"/>
  <c r="L176" i="1"/>
  <c r="J176" i="1"/>
  <c r="L174" i="1"/>
  <c r="J174" i="1"/>
  <c r="H192" i="1"/>
  <c r="L185" i="1"/>
  <c r="J185" i="1"/>
  <c r="L187" i="1"/>
  <c r="J187" i="1"/>
  <c r="J222" i="2"/>
  <c r="M222" i="2"/>
  <c r="J221" i="2"/>
  <c r="M221" i="2"/>
  <c r="J212" i="2"/>
  <c r="K121" i="2"/>
  <c r="M121" i="2"/>
  <c r="J186" i="2"/>
  <c r="J166" i="2"/>
  <c r="M166" i="2"/>
  <c r="J95" i="2"/>
  <c r="M95" i="2"/>
  <c r="K224" i="2"/>
  <c r="M224" i="2"/>
  <c r="K220" i="2"/>
  <c r="M220" i="2"/>
  <c r="K207" i="2"/>
  <c r="J175" i="2"/>
  <c r="M175" i="2"/>
  <c r="K152" i="2"/>
  <c r="J93" i="2"/>
  <c r="K208" i="2"/>
  <c r="M208" i="2"/>
  <c r="K153" i="2"/>
  <c r="K144" i="2"/>
  <c r="K116" i="2"/>
  <c r="J96" i="2"/>
  <c r="M96" i="2"/>
  <c r="J214" i="2"/>
  <c r="M214" i="2"/>
  <c r="J155" i="2"/>
  <c r="M155" i="2"/>
  <c r="K149" i="2"/>
  <c r="J127" i="2"/>
  <c r="M127" i="2"/>
  <c r="J120" i="2"/>
  <c r="J156" i="2"/>
  <c r="K150" i="2"/>
  <c r="M150" i="2"/>
  <c r="K142" i="2"/>
  <c r="K117" i="2"/>
  <c r="M117" i="2"/>
  <c r="M91" i="2"/>
  <c r="N101" i="2"/>
  <c r="N102" i="2"/>
  <c r="K132" i="2"/>
  <c r="J118" i="2"/>
  <c r="M118" i="2"/>
  <c r="H21" i="2"/>
  <c r="H20" i="2"/>
  <c r="I22" i="2"/>
  <c r="H22" i="2"/>
  <c r="I20" i="2"/>
  <c r="N9" i="2"/>
  <c r="M9" i="2" s="1"/>
  <c r="L9" i="2"/>
  <c r="N17" i="2"/>
  <c r="M17" i="2" s="1"/>
  <c r="L17" i="2"/>
  <c r="L15" i="2"/>
  <c r="N15" i="2"/>
  <c r="M15" i="2" s="1"/>
  <c r="L11" i="2"/>
  <c r="N11" i="2"/>
  <c r="M11" i="2" s="1"/>
  <c r="L10" i="2"/>
  <c r="N10" i="2"/>
  <c r="M10" i="2" s="1"/>
  <c r="N13" i="2"/>
  <c r="M13" i="2" s="1"/>
  <c r="L13" i="2"/>
  <c r="N8" i="2"/>
  <c r="L8" i="2"/>
  <c r="L18" i="2"/>
  <c r="N18" i="2"/>
  <c r="M18" i="2" s="1"/>
  <c r="L14" i="2"/>
  <c r="N14" i="2"/>
  <c r="M14" i="2" s="1"/>
  <c r="N16" i="2"/>
  <c r="M16" i="2" s="1"/>
  <c r="L16" i="2"/>
  <c r="N12" i="2"/>
  <c r="M12" i="2" s="1"/>
  <c r="L12" i="2"/>
  <c r="L7" i="2"/>
  <c r="N7" i="2"/>
  <c r="K8" i="2"/>
  <c r="L157" i="1"/>
  <c r="J157" i="1"/>
  <c r="L159" i="1"/>
  <c r="J159" i="1"/>
  <c r="L158" i="1"/>
  <c r="J158" i="1"/>
  <c r="L160" i="1"/>
  <c r="J160" i="1"/>
  <c r="L156" i="1"/>
  <c r="J156" i="1"/>
  <c r="L161" i="1"/>
  <c r="J161" i="1"/>
  <c r="L162" i="1"/>
  <c r="J162" i="1"/>
  <c r="D152" i="1"/>
  <c r="D153" i="1"/>
  <c r="D158" i="1"/>
  <c r="D159" i="1"/>
  <c r="D151" i="1"/>
  <c r="I150" i="1"/>
  <c r="K150" i="1" s="1"/>
  <c r="I151" i="1"/>
  <c r="I152" i="1"/>
  <c r="K152" i="1" s="1"/>
  <c r="I153" i="1"/>
  <c r="K153" i="1" s="1"/>
  <c r="I154" i="1"/>
  <c r="H150" i="1"/>
  <c r="H151" i="1"/>
  <c r="H152" i="1"/>
  <c r="H153" i="1"/>
  <c r="H154" i="1"/>
  <c r="H155" i="1"/>
  <c r="I149" i="1"/>
  <c r="K149" i="1" s="1"/>
  <c r="H149" i="1"/>
  <c r="I143" i="1"/>
  <c r="K143" i="1" s="1"/>
  <c r="I144" i="1"/>
  <c r="K144" i="1" s="1"/>
  <c r="I145" i="1"/>
  <c r="K145" i="1" s="1"/>
  <c r="I146" i="1"/>
  <c r="K146" i="1" s="1"/>
  <c r="H143" i="1"/>
  <c r="H144" i="1"/>
  <c r="H145" i="1"/>
  <c r="H146" i="1"/>
  <c r="I142" i="1"/>
  <c r="H142" i="1"/>
  <c r="I118" i="1"/>
  <c r="K118" i="1" s="1"/>
  <c r="H118" i="1"/>
  <c r="I117" i="1"/>
  <c r="K117" i="1" s="1"/>
  <c r="H117" i="1"/>
  <c r="I116" i="1"/>
  <c r="K116" i="1" s="1"/>
  <c r="H116" i="1"/>
  <c r="H112" i="1"/>
  <c r="H113" i="1"/>
  <c r="H114" i="1"/>
  <c r="H115" i="1"/>
  <c r="I112" i="1"/>
  <c r="K112" i="1" s="1"/>
  <c r="I113" i="1"/>
  <c r="K113" i="1" s="1"/>
  <c r="I114" i="1"/>
  <c r="K114" i="1" s="1"/>
  <c r="I115" i="1"/>
  <c r="K115" i="1" s="1"/>
  <c r="D109" i="1"/>
  <c r="D110" i="1"/>
  <c r="D111" i="1"/>
  <c r="H109" i="1"/>
  <c r="H110" i="1"/>
  <c r="H111" i="1"/>
  <c r="D108" i="1"/>
  <c r="H108" i="1"/>
  <c r="I105" i="1"/>
  <c r="K105" i="1" s="1"/>
  <c r="I106" i="1"/>
  <c r="K106" i="1" s="1"/>
  <c r="I107" i="1"/>
  <c r="K107" i="1" s="1"/>
  <c r="I108" i="1"/>
  <c r="K108" i="1" s="1"/>
  <c r="I109" i="1"/>
  <c r="K109" i="1" s="1"/>
  <c r="I110" i="1"/>
  <c r="K110" i="1" s="1"/>
  <c r="I111" i="1"/>
  <c r="K111" i="1" s="1"/>
  <c r="I104" i="1"/>
  <c r="K104" i="1" s="1"/>
  <c r="I103" i="1"/>
  <c r="K103" i="1" s="1"/>
  <c r="I102" i="1"/>
  <c r="K102" i="1" s="1"/>
  <c r="I101" i="1"/>
  <c r="K101" i="1" s="1"/>
  <c r="I100" i="1"/>
  <c r="K100" i="1" s="1"/>
  <c r="I94" i="1"/>
  <c r="K94" i="1" s="1"/>
  <c r="H107" i="1"/>
  <c r="H104" i="1"/>
  <c r="H105" i="1"/>
  <c r="H106" i="1"/>
  <c r="H103" i="1"/>
  <c r="H102" i="1"/>
  <c r="D102" i="1"/>
  <c r="D101" i="1"/>
  <c r="D100" i="1"/>
  <c r="H99" i="1"/>
  <c r="H100" i="1"/>
  <c r="H101" i="1"/>
  <c r="I99" i="1"/>
  <c r="K99" i="1" s="1"/>
  <c r="D99" i="1"/>
  <c r="D95" i="1"/>
  <c r="D96" i="1"/>
  <c r="D97" i="1"/>
  <c r="D98" i="1"/>
  <c r="I95" i="1"/>
  <c r="K95" i="1" s="1"/>
  <c r="I96" i="1"/>
  <c r="K96" i="1" s="1"/>
  <c r="I97" i="1"/>
  <c r="K97" i="1" s="1"/>
  <c r="I98" i="1"/>
  <c r="K98" i="1" s="1"/>
  <c r="H95" i="1"/>
  <c r="H96" i="1"/>
  <c r="H97" i="1"/>
  <c r="H98" i="1"/>
  <c r="D94" i="1"/>
  <c r="H94" i="1"/>
  <c r="D129" i="1"/>
  <c r="I129" i="1"/>
  <c r="K129" i="1" s="1"/>
  <c r="I130" i="1"/>
  <c r="K130" i="1" s="1"/>
  <c r="H129" i="1"/>
  <c r="H130" i="1"/>
  <c r="D128" i="1"/>
  <c r="I128" i="1"/>
  <c r="H128" i="1"/>
  <c r="D87" i="1"/>
  <c r="H85" i="1"/>
  <c r="P85" i="1" s="1"/>
  <c r="H86" i="1"/>
  <c r="P86" i="1" s="1"/>
  <c r="H87" i="1"/>
  <c r="P87" i="1" s="1"/>
  <c r="H88" i="1"/>
  <c r="P88" i="1" s="1"/>
  <c r="H89" i="1"/>
  <c r="P89" i="1" s="1"/>
  <c r="H90" i="1"/>
  <c r="P90" i="1" s="1"/>
  <c r="I85" i="1"/>
  <c r="K85" i="1" s="1"/>
  <c r="I86" i="1"/>
  <c r="K86" i="1" s="1"/>
  <c r="I87" i="1"/>
  <c r="K87" i="1" s="1"/>
  <c r="I88" i="1"/>
  <c r="I89" i="1"/>
  <c r="K89" i="1" s="1"/>
  <c r="I90" i="1"/>
  <c r="K90" i="1" s="1"/>
  <c r="D79" i="1"/>
  <c r="D80" i="1"/>
  <c r="D81" i="1"/>
  <c r="D82" i="1"/>
  <c r="D83" i="1"/>
  <c r="D84" i="1"/>
  <c r="D85" i="1"/>
  <c r="D86" i="1"/>
  <c r="D78" i="1"/>
  <c r="I77" i="1"/>
  <c r="K77" i="1" s="1"/>
  <c r="I78" i="1"/>
  <c r="I79" i="1"/>
  <c r="I80" i="1"/>
  <c r="K80" i="1" s="1"/>
  <c r="I81" i="1"/>
  <c r="K81" i="1" s="1"/>
  <c r="I82" i="1"/>
  <c r="K82" i="1" s="1"/>
  <c r="I83" i="1"/>
  <c r="K83" i="1" s="1"/>
  <c r="I84" i="1"/>
  <c r="K84" i="1" s="1"/>
  <c r="H78" i="1"/>
  <c r="P78" i="1" s="1"/>
  <c r="H79" i="1"/>
  <c r="P79" i="1" s="1"/>
  <c r="H80" i="1"/>
  <c r="P80" i="1" s="1"/>
  <c r="H81" i="1"/>
  <c r="P81" i="1" s="1"/>
  <c r="H82" i="1"/>
  <c r="P82" i="1" s="1"/>
  <c r="H83" i="1"/>
  <c r="P83" i="1" s="1"/>
  <c r="H84" i="1"/>
  <c r="P84" i="1" s="1"/>
  <c r="I76" i="1"/>
  <c r="K76" i="1" s="1"/>
  <c r="H76" i="1"/>
  <c r="P76" i="1" s="1"/>
  <c r="H77" i="1"/>
  <c r="P77" i="1" s="1"/>
  <c r="I74" i="1"/>
  <c r="I75" i="1"/>
  <c r="K75" i="1" s="1"/>
  <c r="H74" i="1"/>
  <c r="P74" i="1" s="1"/>
  <c r="H75" i="1"/>
  <c r="P75" i="1" s="1"/>
  <c r="I73" i="1"/>
  <c r="K73" i="1" s="1"/>
  <c r="H73" i="1"/>
  <c r="P73" i="1" s="1"/>
  <c r="I54" i="1"/>
  <c r="K54" i="1" s="1"/>
  <c r="I55" i="1"/>
  <c r="K55" i="1" s="1"/>
  <c r="I56" i="1"/>
  <c r="K56" i="1" s="1"/>
  <c r="H57" i="1"/>
  <c r="H56" i="1"/>
  <c r="P56" i="1" s="1"/>
  <c r="H55" i="1"/>
  <c r="P55" i="1" s="1"/>
  <c r="H54" i="1"/>
  <c r="P54" i="1" s="1"/>
  <c r="D53" i="1"/>
  <c r="D52" i="1"/>
  <c r="D51" i="1"/>
  <c r="D50" i="1"/>
  <c r="I50" i="1"/>
  <c r="K50" i="1" s="1"/>
  <c r="I51" i="1"/>
  <c r="K51" i="1" s="1"/>
  <c r="I52" i="1"/>
  <c r="K52" i="1" s="1"/>
  <c r="I53" i="1"/>
  <c r="K53" i="1" s="1"/>
  <c r="H50" i="1"/>
  <c r="P50" i="1" s="1"/>
  <c r="H51" i="1"/>
  <c r="P51" i="1" s="1"/>
  <c r="H52" i="1"/>
  <c r="P52" i="1" s="1"/>
  <c r="H53" i="1"/>
  <c r="P53" i="1" s="1"/>
  <c r="I48" i="1"/>
  <c r="K48" i="1" s="1"/>
  <c r="I49" i="1"/>
  <c r="K49" i="1" s="1"/>
  <c r="H49" i="1"/>
  <c r="P49" i="1" s="1"/>
  <c r="H48" i="1"/>
  <c r="P48" i="1" s="1"/>
  <c r="I46" i="1"/>
  <c r="I47" i="1"/>
  <c r="K47" i="1" s="1"/>
  <c r="H47" i="1"/>
  <c r="P47" i="1" s="1"/>
  <c r="H46" i="1"/>
  <c r="P46" i="1" s="1"/>
  <c r="D40" i="1"/>
  <c r="D41" i="1"/>
  <c r="D42" i="1"/>
  <c r="D43" i="1"/>
  <c r="D44" i="1"/>
  <c r="D45" i="1"/>
  <c r="I40" i="1"/>
  <c r="I41" i="1"/>
  <c r="I42" i="1"/>
  <c r="K42" i="1" s="1"/>
  <c r="I43" i="1"/>
  <c r="K43" i="1" s="1"/>
  <c r="I44" i="1"/>
  <c r="K44" i="1" s="1"/>
  <c r="I45" i="1"/>
  <c r="K45" i="1" s="1"/>
  <c r="H40" i="1"/>
  <c r="P40" i="1" s="1"/>
  <c r="H41" i="1"/>
  <c r="P41" i="1" s="1"/>
  <c r="H42" i="1"/>
  <c r="P42" i="1" s="1"/>
  <c r="H43" i="1"/>
  <c r="P43" i="1" s="1"/>
  <c r="H44" i="1"/>
  <c r="P44" i="1" s="1"/>
  <c r="H45" i="1"/>
  <c r="P45" i="1" s="1"/>
  <c r="I39" i="1"/>
  <c r="K39" i="1" s="1"/>
  <c r="H39" i="1"/>
  <c r="P39" i="1" s="1"/>
  <c r="D39" i="1"/>
  <c r="I31" i="1"/>
  <c r="K31" i="1" s="1"/>
  <c r="H32" i="1"/>
  <c r="D30" i="1"/>
  <c r="H31" i="1"/>
  <c r="P31" i="1" s="1"/>
  <c r="I29" i="1"/>
  <c r="K29" i="1" s="1"/>
  <c r="I30" i="1"/>
  <c r="K30" i="1" s="1"/>
  <c r="H30" i="1"/>
  <c r="P30" i="1" s="1"/>
  <c r="H29" i="1"/>
  <c r="P29" i="1" s="1"/>
  <c r="D28" i="1"/>
  <c r="I23" i="1"/>
  <c r="I24" i="1"/>
  <c r="K24" i="1" s="1"/>
  <c r="I25" i="1"/>
  <c r="I26" i="1"/>
  <c r="K26" i="1" s="1"/>
  <c r="I27" i="1"/>
  <c r="K27" i="1" s="1"/>
  <c r="I28" i="1"/>
  <c r="K28" i="1" s="1"/>
  <c r="I22" i="1"/>
  <c r="K22" i="1" s="1"/>
  <c r="H23" i="1"/>
  <c r="P23" i="1" s="1"/>
  <c r="H24" i="1"/>
  <c r="P24" i="1" s="1"/>
  <c r="H25" i="1"/>
  <c r="P25" i="1" s="1"/>
  <c r="H26" i="1"/>
  <c r="P26" i="1" s="1"/>
  <c r="H27" i="1"/>
  <c r="P27" i="1" s="1"/>
  <c r="H28" i="1"/>
  <c r="P28" i="1" s="1"/>
  <c r="H22" i="1"/>
  <c r="P22" i="1" s="1"/>
  <c r="D27" i="1"/>
  <c r="D26" i="1"/>
  <c r="D23" i="1"/>
  <c r="D24" i="1"/>
  <c r="D22" i="1"/>
  <c r="U8" i="1"/>
  <c r="U9" i="1"/>
  <c r="U10" i="1"/>
  <c r="U7" i="1"/>
  <c r="T9" i="1"/>
  <c r="T10" i="1"/>
  <c r="T11" i="1"/>
  <c r="T7" i="1"/>
  <c r="T8" i="1"/>
  <c r="I12" i="1"/>
  <c r="K12" i="1" s="1"/>
  <c r="I13" i="1"/>
  <c r="K13" i="1" s="1"/>
  <c r="I14" i="1"/>
  <c r="K14" i="1" s="1"/>
  <c r="H12" i="1"/>
  <c r="P12" i="1" s="1"/>
  <c r="H13" i="1"/>
  <c r="P13" i="1" s="1"/>
  <c r="H14" i="1"/>
  <c r="P14" i="1" s="1"/>
  <c r="H15" i="1"/>
  <c r="I11" i="1"/>
  <c r="K11" i="1" s="1"/>
  <c r="H11" i="1"/>
  <c r="P11" i="1" s="1"/>
  <c r="I7" i="1"/>
  <c r="I8" i="1"/>
  <c r="K8" i="1" s="1"/>
  <c r="I9" i="1"/>
  <c r="K9" i="1" s="1"/>
  <c r="I10" i="1"/>
  <c r="K10" i="1" s="1"/>
  <c r="H7" i="1"/>
  <c r="P7" i="1" s="1"/>
  <c r="H8" i="1"/>
  <c r="P8" i="1" s="1"/>
  <c r="H9" i="1"/>
  <c r="P9" i="1" s="1"/>
  <c r="H10" i="1"/>
  <c r="P10" i="1" s="1"/>
  <c r="I6" i="1"/>
  <c r="K6" i="1" s="1"/>
  <c r="H6" i="1"/>
  <c r="P6" i="1" s="1"/>
  <c r="P59" i="1" l="1"/>
  <c r="P16" i="1"/>
  <c r="P60" i="1"/>
  <c r="P120" i="1"/>
  <c r="P58" i="1"/>
  <c r="P34" i="1"/>
  <c r="P33" i="1"/>
  <c r="I34" i="1"/>
  <c r="H34" i="1"/>
  <c r="H123" i="1"/>
  <c r="K79" i="1"/>
  <c r="I123" i="1"/>
  <c r="H122" i="1"/>
  <c r="H120" i="1"/>
  <c r="H167" i="1"/>
  <c r="K101" i="2"/>
  <c r="J103" i="2"/>
  <c r="H35" i="1"/>
  <c r="H33" i="1"/>
  <c r="H58" i="1"/>
  <c r="H61" i="1"/>
  <c r="H168" i="1"/>
  <c r="H165" i="1"/>
  <c r="H166" i="1"/>
  <c r="H169" i="1"/>
  <c r="K102" i="2"/>
  <c r="D32" i="1"/>
  <c r="L191" i="1"/>
  <c r="J102" i="2"/>
  <c r="J191" i="1"/>
  <c r="J101" i="2"/>
  <c r="K41" i="1"/>
  <c r="K60" i="1" s="1"/>
  <c r="I60" i="1"/>
  <c r="L130" i="1"/>
  <c r="J130" i="1"/>
  <c r="J6" i="2"/>
  <c r="L190" i="1"/>
  <c r="H132" i="1"/>
  <c r="L128" i="1"/>
  <c r="J128" i="1"/>
  <c r="K142" i="1"/>
  <c r="K165" i="1" s="1"/>
  <c r="I165" i="1"/>
  <c r="K151" i="1"/>
  <c r="K166" i="1" s="1"/>
  <c r="I166" i="1"/>
  <c r="M102" i="2"/>
  <c r="M101" i="2"/>
  <c r="K6" i="2"/>
  <c r="M103" i="2"/>
  <c r="L129" i="1"/>
  <c r="J129" i="1"/>
  <c r="H60" i="1"/>
  <c r="I132" i="1"/>
  <c r="K128" i="1"/>
  <c r="K132" i="1" s="1"/>
  <c r="K154" i="1"/>
  <c r="K167" i="1" s="1"/>
  <c r="I167" i="1"/>
  <c r="J192" i="1"/>
  <c r="J190" i="1"/>
  <c r="L192" i="1"/>
  <c r="K103" i="2"/>
  <c r="L22" i="2"/>
  <c r="N21" i="2"/>
  <c r="M8" i="2"/>
  <c r="M22" i="2" s="1"/>
  <c r="N22" i="2"/>
  <c r="L21" i="2"/>
  <c r="K17" i="2"/>
  <c r="K13" i="2"/>
  <c r="K15" i="2"/>
  <c r="L20" i="2"/>
  <c r="M7" i="2"/>
  <c r="N20" i="2"/>
  <c r="K9" i="2"/>
  <c r="K16" i="2"/>
  <c r="J8" i="2"/>
  <c r="J17" i="2"/>
  <c r="K11" i="2"/>
  <c r="J11" i="2"/>
  <c r="K10" i="2"/>
  <c r="K12" i="2"/>
  <c r="K18" i="2"/>
  <c r="J10" i="2"/>
  <c r="J7" i="2"/>
  <c r="J12" i="2"/>
  <c r="J18" i="2"/>
  <c r="K14" i="2"/>
  <c r="J14" i="2"/>
  <c r="K7" i="2"/>
  <c r="J16" i="2"/>
  <c r="J13" i="2"/>
  <c r="J15" i="2"/>
  <c r="J9" i="2"/>
  <c r="K78" i="1"/>
  <c r="K121" i="1" s="1"/>
  <c r="I121" i="1"/>
  <c r="L94" i="1"/>
  <c r="J94" i="1"/>
  <c r="L96" i="1"/>
  <c r="J96" i="1"/>
  <c r="L101" i="1"/>
  <c r="J101" i="1"/>
  <c r="L106" i="1"/>
  <c r="J106" i="1"/>
  <c r="L110" i="1"/>
  <c r="J110" i="1"/>
  <c r="L112" i="1"/>
  <c r="J112" i="1"/>
  <c r="L143" i="1"/>
  <c r="J143" i="1"/>
  <c r="L154" i="1"/>
  <c r="J154" i="1"/>
  <c r="L150" i="1"/>
  <c r="J150" i="1"/>
  <c r="H121" i="1"/>
  <c r="K88" i="1"/>
  <c r="K122" i="1" s="1"/>
  <c r="I122" i="1"/>
  <c r="L95" i="1"/>
  <c r="J95" i="1"/>
  <c r="L100" i="1"/>
  <c r="J100" i="1"/>
  <c r="L105" i="1"/>
  <c r="J105" i="1"/>
  <c r="L108" i="1"/>
  <c r="J108" i="1"/>
  <c r="L109" i="1"/>
  <c r="J109" i="1"/>
  <c r="L115" i="1"/>
  <c r="J115" i="1"/>
  <c r="L116" i="1"/>
  <c r="J116" i="1"/>
  <c r="L118" i="1"/>
  <c r="J118" i="1"/>
  <c r="L146" i="1"/>
  <c r="J146" i="1"/>
  <c r="L149" i="1"/>
  <c r="J149" i="1"/>
  <c r="L153" i="1"/>
  <c r="J153" i="1"/>
  <c r="L98" i="1"/>
  <c r="J98" i="1"/>
  <c r="L99" i="1"/>
  <c r="J99" i="1"/>
  <c r="L102" i="1"/>
  <c r="J102" i="1"/>
  <c r="L104" i="1"/>
  <c r="J104" i="1"/>
  <c r="L114" i="1"/>
  <c r="J114" i="1"/>
  <c r="L145" i="1"/>
  <c r="J145" i="1"/>
  <c r="L152" i="1"/>
  <c r="J152" i="1"/>
  <c r="K74" i="1"/>
  <c r="K120" i="1" s="1"/>
  <c r="I120" i="1"/>
  <c r="L97" i="1"/>
  <c r="J97" i="1"/>
  <c r="L103" i="1"/>
  <c r="J103" i="1"/>
  <c r="L107" i="1"/>
  <c r="J107" i="1"/>
  <c r="L111" i="1"/>
  <c r="J111" i="1"/>
  <c r="L113" i="1"/>
  <c r="J113" i="1"/>
  <c r="L117" i="1"/>
  <c r="J117" i="1"/>
  <c r="L142" i="1"/>
  <c r="J142" i="1"/>
  <c r="L144" i="1"/>
  <c r="J144" i="1"/>
  <c r="L155" i="1"/>
  <c r="J155" i="1"/>
  <c r="L151" i="1"/>
  <c r="J151" i="1"/>
  <c r="L73" i="1"/>
  <c r="J73" i="1"/>
  <c r="J22" i="1"/>
  <c r="L22" i="1"/>
  <c r="J39" i="1"/>
  <c r="L39" i="1"/>
  <c r="L6" i="1"/>
  <c r="J6" i="1"/>
  <c r="I33" i="1"/>
  <c r="L42" i="1"/>
  <c r="J42" i="1"/>
  <c r="I58" i="1"/>
  <c r="K40" i="1"/>
  <c r="K58" i="1" s="1"/>
  <c r="L47" i="1"/>
  <c r="J47" i="1"/>
  <c r="L49" i="1"/>
  <c r="J49" i="1"/>
  <c r="L52" i="1"/>
  <c r="J52" i="1"/>
  <c r="L75" i="1"/>
  <c r="J75" i="1"/>
  <c r="L77" i="1"/>
  <c r="J77" i="1"/>
  <c r="L83" i="1"/>
  <c r="J83" i="1"/>
  <c r="L79" i="1"/>
  <c r="J79" i="1"/>
  <c r="L87" i="1"/>
  <c r="J87" i="1"/>
  <c r="L45" i="1"/>
  <c r="J45" i="1"/>
  <c r="L41" i="1"/>
  <c r="J41" i="1"/>
  <c r="L56" i="1"/>
  <c r="J56" i="1"/>
  <c r="L76" i="1"/>
  <c r="J76" i="1"/>
  <c r="L82" i="1"/>
  <c r="J82" i="1"/>
  <c r="L78" i="1"/>
  <c r="J78" i="1"/>
  <c r="K25" i="1"/>
  <c r="K34" i="1" s="1"/>
  <c r="L44" i="1"/>
  <c r="J44" i="1"/>
  <c r="L40" i="1"/>
  <c r="J40" i="1"/>
  <c r="I59" i="1"/>
  <c r="K46" i="1"/>
  <c r="K59" i="1" s="1"/>
  <c r="L50" i="1"/>
  <c r="J50" i="1"/>
  <c r="L81" i="1"/>
  <c r="J81" i="1"/>
  <c r="L89" i="1"/>
  <c r="J89" i="1"/>
  <c r="L85" i="1"/>
  <c r="J85" i="1"/>
  <c r="L43" i="1"/>
  <c r="J43" i="1"/>
  <c r="H59" i="1"/>
  <c r="L46" i="1"/>
  <c r="J46" i="1"/>
  <c r="L48" i="1"/>
  <c r="J48" i="1"/>
  <c r="L53" i="1"/>
  <c r="J53" i="1"/>
  <c r="L54" i="1"/>
  <c r="J54" i="1"/>
  <c r="L84" i="1"/>
  <c r="J84" i="1"/>
  <c r="L80" i="1"/>
  <c r="J80" i="1"/>
  <c r="L88" i="1"/>
  <c r="J88" i="1"/>
  <c r="L55" i="1"/>
  <c r="J55" i="1"/>
  <c r="L51" i="1"/>
  <c r="J51" i="1"/>
  <c r="L74" i="1"/>
  <c r="J74" i="1"/>
  <c r="L90" i="1"/>
  <c r="J90" i="1"/>
  <c r="L86" i="1"/>
  <c r="J86" i="1"/>
  <c r="L8" i="1"/>
  <c r="J8" i="1"/>
  <c r="L26" i="1"/>
  <c r="J26" i="1"/>
  <c r="L29" i="1"/>
  <c r="J29" i="1"/>
  <c r="L31" i="1"/>
  <c r="J31" i="1"/>
  <c r="J7" i="1"/>
  <c r="L7" i="1"/>
  <c r="H16" i="1"/>
  <c r="I16" i="1"/>
  <c r="K7" i="1"/>
  <c r="K16" i="1" s="1"/>
  <c r="J14" i="1"/>
  <c r="L14" i="1"/>
  <c r="L25" i="1"/>
  <c r="J25" i="1"/>
  <c r="L30" i="1"/>
  <c r="J30" i="1"/>
  <c r="J10" i="1"/>
  <c r="L10" i="1"/>
  <c r="J11" i="1"/>
  <c r="L11" i="1"/>
  <c r="L13" i="1"/>
  <c r="J13" i="1"/>
  <c r="L28" i="1"/>
  <c r="J28" i="1"/>
  <c r="L24" i="1"/>
  <c r="J24" i="1"/>
  <c r="K23" i="1"/>
  <c r="K33" i="1" s="1"/>
  <c r="L9" i="1"/>
  <c r="J9" i="1"/>
  <c r="L12" i="1"/>
  <c r="J12" i="1"/>
  <c r="L27" i="1"/>
  <c r="J27" i="1"/>
  <c r="L23" i="1"/>
  <c r="J23" i="1"/>
  <c r="J34" i="1" l="1"/>
  <c r="L34" i="1"/>
  <c r="J123" i="1"/>
  <c r="L123" i="1"/>
  <c r="K123" i="1"/>
  <c r="J132" i="1"/>
  <c r="J167" i="1"/>
  <c r="L166" i="1"/>
  <c r="J166" i="1"/>
  <c r="L120" i="1"/>
  <c r="J60" i="1"/>
  <c r="J165" i="1"/>
  <c r="L167" i="1"/>
  <c r="L132" i="1"/>
  <c r="L60" i="1"/>
  <c r="L165" i="1"/>
  <c r="K22" i="2"/>
  <c r="J21" i="2"/>
  <c r="M20" i="2"/>
  <c r="M21" i="2"/>
  <c r="K21" i="2"/>
  <c r="J22" i="2"/>
  <c r="K20" i="2"/>
  <c r="J20" i="2"/>
  <c r="J120" i="1"/>
  <c r="J121" i="1"/>
  <c r="J122" i="1"/>
  <c r="L121" i="1"/>
  <c r="L122" i="1"/>
  <c r="J59" i="1"/>
  <c r="J33" i="1"/>
  <c r="J58" i="1"/>
  <c r="L33" i="1"/>
  <c r="L59" i="1"/>
  <c r="L58" i="1"/>
  <c r="L16" i="1"/>
  <c r="J16" i="1"/>
  <c r="L15" i="52"/>
  <c r="N16" i="52"/>
  <c r="J16" i="52" s="1"/>
  <c r="H13" i="52"/>
  <c r="N13" i="52" s="1"/>
  <c r="M13" i="52" s="1"/>
  <c r="I13" i="52"/>
  <c r="I9" i="52"/>
  <c r="H9" i="52"/>
  <c r="I16" i="52"/>
  <c r="H16" i="52"/>
  <c r="L16" i="52" s="1"/>
  <c r="I14" i="52"/>
  <c r="H14" i="52"/>
  <c r="L14" i="52" s="1"/>
  <c r="I17" i="52"/>
  <c r="H17" i="52"/>
  <c r="H11" i="52"/>
  <c r="L11" i="52" s="1"/>
  <c r="I11" i="52"/>
  <c r="N11" i="52" s="1"/>
  <c r="M11" i="52" s="1"/>
  <c r="I12" i="52"/>
  <c r="H12" i="52"/>
  <c r="I10" i="52"/>
  <c r="H10" i="52"/>
  <c r="L10" i="52" s="1"/>
  <c r="I15" i="52"/>
  <c r="H15" i="52"/>
  <c r="N9" i="52" l="1"/>
  <c r="M9" i="52" s="1"/>
  <c r="N17" i="52"/>
  <c r="M17" i="52" s="1"/>
  <c r="K16" i="52"/>
  <c r="M16" i="52"/>
  <c r="N10" i="52"/>
  <c r="J10" i="52" s="1"/>
  <c r="L12" i="52"/>
  <c r="K13" i="52"/>
  <c r="L17" i="52"/>
  <c r="N14" i="52"/>
  <c r="M14" i="52" s="1"/>
  <c r="K17" i="52"/>
  <c r="J17" i="52"/>
  <c r="K9" i="52"/>
  <c r="N15" i="52"/>
  <c r="J11" i="52"/>
  <c r="J13" i="52"/>
  <c r="N12" i="52"/>
  <c r="M12" i="52" s="1"/>
  <c r="K11" i="52"/>
  <c r="L9" i="52"/>
  <c r="L13" i="52"/>
  <c r="J9" i="52"/>
  <c r="J12" i="52"/>
  <c r="K12" i="52" l="1"/>
  <c r="K10" i="52"/>
  <c r="M10" i="52"/>
  <c r="K14" i="52"/>
  <c r="J14" i="52"/>
  <c r="J15" i="52"/>
  <c r="M15" i="52"/>
  <c r="K15" i="52"/>
</calcChain>
</file>

<file path=xl/sharedStrings.xml><?xml version="1.0" encoding="utf-8"?>
<sst xmlns="http://schemas.openxmlformats.org/spreadsheetml/2006/main" count="16622" uniqueCount="898">
  <si>
    <t>CabPK</t>
  </si>
  <si>
    <t>LG start</t>
  </si>
  <si>
    <t>LG stop</t>
  </si>
  <si>
    <t>Prot</t>
  </si>
  <si>
    <t>Retr</t>
  </si>
  <si>
    <t>LG DC</t>
  </si>
  <si>
    <t>Int1 DC</t>
  </si>
  <si>
    <t>LG freq</t>
  </si>
  <si>
    <t>GMR freq</t>
  </si>
  <si>
    <t>Period</t>
  </si>
  <si>
    <t>s/b</t>
  </si>
  <si>
    <t>DG start</t>
  </si>
  <si>
    <t>DG stop</t>
  </si>
  <si>
    <t>Burst Lth</t>
  </si>
  <si>
    <t>IBI</t>
  </si>
  <si>
    <t>CabPK + GPR during Retraction</t>
  </si>
  <si>
    <t>*** Data file from Mikey's lab are labeled by the date of the exp (as per protocol in Mikey's lab) thus I'll label on each page at the top, the lab book number and page that each exp can be found in</t>
  </si>
  <si>
    <t>Stim stop</t>
  </si>
  <si>
    <t>Stim start</t>
  </si>
  <si>
    <t>901_018</t>
  </si>
  <si>
    <t>Stim</t>
  </si>
  <si>
    <t>NO STIM</t>
  </si>
  <si>
    <t>CabPK + GPR during Protraction</t>
  </si>
  <si>
    <t xml:space="preserve">*DG burst almost continuously </t>
  </si>
  <si>
    <t>= Stim duration shorter than burst duration</t>
  </si>
  <si>
    <t>CabPK + CCAP + GPR during Protraction</t>
  </si>
  <si>
    <t>** I think GPR threshold increases here (though I did not increase the stim Voltage or freq</t>
  </si>
  <si>
    <t>CabPK + CCAP + GPR during Retraction</t>
  </si>
  <si>
    <t>[Two Cycles of Stim during Retraction - Data Below]</t>
  </si>
  <si>
    <t>↓</t>
  </si>
  <si>
    <t>DG off</t>
  </si>
  <si>
    <t>DG on</t>
  </si>
  <si>
    <t>|</t>
  </si>
  <si>
    <t>901_022</t>
  </si>
  <si>
    <t>MCN1 GMR + GPR</t>
  </si>
  <si>
    <t>Fucked up and used 60Hz stim on GPR (instead of 6Hz)</t>
  </si>
  <si>
    <t>Adjusted Stim Parameters</t>
  </si>
  <si>
    <t>MCN1 GMR + CCAP + GPR</t>
  </si>
  <si>
    <t>*No DG activity during MCN1 stim</t>
  </si>
  <si>
    <t>*No DG activity during MCN1 stim - I think I did something to it during the 60Hz GPR stim</t>
  </si>
  <si>
    <t>= stim was shorter than LG burst</t>
  </si>
  <si>
    <t>= No Stim</t>
  </si>
  <si>
    <t>Num Stims</t>
  </si>
  <si>
    <t>(27 - 30)</t>
  </si>
  <si>
    <t>(33)</t>
  </si>
  <si>
    <t>(35)</t>
  </si>
  <si>
    <t>(37)</t>
  </si>
  <si>
    <t>(39 - 41, 50)</t>
  </si>
  <si>
    <t>(42 - 43)</t>
  </si>
  <si>
    <t>(45)</t>
  </si>
  <si>
    <t>CabPK Wash (first file; 138 sec)</t>
  </si>
  <si>
    <t>*DG bursts are made to align with the nearest LG burst</t>
  </si>
  <si>
    <t>CabPK + CCAP</t>
  </si>
  <si>
    <t>*4 pylorically timed bursts</t>
  </si>
  <si>
    <t>**There is a shift in GMR Cycle frequency and a decrease in the pyloric rhythm</t>
  </si>
  <si>
    <t>New File</t>
  </si>
  <si>
    <t>***NOT SURE IF I CAN USE THIS DATA; LOOKS FUNKY</t>
  </si>
  <si>
    <t>901_026</t>
  </si>
  <si>
    <t>* DG burst continuously</t>
  </si>
  <si>
    <t>*Change in GPR threshold</t>
  </si>
  <si>
    <t>*</t>
  </si>
  <si>
    <t>901_029</t>
  </si>
  <si>
    <t>CabPK + GPR</t>
  </si>
  <si>
    <t>CabPK + CCAP + GPR</t>
  </si>
  <si>
    <t>*DG exhibits 3 long bursts across the 792sec file</t>
  </si>
  <si>
    <t>*DG turns off here, leaving a long LG IBI</t>
  </si>
  <si>
    <t>*DG starts another long burst, short LG burst and long IBI results</t>
  </si>
  <si>
    <t>MCN1 + GPR</t>
  </si>
  <si>
    <t>*Stim was inbetween two LG bursts (retraction phase) and thus IBI is really long</t>
  </si>
  <si>
    <t>MCN1 + CCAP + GPR</t>
  </si>
  <si>
    <t>901_032</t>
  </si>
  <si>
    <t>* No DG activity</t>
  </si>
  <si>
    <t>= Stimulation during that burst</t>
  </si>
  <si>
    <t>= Stim</t>
  </si>
  <si>
    <t>* Turned up Voltage on GPR??</t>
  </si>
  <si>
    <t>No Stim</t>
  </si>
  <si>
    <t>Pre-Stim</t>
  </si>
  <si>
    <t>Mean</t>
  </si>
  <si>
    <t>No-Stim</t>
  </si>
  <si>
    <t>W/ DG</t>
  </si>
  <si>
    <t>W/O  DG</t>
  </si>
  <si>
    <t>w/ DG</t>
  </si>
  <si>
    <t>w/o DG</t>
  </si>
  <si>
    <t>W/O DG</t>
  </si>
  <si>
    <t>CabPK + GPR (Protraction)</t>
  </si>
  <si>
    <t>CabPK + GPR (Retraction)</t>
  </si>
  <si>
    <t>MCN1</t>
  </si>
  <si>
    <t>MCN1 + CCAP</t>
  </si>
  <si>
    <t>901_035</t>
  </si>
  <si>
    <t>STD</t>
  </si>
  <si>
    <t>Protraction</t>
  </si>
  <si>
    <t>CabPK+CCAP</t>
  </si>
  <si>
    <t>MCN1+CCAP</t>
  </si>
  <si>
    <t>Retraction</t>
  </si>
  <si>
    <t>SD</t>
  </si>
  <si>
    <t>SEM</t>
  </si>
  <si>
    <t>LG:DG</t>
  </si>
  <si>
    <t>872_037</t>
  </si>
  <si>
    <t>faster</t>
  </si>
  <si>
    <t>872_041</t>
  </si>
  <si>
    <t>872_110</t>
  </si>
  <si>
    <t>872_116</t>
  </si>
  <si>
    <t>slower</t>
  </si>
  <si>
    <t>872_121</t>
  </si>
  <si>
    <t>same/slower</t>
  </si>
  <si>
    <t>DG always on</t>
  </si>
  <si>
    <t>872_126</t>
  </si>
  <si>
    <t>872_130</t>
  </si>
  <si>
    <t>samish</t>
  </si>
  <si>
    <t>DG not on</t>
  </si>
  <si>
    <t>872_136</t>
  </si>
  <si>
    <t>same</t>
  </si>
  <si>
    <t>872_141</t>
  </si>
  <si>
    <t>872_145</t>
  </si>
  <si>
    <t>872_149</t>
  </si>
  <si>
    <t>890_080</t>
  </si>
  <si>
    <t>890_087</t>
  </si>
  <si>
    <t>890_100</t>
  </si>
  <si>
    <t>890_106</t>
  </si>
  <si>
    <t>MEANs</t>
  </si>
  <si>
    <t>SDs</t>
  </si>
  <si>
    <t>MEAN</t>
  </si>
  <si>
    <t>DG</t>
  </si>
  <si>
    <t>p-value</t>
  </si>
  <si>
    <t>PK+CCAP</t>
  </si>
  <si>
    <t>GPR stim</t>
  </si>
  <si>
    <t>Stim Period</t>
  </si>
  <si>
    <t>10sec</t>
  </si>
  <si>
    <t>4sec</t>
  </si>
  <si>
    <t>5sec</t>
  </si>
  <si>
    <t>exp#</t>
  </si>
  <si>
    <t>File Name</t>
  </si>
  <si>
    <t>Notebook #</t>
  </si>
  <si>
    <t>901_089</t>
  </si>
  <si>
    <t>File #</t>
  </si>
  <si>
    <t>901_089_0057</t>
  </si>
  <si>
    <t>901_089_0058</t>
  </si>
  <si>
    <t>901_089_0059</t>
  </si>
  <si>
    <t>File # :  (Notebook#_Page#_ABFfile#)</t>
  </si>
  <si>
    <t>SpikeFreq</t>
  </si>
  <si>
    <t>901_089_0056</t>
  </si>
  <si>
    <t>901_089_0060</t>
  </si>
  <si>
    <t>901_089_0061</t>
  </si>
  <si>
    <t>901_089_0062</t>
  </si>
  <si>
    <t>Prot. Stim.</t>
  </si>
  <si>
    <t>901_089_0063</t>
  </si>
  <si>
    <t>901_089_0064</t>
  </si>
  <si>
    <t>901_089_0065</t>
  </si>
  <si>
    <t>901_092</t>
  </si>
  <si>
    <t>901_092_0062</t>
  </si>
  <si>
    <t>901_092_0063</t>
  </si>
  <si>
    <t>901_092_0064</t>
  </si>
  <si>
    <t>901_092_0065</t>
  </si>
  <si>
    <t>901_092_0066</t>
  </si>
  <si>
    <t>901_092_0067</t>
  </si>
  <si>
    <t>901_092_0068</t>
  </si>
  <si>
    <t>901_092_0069</t>
  </si>
  <si>
    <t>901_092_0070</t>
  </si>
  <si>
    <t>901_092_0071</t>
  </si>
  <si>
    <t>901_092_0072</t>
  </si>
  <si>
    <t>901_092_0073</t>
  </si>
  <si>
    <t>901_092_0074</t>
  </si>
  <si>
    <t>901_092_0075</t>
  </si>
  <si>
    <t>901_092_0076</t>
  </si>
  <si>
    <t>901_092_0077</t>
  </si>
  <si>
    <t>901_092_0078</t>
  </si>
  <si>
    <t>901_092_0079</t>
  </si>
  <si>
    <t>901_116</t>
  </si>
  <si>
    <t>901_116_0041</t>
  </si>
  <si>
    <t>901_116_0042</t>
  </si>
  <si>
    <t>(RET. Stim)</t>
  </si>
  <si>
    <t>DG HYP.</t>
  </si>
  <si>
    <t>901_116_0043</t>
  </si>
  <si>
    <t>901_116_0044</t>
  </si>
  <si>
    <t>901_116_0045</t>
  </si>
  <si>
    <t>901_116_0046</t>
  </si>
  <si>
    <t>901_116_0047</t>
  </si>
  <si>
    <t>901_116_0048</t>
  </si>
  <si>
    <t>901_116_0049</t>
  </si>
  <si>
    <t>901_116_0050</t>
  </si>
  <si>
    <t>901_116_0051</t>
  </si>
  <si>
    <t>901_146</t>
  </si>
  <si>
    <t>901_146_0092</t>
  </si>
  <si>
    <t>901_146_0093</t>
  </si>
  <si>
    <t>901_146_0094</t>
  </si>
  <si>
    <t>901_146_0095</t>
  </si>
  <si>
    <t>901_146_0096</t>
  </si>
  <si>
    <t>901_146_0097</t>
  </si>
  <si>
    <t>901_127</t>
  </si>
  <si>
    <t>901_127_0099</t>
  </si>
  <si>
    <t>901_127_0100</t>
  </si>
  <si>
    <t>901_127_0101</t>
  </si>
  <si>
    <t>GPR Stim.</t>
  </si>
  <si>
    <t>Post Stim burst</t>
  </si>
  <si>
    <t>All Other</t>
  </si>
  <si>
    <t>Burst After Stim.</t>
  </si>
  <si>
    <t>DG Hyp.</t>
  </si>
  <si>
    <t>w/o DG Hyp.</t>
  </si>
  <si>
    <t>GPR stim.</t>
  </si>
  <si>
    <t>Burst after Stim.</t>
  </si>
  <si>
    <t>All others</t>
  </si>
  <si>
    <t>901_127_0104</t>
  </si>
  <si>
    <t>901_127_0110</t>
  </si>
  <si>
    <t>901_127_0111</t>
  </si>
  <si>
    <t>901_127_0112</t>
  </si>
  <si>
    <t>901_127_0113</t>
  </si>
  <si>
    <t>901_127_0114</t>
  </si>
  <si>
    <t>5 &amp; 8sec</t>
  </si>
  <si>
    <t>8sec</t>
  </si>
  <si>
    <t>7sec</t>
  </si>
  <si>
    <t>932_095</t>
  </si>
  <si>
    <t>DG Hyp</t>
  </si>
  <si>
    <t>932_095_0110</t>
  </si>
  <si>
    <t>932_095_0111</t>
  </si>
  <si>
    <t>932_095_0109</t>
  </si>
  <si>
    <t>CabPK + Dynamic Clamp IMI-CCAP</t>
  </si>
  <si>
    <r>
      <rPr>
        <sz val="18"/>
        <color theme="1"/>
        <rFont val="Calibri"/>
        <family val="2"/>
        <scheme val="minor"/>
      </rPr>
      <t>G</t>
    </r>
    <r>
      <rPr>
        <sz val="11"/>
        <color theme="1"/>
        <rFont val="Calibri"/>
        <family val="2"/>
        <scheme val="minor"/>
      </rPr>
      <t>MI</t>
    </r>
  </si>
  <si>
    <t>932_095_0124</t>
  </si>
  <si>
    <t>932_095_0126</t>
  </si>
  <si>
    <t>932_095_0127</t>
  </si>
  <si>
    <t>DG ON</t>
  </si>
  <si>
    <t>932_095_0128</t>
  </si>
  <si>
    <t>932_095_0129</t>
  </si>
  <si>
    <t>932_095_0130</t>
  </si>
  <si>
    <t>CabPK + Dynamic Clamp neg IMI-CCAP</t>
  </si>
  <si>
    <t>932_095_0167</t>
  </si>
  <si>
    <t>932_095_0168</t>
  </si>
  <si>
    <t>932_095_0169</t>
  </si>
  <si>
    <t>932_095_0170</t>
  </si>
  <si>
    <t>932_095_0171</t>
  </si>
  <si>
    <t>932_095_0172</t>
  </si>
  <si>
    <t>932_087</t>
  </si>
  <si>
    <t>932_087_078</t>
  </si>
  <si>
    <t>932_087_079</t>
  </si>
  <si>
    <t>932_087_080</t>
  </si>
  <si>
    <t>GPR</t>
  </si>
  <si>
    <t>= Stim duration Retractor Phase</t>
  </si>
  <si>
    <t>= Stimulation during Protractor Phase</t>
  </si>
  <si>
    <t>CabPK + GPR during Protraction &amp; Retraction</t>
  </si>
  <si>
    <t>932_087_081</t>
  </si>
  <si>
    <t>932_087_082</t>
  </si>
  <si>
    <t>Protractor Stim Data</t>
  </si>
  <si>
    <t>Retractor Stim Data</t>
  </si>
  <si>
    <t>CabPK+MCN1stim</t>
  </si>
  <si>
    <t>932_087_087</t>
  </si>
  <si>
    <t>CabPK+MCN1stim during Retractor Phase</t>
  </si>
  <si>
    <t>932_087_083</t>
  </si>
  <si>
    <t>932_087_084</t>
  </si>
  <si>
    <t>932_087_085</t>
  </si>
  <si>
    <t>MCN1 Stim</t>
  </si>
  <si>
    <t>All Others</t>
  </si>
  <si>
    <t>= MCN1 stim</t>
  </si>
  <si>
    <t>CabPK (First Application; scroll Right for the next app --&gt;&gt;)</t>
  </si>
  <si>
    <t>CabPK (2nd Application)</t>
  </si>
  <si>
    <t>932_087_0127</t>
  </si>
  <si>
    <t>932_087_128</t>
  </si>
  <si>
    <t>932_100</t>
  </si>
  <si>
    <t>932_100_0030</t>
  </si>
  <si>
    <t>932_100_0031</t>
  </si>
  <si>
    <t>Other</t>
  </si>
  <si>
    <t>932_100_0032</t>
  </si>
  <si>
    <t>DG hyp</t>
  </si>
  <si>
    <t>932_100_0035</t>
  </si>
  <si>
    <t>932_100_0036</t>
  </si>
  <si>
    <t>932_100_0038</t>
  </si>
  <si>
    <t>932_100_0039</t>
  </si>
  <si>
    <t>932_100_0040</t>
  </si>
  <si>
    <t>932_100_0041</t>
  </si>
  <si>
    <t>932_087_154</t>
  </si>
  <si>
    <t>932_087_155</t>
  </si>
  <si>
    <t>932_087_156</t>
  </si>
  <si>
    <t>932_087_157</t>
  </si>
  <si>
    <t>932_087_158</t>
  </si>
  <si>
    <t>Non-stim</t>
  </si>
  <si>
    <t>MCN1 (3.5Hz Stim)</t>
  </si>
  <si>
    <t>MCN1 (3.5Hz Stim) + GPR stim during Retraction</t>
  </si>
  <si>
    <t>****</t>
  </si>
  <si>
    <t>w/o DG hyp</t>
  </si>
  <si>
    <t>Burst after stim</t>
  </si>
  <si>
    <t>MCN1 (3.5Hz Stim) + GPR stim during Protraction</t>
  </si>
  <si>
    <t>901_089_0066</t>
  </si>
  <si>
    <t>Non stim</t>
  </si>
  <si>
    <t>MCN1 stim (6Hz)</t>
  </si>
  <si>
    <t>932_100_0054</t>
  </si>
  <si>
    <t>MCN1 stim (6Hz) + Retractor phase GPR stim</t>
  </si>
  <si>
    <t>932_100_0055</t>
  </si>
  <si>
    <t>MCN1 stim (10Hz) + Retractor phase GPR stim</t>
  </si>
  <si>
    <t>932_100_0060</t>
  </si>
  <si>
    <t>MCN1 stim (10Hz) + Protractor phase GPR stim</t>
  </si>
  <si>
    <t>932_100_0058</t>
  </si>
  <si>
    <t>932_100_0059</t>
  </si>
  <si>
    <t>932_100_0042</t>
  </si>
  <si>
    <t>MCN1 (8Hz)</t>
  </si>
  <si>
    <t>MCN1 (6Hz)</t>
  </si>
  <si>
    <t>MCN1stim (8Hz) + GPR during Protraction &amp; Retraction</t>
  </si>
  <si>
    <t>CabPK + GPR (Protraction) Burst after Stim.</t>
  </si>
  <si>
    <t>CabPK + GPR (Retraction) Burst after Stim.</t>
  </si>
  <si>
    <t>Spike Freq</t>
  </si>
  <si>
    <t>932_017</t>
  </si>
  <si>
    <t>CabPK + GPR stim (Retractor Phase)</t>
  </si>
  <si>
    <t>Ret Stim</t>
  </si>
  <si>
    <t>Burst after Stim</t>
  </si>
  <si>
    <t>Ret</t>
  </si>
  <si>
    <t>Pro Stim.</t>
  </si>
  <si>
    <t>932_115</t>
  </si>
  <si>
    <t>932_012</t>
  </si>
  <si>
    <t>932_012_104</t>
  </si>
  <si>
    <t>932_012_105</t>
  </si>
  <si>
    <t>= Pro. Stim</t>
  </si>
  <si>
    <t>= Ret. Stim</t>
  </si>
  <si>
    <t>932_012_106</t>
  </si>
  <si>
    <t>932_012_107</t>
  </si>
  <si>
    <t>Pro Stim</t>
  </si>
  <si>
    <t>All Non-Stim</t>
  </si>
  <si>
    <t>872_145_0049</t>
  </si>
  <si>
    <t>872_145_0050</t>
  </si>
  <si>
    <t>872_145_0048</t>
  </si>
  <si>
    <t>872_145_0051</t>
  </si>
  <si>
    <t>872_145_0052</t>
  </si>
  <si>
    <t>CabPK + GPR during Retraction (6Hz)</t>
  </si>
  <si>
    <t>Ret stim</t>
  </si>
  <si>
    <t>14sec</t>
  </si>
  <si>
    <t>CabPK + GPR stims (6Hz)</t>
  </si>
  <si>
    <t>= Pro Stim</t>
  </si>
  <si>
    <t>= Ret Stim</t>
  </si>
  <si>
    <t>Pro stim</t>
  </si>
  <si>
    <t>V</t>
  </si>
  <si>
    <t>932_115_0069</t>
  </si>
  <si>
    <t>932_115_0070</t>
  </si>
  <si>
    <t>932_115_0086</t>
  </si>
  <si>
    <t>932_115_0087</t>
  </si>
  <si>
    <t>932_115_0088</t>
  </si>
  <si>
    <t>932_115_0089</t>
  </si>
  <si>
    <t>932_115_0090</t>
  </si>
  <si>
    <t>932_115_0091</t>
  </si>
  <si>
    <t>932_115_0092</t>
  </si>
  <si>
    <t>= GPRstim during Protraction</t>
  </si>
  <si>
    <t>= GPRstim during Retraction</t>
  </si>
  <si>
    <t>932_115_0071</t>
  </si>
  <si>
    <t>932_115_0072</t>
  </si>
  <si>
    <t>932_115_0073</t>
  </si>
  <si>
    <t>932_115_0074</t>
  </si>
  <si>
    <t>932_115_0075</t>
  </si>
  <si>
    <t>932_115_0076</t>
  </si>
  <si>
    <t>932_115_0077</t>
  </si>
  <si>
    <t>932_115_0078</t>
  </si>
  <si>
    <t>DC</t>
  </si>
  <si>
    <t>932_115_0079</t>
  </si>
  <si>
    <t>932_115_0080</t>
  </si>
  <si>
    <t>932_115_153</t>
  </si>
  <si>
    <t>932_115_154</t>
  </si>
  <si>
    <t>932_115_155</t>
  </si>
  <si>
    <t>932_115_156</t>
  </si>
  <si>
    <t>932_115_157</t>
  </si>
  <si>
    <t>932_115_158</t>
  </si>
  <si>
    <t>932_115_159</t>
  </si>
  <si>
    <t>932_115_160</t>
  </si>
  <si>
    <t>932_115_161</t>
  </si>
  <si>
    <t>932_115_162</t>
  </si>
  <si>
    <t>Bilateral GPR stim 8Hz</t>
  </si>
  <si>
    <t>MCN1 stim (6Hz) + GPR stim (8Hz); DG hyp. For all stims</t>
  </si>
  <si>
    <t>Stim St</t>
  </si>
  <si>
    <t>Stim Stop</t>
  </si>
  <si>
    <t>Stim Time</t>
  </si>
  <si>
    <t>= GPRstim during both phases</t>
  </si>
  <si>
    <t>BILATERAL STIM DATA</t>
  </si>
  <si>
    <t xml:space="preserve">CabPK </t>
  </si>
  <si>
    <t>MCN1 stim (4.5Hz)</t>
  </si>
  <si>
    <t>MCN1 stim (4.5Hz) + CCAP</t>
  </si>
  <si>
    <t>932_040</t>
  </si>
  <si>
    <t>932_051</t>
  </si>
  <si>
    <t>MCN1 stim (5Hz)</t>
  </si>
  <si>
    <t>932_056</t>
  </si>
  <si>
    <t>MCN1 stim (6Hz) + CCAP</t>
  </si>
  <si>
    <t>MCN1 stim (5Hz) + CCAP</t>
  </si>
  <si>
    <t>932_063</t>
  </si>
  <si>
    <t>932_067</t>
  </si>
  <si>
    <t>932_083</t>
  </si>
  <si>
    <t>MCN1 stim (3Hz) + CCAP</t>
  </si>
  <si>
    <t>MCN1 stim (3Hz)</t>
  </si>
  <si>
    <t>Experiment</t>
  </si>
  <si>
    <t>932_40</t>
  </si>
  <si>
    <t>932_51</t>
  </si>
  <si>
    <t>932_56</t>
  </si>
  <si>
    <t>932_63</t>
  </si>
  <si>
    <t>932_67</t>
  </si>
  <si>
    <t>932_83</t>
  </si>
  <si>
    <t>Spikes per Burst</t>
  </si>
  <si>
    <t>Spike Frequency (within burst)</t>
  </si>
  <si>
    <t>932_87</t>
  </si>
  <si>
    <t>932_95</t>
  </si>
  <si>
    <t>alpha = 0.0167 (bonferroni correction)</t>
  </si>
  <si>
    <t>Protraction:</t>
  </si>
  <si>
    <t>CabPK v CabPK+CCAP</t>
  </si>
  <si>
    <t>CabPK v MCN1</t>
  </si>
  <si>
    <t>MCN1 v MCN1+CCAP</t>
  </si>
  <si>
    <t>**</t>
  </si>
  <si>
    <t>n.s.</t>
  </si>
  <si>
    <t>Retraction:</t>
  </si>
  <si>
    <t>Paired T-Tests (MatLab)</t>
  </si>
  <si>
    <t>Period:</t>
  </si>
  <si>
    <t>N = 6</t>
  </si>
  <si>
    <t>932_120</t>
  </si>
  <si>
    <t>932_120_147</t>
  </si>
  <si>
    <t>932_120_148</t>
  </si>
  <si>
    <t>CabPK + IMI-CCAP</t>
  </si>
  <si>
    <t>GMI</t>
  </si>
  <si>
    <t>932_120_149</t>
  </si>
  <si>
    <t>932_120_150</t>
  </si>
  <si>
    <t>GMI = 6</t>
  </si>
  <si>
    <t>GMI = 0</t>
  </si>
  <si>
    <t>932_120_151</t>
  </si>
  <si>
    <t>932_120_152</t>
  </si>
  <si>
    <t>GMI = 8</t>
  </si>
  <si>
    <t>GMI = 10</t>
  </si>
  <si>
    <t>932_120_153</t>
  </si>
  <si>
    <t>932_120_154</t>
  </si>
  <si>
    <t>932_120_155</t>
  </si>
  <si>
    <t>932_120_156</t>
  </si>
  <si>
    <t>GMI = 12</t>
  </si>
  <si>
    <t>932_120_157</t>
  </si>
  <si>
    <t>932_120_158</t>
  </si>
  <si>
    <t>932_120_159</t>
  </si>
  <si>
    <t>932_120_160</t>
  </si>
  <si>
    <t>932_120_161</t>
  </si>
  <si>
    <t>932_120_162</t>
  </si>
  <si>
    <t>GMI = -2</t>
  </si>
  <si>
    <t>GMI = -4</t>
  </si>
  <si>
    <t>932_120_163</t>
  </si>
  <si>
    <t>932_120_164</t>
  </si>
  <si>
    <t>932_120_165</t>
  </si>
  <si>
    <t>932_120_166</t>
  </si>
  <si>
    <t>GMI = -6</t>
  </si>
  <si>
    <t>932_120_167</t>
  </si>
  <si>
    <t>932_120_168</t>
  </si>
  <si>
    <t>GMI = -8</t>
  </si>
  <si>
    <t>932_120_169</t>
  </si>
  <si>
    <t>932_120_170</t>
  </si>
  <si>
    <t>GMI = -10</t>
  </si>
  <si>
    <t>932_120_171</t>
  </si>
  <si>
    <t>932_120_172</t>
  </si>
  <si>
    <t>V1/2 max</t>
  </si>
  <si>
    <t>V1/2 Max = -40</t>
  </si>
  <si>
    <t>V1/2 Max = -35</t>
  </si>
  <si>
    <t>Gmi</t>
  </si>
  <si>
    <t>932_123</t>
  </si>
  <si>
    <t>932_123_0077</t>
  </si>
  <si>
    <t>GMI = 4</t>
  </si>
  <si>
    <t>932_141</t>
  </si>
  <si>
    <t>932_137</t>
  </si>
  <si>
    <t>932_133</t>
  </si>
  <si>
    <t>932_133_0041</t>
  </si>
  <si>
    <t>932_133_0042</t>
  </si>
  <si>
    <t>932_133_0043</t>
  </si>
  <si>
    <t>932_133_0044</t>
  </si>
  <si>
    <t>932_133_0045</t>
  </si>
  <si>
    <t>932_133_0046</t>
  </si>
  <si>
    <t>932_133_0048</t>
  </si>
  <si>
    <t>932_133_0047</t>
  </si>
  <si>
    <t>GMI = 14</t>
  </si>
  <si>
    <t>932_133_0107</t>
  </si>
  <si>
    <t>932_133_0108</t>
  </si>
  <si>
    <t>932_133_0109</t>
  </si>
  <si>
    <t>932_133_0110</t>
  </si>
  <si>
    <t>932_133_0072</t>
  </si>
  <si>
    <t>932_133_0073</t>
  </si>
  <si>
    <t>932_133_0074</t>
  </si>
  <si>
    <t>932_133_0075</t>
  </si>
  <si>
    <t>932_133_0076</t>
  </si>
  <si>
    <t>932_133_0077</t>
  </si>
  <si>
    <t>GMI = -1</t>
  </si>
  <si>
    <t>932_133_0078</t>
  </si>
  <si>
    <t>932_133_0079</t>
  </si>
  <si>
    <t>GMI = -3</t>
  </si>
  <si>
    <t>932_133_0081</t>
  </si>
  <si>
    <t>932_133_0082</t>
  </si>
  <si>
    <t>932_137_0030</t>
  </si>
  <si>
    <t>932_137_0031</t>
  </si>
  <si>
    <t>932_137_0032</t>
  </si>
  <si>
    <t>932_137_0033</t>
  </si>
  <si>
    <t>GMI = 2</t>
  </si>
  <si>
    <t>932_137_0034</t>
  </si>
  <si>
    <t>932_137_0035</t>
  </si>
  <si>
    <t>932_137_0036</t>
  </si>
  <si>
    <t>932_137_0037</t>
  </si>
  <si>
    <t>932_137_0045</t>
  </si>
  <si>
    <t>932_137_0046</t>
  </si>
  <si>
    <t>932_137_0043</t>
  </si>
  <si>
    <t>932_137_0044</t>
  </si>
  <si>
    <t>932_137_0038</t>
  </si>
  <si>
    <t>932_137_0039</t>
  </si>
  <si>
    <t>932_137_0040</t>
  </si>
  <si>
    <t>932_137_0042</t>
  </si>
  <si>
    <t>932_137_0096</t>
  </si>
  <si>
    <t>932_137_0097</t>
  </si>
  <si>
    <t>932_137_0098</t>
  </si>
  <si>
    <t>932_137_0099</t>
  </si>
  <si>
    <t>932_137_100</t>
  </si>
  <si>
    <t>932_137_101</t>
  </si>
  <si>
    <t>932_137_103</t>
  </si>
  <si>
    <t>932_137_102</t>
  </si>
  <si>
    <t>CabPK+CCAP - IMI-CCAP</t>
  </si>
  <si>
    <t>932_137_104</t>
  </si>
  <si>
    <t>932_137_105</t>
  </si>
  <si>
    <t>932_137_107</t>
  </si>
  <si>
    <t>932_137_106</t>
  </si>
  <si>
    <t>932_137_108</t>
  </si>
  <si>
    <t>932_137_109</t>
  </si>
  <si>
    <t>932_137_110</t>
  </si>
  <si>
    <t>932_141_0039</t>
  </si>
  <si>
    <t>932_141_0040</t>
  </si>
  <si>
    <t>932_141_0041</t>
  </si>
  <si>
    <t>932_141_0042</t>
  </si>
  <si>
    <t>932_141_0043</t>
  </si>
  <si>
    <t>932_141_0044</t>
  </si>
  <si>
    <t>932_141_0046</t>
  </si>
  <si>
    <t>932_141_0045</t>
  </si>
  <si>
    <t>932_141_0047</t>
  </si>
  <si>
    <t>932_141_0048</t>
  </si>
  <si>
    <t>932_141_0049</t>
  </si>
  <si>
    <t>932_141_0050</t>
  </si>
  <si>
    <t>932_141_0088</t>
  </si>
  <si>
    <t>932_141_0089</t>
  </si>
  <si>
    <t>932_141_0094</t>
  </si>
  <si>
    <t>932_141_0092</t>
  </si>
  <si>
    <t>932_141_0093</t>
  </si>
  <si>
    <t>932_141_0091</t>
  </si>
  <si>
    <t>932_141_0090</t>
  </si>
  <si>
    <t>= no injection</t>
  </si>
  <si>
    <t>---</t>
  </si>
  <si>
    <t>0nS</t>
  </si>
  <si>
    <t>-6nS</t>
  </si>
  <si>
    <t>-8nS</t>
  </si>
  <si>
    <t>-10nS</t>
  </si>
  <si>
    <t>-4nS</t>
  </si>
  <si>
    <t>8nS</t>
  </si>
  <si>
    <t>2nS</t>
  </si>
  <si>
    <t>-2nS</t>
  </si>
  <si>
    <t>5nS</t>
  </si>
  <si>
    <t>-1nS</t>
  </si>
  <si>
    <t>Is integer coupled?</t>
  </si>
  <si>
    <t>yes</t>
  </si>
  <si>
    <t>Latency</t>
  </si>
  <si>
    <t>PD period</t>
  </si>
  <si>
    <t>Delay PD-on to LG-on</t>
  </si>
  <si>
    <t>Delay PD-on to LG-off</t>
  </si>
  <si>
    <t>Pyloric</t>
  </si>
  <si>
    <t>Gastric</t>
  </si>
  <si>
    <t>mean</t>
  </si>
  <si>
    <t>100nS</t>
  </si>
  <si>
    <t>80nS</t>
  </si>
  <si>
    <t>60nS</t>
  </si>
  <si>
    <t>40nS</t>
  </si>
  <si>
    <t>25nS</t>
  </si>
  <si>
    <t>15nS</t>
  </si>
  <si>
    <t>CabPK + CCAP + Dynamic Clamp IMI-CCAP</t>
  </si>
  <si>
    <t>Average pyloric cycle period / gastric mill cycle period</t>
  </si>
  <si>
    <t>932_146</t>
  </si>
  <si>
    <t>932_146_0068</t>
  </si>
  <si>
    <t>932_146_0069</t>
  </si>
  <si>
    <t>932_146_0067</t>
  </si>
  <si>
    <t>932_148</t>
  </si>
  <si>
    <t>932_148_0047</t>
  </si>
  <si>
    <t>932_148_0048</t>
  </si>
  <si>
    <t>932_148_0049</t>
  </si>
  <si>
    <t>932_148_0050</t>
  </si>
  <si>
    <t>932_148_0051</t>
  </si>
  <si>
    <t>932_148_0053</t>
  </si>
  <si>
    <t>932_148_0052</t>
  </si>
  <si>
    <t>4932_148_0054</t>
  </si>
  <si>
    <t>4932_148_0055</t>
  </si>
  <si>
    <t>4932_148_0056</t>
  </si>
  <si>
    <t>GMI = 16</t>
  </si>
  <si>
    <t>110nS</t>
  </si>
  <si>
    <t>n</t>
  </si>
  <si>
    <t>CabPK MEANS</t>
  </si>
  <si>
    <t>CabPK SD</t>
  </si>
  <si>
    <t>Normalized</t>
  </si>
  <si>
    <t>-40nS</t>
  </si>
  <si>
    <t>-25nS</t>
  </si>
  <si>
    <t>Repeated Measures Anova</t>
  </si>
  <si>
    <t>SumSq</t>
  </si>
  <si>
    <t>DF</t>
  </si>
  <si>
    <t>MeanSq</t>
  </si>
  <si>
    <t>F</t>
  </si>
  <si>
    <t>CabPK vs CabPK+IMI_CCAP</t>
  </si>
  <si>
    <t>CabPK vs CabPK+CCAP</t>
  </si>
  <si>
    <t>CabPK+IMI_CCAP vs CabPK+CCAP</t>
  </si>
  <si>
    <t>Repeated Measures ANOVA</t>
  </si>
  <si>
    <t>delta Vm</t>
  </si>
  <si>
    <t>spikes/depol</t>
  </si>
  <si>
    <t>spike Freq</t>
  </si>
  <si>
    <t>932_12</t>
  </si>
  <si>
    <t>none</t>
  </si>
  <si>
    <t>Post-Stim</t>
  </si>
  <si>
    <t>I-inj (nA)</t>
  </si>
  <si>
    <t>Δ Pre - Stim</t>
  </si>
  <si>
    <t>Δ Pre - Post</t>
  </si>
  <si>
    <t>932_23</t>
  </si>
  <si>
    <t>Stim. Freq</t>
  </si>
  <si>
    <t>901_136</t>
  </si>
  <si>
    <t>MCN1 + GPR (Protraction) (DG hyp)</t>
  </si>
  <si>
    <t>MCN1 + GPR (Protraction) Burst after Stim.</t>
  </si>
  <si>
    <t>MCN1 + GPR (Retraction) (DG hyp)</t>
  </si>
  <si>
    <t>MCN1 + GPR (Retraction) Burst after Stim.</t>
  </si>
  <si>
    <t>932_115_0128</t>
  </si>
  <si>
    <t>932_115_0129</t>
  </si>
  <si>
    <t>932_115_0130</t>
  </si>
  <si>
    <t>932_115_0131</t>
  </si>
  <si>
    <t>932_115_0133</t>
  </si>
  <si>
    <t>932_115_0132</t>
  </si>
  <si>
    <t>932_115_0134</t>
  </si>
  <si>
    <t>932_115_0135</t>
  </si>
  <si>
    <t>932_115_0136</t>
  </si>
  <si>
    <t>932_115_0137</t>
  </si>
  <si>
    <t>932_115_0138</t>
  </si>
  <si>
    <t>932_100_0057</t>
  </si>
  <si>
    <t>MCN1 stim. (4Hz)</t>
  </si>
  <si>
    <t>932_123_0134</t>
  </si>
  <si>
    <t>Burst after stim.</t>
  </si>
  <si>
    <t>MCN1 stim. (4Hz) + GPRstim (6Hz) Protractor Phase (DG hyp)</t>
  </si>
  <si>
    <t>MCN1 stim. (4Hz) + GPRstim (6Hz) Retractor Phase (DG hyp)</t>
  </si>
  <si>
    <t>MCN1 stim. 6Hz</t>
  </si>
  <si>
    <t>932_141_0071</t>
  </si>
  <si>
    <t>932_141_0072</t>
  </si>
  <si>
    <t>MCN1 stim. 6Hz + GPRstim. (Retractor Phase) 6Hz (DG hyp)</t>
  </si>
  <si>
    <t>932_141_0073</t>
  </si>
  <si>
    <t>932_141_0074</t>
  </si>
  <si>
    <t>MCN1 stim. 6Hz + GPRstim. (Protractor Phase) 6Hz (DG hyp)</t>
  </si>
  <si>
    <t>932_141_0075</t>
  </si>
  <si>
    <t>932_141_0076</t>
  </si>
  <si>
    <t>N/A</t>
  </si>
  <si>
    <t>GPR stim Responses (acutal values)</t>
  </si>
  <si>
    <t>GPR stim Responses (Normalized values)</t>
  </si>
  <si>
    <t>GPR stim in PTX (Depolarizing LG using TECC)</t>
  </si>
  <si>
    <t>932_012_108</t>
  </si>
  <si>
    <t>932_012_109</t>
  </si>
  <si>
    <t>(back prop)</t>
  </si>
  <si>
    <t>890_100_128</t>
  </si>
  <si>
    <t>890_100_129</t>
  </si>
  <si>
    <t>890_106_0037</t>
  </si>
  <si>
    <t>890_106_0038</t>
  </si>
  <si>
    <t>890_106_0039</t>
  </si>
  <si>
    <t>890_106_0040</t>
  </si>
  <si>
    <t>Vm</t>
  </si>
  <si>
    <t>932_154</t>
  </si>
  <si>
    <t>ProPhase</t>
  </si>
  <si>
    <t>RetPhase</t>
  </si>
  <si>
    <t>Paired t-test P-Values</t>
  </si>
  <si>
    <t># Pyloric</t>
  </si>
  <si>
    <t>LGon Phase</t>
  </si>
  <si>
    <t>LGoff Phase</t>
  </si>
  <si>
    <r>
      <t xml:space="preserve">Had to manually find latencies </t>
    </r>
    <r>
      <rPr>
        <sz val="11"/>
        <color theme="1"/>
        <rFont val="Calibri"/>
        <family val="2"/>
      </rPr>
      <t>↓</t>
    </r>
  </si>
  <si>
    <t>DG freq</t>
  </si>
  <si>
    <t>DGoff DC</t>
  </si>
  <si>
    <t>Dgon DC</t>
  </si>
  <si>
    <t>CabPK +CCAP</t>
  </si>
  <si>
    <t>DG didn't come on</t>
  </si>
  <si>
    <t>distribution of distances from slope lines; p-values from one sample t-tests</t>
  </si>
  <si>
    <t>CabPK_CCAP</t>
  </si>
  <si>
    <t>p =</t>
  </si>
  <si>
    <t>Data found in matlab datafile 'IntegerCoupling_PYRperiodvsGMRperiod.mat'</t>
  </si>
  <si>
    <r>
      <t xml:space="preserve">Comparing </t>
    </r>
    <r>
      <rPr>
        <b/>
        <sz val="12"/>
        <color theme="1"/>
        <rFont val="Calibri"/>
        <family val="2"/>
        <scheme val="minor"/>
      </rPr>
      <t>Retraction Duration</t>
    </r>
    <r>
      <rPr>
        <sz val="12"/>
        <color theme="1"/>
        <rFont val="Calibri"/>
        <family val="2"/>
        <scheme val="minor"/>
      </rPr>
      <t xml:space="preserve"> for CabPK, CabPK+IMI_CCAP, CabPK+CCAP</t>
    </r>
  </si>
  <si>
    <r>
      <t xml:space="preserve">Comparing </t>
    </r>
    <r>
      <rPr>
        <b/>
        <sz val="12"/>
        <color theme="1"/>
        <rFont val="Calibri"/>
        <family val="2"/>
        <scheme val="minor"/>
      </rPr>
      <t xml:space="preserve">Protraction Duration </t>
    </r>
    <r>
      <rPr>
        <sz val="12"/>
        <color theme="1"/>
        <rFont val="Calibri"/>
        <family val="2"/>
        <scheme val="minor"/>
      </rPr>
      <t>for CabPK, CabPK+IMICCAP, CabPK+CCAP</t>
    </r>
  </si>
  <si>
    <t>Comparison of CabPK vs CabPK+IMI-CCAP || CabPK vs CabPK+CCAP || CabPK+IMI-CCAP vs CabPK+CCAP</t>
  </si>
  <si>
    <t>Comparison of CabPK vs CabPK+CCAP || CabPK vs CabPK+ (-)IMI-CCAP || CabPK+ (-)IMI-CCAP vs CabPK+CCAP</t>
  </si>
  <si>
    <t>***</t>
  </si>
  <si>
    <t>Data for the above tables is stored in the MatLab data file 'PKvIMI_CCAPvPK_CCAP.mat'</t>
  </si>
  <si>
    <t>Data for the above tables is stored in the MatLab data file 'PKvnegIMI_CCAPvPK_CCAP.mat'</t>
  </si>
  <si>
    <r>
      <t xml:space="preserve">Comparing </t>
    </r>
    <r>
      <rPr>
        <b/>
        <sz val="12"/>
        <color theme="1"/>
        <rFont val="Calibri"/>
        <family val="2"/>
        <scheme val="minor"/>
      </rPr>
      <t>Cycle Period</t>
    </r>
    <r>
      <rPr>
        <sz val="12"/>
        <color theme="1"/>
        <rFont val="Calibri"/>
        <family val="2"/>
        <scheme val="minor"/>
      </rPr>
      <t xml:space="preserve"> CabPK, CabPK+IMI_CCAP, CabPK+CCAP</t>
    </r>
  </si>
  <si>
    <t>CabPK vs CabPK+CCAP+(-)IMICCAP</t>
  </si>
  <si>
    <t>CabPK+CCAP vs CabPK+CCAP+(-)IMICCAP</t>
  </si>
  <si>
    <t>Between Subjects</t>
  </si>
  <si>
    <t>Between Treatments</t>
  </si>
  <si>
    <t>Residual</t>
  </si>
  <si>
    <t>Paired t-tests we done by Dan in MatLab</t>
  </si>
  <si>
    <t>*no dgn for this experiment</t>
  </si>
  <si>
    <t>932_123_0078</t>
  </si>
  <si>
    <t>932_123_0079</t>
  </si>
  <si>
    <t>p-Value:</t>
  </si>
  <si>
    <t>Slope</t>
  </si>
  <si>
    <t>Int</t>
  </si>
  <si>
    <t>Rsq</t>
  </si>
  <si>
    <t>R</t>
  </si>
  <si>
    <t>Integer coupling stats: PD cycle period x PDon to LGon latency, p-Values come from comparing Regression line to Null line with Y's = mean of all Y-values; R and Rsq come from least-squares fit</t>
  </si>
  <si>
    <t>CV</t>
  </si>
  <si>
    <t xml:space="preserve"> Phase:</t>
  </si>
  <si>
    <t>CabPK v MCN1+CCAP</t>
  </si>
  <si>
    <t>CabPK+CCAP v MCN1</t>
  </si>
  <si>
    <t>CabPK+CCAP v MCN1+CCAP</t>
  </si>
  <si>
    <t>alpha = 0.0083</t>
  </si>
  <si>
    <t>RM-ANOVA:</t>
  </si>
  <si>
    <t>932_083_0066</t>
  </si>
  <si>
    <t>yes - during prot</t>
  </si>
  <si>
    <t>932_083_0063</t>
  </si>
  <si>
    <t>932_083_0064</t>
  </si>
  <si>
    <t>one bust for whole file</t>
  </si>
  <si>
    <t>v</t>
  </si>
  <si>
    <t>932_083_0065</t>
  </si>
  <si>
    <t>come on every cycle</t>
  </si>
  <si>
    <t>Doesn't come on</t>
  </si>
  <si>
    <t>932_100_0081</t>
  </si>
  <si>
    <t>932_100_0080</t>
  </si>
  <si>
    <t>932_100_0083</t>
  </si>
  <si>
    <t>Not on</t>
  </si>
  <si>
    <t>932_123_0080</t>
  </si>
  <si>
    <t>932_123_0081</t>
  </si>
  <si>
    <t>*DG hyp 932_0082 &amp; 0083 - GMR turned off</t>
  </si>
  <si>
    <t>932_123_0084</t>
  </si>
  <si>
    <t>932_123_0085</t>
  </si>
  <si>
    <t>932_123_112</t>
  </si>
  <si>
    <t>932_123_113</t>
  </si>
  <si>
    <t>tonic</t>
  </si>
  <si>
    <t>Alternates with LG</t>
  </si>
  <si>
    <t>Not On</t>
  </si>
  <si>
    <t>Don't have dgn or DG for this experiment</t>
  </si>
  <si>
    <t>DG OFF Cycles</t>
  </si>
  <si>
    <t>DG ON Cycles</t>
  </si>
  <si>
    <t>DG on every cycle</t>
  </si>
  <si>
    <t>DG never comes on with CabPK alone</t>
  </si>
  <si>
    <t>comes on for one cycle</t>
  </si>
  <si>
    <t>&lt;--</t>
  </si>
  <si>
    <t xml:space="preserve">doesn't comes on </t>
  </si>
  <si>
    <t xml:space="preserve">comes on every cycle </t>
  </si>
  <si>
    <t xml:space="preserve">doesn't come on </t>
  </si>
  <si>
    <t>DG spikes tonically</t>
  </si>
  <si>
    <t>comes on once</t>
  </si>
  <si>
    <t>&lt;-- DG tonic</t>
  </si>
  <si>
    <t>******</t>
  </si>
  <si>
    <r>
      <t xml:space="preserve">Comparing </t>
    </r>
    <r>
      <rPr>
        <b/>
        <sz val="12"/>
        <color theme="1"/>
        <rFont val="Calibri"/>
        <family val="2"/>
        <scheme val="minor"/>
      </rPr>
      <t xml:space="preserve">Spikes per Burst </t>
    </r>
    <r>
      <rPr>
        <sz val="12"/>
        <color theme="1"/>
        <rFont val="Calibri"/>
        <family val="2"/>
        <scheme val="minor"/>
      </rPr>
      <t>for CabPK, CabPK+IMICCAP, CabPK+CCAP</t>
    </r>
  </si>
  <si>
    <r>
      <t xml:space="preserve">Comparing </t>
    </r>
    <r>
      <rPr>
        <b/>
        <sz val="12"/>
        <color theme="1"/>
        <rFont val="Calibri"/>
        <family val="2"/>
        <scheme val="minor"/>
      </rPr>
      <t xml:space="preserve">Spike Freq </t>
    </r>
    <r>
      <rPr>
        <sz val="12"/>
        <color theme="1"/>
        <rFont val="Calibri"/>
        <family val="2"/>
        <scheme val="minor"/>
      </rPr>
      <t>for CabPK, CabPK+IMICCAP, CabPK+CCAP</t>
    </r>
  </si>
  <si>
    <t>941_10</t>
  </si>
  <si>
    <t>941_16</t>
  </si>
  <si>
    <t>CabPK + IMI-CCAP (Ret only)</t>
  </si>
  <si>
    <t>941_076</t>
  </si>
  <si>
    <t>941_077</t>
  </si>
  <si>
    <t>941_039</t>
  </si>
  <si>
    <t>941_041</t>
  </si>
  <si>
    <t>941_042</t>
  </si>
  <si>
    <t>941_044</t>
  </si>
  <si>
    <t>941_045</t>
  </si>
  <si>
    <t>CabPK + neg IMI-CCAP</t>
  </si>
  <si>
    <t>941_078</t>
  </si>
  <si>
    <t>941_079</t>
  </si>
  <si>
    <t>941_19</t>
  </si>
  <si>
    <t>941_25</t>
  </si>
  <si>
    <t>941_025_104</t>
  </si>
  <si>
    <t>941_025_110</t>
  </si>
  <si>
    <t>941_025_111</t>
  </si>
  <si>
    <t>941_025_112</t>
  </si>
  <si>
    <t>941_025_113</t>
  </si>
  <si>
    <t>941_25_148</t>
  </si>
  <si>
    <t>941_25_149</t>
  </si>
  <si>
    <t>941_25_150</t>
  </si>
  <si>
    <t>941_25_151</t>
  </si>
  <si>
    <t>941_25_152</t>
  </si>
  <si>
    <t>941_25_153</t>
  </si>
  <si>
    <t>941_19_073</t>
  </si>
  <si>
    <t>941_19_074</t>
  </si>
  <si>
    <t>941_19_075</t>
  </si>
  <si>
    <t>941_19_076</t>
  </si>
  <si>
    <t>941_19_077</t>
  </si>
  <si>
    <t>941_19_078</t>
  </si>
  <si>
    <t>941_19_081</t>
  </si>
  <si>
    <t>941_19_079</t>
  </si>
  <si>
    <t>941_19_082</t>
  </si>
  <si>
    <t>941_19_99</t>
  </si>
  <si>
    <t>941_19_100</t>
  </si>
  <si>
    <t>941_19_101</t>
  </si>
  <si>
    <t>941_19_102</t>
  </si>
  <si>
    <t>941_19_103</t>
  </si>
  <si>
    <t>941_19_104</t>
  </si>
  <si>
    <t>941_19_105</t>
  </si>
  <si>
    <t>941_19_106</t>
  </si>
  <si>
    <t>941_19_109</t>
  </si>
  <si>
    <t>941_22</t>
  </si>
  <si>
    <t>941_22_59</t>
  </si>
  <si>
    <t>941_22_67</t>
  </si>
  <si>
    <t>941_22_61</t>
  </si>
  <si>
    <t>GMI = 5</t>
  </si>
  <si>
    <t>941_22_62</t>
  </si>
  <si>
    <t>941_22_0092</t>
  </si>
  <si>
    <t>941_22_0093</t>
  </si>
  <si>
    <t>GMI = -2.5</t>
  </si>
  <si>
    <t>941_10_124</t>
  </si>
  <si>
    <t>941_10_157</t>
  </si>
  <si>
    <t>941_10_130</t>
  </si>
  <si>
    <t>941_10_131</t>
  </si>
  <si>
    <t>GMI = 15</t>
  </si>
  <si>
    <t>941_10_132</t>
  </si>
  <si>
    <t>941_10_133</t>
  </si>
  <si>
    <t>941_10_134</t>
  </si>
  <si>
    <t>941_10_126</t>
  </si>
  <si>
    <t>941_10_127</t>
  </si>
  <si>
    <t>GMI = 7.5</t>
  </si>
  <si>
    <t>941_10_128</t>
  </si>
  <si>
    <t>941_10_129</t>
  </si>
  <si>
    <t>CabPK + neg. IMI-CCAP</t>
  </si>
  <si>
    <t>941_10_158</t>
  </si>
  <si>
    <t>941_10_159</t>
  </si>
  <si>
    <t>941_10_160</t>
  </si>
  <si>
    <t>941_10_161</t>
  </si>
  <si>
    <t>941_10_163</t>
  </si>
  <si>
    <t>120nS</t>
  </si>
  <si>
    <t>160nS</t>
  </si>
  <si>
    <t>20nS</t>
  </si>
  <si>
    <t>Retraction Only</t>
  </si>
  <si>
    <t>50nS</t>
  </si>
  <si>
    <t>65nS</t>
  </si>
  <si>
    <t>-5nS</t>
  </si>
  <si>
    <t>-12nS</t>
  </si>
  <si>
    <t>Not Using this data since there is not a CabPK-CCAP application to compare to</t>
  </si>
  <si>
    <t>N = 13</t>
  </si>
  <si>
    <t>One-Way ANOVAs were done in SPSS by Dan; SPSS report is saved in Data\CabPK folder</t>
  </si>
  <si>
    <r>
      <t xml:space="preserve">Pairwise Multiple Comparison (Bonferonni) </t>
    </r>
    <r>
      <rPr>
        <sz val="12"/>
        <color theme="1"/>
        <rFont val="Calibri"/>
        <family val="2"/>
      </rPr>
      <t>α</t>
    </r>
    <r>
      <rPr>
        <sz val="10.8"/>
        <color theme="1"/>
        <rFont val="Calibri"/>
        <family val="2"/>
      </rPr>
      <t xml:space="preserve"> = 0.05</t>
    </r>
  </si>
  <si>
    <t>CabPK+IMICCAP</t>
  </si>
  <si>
    <t>CabPK+CCAP+negIMI</t>
  </si>
  <si>
    <t>'932_120'</t>
  </si>
  <si>
    <t>'932_115'</t>
  </si>
  <si>
    <t>'932_100'</t>
  </si>
  <si>
    <t>'932_123'</t>
  </si>
  <si>
    <t>'932_133'</t>
  </si>
  <si>
    <t>'932_137'</t>
  </si>
  <si>
    <t>'932_83'</t>
  </si>
  <si>
    <t>941_10'</t>
  </si>
  <si>
    <t>941_16'</t>
  </si>
  <si>
    <t>941_19'</t>
  </si>
  <si>
    <t>941_22'</t>
  </si>
  <si>
    <t>941_25'</t>
  </si>
  <si>
    <t>932_141'</t>
  </si>
  <si>
    <t>Cycle Period</t>
  </si>
  <si>
    <t>Spikes Per Burst</t>
  </si>
  <si>
    <r>
      <t xml:space="preserve">Comparing </t>
    </r>
    <r>
      <rPr>
        <b/>
        <sz val="12"/>
        <color theme="1"/>
        <rFont val="Calibri"/>
        <family val="2"/>
        <scheme val="minor"/>
      </rPr>
      <t>Protractor Duration Control, GPRstim, Burst after stim</t>
    </r>
  </si>
  <si>
    <t>&lt; 0.001</t>
  </si>
  <si>
    <t>Control vs GPRstim</t>
  </si>
  <si>
    <t>GPRstim vs Burst After Stim</t>
  </si>
  <si>
    <t>Control vs Burst After Stim</t>
  </si>
  <si>
    <r>
      <t xml:space="preserve">Comparing </t>
    </r>
    <r>
      <rPr>
        <b/>
        <sz val="12"/>
        <color theme="1"/>
        <rFont val="Calibri"/>
        <family val="2"/>
        <scheme val="minor"/>
      </rPr>
      <t>Retractor Duration Control, GPRstim, Burst after stim</t>
    </r>
  </si>
  <si>
    <t>Stim during Protraction</t>
  </si>
  <si>
    <t>Stim during Retraction</t>
  </si>
  <si>
    <t>941_11</t>
  </si>
  <si>
    <t>Protraction: Control vs Stim</t>
  </si>
  <si>
    <t>Retraction: Control vs Stim</t>
  </si>
  <si>
    <t>Bartlett's Test (Var)</t>
  </si>
  <si>
    <t>Paired t-Test</t>
  </si>
  <si>
    <t>p = 0.0214</t>
  </si>
  <si>
    <t>p = 0.031</t>
  </si>
  <si>
    <t>(While Retractor Duration is significantly longer w/ DG hyp., this is due to LG needing DG to stay rhythmic)</t>
  </si>
  <si>
    <t>Note: Retraction data for DG hyp Ret_stim is not normally distributed and variances are not equal,used Wilcox Sign Rank test to compare distributsions</t>
  </si>
  <si>
    <t>WSR</t>
  </si>
  <si>
    <t>p = 0.0313</t>
  </si>
  <si>
    <t>p = 1</t>
  </si>
  <si>
    <t>PD freq</t>
  </si>
  <si>
    <t>SD PD freq</t>
  </si>
  <si>
    <t>Pyloric cycles</t>
  </si>
  <si>
    <t>std Pyloric cycles</t>
  </si>
  <si>
    <t>GMR response to CCAP</t>
  </si>
  <si>
    <t>PYR response to CCAP</t>
  </si>
  <si>
    <t>941_28</t>
  </si>
  <si>
    <t>941_028_0019</t>
  </si>
  <si>
    <t>MCN1 + GPRstim (Protractor phase)</t>
  </si>
  <si>
    <t>Start</t>
  </si>
  <si>
    <t>Stop</t>
  </si>
  <si>
    <t>Duration</t>
  </si>
  <si>
    <t>941_028_0020</t>
  </si>
  <si>
    <t>941_028_0021</t>
  </si>
  <si>
    <t>MCN1 + GPRstim (Retractor phase)</t>
  </si>
  <si>
    <t>941_028_0022</t>
  </si>
  <si>
    <t>941_028_0023</t>
  </si>
  <si>
    <t>941_31</t>
  </si>
  <si>
    <t>941_031_0038</t>
  </si>
  <si>
    <t>941_031_0039</t>
  </si>
  <si>
    <t>941_031_0040</t>
  </si>
  <si>
    <t>941_031_0041</t>
  </si>
  <si>
    <t>941_031_0042</t>
  </si>
  <si>
    <t>941_031_0043</t>
  </si>
  <si>
    <t>941_34</t>
  </si>
  <si>
    <t>941_034_0024</t>
  </si>
  <si>
    <t>941_034_0025</t>
  </si>
  <si>
    <t>941_034_0026</t>
  </si>
  <si>
    <t>941_034_0027</t>
  </si>
  <si>
    <t>941_034_0029</t>
  </si>
  <si>
    <t>941_034_0030</t>
  </si>
  <si>
    <t>Burst After</t>
  </si>
  <si>
    <t>941_47</t>
  </si>
  <si>
    <t>941_047_0098</t>
  </si>
  <si>
    <t>941_047_0099</t>
  </si>
  <si>
    <t>941_047_0100</t>
  </si>
  <si>
    <t>941_047_0103</t>
  </si>
  <si>
    <t>941_047_0104</t>
  </si>
  <si>
    <t>MCN1 + GPR (Retraction)</t>
  </si>
  <si>
    <t>MCN1 + GPR (Protraction)</t>
  </si>
  <si>
    <t>Min</t>
  </si>
  <si>
    <t>MEANS</t>
  </si>
  <si>
    <t>Paired t-test: p = 0.00015</t>
  </si>
  <si>
    <t>p-values found in PTX_2 matlab data folder</t>
  </si>
  <si>
    <t>Bust After</t>
  </si>
  <si>
    <t>burst after Stim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</si>
</sst>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21"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b/>
      <sz val="12"/>
      <color theme="1"/>
      <name val="Calibri"/>
      <family val="2"/>
    </font>
    <font>
      <b/>
      <sz val="11"/>
      <color theme="1"/>
      <name val="Calibri"/>
      <family val="2"/>
    </font>
    <font>
      <sz val="11"/>
      <color theme="1"/>
      <name val="Calibri"/>
      <family val="2"/>
    </font>
    <font>
      <b/>
      <sz val="20"/>
      <color theme="1"/>
      <name val="Calibri"/>
      <family val="2"/>
      <scheme val="minor"/>
    </font>
    <font>
      <b/>
      <sz val="16"/>
      <color theme="1"/>
      <name val="Calibri"/>
      <family val="2"/>
      <scheme val="minor"/>
    </font>
    <font>
      <sz val="14"/>
      <color theme="1"/>
      <name val="Calibri"/>
      <family val="2"/>
      <scheme val="minor"/>
    </font>
    <font>
      <sz val="18"/>
      <color theme="1"/>
      <name val="Calibri"/>
      <family val="2"/>
      <scheme val="minor"/>
    </font>
    <font>
      <sz val="11"/>
      <color rgb="FFFF0000"/>
      <name val="Calibri"/>
      <family val="2"/>
      <scheme val="minor"/>
    </font>
    <font>
      <b/>
      <sz val="11"/>
      <color rgb="FFFF0000"/>
      <name val="Calibri"/>
      <family val="2"/>
      <scheme val="minor"/>
    </font>
    <font>
      <sz val="12"/>
      <color theme="1"/>
      <name val="Calibri"/>
      <family val="2"/>
    </font>
    <font>
      <sz val="16"/>
      <color theme="1"/>
      <name val="Calibri"/>
      <family val="2"/>
      <scheme val="minor"/>
    </font>
    <font>
      <b/>
      <sz val="18"/>
      <color theme="1"/>
      <name val="Calibri"/>
      <family val="2"/>
      <scheme val="minor"/>
    </font>
    <font>
      <b/>
      <sz val="18"/>
      <color theme="1"/>
      <name val="Calibri"/>
      <family val="2"/>
    </font>
    <font>
      <sz val="30"/>
      <color theme="1"/>
      <name val="Calibri"/>
      <family val="2"/>
      <scheme val="minor"/>
    </font>
    <font>
      <sz val="10.8"/>
      <color theme="1"/>
      <name val="Calibri"/>
      <family val="2"/>
    </font>
    <font>
      <b/>
      <sz val="30"/>
      <color theme="1"/>
      <name val="Calibri"/>
      <family val="2"/>
      <scheme val="minor"/>
    </font>
  </fonts>
  <fills count="16">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rgb="FFFFFF00"/>
        <bgColor indexed="64"/>
      </patternFill>
    </fill>
    <fill>
      <patternFill patternType="solid">
        <fgColor theme="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bgColor indexed="64"/>
      </patternFill>
    </fill>
    <fill>
      <patternFill patternType="solid">
        <fgColor rgb="FF00B0F0"/>
        <bgColor indexed="64"/>
      </patternFill>
    </fill>
    <fill>
      <patternFill patternType="solid">
        <fgColor theme="9"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rgb="FFFFC0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64">
    <xf numFmtId="0" fontId="0" fillId="0" borderId="0" xfId="0"/>
    <xf numFmtId="0" fontId="2" fillId="0" borderId="0" xfId="0" applyFont="1" applyBorder="1"/>
    <xf numFmtId="0" fontId="0" fillId="0" borderId="0" xfId="0" applyBorder="1"/>
    <xf numFmtId="0" fontId="1" fillId="0" borderId="0" xfId="0" applyFont="1" applyBorder="1"/>
    <xf numFmtId="0" fontId="4" fillId="0" borderId="0" xfId="0" applyFont="1" applyBorder="1"/>
    <xf numFmtId="0" fontId="3" fillId="0" borderId="0" xfId="0" applyFont="1" applyBorder="1"/>
    <xf numFmtId="0" fontId="0" fillId="0" borderId="0" xfId="0" quotePrefix="1" applyBorder="1"/>
    <xf numFmtId="0" fontId="0" fillId="2" borderId="1" xfId="0" applyFill="1" applyBorder="1"/>
    <xf numFmtId="0" fontId="0" fillId="3" borderId="1" xfId="0" applyFill="1" applyBorder="1"/>
    <xf numFmtId="0" fontId="3" fillId="0" borderId="5" xfId="0" applyFont="1" applyBorder="1"/>
    <xf numFmtId="0" fontId="0" fillId="2" borderId="3" xfId="0" applyFill="1" applyBorder="1"/>
    <xf numFmtId="0" fontId="0" fillId="2" borderId="6" xfId="0" applyFill="1" applyBorder="1"/>
    <xf numFmtId="0" fontId="0" fillId="2" borderId="4" xfId="0" applyFill="1" applyBorder="1"/>
    <xf numFmtId="0" fontId="0" fillId="0" borderId="0" xfId="0" applyFill="1" applyBorder="1"/>
    <xf numFmtId="0" fontId="3" fillId="0" borderId="0" xfId="0" applyFont="1" applyFill="1" applyBorder="1"/>
    <xf numFmtId="0" fontId="0" fillId="3" borderId="3" xfId="0" applyFill="1" applyBorder="1"/>
    <xf numFmtId="0" fontId="0" fillId="3" borderId="6" xfId="0" applyFill="1" applyBorder="1"/>
    <xf numFmtId="0" fontId="0" fillId="3" borderId="4" xfId="0" applyFill="1" applyBorder="1"/>
    <xf numFmtId="0" fontId="0" fillId="4" borderId="0" xfId="0" applyFill="1" applyBorder="1"/>
    <xf numFmtId="0" fontId="0" fillId="0" borderId="5" xfId="0" applyFill="1" applyBorder="1"/>
    <xf numFmtId="0" fontId="0" fillId="0" borderId="5" xfId="0" applyBorder="1"/>
    <xf numFmtId="0" fontId="5" fillId="0" borderId="0" xfId="0" applyFont="1" applyBorder="1" applyAlignment="1">
      <alignment horizontal="center" vertical="top"/>
    </xf>
    <xf numFmtId="0" fontId="0" fillId="3" borderId="7" xfId="0" applyFill="1" applyBorder="1"/>
    <xf numFmtId="0" fontId="0" fillId="3" borderId="8" xfId="0" applyFill="1" applyBorder="1"/>
    <xf numFmtId="0" fontId="0" fillId="3" borderId="2" xfId="0" applyFill="1" applyBorder="1"/>
    <xf numFmtId="0" fontId="0" fillId="5" borderId="0" xfId="0" applyFill="1" applyBorder="1"/>
    <xf numFmtId="0" fontId="1" fillId="5" borderId="0" xfId="0" applyFont="1" applyFill="1" applyBorder="1" applyAlignment="1">
      <alignment horizontal="center"/>
    </xf>
    <xf numFmtId="0" fontId="5" fillId="0" borderId="5" xfId="0" applyFont="1" applyBorder="1" applyAlignment="1">
      <alignment horizontal="center" vertical="top"/>
    </xf>
    <xf numFmtId="0" fontId="0" fillId="0" borderId="0" xfId="0" quotePrefix="1" applyFill="1" applyBorder="1"/>
    <xf numFmtId="0" fontId="0" fillId="0" borderId="0" xfId="0" applyFill="1" applyBorder="1" applyAlignment="1">
      <alignment horizontal="center"/>
    </xf>
    <xf numFmtId="0" fontId="1" fillId="0" borderId="0" xfId="0" applyFont="1" applyFill="1" applyBorder="1" applyAlignment="1">
      <alignment horizontal="center"/>
    </xf>
    <xf numFmtId="0" fontId="5" fillId="0" borderId="0" xfId="0" applyFont="1" applyFill="1" applyBorder="1" applyAlignment="1">
      <alignment horizontal="center" vertical="top"/>
    </xf>
    <xf numFmtId="0" fontId="0" fillId="5" borderId="0" xfId="0" applyFill="1" applyBorder="1" applyAlignment="1"/>
    <xf numFmtId="0" fontId="0" fillId="3" borderId="3" xfId="0" applyFill="1" applyBorder="1" applyAlignment="1">
      <alignment horizontal="right"/>
    </xf>
    <xf numFmtId="0" fontId="0" fillId="3" borderId="6" xfId="0" applyFill="1" applyBorder="1" applyAlignment="1">
      <alignment horizontal="right"/>
    </xf>
    <xf numFmtId="0" fontId="0" fillId="3" borderId="4" xfId="0" applyFill="1" applyBorder="1" applyAlignment="1">
      <alignment horizontal="right"/>
    </xf>
    <xf numFmtId="0" fontId="0" fillId="6" borderId="1" xfId="0" applyFill="1" applyBorder="1"/>
    <xf numFmtId="0" fontId="0" fillId="6" borderId="3" xfId="0" applyFill="1" applyBorder="1"/>
    <xf numFmtId="0" fontId="0" fillId="6" borderId="6" xfId="0" applyFill="1" applyBorder="1"/>
    <xf numFmtId="0" fontId="0" fillId="6" borderId="4" xfId="0" applyFill="1" applyBorder="1"/>
    <xf numFmtId="0" fontId="0" fillId="6" borderId="0" xfId="0" applyFill="1" applyBorder="1"/>
    <xf numFmtId="0" fontId="0" fillId="4" borderId="3" xfId="0" applyFill="1" applyBorder="1"/>
    <xf numFmtId="0" fontId="0" fillId="4" borderId="6" xfId="0" applyFill="1" applyBorder="1"/>
    <xf numFmtId="0" fontId="0" fillId="4" borderId="4" xfId="0" applyFill="1" applyBorder="1"/>
    <xf numFmtId="0" fontId="3" fillId="0" borderId="5" xfId="0" applyFont="1" applyFill="1" applyBorder="1"/>
    <xf numFmtId="0" fontId="0" fillId="0" borderId="0" xfId="0" applyFont="1" applyFill="1" applyBorder="1"/>
    <xf numFmtId="0" fontId="0" fillId="0" borderId="0" xfId="0" applyFont="1" applyBorder="1"/>
    <xf numFmtId="0" fontId="6" fillId="0" borderId="0" xfId="0" applyFont="1" applyFill="1" applyBorder="1" applyAlignment="1">
      <alignment horizontal="center" vertical="top"/>
    </xf>
    <xf numFmtId="0" fontId="0" fillId="0" borderId="0" xfId="0" applyFont="1" applyFill="1" applyBorder="1" applyAlignment="1">
      <alignment horizontal="center"/>
    </xf>
    <xf numFmtId="0" fontId="1" fillId="0" borderId="0" xfId="0" applyFont="1" applyFill="1" applyBorder="1"/>
    <xf numFmtId="0" fontId="7" fillId="0" borderId="0" xfId="0" applyFont="1" applyFill="1" applyBorder="1" applyAlignment="1">
      <alignment horizontal="right" vertical="top"/>
    </xf>
    <xf numFmtId="0" fontId="0" fillId="0" borderId="0" xfId="0" applyFill="1" applyBorder="1" applyAlignment="1">
      <alignment horizontal="right"/>
    </xf>
    <xf numFmtId="0" fontId="0" fillId="0" borderId="0" xfId="0" applyFont="1" applyFill="1" applyBorder="1" applyAlignment="1">
      <alignment horizontal="right"/>
    </xf>
    <xf numFmtId="0" fontId="0" fillId="0" borderId="0" xfId="0" applyFont="1" applyBorder="1" applyAlignment="1">
      <alignment horizontal="right"/>
    </xf>
    <xf numFmtId="0" fontId="0" fillId="0" borderId="0" xfId="0" applyBorder="1" applyAlignment="1">
      <alignment horizontal="right"/>
    </xf>
    <xf numFmtId="0" fontId="7" fillId="0" borderId="0" xfId="0" applyFont="1" applyFill="1" applyBorder="1" applyAlignment="1">
      <alignment horizontal="right"/>
    </xf>
    <xf numFmtId="0" fontId="0" fillId="6" borderId="3" xfId="0" applyFont="1" applyFill="1" applyBorder="1"/>
    <xf numFmtId="0" fontId="0" fillId="6" borderId="6" xfId="0" applyFont="1" applyFill="1" applyBorder="1"/>
    <xf numFmtId="0" fontId="0" fillId="6" borderId="6" xfId="0" applyFont="1" applyFill="1" applyBorder="1" applyAlignment="1">
      <alignment horizontal="right"/>
    </xf>
    <xf numFmtId="0" fontId="0" fillId="6" borderId="6" xfId="0" applyFill="1" applyBorder="1" applyAlignment="1">
      <alignment horizontal="right"/>
    </xf>
    <xf numFmtId="0" fontId="0" fillId="6" borderId="8" xfId="0" applyFont="1" applyFill="1" applyBorder="1"/>
    <xf numFmtId="0" fontId="0" fillId="6" borderId="2" xfId="0" applyFont="1" applyFill="1" applyBorder="1"/>
    <xf numFmtId="0" fontId="0" fillId="6" borderId="2" xfId="0" applyFill="1" applyBorder="1"/>
    <xf numFmtId="0" fontId="0" fillId="6" borderId="2" xfId="0" applyFill="1" applyBorder="1" applyAlignment="1">
      <alignment horizontal="right"/>
    </xf>
    <xf numFmtId="0" fontId="0" fillId="6" borderId="7" xfId="0" applyFill="1" applyBorder="1"/>
    <xf numFmtId="0" fontId="0" fillId="6" borderId="9" xfId="0" applyFont="1" applyFill="1" applyBorder="1"/>
    <xf numFmtId="0" fontId="0" fillId="6" borderId="10" xfId="0" applyFill="1" applyBorder="1"/>
    <xf numFmtId="0" fontId="0" fillId="6" borderId="10" xfId="0" applyFill="1" applyBorder="1" applyAlignment="1">
      <alignment horizontal="right"/>
    </xf>
    <xf numFmtId="0" fontId="0" fillId="6" borderId="11" xfId="0" applyFill="1" applyBorder="1"/>
    <xf numFmtId="0" fontId="0" fillId="6" borderId="8" xfId="0" applyFill="1" applyBorder="1"/>
    <xf numFmtId="0" fontId="0" fillId="6" borderId="12" xfId="0" applyFill="1" applyBorder="1"/>
    <xf numFmtId="0" fontId="0" fillId="6" borderId="13" xfId="0" applyFill="1" applyBorder="1"/>
    <xf numFmtId="0" fontId="0" fillId="6" borderId="9" xfId="0" applyFill="1" applyBorder="1"/>
    <xf numFmtId="0" fontId="0" fillId="3" borderId="4" xfId="0" applyFont="1" applyFill="1" applyBorder="1"/>
    <xf numFmtId="0" fontId="0" fillId="3" borderId="9" xfId="0" applyFont="1" applyFill="1" applyBorder="1"/>
    <xf numFmtId="0" fontId="0" fillId="3" borderId="10" xfId="0" applyFont="1" applyFill="1" applyBorder="1"/>
    <xf numFmtId="0" fontId="0" fillId="3" borderId="11" xfId="0" applyFont="1" applyFill="1" applyBorder="1"/>
    <xf numFmtId="0" fontId="0" fillId="3" borderId="9" xfId="0" applyFill="1" applyBorder="1"/>
    <xf numFmtId="0" fontId="0" fillId="3" borderId="10" xfId="0" applyFill="1" applyBorder="1"/>
    <xf numFmtId="0" fontId="0" fillId="3" borderId="11" xfId="0" applyFill="1" applyBorder="1"/>
    <xf numFmtId="0" fontId="0" fillId="0" borderId="5" xfId="0" applyFont="1" applyFill="1" applyBorder="1"/>
    <xf numFmtId="0" fontId="0" fillId="0" borderId="5" xfId="0" applyFont="1" applyBorder="1"/>
    <xf numFmtId="0" fontId="0" fillId="0" borderId="5" xfId="0" applyFont="1" applyFill="1" applyBorder="1" applyAlignment="1">
      <alignment horizontal="right"/>
    </xf>
    <xf numFmtId="0" fontId="1" fillId="4" borderId="0" xfId="0" applyFont="1" applyFill="1" applyBorder="1"/>
    <xf numFmtId="0" fontId="0" fillId="5" borderId="0" xfId="0" applyFill="1"/>
    <xf numFmtId="0" fontId="0" fillId="0" borderId="0" xfId="0" applyFill="1"/>
    <xf numFmtId="0" fontId="0" fillId="7" borderId="0" xfId="0" applyFill="1" applyBorder="1"/>
    <xf numFmtId="0" fontId="0" fillId="7" borderId="0" xfId="0" applyFill="1"/>
    <xf numFmtId="0" fontId="0" fillId="3" borderId="0" xfId="0" applyFill="1" applyBorder="1"/>
    <xf numFmtId="0" fontId="0" fillId="3" borderId="12" xfId="0" applyFill="1" applyBorder="1"/>
    <xf numFmtId="0" fontId="0" fillId="3" borderId="13" xfId="0" applyFill="1" applyBorder="1"/>
    <xf numFmtId="0" fontId="0" fillId="2" borderId="0" xfId="0" applyFill="1" applyBorder="1"/>
    <xf numFmtId="0" fontId="0" fillId="2" borderId="12" xfId="0" applyFill="1" applyBorder="1"/>
    <xf numFmtId="0" fontId="0" fillId="2" borderId="13" xfId="0" applyFill="1" applyBorder="1"/>
    <xf numFmtId="0" fontId="0" fillId="2" borderId="9" xfId="0" applyFill="1" applyBorder="1"/>
    <xf numFmtId="0" fontId="0" fillId="2" borderId="10" xfId="0" applyFill="1" applyBorder="1"/>
    <xf numFmtId="0" fontId="0" fillId="2" borderId="11" xfId="0" applyFill="1" applyBorder="1"/>
    <xf numFmtId="0" fontId="0" fillId="8" borderId="3" xfId="0" applyFill="1" applyBorder="1"/>
    <xf numFmtId="0" fontId="0" fillId="8" borderId="6" xfId="0" applyFill="1" applyBorder="1"/>
    <xf numFmtId="0" fontId="0" fillId="8" borderId="4" xfId="0" applyFill="1" applyBorder="1"/>
    <xf numFmtId="0" fontId="0" fillId="0" borderId="0" xfId="0" applyAlignment="1">
      <alignment horizontal="right"/>
    </xf>
    <xf numFmtId="0" fontId="1" fillId="0" borderId="0" xfId="0" applyFont="1" applyBorder="1" applyAlignment="1">
      <alignment horizontal="right"/>
    </xf>
    <xf numFmtId="0" fontId="1" fillId="3" borderId="0" xfId="0" applyFont="1" applyFill="1" applyBorder="1"/>
    <xf numFmtId="0" fontId="1" fillId="0" borderId="0" xfId="0" applyFont="1" applyFill="1" applyBorder="1" applyAlignment="1">
      <alignment horizontal="right"/>
    </xf>
    <xf numFmtId="0" fontId="1" fillId="0" borderId="0" xfId="0" applyFont="1"/>
    <xf numFmtId="0" fontId="0" fillId="2" borderId="2" xfId="0" applyFill="1" applyBorder="1"/>
    <xf numFmtId="0" fontId="0" fillId="2" borderId="7" xfId="0" applyFill="1" applyBorder="1"/>
    <xf numFmtId="0" fontId="0" fillId="2" borderId="3" xfId="0" applyFont="1" applyFill="1" applyBorder="1"/>
    <xf numFmtId="0" fontId="0" fillId="2" borderId="6" xfId="0" applyFont="1" applyFill="1" applyBorder="1"/>
    <xf numFmtId="0" fontId="0" fillId="2" borderId="4" xfId="0" applyFont="1" applyFill="1" applyBorder="1"/>
    <xf numFmtId="0" fontId="8" fillId="0" borderId="5" xfId="0" applyFont="1" applyBorder="1"/>
    <xf numFmtId="0" fontId="0" fillId="8" borderId="8" xfId="0" applyFill="1" applyBorder="1"/>
    <xf numFmtId="0" fontId="0" fillId="8" borderId="2" xfId="0" applyFill="1" applyBorder="1"/>
    <xf numFmtId="0" fontId="0" fillId="8" borderId="7" xfId="0" applyFill="1" applyBorder="1"/>
    <xf numFmtId="0" fontId="0" fillId="2" borderId="8" xfId="0" applyFill="1" applyBorder="1"/>
    <xf numFmtId="0" fontId="0" fillId="0" borderId="8" xfId="0" applyFill="1" applyBorder="1"/>
    <xf numFmtId="0" fontId="0" fillId="0" borderId="2" xfId="0" applyFill="1" applyBorder="1"/>
    <xf numFmtId="0" fontId="0" fillId="0" borderId="7" xfId="0" applyFill="1" applyBorder="1"/>
    <xf numFmtId="0" fontId="0" fillId="7" borderId="12" xfId="0" applyFill="1" applyBorder="1"/>
    <xf numFmtId="0" fontId="0" fillId="7" borderId="13" xfId="0" applyFill="1" applyBorder="1"/>
    <xf numFmtId="0" fontId="0" fillId="4" borderId="10" xfId="0" applyFill="1" applyBorder="1"/>
    <xf numFmtId="0" fontId="8" fillId="0" borderId="0" xfId="0" applyFont="1" applyBorder="1" applyAlignment="1">
      <alignment vertical="center"/>
    </xf>
    <xf numFmtId="0" fontId="1" fillId="0" borderId="5" xfId="0" applyFont="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0" borderId="17" xfId="0" applyFont="1" applyBorder="1"/>
    <xf numFmtId="0" fontId="0" fillId="0" borderId="19" xfId="0" applyBorder="1"/>
    <xf numFmtId="0" fontId="0" fillId="0" borderId="20" xfId="0" applyBorder="1"/>
    <xf numFmtId="0" fontId="1" fillId="8" borderId="17" xfId="0" applyFont="1" applyFill="1" applyBorder="1"/>
    <xf numFmtId="0" fontId="0" fillId="8" borderId="0" xfId="0" applyFill="1" applyBorder="1"/>
    <xf numFmtId="0" fontId="0" fillId="9" borderId="0" xfId="0" applyFill="1" applyBorder="1"/>
    <xf numFmtId="0" fontId="4" fillId="0" borderId="5" xfId="0" applyFont="1" applyBorder="1"/>
    <xf numFmtId="0" fontId="4" fillId="0" borderId="0" xfId="0" applyFont="1"/>
    <xf numFmtId="0" fontId="4" fillId="0" borderId="18" xfId="0" applyFont="1" applyBorder="1"/>
    <xf numFmtId="0" fontId="1" fillId="0" borderId="0" xfId="0" applyFont="1" applyFill="1"/>
    <xf numFmtId="0" fontId="1" fillId="0" borderId="0" xfId="0" applyFont="1" applyAlignment="1">
      <alignment horizontal="center"/>
    </xf>
    <xf numFmtId="0" fontId="1" fillId="0" borderId="0" xfId="0" applyFont="1" applyAlignment="1">
      <alignment horizontal="right"/>
    </xf>
    <xf numFmtId="0" fontId="4" fillId="0" borderId="17" xfId="0" applyFont="1" applyBorder="1"/>
    <xf numFmtId="0" fontId="0" fillId="0" borderId="0" xfId="0" applyFont="1"/>
    <xf numFmtId="0" fontId="0" fillId="0" borderId="0" xfId="0" applyFont="1" applyFill="1"/>
    <xf numFmtId="0" fontId="0" fillId="10" borderId="0" xfId="0" applyFill="1"/>
    <xf numFmtId="0" fontId="0" fillId="2" borderId="0" xfId="0" applyFill="1"/>
    <xf numFmtId="0" fontId="0" fillId="0" borderId="9" xfId="0" applyFill="1" applyBorder="1"/>
    <xf numFmtId="0" fontId="0" fillId="0" borderId="10" xfId="0" applyFill="1" applyBorder="1"/>
    <xf numFmtId="0" fontId="0" fillId="0" borderId="11" xfId="0" applyFill="1" applyBorder="1"/>
    <xf numFmtId="0" fontId="0" fillId="0" borderId="12" xfId="0" applyFill="1" applyBorder="1"/>
    <xf numFmtId="0" fontId="2" fillId="0" borderId="0" xfId="0" applyFont="1" applyFill="1" applyBorder="1"/>
    <xf numFmtId="0" fontId="1" fillId="11" borderId="0" xfId="0" applyFont="1" applyFill="1" applyAlignment="1">
      <alignment horizontal="center"/>
    </xf>
    <xf numFmtId="0" fontId="0" fillId="11" borderId="0" xfId="0" applyFill="1"/>
    <xf numFmtId="0" fontId="10" fillId="0" borderId="0" xfId="0" applyFont="1" applyBorder="1"/>
    <xf numFmtId="0" fontId="8" fillId="0" borderId="5" xfId="0" applyFont="1" applyFill="1" applyBorder="1"/>
    <xf numFmtId="0" fontId="8" fillId="0" borderId="0" xfId="0" applyFont="1" applyFill="1" applyBorder="1"/>
    <xf numFmtId="0" fontId="0" fillId="0" borderId="0" xfId="0" applyAlignment="1">
      <alignment horizontal="center"/>
    </xf>
    <xf numFmtId="0" fontId="1" fillId="0" borderId="0" xfId="0" applyFont="1" applyFill="1" applyAlignment="1">
      <alignment horizontal="center"/>
    </xf>
    <xf numFmtId="0" fontId="0" fillId="8" borderId="0" xfId="0" applyFill="1"/>
    <xf numFmtId="0" fontId="0" fillId="9" borderId="0" xfId="0" applyFill="1"/>
    <xf numFmtId="0" fontId="2" fillId="0" borderId="0" xfId="0" applyFont="1" applyFill="1"/>
    <xf numFmtId="0" fontId="0" fillId="9" borderId="21" xfId="0" applyFill="1" applyBorder="1"/>
    <xf numFmtId="0" fontId="0" fillId="0" borderId="0" xfId="0" quotePrefix="1"/>
    <xf numFmtId="0" fontId="0" fillId="3" borderId="0" xfId="0" applyFill="1" applyBorder="1" applyAlignment="1">
      <alignment horizontal="center" vertical="center"/>
    </xf>
    <xf numFmtId="0" fontId="1" fillId="0" borderId="20" xfId="0" applyFont="1" applyBorder="1"/>
    <xf numFmtId="0" fontId="4" fillId="0" borderId="0" xfId="0" applyFont="1" applyFill="1" applyBorder="1"/>
    <xf numFmtId="0" fontId="4" fillId="2" borderId="0" xfId="0" applyFont="1" applyFill="1" applyBorder="1"/>
    <xf numFmtId="0" fontId="0" fillId="8" borderId="12" xfId="0" applyFill="1" applyBorder="1"/>
    <xf numFmtId="0" fontId="0" fillId="8" borderId="13" xfId="0" applyFill="1" applyBorder="1"/>
    <xf numFmtId="0" fontId="0" fillId="0" borderId="0" xfId="0" applyFill="1" applyBorder="1" applyAlignment="1">
      <alignment horizontal="center"/>
    </xf>
    <xf numFmtId="0" fontId="0" fillId="0" borderId="0" xfId="0" applyFill="1" applyBorder="1" applyAlignment="1">
      <alignment horizontal="center" vertical="center"/>
    </xf>
    <xf numFmtId="0" fontId="4" fillId="0" borderId="0" xfId="0" quotePrefix="1" applyFont="1" applyBorder="1"/>
    <xf numFmtId="0" fontId="0" fillId="0" borderId="0" xfId="0" applyFill="1" applyBorder="1" applyAlignment="1">
      <alignment vertical="center"/>
    </xf>
    <xf numFmtId="0" fontId="0" fillId="0" borderId="0" xfId="0" applyFill="1" applyAlignment="1">
      <alignment horizontal="center"/>
    </xf>
    <xf numFmtId="0" fontId="0" fillId="2" borderId="0" xfId="0" applyFill="1" applyAlignment="1">
      <alignment horizontal="center"/>
    </xf>
    <xf numFmtId="0" fontId="0" fillId="2" borderId="0" xfId="0" applyFont="1" applyFill="1" applyBorder="1"/>
    <xf numFmtId="0" fontId="0" fillId="0" borderId="5" xfId="0" applyFill="1" applyBorder="1" applyAlignment="1">
      <alignment horizontal="center"/>
    </xf>
    <xf numFmtId="0" fontId="0" fillId="8" borderId="0" xfId="0" applyFont="1" applyFill="1"/>
    <xf numFmtId="0" fontId="0" fillId="8" borderId="0" xfId="0" applyFill="1" applyAlignment="1">
      <alignment horizontal="center"/>
    </xf>
    <xf numFmtId="0" fontId="0" fillId="8" borderId="0" xfId="0" applyFont="1" applyFill="1" applyBorder="1"/>
    <xf numFmtId="0" fontId="11" fillId="0" borderId="0" xfId="0" applyFont="1" applyAlignment="1">
      <alignment horizontal="center"/>
    </xf>
    <xf numFmtId="0" fontId="12" fillId="0" borderId="0" xfId="0" applyFont="1" applyFill="1" applyBorder="1"/>
    <xf numFmtId="0" fontId="12" fillId="2" borderId="0" xfId="0" applyFont="1" applyFill="1" applyBorder="1"/>
    <xf numFmtId="0" fontId="13" fillId="0" borderId="0" xfId="0" applyFont="1" applyFill="1" applyBorder="1"/>
    <xf numFmtId="0" fontId="0" fillId="2" borderId="0" xfId="0" applyFont="1" applyFill="1"/>
    <xf numFmtId="0" fontId="0" fillId="12" borderId="0" xfId="0" applyFont="1" applyFill="1"/>
    <xf numFmtId="0" fontId="0" fillId="12" borderId="0" xfId="0" applyFill="1"/>
    <xf numFmtId="0" fontId="0" fillId="12" borderId="0" xfId="0" applyFill="1" applyBorder="1"/>
    <xf numFmtId="0" fontId="0" fillId="12" borderId="0" xfId="0" applyFont="1" applyFill="1" applyBorder="1"/>
    <xf numFmtId="0" fontId="12" fillId="8" borderId="0" xfId="0" applyFont="1" applyFill="1" applyBorder="1"/>
    <xf numFmtId="0" fontId="13" fillId="8" borderId="0" xfId="0" applyFont="1" applyFill="1" applyBorder="1"/>
    <xf numFmtId="0" fontId="13" fillId="2" borderId="0" xfId="0" applyFont="1" applyFill="1" applyBorder="1"/>
    <xf numFmtId="0" fontId="0" fillId="0" borderId="0" xfId="0" applyBorder="1" applyAlignment="1">
      <alignment horizontal="center"/>
    </xf>
    <xf numFmtId="0" fontId="2" fillId="0" borderId="0" xfId="0" applyFont="1"/>
    <xf numFmtId="0" fontId="4" fillId="0" borderId="0" xfId="0" applyFont="1" applyFill="1" applyBorder="1" applyAlignment="1">
      <alignment horizontal="right"/>
    </xf>
    <xf numFmtId="0" fontId="3" fillId="0" borderId="0" xfId="0" applyFont="1"/>
    <xf numFmtId="0" fontId="3" fillId="0" borderId="0" xfId="0" applyFont="1" applyAlignment="1">
      <alignment horizontal="right"/>
    </xf>
    <xf numFmtId="0" fontId="3" fillId="0" borderId="0" xfId="0" applyFont="1" applyAlignment="1">
      <alignment horizontal="center"/>
    </xf>
    <xf numFmtId="0" fontId="3" fillId="0" borderId="15" xfId="0" applyFont="1" applyBorder="1"/>
    <xf numFmtId="0" fontId="0" fillId="0" borderId="15" xfId="0" applyFont="1" applyBorder="1"/>
    <xf numFmtId="0" fontId="3" fillId="0" borderId="0" xfId="0" applyFont="1" applyBorder="1" applyAlignment="1">
      <alignment horizontal="center"/>
    </xf>
    <xf numFmtId="0" fontId="3" fillId="0" borderId="0" xfId="0" applyFont="1" applyBorder="1" applyAlignment="1">
      <alignment horizontal="right"/>
    </xf>
    <xf numFmtId="0" fontId="3" fillId="0" borderId="18" xfId="0" applyFont="1" applyBorder="1"/>
    <xf numFmtId="0" fontId="3" fillId="0" borderId="5" xfId="0" applyFont="1" applyBorder="1" applyAlignment="1">
      <alignment horizontal="right"/>
    </xf>
    <xf numFmtId="0" fontId="3" fillId="0" borderId="20" xfId="0" applyFont="1" applyBorder="1"/>
    <xf numFmtId="0" fontId="3" fillId="0" borderId="5" xfId="0" applyFont="1" applyBorder="1" applyAlignment="1">
      <alignment horizontal="center"/>
    </xf>
    <xf numFmtId="0" fontId="3" fillId="0" borderId="0" xfId="0" quotePrefix="1" applyFont="1" applyAlignment="1">
      <alignment horizontal="center"/>
    </xf>
    <xf numFmtId="0" fontId="0" fillId="0" borderId="0" xfId="0" applyBorder="1" applyAlignment="1">
      <alignment horizontal="center"/>
    </xf>
    <xf numFmtId="0" fontId="0" fillId="0" borderId="0" xfId="0" applyBorder="1" applyAlignment="1">
      <alignment horizontal="center"/>
    </xf>
    <xf numFmtId="0" fontId="3" fillId="0" borderId="22" xfId="0" quotePrefix="1" applyFont="1" applyBorder="1" applyAlignment="1">
      <alignment horizontal="center"/>
    </xf>
    <xf numFmtId="0" fontId="4" fillId="0" borderId="23" xfId="0" quotePrefix="1" applyFont="1" applyBorder="1"/>
    <xf numFmtId="0" fontId="4" fillId="0" borderId="24" xfId="0" applyFont="1" applyBorder="1"/>
    <xf numFmtId="0" fontId="0" fillId="0" borderId="0" xfId="0" applyBorder="1" applyAlignment="1">
      <alignment horizontal="center"/>
    </xf>
    <xf numFmtId="0" fontId="1" fillId="2" borderId="0" xfId="0" applyFont="1" applyFill="1"/>
    <xf numFmtId="0" fontId="3" fillId="0" borderId="0" xfId="0" quotePrefix="1" applyFont="1" applyBorder="1" applyAlignment="1">
      <alignment horizontal="center"/>
    </xf>
    <xf numFmtId="0" fontId="4" fillId="2" borderId="0" xfId="0" applyFont="1" applyFill="1"/>
    <xf numFmtId="0" fontId="3" fillId="2" borderId="0" xfId="0" quotePrefix="1" applyFont="1" applyFill="1" applyAlignment="1">
      <alignment horizontal="center"/>
    </xf>
    <xf numFmtId="0" fontId="3" fillId="2" borderId="0" xfId="0" applyFont="1" applyFill="1"/>
    <xf numFmtId="0" fontId="3" fillId="2" borderId="0" xfId="0" applyFont="1" applyFill="1" applyAlignment="1">
      <alignment horizontal="center"/>
    </xf>
    <xf numFmtId="0" fontId="4" fillId="0" borderId="14" xfId="0" applyFont="1" applyBorder="1"/>
    <xf numFmtId="0" fontId="4" fillId="0" borderId="15" xfId="0" applyFont="1" applyBorder="1"/>
    <xf numFmtId="0" fontId="4" fillId="0" borderId="16" xfId="0" applyFont="1" applyBorder="1"/>
    <xf numFmtId="0" fontId="4" fillId="0" borderId="19" xfId="0" applyFont="1" applyBorder="1"/>
    <xf numFmtId="0" fontId="4" fillId="0" borderId="20" xfId="0" applyFont="1" applyBorder="1"/>
    <xf numFmtId="0" fontId="4" fillId="0" borderId="0" xfId="0" applyFont="1" applyBorder="1" applyAlignment="1">
      <alignment horizontal="right"/>
    </xf>
    <xf numFmtId="0" fontId="15" fillId="0" borderId="0" xfId="0" applyFont="1"/>
    <xf numFmtId="0" fontId="9" fillId="0" borderId="0" xfId="0" applyFont="1"/>
    <xf numFmtId="0" fontId="16" fillId="0" borderId="0" xfId="0" applyFont="1"/>
    <xf numFmtId="0" fontId="11" fillId="0" borderId="0" xfId="0" applyFont="1"/>
    <xf numFmtId="0" fontId="15" fillId="0" borderId="0" xfId="0" applyFont="1" applyAlignment="1">
      <alignment horizontal="right"/>
    </xf>
    <xf numFmtId="0" fontId="17" fillId="0" borderId="0" xfId="0" applyFont="1"/>
    <xf numFmtId="0" fontId="1" fillId="0" borderId="18" xfId="0" applyFont="1" applyFill="1" applyBorder="1" applyAlignment="1">
      <alignment horizontal="right"/>
    </xf>
    <xf numFmtId="0" fontId="1" fillId="0" borderId="18" xfId="0" applyFont="1" applyBorder="1" applyAlignment="1">
      <alignment horizontal="right"/>
    </xf>
    <xf numFmtId="0" fontId="2" fillId="10" borderId="0" xfId="0" applyFont="1" applyFill="1"/>
    <xf numFmtId="0" fontId="3" fillId="0" borderId="18" xfId="0" applyFont="1" applyBorder="1" applyAlignment="1">
      <alignment horizontal="center"/>
    </xf>
    <xf numFmtId="0" fontId="0" fillId="0" borderId="0" xfId="0" applyAlignment="1">
      <alignment horizontal="center"/>
    </xf>
    <xf numFmtId="0" fontId="0" fillId="0" borderId="0" xfId="0" quotePrefix="1" applyBorder="1" applyAlignment="1">
      <alignment horizontal="center"/>
    </xf>
    <xf numFmtId="0" fontId="3" fillId="4" borderId="0" xfId="0" applyFont="1" applyFill="1" applyAlignment="1">
      <alignment horizontal="center"/>
    </xf>
    <xf numFmtId="0" fontId="3" fillId="4" borderId="0" xfId="0" quotePrefix="1" applyFont="1" applyFill="1" applyAlignment="1">
      <alignment horizontal="center"/>
    </xf>
    <xf numFmtId="11" fontId="4" fillId="0" borderId="0" xfId="0" applyNumberFormat="1" applyFont="1" applyBorder="1"/>
    <xf numFmtId="0" fontId="3" fillId="0" borderId="0" xfId="0" applyNumberFormat="1" applyFont="1" applyBorder="1"/>
    <xf numFmtId="0" fontId="4" fillId="0" borderId="0" xfId="0" applyFont="1" applyBorder="1" applyAlignment="1">
      <alignment horizontal="left"/>
    </xf>
    <xf numFmtId="0" fontId="0" fillId="0" borderId="0" xfId="0" applyAlignment="1">
      <alignment horizontal="center" wrapText="1"/>
    </xf>
    <xf numFmtId="11" fontId="0" fillId="0" borderId="0" xfId="0" applyNumberFormat="1"/>
    <xf numFmtId="0" fontId="0" fillId="0" borderId="25" xfId="0" applyBorder="1"/>
    <xf numFmtId="0" fontId="0" fillId="0" borderId="26" xfId="0" applyBorder="1"/>
    <xf numFmtId="0" fontId="0" fillId="0" borderId="21" xfId="0" applyBorder="1"/>
    <xf numFmtId="0" fontId="0" fillId="0" borderId="24" xfId="0" applyBorder="1" applyAlignment="1">
      <alignment horizontal="center" wrapText="1"/>
    </xf>
    <xf numFmtId="0" fontId="0" fillId="0" borderId="23"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0" xfId="0" applyAlignment="1">
      <alignment horizontal="center"/>
    </xf>
    <xf numFmtId="11" fontId="3" fillId="0" borderId="0" xfId="0" applyNumberFormat="1" applyFont="1" applyBorder="1"/>
    <xf numFmtId="11" fontId="3" fillId="0" borderId="5" xfId="0" applyNumberFormat="1" applyFont="1" applyBorder="1"/>
    <xf numFmtId="0" fontId="1" fillId="0" borderId="14" xfId="0" applyFont="1" applyBorder="1"/>
    <xf numFmtId="0" fontId="0" fillId="0" borderId="0" xfId="0" applyAlignment="1">
      <alignment horizontal="center"/>
    </xf>
    <xf numFmtId="0" fontId="0" fillId="0" borderId="15" xfId="0" applyBorder="1" applyAlignment="1"/>
    <xf numFmtId="0" fontId="0" fillId="0" borderId="0" xfId="0" applyAlignment="1"/>
    <xf numFmtId="0" fontId="0" fillId="0" borderId="0" xfId="0" applyBorder="1" applyAlignment="1">
      <alignment horizontal="center"/>
    </xf>
    <xf numFmtId="0" fontId="0" fillId="0" borderId="0" xfId="0" applyAlignment="1">
      <alignment horizontal="center"/>
    </xf>
    <xf numFmtId="0" fontId="0" fillId="0" borderId="0" xfId="0" applyFill="1" applyAlignment="1">
      <alignment horizontal="left"/>
    </xf>
    <xf numFmtId="0" fontId="0" fillId="0" borderId="0" xfId="0"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13" borderId="0" xfId="0" applyFill="1" applyAlignment="1">
      <alignment horizontal="center"/>
    </xf>
    <xf numFmtId="0" fontId="0" fillId="13" borderId="0" xfId="0" applyFill="1"/>
    <xf numFmtId="0" fontId="0" fillId="13" borderId="0" xfId="0" applyFill="1" applyBorder="1"/>
    <xf numFmtId="0" fontId="0" fillId="0" borderId="0"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4" fillId="10" borderId="0" xfId="0" applyFont="1" applyFill="1"/>
    <xf numFmtId="0" fontId="4" fillId="9" borderId="0" xfId="0" applyFont="1" applyFill="1"/>
    <xf numFmtId="0" fontId="4" fillId="12" borderId="0" xfId="0" applyFont="1" applyFill="1"/>
    <xf numFmtId="0" fontId="3" fillId="0" borderId="0" xfId="0" applyFont="1" applyFill="1" applyAlignment="1">
      <alignment horizontal="center"/>
    </xf>
    <xf numFmtId="0" fontId="3" fillId="0" borderId="0" xfId="0" quotePrefix="1" applyFont="1" applyFill="1" applyAlignment="1">
      <alignment horizontal="center"/>
    </xf>
    <xf numFmtId="0" fontId="4" fillId="0" borderId="0" xfId="0" applyFont="1" applyFill="1"/>
    <xf numFmtId="0" fontId="3" fillId="0" borderId="0" xfId="0" applyFont="1" applyFill="1"/>
    <xf numFmtId="0" fontId="3" fillId="0" borderId="22" xfId="0" quotePrefix="1" applyFont="1" applyFill="1" applyBorder="1" applyAlignment="1">
      <alignment horizontal="center"/>
    </xf>
    <xf numFmtId="0" fontId="4" fillId="0" borderId="23" xfId="0" quotePrefix="1" applyFont="1" applyFill="1" applyBorder="1"/>
    <xf numFmtId="0" fontId="4" fillId="0" borderId="24" xfId="0" applyFont="1" applyFill="1" applyBorder="1"/>
    <xf numFmtId="0" fontId="4" fillId="9" borderId="0" xfId="0" applyFont="1" applyFill="1" applyAlignment="1">
      <alignment horizontal="right"/>
    </xf>
    <xf numFmtId="0" fontId="4" fillId="12" borderId="0" xfId="0" applyFont="1" applyFill="1" applyAlignment="1">
      <alignment horizontal="right"/>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4" fillId="12" borderId="0" xfId="0" applyFont="1" applyFill="1" applyAlignment="1">
      <alignment horizontal="left"/>
    </xf>
    <xf numFmtId="0" fontId="4" fillId="15" borderId="0" xfId="0" applyFont="1" applyFill="1"/>
    <xf numFmtId="0" fontId="8" fillId="0" borderId="0" xfId="0" applyFont="1"/>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Alignment="1">
      <alignment horizontal="center"/>
    </xf>
    <xf numFmtId="0" fontId="9" fillId="0" borderId="0" xfId="0" applyFont="1" applyAlignment="1">
      <alignment horizontal="center" wrapText="1"/>
    </xf>
    <xf numFmtId="0" fontId="3" fillId="0" borderId="0" xfId="0" applyFont="1" applyBorder="1" applyAlignment="1">
      <alignment horizontal="center" wrapText="1"/>
    </xf>
    <xf numFmtId="0" fontId="4" fillId="6" borderId="0" xfId="0" applyFont="1" applyFill="1"/>
    <xf numFmtId="0" fontId="3" fillId="6" borderId="0" xfId="0" applyFont="1" applyFill="1" applyAlignment="1">
      <alignment horizontal="center"/>
    </xf>
    <xf numFmtId="0" fontId="3" fillId="6" borderId="0" xfId="0" quotePrefix="1" applyFont="1" applyFill="1" applyAlignment="1">
      <alignment horizontal="center"/>
    </xf>
    <xf numFmtId="0" fontId="3" fillId="0" borderId="0" xfId="0" quotePrefix="1" applyNumberFormat="1" applyFont="1" applyBorder="1"/>
    <xf numFmtId="164" fontId="3" fillId="0" borderId="0" xfId="0" applyNumberFormat="1" applyFont="1" applyBorder="1"/>
    <xf numFmtId="0" fontId="3" fillId="0" borderId="0" xfId="0" applyFont="1" applyBorder="1" applyAlignment="1"/>
    <xf numFmtId="0" fontId="2" fillId="0" borderId="0" xfId="0" applyFont="1" applyBorder="1" applyAlignment="1">
      <alignment wrapText="1"/>
    </xf>
    <xf numFmtId="0" fontId="9" fillId="0" borderId="0" xfId="0" applyFont="1" applyBorder="1" applyAlignment="1">
      <alignment wrapText="1"/>
    </xf>
    <xf numFmtId="0" fontId="4" fillId="0" borderId="0" xfId="0" quotePrefix="1" applyFont="1"/>
    <xf numFmtId="0" fontId="3" fillId="0" borderId="0" xfId="0" quotePrefix="1" applyFont="1"/>
    <xf numFmtId="0" fontId="1" fillId="13" borderId="0" xfId="0" applyFont="1" applyFill="1"/>
    <xf numFmtId="0" fontId="0" fillId="13" borderId="0" xfId="0" applyFont="1" applyFill="1"/>
    <xf numFmtId="165" fontId="0" fillId="0" borderId="0" xfId="0" applyNumberFormat="1"/>
    <xf numFmtId="165" fontId="0" fillId="13" borderId="0" xfId="0" applyNumberFormat="1" applyFill="1"/>
    <xf numFmtId="0" fontId="1" fillId="0" borderId="10" xfId="0" applyFont="1" applyBorder="1"/>
    <xf numFmtId="0" fontId="4" fillId="0" borderId="0" xfId="0" applyNumberFormat="1" applyFont="1" applyBorder="1"/>
    <xf numFmtId="0" fontId="16" fillId="0" borderId="0" xfId="0" applyFont="1" applyAlignment="1">
      <alignment horizontal="right"/>
    </xf>
    <xf numFmtId="0" fontId="0" fillId="2" borderId="3" xfId="0" applyFill="1" applyBorder="1" applyAlignment="1">
      <alignment horizontal="center"/>
    </xf>
    <xf numFmtId="0" fontId="0" fillId="2" borderId="6" xfId="0" applyFill="1" applyBorder="1" applyAlignment="1">
      <alignment horizontal="center"/>
    </xf>
    <xf numFmtId="0" fontId="0" fillId="2" borderId="4" xfId="0" applyFill="1" applyBorder="1" applyAlignment="1">
      <alignment horizontal="center"/>
    </xf>
    <xf numFmtId="0" fontId="0" fillId="0" borderId="0" xfId="0" applyFill="1" applyBorder="1" applyAlignment="1">
      <alignment horizontal="center"/>
    </xf>
    <xf numFmtId="0" fontId="0" fillId="0" borderId="0" xfId="0" applyBorder="1" applyAlignment="1">
      <alignment horizontal="center"/>
    </xf>
    <xf numFmtId="0" fontId="0" fillId="6" borderId="3" xfId="0" applyFill="1" applyBorder="1" applyAlignment="1">
      <alignment horizontal="center"/>
    </xf>
    <xf numFmtId="0" fontId="0" fillId="6" borderId="6" xfId="0" applyFill="1" applyBorder="1" applyAlignment="1">
      <alignment horizontal="center"/>
    </xf>
    <xf numFmtId="0" fontId="0" fillId="6" borderId="4" xfId="0" applyFill="1" applyBorder="1" applyAlignment="1">
      <alignment horizontal="center"/>
    </xf>
    <xf numFmtId="0" fontId="0" fillId="0" borderId="0" xfId="0" applyFill="1" applyBorder="1" applyAlignment="1">
      <alignment horizontal="center" vertical="center"/>
    </xf>
    <xf numFmtId="0" fontId="0" fillId="0" borderId="2" xfId="0" applyFill="1" applyBorder="1" applyAlignment="1">
      <alignment horizontal="center" vertical="center"/>
    </xf>
    <xf numFmtId="0" fontId="0" fillId="0" borderId="10" xfId="0" applyFill="1" applyBorder="1" applyAlignment="1">
      <alignment horizontal="center" vertical="center"/>
    </xf>
    <xf numFmtId="0" fontId="0" fillId="4" borderId="0" xfId="0" applyFill="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1" fillId="0" borderId="0" xfId="0" applyFont="1" applyAlignment="1">
      <alignment horizontal="center" vertical="center"/>
    </xf>
    <xf numFmtId="0" fontId="0" fillId="0" borderId="15" xfId="0" applyBorder="1" applyAlignment="1">
      <alignment horizontal="center" wrapText="1"/>
    </xf>
    <xf numFmtId="0" fontId="0" fillId="0" borderId="0" xfId="0" applyBorder="1" applyAlignment="1">
      <alignment horizontal="center" wrapText="1"/>
    </xf>
    <xf numFmtId="0" fontId="0" fillId="3" borderId="0" xfId="0" applyFill="1" applyBorder="1" applyAlignment="1">
      <alignment horizontal="center" vertical="center"/>
    </xf>
    <xf numFmtId="0" fontId="0" fillId="0" borderId="0" xfId="0" applyAlignment="1">
      <alignment horizontal="center" wrapText="1"/>
    </xf>
    <xf numFmtId="0" fontId="0" fillId="0" borderId="14"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0" fillId="0" borderId="5" xfId="0" applyBorder="1" applyAlignment="1">
      <alignment horizontal="center" wrapText="1"/>
    </xf>
    <xf numFmtId="0" fontId="0" fillId="0" borderId="20" xfId="0" applyBorder="1" applyAlignment="1">
      <alignment horizontal="center" wrapText="1"/>
    </xf>
    <xf numFmtId="0" fontId="9" fillId="0" borderId="0" xfId="0" applyFont="1" applyBorder="1" applyAlignment="1">
      <alignment horizontal="center"/>
    </xf>
    <xf numFmtId="0" fontId="18" fillId="0" borderId="0" xfId="0" applyFont="1" applyBorder="1" applyAlignment="1">
      <alignment horizontal="center"/>
    </xf>
    <xf numFmtId="0" fontId="11" fillId="0" borderId="0" xfId="0" applyFont="1" applyBorder="1" applyAlignment="1">
      <alignment horizontal="center" wrapText="1"/>
    </xf>
    <xf numFmtId="0" fontId="1" fillId="0" borderId="0" xfId="0" applyFont="1" applyBorder="1" applyAlignment="1">
      <alignment horizontal="center" wrapText="1"/>
    </xf>
    <xf numFmtId="0" fontId="9" fillId="0" borderId="0" xfId="0" applyFont="1" applyAlignment="1">
      <alignment horizontal="center" wrapText="1"/>
    </xf>
    <xf numFmtId="0" fontId="8" fillId="0" borderId="0" xfId="0" applyFont="1" applyAlignment="1">
      <alignment horizontal="center" vertical="center"/>
    </xf>
    <xf numFmtId="0" fontId="20" fillId="0" borderId="0" xfId="0" applyFont="1" applyAlignment="1">
      <alignment horizontal="center" wrapText="1"/>
    </xf>
    <xf numFmtId="0" fontId="4" fillId="0" borderId="0" xfId="0" applyFont="1" applyAlignment="1">
      <alignment horizontal="center" wrapText="1"/>
    </xf>
    <xf numFmtId="0" fontId="20" fillId="14" borderId="0" xfId="0" applyFont="1" applyFill="1" applyAlignment="1">
      <alignment horizontal="center" vertical="center" wrapText="1"/>
    </xf>
    <xf numFmtId="0" fontId="16" fillId="0" borderId="0" xfId="0" applyFont="1" applyFill="1" applyAlignment="1">
      <alignment horizontal="center" vertical="center" wrapText="1"/>
    </xf>
    <xf numFmtId="0" fontId="16" fillId="0" borderId="0" xfId="0" applyFont="1" applyAlignment="1">
      <alignment horizontal="center" vertical="center" wrapText="1"/>
    </xf>
    <xf numFmtId="0" fontId="16" fillId="12" borderId="0" xfId="0" applyFont="1" applyFill="1" applyAlignment="1">
      <alignment horizontal="center" vertical="center" wrapText="1"/>
    </xf>
    <xf numFmtId="0" fontId="4" fillId="12" borderId="0" xfId="0" applyFont="1" applyFill="1" applyAlignment="1">
      <alignment horizontal="center" vertical="center" wrapText="1"/>
    </xf>
    <xf numFmtId="0" fontId="15" fillId="9" borderId="0" xfId="0" applyFont="1" applyFill="1" applyAlignment="1">
      <alignment horizontal="center" vertical="center" wrapText="1"/>
    </xf>
    <xf numFmtId="0" fontId="9" fillId="9" borderId="0" xfId="0" applyFont="1" applyFill="1" applyAlignment="1">
      <alignment horizontal="center" vertical="center" wrapText="1"/>
    </xf>
    <xf numFmtId="0" fontId="0" fillId="0" borderId="0" xfId="0" applyAlignment="1">
      <alignment horizontal="center"/>
    </xf>
    <xf numFmtId="0" fontId="10"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05"/>
  <sheetViews>
    <sheetView workbookViewId="0">
      <selection activeCell="B28" sqref="B28"/>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100</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3.3047900000000001</v>
      </c>
      <c r="G7" s="2">
        <v>7.8680399999999997</v>
      </c>
      <c r="H7" s="2">
        <f>G7-F7</f>
        <v>4.56325</v>
      </c>
      <c r="I7" s="2">
        <f>F8-G7</f>
        <v>6.1027200000000006</v>
      </c>
      <c r="J7" s="2">
        <f>H7/N7</f>
        <v>0.42783263031866764</v>
      </c>
      <c r="K7" s="2">
        <f>I7/N7</f>
        <v>0.57216736968133231</v>
      </c>
      <c r="L7" s="2">
        <f>1/H7</f>
        <v>0.2191420588396428</v>
      </c>
      <c r="M7" s="2">
        <f>1/N7</f>
        <v>9.3756123446812611E-2</v>
      </c>
      <c r="N7" s="2">
        <f>H7+I7</f>
        <v>10.665970000000002</v>
      </c>
      <c r="O7" s="2">
        <v>18</v>
      </c>
      <c r="P7">
        <f>O7/H7</f>
        <v>3.9445570591135701</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13.97076</v>
      </c>
      <c r="G8" s="2">
        <v>18.92998</v>
      </c>
      <c r="H8" s="2">
        <f t="shared" ref="H8:H24" si="0">G8-F8</f>
        <v>4.9592200000000002</v>
      </c>
      <c r="I8" s="2">
        <f t="shared" ref="I8:I24" si="1">F9-G8</f>
        <v>8.1822499999999998</v>
      </c>
      <c r="J8" s="2">
        <f t="shared" ref="J8:J24" si="2">H8/N8</f>
        <v>0.37737178565259444</v>
      </c>
      <c r="K8" s="2">
        <f t="shared" ref="K8:K24" si="3">I8/N8</f>
        <v>0.62262821434740556</v>
      </c>
      <c r="L8" s="2">
        <f t="shared" ref="L8:L24" si="4">1/H8</f>
        <v>0.20164461346744045</v>
      </c>
      <c r="M8" s="2">
        <f t="shared" ref="M8:M24" si="5">1/N8</f>
        <v>7.6094987851435189E-2</v>
      </c>
      <c r="N8" s="2">
        <f t="shared" ref="N8:N24" si="6">H8+I8</f>
        <v>13.14147</v>
      </c>
      <c r="O8" s="2">
        <v>24</v>
      </c>
      <c r="P8">
        <f t="shared" ref="P8:P24" si="7">O8/H8</f>
        <v>4.8394707232185707</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27.11223</v>
      </c>
      <c r="G9" s="2">
        <v>31.75319</v>
      </c>
      <c r="H9" s="2">
        <f t="shared" si="0"/>
        <v>4.6409599999999998</v>
      </c>
      <c r="I9" s="2">
        <f t="shared" si="1"/>
        <v>7.2733900000000027</v>
      </c>
      <c r="J9" s="2">
        <f t="shared" si="2"/>
        <v>0.38952691502264064</v>
      </c>
      <c r="K9" s="2">
        <f t="shared" si="3"/>
        <v>0.6104730849773593</v>
      </c>
      <c r="L9" s="2">
        <f t="shared" si="4"/>
        <v>0.21547266082879404</v>
      </c>
      <c r="M9" s="2">
        <f t="shared" si="5"/>
        <v>8.3932400844359933E-2</v>
      </c>
      <c r="N9" s="2">
        <f t="shared" si="6"/>
        <v>11.914350000000002</v>
      </c>
      <c r="O9" s="2">
        <v>20</v>
      </c>
      <c r="P9">
        <f t="shared" si="7"/>
        <v>4.3094532165758812</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39.026580000000003</v>
      </c>
      <c r="G10" s="13">
        <v>43.898020000000002</v>
      </c>
      <c r="H10" s="2">
        <f t="shared" si="0"/>
        <v>4.8714399999999998</v>
      </c>
      <c r="I10" s="2">
        <f t="shared" si="1"/>
        <v>7.0201099999999954</v>
      </c>
      <c r="J10" s="2">
        <f t="shared" si="2"/>
        <v>0.409655595780197</v>
      </c>
      <c r="K10" s="2">
        <f t="shared" si="3"/>
        <v>0.59034440421980294</v>
      </c>
      <c r="L10" s="2">
        <f t="shared" si="4"/>
        <v>0.20527811078449085</v>
      </c>
      <c r="M10" s="2">
        <f t="shared" si="5"/>
        <v>8.4093326774053873E-2</v>
      </c>
      <c r="N10" s="2">
        <f t="shared" si="6"/>
        <v>11.891549999999995</v>
      </c>
      <c r="O10" s="13">
        <v>22</v>
      </c>
      <c r="P10">
        <f t="shared" si="7"/>
        <v>4.5161184372587986</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50.918129999999998</v>
      </c>
      <c r="G11" s="13">
        <v>55.554920000000003</v>
      </c>
      <c r="H11" s="2">
        <f t="shared" si="0"/>
        <v>4.6367900000000049</v>
      </c>
      <c r="I11" s="2">
        <f t="shared" si="1"/>
        <v>7.2760999999999996</v>
      </c>
      <c r="J11" s="2">
        <f t="shared" si="2"/>
        <v>0.38922461300322619</v>
      </c>
      <c r="K11" s="2">
        <f t="shared" si="3"/>
        <v>0.61077538699677381</v>
      </c>
      <c r="L11" s="2">
        <f t="shared" si="4"/>
        <v>0.21566644165467899</v>
      </c>
      <c r="M11" s="2">
        <f t="shared" si="5"/>
        <v>8.3942687290825282E-2</v>
      </c>
      <c r="N11" s="2">
        <f t="shared" si="6"/>
        <v>11.912890000000004</v>
      </c>
      <c r="O11" s="13">
        <v>19</v>
      </c>
      <c r="P11">
        <f t="shared" si="7"/>
        <v>4.0976623914389005</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62.831020000000002</v>
      </c>
      <c r="G12" s="13">
        <v>68.028989999999993</v>
      </c>
      <c r="H12" s="2">
        <f t="shared" si="0"/>
        <v>5.1979699999999909</v>
      </c>
      <c r="I12" s="2">
        <f t="shared" si="1"/>
        <v>8.1142800000000079</v>
      </c>
      <c r="J12" s="2">
        <f t="shared" si="2"/>
        <v>0.39046517305489242</v>
      </c>
      <c r="K12" s="2">
        <f t="shared" si="3"/>
        <v>0.60953482694510763</v>
      </c>
      <c r="L12" s="2">
        <f t="shared" si="4"/>
        <v>0.19238279559135618</v>
      </c>
      <c r="M12" s="2">
        <f t="shared" si="5"/>
        <v>7.5118781573362881E-2</v>
      </c>
      <c r="N12" s="2">
        <f t="shared" si="6"/>
        <v>13.312249999999999</v>
      </c>
      <c r="O12" s="13">
        <v>23</v>
      </c>
      <c r="P12">
        <f t="shared" si="7"/>
        <v>4.4248042986011926</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76.143270000000001</v>
      </c>
      <c r="G13" s="13">
        <v>81.313029999999998</v>
      </c>
      <c r="H13" s="2">
        <f t="shared" si="0"/>
        <v>5.1697599999999966</v>
      </c>
      <c r="I13" s="2">
        <f t="shared" si="1"/>
        <v>8.2517600000000044</v>
      </c>
      <c r="J13" s="2">
        <f t="shared" si="2"/>
        <v>0.38518439044161884</v>
      </c>
      <c r="K13" s="2">
        <f t="shared" si="3"/>
        <v>0.6148156095583811</v>
      </c>
      <c r="L13" s="2">
        <f t="shared" si="4"/>
        <v>0.19343257714091189</v>
      </c>
      <c r="M13" s="2">
        <f t="shared" si="5"/>
        <v>7.4507209317573569E-2</v>
      </c>
      <c r="N13" s="2">
        <f t="shared" si="6"/>
        <v>13.421520000000001</v>
      </c>
      <c r="O13" s="13">
        <v>24</v>
      </c>
      <c r="P13">
        <f t="shared" si="7"/>
        <v>4.6423818513818853</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89.564790000000002</v>
      </c>
      <c r="G14" s="13">
        <v>94.450590000000005</v>
      </c>
      <c r="H14" s="2">
        <f t="shared" si="0"/>
        <v>4.8858000000000033</v>
      </c>
      <c r="I14" s="2">
        <f t="shared" si="1"/>
        <v>7.4328599999999909</v>
      </c>
      <c r="J14" s="2">
        <f t="shared" si="2"/>
        <v>0.3966178139505438</v>
      </c>
      <c r="K14" s="2">
        <f t="shared" si="3"/>
        <v>0.60338218604945626</v>
      </c>
      <c r="L14" s="2">
        <f t="shared" si="4"/>
        <v>0.20467477178762933</v>
      </c>
      <c r="M14" s="2">
        <f t="shared" si="5"/>
        <v>8.1177660557235978E-2</v>
      </c>
      <c r="N14" s="2">
        <f t="shared" si="6"/>
        <v>12.318659999999994</v>
      </c>
      <c r="O14" s="13">
        <v>21</v>
      </c>
      <c r="P14">
        <f t="shared" si="7"/>
        <v>4.2981702075402159</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101.88345</v>
      </c>
      <c r="G15" s="13">
        <v>106.64988</v>
      </c>
      <c r="H15" s="2">
        <f t="shared" si="0"/>
        <v>4.7664299999999997</v>
      </c>
      <c r="I15" s="2">
        <f t="shared" si="1"/>
        <v>7.5896400000000028</v>
      </c>
      <c r="J15" s="2">
        <f t="shared" si="2"/>
        <v>0.38575615062070695</v>
      </c>
      <c r="K15" s="2">
        <f t="shared" si="3"/>
        <v>0.61424384937929299</v>
      </c>
      <c r="L15" s="2">
        <f t="shared" si="4"/>
        <v>0.20980062646467063</v>
      </c>
      <c r="M15" s="2">
        <f t="shared" si="5"/>
        <v>8.0931882062824159E-2</v>
      </c>
      <c r="N15" s="2">
        <f t="shared" si="6"/>
        <v>12.356070000000003</v>
      </c>
      <c r="O15" s="2">
        <v>21</v>
      </c>
      <c r="P15">
        <f t="shared" si="7"/>
        <v>4.4058131557580831</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114.23952</v>
      </c>
      <c r="G16" s="13">
        <v>119.38856</v>
      </c>
      <c r="H16" s="2">
        <f t="shared" si="0"/>
        <v>5.1490399999999994</v>
      </c>
      <c r="I16" s="2">
        <f t="shared" si="1"/>
        <v>7.0735499999999973</v>
      </c>
      <c r="J16" s="2">
        <f t="shared" si="2"/>
        <v>0.42127241443916558</v>
      </c>
      <c r="K16" s="2">
        <f t="shared" si="3"/>
        <v>0.57872758556083448</v>
      </c>
      <c r="L16" s="2">
        <f t="shared" si="4"/>
        <v>0.19421095971287855</v>
      </c>
      <c r="M16" s="2">
        <f t="shared" si="5"/>
        <v>8.1815719908791856E-2</v>
      </c>
      <c r="N16" s="2">
        <f t="shared" si="6"/>
        <v>12.222589999999997</v>
      </c>
      <c r="O16" s="2">
        <v>22</v>
      </c>
      <c r="P16">
        <f t="shared" si="7"/>
        <v>4.2726411136833278</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126.46211</v>
      </c>
      <c r="G17" s="13">
        <v>131.29585</v>
      </c>
      <c r="H17" s="2">
        <f t="shared" si="0"/>
        <v>4.8337400000000059</v>
      </c>
      <c r="I17" s="2">
        <f t="shared" si="1"/>
        <v>7.5643000000000029</v>
      </c>
      <c r="J17" s="2">
        <f t="shared" si="2"/>
        <v>0.38987936802914031</v>
      </c>
      <c r="K17" s="2">
        <f t="shared" si="3"/>
        <v>0.61012063197085975</v>
      </c>
      <c r="L17" s="2">
        <f t="shared" si="4"/>
        <v>0.20687914534087451</v>
      </c>
      <c r="M17" s="2">
        <f t="shared" si="5"/>
        <v>8.0657910443908812E-2</v>
      </c>
      <c r="N17" s="2">
        <f t="shared" si="6"/>
        <v>12.398040000000009</v>
      </c>
      <c r="O17" s="2">
        <v>20</v>
      </c>
      <c r="P17">
        <f t="shared" si="7"/>
        <v>4.1375829068174905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138.86015</v>
      </c>
      <c r="G18" s="13">
        <v>143.84440000000001</v>
      </c>
      <c r="H18" s="2">
        <f t="shared" si="0"/>
        <v>4.984250000000003</v>
      </c>
      <c r="I18" s="2">
        <f t="shared" si="1"/>
        <v>6.2691700000000026</v>
      </c>
      <c r="J18" s="2">
        <f t="shared" si="2"/>
        <v>0.44290979986528545</v>
      </c>
      <c r="K18" s="2">
        <f t="shared" si="3"/>
        <v>0.55709020013471455</v>
      </c>
      <c r="L18" s="2">
        <f t="shared" si="4"/>
        <v>0.2006319907709283</v>
      </c>
      <c r="M18" s="2">
        <f t="shared" si="5"/>
        <v>8.8861874878925648E-2</v>
      </c>
      <c r="N18" s="2">
        <f t="shared" si="6"/>
        <v>11.253420000000006</v>
      </c>
      <c r="O18" s="2">
        <v>22</v>
      </c>
      <c r="P18">
        <f t="shared" si="7"/>
        <v>4.4139037969604225</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150.11357000000001</v>
      </c>
      <c r="G19" s="13">
        <v>155.26399000000001</v>
      </c>
      <c r="H19" s="2">
        <f t="shared" si="0"/>
        <v>5.1504199999999969</v>
      </c>
      <c r="I19" s="2">
        <f t="shared" si="1"/>
        <v>8.4474799999999846</v>
      </c>
      <c r="J19" s="2">
        <f t="shared" si="2"/>
        <v>0.37876583884276277</v>
      </c>
      <c r="K19" s="2">
        <f t="shared" si="3"/>
        <v>0.62123416115723717</v>
      </c>
      <c r="L19" s="2">
        <f t="shared" si="4"/>
        <v>0.19415892296162265</v>
      </c>
      <c r="M19" s="2">
        <f t="shared" si="5"/>
        <v>7.354076732436636E-2</v>
      </c>
      <c r="N19" s="2">
        <f t="shared" si="6"/>
        <v>13.597899999999981</v>
      </c>
      <c r="O19" s="2">
        <v>23</v>
      </c>
      <c r="P19">
        <f t="shared" si="7"/>
        <v>4.4656552281173214</v>
      </c>
      <c r="Y19" s="13"/>
      <c r="Z19" s="13"/>
      <c r="AA19" s="2"/>
      <c r="AB19" s="2"/>
      <c r="AC19" s="2"/>
      <c r="AD19" s="2"/>
      <c r="AE19" s="2"/>
      <c r="AF19" s="2"/>
      <c r="AG19" s="2"/>
      <c r="AH19" s="2"/>
    </row>
    <row r="20" spans="2:44" x14ac:dyDescent="0.35">
      <c r="B20" s="2"/>
      <c r="C20" s="2"/>
      <c r="D20" s="2"/>
      <c r="E20" s="2"/>
      <c r="F20" s="13">
        <v>163.71146999999999</v>
      </c>
      <c r="G20" s="13">
        <v>168.67974000000001</v>
      </c>
      <c r="H20" s="2">
        <f t="shared" si="0"/>
        <v>4.9682700000000182</v>
      </c>
      <c r="I20" s="2">
        <f t="shared" si="1"/>
        <v>7.4692699999999945</v>
      </c>
      <c r="J20" s="2">
        <f t="shared" si="2"/>
        <v>0.39945760978457262</v>
      </c>
      <c r="K20" s="2">
        <f t="shared" si="3"/>
        <v>0.60054239021542744</v>
      </c>
      <c r="L20" s="2">
        <f t="shared" si="4"/>
        <v>0.20127730578249498</v>
      </c>
      <c r="M20" s="2">
        <f t="shared" si="5"/>
        <v>8.0401751471753977E-2</v>
      </c>
      <c r="N20" s="2">
        <f t="shared" si="6"/>
        <v>12.437540000000013</v>
      </c>
      <c r="O20" s="2">
        <v>21</v>
      </c>
      <c r="P20">
        <f t="shared" si="7"/>
        <v>4.2268234214323943</v>
      </c>
      <c r="Y20" s="13"/>
      <c r="Z20" s="13"/>
      <c r="AA20" s="2"/>
      <c r="AB20" s="2"/>
      <c r="AC20" s="2"/>
      <c r="AD20" s="2"/>
      <c r="AE20" s="2"/>
      <c r="AF20" s="2"/>
      <c r="AG20" s="2"/>
      <c r="AH20" s="2"/>
    </row>
    <row r="21" spans="2:44" x14ac:dyDescent="0.35">
      <c r="B21" s="2"/>
      <c r="C21" s="2"/>
      <c r="D21" s="2"/>
      <c r="E21" s="2"/>
      <c r="F21" s="13">
        <v>176.14901</v>
      </c>
      <c r="G21" s="13">
        <v>181.04454000000001</v>
      </c>
      <c r="H21" s="2">
        <f t="shared" si="0"/>
        <v>4.8955300000000079</v>
      </c>
      <c r="I21" s="2">
        <f t="shared" si="1"/>
        <v>7.4036899999999832</v>
      </c>
      <c r="J21" s="2">
        <f t="shared" si="2"/>
        <v>0.39803581040098573</v>
      </c>
      <c r="K21" s="2">
        <f t="shared" si="3"/>
        <v>0.60196418959901432</v>
      </c>
      <c r="L21" s="2">
        <f t="shared" si="4"/>
        <v>0.204267975071136</v>
      </c>
      <c r="M21" s="2">
        <f t="shared" si="5"/>
        <v>8.1305968996407962E-2</v>
      </c>
      <c r="N21" s="2">
        <f t="shared" si="6"/>
        <v>12.299219999999991</v>
      </c>
      <c r="O21" s="2">
        <v>21</v>
      </c>
      <c r="P21">
        <f t="shared" si="7"/>
        <v>4.2896274764938562</v>
      </c>
      <c r="Y21" s="13"/>
      <c r="Z21" s="13"/>
      <c r="AA21" s="2"/>
      <c r="AB21" s="2"/>
      <c r="AC21" s="2"/>
      <c r="AD21" s="2"/>
      <c r="AE21" s="2"/>
      <c r="AF21" s="2"/>
      <c r="AG21" s="2"/>
      <c r="AH21" s="2"/>
    </row>
    <row r="22" spans="2:44" x14ac:dyDescent="0.35">
      <c r="B22" s="2"/>
      <c r="C22" s="2"/>
      <c r="D22" s="2"/>
      <c r="E22" s="2"/>
      <c r="F22" s="13">
        <v>188.44823</v>
      </c>
      <c r="G22" s="13">
        <v>193.37665000000001</v>
      </c>
      <c r="H22" s="2">
        <f t="shared" si="0"/>
        <v>4.9284200000000169</v>
      </c>
      <c r="I22" s="2">
        <f t="shared" si="1"/>
        <v>7.5117699999999843</v>
      </c>
      <c r="J22" s="2">
        <f t="shared" si="2"/>
        <v>0.39616919034194947</v>
      </c>
      <c r="K22" s="2">
        <f t="shared" si="3"/>
        <v>0.60383080965805047</v>
      </c>
      <c r="L22" s="2">
        <f t="shared" si="4"/>
        <v>0.20290478490063682</v>
      </c>
      <c r="M22" s="2">
        <f t="shared" si="5"/>
        <v>8.0384624350592709E-2</v>
      </c>
      <c r="N22" s="2">
        <f t="shared" si="6"/>
        <v>12.440190000000001</v>
      </c>
      <c r="O22" s="2">
        <v>21</v>
      </c>
      <c r="P22">
        <f t="shared" si="7"/>
        <v>4.2610004829133734</v>
      </c>
      <c r="Y22" s="13"/>
      <c r="Z22" s="13"/>
      <c r="AA22" s="2"/>
      <c r="AB22" s="2"/>
      <c r="AC22" s="2"/>
      <c r="AD22" s="2"/>
      <c r="AE22" s="2"/>
      <c r="AF22" s="2"/>
      <c r="AG22" s="2"/>
      <c r="AH22" s="2"/>
    </row>
    <row r="23" spans="2:44" x14ac:dyDescent="0.35">
      <c r="B23" s="2"/>
      <c r="C23" s="2"/>
      <c r="D23" s="2"/>
      <c r="E23" s="2"/>
      <c r="F23" s="13">
        <v>200.88842</v>
      </c>
      <c r="G23" s="13">
        <v>205.79015000000001</v>
      </c>
      <c r="H23" s="2">
        <f t="shared" si="0"/>
        <v>4.9017300000000148</v>
      </c>
      <c r="I23" s="2">
        <f t="shared" si="1"/>
        <v>7.498219999999975</v>
      </c>
      <c r="J23" s="2">
        <f t="shared" si="2"/>
        <v>0.39530240041290643</v>
      </c>
      <c r="K23" s="2">
        <f t="shared" si="3"/>
        <v>0.60469759958709357</v>
      </c>
      <c r="L23" s="2">
        <f t="shared" si="4"/>
        <v>0.20400960477219207</v>
      </c>
      <c r="M23" s="2">
        <f t="shared" si="5"/>
        <v>8.0645486473735845E-2</v>
      </c>
      <c r="N23" s="2">
        <f t="shared" si="6"/>
        <v>12.39994999999999</v>
      </c>
      <c r="O23" s="2">
        <v>21</v>
      </c>
      <c r="P23">
        <f t="shared" si="7"/>
        <v>4.2842017002160331</v>
      </c>
      <c r="Y23" s="13"/>
      <c r="Z23" s="13"/>
      <c r="AA23" s="2"/>
      <c r="AB23" s="2"/>
      <c r="AC23" s="2"/>
      <c r="AD23" s="2"/>
      <c r="AE23" s="2"/>
      <c r="AF23" s="2"/>
      <c r="AG23" s="2"/>
      <c r="AH23" s="2"/>
    </row>
    <row r="24" spans="2:44" x14ac:dyDescent="0.35">
      <c r="B24" s="2"/>
      <c r="C24" s="2"/>
      <c r="D24" s="2"/>
      <c r="E24" s="2"/>
      <c r="F24" s="13">
        <v>213.28836999999999</v>
      </c>
      <c r="G24" s="13">
        <v>218.12965</v>
      </c>
      <c r="H24" s="2">
        <f t="shared" si="0"/>
        <v>4.8412800000000118</v>
      </c>
      <c r="I24" s="2">
        <f t="shared" si="1"/>
        <v>7.4128200000000106</v>
      </c>
      <c r="J24" s="2">
        <f t="shared" si="2"/>
        <v>0.39507430166230101</v>
      </c>
      <c r="K24" s="2">
        <f t="shared" si="3"/>
        <v>0.60492569833769894</v>
      </c>
      <c r="L24" s="2">
        <f t="shared" si="4"/>
        <v>0.20655694361821617</v>
      </c>
      <c r="M24" s="2">
        <f t="shared" si="5"/>
        <v>8.1605340253466038E-2</v>
      </c>
      <c r="N24" s="2">
        <f t="shared" si="6"/>
        <v>12.254100000000022</v>
      </c>
      <c r="O24" s="2">
        <v>21</v>
      </c>
      <c r="P24">
        <f t="shared" si="7"/>
        <v>4.3376958159825394</v>
      </c>
      <c r="Y24" s="13"/>
      <c r="Z24" s="13"/>
      <c r="AA24" s="2"/>
      <c r="AB24" s="2"/>
      <c r="AC24" s="2"/>
      <c r="AD24" s="2"/>
      <c r="AE24" s="2"/>
      <c r="AF24" s="2"/>
      <c r="AG24" s="2"/>
      <c r="AH24" s="2"/>
    </row>
    <row r="25" spans="2:44" x14ac:dyDescent="0.35">
      <c r="B25" s="2"/>
      <c r="C25" s="2"/>
      <c r="D25" s="2"/>
      <c r="E25" s="2"/>
      <c r="F25" s="13">
        <v>225.54247000000001</v>
      </c>
      <c r="G25" s="13">
        <v>230.41435999999999</v>
      </c>
      <c r="H25" s="2">
        <f>G25-F25</f>
        <v>4.8718899999999792</v>
      </c>
      <c r="I25" s="2">
        <f>F26-G25</f>
        <v>7.440400000000011</v>
      </c>
      <c r="J25" s="2">
        <f>H25/N25</f>
        <v>0.39569324634166214</v>
      </c>
      <c r="K25" s="2">
        <f>I25/N25</f>
        <v>0.60430675365833786</v>
      </c>
      <c r="L25" s="2">
        <f>1/H25</f>
        <v>0.20525914993975733</v>
      </c>
      <c r="M25" s="2">
        <f>1/N25</f>
        <v>8.1219659380992557E-2</v>
      </c>
      <c r="N25" s="2">
        <f>H25+I25</f>
        <v>12.31228999999999</v>
      </c>
      <c r="O25" s="2">
        <v>21</v>
      </c>
      <c r="P25">
        <f>O25/H25</f>
        <v>4.3104421487349036</v>
      </c>
      <c r="Y25" s="13"/>
      <c r="Z25" s="13"/>
      <c r="AA25" s="2"/>
      <c r="AB25" s="2"/>
      <c r="AC25" s="2"/>
      <c r="AD25" s="2"/>
      <c r="AE25" s="2"/>
      <c r="AF25" s="2"/>
      <c r="AG25" s="2"/>
      <c r="AH25" s="2"/>
    </row>
    <row r="26" spans="2:44" x14ac:dyDescent="0.35">
      <c r="B26" s="2"/>
      <c r="C26" s="2"/>
      <c r="D26" s="2"/>
      <c r="E26" s="2"/>
      <c r="F26" s="13">
        <v>237.85476</v>
      </c>
      <c r="G26" s="13">
        <v>239.81353999999999</v>
      </c>
      <c r="H26" s="2"/>
      <c r="I26" s="2"/>
      <c r="J26" s="2"/>
      <c r="K26" s="2"/>
      <c r="L26" s="2"/>
      <c r="M26" s="2"/>
      <c r="N26" s="2"/>
      <c r="O26" s="2"/>
      <c r="Y26" s="13"/>
      <c r="Z26" s="13"/>
      <c r="AA26" s="2"/>
      <c r="AB26" s="2"/>
      <c r="AC26" s="2"/>
      <c r="AD26" s="2"/>
      <c r="AE26" s="2"/>
      <c r="AF26" s="2"/>
      <c r="AG26" s="2"/>
      <c r="AH26" s="2"/>
    </row>
    <row r="27" spans="2:44" x14ac:dyDescent="0.35">
      <c r="B27" s="2"/>
      <c r="C27" s="2"/>
      <c r="D27" s="2"/>
      <c r="E27" s="2"/>
      <c r="F27" s="13"/>
      <c r="G27" s="13"/>
      <c r="H27" s="2"/>
      <c r="I27" s="2"/>
      <c r="J27" s="2"/>
      <c r="K27" s="2"/>
      <c r="L27" s="2"/>
      <c r="M27" s="2"/>
      <c r="N27" s="2"/>
      <c r="O27" s="2"/>
      <c r="Y27" s="13"/>
      <c r="Z27" s="13"/>
      <c r="AA27" s="2"/>
      <c r="AB27" s="2"/>
      <c r="AC27" s="2"/>
      <c r="AD27" s="2"/>
      <c r="AE27" s="2"/>
      <c r="AF27" s="2"/>
      <c r="AG27" s="2"/>
      <c r="AH27" s="2"/>
    </row>
    <row r="28" spans="2:44" ht="16" thickBot="1" x14ac:dyDescent="0.4">
      <c r="B28" s="2"/>
      <c r="C28" s="2"/>
      <c r="D28" s="2"/>
      <c r="E28" s="2"/>
      <c r="F28" s="13"/>
      <c r="G28" s="13"/>
      <c r="H28" s="9" t="s">
        <v>3</v>
      </c>
      <c r="I28" s="9" t="s">
        <v>4</v>
      </c>
      <c r="J28" s="9" t="s">
        <v>5</v>
      </c>
      <c r="K28" s="9" t="s">
        <v>6</v>
      </c>
      <c r="L28" s="9" t="s">
        <v>7</v>
      </c>
      <c r="M28" s="9" t="s">
        <v>8</v>
      </c>
      <c r="N28" s="9" t="s">
        <v>9</v>
      </c>
      <c r="O28" s="9" t="s">
        <v>10</v>
      </c>
      <c r="P28" s="44" t="s">
        <v>139</v>
      </c>
      <c r="Y28" s="13"/>
      <c r="Z28" s="13"/>
      <c r="AA28" s="2"/>
      <c r="AB28" s="2"/>
      <c r="AC28" s="2"/>
      <c r="AD28" s="2"/>
      <c r="AE28" s="2"/>
      <c r="AF28" s="2"/>
      <c r="AG28" s="2"/>
      <c r="AH28" s="2"/>
    </row>
    <row r="29" spans="2:44" x14ac:dyDescent="0.35">
      <c r="B29" s="2"/>
      <c r="C29" s="2"/>
      <c r="D29" s="2"/>
      <c r="E29" s="2"/>
      <c r="F29" s="13"/>
      <c r="G29" s="49" t="s">
        <v>77</v>
      </c>
      <c r="H29" s="13">
        <f>AVERAGE(H7:H25)</f>
        <v>4.906115263157897</v>
      </c>
      <c r="I29" s="13">
        <f t="shared" ref="I29:P29" si="8">AVERAGE(I7:I25)</f>
        <v>7.4386199999999967</v>
      </c>
      <c r="J29" s="13">
        <f t="shared" si="8"/>
        <v>0.39811552884030627</v>
      </c>
      <c r="K29" s="13">
        <f t="shared" si="8"/>
        <v>0.60188447115969379</v>
      </c>
      <c r="L29" s="13">
        <f t="shared" si="8"/>
        <v>0.20408691786475538</v>
      </c>
      <c r="M29" s="13">
        <f t="shared" si="8"/>
        <v>8.1262850694811858E-2</v>
      </c>
      <c r="N29" s="13">
        <f t="shared" si="8"/>
        <v>12.344735263157895</v>
      </c>
      <c r="O29" s="13">
        <f t="shared" si="8"/>
        <v>21.315789473684209</v>
      </c>
      <c r="P29" s="13">
        <f t="shared" si="8"/>
        <v>4.3409476543283558</v>
      </c>
      <c r="Y29" s="13"/>
      <c r="Z29" s="13"/>
      <c r="AA29" s="2"/>
      <c r="AB29" s="2"/>
      <c r="AC29" s="2"/>
      <c r="AD29" s="2"/>
      <c r="AE29" s="2"/>
      <c r="AF29" s="2"/>
      <c r="AG29" s="2"/>
      <c r="AH29" s="2"/>
    </row>
    <row r="30" spans="2:44" x14ac:dyDescent="0.35">
      <c r="B30" s="2"/>
      <c r="C30" s="2"/>
      <c r="D30" s="2"/>
      <c r="E30" s="2"/>
      <c r="F30" s="13"/>
      <c r="G30" s="49" t="s">
        <v>94</v>
      </c>
      <c r="H30" s="2">
        <f>_xlfn.STDEV.S(H7:H25)</f>
        <v>0.179341747459622</v>
      </c>
      <c r="I30" s="2">
        <f t="shared" ref="I30:P30" si="9">_xlfn.STDEV.S(I7:I25)</f>
        <v>0.58940868726395712</v>
      </c>
      <c r="J30" s="2">
        <f t="shared" si="9"/>
        <v>1.665628572385465E-2</v>
      </c>
      <c r="K30" s="2">
        <f t="shared" si="9"/>
        <v>1.6656285723854646E-2</v>
      </c>
      <c r="L30" s="2">
        <f t="shared" si="9"/>
        <v>7.505157590357873E-3</v>
      </c>
      <c r="M30" s="2">
        <f t="shared" si="9"/>
        <v>4.7648927571549149E-3</v>
      </c>
      <c r="N30" s="2">
        <f t="shared" si="9"/>
        <v>0.70465752396598147</v>
      </c>
      <c r="O30" s="2">
        <f t="shared" si="9"/>
        <v>1.5294382258037456</v>
      </c>
      <c r="P30" s="2">
        <f t="shared" si="9"/>
        <v>0.1962928124671291</v>
      </c>
      <c r="Y30" s="13"/>
      <c r="Z30" s="13"/>
      <c r="AA30" s="2"/>
      <c r="AB30" s="2"/>
      <c r="AC30" s="2"/>
      <c r="AD30" s="2"/>
      <c r="AE30" s="2"/>
      <c r="AF30" s="2"/>
      <c r="AG30" s="2"/>
      <c r="AH30" s="2"/>
    </row>
    <row r="31" spans="2:44" x14ac:dyDescent="0.35">
      <c r="B31" s="2"/>
      <c r="C31" s="2"/>
      <c r="D31" s="2"/>
      <c r="E31" s="2"/>
      <c r="F31" s="13"/>
      <c r="G31" s="49" t="s">
        <v>95</v>
      </c>
      <c r="H31" s="2">
        <f>H30/(SQRT(COUNT(H7:H25)))</f>
        <v>4.1143818607078136E-2</v>
      </c>
      <c r="I31" s="2">
        <f t="shared" ref="I31:P31" si="10">I30/(SQRT(COUNT(I7:I25)))</f>
        <v>0.13521962653834516</v>
      </c>
      <c r="J31" s="2">
        <f t="shared" si="10"/>
        <v>3.8212140128958752E-3</v>
      </c>
      <c r="K31" s="2">
        <f t="shared" si="10"/>
        <v>3.8212140128958743E-3</v>
      </c>
      <c r="L31" s="2">
        <f t="shared" si="10"/>
        <v>1.7218012364061683E-3</v>
      </c>
      <c r="M31" s="2">
        <f t="shared" si="10"/>
        <v>1.0931413686972192E-3</v>
      </c>
      <c r="N31" s="2">
        <f t="shared" si="10"/>
        <v>0.1616595229880686</v>
      </c>
      <c r="O31" s="2">
        <f t="shared" si="10"/>
        <v>0.35087719298245623</v>
      </c>
      <c r="P31" s="2">
        <f t="shared" si="10"/>
        <v>4.5032659625662975E-2</v>
      </c>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x14ac:dyDescent="0.35">
      <c r="B33" s="2"/>
      <c r="C33" s="2"/>
      <c r="D33" s="2"/>
      <c r="E33" s="2"/>
      <c r="F33" s="13"/>
      <c r="G33" s="13"/>
      <c r="H33" s="2"/>
      <c r="I33" s="2"/>
      <c r="J33" s="2"/>
      <c r="K33" s="2"/>
      <c r="L33" s="2"/>
      <c r="M33" s="2"/>
      <c r="N33" s="2"/>
      <c r="O33" s="2"/>
      <c r="Y33" s="13"/>
      <c r="Z33" s="13"/>
      <c r="AA33" s="2"/>
      <c r="AB33" s="2"/>
      <c r="AC33" s="2"/>
      <c r="AD33" s="2"/>
      <c r="AE33" s="2"/>
      <c r="AF33" s="2"/>
      <c r="AG33" s="2"/>
      <c r="AH33" s="2"/>
    </row>
    <row r="34" spans="2:36" x14ac:dyDescent="0.35">
      <c r="B34" s="2"/>
      <c r="C34" s="2"/>
      <c r="D34" s="2"/>
      <c r="E34" s="2"/>
      <c r="F34" s="13"/>
      <c r="Y34" s="13"/>
      <c r="Z34" s="13"/>
      <c r="AA34" s="2"/>
      <c r="AB34" s="2"/>
      <c r="AC34" s="2"/>
      <c r="AD34" s="2"/>
      <c r="AE34" s="2"/>
      <c r="AF34" s="2"/>
      <c r="AG34" s="2"/>
      <c r="AH34" s="2"/>
      <c r="AI34" s="2"/>
      <c r="AJ34" s="2"/>
    </row>
    <row r="35" spans="2:36" ht="15.5" x14ac:dyDescent="0.35">
      <c r="B35" s="2"/>
      <c r="C35" s="2"/>
      <c r="D35" s="2"/>
      <c r="E35" s="2"/>
      <c r="F35" s="13"/>
      <c r="Y35" s="13"/>
      <c r="Z35" s="13"/>
      <c r="AA35" s="5"/>
      <c r="AB35" s="5"/>
      <c r="AC35" s="5"/>
      <c r="AD35" s="5"/>
      <c r="AE35" s="5"/>
      <c r="AF35" s="5"/>
      <c r="AG35" s="5"/>
      <c r="AH35" s="5"/>
      <c r="AI35" s="14"/>
      <c r="AJ35" s="2"/>
    </row>
    <row r="36" spans="2:36" x14ac:dyDescent="0.35">
      <c r="B36" s="2"/>
      <c r="C36" s="2"/>
      <c r="D36" s="2"/>
      <c r="E36" s="2"/>
      <c r="F36" s="13"/>
      <c r="Y36" s="13"/>
      <c r="Z36" s="49"/>
      <c r="AA36" s="13"/>
      <c r="AB36" s="13"/>
      <c r="AC36" s="13"/>
      <c r="AD36" s="13"/>
      <c r="AE36" s="13"/>
      <c r="AF36" s="13"/>
      <c r="AG36" s="13"/>
      <c r="AH36" s="13"/>
      <c r="AI36" s="13"/>
      <c r="AJ36" s="2"/>
    </row>
    <row r="37" spans="2:36" ht="18.5" x14ac:dyDescent="0.45">
      <c r="B37" s="2"/>
      <c r="C37" s="2"/>
      <c r="D37" s="2"/>
      <c r="E37" s="2"/>
      <c r="F37" s="1" t="s">
        <v>52</v>
      </c>
      <c r="G37" s="3"/>
      <c r="H37" s="3"/>
      <c r="I37" s="3"/>
      <c r="J37" s="3"/>
      <c r="K37" s="3"/>
      <c r="L37" s="3"/>
      <c r="M37" s="3"/>
      <c r="N37" s="3"/>
      <c r="O37" s="3"/>
      <c r="Y37" s="13"/>
      <c r="Z37" s="49"/>
      <c r="AA37" s="2"/>
      <c r="AB37" s="2"/>
      <c r="AC37" s="2"/>
      <c r="AD37" s="2"/>
      <c r="AE37" s="2"/>
      <c r="AF37" s="2"/>
      <c r="AG37" s="2"/>
      <c r="AH37" s="2"/>
      <c r="AI37" s="2"/>
      <c r="AJ37" s="2"/>
    </row>
    <row r="38" spans="2:36" ht="16" thickBot="1" x14ac:dyDescent="0.4">
      <c r="B38" s="2"/>
      <c r="C38" s="2"/>
      <c r="D38" s="2"/>
      <c r="E38" s="2"/>
      <c r="F38" s="9" t="s">
        <v>1</v>
      </c>
      <c r="G38" s="9" t="s">
        <v>2</v>
      </c>
      <c r="H38" s="9" t="s">
        <v>3</v>
      </c>
      <c r="I38" s="9" t="s">
        <v>4</v>
      </c>
      <c r="J38" s="9" t="s">
        <v>5</v>
      </c>
      <c r="K38" s="9" t="s">
        <v>6</v>
      </c>
      <c r="L38" s="9" t="s">
        <v>7</v>
      </c>
      <c r="M38" s="9" t="s">
        <v>8</v>
      </c>
      <c r="N38" s="9" t="s">
        <v>9</v>
      </c>
      <c r="O38" s="9" t="s">
        <v>10</v>
      </c>
      <c r="P38" s="44" t="s">
        <v>139</v>
      </c>
      <c r="Y38" s="13"/>
      <c r="Z38" s="49"/>
      <c r="AA38" s="2"/>
      <c r="AB38" s="2"/>
      <c r="AC38" s="2"/>
      <c r="AD38" s="2"/>
      <c r="AE38" s="2"/>
      <c r="AF38" s="2"/>
      <c r="AG38" s="2"/>
      <c r="AH38" s="2"/>
      <c r="AI38" s="2"/>
      <c r="AJ38" s="2"/>
    </row>
    <row r="39" spans="2:36" x14ac:dyDescent="0.35">
      <c r="B39" s="2"/>
      <c r="C39" s="2"/>
      <c r="D39" s="2"/>
      <c r="E39" s="2"/>
      <c r="F39" s="2">
        <v>0.15060000000000001</v>
      </c>
      <c r="G39" s="2">
        <v>4.0300399999999996</v>
      </c>
      <c r="H39" s="2">
        <f>G39-F39</f>
        <v>3.8794399999999998</v>
      </c>
      <c r="I39" s="2">
        <f>F40-G39</f>
        <v>3.95418</v>
      </c>
      <c r="J39" s="2">
        <f>H39/N39</f>
        <v>0.49522953628079991</v>
      </c>
      <c r="K39" s="2">
        <f>I39/N39</f>
        <v>0.50477046371920009</v>
      </c>
      <c r="L39" s="2">
        <f>1/H39</f>
        <v>0.25776916255954468</v>
      </c>
      <c r="M39" s="2">
        <f>1/N39</f>
        <v>0.12765490284185346</v>
      </c>
      <c r="N39" s="2">
        <f>H39+I39</f>
        <v>7.8336199999999998</v>
      </c>
      <c r="O39" s="2">
        <v>18</v>
      </c>
      <c r="P39">
        <f>O39/H39</f>
        <v>4.6398449260718042</v>
      </c>
      <c r="AA39" s="2"/>
      <c r="AB39" s="2"/>
      <c r="AC39" s="2"/>
      <c r="AD39" s="2"/>
      <c r="AE39" s="2"/>
      <c r="AF39" s="2"/>
      <c r="AG39" s="2"/>
      <c r="AH39" s="2"/>
      <c r="AI39" s="2"/>
      <c r="AJ39" s="2"/>
    </row>
    <row r="40" spans="2:36" x14ac:dyDescent="0.35">
      <c r="B40" s="2"/>
      <c r="C40" s="2"/>
      <c r="D40" s="2"/>
      <c r="E40" s="2"/>
      <c r="F40" s="2">
        <v>7.9842199999999997</v>
      </c>
      <c r="G40" s="2">
        <v>13.33215</v>
      </c>
      <c r="H40" s="2">
        <f t="shared" ref="H40:H63" si="11">G40-F40</f>
        <v>5.3479300000000007</v>
      </c>
      <c r="I40" s="2">
        <f t="shared" ref="I40:I63" si="12">F41-G40</f>
        <v>4.0867400000000007</v>
      </c>
      <c r="J40" s="2">
        <f t="shared" ref="J40:J63" si="13">H40/N40</f>
        <v>0.56683805580905322</v>
      </c>
      <c r="K40" s="2">
        <f t="shared" ref="K40:K63" si="14">I40/N40</f>
        <v>0.43316194419094683</v>
      </c>
      <c r="L40" s="2">
        <f t="shared" ref="L40:L63" si="15">1/H40</f>
        <v>0.18698823657003735</v>
      </c>
      <c r="M40" s="2">
        <f t="shared" ref="M40:M63" si="16">1/N40</f>
        <v>0.10599204847652328</v>
      </c>
      <c r="N40" s="2">
        <f t="shared" ref="N40:N63" si="17">H40+I40</f>
        <v>9.4346700000000006</v>
      </c>
      <c r="O40" s="2">
        <v>27</v>
      </c>
      <c r="P40">
        <f t="shared" ref="P40:P63" si="18">O40/H40</f>
        <v>5.0486823873910085</v>
      </c>
      <c r="AA40" s="2"/>
      <c r="AB40" s="2"/>
      <c r="AC40" s="2"/>
      <c r="AD40" s="2"/>
      <c r="AE40" s="2"/>
      <c r="AF40" s="2"/>
      <c r="AG40" s="2"/>
      <c r="AH40" s="2"/>
      <c r="AI40" s="2"/>
      <c r="AJ40" s="2"/>
    </row>
    <row r="41" spans="2:36" x14ac:dyDescent="0.35">
      <c r="B41" s="2"/>
      <c r="C41" s="2"/>
      <c r="D41" s="2"/>
      <c r="E41" s="2"/>
      <c r="F41" s="2">
        <v>17.418890000000001</v>
      </c>
      <c r="G41" s="2">
        <v>22.765920000000001</v>
      </c>
      <c r="H41" s="2">
        <f t="shared" si="11"/>
        <v>5.3470300000000002</v>
      </c>
      <c r="I41" s="2">
        <f t="shared" si="12"/>
        <v>3.0997399999999971</v>
      </c>
      <c r="J41" s="2">
        <f t="shared" si="13"/>
        <v>0.63302658886177821</v>
      </c>
      <c r="K41" s="2">
        <f t="shared" si="14"/>
        <v>0.36697341113822185</v>
      </c>
      <c r="L41" s="2">
        <f t="shared" si="15"/>
        <v>0.18701971000723766</v>
      </c>
      <c r="M41" s="2">
        <f t="shared" si="16"/>
        <v>0.11838844907580061</v>
      </c>
      <c r="N41" s="2">
        <f t="shared" si="17"/>
        <v>8.4467699999999972</v>
      </c>
      <c r="O41" s="2">
        <v>27</v>
      </c>
      <c r="P41">
        <f t="shared" si="18"/>
        <v>5.049532170195417</v>
      </c>
    </row>
    <row r="42" spans="2:36" s="13" customFormat="1" x14ac:dyDescent="0.35">
      <c r="F42" s="13">
        <v>25.865659999999998</v>
      </c>
      <c r="G42" s="13">
        <v>32.181699999999999</v>
      </c>
      <c r="H42" s="2">
        <f t="shared" si="11"/>
        <v>6.316040000000001</v>
      </c>
      <c r="I42" s="2">
        <f t="shared" si="12"/>
        <v>4.2756200000000035</v>
      </c>
      <c r="J42" s="2">
        <f t="shared" si="13"/>
        <v>0.59632201184705691</v>
      </c>
      <c r="K42" s="2">
        <f t="shared" si="14"/>
        <v>0.40367798815294315</v>
      </c>
      <c r="L42" s="2">
        <f t="shared" si="15"/>
        <v>0.15832705302689656</v>
      </c>
      <c r="M42" s="2">
        <f t="shared" si="16"/>
        <v>9.4413906790814614E-2</v>
      </c>
      <c r="N42" s="2">
        <f t="shared" si="17"/>
        <v>10.591660000000005</v>
      </c>
      <c r="O42" s="13">
        <v>30</v>
      </c>
      <c r="P42">
        <f t="shared" si="18"/>
        <v>4.749811590806897</v>
      </c>
    </row>
    <row r="43" spans="2:36" s="13" customFormat="1" x14ac:dyDescent="0.35">
      <c r="B43" s="28"/>
      <c r="F43" s="13">
        <v>36.457320000000003</v>
      </c>
      <c r="G43" s="13">
        <v>41.660730000000001</v>
      </c>
      <c r="H43" s="2">
        <f t="shared" si="11"/>
        <v>5.2034099999999981</v>
      </c>
      <c r="I43" s="2">
        <f t="shared" si="12"/>
        <v>4.3845999999999989</v>
      </c>
      <c r="J43" s="2">
        <f t="shared" si="13"/>
        <v>0.54269968429319537</v>
      </c>
      <c r="K43" s="2">
        <f t="shared" si="14"/>
        <v>0.45730031570680468</v>
      </c>
      <c r="L43" s="2">
        <f t="shared" si="15"/>
        <v>0.19218166548474949</v>
      </c>
      <c r="M43" s="2">
        <f t="shared" si="16"/>
        <v>0.10429692918551402</v>
      </c>
      <c r="N43" s="2">
        <f t="shared" si="17"/>
        <v>9.588009999999997</v>
      </c>
      <c r="O43" s="13">
        <v>29</v>
      </c>
      <c r="P43">
        <f t="shared" si="18"/>
        <v>5.5732682990577356</v>
      </c>
    </row>
    <row r="44" spans="2:36" s="13" customFormat="1" x14ac:dyDescent="0.35">
      <c r="B44" s="28"/>
      <c r="F44" s="13">
        <v>46.04533</v>
      </c>
      <c r="G44" s="13">
        <v>50.5276</v>
      </c>
      <c r="H44" s="2">
        <f t="shared" si="11"/>
        <v>4.4822699999999998</v>
      </c>
      <c r="I44" s="2">
        <f t="shared" si="12"/>
        <v>4.1079900000000009</v>
      </c>
      <c r="J44" s="2">
        <f t="shared" si="13"/>
        <v>0.52178513805170035</v>
      </c>
      <c r="K44" s="2">
        <f t="shared" si="14"/>
        <v>0.47821486194829965</v>
      </c>
      <c r="L44" s="2">
        <f t="shared" si="15"/>
        <v>0.22310124111220431</v>
      </c>
      <c r="M44" s="2">
        <f t="shared" si="16"/>
        <v>0.11641091189323721</v>
      </c>
      <c r="N44" s="2">
        <f t="shared" si="17"/>
        <v>8.5902600000000007</v>
      </c>
      <c r="O44" s="13">
        <v>24</v>
      </c>
      <c r="P44">
        <f t="shared" si="18"/>
        <v>5.3544297866929034</v>
      </c>
    </row>
    <row r="45" spans="2:36" s="13" customFormat="1" x14ac:dyDescent="0.35">
      <c r="F45" s="13">
        <v>54.635590000000001</v>
      </c>
      <c r="G45" s="13">
        <v>59.032490000000003</v>
      </c>
      <c r="H45" s="2">
        <f t="shared" si="11"/>
        <v>4.3969000000000023</v>
      </c>
      <c r="I45" s="2">
        <f t="shared" si="12"/>
        <v>5.1772399999999905</v>
      </c>
      <c r="J45" s="2">
        <f t="shared" si="13"/>
        <v>0.45924751465928071</v>
      </c>
      <c r="K45" s="2">
        <f t="shared" si="14"/>
        <v>0.54075248534071929</v>
      </c>
      <c r="L45" s="2">
        <f t="shared" si="15"/>
        <v>0.22743296413382144</v>
      </c>
      <c r="M45" s="2">
        <f t="shared" si="16"/>
        <v>0.10444802353005082</v>
      </c>
      <c r="N45" s="2">
        <f t="shared" si="17"/>
        <v>9.5741399999999928</v>
      </c>
      <c r="O45" s="13">
        <v>23</v>
      </c>
      <c r="P45">
        <f t="shared" si="18"/>
        <v>5.2309581750778928</v>
      </c>
    </row>
    <row r="46" spans="2:36" s="13" customFormat="1" x14ac:dyDescent="0.35">
      <c r="F46" s="13">
        <v>64.209729999999993</v>
      </c>
      <c r="G46" s="13">
        <v>68.510279999999995</v>
      </c>
      <c r="H46" s="2">
        <f t="shared" si="11"/>
        <v>4.3005500000000012</v>
      </c>
      <c r="I46" s="2">
        <f t="shared" si="12"/>
        <v>4.2555700000000058</v>
      </c>
      <c r="J46" s="2">
        <f t="shared" si="13"/>
        <v>0.50262852788413415</v>
      </c>
      <c r="K46" s="2">
        <f t="shared" si="14"/>
        <v>0.49737147211586585</v>
      </c>
      <c r="L46" s="2">
        <f t="shared" si="15"/>
        <v>0.23252839753054835</v>
      </c>
      <c r="M46" s="2">
        <f t="shared" si="16"/>
        <v>0.11687540614203625</v>
      </c>
      <c r="N46" s="2">
        <f t="shared" si="17"/>
        <v>8.5561200000000071</v>
      </c>
      <c r="O46" s="13">
        <v>22</v>
      </c>
      <c r="P46">
        <f t="shared" si="18"/>
        <v>5.115624745672064</v>
      </c>
    </row>
    <row r="47" spans="2:36" s="13" customFormat="1" ht="15.5" x14ac:dyDescent="0.35">
      <c r="B47" s="14"/>
      <c r="C47" s="14"/>
      <c r="D47" s="14"/>
      <c r="E47" s="14"/>
      <c r="F47" s="13">
        <v>72.76585</v>
      </c>
      <c r="G47" s="13">
        <v>79.158379999999994</v>
      </c>
      <c r="H47" s="2">
        <f t="shared" si="11"/>
        <v>6.3925299999999936</v>
      </c>
      <c r="I47" s="2">
        <f t="shared" si="12"/>
        <v>4.1529700000000105</v>
      </c>
      <c r="J47" s="2">
        <f t="shared" si="13"/>
        <v>0.60618557678630614</v>
      </c>
      <c r="K47" s="2">
        <f t="shared" si="14"/>
        <v>0.39381442321369386</v>
      </c>
      <c r="L47" s="2">
        <f t="shared" si="15"/>
        <v>0.15643258615915781</v>
      </c>
      <c r="M47" s="2">
        <f t="shared" si="16"/>
        <v>9.4827177469062593E-2</v>
      </c>
      <c r="N47" s="2">
        <f t="shared" si="17"/>
        <v>10.545500000000004</v>
      </c>
      <c r="O47" s="2">
        <v>27</v>
      </c>
      <c r="P47">
        <f t="shared" si="18"/>
        <v>4.2236798262972606</v>
      </c>
      <c r="R47" s="14"/>
    </row>
    <row r="48" spans="2:36" s="13" customFormat="1" ht="15.5" x14ac:dyDescent="0.35">
      <c r="B48" s="14"/>
      <c r="C48" s="14"/>
      <c r="D48" s="14"/>
      <c r="E48" s="14"/>
      <c r="F48" s="13">
        <v>83.311350000000004</v>
      </c>
      <c r="G48" s="13">
        <v>87.743350000000007</v>
      </c>
      <c r="H48" s="2">
        <f t="shared" si="11"/>
        <v>4.4320000000000022</v>
      </c>
      <c r="I48" s="2">
        <f t="shared" si="12"/>
        <v>5.0832199999999972</v>
      </c>
      <c r="J48" s="2">
        <f t="shared" si="13"/>
        <v>0.46578008706052015</v>
      </c>
      <c r="K48" s="2">
        <f t="shared" si="14"/>
        <v>0.5342199129394799</v>
      </c>
      <c r="L48" s="2">
        <f t="shared" si="15"/>
        <v>0.2256317689530685</v>
      </c>
      <c r="M48" s="2">
        <f t="shared" si="16"/>
        <v>0.1050947849865794</v>
      </c>
      <c r="N48" s="2">
        <f t="shared" si="17"/>
        <v>9.5152199999999993</v>
      </c>
      <c r="O48" s="2">
        <v>23</v>
      </c>
      <c r="P48">
        <f t="shared" si="18"/>
        <v>5.189530685920575</v>
      </c>
      <c r="R48" s="14"/>
    </row>
    <row r="49" spans="2:18" s="13" customFormat="1" ht="15.5" x14ac:dyDescent="0.35">
      <c r="B49" s="14"/>
      <c r="C49" s="14"/>
      <c r="D49" s="14"/>
      <c r="E49" s="14"/>
      <c r="F49" s="13">
        <v>92.826570000000004</v>
      </c>
      <c r="G49" s="13">
        <v>97.27234</v>
      </c>
      <c r="H49" s="2">
        <f t="shared" si="11"/>
        <v>4.445769999999996</v>
      </c>
      <c r="I49" s="2">
        <f t="shared" si="12"/>
        <v>4.1192300000000017</v>
      </c>
      <c r="J49" s="2">
        <f t="shared" si="13"/>
        <v>0.51906246351430207</v>
      </c>
      <c r="K49" s="2">
        <f t="shared" si="14"/>
        <v>0.48093753648569793</v>
      </c>
      <c r="L49" s="2">
        <f t="shared" si="15"/>
        <v>0.22493291375847174</v>
      </c>
      <c r="M49" s="2">
        <f t="shared" si="16"/>
        <v>0.11675423234092239</v>
      </c>
      <c r="N49" s="2">
        <f t="shared" si="17"/>
        <v>8.5649999999999977</v>
      </c>
      <c r="O49" s="2">
        <v>23</v>
      </c>
      <c r="P49">
        <f t="shared" si="18"/>
        <v>5.1734570164448499</v>
      </c>
      <c r="R49" s="14"/>
    </row>
    <row r="50" spans="2:18" s="13" customFormat="1" ht="15.5" x14ac:dyDescent="0.35">
      <c r="B50" s="14"/>
      <c r="C50" s="14"/>
      <c r="D50" s="14"/>
      <c r="E50" s="14"/>
      <c r="F50" s="13">
        <v>101.39157</v>
      </c>
      <c r="G50" s="13">
        <v>106.84106</v>
      </c>
      <c r="H50" s="2">
        <f t="shared" si="11"/>
        <v>5.4494899999999973</v>
      </c>
      <c r="I50" s="2">
        <f t="shared" si="12"/>
        <v>5.0844299999999976</v>
      </c>
      <c r="J50" s="2">
        <f t="shared" si="13"/>
        <v>0.51732783237389313</v>
      </c>
      <c r="K50" s="2">
        <f t="shared" si="14"/>
        <v>0.48267216762610693</v>
      </c>
      <c r="L50" s="2">
        <f t="shared" si="15"/>
        <v>0.18350341041088258</v>
      </c>
      <c r="M50" s="2">
        <f t="shared" si="16"/>
        <v>9.4931421541078767E-2</v>
      </c>
      <c r="N50" s="2">
        <f t="shared" si="17"/>
        <v>10.533919999999995</v>
      </c>
      <c r="O50" s="2">
        <v>24</v>
      </c>
      <c r="P50">
        <f t="shared" si="18"/>
        <v>4.404081849861182</v>
      </c>
      <c r="R50" s="14"/>
    </row>
    <row r="51" spans="2:18" s="13" customFormat="1" ht="15.5" x14ac:dyDescent="0.35">
      <c r="B51" s="14"/>
      <c r="C51" s="14"/>
      <c r="D51" s="14"/>
      <c r="E51" s="14"/>
      <c r="F51" s="13">
        <v>111.92549</v>
      </c>
      <c r="G51" s="13">
        <v>116.32228000000001</v>
      </c>
      <c r="H51" s="2">
        <f t="shared" si="11"/>
        <v>4.39679000000001</v>
      </c>
      <c r="I51" s="2">
        <f t="shared" si="12"/>
        <v>4.0548799999999972</v>
      </c>
      <c r="J51" s="2">
        <f t="shared" si="13"/>
        <v>0.5202273633494926</v>
      </c>
      <c r="K51" s="2">
        <f t="shared" si="14"/>
        <v>0.4797726366505074</v>
      </c>
      <c r="L51" s="2">
        <f t="shared" si="15"/>
        <v>0.22743865410901992</v>
      </c>
      <c r="M51" s="2">
        <f t="shared" si="16"/>
        <v>0.11831981135089269</v>
      </c>
      <c r="N51" s="2">
        <f t="shared" si="17"/>
        <v>8.4516700000000071</v>
      </c>
      <c r="O51" s="2">
        <v>22</v>
      </c>
      <c r="P51">
        <f t="shared" si="18"/>
        <v>5.0036503903984384</v>
      </c>
      <c r="R51" s="14"/>
    </row>
    <row r="52" spans="2:18" s="13" customFormat="1" ht="15.5" x14ac:dyDescent="0.35">
      <c r="B52" s="14"/>
      <c r="C52" s="14"/>
      <c r="D52" s="14"/>
      <c r="E52" s="14"/>
      <c r="F52" s="13">
        <v>120.37716</v>
      </c>
      <c r="G52" s="13">
        <v>124.88934999999999</v>
      </c>
      <c r="H52" s="2">
        <f t="shared" si="11"/>
        <v>4.5121899999999897</v>
      </c>
      <c r="I52" s="2">
        <f t="shared" si="12"/>
        <v>5.1436900000000065</v>
      </c>
      <c r="J52" s="2">
        <f t="shared" si="13"/>
        <v>0.46729971789210217</v>
      </c>
      <c r="K52" s="2">
        <f t="shared" si="14"/>
        <v>0.53270028210789788</v>
      </c>
      <c r="L52" s="2">
        <f t="shared" si="15"/>
        <v>0.2216218731923971</v>
      </c>
      <c r="M52" s="2">
        <f t="shared" si="16"/>
        <v>0.10356383882152641</v>
      </c>
      <c r="N52" s="2">
        <f t="shared" si="17"/>
        <v>9.6558799999999962</v>
      </c>
      <c r="O52" s="2">
        <v>24</v>
      </c>
      <c r="P52">
        <f t="shared" si="18"/>
        <v>5.3189249566175301</v>
      </c>
      <c r="R52" s="14"/>
    </row>
    <row r="53" spans="2:18" s="13" customFormat="1" ht="15.5" x14ac:dyDescent="0.35">
      <c r="B53" s="14"/>
      <c r="C53" s="14"/>
      <c r="D53" s="14"/>
      <c r="E53" s="14"/>
      <c r="F53" s="13">
        <v>130.03304</v>
      </c>
      <c r="G53" s="13">
        <v>134.54411999999999</v>
      </c>
      <c r="H53" s="2">
        <f t="shared" si="11"/>
        <v>4.5110799999999927</v>
      </c>
      <c r="I53" s="2">
        <f t="shared" si="12"/>
        <v>5.1141000000000076</v>
      </c>
      <c r="J53" s="2">
        <f t="shared" si="13"/>
        <v>0.4686748715348692</v>
      </c>
      <c r="K53" s="2">
        <f t="shared" si="14"/>
        <v>0.5313251284651308</v>
      </c>
      <c r="L53" s="2">
        <f t="shared" si="15"/>
        <v>0.22167640565008859</v>
      </c>
      <c r="M53" s="2">
        <f t="shared" si="16"/>
        <v>0.10389416094036683</v>
      </c>
      <c r="N53" s="2">
        <f t="shared" si="17"/>
        <v>9.6251800000000003</v>
      </c>
      <c r="O53" s="2">
        <v>23</v>
      </c>
      <c r="P53">
        <f t="shared" si="18"/>
        <v>5.0985573299520377</v>
      </c>
      <c r="R53" s="14"/>
    </row>
    <row r="54" spans="2:18" s="13" customFormat="1" ht="15.5" x14ac:dyDescent="0.35">
      <c r="B54" s="14"/>
      <c r="C54" s="14"/>
      <c r="D54" s="14"/>
      <c r="E54" s="14"/>
      <c r="F54" s="13">
        <v>139.65822</v>
      </c>
      <c r="G54" s="13">
        <v>144.17241999999999</v>
      </c>
      <c r="H54" s="2">
        <f t="shared" si="11"/>
        <v>4.5141999999999882</v>
      </c>
      <c r="I54" s="2">
        <f t="shared" si="12"/>
        <v>5.1571399999999983</v>
      </c>
      <c r="J54" s="2">
        <f t="shared" si="13"/>
        <v>0.46676055231229535</v>
      </c>
      <c r="K54" s="2">
        <f t="shared" si="14"/>
        <v>0.5332394476877047</v>
      </c>
      <c r="L54" s="2">
        <f t="shared" si="15"/>
        <v>0.22152319347835775</v>
      </c>
      <c r="M54" s="2">
        <f t="shared" si="16"/>
        <v>0.10339828813794173</v>
      </c>
      <c r="N54" s="2">
        <f t="shared" si="17"/>
        <v>9.6713399999999865</v>
      </c>
      <c r="O54" s="2">
        <v>23</v>
      </c>
      <c r="P54">
        <f t="shared" si="18"/>
        <v>5.0950334500022283</v>
      </c>
      <c r="R54" s="14"/>
    </row>
    <row r="55" spans="2:18" s="13" customFormat="1" ht="15.5" x14ac:dyDescent="0.35">
      <c r="B55" s="14"/>
      <c r="C55" s="14"/>
      <c r="D55" s="14"/>
      <c r="E55" s="14"/>
      <c r="F55" s="13">
        <v>149.32955999999999</v>
      </c>
      <c r="G55" s="13">
        <v>153.85351</v>
      </c>
      <c r="H55" s="2">
        <f t="shared" si="11"/>
        <v>4.5239500000000135</v>
      </c>
      <c r="I55" s="2">
        <f t="shared" si="12"/>
        <v>4.0388700000000028</v>
      </c>
      <c r="J55" s="2">
        <f t="shared" si="13"/>
        <v>0.52832478085490586</v>
      </c>
      <c r="K55" s="2">
        <f t="shared" si="14"/>
        <v>0.47167521914509414</v>
      </c>
      <c r="L55" s="2">
        <f t="shared" si="15"/>
        <v>0.22104576752616564</v>
      </c>
      <c r="M55" s="2">
        <f t="shared" si="16"/>
        <v>0.11678395668716592</v>
      </c>
      <c r="N55" s="2">
        <f t="shared" si="17"/>
        <v>8.5628200000000163</v>
      </c>
      <c r="O55" s="2">
        <v>22</v>
      </c>
      <c r="P55">
        <f t="shared" si="18"/>
        <v>4.8630068855756443</v>
      </c>
      <c r="R55" s="14"/>
    </row>
    <row r="56" spans="2:18" s="13" customFormat="1" x14ac:dyDescent="0.35">
      <c r="F56" s="13">
        <v>157.89238</v>
      </c>
      <c r="G56" s="13">
        <v>162.25976</v>
      </c>
      <c r="H56" s="2">
        <f t="shared" si="11"/>
        <v>4.3673799999999972</v>
      </c>
      <c r="I56" s="2">
        <f t="shared" si="12"/>
        <v>4.2543599999999913</v>
      </c>
      <c r="J56" s="2">
        <f t="shared" si="13"/>
        <v>0.50655436141660537</v>
      </c>
      <c r="K56" s="2">
        <f t="shared" si="14"/>
        <v>0.49344563858339463</v>
      </c>
      <c r="L56" s="2">
        <f t="shared" si="15"/>
        <v>0.22897022929078775</v>
      </c>
      <c r="M56" s="2">
        <f t="shared" si="16"/>
        <v>0.11598586828180871</v>
      </c>
      <c r="N56" s="2">
        <f t="shared" si="17"/>
        <v>8.6217399999999884</v>
      </c>
      <c r="O56" s="2">
        <v>21</v>
      </c>
      <c r="P56">
        <f t="shared" si="18"/>
        <v>4.8083748151065429</v>
      </c>
    </row>
    <row r="57" spans="2:18" s="13" customFormat="1" x14ac:dyDescent="0.35">
      <c r="F57" s="13">
        <v>166.51411999999999</v>
      </c>
      <c r="G57" s="13">
        <v>171.00400999999999</v>
      </c>
      <c r="H57" s="2">
        <f t="shared" si="11"/>
        <v>4.4898900000000026</v>
      </c>
      <c r="I57" s="2">
        <f t="shared" si="12"/>
        <v>5.1602200000000096</v>
      </c>
      <c r="J57" s="2">
        <f t="shared" si="13"/>
        <v>0.46526827155338096</v>
      </c>
      <c r="K57" s="2">
        <f t="shared" si="14"/>
        <v>0.53473172844661909</v>
      </c>
      <c r="L57" s="2">
        <f t="shared" si="15"/>
        <v>0.22272260567630819</v>
      </c>
      <c r="M57" s="2">
        <f t="shared" si="16"/>
        <v>0.10362576177888115</v>
      </c>
      <c r="N57" s="2">
        <f t="shared" si="17"/>
        <v>9.6501100000000122</v>
      </c>
      <c r="O57" s="2">
        <v>23</v>
      </c>
      <c r="P57">
        <f t="shared" si="18"/>
        <v>5.1226199305550884</v>
      </c>
    </row>
    <row r="58" spans="2:18" s="13" customFormat="1" x14ac:dyDescent="0.35">
      <c r="F58" s="13">
        <v>176.16423</v>
      </c>
      <c r="G58" s="13">
        <v>180.66236000000001</v>
      </c>
      <c r="H58" s="2">
        <f t="shared" si="11"/>
        <v>4.4981300000000033</v>
      </c>
      <c r="I58" s="2">
        <f t="shared" si="12"/>
        <v>5.0566299999999842</v>
      </c>
      <c r="J58" s="2">
        <f t="shared" si="13"/>
        <v>0.47077372953376212</v>
      </c>
      <c r="K58" s="2">
        <f t="shared" si="14"/>
        <v>0.52922627046623782</v>
      </c>
      <c r="L58" s="2">
        <f t="shared" si="15"/>
        <v>0.22231460629194782</v>
      </c>
      <c r="M58" s="2">
        <f t="shared" si="16"/>
        <v>0.10465987633389026</v>
      </c>
      <c r="N58" s="2">
        <f t="shared" si="17"/>
        <v>9.5547599999999875</v>
      </c>
      <c r="O58" s="2">
        <v>22</v>
      </c>
      <c r="P58">
        <f t="shared" si="18"/>
        <v>4.890921338422852</v>
      </c>
    </row>
    <row r="59" spans="2:18" s="13" customFormat="1" x14ac:dyDescent="0.35">
      <c r="F59" s="13">
        <v>185.71898999999999</v>
      </c>
      <c r="G59" s="13">
        <v>189.98345</v>
      </c>
      <c r="H59" s="2">
        <f t="shared" si="11"/>
        <v>4.2644600000000139</v>
      </c>
      <c r="I59" s="2">
        <f t="shared" si="12"/>
        <v>4.2522799999999847</v>
      </c>
      <c r="J59" s="2">
        <f t="shared" si="13"/>
        <v>0.50071506233605989</v>
      </c>
      <c r="K59" s="2">
        <f t="shared" si="14"/>
        <v>0.49928493766394011</v>
      </c>
      <c r="L59" s="2">
        <f t="shared" si="15"/>
        <v>0.23449627854405874</v>
      </c>
      <c r="M59" s="2">
        <f t="shared" si="16"/>
        <v>0.11741581872876243</v>
      </c>
      <c r="N59" s="2">
        <f t="shared" si="17"/>
        <v>8.5167399999999986</v>
      </c>
      <c r="O59" s="2">
        <v>22</v>
      </c>
      <c r="P59">
        <f t="shared" si="18"/>
        <v>5.1589181279692919</v>
      </c>
    </row>
    <row r="60" spans="2:18" s="13" customFormat="1" x14ac:dyDescent="0.35">
      <c r="F60" s="13">
        <v>194.23572999999999</v>
      </c>
      <c r="G60" s="13">
        <v>198.4434</v>
      </c>
      <c r="H60" s="2">
        <f t="shared" si="11"/>
        <v>4.2076700000000073</v>
      </c>
      <c r="I60" s="2">
        <f t="shared" si="12"/>
        <v>5.3316399999999931</v>
      </c>
      <c r="J60" s="2">
        <f t="shared" si="13"/>
        <v>0.44108745810755778</v>
      </c>
      <c r="K60" s="2">
        <f t="shared" si="14"/>
        <v>0.55891254189244222</v>
      </c>
      <c r="L60" s="2">
        <f t="shared" si="15"/>
        <v>0.23766122343244558</v>
      </c>
      <c r="M60" s="2">
        <f t="shared" si="16"/>
        <v>0.10482938493454977</v>
      </c>
      <c r="N60" s="2">
        <f t="shared" si="17"/>
        <v>9.5393100000000004</v>
      </c>
      <c r="O60" s="2">
        <v>22</v>
      </c>
      <c r="P60">
        <f t="shared" si="18"/>
        <v>5.2285469155138022</v>
      </c>
    </row>
    <row r="61" spans="2:18" s="13" customFormat="1" x14ac:dyDescent="0.35">
      <c r="F61" s="13">
        <v>203.77503999999999</v>
      </c>
      <c r="G61" s="13">
        <v>208.10064</v>
      </c>
      <c r="H61" s="2">
        <f t="shared" si="11"/>
        <v>4.3256000000000085</v>
      </c>
      <c r="I61" s="2">
        <f t="shared" si="12"/>
        <v>4.2878100000000074</v>
      </c>
      <c r="J61" s="2">
        <f t="shared" si="13"/>
        <v>0.50219367242474244</v>
      </c>
      <c r="K61" s="2">
        <f t="shared" si="14"/>
        <v>0.49780632757525761</v>
      </c>
      <c r="L61" s="2">
        <f t="shared" si="15"/>
        <v>0.23118180136859581</v>
      </c>
      <c r="M61" s="2">
        <f t="shared" si="16"/>
        <v>0.11609803782706248</v>
      </c>
      <c r="N61" s="2">
        <f t="shared" si="17"/>
        <v>8.613410000000016</v>
      </c>
      <c r="O61" s="2">
        <v>22</v>
      </c>
      <c r="P61">
        <f t="shared" si="18"/>
        <v>5.0859996301091082</v>
      </c>
    </row>
    <row r="62" spans="2:18" s="13" customFormat="1" x14ac:dyDescent="0.35">
      <c r="F62" s="13">
        <v>212.38845000000001</v>
      </c>
      <c r="G62" s="13">
        <v>217.84683000000001</v>
      </c>
      <c r="H62" s="2">
        <f t="shared" si="11"/>
        <v>5.4583800000000053</v>
      </c>
      <c r="I62" s="2">
        <f t="shared" si="12"/>
        <v>5.2010799999999904</v>
      </c>
      <c r="J62" s="2">
        <f t="shared" si="13"/>
        <v>0.51206909168006709</v>
      </c>
      <c r="K62" s="2">
        <f t="shared" si="14"/>
        <v>0.48793090831993297</v>
      </c>
      <c r="L62" s="2">
        <f t="shared" si="15"/>
        <v>0.18320454054133259</v>
      </c>
      <c r="M62" s="2">
        <f t="shared" si="16"/>
        <v>9.3813382666664197E-2</v>
      </c>
      <c r="N62" s="2">
        <f t="shared" si="17"/>
        <v>10.659459999999996</v>
      </c>
      <c r="O62" s="2">
        <v>25</v>
      </c>
      <c r="P62">
        <f t="shared" si="18"/>
        <v>4.5801135135333153</v>
      </c>
    </row>
    <row r="63" spans="2:18" s="13" customFormat="1" x14ac:dyDescent="0.35">
      <c r="F63" s="13">
        <v>223.04791</v>
      </c>
      <c r="G63" s="13">
        <v>227.32799</v>
      </c>
      <c r="H63" s="2">
        <f t="shared" si="11"/>
        <v>4.2800799999999981</v>
      </c>
      <c r="I63" s="2">
        <f t="shared" si="12"/>
        <v>4.2914000000000101</v>
      </c>
      <c r="J63" s="2">
        <f t="shared" si="13"/>
        <v>0.49933967062864221</v>
      </c>
      <c r="K63" s="2">
        <f t="shared" si="14"/>
        <v>0.50066032937135785</v>
      </c>
      <c r="L63" s="2">
        <f t="shared" si="15"/>
        <v>0.23364049270107112</v>
      </c>
      <c r="M63" s="2">
        <f t="shared" si="16"/>
        <v>0.11666596667086652</v>
      </c>
      <c r="N63" s="2">
        <f t="shared" si="17"/>
        <v>8.5714800000000082</v>
      </c>
      <c r="O63" s="2">
        <v>21</v>
      </c>
      <c r="P63">
        <f t="shared" si="18"/>
        <v>4.9064503467224929</v>
      </c>
    </row>
    <row r="64" spans="2:18" s="13" customFormat="1" x14ac:dyDescent="0.35">
      <c r="F64" s="13">
        <v>231.61939000000001</v>
      </c>
      <c r="G64" s="13">
        <v>235.96691000000001</v>
      </c>
      <c r="H64" s="2"/>
      <c r="I64" s="2"/>
      <c r="J64" s="2"/>
      <c r="K64" s="2"/>
      <c r="L64" s="2"/>
      <c r="M64" s="2"/>
      <c r="N64" s="2"/>
      <c r="O64" s="2"/>
      <c r="P64"/>
    </row>
    <row r="65" spans="7:16" s="13" customFormat="1" x14ac:dyDescent="0.35">
      <c r="H65" s="2"/>
      <c r="I65" s="2"/>
      <c r="J65" s="2"/>
      <c r="K65" s="2"/>
      <c r="L65" s="2"/>
      <c r="M65" s="2"/>
      <c r="N65" s="2"/>
      <c r="O65" s="2"/>
      <c r="P65"/>
    </row>
    <row r="66" spans="7:16" s="13" customFormat="1" ht="16" thickBot="1" x14ac:dyDescent="0.4">
      <c r="H66" s="9" t="s">
        <v>3</v>
      </c>
      <c r="I66" s="9" t="s">
        <v>4</v>
      </c>
      <c r="J66" s="9" t="s">
        <v>5</v>
      </c>
      <c r="K66" s="9" t="s">
        <v>6</v>
      </c>
      <c r="L66" s="9" t="s">
        <v>7</v>
      </c>
      <c r="M66" s="9" t="s">
        <v>8</v>
      </c>
      <c r="N66" s="9" t="s">
        <v>9</v>
      </c>
      <c r="O66" s="9" t="s">
        <v>10</v>
      </c>
      <c r="P66" s="44" t="s">
        <v>139</v>
      </c>
    </row>
    <row r="67" spans="7:16" s="13" customFormat="1" x14ac:dyDescent="0.35">
      <c r="G67" s="49" t="s">
        <v>77</v>
      </c>
      <c r="H67" s="13">
        <f>AVERAGE(H39:H63)</f>
        <v>4.733726400000001</v>
      </c>
      <c r="I67" s="13">
        <f t="shared" ref="I67:P67" si="19">AVERAGE(I39:I63)</f>
        <v>4.5250251999999991</v>
      </c>
      <c r="J67" s="13">
        <f t="shared" si="19"/>
        <v>0.51101686484186004</v>
      </c>
      <c r="K67" s="13">
        <f t="shared" si="19"/>
        <v>0.48898313515813996</v>
      </c>
      <c r="L67" s="13">
        <f t="shared" si="19"/>
        <v>0.21453387126036791</v>
      </c>
      <c r="M67" s="13">
        <f t="shared" si="19"/>
        <v>0.10876569389735408</v>
      </c>
      <c r="N67" s="13">
        <f t="shared" si="19"/>
        <v>9.2587516000000001</v>
      </c>
      <c r="O67" s="13">
        <f t="shared" si="19"/>
        <v>23.56</v>
      </c>
      <c r="P67" s="13">
        <f t="shared" si="19"/>
        <v>4.9965607635987199</v>
      </c>
    </row>
    <row r="68" spans="7:16" s="13" customFormat="1" x14ac:dyDescent="0.35">
      <c r="G68" s="49" t="s">
        <v>94</v>
      </c>
      <c r="H68" s="2">
        <f>_xlfn.STDEV.S(H39:H63)</f>
        <v>0.64413110695649378</v>
      </c>
      <c r="I68" s="2">
        <f t="shared" ref="I68:P68" si="20">_xlfn.STDEV.S(I39:I63)</f>
        <v>0.57263279421399849</v>
      </c>
      <c r="J68" s="2">
        <f t="shared" si="20"/>
        <v>4.8130791240939989E-2</v>
      </c>
      <c r="K68" s="2">
        <f t="shared" si="20"/>
        <v>4.8130791240939989E-2</v>
      </c>
      <c r="L68" s="2">
        <f t="shared" si="20"/>
        <v>2.5355484561259616E-2</v>
      </c>
      <c r="M68" s="2">
        <f t="shared" si="20"/>
        <v>9.2410021957479976E-3</v>
      </c>
      <c r="N68" s="2">
        <f t="shared" si="20"/>
        <v>0.79581631257198016</v>
      </c>
      <c r="O68" s="2">
        <f t="shared" si="20"/>
        <v>2.6783079235467544</v>
      </c>
      <c r="P68" s="2">
        <f t="shared" si="20"/>
        <v>0.3037567112344548</v>
      </c>
    </row>
    <row r="69" spans="7:16" s="13" customFormat="1" x14ac:dyDescent="0.35">
      <c r="G69" s="49" t="s">
        <v>95</v>
      </c>
      <c r="H69" s="2">
        <f>H68/(SQRT(COUNT(H39:H63)))</f>
        <v>0.12882622139129876</v>
      </c>
      <c r="I69" s="2">
        <f t="shared" ref="I69:P69" si="21">I68/(SQRT(COUNT(I39:I63)))</f>
        <v>0.11452655884279969</v>
      </c>
      <c r="J69" s="2">
        <f t="shared" si="21"/>
        <v>9.6261582481879972E-3</v>
      </c>
      <c r="K69" s="2">
        <f t="shared" si="21"/>
        <v>9.6261582481879972E-3</v>
      </c>
      <c r="L69" s="2">
        <f t="shared" si="21"/>
        <v>5.0710969122519231E-3</v>
      </c>
      <c r="M69" s="2">
        <f t="shared" si="21"/>
        <v>1.8482004391495994E-3</v>
      </c>
      <c r="N69" s="2">
        <f t="shared" si="21"/>
        <v>0.15916326251439603</v>
      </c>
      <c r="O69" s="2">
        <f t="shared" si="21"/>
        <v>0.53566158470935088</v>
      </c>
      <c r="P69" s="2">
        <f t="shared" si="21"/>
        <v>6.0751342246890959E-2</v>
      </c>
    </row>
    <row r="70" spans="7:16" s="13" customFormat="1" x14ac:dyDescent="0.35">
      <c r="H70" s="2"/>
      <c r="I70" s="2"/>
      <c r="J70" s="2"/>
      <c r="K70" s="2"/>
      <c r="L70" s="2"/>
      <c r="M70" s="2"/>
      <c r="N70" s="2"/>
      <c r="O70" s="2"/>
      <c r="P70"/>
    </row>
    <row r="71" spans="7:16" s="13" customFormat="1" x14ac:dyDescent="0.35">
      <c r="H71" s="2"/>
      <c r="I71" s="2"/>
      <c r="J71" s="2"/>
      <c r="K71" s="2"/>
      <c r="L71" s="2"/>
      <c r="M71" s="2"/>
      <c r="N71" s="2"/>
      <c r="O71" s="2"/>
      <c r="P71"/>
    </row>
    <row r="72" spans="7:16" s="13" customFormat="1" x14ac:dyDescent="0.35">
      <c r="H72" s="2"/>
      <c r="I72" s="2"/>
      <c r="J72" s="2"/>
      <c r="K72" s="2"/>
      <c r="L72" s="2"/>
      <c r="M72" s="2"/>
      <c r="N72" s="2"/>
      <c r="O72" s="2"/>
      <c r="P72"/>
    </row>
    <row r="73" spans="7:16" s="13" customFormat="1" x14ac:dyDescent="0.35">
      <c r="H73" s="2"/>
      <c r="I73" s="2"/>
      <c r="J73" s="2"/>
      <c r="K73" s="2"/>
      <c r="L73" s="2"/>
      <c r="M73" s="2"/>
      <c r="N73" s="2"/>
      <c r="O73" s="2"/>
      <c r="P73"/>
    </row>
    <row r="74" spans="7:16" s="13" customFormat="1" x14ac:dyDescent="0.35">
      <c r="H74" s="2"/>
      <c r="I74" s="2"/>
      <c r="J74" s="2"/>
      <c r="K74" s="2"/>
      <c r="L74" s="2"/>
      <c r="M74" s="2"/>
      <c r="N74" s="2"/>
      <c r="O74" s="2"/>
      <c r="P74"/>
    </row>
    <row r="75" spans="7:16" s="13" customFormat="1" x14ac:dyDescent="0.35">
      <c r="H75" s="2"/>
      <c r="I75" s="2"/>
      <c r="J75" s="2"/>
      <c r="K75" s="2"/>
      <c r="L75" s="2"/>
      <c r="M75" s="2"/>
      <c r="N75" s="2"/>
      <c r="O75" s="2"/>
      <c r="P75"/>
    </row>
    <row r="76" spans="7:16" s="13" customFormat="1" x14ac:dyDescent="0.35">
      <c r="H76" s="2"/>
      <c r="I76" s="2"/>
      <c r="J76" s="2"/>
      <c r="K76" s="2"/>
      <c r="L76" s="2"/>
      <c r="M76" s="2"/>
      <c r="N76" s="2"/>
      <c r="O76" s="2"/>
      <c r="P76"/>
    </row>
    <row r="77" spans="7:16" s="13" customFormat="1" x14ac:dyDescent="0.35">
      <c r="H77" s="2"/>
      <c r="I77" s="2"/>
      <c r="J77" s="2"/>
      <c r="K77" s="2"/>
      <c r="L77" s="2"/>
      <c r="M77" s="2"/>
      <c r="N77" s="2"/>
      <c r="O77" s="2"/>
      <c r="P77"/>
    </row>
    <row r="78" spans="7:16" s="13" customFormat="1" x14ac:dyDescent="0.35">
      <c r="H78" s="2"/>
      <c r="I78" s="2"/>
      <c r="J78" s="2"/>
      <c r="K78" s="2"/>
      <c r="L78" s="2"/>
      <c r="M78" s="2"/>
      <c r="N78" s="2"/>
      <c r="O78" s="2"/>
      <c r="P78"/>
    </row>
    <row r="79" spans="7:16" s="13" customFormat="1" x14ac:dyDescent="0.35">
      <c r="H79" s="2"/>
      <c r="I79" s="2"/>
      <c r="J79" s="2"/>
      <c r="K79" s="2"/>
      <c r="L79" s="2"/>
      <c r="M79" s="2"/>
      <c r="N79" s="2"/>
      <c r="O79" s="2"/>
      <c r="P79"/>
    </row>
    <row r="80" spans="7:16"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13" customFormat="1" x14ac:dyDescent="0.35"/>
    <row r="98" s="13" customFormat="1" x14ac:dyDescent="0.35"/>
    <row r="99" s="13" customFormat="1" x14ac:dyDescent="0.35"/>
    <row r="100" s="13" customFormat="1" x14ac:dyDescent="0.35"/>
    <row r="101" s="13" customFormat="1" x14ac:dyDescent="0.35"/>
    <row r="102" s="13" customFormat="1" x14ac:dyDescent="0.35"/>
    <row r="103" s="13" customFormat="1" x14ac:dyDescent="0.35"/>
    <row r="104" s="13" customFormat="1" x14ac:dyDescent="0.35"/>
    <row r="105" s="13" customFormat="1" x14ac:dyDescent="0.35"/>
    <row r="106" s="13" customFormat="1" x14ac:dyDescent="0.35"/>
    <row r="107" s="13" customFormat="1" x14ac:dyDescent="0.35"/>
    <row r="108" s="13" customFormat="1" x14ac:dyDescent="0.35"/>
    <row r="109" s="13" customFormat="1" x14ac:dyDescent="0.35"/>
    <row r="110" s="13" customFormat="1" x14ac:dyDescent="0.35"/>
    <row r="111" s="13" customFormat="1" x14ac:dyDescent="0.35"/>
    <row r="112" s="13" customFormat="1" x14ac:dyDescent="0.35"/>
    <row r="113" spans="5:16" s="13" customFormat="1" ht="15.5" x14ac:dyDescent="0.35">
      <c r="E113" s="49"/>
      <c r="H113" s="14"/>
      <c r="I113" s="14"/>
      <c r="J113" s="14"/>
      <c r="K113" s="14"/>
      <c r="L113" s="14"/>
      <c r="M113" s="14"/>
      <c r="N113" s="14"/>
      <c r="O113" s="14"/>
      <c r="P113" s="14"/>
    </row>
    <row r="114" spans="5:16" s="13" customFormat="1" x14ac:dyDescent="0.35">
      <c r="E114" s="49"/>
      <c r="G114" s="49"/>
    </row>
    <row r="115" spans="5:16" s="13" customFormat="1" x14ac:dyDescent="0.35">
      <c r="E115" s="49"/>
      <c r="G115" s="49"/>
    </row>
    <row r="116" spans="5:16" s="13" customFormat="1" x14ac:dyDescent="0.35">
      <c r="E116" s="49"/>
      <c r="G116" s="49"/>
    </row>
    <row r="117" spans="5:16" s="13" customFormat="1" x14ac:dyDescent="0.35">
      <c r="E117" s="49"/>
    </row>
    <row r="118" spans="5:16" s="13" customFormat="1" ht="15.5" x14ac:dyDescent="0.35">
      <c r="E118" s="49"/>
      <c r="H118" s="14"/>
      <c r="I118" s="14"/>
      <c r="J118" s="14"/>
      <c r="K118" s="14"/>
      <c r="L118" s="14"/>
      <c r="M118" s="14"/>
      <c r="N118" s="14"/>
      <c r="O118" s="14"/>
      <c r="P118" s="14"/>
    </row>
    <row r="119" spans="5:16" s="13" customFormat="1" x14ac:dyDescent="0.35">
      <c r="G119" s="49"/>
    </row>
    <row r="120" spans="5:16" s="13" customFormat="1" x14ac:dyDescent="0.35">
      <c r="G120" s="49"/>
    </row>
    <row r="121" spans="5:16" s="13" customFormat="1" x14ac:dyDescent="0.35">
      <c r="G121" s="49"/>
    </row>
    <row r="122" spans="5:16" s="13" customFormat="1" x14ac:dyDescent="0.35"/>
    <row r="123" spans="5:16" s="13" customFormat="1" ht="15.5" x14ac:dyDescent="0.35">
      <c r="H123" s="14"/>
      <c r="I123" s="14"/>
      <c r="J123" s="14"/>
      <c r="K123" s="14"/>
      <c r="L123" s="14"/>
      <c r="M123" s="14"/>
      <c r="N123" s="14"/>
      <c r="O123" s="14"/>
      <c r="P123" s="14"/>
    </row>
    <row r="124" spans="5:16" s="13" customFormat="1" x14ac:dyDescent="0.35">
      <c r="G124" s="49"/>
    </row>
    <row r="125" spans="5:16" s="13" customFormat="1" x14ac:dyDescent="0.35">
      <c r="G125" s="49"/>
    </row>
    <row r="126" spans="5:16" s="13" customFormat="1" x14ac:dyDescent="0.35">
      <c r="G126" s="49"/>
    </row>
    <row r="127" spans="5:16" s="13" customFormat="1" x14ac:dyDescent="0.35"/>
    <row r="128" spans="5:16" s="13" customFormat="1" x14ac:dyDescent="0.35"/>
    <row r="129" spans="1:20" x14ac:dyDescent="0.35">
      <c r="A129" s="13"/>
      <c r="B129" s="13"/>
      <c r="C129" s="13"/>
      <c r="D129" s="13"/>
      <c r="E129" s="13"/>
      <c r="F129" s="13"/>
      <c r="G129" s="13"/>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13"/>
      <c r="F131" s="13"/>
      <c r="G131" s="13"/>
      <c r="H131" s="13"/>
      <c r="I131" s="13"/>
      <c r="J131" s="13"/>
      <c r="K131" s="13"/>
      <c r="L131" s="13"/>
      <c r="M131" s="13"/>
      <c r="N131" s="13"/>
      <c r="O131" s="13"/>
      <c r="P131" s="13"/>
      <c r="Q131" s="13"/>
      <c r="R131" s="13"/>
      <c r="S131" s="13"/>
      <c r="T131" s="13"/>
    </row>
    <row r="132" spans="1:20" x14ac:dyDescent="0.35">
      <c r="A132" s="13"/>
      <c r="B132" s="13"/>
      <c r="C132" s="13"/>
      <c r="D132" s="13"/>
      <c r="E132" s="13"/>
      <c r="F132" s="13"/>
      <c r="G132" s="13"/>
      <c r="H132" s="13"/>
      <c r="I132" s="13"/>
      <c r="J132" s="13"/>
      <c r="K132" s="13"/>
      <c r="L132" s="13"/>
      <c r="M132" s="13"/>
      <c r="N132" s="13"/>
      <c r="O132" s="13"/>
      <c r="P132" s="13"/>
      <c r="Q132" s="13"/>
      <c r="R132" s="13"/>
      <c r="S132" s="13"/>
      <c r="T132" s="13"/>
    </row>
    <row r="133" spans="1:20" x14ac:dyDescent="0.35">
      <c r="A133" s="13"/>
      <c r="B133" s="13"/>
      <c r="C133" s="13"/>
      <c r="D133" s="13"/>
      <c r="E133" s="13"/>
      <c r="F133" s="13"/>
      <c r="G133" s="13"/>
      <c r="H133" s="13"/>
      <c r="I133" s="13"/>
      <c r="J133" s="13"/>
      <c r="K133" s="13"/>
      <c r="L133" s="13"/>
      <c r="M133" s="13"/>
      <c r="N133" s="13"/>
      <c r="O133" s="13"/>
      <c r="P133" s="13"/>
      <c r="Q133" s="13"/>
      <c r="R133" s="13"/>
      <c r="S133" s="13"/>
      <c r="T133" s="13"/>
    </row>
    <row r="134" spans="1:20" x14ac:dyDescent="0.35">
      <c r="A134" s="13"/>
      <c r="B134" s="13"/>
      <c r="C134" s="13"/>
      <c r="D134" s="13"/>
      <c r="E134" s="13"/>
      <c r="F134" s="13"/>
      <c r="G134" s="13"/>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ht="15.5" x14ac:dyDescent="0.35">
      <c r="A136" s="13"/>
      <c r="B136" s="13"/>
      <c r="C136" s="13"/>
      <c r="D136" s="13"/>
      <c r="E136" s="13"/>
      <c r="F136" s="13"/>
      <c r="G136" s="13"/>
      <c r="H136" s="14"/>
      <c r="I136" s="14"/>
      <c r="J136" s="14"/>
      <c r="K136" s="14"/>
      <c r="L136" s="14"/>
      <c r="M136" s="14"/>
      <c r="N136" s="14"/>
      <c r="O136" s="14"/>
      <c r="P136" s="14"/>
      <c r="Q136" s="13"/>
      <c r="R136" s="13"/>
      <c r="S136" s="13"/>
      <c r="T136" s="13"/>
    </row>
    <row r="137" spans="1:20" x14ac:dyDescent="0.35">
      <c r="A137" s="13"/>
      <c r="B137" s="13"/>
      <c r="C137" s="13"/>
      <c r="D137" s="49"/>
      <c r="E137" s="49"/>
      <c r="F137" s="13"/>
      <c r="G137" s="49"/>
      <c r="H137" s="13"/>
      <c r="I137" s="13"/>
      <c r="J137" s="13"/>
      <c r="K137" s="13"/>
      <c r="L137" s="13"/>
      <c r="M137" s="13"/>
      <c r="N137" s="13"/>
      <c r="O137" s="13"/>
      <c r="P137" s="13"/>
      <c r="Q137" s="13"/>
      <c r="R137" s="13"/>
      <c r="S137" s="13"/>
      <c r="T137" s="13"/>
    </row>
    <row r="138" spans="1:20" x14ac:dyDescent="0.35">
      <c r="A138" s="13"/>
      <c r="B138" s="13"/>
      <c r="C138" s="13"/>
      <c r="D138" s="49"/>
      <c r="E138" s="49"/>
      <c r="F138" s="13"/>
      <c r="G138" s="49"/>
      <c r="H138" s="13"/>
      <c r="I138" s="13"/>
      <c r="J138" s="13"/>
      <c r="K138" s="13"/>
      <c r="L138" s="13"/>
      <c r="M138" s="13"/>
      <c r="N138" s="13"/>
      <c r="O138" s="13"/>
      <c r="P138" s="13"/>
      <c r="Q138" s="13"/>
      <c r="R138" s="13"/>
      <c r="S138" s="13"/>
      <c r="T138" s="13"/>
    </row>
    <row r="139" spans="1:20" x14ac:dyDescent="0.35">
      <c r="A139" s="13"/>
      <c r="B139" s="13"/>
      <c r="C139" s="13"/>
      <c r="D139" s="49"/>
      <c r="E139" s="49"/>
      <c r="F139" s="13"/>
      <c r="G139" s="49"/>
      <c r="H139" s="13"/>
      <c r="I139" s="13"/>
      <c r="J139" s="13"/>
      <c r="K139" s="13"/>
      <c r="L139" s="13"/>
      <c r="M139" s="13"/>
      <c r="N139" s="13"/>
      <c r="O139" s="13"/>
      <c r="P139" s="13"/>
      <c r="Q139" s="13"/>
      <c r="R139" s="13"/>
      <c r="S139" s="13"/>
      <c r="T139" s="13"/>
    </row>
    <row r="140" spans="1:20" x14ac:dyDescent="0.35">
      <c r="A140" s="13"/>
      <c r="B140" s="13"/>
      <c r="C140" s="13"/>
      <c r="D140" s="49"/>
      <c r="E140" s="49"/>
      <c r="F140" s="13"/>
      <c r="G140" s="13"/>
      <c r="H140" s="13"/>
      <c r="I140" s="13"/>
      <c r="J140" s="13"/>
      <c r="K140" s="13"/>
      <c r="L140" s="13"/>
      <c r="M140" s="13"/>
      <c r="N140" s="13"/>
      <c r="O140" s="13"/>
      <c r="P140" s="13"/>
      <c r="Q140" s="13"/>
      <c r="R140" s="13"/>
      <c r="S140" s="13"/>
      <c r="T140" s="13"/>
    </row>
    <row r="141" spans="1:20" x14ac:dyDescent="0.35">
      <c r="A141" s="13"/>
      <c r="B141" s="13"/>
      <c r="C141" s="13"/>
      <c r="D141" s="49"/>
      <c r="E141" s="49"/>
      <c r="F141" s="13"/>
      <c r="G141" s="13"/>
      <c r="H141" s="13"/>
      <c r="I141" s="13"/>
      <c r="J141" s="13"/>
      <c r="K141" s="13"/>
      <c r="L141" s="13"/>
      <c r="M141" s="13"/>
      <c r="N141" s="13"/>
      <c r="O141" s="13"/>
      <c r="P141" s="13"/>
      <c r="Q141" s="13"/>
      <c r="R141" s="13"/>
      <c r="S141" s="13"/>
      <c r="T141" s="13"/>
    </row>
    <row r="142" spans="1:20" x14ac:dyDescent="0.35">
      <c r="A142" s="13"/>
      <c r="B142" s="13"/>
      <c r="C142" s="13"/>
      <c r="D142" s="49"/>
      <c r="E142" s="49"/>
      <c r="F142" s="13"/>
      <c r="G142" s="49"/>
      <c r="H142" s="13"/>
      <c r="I142" s="13"/>
      <c r="J142" s="13"/>
      <c r="K142" s="13"/>
      <c r="L142" s="13"/>
      <c r="M142" s="13"/>
      <c r="N142" s="13"/>
      <c r="O142" s="13"/>
      <c r="P142" s="13"/>
      <c r="Q142" s="13"/>
      <c r="R142" s="13"/>
      <c r="S142" s="13"/>
      <c r="T142" s="13"/>
    </row>
    <row r="143" spans="1:20" x14ac:dyDescent="0.35">
      <c r="A143" s="13"/>
      <c r="B143" s="13"/>
      <c r="C143" s="13"/>
      <c r="D143" s="49"/>
      <c r="E143" s="49"/>
      <c r="F143" s="13"/>
      <c r="G143" s="49"/>
      <c r="H143" s="13"/>
      <c r="I143" s="13"/>
      <c r="J143" s="13"/>
      <c r="K143" s="13"/>
      <c r="L143" s="13"/>
      <c r="M143" s="13"/>
      <c r="N143" s="13"/>
      <c r="O143" s="13"/>
      <c r="P143" s="13"/>
      <c r="Q143" s="13"/>
      <c r="R143" s="13"/>
      <c r="S143" s="13"/>
      <c r="T143" s="13"/>
    </row>
    <row r="144" spans="1:20" x14ac:dyDescent="0.35">
      <c r="A144" s="13"/>
      <c r="B144" s="13"/>
      <c r="C144" s="13"/>
      <c r="D144" s="13"/>
      <c r="E144" s="13"/>
      <c r="F144" s="13"/>
      <c r="G144" s="49"/>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49"/>
      <c r="F146" s="49"/>
      <c r="G146" s="49"/>
      <c r="H146" s="13"/>
      <c r="I146" s="13"/>
      <c r="J146" s="13"/>
      <c r="K146" s="13"/>
      <c r="L146" s="13"/>
      <c r="M146" s="13"/>
      <c r="N146" s="13"/>
      <c r="O146" s="13"/>
      <c r="P146" s="13"/>
      <c r="Q146" s="13"/>
      <c r="R146" s="13"/>
      <c r="S146" s="13"/>
      <c r="T146" s="13"/>
    </row>
    <row r="147" spans="1:20" x14ac:dyDescent="0.35">
      <c r="A147" s="13"/>
      <c r="B147" s="13"/>
      <c r="C147" s="13"/>
      <c r="D147" s="13"/>
      <c r="E147" s="49"/>
      <c r="F147" s="49"/>
      <c r="G147" s="49"/>
      <c r="H147" s="13"/>
      <c r="I147" s="13"/>
      <c r="J147" s="13"/>
      <c r="K147" s="13"/>
      <c r="L147" s="13"/>
      <c r="M147" s="13"/>
      <c r="N147" s="13"/>
      <c r="O147" s="13"/>
      <c r="P147" s="13"/>
      <c r="Q147" s="13"/>
      <c r="R147" s="13"/>
      <c r="S147" s="13"/>
      <c r="T147" s="13"/>
    </row>
    <row r="148" spans="1:20" x14ac:dyDescent="0.35">
      <c r="A148" s="13"/>
      <c r="B148" s="13"/>
      <c r="C148" s="13"/>
      <c r="D148" s="13"/>
      <c r="E148" s="49"/>
      <c r="F148" s="49"/>
      <c r="G148" s="49"/>
      <c r="H148" s="13"/>
      <c r="I148" s="13"/>
      <c r="J148" s="13"/>
      <c r="K148" s="13"/>
      <c r="L148" s="13"/>
      <c r="M148" s="13"/>
      <c r="N148" s="13"/>
      <c r="O148" s="13"/>
      <c r="P148" s="13"/>
      <c r="Q148" s="13"/>
      <c r="R148" s="13"/>
      <c r="S148" s="13"/>
      <c r="T148" s="13"/>
    </row>
    <row r="149" spans="1:20" x14ac:dyDescent="0.35">
      <c r="A149" s="13"/>
      <c r="B149" s="13"/>
      <c r="C149" s="13"/>
      <c r="D149" s="13"/>
      <c r="E149" s="49"/>
      <c r="F149" s="49"/>
      <c r="G149" s="49"/>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ht="18.5" x14ac:dyDescent="0.45">
      <c r="A152" s="13"/>
      <c r="B152" s="13"/>
      <c r="C152" s="13"/>
      <c r="D152" s="13"/>
      <c r="E152" s="13"/>
      <c r="F152" s="149"/>
      <c r="G152" s="13"/>
      <c r="H152" s="13"/>
      <c r="I152" s="13"/>
      <c r="J152" s="13"/>
      <c r="K152" s="13"/>
      <c r="L152" s="13"/>
      <c r="M152" s="13"/>
      <c r="N152" s="13"/>
      <c r="O152" s="13"/>
      <c r="P152" s="13"/>
      <c r="Q152" s="13"/>
      <c r="R152" s="13"/>
      <c r="S152" s="13"/>
      <c r="T152" s="13"/>
    </row>
    <row r="153" spans="1:20" ht="15.5" x14ac:dyDescent="0.35">
      <c r="A153" s="13"/>
      <c r="B153" s="14"/>
      <c r="C153" s="14"/>
      <c r="D153" s="14"/>
      <c r="E153" s="14"/>
      <c r="F153" s="14"/>
      <c r="G153" s="14"/>
      <c r="H153" s="14"/>
      <c r="I153" s="14"/>
      <c r="J153" s="14"/>
      <c r="K153" s="14"/>
      <c r="L153" s="14"/>
      <c r="M153" s="14"/>
      <c r="N153" s="14"/>
      <c r="O153" s="14"/>
      <c r="P153" s="14"/>
      <c r="Q153" s="13"/>
      <c r="R153" s="14"/>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49"/>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x14ac:dyDescent="0.35">
      <c r="A171" s="13"/>
      <c r="B171" s="13"/>
      <c r="C171" s="13"/>
      <c r="D171" s="13"/>
      <c r="E171" s="13"/>
      <c r="F171" s="13"/>
      <c r="G171" s="13"/>
      <c r="H171" s="13"/>
      <c r="I171" s="13"/>
      <c r="J171" s="13"/>
      <c r="K171" s="13"/>
      <c r="L171" s="13"/>
      <c r="M171" s="13"/>
      <c r="N171" s="13"/>
      <c r="O171" s="13"/>
      <c r="P171" s="13"/>
      <c r="Q171" s="13"/>
      <c r="R171" s="13"/>
      <c r="S171" s="13"/>
      <c r="T171" s="13"/>
    </row>
    <row r="172" spans="1:20" x14ac:dyDescent="0.35">
      <c r="A172" s="13"/>
      <c r="B172" s="13"/>
      <c r="C172" s="13"/>
      <c r="D172" s="13"/>
      <c r="E172" s="13"/>
      <c r="F172" s="13"/>
      <c r="G172" s="13"/>
      <c r="H172" s="13"/>
      <c r="I172" s="13"/>
      <c r="J172" s="13"/>
      <c r="K172" s="13"/>
      <c r="L172" s="13"/>
      <c r="M172" s="13"/>
      <c r="N172" s="13"/>
      <c r="O172" s="13"/>
      <c r="P172" s="13"/>
      <c r="Q172" s="13"/>
      <c r="R172" s="13"/>
      <c r="S172" s="13"/>
      <c r="T172" s="13"/>
    </row>
    <row r="173" spans="1:20" x14ac:dyDescent="0.35">
      <c r="A173" s="13"/>
      <c r="B173" s="13"/>
      <c r="C173" s="13"/>
      <c r="D173" s="13"/>
      <c r="E173" s="13"/>
      <c r="F173" s="13"/>
      <c r="G173" s="13"/>
      <c r="H173" s="13"/>
      <c r="I173" s="13"/>
      <c r="J173" s="13"/>
      <c r="K173" s="13"/>
      <c r="L173" s="13"/>
      <c r="M173" s="13"/>
      <c r="N173" s="13"/>
      <c r="O173" s="13"/>
      <c r="P173" s="13"/>
      <c r="Q173" s="13"/>
      <c r="R173" s="13"/>
      <c r="S173" s="13"/>
      <c r="T173" s="13"/>
    </row>
    <row r="174" spans="1:20" x14ac:dyDescent="0.35">
      <c r="A174" s="13"/>
      <c r="B174" s="13"/>
      <c r="C174" s="13"/>
      <c r="D174" s="13"/>
      <c r="E174" s="13"/>
      <c r="F174" s="13"/>
      <c r="G174" s="13"/>
      <c r="H174" s="13"/>
      <c r="I174" s="13"/>
      <c r="J174" s="13"/>
      <c r="K174" s="13"/>
      <c r="L174" s="13"/>
      <c r="M174" s="13"/>
      <c r="N174" s="13"/>
      <c r="O174" s="13"/>
      <c r="P174" s="13"/>
      <c r="Q174" s="13"/>
      <c r="R174" s="13"/>
      <c r="S174" s="13"/>
      <c r="T174" s="13"/>
    </row>
    <row r="175" spans="1:20" x14ac:dyDescent="0.35">
      <c r="A175" s="13"/>
      <c r="B175" s="13"/>
      <c r="C175" s="13"/>
      <c r="D175" s="13"/>
      <c r="E175" s="13"/>
      <c r="F175" s="13"/>
      <c r="G175" s="13"/>
      <c r="H175" s="13"/>
      <c r="I175" s="13"/>
      <c r="J175" s="13"/>
      <c r="K175" s="13"/>
      <c r="L175" s="13"/>
      <c r="M175" s="13"/>
      <c r="N175" s="13"/>
      <c r="O175" s="13"/>
      <c r="P175" s="13"/>
      <c r="Q175" s="13"/>
      <c r="R175" s="13"/>
      <c r="S175" s="13"/>
      <c r="T175" s="13"/>
    </row>
    <row r="176" spans="1:20" x14ac:dyDescent="0.35">
      <c r="A176" s="13"/>
      <c r="B176" s="13"/>
      <c r="C176" s="13"/>
      <c r="D176" s="13"/>
      <c r="E176" s="13"/>
      <c r="F176" s="13"/>
      <c r="G176" s="13"/>
      <c r="H176" s="13"/>
      <c r="I176" s="13"/>
      <c r="J176" s="13"/>
      <c r="K176" s="13"/>
      <c r="L176" s="13"/>
      <c r="M176" s="13"/>
      <c r="N176" s="13"/>
      <c r="O176" s="13"/>
      <c r="P176" s="13"/>
      <c r="Q176" s="13"/>
      <c r="R176" s="13"/>
      <c r="S176" s="13"/>
      <c r="T176" s="13"/>
    </row>
    <row r="177" spans="1:20" x14ac:dyDescent="0.35">
      <c r="A177" s="13"/>
      <c r="B177" s="13"/>
      <c r="C177" s="13"/>
      <c r="D177" s="13"/>
      <c r="E177" s="13"/>
      <c r="F177" s="13"/>
      <c r="G177" s="13"/>
      <c r="H177" s="13"/>
      <c r="I177" s="13"/>
      <c r="J177" s="13"/>
      <c r="K177" s="13"/>
      <c r="L177" s="13"/>
      <c r="M177" s="13"/>
      <c r="N177" s="13"/>
      <c r="O177" s="13"/>
      <c r="P177" s="13"/>
      <c r="Q177" s="13"/>
      <c r="R177" s="13"/>
      <c r="S177" s="13"/>
      <c r="T177" s="13"/>
    </row>
    <row r="178" spans="1:20" x14ac:dyDescent="0.35">
      <c r="A178" s="13"/>
      <c r="B178" s="13"/>
      <c r="C178" s="13"/>
      <c r="D178" s="13"/>
      <c r="E178" s="13"/>
      <c r="F178" s="13"/>
      <c r="G178" s="13"/>
      <c r="H178" s="13"/>
      <c r="I178" s="13"/>
      <c r="J178" s="13"/>
      <c r="K178" s="13"/>
      <c r="L178" s="13"/>
      <c r="M178" s="13"/>
      <c r="N178" s="13"/>
      <c r="O178" s="13"/>
      <c r="P178" s="13"/>
      <c r="Q178" s="13"/>
      <c r="R178" s="13"/>
      <c r="S178" s="13"/>
      <c r="T178" s="13"/>
    </row>
    <row r="179" spans="1:20" x14ac:dyDescent="0.35">
      <c r="A179" s="13"/>
      <c r="B179" s="13"/>
      <c r="C179" s="13"/>
      <c r="D179" s="13"/>
      <c r="E179" s="13"/>
      <c r="F179" s="13"/>
      <c r="G179" s="13"/>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ht="15.5" x14ac:dyDescent="0.35">
      <c r="A181" s="13"/>
      <c r="B181" s="13"/>
      <c r="C181" s="13"/>
      <c r="D181" s="13"/>
      <c r="E181" s="13"/>
      <c r="F181" s="13"/>
      <c r="G181" s="13"/>
      <c r="H181" s="14"/>
      <c r="I181" s="14"/>
      <c r="J181" s="14"/>
      <c r="K181" s="14"/>
      <c r="L181" s="14"/>
      <c r="M181" s="14"/>
      <c r="N181" s="14"/>
      <c r="O181" s="14"/>
      <c r="P181" s="14"/>
      <c r="Q181" s="13"/>
      <c r="R181" s="13"/>
      <c r="S181" s="13"/>
      <c r="T181" s="13"/>
    </row>
    <row r="182" spans="1:20" x14ac:dyDescent="0.35">
      <c r="A182" s="13"/>
      <c r="B182" s="13"/>
      <c r="C182" s="13"/>
      <c r="D182" s="13"/>
      <c r="E182" s="49"/>
      <c r="F182" s="13"/>
      <c r="G182" s="49"/>
      <c r="H182" s="13"/>
      <c r="I182" s="13"/>
      <c r="J182" s="13"/>
      <c r="K182" s="13"/>
      <c r="L182" s="13"/>
      <c r="M182" s="13"/>
      <c r="N182" s="13"/>
      <c r="O182" s="13"/>
      <c r="P182" s="13"/>
      <c r="Q182" s="13"/>
      <c r="R182" s="13"/>
      <c r="S182" s="13"/>
      <c r="T182" s="13"/>
    </row>
    <row r="183" spans="1:20" x14ac:dyDescent="0.35">
      <c r="A183" s="13"/>
      <c r="B183" s="13"/>
      <c r="C183" s="13"/>
      <c r="D183" s="13"/>
      <c r="E183" s="49"/>
      <c r="F183" s="13"/>
      <c r="G183" s="49"/>
      <c r="H183" s="13"/>
      <c r="I183" s="13"/>
      <c r="J183" s="13"/>
      <c r="K183" s="13"/>
      <c r="L183" s="13"/>
      <c r="M183" s="13"/>
      <c r="N183" s="13"/>
      <c r="O183" s="13"/>
      <c r="P183" s="13"/>
      <c r="Q183" s="13"/>
      <c r="R183" s="13"/>
      <c r="S183" s="13"/>
      <c r="T183" s="13"/>
    </row>
    <row r="184" spans="1:20" x14ac:dyDescent="0.35">
      <c r="A184" s="13"/>
      <c r="B184" s="13"/>
      <c r="C184" s="13"/>
      <c r="D184" s="13"/>
      <c r="E184" s="49"/>
      <c r="F184" s="13"/>
      <c r="G184" s="49"/>
      <c r="H184" s="13"/>
      <c r="I184" s="13"/>
      <c r="J184" s="13"/>
      <c r="K184" s="13"/>
      <c r="L184" s="13"/>
      <c r="M184" s="13"/>
      <c r="N184" s="13"/>
      <c r="O184" s="13"/>
      <c r="P184" s="13"/>
      <c r="Q184" s="13"/>
      <c r="R184" s="13"/>
      <c r="S184" s="13"/>
      <c r="T184" s="13"/>
    </row>
    <row r="185" spans="1:20" x14ac:dyDescent="0.35">
      <c r="A185" s="13"/>
      <c r="B185" s="13"/>
      <c r="C185" s="13"/>
      <c r="D185" s="13"/>
      <c r="E185" s="49"/>
      <c r="F185" s="13"/>
      <c r="G185" s="13"/>
      <c r="H185" s="13"/>
      <c r="I185" s="13"/>
      <c r="J185" s="13"/>
      <c r="K185" s="13"/>
      <c r="L185" s="13"/>
      <c r="M185" s="13"/>
      <c r="N185" s="13"/>
      <c r="O185" s="13"/>
      <c r="P185" s="13"/>
      <c r="Q185" s="13"/>
      <c r="R185" s="13"/>
      <c r="S185" s="13"/>
      <c r="T185" s="13"/>
    </row>
    <row r="186" spans="1:20" x14ac:dyDescent="0.35">
      <c r="A186" s="13"/>
      <c r="B186" s="13"/>
      <c r="C186" s="13"/>
      <c r="D186" s="13"/>
      <c r="E186" s="49"/>
      <c r="F186" s="13"/>
      <c r="G186" s="13"/>
      <c r="H186" s="13"/>
      <c r="I186" s="13"/>
      <c r="J186" s="13"/>
      <c r="K186" s="13"/>
      <c r="L186" s="13"/>
      <c r="M186" s="13"/>
      <c r="N186" s="13"/>
      <c r="O186" s="13"/>
      <c r="P186" s="13"/>
      <c r="Q186" s="13"/>
      <c r="R186" s="13"/>
      <c r="S186" s="13"/>
      <c r="T186" s="13"/>
    </row>
    <row r="187" spans="1:20" x14ac:dyDescent="0.35">
      <c r="A187" s="13"/>
      <c r="B187" s="13"/>
      <c r="C187" s="13"/>
      <c r="D187" s="13"/>
      <c r="E187" s="49"/>
      <c r="F187" s="13"/>
      <c r="G187" s="49"/>
      <c r="H187" s="13"/>
      <c r="I187" s="13"/>
      <c r="J187" s="13"/>
      <c r="K187" s="13"/>
      <c r="L187" s="13"/>
      <c r="M187" s="13"/>
      <c r="N187" s="13"/>
      <c r="O187" s="13"/>
      <c r="P187" s="13"/>
      <c r="Q187" s="13"/>
      <c r="R187" s="13"/>
      <c r="S187" s="13"/>
      <c r="T187" s="13"/>
    </row>
    <row r="188" spans="1:20" x14ac:dyDescent="0.35">
      <c r="A188" s="13"/>
      <c r="B188" s="13"/>
      <c r="C188" s="13"/>
      <c r="D188" s="13"/>
      <c r="E188" s="49"/>
      <c r="F188" s="13"/>
      <c r="G188" s="49"/>
      <c r="H188" s="13"/>
      <c r="I188" s="13"/>
      <c r="J188" s="13"/>
      <c r="K188" s="13"/>
      <c r="L188" s="13"/>
      <c r="M188" s="13"/>
      <c r="N188" s="13"/>
      <c r="O188" s="13"/>
      <c r="P188" s="13"/>
      <c r="Q188" s="13"/>
      <c r="R188" s="13"/>
      <c r="S188" s="13"/>
      <c r="T188" s="13"/>
    </row>
    <row r="189" spans="1:20" x14ac:dyDescent="0.35">
      <c r="A189" s="13"/>
      <c r="B189" s="13"/>
      <c r="C189" s="13"/>
      <c r="D189" s="13"/>
      <c r="E189" s="13"/>
      <c r="F189" s="13"/>
      <c r="G189" s="49"/>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49"/>
      <c r="F191" s="49"/>
      <c r="G191" s="49"/>
      <c r="H191" s="13"/>
      <c r="I191" s="13"/>
      <c r="J191" s="13"/>
      <c r="K191" s="13"/>
      <c r="L191" s="13"/>
      <c r="M191" s="13"/>
      <c r="N191" s="13"/>
      <c r="O191" s="13"/>
      <c r="P191" s="13"/>
      <c r="Q191" s="13"/>
      <c r="R191" s="13"/>
      <c r="S191" s="13"/>
      <c r="T191" s="13"/>
    </row>
    <row r="192" spans="1:20" x14ac:dyDescent="0.35">
      <c r="A192" s="13"/>
      <c r="B192" s="13"/>
      <c r="C192" s="13"/>
      <c r="D192" s="13"/>
      <c r="E192" s="49"/>
      <c r="F192" s="49"/>
      <c r="G192" s="49"/>
      <c r="H192" s="13"/>
      <c r="I192" s="13"/>
      <c r="J192" s="13"/>
      <c r="K192" s="13"/>
      <c r="L192" s="13"/>
      <c r="M192" s="13"/>
      <c r="N192" s="13"/>
      <c r="O192" s="13"/>
      <c r="P192" s="13"/>
      <c r="Q192" s="13"/>
      <c r="R192" s="13"/>
      <c r="S192" s="13"/>
      <c r="T192" s="13"/>
    </row>
    <row r="193" spans="1:20" x14ac:dyDescent="0.35">
      <c r="A193" s="13"/>
      <c r="B193" s="13"/>
      <c r="C193" s="13"/>
      <c r="D193" s="13"/>
      <c r="E193" s="49"/>
      <c r="F193" s="49"/>
      <c r="G193" s="49"/>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row r="196" spans="1:20" x14ac:dyDescent="0.35">
      <c r="A196" s="13"/>
      <c r="B196" s="13"/>
      <c r="C196" s="13"/>
      <c r="D196" s="13"/>
      <c r="E196" s="13"/>
      <c r="F196" s="13"/>
      <c r="G196" s="13"/>
      <c r="H196" s="13"/>
      <c r="I196" s="13"/>
      <c r="J196" s="13"/>
      <c r="K196" s="13"/>
      <c r="L196" s="13"/>
      <c r="M196" s="13"/>
      <c r="N196" s="13"/>
      <c r="O196" s="13"/>
      <c r="P196" s="13"/>
      <c r="Q196" s="13"/>
      <c r="R196" s="13"/>
      <c r="S196" s="13"/>
      <c r="T196" s="13"/>
    </row>
    <row r="197" spans="1:20" x14ac:dyDescent="0.35">
      <c r="A197" s="13"/>
      <c r="B197" s="13"/>
      <c r="C197" s="13"/>
      <c r="D197" s="13"/>
      <c r="E197" s="13"/>
      <c r="F197" s="13"/>
      <c r="G197" s="13"/>
      <c r="H197" s="13"/>
      <c r="I197" s="13"/>
      <c r="J197" s="13"/>
      <c r="K197" s="13"/>
      <c r="L197" s="13"/>
      <c r="M197" s="13"/>
      <c r="N197" s="13"/>
      <c r="O197" s="13"/>
      <c r="P197" s="13"/>
      <c r="Q197" s="13"/>
      <c r="R197" s="13"/>
      <c r="S197" s="13"/>
      <c r="T197" s="13"/>
    </row>
    <row r="198" spans="1:20" x14ac:dyDescent="0.35">
      <c r="A198" s="13"/>
      <c r="B198" s="13"/>
      <c r="C198" s="13"/>
      <c r="D198" s="13"/>
      <c r="E198" s="13"/>
      <c r="F198" s="13"/>
      <c r="G198" s="13"/>
      <c r="H198" s="13"/>
      <c r="I198" s="13"/>
      <c r="J198" s="13"/>
      <c r="K198" s="13"/>
      <c r="L198" s="13"/>
      <c r="M198" s="13"/>
      <c r="N198" s="13"/>
      <c r="O198" s="13"/>
      <c r="P198" s="13"/>
      <c r="Q198" s="13"/>
      <c r="R198" s="13"/>
      <c r="S198" s="13"/>
      <c r="T198" s="13"/>
    </row>
    <row r="199" spans="1:20" x14ac:dyDescent="0.35">
      <c r="A199" s="13"/>
      <c r="B199" s="13"/>
      <c r="C199" s="13"/>
      <c r="D199" s="13"/>
      <c r="E199" s="13"/>
      <c r="F199" s="13"/>
      <c r="G199" s="13"/>
      <c r="H199" s="13"/>
      <c r="I199" s="13"/>
      <c r="J199" s="13"/>
      <c r="K199" s="13"/>
      <c r="L199" s="13"/>
      <c r="M199" s="13"/>
      <c r="N199" s="13"/>
      <c r="O199" s="13"/>
      <c r="P199" s="13"/>
      <c r="Q199" s="13"/>
      <c r="R199" s="13"/>
      <c r="S199" s="13"/>
      <c r="T199" s="13"/>
    </row>
    <row r="200" spans="1:20" x14ac:dyDescent="0.35">
      <c r="A200" s="13"/>
      <c r="B200" s="13"/>
      <c r="C200" s="13"/>
      <c r="D200" s="13"/>
      <c r="E200" s="13"/>
      <c r="F200" s="13"/>
      <c r="G200" s="13"/>
      <c r="H200" s="13"/>
      <c r="I200" s="13"/>
      <c r="J200" s="13"/>
      <c r="K200" s="13"/>
      <c r="L200" s="13"/>
      <c r="M200" s="13"/>
      <c r="N200" s="13"/>
      <c r="O200" s="13"/>
      <c r="P200" s="13"/>
      <c r="Q200" s="13"/>
      <c r="R200" s="13"/>
      <c r="S200" s="13"/>
      <c r="T200" s="13"/>
    </row>
    <row r="201" spans="1:20" x14ac:dyDescent="0.35">
      <c r="A201" s="13"/>
      <c r="B201" s="13"/>
      <c r="C201" s="13"/>
      <c r="D201" s="13"/>
      <c r="E201" s="13"/>
      <c r="F201" s="13"/>
      <c r="G201" s="13"/>
      <c r="H201" s="13"/>
      <c r="I201" s="13"/>
      <c r="J201" s="13"/>
      <c r="K201" s="13"/>
      <c r="L201" s="13"/>
      <c r="M201" s="13"/>
      <c r="N201" s="13"/>
      <c r="O201" s="13"/>
      <c r="P201" s="13"/>
      <c r="Q201" s="13"/>
      <c r="R201" s="13"/>
      <c r="S201" s="13"/>
      <c r="T201" s="13"/>
    </row>
    <row r="202" spans="1:20" x14ac:dyDescent="0.35">
      <c r="A202" s="13"/>
      <c r="B202" s="13"/>
      <c r="C202" s="13"/>
      <c r="D202" s="13"/>
      <c r="E202" s="13"/>
      <c r="F202" s="13"/>
      <c r="G202" s="13"/>
      <c r="H202" s="13"/>
      <c r="I202" s="13"/>
      <c r="J202" s="13"/>
      <c r="K202" s="13"/>
      <c r="L202" s="13"/>
      <c r="M202" s="13"/>
      <c r="N202" s="13"/>
      <c r="O202" s="13"/>
      <c r="P202" s="13"/>
      <c r="Q202" s="13"/>
      <c r="R202" s="13"/>
      <c r="S202" s="13"/>
      <c r="T202" s="13"/>
    </row>
    <row r="203" spans="1:20" x14ac:dyDescent="0.35">
      <c r="A203" s="13"/>
      <c r="B203" s="13"/>
      <c r="C203" s="13"/>
      <c r="D203" s="13"/>
      <c r="E203" s="13"/>
      <c r="F203" s="13"/>
      <c r="G203" s="13"/>
      <c r="H203" s="13"/>
      <c r="I203" s="13"/>
      <c r="J203" s="13"/>
      <c r="K203" s="13"/>
      <c r="L203" s="13"/>
      <c r="M203" s="13"/>
      <c r="N203" s="13"/>
      <c r="O203" s="13"/>
      <c r="P203" s="13"/>
      <c r="Q203" s="13"/>
      <c r="R203" s="13"/>
      <c r="S203" s="13"/>
      <c r="T203" s="13"/>
    </row>
    <row r="204" spans="1:20" x14ac:dyDescent="0.35">
      <c r="A204" s="13"/>
      <c r="B204" s="13"/>
      <c r="C204" s="13"/>
      <c r="D204" s="13"/>
      <c r="E204" s="13"/>
      <c r="F204" s="13"/>
      <c r="G204" s="13"/>
      <c r="H204" s="13"/>
      <c r="I204" s="13"/>
      <c r="J204" s="13"/>
      <c r="K204" s="13"/>
      <c r="L204" s="13"/>
      <c r="M204" s="13"/>
      <c r="N204" s="13"/>
      <c r="O204" s="13"/>
      <c r="P204" s="13"/>
      <c r="Q204" s="13"/>
      <c r="R204" s="13"/>
      <c r="S204" s="13"/>
      <c r="T204" s="13"/>
    </row>
    <row r="205" spans="1:20" x14ac:dyDescent="0.35">
      <c r="A205" s="13"/>
      <c r="B205" s="13"/>
      <c r="C205" s="13"/>
      <c r="D205" s="13"/>
      <c r="E205" s="13"/>
      <c r="F205" s="13"/>
      <c r="G205" s="13"/>
      <c r="H205" s="13"/>
      <c r="I205" s="13"/>
      <c r="J205" s="13"/>
      <c r="K205" s="13"/>
      <c r="L205" s="13"/>
      <c r="M205" s="13"/>
      <c r="N205" s="13"/>
      <c r="O205" s="13"/>
      <c r="P205" s="13"/>
      <c r="Q205" s="13"/>
      <c r="R205" s="13"/>
      <c r="S205" s="13"/>
      <c r="T205"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0"/>
  <sheetViews>
    <sheetView workbookViewId="0">
      <selection activeCell="C30" sqref="C30"/>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101</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5.7801200000000001</v>
      </c>
      <c r="G7" s="2">
        <v>13.286239999999999</v>
      </c>
      <c r="H7" s="2">
        <f>G7-F7</f>
        <v>7.5061199999999992</v>
      </c>
      <c r="I7" s="2">
        <f>F8-G7</f>
        <v>12.787950000000002</v>
      </c>
      <c r="J7" s="2">
        <f>H7/N7</f>
        <v>0.36986765099361529</v>
      </c>
      <c r="K7" s="2">
        <f>I7/N7</f>
        <v>0.63013234900638471</v>
      </c>
      <c r="L7" s="2">
        <f>1/H7</f>
        <v>0.13322462204174729</v>
      </c>
      <c r="M7" s="2">
        <f>1/N7</f>
        <v>4.9275478009093293E-2</v>
      </c>
      <c r="N7" s="2">
        <f>H7+I7</f>
        <v>20.294070000000001</v>
      </c>
      <c r="O7" s="2">
        <v>37</v>
      </c>
      <c r="P7">
        <f>O7/H7</f>
        <v>4.9293110155446493</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26.074190000000002</v>
      </c>
      <c r="G8" s="2">
        <v>34.010039999999996</v>
      </c>
      <c r="H8" s="2">
        <f t="shared" ref="H8:H25" si="0">G8-F8</f>
        <v>7.935849999999995</v>
      </c>
      <c r="I8" s="2">
        <f t="shared" ref="I8:I24" si="1">F9-G8</f>
        <v>12.647030000000001</v>
      </c>
      <c r="J8" s="2">
        <f t="shared" ref="J8:J24" si="2">H8/N8</f>
        <v>0.38555586001570219</v>
      </c>
      <c r="K8" s="2">
        <f t="shared" ref="K8:K24" si="3">I8/N8</f>
        <v>0.61444413998429781</v>
      </c>
      <c r="L8" s="2">
        <f t="shared" ref="L8:L24" si="4">1/H8</f>
        <v>0.12601044626599553</v>
      </c>
      <c r="M8" s="2">
        <f t="shared" ref="M8:M24" si="5">1/N8</f>
        <v>4.8584065981048336E-2</v>
      </c>
      <c r="N8" s="2">
        <f t="shared" ref="N8:N24" si="6">H8+I8</f>
        <v>20.582879999999996</v>
      </c>
      <c r="O8" s="2">
        <v>41</v>
      </c>
      <c r="P8">
        <f t="shared" ref="P8:P24" si="7">O8/H8</f>
        <v>5.1664282969058171</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46.657069999999997</v>
      </c>
      <c r="G9" s="2">
        <v>56.096870000000003</v>
      </c>
      <c r="H9" s="2">
        <f t="shared" si="0"/>
        <v>9.4398000000000053</v>
      </c>
      <c r="I9" s="2">
        <f t="shared" si="1"/>
        <v>11.960410000000003</v>
      </c>
      <c r="J9" s="2">
        <f t="shared" si="2"/>
        <v>0.4411078209045613</v>
      </c>
      <c r="K9" s="2">
        <f t="shared" si="3"/>
        <v>0.55889217909543876</v>
      </c>
      <c r="L9" s="2">
        <f t="shared" si="4"/>
        <v>0.10593444776372375</v>
      </c>
      <c r="M9" s="2">
        <f t="shared" si="5"/>
        <v>4.6728513411784259E-2</v>
      </c>
      <c r="N9" s="2">
        <f t="shared" si="6"/>
        <v>21.400210000000008</v>
      </c>
      <c r="O9" s="2">
        <v>45</v>
      </c>
      <c r="P9">
        <f t="shared" si="7"/>
        <v>4.7670501493675683</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68.057280000000006</v>
      </c>
      <c r="G10" s="13">
        <v>77.981260000000006</v>
      </c>
      <c r="H10" s="2">
        <f t="shared" si="0"/>
        <v>9.9239800000000002</v>
      </c>
      <c r="I10" s="2">
        <f t="shared" si="1"/>
        <v>13.20196</v>
      </c>
      <c r="J10" s="2">
        <f t="shared" si="2"/>
        <v>0.42912763762251394</v>
      </c>
      <c r="K10" s="2">
        <f t="shared" si="3"/>
        <v>0.57087236237748606</v>
      </c>
      <c r="L10" s="2">
        <f t="shared" si="4"/>
        <v>0.10076602330919651</v>
      </c>
      <c r="M10" s="2">
        <f t="shared" si="5"/>
        <v>4.3241485535290676E-2</v>
      </c>
      <c r="N10" s="2">
        <f t="shared" si="6"/>
        <v>23.12594</v>
      </c>
      <c r="O10" s="13">
        <v>63</v>
      </c>
      <c r="P10">
        <f t="shared" si="7"/>
        <v>6.3482594684793803</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91.183220000000006</v>
      </c>
      <c r="G11" s="13">
        <v>99.814250000000001</v>
      </c>
      <c r="H11" s="2">
        <f t="shared" si="0"/>
        <v>8.6310299999999955</v>
      </c>
      <c r="I11" s="2">
        <f t="shared" si="1"/>
        <v>11.169730000000001</v>
      </c>
      <c r="J11" s="2">
        <f t="shared" si="2"/>
        <v>0.43589387478056385</v>
      </c>
      <c r="K11" s="2">
        <f t="shared" si="3"/>
        <v>0.56410612521943615</v>
      </c>
      <c r="L11" s="2">
        <f t="shared" si="4"/>
        <v>0.11586102701531573</v>
      </c>
      <c r="M11" s="2">
        <f t="shared" si="5"/>
        <v>5.0503112001761559E-2</v>
      </c>
      <c r="N11" s="2">
        <f t="shared" si="6"/>
        <v>19.800759999999997</v>
      </c>
      <c r="O11" s="13">
        <v>41</v>
      </c>
      <c r="P11">
        <f t="shared" si="7"/>
        <v>4.7503021076279452</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110.98398</v>
      </c>
      <c r="G12" s="13">
        <v>121.81635</v>
      </c>
      <c r="H12" s="2">
        <f t="shared" si="0"/>
        <v>10.832369999999997</v>
      </c>
      <c r="I12" s="2">
        <f t="shared" si="1"/>
        <v>13.318690000000004</v>
      </c>
      <c r="J12" s="2">
        <f t="shared" si="2"/>
        <v>0.4485256547745729</v>
      </c>
      <c r="K12" s="2">
        <f t="shared" si="3"/>
        <v>0.55147434522542704</v>
      </c>
      <c r="L12" s="2">
        <f t="shared" si="4"/>
        <v>9.231590132168678E-2</v>
      </c>
      <c r="M12" s="2">
        <f t="shared" si="5"/>
        <v>4.1406050086414424E-2</v>
      </c>
      <c r="N12" s="2">
        <f t="shared" si="6"/>
        <v>24.151060000000001</v>
      </c>
      <c r="O12" s="13">
        <v>56</v>
      </c>
      <c r="P12">
        <f t="shared" si="7"/>
        <v>5.1696904740144598</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135.13504</v>
      </c>
      <c r="G13" s="13">
        <v>143.71661</v>
      </c>
      <c r="H13" s="2">
        <f t="shared" si="0"/>
        <v>8.5815699999999993</v>
      </c>
      <c r="I13" s="2">
        <f t="shared" si="1"/>
        <v>11.393039999999985</v>
      </c>
      <c r="J13" s="2">
        <f t="shared" si="2"/>
        <v>0.42962390755063584</v>
      </c>
      <c r="K13" s="2">
        <f t="shared" si="3"/>
        <v>0.57037609244936416</v>
      </c>
      <c r="L13" s="2">
        <f t="shared" si="4"/>
        <v>0.11652879368227494</v>
      </c>
      <c r="M13" s="2">
        <f t="shared" si="5"/>
        <v>5.0063555683940802E-2</v>
      </c>
      <c r="N13" s="2">
        <f t="shared" si="6"/>
        <v>19.974609999999984</v>
      </c>
      <c r="O13" s="13">
        <v>46</v>
      </c>
      <c r="P13">
        <f t="shared" si="7"/>
        <v>5.3603245093846468</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155.10964999999999</v>
      </c>
      <c r="G14" s="13">
        <v>164.57232999999999</v>
      </c>
      <c r="H14" s="2">
        <f t="shared" si="0"/>
        <v>9.462680000000006</v>
      </c>
      <c r="I14" s="2">
        <f t="shared" si="1"/>
        <v>13.446690000000018</v>
      </c>
      <c r="J14" s="2">
        <f t="shared" si="2"/>
        <v>0.41304846008423612</v>
      </c>
      <c r="K14" s="2">
        <f t="shared" si="3"/>
        <v>0.58695153991576388</v>
      </c>
      <c r="L14" s="2">
        <f t="shared" si="4"/>
        <v>0.10567830677989738</v>
      </c>
      <c r="M14" s="2">
        <f t="shared" si="5"/>
        <v>4.3650261879746105E-2</v>
      </c>
      <c r="N14" s="2">
        <f t="shared" si="6"/>
        <v>22.909370000000024</v>
      </c>
      <c r="O14" s="13">
        <v>61</v>
      </c>
      <c r="P14">
        <f t="shared" si="7"/>
        <v>6.4463767135737404</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178.01902000000001</v>
      </c>
      <c r="G15" s="13">
        <v>186.25158999999999</v>
      </c>
      <c r="H15" s="2">
        <f t="shared" si="0"/>
        <v>8.2325699999999813</v>
      </c>
      <c r="I15" s="2">
        <f t="shared" si="1"/>
        <v>15.399169999999998</v>
      </c>
      <c r="J15" s="2">
        <f t="shared" si="2"/>
        <v>0.34836918483361734</v>
      </c>
      <c r="K15" s="2">
        <f t="shared" si="3"/>
        <v>0.65163081516638266</v>
      </c>
      <c r="L15" s="2">
        <f t="shared" si="4"/>
        <v>0.12146875155631866</v>
      </c>
      <c r="M15" s="2">
        <f t="shared" si="5"/>
        <v>4.2315969962431921E-2</v>
      </c>
      <c r="N15" s="2">
        <f t="shared" si="6"/>
        <v>23.631739999999979</v>
      </c>
      <c r="O15" s="2">
        <v>47</v>
      </c>
      <c r="P15">
        <f t="shared" si="7"/>
        <v>5.7090313231469771</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201.65075999999999</v>
      </c>
      <c r="G16" s="13">
        <v>211.77628999999999</v>
      </c>
      <c r="H16" s="2">
        <f t="shared" si="0"/>
        <v>10.125529999999998</v>
      </c>
      <c r="I16" s="2">
        <f t="shared" si="1"/>
        <v>15.035600000000017</v>
      </c>
      <c r="J16" s="2">
        <f t="shared" si="2"/>
        <v>0.40242747444172783</v>
      </c>
      <c r="K16" s="2">
        <f t="shared" si="3"/>
        <v>0.59757252555827212</v>
      </c>
      <c r="L16" s="2">
        <f t="shared" si="4"/>
        <v>9.8760262425769338E-2</v>
      </c>
      <c r="M16" s="2">
        <f t="shared" si="5"/>
        <v>3.974384298320463E-2</v>
      </c>
      <c r="N16" s="2">
        <f t="shared" si="6"/>
        <v>25.161130000000014</v>
      </c>
      <c r="O16" s="2">
        <v>66</v>
      </c>
      <c r="P16">
        <f t="shared" si="7"/>
        <v>6.5181773201007767</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226.81189000000001</v>
      </c>
      <c r="G17" s="13">
        <v>237.70157</v>
      </c>
      <c r="H17" s="2">
        <f t="shared" si="0"/>
        <v>10.889679999999998</v>
      </c>
      <c r="I17" s="2">
        <f t="shared" si="1"/>
        <v>9.5963299999999947</v>
      </c>
      <c r="J17" s="2">
        <f t="shared" si="2"/>
        <v>0.5315666642747906</v>
      </c>
      <c r="K17" s="2">
        <f t="shared" si="3"/>
        <v>0.46843333572520945</v>
      </c>
      <c r="L17" s="2">
        <f t="shared" si="4"/>
        <v>9.1830062958691172E-2</v>
      </c>
      <c r="M17" s="2">
        <f t="shared" si="5"/>
        <v>4.8813800247095473E-2</v>
      </c>
      <c r="N17" s="2">
        <f t="shared" si="6"/>
        <v>20.486009999999993</v>
      </c>
      <c r="O17" s="2">
        <v>64</v>
      </c>
      <c r="P17">
        <f t="shared" si="7"/>
        <v>5.877124029356235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247.2979</v>
      </c>
      <c r="G18" s="13">
        <v>257.55865999999997</v>
      </c>
      <c r="H18" s="2">
        <f t="shared" si="0"/>
        <v>10.260759999999976</v>
      </c>
      <c r="I18" s="2">
        <f t="shared" si="1"/>
        <v>11.54289</v>
      </c>
      <c r="J18" s="2">
        <f t="shared" si="2"/>
        <v>0.47059827139034005</v>
      </c>
      <c r="K18" s="2">
        <f t="shared" si="3"/>
        <v>0.52940172860965995</v>
      </c>
      <c r="L18" s="2">
        <f t="shared" si="4"/>
        <v>9.7458667778995159E-2</v>
      </c>
      <c r="M18" s="2">
        <f t="shared" si="5"/>
        <v>4.5863880588800546E-2</v>
      </c>
      <c r="N18" s="2">
        <f t="shared" si="6"/>
        <v>21.803649999999976</v>
      </c>
      <c r="O18" s="2">
        <v>51</v>
      </c>
      <c r="P18">
        <f t="shared" si="7"/>
        <v>4.9703920567287527</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269.10154999999997</v>
      </c>
      <c r="G19" s="13">
        <v>278.22586999999999</v>
      </c>
      <c r="H19" s="2">
        <f t="shared" si="0"/>
        <v>9.1243200000000115</v>
      </c>
      <c r="I19" s="2">
        <f t="shared" si="1"/>
        <v>11.683750000000032</v>
      </c>
      <c r="J19" s="2">
        <f t="shared" si="2"/>
        <v>0.43849910155050387</v>
      </c>
      <c r="K19" s="2">
        <f t="shared" si="3"/>
        <v>0.56150089844949613</v>
      </c>
      <c r="L19" s="2">
        <f t="shared" si="4"/>
        <v>0.10959720833990903</v>
      </c>
      <c r="M19" s="2">
        <f t="shared" si="5"/>
        <v>4.8058277389493496E-2</v>
      </c>
      <c r="N19" s="2">
        <f t="shared" si="6"/>
        <v>20.808070000000043</v>
      </c>
      <c r="O19" s="2">
        <v>57</v>
      </c>
      <c r="P19">
        <f t="shared" si="7"/>
        <v>6.2470408753748146</v>
      </c>
      <c r="Y19" s="13"/>
      <c r="Z19" s="13"/>
      <c r="AA19" s="2"/>
      <c r="AB19" s="2"/>
      <c r="AC19" s="2"/>
      <c r="AD19" s="2"/>
      <c r="AE19" s="2"/>
      <c r="AF19" s="2"/>
      <c r="AG19" s="2"/>
      <c r="AH19" s="2"/>
    </row>
    <row r="20" spans="2:44" x14ac:dyDescent="0.35">
      <c r="B20" s="2"/>
      <c r="C20" s="2"/>
      <c r="D20" s="2"/>
      <c r="E20" s="2"/>
      <c r="F20" s="13">
        <v>289.90962000000002</v>
      </c>
      <c r="G20" s="13">
        <v>300.42536999999999</v>
      </c>
      <c r="H20" s="2">
        <f t="shared" si="0"/>
        <v>10.515749999999969</v>
      </c>
      <c r="I20" s="2">
        <f t="shared" si="1"/>
        <v>11.45132000000001</v>
      </c>
      <c r="J20" s="2">
        <f t="shared" si="2"/>
        <v>0.47870517096726961</v>
      </c>
      <c r="K20" s="2">
        <f t="shared" si="3"/>
        <v>0.52129482903273039</v>
      </c>
      <c r="L20" s="2">
        <f t="shared" si="4"/>
        <v>9.5095452060005511E-2</v>
      </c>
      <c r="M20" s="2">
        <f t="shared" si="5"/>
        <v>4.5522684636594729E-2</v>
      </c>
      <c r="N20" s="2">
        <f t="shared" si="6"/>
        <v>21.967069999999978</v>
      </c>
      <c r="O20" s="2">
        <v>64</v>
      </c>
      <c r="P20">
        <f t="shared" si="7"/>
        <v>6.0861089318403527</v>
      </c>
      <c r="Y20" s="13"/>
      <c r="Z20" s="13"/>
      <c r="AA20" s="2"/>
      <c r="AB20" s="2"/>
      <c r="AC20" s="2"/>
      <c r="AD20" s="2"/>
      <c r="AE20" s="2"/>
      <c r="AF20" s="2"/>
      <c r="AG20" s="2"/>
      <c r="AH20" s="2"/>
    </row>
    <row r="21" spans="2:44" x14ac:dyDescent="0.35">
      <c r="B21" s="2"/>
      <c r="C21" s="2"/>
      <c r="D21" s="2"/>
      <c r="E21" s="2"/>
      <c r="F21" s="13">
        <v>311.87669</v>
      </c>
      <c r="G21" s="13">
        <v>320.38215000000002</v>
      </c>
      <c r="H21" s="2">
        <f t="shared" si="0"/>
        <v>8.5054600000000278</v>
      </c>
      <c r="I21" s="2">
        <f t="shared" si="1"/>
        <v>14.498099999999965</v>
      </c>
      <c r="J21" s="2">
        <f t="shared" si="2"/>
        <v>0.36974537854140971</v>
      </c>
      <c r="K21" s="2">
        <f t="shared" si="3"/>
        <v>0.63025462145859035</v>
      </c>
      <c r="L21" s="2">
        <f t="shared" si="4"/>
        <v>0.11757153640132301</v>
      </c>
      <c r="M21" s="2">
        <f t="shared" si="5"/>
        <v>4.3471532232402299E-2</v>
      </c>
      <c r="N21" s="2">
        <f t="shared" si="6"/>
        <v>23.003559999999993</v>
      </c>
      <c r="O21" s="2">
        <v>55</v>
      </c>
      <c r="P21">
        <f t="shared" si="7"/>
        <v>6.4664345020727652</v>
      </c>
      <c r="Y21" s="13"/>
      <c r="Z21" s="13"/>
      <c r="AA21" s="2"/>
      <c r="AB21" s="2"/>
      <c r="AC21" s="2"/>
      <c r="AD21" s="2"/>
      <c r="AE21" s="2"/>
      <c r="AF21" s="2"/>
      <c r="AG21" s="2"/>
      <c r="AH21" s="2"/>
    </row>
    <row r="22" spans="2:44" x14ac:dyDescent="0.35">
      <c r="B22" s="2"/>
      <c r="C22" s="2"/>
      <c r="D22" s="2"/>
      <c r="E22" s="2"/>
      <c r="F22" s="13">
        <v>334.88024999999999</v>
      </c>
      <c r="G22" s="13">
        <v>343.38682</v>
      </c>
      <c r="H22" s="2">
        <f t="shared" si="0"/>
        <v>8.5065700000000106</v>
      </c>
      <c r="I22" s="2">
        <f t="shared" si="1"/>
        <v>17.947699999999998</v>
      </c>
      <c r="J22" s="2">
        <f t="shared" si="2"/>
        <v>0.32155754061631669</v>
      </c>
      <c r="K22" s="2">
        <f t="shared" si="3"/>
        <v>0.67844245938368331</v>
      </c>
      <c r="L22" s="2">
        <f t="shared" si="4"/>
        <v>0.11755619480001914</v>
      </c>
      <c r="M22" s="2">
        <f t="shared" si="5"/>
        <v>3.7801080884106789E-2</v>
      </c>
      <c r="N22" s="2">
        <f t="shared" si="6"/>
        <v>26.454270000000008</v>
      </c>
      <c r="O22" s="2">
        <v>50</v>
      </c>
      <c r="P22">
        <f t="shared" si="7"/>
        <v>5.8778097400009566</v>
      </c>
      <c r="Y22" s="13"/>
      <c r="Z22" s="13"/>
      <c r="AA22" s="2"/>
      <c r="AB22" s="2"/>
      <c r="AC22" s="2"/>
      <c r="AD22" s="2"/>
      <c r="AE22" s="2"/>
      <c r="AF22" s="2"/>
      <c r="AG22" s="2"/>
      <c r="AH22" s="2"/>
    </row>
    <row r="23" spans="2:44" x14ac:dyDescent="0.35">
      <c r="B23" s="2"/>
      <c r="C23" s="2"/>
      <c r="D23" s="2"/>
      <c r="E23" s="2"/>
      <c r="F23" s="13">
        <v>361.33452</v>
      </c>
      <c r="G23" s="13">
        <v>370.09956</v>
      </c>
      <c r="H23" s="2">
        <f t="shared" si="0"/>
        <v>8.7650399999999991</v>
      </c>
      <c r="I23" s="2">
        <f t="shared" si="1"/>
        <v>11.555850000000021</v>
      </c>
      <c r="J23" s="2">
        <f t="shared" si="2"/>
        <v>0.43133150172064266</v>
      </c>
      <c r="K23" s="2">
        <f t="shared" si="3"/>
        <v>0.56866849827935728</v>
      </c>
      <c r="L23" s="2">
        <f t="shared" si="4"/>
        <v>0.11408961054370546</v>
      </c>
      <c r="M23" s="2">
        <f t="shared" si="5"/>
        <v>4.9210443046539744E-2</v>
      </c>
      <c r="N23" s="2">
        <f t="shared" si="6"/>
        <v>20.32089000000002</v>
      </c>
      <c r="O23" s="2">
        <v>60</v>
      </c>
      <c r="P23">
        <f t="shared" si="7"/>
        <v>6.8453766326223278</v>
      </c>
      <c r="Y23" s="13"/>
      <c r="Z23" s="13"/>
      <c r="AA23" s="2"/>
      <c r="AB23" s="2"/>
      <c r="AC23" s="2"/>
      <c r="AD23" s="2"/>
      <c r="AE23" s="2"/>
      <c r="AF23" s="2"/>
      <c r="AG23" s="2"/>
      <c r="AH23" s="2"/>
    </row>
    <row r="24" spans="2:44" x14ac:dyDescent="0.35">
      <c r="B24" s="2"/>
      <c r="C24" s="2"/>
      <c r="D24" s="2"/>
      <c r="E24" s="2"/>
      <c r="F24" s="13">
        <v>381.65541000000002</v>
      </c>
      <c r="G24" s="13">
        <v>391.71735000000001</v>
      </c>
      <c r="H24" s="2">
        <f t="shared" si="0"/>
        <v>10.061939999999993</v>
      </c>
      <c r="I24" s="2">
        <f t="shared" si="1"/>
        <v>13.051179999999988</v>
      </c>
      <c r="J24" s="2">
        <f t="shared" si="2"/>
        <v>0.43533456322642727</v>
      </c>
      <c r="K24" s="2">
        <f t="shared" si="3"/>
        <v>0.56466543677357273</v>
      </c>
      <c r="L24" s="2">
        <f t="shared" si="4"/>
        <v>9.938441294621124E-2</v>
      </c>
      <c r="M24" s="2">
        <f t="shared" si="5"/>
        <v>4.3265470001453754E-2</v>
      </c>
      <c r="N24" s="2">
        <f t="shared" si="6"/>
        <v>23.113119999999981</v>
      </c>
      <c r="O24" s="2">
        <v>61</v>
      </c>
      <c r="P24">
        <f t="shared" si="7"/>
        <v>6.0624491897188859</v>
      </c>
      <c r="Y24" s="13"/>
      <c r="Z24" s="13"/>
      <c r="AA24" s="2"/>
      <c r="AB24" s="2"/>
      <c r="AC24" s="2"/>
      <c r="AD24" s="2"/>
      <c r="AE24" s="2"/>
      <c r="AF24" s="2"/>
      <c r="AG24" s="2"/>
      <c r="AH24" s="2"/>
    </row>
    <row r="25" spans="2:44" x14ac:dyDescent="0.35">
      <c r="B25" s="2"/>
      <c r="C25" s="2"/>
      <c r="D25" s="2"/>
      <c r="E25" s="2"/>
      <c r="F25" s="13">
        <v>404.76853</v>
      </c>
      <c r="G25" s="13">
        <v>411.50396000000001</v>
      </c>
      <c r="H25" s="2">
        <f t="shared" si="0"/>
        <v>6.735430000000008</v>
      </c>
      <c r="I25" s="2"/>
      <c r="J25" s="2"/>
      <c r="K25" s="2"/>
      <c r="L25" s="2"/>
      <c r="M25" s="2"/>
      <c r="N25" s="2"/>
      <c r="O25" s="2"/>
      <c r="Y25" s="13"/>
      <c r="Z25" s="13"/>
      <c r="AA25" s="2"/>
      <c r="AB25" s="2"/>
      <c r="AC25" s="2"/>
      <c r="AD25" s="2"/>
      <c r="AE25" s="2"/>
      <c r="AF25" s="2"/>
      <c r="AG25" s="2"/>
      <c r="AH25" s="2"/>
    </row>
    <row r="26" spans="2:44" x14ac:dyDescent="0.35">
      <c r="B26" s="2"/>
      <c r="C26" s="2"/>
      <c r="D26" s="2"/>
      <c r="E26" s="2"/>
      <c r="F26" s="13"/>
      <c r="G26" s="13"/>
      <c r="H26" s="2"/>
      <c r="I26" s="2"/>
      <c r="J26" s="2"/>
      <c r="K26" s="2"/>
      <c r="L26" s="2"/>
      <c r="M26" s="2"/>
      <c r="N26" s="2"/>
      <c r="O26" s="2"/>
      <c r="Y26" s="13"/>
      <c r="Z26" s="13"/>
      <c r="AA26" s="2"/>
      <c r="AB26" s="2"/>
      <c r="AC26" s="2"/>
      <c r="AD26" s="2"/>
      <c r="AE26" s="2"/>
      <c r="AF26" s="2"/>
      <c r="AG26" s="2"/>
      <c r="AH26" s="2"/>
    </row>
    <row r="27" spans="2:44" x14ac:dyDescent="0.35">
      <c r="B27" s="2"/>
      <c r="C27" s="2"/>
      <c r="D27" s="2"/>
      <c r="E27" s="2"/>
      <c r="F27" s="13"/>
      <c r="G27" s="13"/>
      <c r="H27" s="2"/>
      <c r="I27" s="2"/>
      <c r="J27" s="2"/>
      <c r="K27" s="2"/>
      <c r="L27" s="2"/>
      <c r="M27" s="2"/>
      <c r="N27" s="2"/>
      <c r="O27" s="2"/>
      <c r="Y27" s="13"/>
      <c r="Z27" s="13"/>
      <c r="AA27" s="2"/>
      <c r="AB27" s="2"/>
      <c r="AC27" s="2"/>
      <c r="AD27" s="2"/>
      <c r="AE27" s="2"/>
      <c r="AF27" s="2"/>
      <c r="AG27" s="2"/>
      <c r="AH27" s="2"/>
    </row>
    <row r="28" spans="2:44" ht="16" thickBot="1" x14ac:dyDescent="0.4">
      <c r="B28" s="2"/>
      <c r="C28" s="2"/>
      <c r="D28" s="2"/>
      <c r="E28" s="2"/>
      <c r="F28" s="13"/>
      <c r="G28" s="13"/>
      <c r="H28" s="9" t="s">
        <v>3</v>
      </c>
      <c r="I28" s="9" t="s">
        <v>4</v>
      </c>
      <c r="J28" s="9" t="s">
        <v>5</v>
      </c>
      <c r="K28" s="9" t="s">
        <v>6</v>
      </c>
      <c r="L28" s="9" t="s">
        <v>7</v>
      </c>
      <c r="M28" s="9" t="s">
        <v>8</v>
      </c>
      <c r="N28" s="9" t="s">
        <v>9</v>
      </c>
      <c r="O28" s="9" t="s">
        <v>10</v>
      </c>
      <c r="P28" s="44" t="s">
        <v>139</v>
      </c>
      <c r="Y28" s="13"/>
      <c r="Z28" s="13"/>
      <c r="AA28" s="2"/>
      <c r="AB28" s="2"/>
      <c r="AC28" s="2"/>
      <c r="AD28" s="2"/>
      <c r="AE28" s="2"/>
      <c r="AF28" s="2"/>
      <c r="AG28" s="2"/>
      <c r="AH28" s="2"/>
    </row>
    <row r="29" spans="2:44" x14ac:dyDescent="0.35">
      <c r="B29" s="2"/>
      <c r="C29" s="2"/>
      <c r="D29" s="2"/>
      <c r="E29" s="2"/>
      <c r="F29" s="13"/>
      <c r="G29" s="49" t="s">
        <v>77</v>
      </c>
      <c r="H29" s="13">
        <f>AVERAGE(H7:H24)</f>
        <v>9.29450111111111</v>
      </c>
      <c r="I29" s="13">
        <f t="shared" ref="I29:P29" si="8">AVERAGE(I7:I25)</f>
        <v>12.871521666666668</v>
      </c>
      <c r="J29" s="13">
        <f t="shared" si="8"/>
        <v>0.42116031768274703</v>
      </c>
      <c r="K29" s="13">
        <f t="shared" si="8"/>
        <v>0.57883968231725302</v>
      </c>
      <c r="L29" s="13">
        <f t="shared" si="8"/>
        <v>0.10884065155504366</v>
      </c>
      <c r="M29" s="13">
        <f t="shared" si="8"/>
        <v>4.5417750253400155E-2</v>
      </c>
      <c r="N29" s="13">
        <f t="shared" si="8"/>
        <v>22.166022777777776</v>
      </c>
      <c r="O29" s="13">
        <f t="shared" si="8"/>
        <v>53.611111111111114</v>
      </c>
      <c r="P29" s="13">
        <f t="shared" si="8"/>
        <v>5.7554270742145031</v>
      </c>
      <c r="Y29" s="13"/>
      <c r="Z29" s="13"/>
      <c r="AA29" s="2"/>
      <c r="AB29" s="2"/>
      <c r="AC29" s="2"/>
      <c r="AD29" s="2"/>
      <c r="AE29" s="2"/>
      <c r="AF29" s="2"/>
      <c r="AG29" s="2"/>
      <c r="AH29" s="2"/>
    </row>
    <row r="30" spans="2:44" x14ac:dyDescent="0.35">
      <c r="B30" s="2"/>
      <c r="C30" s="2"/>
      <c r="D30" s="2"/>
      <c r="E30" s="2"/>
      <c r="F30" s="13"/>
      <c r="G30" s="49" t="s">
        <v>94</v>
      </c>
      <c r="H30" s="2">
        <f>_xlfn.STDEV.S(H7:H24)</f>
        <v>1.0213332329039215</v>
      </c>
      <c r="I30" s="2">
        <f t="shared" ref="I30:P30" si="9">_xlfn.STDEV.S(I7:I25)</f>
        <v>1.9369206356702628</v>
      </c>
      <c r="J30" s="2">
        <f t="shared" si="9"/>
        <v>4.9839227477799133E-2</v>
      </c>
      <c r="K30" s="2">
        <f t="shared" si="9"/>
        <v>4.9839227477798953E-2</v>
      </c>
      <c r="L30" s="2">
        <f t="shared" si="9"/>
        <v>1.2110139866600702E-2</v>
      </c>
      <c r="M30" s="2">
        <f t="shared" si="9"/>
        <v>3.7524274932801234E-3</v>
      </c>
      <c r="N30" s="2">
        <f t="shared" si="9"/>
        <v>1.9059745769824936</v>
      </c>
      <c r="O30" s="2">
        <f t="shared" si="9"/>
        <v>9.1274562456546491</v>
      </c>
      <c r="P30" s="2">
        <f t="shared" si="9"/>
        <v>0.67359590126580005</v>
      </c>
      <c r="Y30" s="13"/>
      <c r="Z30" s="13"/>
      <c r="AA30" s="2"/>
      <c r="AB30" s="2"/>
      <c r="AC30" s="2"/>
      <c r="AD30" s="2"/>
      <c r="AE30" s="2"/>
      <c r="AF30" s="2"/>
      <c r="AG30" s="2"/>
      <c r="AH30" s="2"/>
    </row>
    <row r="31" spans="2:44" x14ac:dyDescent="0.35">
      <c r="B31" s="2"/>
      <c r="C31" s="2"/>
      <c r="D31" s="2"/>
      <c r="E31" s="2"/>
      <c r="F31" s="13"/>
      <c r="G31" s="49" t="s">
        <v>95</v>
      </c>
      <c r="H31" s="2">
        <f>H30/(SQRT(COUNT(H7:H24)))</f>
        <v>0.24073055161251417</v>
      </c>
      <c r="I31" s="2">
        <f t="shared" ref="I31:P31" si="10">I30/(SQRT(COUNT(I7:I25)))</f>
        <v>0.45653657203420039</v>
      </c>
      <c r="J31" s="2">
        <f t="shared" si="10"/>
        <v>1.174721857288356E-2</v>
      </c>
      <c r="K31" s="2">
        <f t="shared" si="10"/>
        <v>1.1747218572883519E-2</v>
      </c>
      <c r="L31" s="2">
        <f t="shared" si="10"/>
        <v>2.8543873402636362E-3</v>
      </c>
      <c r="M31" s="2">
        <f t="shared" si="10"/>
        <v>8.8445564213640452E-4</v>
      </c>
      <c r="N31" s="2">
        <f t="shared" si="10"/>
        <v>0.44924251605116089</v>
      </c>
      <c r="O31" s="2">
        <f t="shared" si="10"/>
        <v>2.1513620687619697</v>
      </c>
      <c r="P31" s="2">
        <f t="shared" si="10"/>
        <v>0.15876807652150379</v>
      </c>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x14ac:dyDescent="0.35">
      <c r="B33" s="2"/>
      <c r="C33" s="2"/>
      <c r="D33" s="2"/>
      <c r="E33" s="2"/>
      <c r="F33" s="13"/>
      <c r="G33" s="13"/>
      <c r="H33" s="2"/>
      <c r="I33" s="2"/>
      <c r="J33" s="2"/>
      <c r="K33" s="2"/>
      <c r="L33" s="2"/>
      <c r="M33" s="2"/>
      <c r="N33" s="2"/>
      <c r="O33" s="2"/>
      <c r="Y33" s="13"/>
      <c r="Z33" s="13"/>
      <c r="AA33" s="2"/>
      <c r="AB33" s="2"/>
      <c r="AC33" s="2"/>
      <c r="AD33" s="2"/>
      <c r="AE33" s="2"/>
      <c r="AF33" s="2"/>
      <c r="AG33" s="2"/>
      <c r="AH33" s="2"/>
    </row>
    <row r="34" spans="2:36" x14ac:dyDescent="0.35">
      <c r="B34" s="2"/>
      <c r="C34" s="2"/>
      <c r="D34" s="2"/>
      <c r="E34" s="2"/>
      <c r="F34" s="13"/>
      <c r="Y34" s="13"/>
      <c r="Z34" s="13"/>
      <c r="AA34" s="2"/>
      <c r="AB34" s="2"/>
      <c r="AC34" s="2"/>
      <c r="AD34" s="2"/>
      <c r="AE34" s="2"/>
      <c r="AF34" s="2"/>
      <c r="AG34" s="2"/>
      <c r="AH34" s="2"/>
      <c r="AI34" s="2"/>
      <c r="AJ34" s="2"/>
    </row>
    <row r="35" spans="2:36" ht="15.5" x14ac:dyDescent="0.35">
      <c r="B35" s="2"/>
      <c r="C35" s="2"/>
      <c r="D35" s="2"/>
      <c r="E35" s="2"/>
      <c r="F35" s="13"/>
      <c r="Y35" s="13"/>
      <c r="Z35" s="13"/>
      <c r="AA35" s="5"/>
      <c r="AB35" s="5"/>
      <c r="AC35" s="5"/>
      <c r="AD35" s="5"/>
      <c r="AE35" s="5"/>
      <c r="AF35" s="5"/>
      <c r="AG35" s="5"/>
      <c r="AH35" s="5"/>
      <c r="AI35" s="14"/>
      <c r="AJ35" s="2"/>
    </row>
    <row r="36" spans="2:36" x14ac:dyDescent="0.35">
      <c r="B36" s="2"/>
      <c r="C36" s="2"/>
      <c r="D36" s="2"/>
      <c r="E36" s="2"/>
      <c r="F36" s="13"/>
      <c r="Y36" s="13"/>
      <c r="Z36" s="49"/>
      <c r="AA36" s="13"/>
      <c r="AB36" s="13"/>
      <c r="AC36" s="13"/>
      <c r="AD36" s="13"/>
      <c r="AE36" s="13"/>
      <c r="AF36" s="13"/>
      <c r="AG36" s="13"/>
      <c r="AH36" s="13"/>
      <c r="AI36" s="13"/>
      <c r="AJ36" s="2"/>
    </row>
    <row r="37" spans="2:36" ht="18.5" x14ac:dyDescent="0.45">
      <c r="B37" s="2"/>
      <c r="C37" s="2"/>
      <c r="D37" s="2"/>
      <c r="E37" s="2"/>
      <c r="F37" s="1" t="s">
        <v>52</v>
      </c>
      <c r="G37" s="3"/>
      <c r="H37" s="3"/>
      <c r="I37" s="3"/>
      <c r="J37" s="3"/>
      <c r="K37" s="3"/>
      <c r="L37" s="3"/>
      <c r="M37" s="3"/>
      <c r="N37" s="3"/>
      <c r="O37" s="3"/>
      <c r="Y37" s="13"/>
      <c r="Z37" s="49"/>
      <c r="AA37" s="2"/>
      <c r="AB37" s="2"/>
      <c r="AC37" s="2"/>
      <c r="AD37" s="2"/>
      <c r="AE37" s="2"/>
      <c r="AF37" s="2"/>
      <c r="AG37" s="2"/>
      <c r="AH37" s="2"/>
      <c r="AI37" s="2"/>
      <c r="AJ37" s="2"/>
    </row>
    <row r="38" spans="2:36" ht="16" thickBot="1" x14ac:dyDescent="0.4">
      <c r="B38" s="2"/>
      <c r="C38" s="2"/>
      <c r="D38" s="2"/>
      <c r="E38" s="2"/>
      <c r="F38" s="9" t="s">
        <v>1</v>
      </c>
      <c r="G38" s="9" t="s">
        <v>2</v>
      </c>
      <c r="H38" s="9" t="s">
        <v>3</v>
      </c>
      <c r="I38" s="9" t="s">
        <v>4</v>
      </c>
      <c r="J38" s="9" t="s">
        <v>5</v>
      </c>
      <c r="K38" s="9" t="s">
        <v>6</v>
      </c>
      <c r="L38" s="9" t="s">
        <v>7</v>
      </c>
      <c r="M38" s="9" t="s">
        <v>8</v>
      </c>
      <c r="N38" s="9" t="s">
        <v>9</v>
      </c>
      <c r="O38" s="9" t="s">
        <v>10</v>
      </c>
      <c r="P38" s="44" t="s">
        <v>139</v>
      </c>
      <c r="Y38" s="13"/>
      <c r="Z38" s="49"/>
      <c r="AA38" s="2"/>
      <c r="AB38" s="2"/>
      <c r="AC38" s="2"/>
      <c r="AD38" s="2"/>
      <c r="AE38" s="2"/>
      <c r="AF38" s="2"/>
      <c r="AG38" s="2"/>
      <c r="AH38" s="2"/>
      <c r="AI38" s="2"/>
      <c r="AJ38" s="2"/>
    </row>
    <row r="39" spans="2:36" x14ac:dyDescent="0.35">
      <c r="B39" s="2"/>
      <c r="C39" s="2"/>
      <c r="D39" s="2"/>
      <c r="E39" s="2"/>
      <c r="F39" s="2">
        <v>1.75854</v>
      </c>
      <c r="G39" s="2">
        <v>13.823840000000001</v>
      </c>
      <c r="H39" s="2">
        <f>G39-F39</f>
        <v>12.065300000000001</v>
      </c>
      <c r="I39" s="2">
        <f>F40-G39</f>
        <v>10.543959999999998</v>
      </c>
      <c r="J39" s="2">
        <f>H39/N39</f>
        <v>0.53364417942029063</v>
      </c>
      <c r="K39" s="2">
        <f>I39/N39</f>
        <v>0.46635582057970931</v>
      </c>
      <c r="L39" s="2">
        <f>1/H39</f>
        <v>8.2882315400363019E-2</v>
      </c>
      <c r="M39" s="2">
        <f>1/N39</f>
        <v>4.4229665190280446E-2</v>
      </c>
      <c r="N39" s="2">
        <f>H39+I39</f>
        <v>22.609259999999999</v>
      </c>
      <c r="O39" s="2">
        <v>65</v>
      </c>
      <c r="P39">
        <f>O39/H39</f>
        <v>5.3873505010235965</v>
      </c>
      <c r="AA39" s="2"/>
      <c r="AB39" s="2"/>
      <c r="AC39" s="2"/>
      <c r="AD39" s="2"/>
      <c r="AE39" s="2"/>
      <c r="AF39" s="2"/>
      <c r="AG39" s="2"/>
      <c r="AH39" s="2"/>
      <c r="AI39" s="2"/>
      <c r="AJ39" s="2"/>
    </row>
    <row r="40" spans="2:36" x14ac:dyDescent="0.35">
      <c r="B40" s="2"/>
      <c r="C40" s="2"/>
      <c r="D40" s="2"/>
      <c r="E40" s="2"/>
      <c r="F40" s="2">
        <v>24.367799999999999</v>
      </c>
      <c r="G40" s="2">
        <v>34.43967</v>
      </c>
      <c r="H40" s="2">
        <f t="shared" ref="H40:H48" si="11">G40-F40</f>
        <v>10.071870000000001</v>
      </c>
      <c r="I40" s="2">
        <f t="shared" ref="I40:I47" si="12">F41-G40</f>
        <v>14.70843</v>
      </c>
      <c r="J40" s="2">
        <f t="shared" ref="J40:J47" si="13">H40/N40</f>
        <v>0.4064466531882181</v>
      </c>
      <c r="K40" s="2">
        <f t="shared" ref="K40:K47" si="14">I40/N40</f>
        <v>0.59355334681178196</v>
      </c>
      <c r="L40" s="2">
        <f t="shared" ref="L40:L47" si="15">1/H40</f>
        <v>9.9286428438810262E-2</v>
      </c>
      <c r="M40" s="2">
        <f t="shared" ref="M40:M47" si="16">1/N40</f>
        <v>4.0354636545965945E-2</v>
      </c>
      <c r="N40" s="2">
        <f t="shared" ref="N40:N47" si="17">H40+I40</f>
        <v>24.7803</v>
      </c>
      <c r="O40" s="2">
        <v>60</v>
      </c>
      <c r="P40">
        <f t="shared" ref="P40:P47" si="18">O40/H40</f>
        <v>5.957185706328616</v>
      </c>
      <c r="AA40" s="2"/>
      <c r="AB40" s="2"/>
      <c r="AC40" s="2"/>
      <c r="AD40" s="2"/>
      <c r="AE40" s="2"/>
      <c r="AF40" s="2"/>
      <c r="AG40" s="2"/>
      <c r="AH40" s="2"/>
      <c r="AI40" s="2"/>
      <c r="AJ40" s="2"/>
    </row>
    <row r="41" spans="2:36" x14ac:dyDescent="0.35">
      <c r="B41" s="2"/>
      <c r="C41" s="2"/>
      <c r="D41" s="2"/>
      <c r="E41" s="2"/>
      <c r="F41" s="2">
        <v>49.148099999999999</v>
      </c>
      <c r="G41" s="2">
        <v>65.606219999999993</v>
      </c>
      <c r="H41" s="2">
        <f t="shared" si="11"/>
        <v>16.458119999999994</v>
      </c>
      <c r="I41" s="2">
        <f t="shared" si="12"/>
        <v>13.394750000000002</v>
      </c>
      <c r="J41" s="2">
        <f t="shared" si="13"/>
        <v>0.55130779720676759</v>
      </c>
      <c r="K41" s="2">
        <f t="shared" si="14"/>
        <v>0.44869220279323241</v>
      </c>
      <c r="L41" s="2">
        <f t="shared" si="15"/>
        <v>6.0760281247189858E-2</v>
      </c>
      <c r="M41" s="2">
        <f t="shared" si="16"/>
        <v>3.3497616812051913E-2</v>
      </c>
      <c r="N41" s="2">
        <f t="shared" si="17"/>
        <v>29.852869999999996</v>
      </c>
      <c r="O41" s="2">
        <v>93</v>
      </c>
      <c r="P41">
        <f t="shared" si="18"/>
        <v>5.6507061559886571</v>
      </c>
    </row>
    <row r="42" spans="2:36" s="13" customFormat="1" x14ac:dyDescent="0.35">
      <c r="F42" s="13">
        <v>79.000969999999995</v>
      </c>
      <c r="G42" s="13">
        <v>90.850369999999998</v>
      </c>
      <c r="H42" s="2">
        <f t="shared" si="11"/>
        <v>11.849400000000003</v>
      </c>
      <c r="I42" s="2">
        <f t="shared" si="12"/>
        <v>13.41225</v>
      </c>
      <c r="J42" s="2">
        <f t="shared" si="13"/>
        <v>0.4690667474214868</v>
      </c>
      <c r="K42" s="2">
        <f t="shared" si="14"/>
        <v>0.5309332525785132</v>
      </c>
      <c r="L42" s="2">
        <f t="shared" si="15"/>
        <v>8.4392458689891453E-2</v>
      </c>
      <c r="M42" s="2">
        <f t="shared" si="16"/>
        <v>3.9585696104569572E-2</v>
      </c>
      <c r="N42" s="2">
        <f t="shared" si="17"/>
        <v>25.261650000000003</v>
      </c>
      <c r="O42" s="13">
        <v>69</v>
      </c>
      <c r="P42">
        <f t="shared" si="18"/>
        <v>5.8230796496025103</v>
      </c>
    </row>
    <row r="43" spans="2:36" s="13" customFormat="1" x14ac:dyDescent="0.35">
      <c r="B43" s="28"/>
      <c r="F43" s="13">
        <v>104.26262</v>
      </c>
      <c r="G43" s="13">
        <v>115.95918</v>
      </c>
      <c r="H43" s="2">
        <f t="shared" si="11"/>
        <v>11.696560000000005</v>
      </c>
      <c r="I43" s="2">
        <f t="shared" si="12"/>
        <v>12.563429999999983</v>
      </c>
      <c r="J43" s="2">
        <f t="shared" si="13"/>
        <v>0.48213375191003832</v>
      </c>
      <c r="K43" s="2">
        <f t="shared" si="14"/>
        <v>0.51786624808996162</v>
      </c>
      <c r="L43" s="2">
        <f t="shared" si="15"/>
        <v>8.5495222526965162E-2</v>
      </c>
      <c r="M43" s="2">
        <f t="shared" si="16"/>
        <v>4.1220132407309339E-2</v>
      </c>
      <c r="N43" s="2">
        <f t="shared" si="17"/>
        <v>24.259989999999988</v>
      </c>
      <c r="O43" s="13">
        <v>61</v>
      </c>
      <c r="P43">
        <f t="shared" si="18"/>
        <v>5.2152085741448744</v>
      </c>
    </row>
    <row r="44" spans="2:36" s="13" customFormat="1" x14ac:dyDescent="0.35">
      <c r="B44" s="28"/>
      <c r="F44" s="13">
        <v>128.52260999999999</v>
      </c>
      <c r="G44" s="13">
        <v>140.60946000000001</v>
      </c>
      <c r="H44" s="2">
        <f t="shared" si="11"/>
        <v>12.086850000000027</v>
      </c>
      <c r="I44" s="2">
        <f t="shared" si="12"/>
        <v>13.03886</v>
      </c>
      <c r="J44" s="2">
        <f t="shared" si="13"/>
        <v>0.48105506272260623</v>
      </c>
      <c r="K44" s="2">
        <f t="shared" si="14"/>
        <v>0.51894493727739377</v>
      </c>
      <c r="L44" s="2">
        <f t="shared" si="15"/>
        <v>8.2734542084993007E-2</v>
      </c>
      <c r="M44" s="2">
        <f t="shared" si="16"/>
        <v>3.9799870332022418E-2</v>
      </c>
      <c r="N44" s="2">
        <f t="shared" si="17"/>
        <v>25.125710000000026</v>
      </c>
      <c r="O44" s="13">
        <v>73</v>
      </c>
      <c r="P44">
        <f t="shared" si="18"/>
        <v>6.0396215722044895</v>
      </c>
    </row>
    <row r="45" spans="2:36" s="13" customFormat="1" x14ac:dyDescent="0.35">
      <c r="F45" s="13">
        <v>153.64832000000001</v>
      </c>
      <c r="G45" s="13">
        <v>163.78226000000001</v>
      </c>
      <c r="H45" s="2">
        <f t="shared" si="11"/>
        <v>10.133939999999996</v>
      </c>
      <c r="I45" s="2">
        <f t="shared" si="12"/>
        <v>13.723230000000001</v>
      </c>
      <c r="J45" s="2">
        <f t="shared" si="13"/>
        <v>0.42477544486626023</v>
      </c>
      <c r="K45" s="2">
        <f t="shared" si="14"/>
        <v>0.57522455513373982</v>
      </c>
      <c r="L45" s="2">
        <f t="shared" si="15"/>
        <v>9.8678302812134314E-2</v>
      </c>
      <c r="M45" s="2">
        <f t="shared" si="16"/>
        <v>4.1916119975671892E-2</v>
      </c>
      <c r="N45" s="2">
        <f t="shared" si="17"/>
        <v>23.857169999999996</v>
      </c>
      <c r="O45" s="13">
        <v>65</v>
      </c>
      <c r="P45">
        <f t="shared" si="18"/>
        <v>6.414089682788731</v>
      </c>
    </row>
    <row r="46" spans="2:36" s="13" customFormat="1" x14ac:dyDescent="0.35">
      <c r="F46" s="13">
        <v>177.50549000000001</v>
      </c>
      <c r="G46" s="13">
        <v>192.48781</v>
      </c>
      <c r="H46" s="2">
        <f t="shared" si="11"/>
        <v>14.982319999999987</v>
      </c>
      <c r="I46" s="2">
        <f t="shared" si="12"/>
        <v>14.096560000000011</v>
      </c>
      <c r="J46" s="2">
        <f t="shared" si="13"/>
        <v>0.51523029772811013</v>
      </c>
      <c r="K46" s="2">
        <f t="shared" si="14"/>
        <v>0.48476970227188981</v>
      </c>
      <c r="L46" s="2">
        <f t="shared" si="15"/>
        <v>6.6745337170745309E-2</v>
      </c>
      <c r="M46" s="2">
        <f t="shared" si="16"/>
        <v>3.4389219942446203E-2</v>
      </c>
      <c r="N46" s="2">
        <f t="shared" si="17"/>
        <v>29.078879999999998</v>
      </c>
      <c r="O46" s="13">
        <v>84</v>
      </c>
      <c r="P46">
        <f t="shared" si="18"/>
        <v>5.6066083223426055</v>
      </c>
    </row>
    <row r="47" spans="2:36" s="13" customFormat="1" ht="15.5" x14ac:dyDescent="0.35">
      <c r="B47" s="14"/>
      <c r="C47" s="14"/>
      <c r="D47" s="14"/>
      <c r="E47" s="14"/>
      <c r="F47" s="13">
        <v>206.58437000000001</v>
      </c>
      <c r="G47" s="13">
        <v>217.23885999999999</v>
      </c>
      <c r="H47" s="2">
        <f t="shared" si="11"/>
        <v>10.654489999999981</v>
      </c>
      <c r="I47" s="2">
        <f t="shared" si="12"/>
        <v>13.71314000000001</v>
      </c>
      <c r="J47" s="2">
        <f t="shared" si="13"/>
        <v>0.43723948533361617</v>
      </c>
      <c r="K47" s="2">
        <f t="shared" si="14"/>
        <v>0.56276051466638388</v>
      </c>
      <c r="L47" s="2">
        <f t="shared" si="15"/>
        <v>9.3857143795714457E-2</v>
      </c>
      <c r="M47" s="2">
        <f t="shared" si="16"/>
        <v>4.1038049248121398E-2</v>
      </c>
      <c r="N47" s="2">
        <f t="shared" si="17"/>
        <v>24.367629999999991</v>
      </c>
      <c r="O47" s="2">
        <v>64</v>
      </c>
      <c r="P47">
        <f t="shared" si="18"/>
        <v>6.0068572029257252</v>
      </c>
      <c r="R47" s="14"/>
    </row>
    <row r="48" spans="2:36" s="13" customFormat="1" x14ac:dyDescent="0.35">
      <c r="F48" s="13">
        <v>230.952</v>
      </c>
      <c r="G48" s="13">
        <v>241.66185999999999</v>
      </c>
      <c r="H48" s="2">
        <f t="shared" si="11"/>
        <v>10.709859999999992</v>
      </c>
      <c r="I48" s="2"/>
      <c r="J48" s="2"/>
      <c r="K48" s="2"/>
      <c r="L48" s="2"/>
      <c r="M48" s="2"/>
      <c r="N48" s="2"/>
      <c r="O48" s="2"/>
      <c r="P48"/>
    </row>
    <row r="49" spans="7:16" s="13" customFormat="1" x14ac:dyDescent="0.35">
      <c r="H49" s="2"/>
      <c r="I49" s="2"/>
      <c r="J49" s="2"/>
      <c r="K49" s="2"/>
      <c r="L49" s="2"/>
      <c r="M49" s="2"/>
      <c r="N49" s="2"/>
      <c r="O49" s="2"/>
      <c r="P49"/>
    </row>
    <row r="50" spans="7:16" s="13" customFormat="1" x14ac:dyDescent="0.35">
      <c r="H50" s="2"/>
      <c r="I50" s="2"/>
      <c r="J50" s="2"/>
      <c r="K50" s="2"/>
      <c r="L50" s="2"/>
      <c r="M50" s="2"/>
      <c r="N50" s="2"/>
      <c r="O50" s="2"/>
      <c r="P50"/>
    </row>
    <row r="51" spans="7:16" s="13" customFormat="1" ht="16" thickBot="1" x14ac:dyDescent="0.4">
      <c r="H51" s="9" t="s">
        <v>3</v>
      </c>
      <c r="I51" s="9" t="s">
        <v>4</v>
      </c>
      <c r="J51" s="9" t="s">
        <v>5</v>
      </c>
      <c r="K51" s="9" t="s">
        <v>6</v>
      </c>
      <c r="L51" s="9" t="s">
        <v>7</v>
      </c>
      <c r="M51" s="9" t="s">
        <v>8</v>
      </c>
      <c r="N51" s="9" t="s">
        <v>9</v>
      </c>
      <c r="O51" s="9" t="s">
        <v>10</v>
      </c>
      <c r="P51" s="44" t="s">
        <v>139</v>
      </c>
    </row>
    <row r="52" spans="7:16" s="13" customFormat="1" x14ac:dyDescent="0.35">
      <c r="G52" s="49" t="s">
        <v>77</v>
      </c>
      <c r="H52" s="13">
        <f t="shared" ref="H52:P52" si="19">AVERAGE(H39:H47)</f>
        <v>12.222094444444444</v>
      </c>
      <c r="I52" s="13">
        <f t="shared" si="19"/>
        <v>13.243845555555557</v>
      </c>
      <c r="J52" s="13">
        <f t="shared" si="19"/>
        <v>0.47787771331082152</v>
      </c>
      <c r="K52" s="13">
        <f t="shared" si="19"/>
        <v>0.52212228668917848</v>
      </c>
      <c r="L52" s="13">
        <f t="shared" si="19"/>
        <v>8.3870225796311856E-2</v>
      </c>
      <c r="M52" s="13">
        <f t="shared" si="19"/>
        <v>3.955900072871546E-2</v>
      </c>
      <c r="N52" s="13">
        <f t="shared" si="19"/>
        <v>25.465940000000003</v>
      </c>
      <c r="O52" s="13">
        <f t="shared" si="19"/>
        <v>70.444444444444443</v>
      </c>
      <c r="P52" s="13">
        <f t="shared" si="19"/>
        <v>5.7889674852610895</v>
      </c>
    </row>
    <row r="53" spans="7:16" s="13" customFormat="1" x14ac:dyDescent="0.35">
      <c r="G53" s="49" t="s">
        <v>94</v>
      </c>
      <c r="H53" s="2">
        <f t="shared" ref="H53:P53" si="20">_xlfn.STDEV.S(H39:H47)</f>
        <v>2.1639650708601579</v>
      </c>
      <c r="I53" s="2">
        <f t="shared" si="20"/>
        <v>1.1815072401080686</v>
      </c>
      <c r="J53" s="2">
        <f t="shared" si="20"/>
        <v>4.9467978148779582E-2</v>
      </c>
      <c r="K53" s="2">
        <f t="shared" si="20"/>
        <v>4.946797814877963E-2</v>
      </c>
      <c r="L53" s="2">
        <f t="shared" si="20"/>
        <v>1.3177572867669051E-2</v>
      </c>
      <c r="M53" s="2">
        <f t="shared" si="20"/>
        <v>3.4726941299071208E-3</v>
      </c>
      <c r="N53" s="2">
        <f t="shared" si="20"/>
        <v>2.4066430232016129</v>
      </c>
      <c r="O53" s="2">
        <f t="shared" si="20"/>
        <v>11.181582078479654</v>
      </c>
      <c r="P53" s="2">
        <f t="shared" si="20"/>
        <v>0.36630054624723207</v>
      </c>
    </row>
    <row r="54" spans="7:16" s="13" customFormat="1" x14ac:dyDescent="0.35">
      <c r="G54" s="49" t="s">
        <v>95</v>
      </c>
      <c r="H54" s="2">
        <f t="shared" ref="H54:P54" si="21">H53/(SQRT(COUNT(H39:H47)))</f>
        <v>0.72132169028671933</v>
      </c>
      <c r="I54" s="2">
        <f t="shared" si="21"/>
        <v>0.39383574670268956</v>
      </c>
      <c r="J54" s="2">
        <f t="shared" si="21"/>
        <v>1.6489326049593193E-2</v>
      </c>
      <c r="K54" s="2">
        <f t="shared" si="21"/>
        <v>1.648932604959321E-2</v>
      </c>
      <c r="L54" s="2">
        <f t="shared" si="21"/>
        <v>4.3925242892230171E-3</v>
      </c>
      <c r="M54" s="2">
        <f t="shared" si="21"/>
        <v>1.1575647099690402E-3</v>
      </c>
      <c r="N54" s="2">
        <f t="shared" si="21"/>
        <v>0.80221434106720435</v>
      </c>
      <c r="O54" s="2">
        <f t="shared" si="21"/>
        <v>3.7271940261598844</v>
      </c>
      <c r="P54" s="2">
        <f t="shared" si="21"/>
        <v>0.12210018208241069</v>
      </c>
    </row>
    <row r="55" spans="7:16" s="13" customFormat="1" x14ac:dyDescent="0.35">
      <c r="H55" s="2"/>
      <c r="I55" s="2"/>
      <c r="J55" s="2"/>
      <c r="K55" s="2"/>
      <c r="L55" s="2"/>
      <c r="M55" s="2"/>
      <c r="N55" s="2"/>
      <c r="O55" s="2"/>
      <c r="P55"/>
    </row>
    <row r="56" spans="7:16" s="13" customFormat="1" x14ac:dyDescent="0.35">
      <c r="H56" s="2"/>
      <c r="I56" s="2"/>
      <c r="J56" s="2"/>
      <c r="K56" s="2"/>
      <c r="L56" s="2"/>
      <c r="M56" s="2"/>
      <c r="N56" s="2"/>
      <c r="O56" s="2"/>
      <c r="P56"/>
    </row>
    <row r="57" spans="7:16" s="13" customFormat="1" x14ac:dyDescent="0.35">
      <c r="H57" s="2"/>
      <c r="I57" s="2"/>
      <c r="J57" s="2"/>
      <c r="K57" s="2"/>
      <c r="L57" s="2"/>
      <c r="M57" s="2"/>
      <c r="N57" s="2"/>
      <c r="O57" s="2"/>
      <c r="P57"/>
    </row>
    <row r="58" spans="7:16" s="13" customFormat="1" x14ac:dyDescent="0.35">
      <c r="H58" s="2"/>
      <c r="I58" s="2"/>
      <c r="J58" s="2"/>
      <c r="K58" s="2"/>
      <c r="L58" s="2"/>
      <c r="M58" s="2"/>
      <c r="N58" s="2"/>
      <c r="O58" s="2"/>
      <c r="P58"/>
    </row>
    <row r="59" spans="7:16" s="13" customFormat="1" x14ac:dyDescent="0.35">
      <c r="H59" s="2"/>
      <c r="I59" s="2"/>
      <c r="J59" s="2"/>
      <c r="K59" s="2"/>
      <c r="L59" s="2"/>
      <c r="M59" s="2"/>
      <c r="N59" s="2"/>
      <c r="O59" s="2"/>
      <c r="P59"/>
    </row>
    <row r="60" spans="7:16" s="13" customFormat="1" x14ac:dyDescent="0.35">
      <c r="H60" s="2"/>
      <c r="I60" s="2"/>
      <c r="J60" s="2"/>
      <c r="K60" s="2"/>
      <c r="L60" s="2"/>
      <c r="M60" s="2"/>
      <c r="N60" s="2"/>
      <c r="O60" s="2"/>
      <c r="P60"/>
    </row>
    <row r="61" spans="7:16" s="13" customFormat="1" x14ac:dyDescent="0.35">
      <c r="H61" s="2"/>
      <c r="I61" s="2"/>
      <c r="J61" s="2"/>
      <c r="K61" s="2"/>
      <c r="L61" s="2"/>
      <c r="M61" s="2"/>
      <c r="N61" s="2"/>
      <c r="O61" s="2"/>
      <c r="P61"/>
    </row>
    <row r="62" spans="7:16" s="13" customFormat="1" x14ac:dyDescent="0.35">
      <c r="H62" s="2"/>
      <c r="I62" s="2"/>
      <c r="J62" s="2"/>
      <c r="K62" s="2"/>
      <c r="L62" s="2"/>
      <c r="M62" s="2"/>
      <c r="N62" s="2"/>
      <c r="O62" s="2"/>
      <c r="P62"/>
    </row>
    <row r="63" spans="7:16" s="13" customFormat="1" x14ac:dyDescent="0.35">
      <c r="H63" s="2"/>
      <c r="I63" s="2"/>
      <c r="J63" s="2"/>
      <c r="K63" s="2"/>
      <c r="L63" s="2"/>
      <c r="M63" s="2"/>
      <c r="N63" s="2"/>
      <c r="O63" s="2"/>
      <c r="P63"/>
    </row>
    <row r="64" spans="7:16" s="13" customFormat="1" x14ac:dyDescent="0.35">
      <c r="H64" s="2"/>
      <c r="I64" s="2"/>
      <c r="J64" s="2"/>
      <c r="K64" s="2"/>
      <c r="L64" s="2"/>
      <c r="M64" s="2"/>
      <c r="N64" s="2"/>
      <c r="O64" s="2"/>
      <c r="P64"/>
    </row>
    <row r="65" s="13" customFormat="1" x14ac:dyDescent="0.35"/>
    <row r="66" s="13" customFormat="1" x14ac:dyDescent="0.35"/>
    <row r="67" s="13" customFormat="1" x14ac:dyDescent="0.35"/>
    <row r="68" s="13" customFormat="1" x14ac:dyDescent="0.35"/>
    <row r="69" s="13" customFormat="1" x14ac:dyDescent="0.35"/>
    <row r="70" s="13" customFormat="1" x14ac:dyDescent="0.35"/>
    <row r="71" s="13" customFormat="1" x14ac:dyDescent="0.35"/>
    <row r="72" s="13" customFormat="1" x14ac:dyDescent="0.35"/>
    <row r="73" s="13" customFormat="1" x14ac:dyDescent="0.35"/>
    <row r="74" s="13" customFormat="1" x14ac:dyDescent="0.35"/>
    <row r="75" s="13" customFormat="1" x14ac:dyDescent="0.35"/>
    <row r="76" s="13" customFormat="1" x14ac:dyDescent="0.35"/>
    <row r="77" s="13" customFormat="1" x14ac:dyDescent="0.35"/>
    <row r="78" s="13" customFormat="1" x14ac:dyDescent="0.35"/>
    <row r="79" s="13" customFormat="1" x14ac:dyDescent="0.35"/>
    <row r="80"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pans="5:16" s="13" customFormat="1" x14ac:dyDescent="0.35"/>
    <row r="98" spans="5:16" s="13" customFormat="1" ht="15.5" x14ac:dyDescent="0.35">
      <c r="E98" s="49"/>
      <c r="H98" s="14"/>
      <c r="I98" s="14"/>
      <c r="J98" s="14"/>
      <c r="K98" s="14"/>
      <c r="L98" s="14"/>
      <c r="M98" s="14"/>
      <c r="N98" s="14"/>
      <c r="O98" s="14"/>
      <c r="P98" s="14"/>
    </row>
    <row r="99" spans="5:16" s="13" customFormat="1" x14ac:dyDescent="0.35">
      <c r="E99" s="49"/>
      <c r="G99" s="49"/>
    </row>
    <row r="100" spans="5:16" s="13" customFormat="1" x14ac:dyDescent="0.35">
      <c r="E100" s="49"/>
      <c r="G100" s="49"/>
    </row>
    <row r="101" spans="5:16" s="13" customFormat="1" x14ac:dyDescent="0.35">
      <c r="E101" s="49"/>
      <c r="G101" s="49"/>
    </row>
    <row r="102" spans="5:16" s="13" customFormat="1" x14ac:dyDescent="0.35">
      <c r="E102" s="49"/>
    </row>
    <row r="103" spans="5:16" s="13" customFormat="1" ht="15.5" x14ac:dyDescent="0.35">
      <c r="E103" s="49"/>
      <c r="H103" s="14"/>
      <c r="I103" s="14"/>
      <c r="J103" s="14"/>
      <c r="K103" s="14"/>
      <c r="L103" s="14"/>
      <c r="M103" s="14"/>
      <c r="N103" s="14"/>
      <c r="O103" s="14"/>
      <c r="P103" s="14"/>
    </row>
    <row r="104" spans="5:16" s="13" customFormat="1" x14ac:dyDescent="0.35">
      <c r="G104" s="49"/>
    </row>
    <row r="105" spans="5:16" s="13" customFormat="1" x14ac:dyDescent="0.35">
      <c r="G105" s="49"/>
    </row>
    <row r="106" spans="5:16" s="13" customFormat="1" x14ac:dyDescent="0.35">
      <c r="G106" s="49"/>
    </row>
    <row r="107" spans="5:16" s="13" customFormat="1" x14ac:dyDescent="0.35"/>
    <row r="108" spans="5:16" s="13" customFormat="1" ht="15.5" x14ac:dyDescent="0.35">
      <c r="H108" s="14"/>
      <c r="I108" s="14"/>
      <c r="J108" s="14"/>
      <c r="K108" s="14"/>
      <c r="L108" s="14"/>
      <c r="M108" s="14"/>
      <c r="N108" s="14"/>
      <c r="O108" s="14"/>
      <c r="P108" s="14"/>
    </row>
    <row r="109" spans="5:16" s="13" customFormat="1" x14ac:dyDescent="0.35">
      <c r="G109" s="49"/>
    </row>
    <row r="110" spans="5:16" s="13" customFormat="1" x14ac:dyDescent="0.35">
      <c r="G110" s="49"/>
    </row>
    <row r="111" spans="5:16" s="13" customFormat="1" x14ac:dyDescent="0.35">
      <c r="G111" s="49"/>
    </row>
    <row r="112" spans="5:16" s="13" customFormat="1" x14ac:dyDescent="0.35"/>
    <row r="113" spans="1:20" s="13" customFormat="1" x14ac:dyDescent="0.35"/>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ht="15.5" x14ac:dyDescent="0.35">
      <c r="A121" s="13"/>
      <c r="B121" s="13"/>
      <c r="C121" s="13"/>
      <c r="D121" s="13"/>
      <c r="E121" s="13"/>
      <c r="F121" s="13"/>
      <c r="G121" s="13"/>
      <c r="H121" s="14"/>
      <c r="I121" s="14"/>
      <c r="J121" s="14"/>
      <c r="K121" s="14"/>
      <c r="L121" s="14"/>
      <c r="M121" s="14"/>
      <c r="N121" s="14"/>
      <c r="O121" s="14"/>
      <c r="P121" s="14"/>
      <c r="Q121" s="13"/>
      <c r="R121" s="13"/>
      <c r="S121" s="13"/>
      <c r="T121" s="13"/>
    </row>
    <row r="122" spans="1:20" x14ac:dyDescent="0.35">
      <c r="A122" s="13"/>
      <c r="B122" s="13"/>
      <c r="C122" s="13"/>
      <c r="D122" s="49"/>
      <c r="E122" s="49"/>
      <c r="F122" s="13"/>
      <c r="G122" s="49"/>
      <c r="H122" s="13"/>
      <c r="I122" s="13"/>
      <c r="J122" s="13"/>
      <c r="K122" s="13"/>
      <c r="L122" s="13"/>
      <c r="M122" s="13"/>
      <c r="N122" s="13"/>
      <c r="O122" s="13"/>
      <c r="P122" s="13"/>
      <c r="Q122" s="13"/>
      <c r="R122" s="13"/>
      <c r="S122" s="13"/>
      <c r="T122" s="13"/>
    </row>
    <row r="123" spans="1:20" x14ac:dyDescent="0.35">
      <c r="A123" s="13"/>
      <c r="B123" s="13"/>
      <c r="C123" s="13"/>
      <c r="D123" s="49"/>
      <c r="E123" s="49"/>
      <c r="F123" s="13"/>
      <c r="G123" s="49"/>
      <c r="H123" s="13"/>
      <c r="I123" s="13"/>
      <c r="J123" s="13"/>
      <c r="K123" s="13"/>
      <c r="L123" s="13"/>
      <c r="M123" s="13"/>
      <c r="N123" s="13"/>
      <c r="O123" s="13"/>
      <c r="P123" s="13"/>
      <c r="Q123" s="13"/>
      <c r="R123" s="13"/>
      <c r="S123" s="13"/>
      <c r="T123" s="13"/>
    </row>
    <row r="124" spans="1:20" x14ac:dyDescent="0.35">
      <c r="A124" s="13"/>
      <c r="B124" s="13"/>
      <c r="C124" s="13"/>
      <c r="D124" s="49"/>
      <c r="E124" s="49"/>
      <c r="F124" s="13"/>
      <c r="G124" s="49"/>
      <c r="H124" s="13"/>
      <c r="I124" s="13"/>
      <c r="J124" s="13"/>
      <c r="K124" s="13"/>
      <c r="L124" s="13"/>
      <c r="M124" s="13"/>
      <c r="N124" s="13"/>
      <c r="O124" s="13"/>
      <c r="P124" s="13"/>
      <c r="Q124" s="13"/>
      <c r="R124" s="13"/>
      <c r="S124" s="13"/>
      <c r="T124" s="13"/>
    </row>
    <row r="125" spans="1:20" x14ac:dyDescent="0.35">
      <c r="A125" s="13"/>
      <c r="B125" s="13"/>
      <c r="C125" s="13"/>
      <c r="D125" s="49"/>
      <c r="E125" s="49"/>
      <c r="F125" s="13"/>
      <c r="G125" s="13"/>
      <c r="H125" s="13"/>
      <c r="I125" s="13"/>
      <c r="J125" s="13"/>
      <c r="K125" s="13"/>
      <c r="L125" s="13"/>
      <c r="M125" s="13"/>
      <c r="N125" s="13"/>
      <c r="O125" s="13"/>
      <c r="P125" s="13"/>
      <c r="Q125" s="13"/>
      <c r="R125" s="13"/>
      <c r="S125" s="13"/>
      <c r="T125" s="13"/>
    </row>
    <row r="126" spans="1:20" x14ac:dyDescent="0.35">
      <c r="A126" s="13"/>
      <c r="B126" s="13"/>
      <c r="C126" s="13"/>
      <c r="D126" s="49"/>
      <c r="E126" s="49"/>
      <c r="F126" s="13"/>
      <c r="G126" s="13"/>
      <c r="H126" s="13"/>
      <c r="I126" s="13"/>
      <c r="J126" s="13"/>
      <c r="K126" s="13"/>
      <c r="L126" s="13"/>
      <c r="M126" s="13"/>
      <c r="N126" s="13"/>
      <c r="O126" s="13"/>
      <c r="P126" s="13"/>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13"/>
      <c r="E129" s="13"/>
      <c r="F129" s="13"/>
      <c r="G129" s="49"/>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49"/>
      <c r="F131" s="49"/>
      <c r="G131" s="49"/>
      <c r="H131" s="13"/>
      <c r="I131" s="13"/>
      <c r="J131" s="13"/>
      <c r="K131" s="13"/>
      <c r="L131" s="13"/>
      <c r="M131" s="13"/>
      <c r="N131" s="13"/>
      <c r="O131" s="13"/>
      <c r="P131" s="13"/>
      <c r="Q131" s="13"/>
      <c r="R131" s="13"/>
      <c r="S131" s="13"/>
      <c r="T131" s="13"/>
    </row>
    <row r="132" spans="1:20" x14ac:dyDescent="0.35">
      <c r="A132" s="13"/>
      <c r="B132" s="13"/>
      <c r="C132" s="13"/>
      <c r="D132" s="13"/>
      <c r="E132" s="49"/>
      <c r="F132" s="49"/>
      <c r="G132" s="49"/>
      <c r="H132" s="13"/>
      <c r="I132" s="13"/>
      <c r="J132" s="13"/>
      <c r="K132" s="13"/>
      <c r="L132" s="13"/>
      <c r="M132" s="13"/>
      <c r="N132" s="13"/>
      <c r="O132" s="13"/>
      <c r="P132" s="13"/>
      <c r="Q132" s="13"/>
      <c r="R132" s="13"/>
      <c r="S132" s="13"/>
      <c r="T132" s="13"/>
    </row>
    <row r="133" spans="1:20" x14ac:dyDescent="0.35">
      <c r="A133" s="13"/>
      <c r="B133" s="13"/>
      <c r="C133" s="13"/>
      <c r="D133" s="13"/>
      <c r="E133" s="49"/>
      <c r="F133" s="49"/>
      <c r="G133" s="49"/>
      <c r="H133" s="13"/>
      <c r="I133" s="13"/>
      <c r="J133" s="13"/>
      <c r="K133" s="13"/>
      <c r="L133" s="13"/>
      <c r="M133" s="13"/>
      <c r="N133" s="13"/>
      <c r="O133" s="13"/>
      <c r="P133" s="13"/>
      <c r="Q133" s="13"/>
      <c r="R133" s="13"/>
      <c r="S133" s="13"/>
      <c r="T133" s="13"/>
    </row>
    <row r="134" spans="1:20" x14ac:dyDescent="0.35">
      <c r="A134" s="13"/>
      <c r="B134" s="13"/>
      <c r="C134" s="13"/>
      <c r="D134" s="13"/>
      <c r="E134" s="49"/>
      <c r="F134" s="49"/>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13"/>
      <c r="F136" s="13"/>
      <c r="G136" s="13"/>
      <c r="H136" s="13"/>
      <c r="I136" s="13"/>
      <c r="J136" s="13"/>
      <c r="K136" s="13"/>
      <c r="L136" s="13"/>
      <c r="M136" s="13"/>
      <c r="N136" s="13"/>
      <c r="O136" s="13"/>
      <c r="P136" s="13"/>
      <c r="Q136" s="13"/>
      <c r="R136" s="13"/>
      <c r="S136" s="13"/>
      <c r="T136" s="13"/>
    </row>
    <row r="137" spans="1:20" ht="18.5" x14ac:dyDescent="0.45">
      <c r="A137" s="13"/>
      <c r="B137" s="13"/>
      <c r="C137" s="13"/>
      <c r="D137" s="13"/>
      <c r="E137" s="13"/>
      <c r="F137" s="149"/>
      <c r="G137" s="13"/>
      <c r="H137" s="13"/>
      <c r="I137" s="13"/>
      <c r="J137" s="13"/>
      <c r="K137" s="13"/>
      <c r="L137" s="13"/>
      <c r="M137" s="13"/>
      <c r="N137" s="13"/>
      <c r="O137" s="13"/>
      <c r="P137" s="13"/>
      <c r="Q137" s="13"/>
      <c r="R137" s="13"/>
      <c r="S137" s="13"/>
      <c r="T137" s="13"/>
    </row>
    <row r="138" spans="1:20" ht="15.5" x14ac:dyDescent="0.35">
      <c r="A138" s="13"/>
      <c r="B138" s="14"/>
      <c r="C138" s="14"/>
      <c r="D138" s="14"/>
      <c r="E138" s="14"/>
      <c r="F138" s="14"/>
      <c r="G138" s="14"/>
      <c r="H138" s="14"/>
      <c r="I138" s="14"/>
      <c r="J138" s="14"/>
      <c r="K138" s="14"/>
      <c r="L138" s="14"/>
      <c r="M138" s="14"/>
      <c r="N138" s="14"/>
      <c r="O138" s="14"/>
      <c r="P138" s="14"/>
      <c r="Q138" s="13"/>
      <c r="R138" s="14"/>
      <c r="S138" s="13"/>
      <c r="T138" s="13"/>
    </row>
    <row r="139" spans="1:20" x14ac:dyDescent="0.35">
      <c r="A139" s="13"/>
      <c r="B139" s="13"/>
      <c r="C139" s="13"/>
      <c r="D139" s="13"/>
      <c r="E139" s="13"/>
      <c r="F139" s="13"/>
      <c r="G139" s="13"/>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13"/>
      <c r="F142" s="13"/>
      <c r="G142" s="13"/>
      <c r="H142" s="13"/>
      <c r="I142" s="13"/>
      <c r="J142" s="13"/>
      <c r="K142" s="13"/>
      <c r="L142" s="13"/>
      <c r="M142" s="13"/>
      <c r="N142" s="13"/>
      <c r="O142" s="13"/>
      <c r="P142" s="13"/>
      <c r="Q142" s="13"/>
      <c r="R142" s="13"/>
      <c r="S142" s="13"/>
      <c r="T142" s="13"/>
    </row>
    <row r="143" spans="1:20" x14ac:dyDescent="0.35">
      <c r="A143" s="13"/>
      <c r="B143" s="13"/>
      <c r="C143" s="13"/>
      <c r="D143" s="13"/>
      <c r="E143" s="13"/>
      <c r="F143" s="13"/>
      <c r="G143" s="13"/>
      <c r="H143" s="13"/>
      <c r="I143" s="13"/>
      <c r="J143" s="13"/>
      <c r="K143" s="13"/>
      <c r="L143" s="13"/>
      <c r="M143" s="13"/>
      <c r="N143" s="13"/>
      <c r="O143" s="13"/>
      <c r="P143" s="13"/>
      <c r="Q143" s="13"/>
      <c r="R143" s="13"/>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49"/>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ht="15.5" x14ac:dyDescent="0.35">
      <c r="A166" s="13"/>
      <c r="B166" s="13"/>
      <c r="C166" s="13"/>
      <c r="D166" s="13"/>
      <c r="E166" s="13"/>
      <c r="F166" s="13"/>
      <c r="G166" s="13"/>
      <c r="H166" s="14"/>
      <c r="I166" s="14"/>
      <c r="J166" s="14"/>
      <c r="K166" s="14"/>
      <c r="L166" s="14"/>
      <c r="M166" s="14"/>
      <c r="N166" s="14"/>
      <c r="O166" s="14"/>
      <c r="P166" s="14"/>
      <c r="Q166" s="13"/>
      <c r="R166" s="13"/>
      <c r="S166" s="13"/>
      <c r="T166" s="13"/>
    </row>
    <row r="167" spans="1:20" x14ac:dyDescent="0.35">
      <c r="A167" s="13"/>
      <c r="B167" s="13"/>
      <c r="C167" s="13"/>
      <c r="D167" s="13"/>
      <c r="E167" s="49"/>
      <c r="F167" s="13"/>
      <c r="G167" s="49"/>
      <c r="H167" s="13"/>
      <c r="I167" s="13"/>
      <c r="J167" s="13"/>
      <c r="K167" s="13"/>
      <c r="L167" s="13"/>
      <c r="M167" s="13"/>
      <c r="N167" s="13"/>
      <c r="O167" s="13"/>
      <c r="P167" s="13"/>
      <c r="Q167" s="13"/>
      <c r="R167" s="13"/>
      <c r="S167" s="13"/>
      <c r="T167" s="13"/>
    </row>
    <row r="168" spans="1:20" x14ac:dyDescent="0.35">
      <c r="A168" s="13"/>
      <c r="B168" s="13"/>
      <c r="C168" s="13"/>
      <c r="D168" s="13"/>
      <c r="E168" s="49"/>
      <c r="F168" s="13"/>
      <c r="G168" s="49"/>
      <c r="H168" s="13"/>
      <c r="I168" s="13"/>
      <c r="J168" s="13"/>
      <c r="K168" s="13"/>
      <c r="L168" s="13"/>
      <c r="M168" s="13"/>
      <c r="N168" s="13"/>
      <c r="O168" s="13"/>
      <c r="P168" s="13"/>
      <c r="Q168" s="13"/>
      <c r="R168" s="13"/>
      <c r="S168" s="13"/>
      <c r="T168" s="13"/>
    </row>
    <row r="169" spans="1:20" x14ac:dyDescent="0.35">
      <c r="A169" s="13"/>
      <c r="B169" s="13"/>
      <c r="C169" s="13"/>
      <c r="D169" s="13"/>
      <c r="E169" s="49"/>
      <c r="F169" s="13"/>
      <c r="G169" s="49"/>
      <c r="H169" s="13"/>
      <c r="I169" s="13"/>
      <c r="J169" s="13"/>
      <c r="K169" s="13"/>
      <c r="L169" s="13"/>
      <c r="M169" s="13"/>
      <c r="N169" s="13"/>
      <c r="O169" s="13"/>
      <c r="P169" s="13"/>
      <c r="Q169" s="13"/>
      <c r="R169" s="13"/>
      <c r="S169" s="13"/>
      <c r="T169" s="13"/>
    </row>
    <row r="170" spans="1:20" x14ac:dyDescent="0.35">
      <c r="A170" s="13"/>
      <c r="B170" s="13"/>
      <c r="C170" s="13"/>
      <c r="D170" s="13"/>
      <c r="E170" s="49"/>
      <c r="F170" s="13"/>
      <c r="G170" s="13"/>
      <c r="H170" s="13"/>
      <c r="I170" s="13"/>
      <c r="J170" s="13"/>
      <c r="K170" s="13"/>
      <c r="L170" s="13"/>
      <c r="M170" s="13"/>
      <c r="N170" s="13"/>
      <c r="O170" s="13"/>
      <c r="P170" s="13"/>
      <c r="Q170" s="13"/>
      <c r="R170" s="13"/>
      <c r="S170" s="13"/>
      <c r="T170" s="13"/>
    </row>
    <row r="171" spans="1:20" x14ac:dyDescent="0.35">
      <c r="A171" s="13"/>
      <c r="B171" s="13"/>
      <c r="C171" s="13"/>
      <c r="D171" s="13"/>
      <c r="E171" s="49"/>
      <c r="F171" s="13"/>
      <c r="G171" s="13"/>
      <c r="H171" s="13"/>
      <c r="I171" s="13"/>
      <c r="J171" s="13"/>
      <c r="K171" s="13"/>
      <c r="L171" s="13"/>
      <c r="M171" s="13"/>
      <c r="N171" s="13"/>
      <c r="O171" s="13"/>
      <c r="P171" s="13"/>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13"/>
      <c r="F174" s="13"/>
      <c r="G174" s="49"/>
      <c r="H174" s="13"/>
      <c r="I174" s="13"/>
      <c r="J174" s="13"/>
      <c r="K174" s="13"/>
      <c r="L174" s="13"/>
      <c r="M174" s="13"/>
      <c r="N174" s="13"/>
      <c r="O174" s="13"/>
      <c r="P174" s="13"/>
      <c r="Q174" s="13"/>
      <c r="R174" s="13"/>
      <c r="S174" s="13"/>
      <c r="T174" s="13"/>
    </row>
    <row r="175" spans="1:20" x14ac:dyDescent="0.35">
      <c r="A175" s="13"/>
      <c r="B175" s="13"/>
      <c r="C175" s="13"/>
      <c r="D175" s="13"/>
      <c r="E175" s="13"/>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49"/>
      <c r="G176" s="49"/>
      <c r="H176" s="13"/>
      <c r="I176" s="13"/>
      <c r="J176" s="13"/>
      <c r="K176" s="13"/>
      <c r="L176" s="13"/>
      <c r="M176" s="13"/>
      <c r="N176" s="13"/>
      <c r="O176" s="13"/>
      <c r="P176" s="13"/>
      <c r="Q176" s="13"/>
      <c r="R176" s="13"/>
      <c r="S176" s="13"/>
      <c r="T176" s="13"/>
    </row>
    <row r="177" spans="1:20" x14ac:dyDescent="0.35">
      <c r="A177" s="13"/>
      <c r="B177" s="13"/>
      <c r="C177" s="13"/>
      <c r="D177" s="13"/>
      <c r="E177" s="49"/>
      <c r="F177" s="49"/>
      <c r="G177" s="49"/>
      <c r="H177" s="13"/>
      <c r="I177" s="13"/>
      <c r="J177" s="13"/>
      <c r="K177" s="13"/>
      <c r="L177" s="13"/>
      <c r="M177" s="13"/>
      <c r="N177" s="13"/>
      <c r="O177" s="13"/>
      <c r="P177" s="13"/>
      <c r="Q177" s="13"/>
      <c r="R177" s="13"/>
      <c r="S177" s="13"/>
      <c r="T177" s="13"/>
    </row>
    <row r="178" spans="1:20" x14ac:dyDescent="0.35">
      <c r="A178" s="13"/>
      <c r="B178" s="13"/>
      <c r="C178" s="13"/>
      <c r="D178" s="13"/>
      <c r="E178" s="49"/>
      <c r="F178" s="49"/>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13"/>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13"/>
      <c r="F181" s="13"/>
      <c r="G181" s="13"/>
      <c r="H181" s="13"/>
      <c r="I181" s="13"/>
      <c r="J181" s="13"/>
      <c r="K181" s="13"/>
      <c r="L181" s="13"/>
      <c r="M181" s="13"/>
      <c r="N181" s="13"/>
      <c r="O181" s="13"/>
      <c r="P181" s="13"/>
      <c r="Q181" s="13"/>
      <c r="R181" s="13"/>
      <c r="S181" s="13"/>
      <c r="T181" s="13"/>
    </row>
    <row r="182" spans="1:20" x14ac:dyDescent="0.35">
      <c r="A182" s="13"/>
      <c r="B182" s="13"/>
      <c r="C182" s="13"/>
      <c r="D182" s="13"/>
      <c r="E182" s="13"/>
      <c r="F182" s="13"/>
      <c r="G182" s="13"/>
      <c r="H182" s="13"/>
      <c r="I182" s="13"/>
      <c r="J182" s="13"/>
      <c r="K182" s="13"/>
      <c r="L182" s="13"/>
      <c r="M182" s="13"/>
      <c r="N182" s="13"/>
      <c r="O182" s="13"/>
      <c r="P182" s="13"/>
      <c r="Q182" s="13"/>
      <c r="R182" s="13"/>
      <c r="S182" s="13"/>
      <c r="T182" s="13"/>
    </row>
    <row r="183" spans="1:20" x14ac:dyDescent="0.35">
      <c r="A183" s="13"/>
      <c r="B183" s="13"/>
      <c r="C183" s="13"/>
      <c r="D183" s="13"/>
      <c r="E183" s="13"/>
      <c r="F183" s="13"/>
      <c r="G183" s="13"/>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5"/>
  <sheetViews>
    <sheetView workbookViewId="0">
      <selection activeCell="H71" sqref="H71:P71"/>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103</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3.9653200000000002</v>
      </c>
      <c r="G7" s="2">
        <v>7.5743999999999998</v>
      </c>
      <c r="H7" s="2">
        <f>G7-F7</f>
        <v>3.6090799999999996</v>
      </c>
      <c r="I7" s="2">
        <f>F8-G7</f>
        <v>9.3859600000000007</v>
      </c>
      <c r="J7" s="2">
        <f>H7/N7</f>
        <v>0.27772750218544923</v>
      </c>
      <c r="K7" s="2">
        <f>I7/N7</f>
        <v>0.72227249781455083</v>
      </c>
      <c r="L7" s="2">
        <f>1/H7</f>
        <v>0.27707892316047306</v>
      </c>
      <c r="M7" s="2">
        <f>1/N7</f>
        <v>7.6952437237592194E-2</v>
      </c>
      <c r="N7" s="2">
        <f>H7+I7</f>
        <v>12.995039999999999</v>
      </c>
      <c r="O7" s="2">
        <v>16</v>
      </c>
      <c r="P7">
        <f>O7/H7</f>
        <v>4.4332627705675689</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16.960360000000001</v>
      </c>
      <c r="G8" s="2">
        <v>20.85934</v>
      </c>
      <c r="H8" s="2">
        <f t="shared" ref="H8:H29" si="0">G8-F8</f>
        <v>3.8989799999999981</v>
      </c>
      <c r="I8" s="2">
        <f t="shared" ref="I8:I28" si="1">F9-G8</f>
        <v>3.6144099999999995</v>
      </c>
      <c r="J8" s="2">
        <f t="shared" ref="J8:J28" si="2">H8/N8</f>
        <v>0.51893752354130418</v>
      </c>
      <c r="K8" s="2">
        <f t="shared" ref="K8:K28" si="3">I8/N8</f>
        <v>0.48106247645869582</v>
      </c>
      <c r="L8" s="2">
        <f t="shared" ref="L8:L28" si="4">1/H8</f>
        <v>0.2564773350978975</v>
      </c>
      <c r="M8" s="2">
        <f t="shared" ref="M8:M28" si="5">1/N8</f>
        <v>0.13309571312017615</v>
      </c>
      <c r="N8" s="2">
        <f t="shared" ref="N8:N28" si="6">H8+I8</f>
        <v>7.5133899999999976</v>
      </c>
      <c r="O8" s="2">
        <v>18</v>
      </c>
      <c r="P8">
        <f t="shared" ref="P8:P28" si="7">O8/H8</f>
        <v>4.6165920317621554</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24.473749999999999</v>
      </c>
      <c r="G9" s="2">
        <v>27.978470000000002</v>
      </c>
      <c r="H9" s="2">
        <f t="shared" si="0"/>
        <v>3.5047200000000025</v>
      </c>
      <c r="I9" s="2">
        <f t="shared" si="1"/>
        <v>8.6135299999999972</v>
      </c>
      <c r="J9" s="2">
        <f t="shared" si="2"/>
        <v>0.28921007571225238</v>
      </c>
      <c r="K9" s="2">
        <f t="shared" si="3"/>
        <v>0.71078992428774757</v>
      </c>
      <c r="L9" s="2">
        <f t="shared" si="4"/>
        <v>0.28532949850487321</v>
      </c>
      <c r="M9" s="2">
        <f t="shared" si="5"/>
        <v>8.2520165865533388E-2</v>
      </c>
      <c r="N9" s="2">
        <f t="shared" si="6"/>
        <v>12.11825</v>
      </c>
      <c r="O9" s="2">
        <v>14</v>
      </c>
      <c r="P9">
        <f t="shared" si="7"/>
        <v>3.9946129790682252</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36.591999999999999</v>
      </c>
      <c r="G10" s="13">
        <v>40.230379999999997</v>
      </c>
      <c r="H10" s="2">
        <f t="shared" si="0"/>
        <v>3.6383799999999979</v>
      </c>
      <c r="I10" s="2">
        <f t="shared" si="1"/>
        <v>3.7683100000000067</v>
      </c>
      <c r="J10" s="2">
        <f t="shared" si="2"/>
        <v>0.49122887551659322</v>
      </c>
      <c r="K10" s="2">
        <f t="shared" si="3"/>
        <v>0.50877112448340678</v>
      </c>
      <c r="L10" s="2">
        <f t="shared" si="4"/>
        <v>0.27484759700745953</v>
      </c>
      <c r="M10" s="2">
        <f t="shared" si="5"/>
        <v>0.1350130760164121</v>
      </c>
      <c r="N10" s="2">
        <f t="shared" si="6"/>
        <v>7.4066900000000047</v>
      </c>
      <c r="O10" s="13">
        <v>18</v>
      </c>
      <c r="P10">
        <f t="shared" si="7"/>
        <v>4.9472567461342711</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43.998690000000003</v>
      </c>
      <c r="G11" s="13">
        <v>46.125579999999999</v>
      </c>
      <c r="H11" s="2">
        <f t="shared" si="0"/>
        <v>2.126889999999996</v>
      </c>
      <c r="I11" s="2">
        <f t="shared" si="1"/>
        <v>7.6299700000000001</v>
      </c>
      <c r="J11" s="2">
        <f t="shared" si="2"/>
        <v>0.21798918914486801</v>
      </c>
      <c r="K11" s="2">
        <f t="shared" si="3"/>
        <v>0.78201081085513202</v>
      </c>
      <c r="L11" s="2">
        <f t="shared" si="4"/>
        <v>0.47017006051088767</v>
      </c>
      <c r="M11" s="2">
        <f t="shared" si="5"/>
        <v>0.10249199025096192</v>
      </c>
      <c r="N11" s="2">
        <f t="shared" si="6"/>
        <v>9.7568599999999961</v>
      </c>
      <c r="O11" s="13">
        <v>11</v>
      </c>
      <c r="P11">
        <f t="shared" si="7"/>
        <v>5.1718706656197648</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53.755549999999999</v>
      </c>
      <c r="G12" s="13">
        <v>58.878860000000003</v>
      </c>
      <c r="H12" s="2">
        <f t="shared" si="0"/>
        <v>5.1233100000000036</v>
      </c>
      <c r="I12" s="2">
        <f t="shared" si="1"/>
        <v>3.8550399999999954</v>
      </c>
      <c r="J12" s="2">
        <f t="shared" si="2"/>
        <v>0.57062934726313896</v>
      </c>
      <c r="K12" s="2">
        <f t="shared" si="3"/>
        <v>0.42937065273686098</v>
      </c>
      <c r="L12" s="2">
        <f t="shared" si="4"/>
        <v>0.19518631509707579</v>
      </c>
      <c r="M12" s="2">
        <f t="shared" si="5"/>
        <v>0.11137903957854173</v>
      </c>
      <c r="N12" s="2">
        <f t="shared" si="6"/>
        <v>8.9783499999999989</v>
      </c>
      <c r="O12" s="13">
        <v>20</v>
      </c>
      <c r="P12">
        <f t="shared" si="7"/>
        <v>3.9037263019415156</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62.733899999999998</v>
      </c>
      <c r="G13" s="13">
        <v>66.33408</v>
      </c>
      <c r="H13" s="2">
        <f t="shared" si="0"/>
        <v>3.6001800000000017</v>
      </c>
      <c r="I13" s="2">
        <f t="shared" si="1"/>
        <v>7.935149999999993</v>
      </c>
      <c r="J13" s="2">
        <f t="shared" si="2"/>
        <v>0.31210030402251199</v>
      </c>
      <c r="K13" s="2">
        <f t="shared" si="3"/>
        <v>0.68789969597748801</v>
      </c>
      <c r="L13" s="2">
        <f t="shared" si="4"/>
        <v>0.27776388958329851</v>
      </c>
      <c r="M13" s="2">
        <f t="shared" si="5"/>
        <v>8.6690194385422914E-2</v>
      </c>
      <c r="N13" s="2">
        <f t="shared" si="6"/>
        <v>11.535329999999995</v>
      </c>
      <c r="O13" s="13">
        <v>16</v>
      </c>
      <c r="P13">
        <f t="shared" si="7"/>
        <v>4.4442222333327761</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74.269229999999993</v>
      </c>
      <c r="G14" s="13">
        <v>78.052610000000001</v>
      </c>
      <c r="H14" s="2">
        <f t="shared" si="0"/>
        <v>3.7833800000000082</v>
      </c>
      <c r="I14" s="2">
        <f t="shared" si="1"/>
        <v>3.3404799999999994</v>
      </c>
      <c r="J14" s="2">
        <f t="shared" si="2"/>
        <v>0.53108567546246055</v>
      </c>
      <c r="K14" s="2">
        <f t="shared" si="3"/>
        <v>0.46891432453753945</v>
      </c>
      <c r="L14" s="2">
        <f t="shared" si="4"/>
        <v>0.26431392035692897</v>
      </c>
      <c r="M14" s="2">
        <f t="shared" si="5"/>
        <v>0.14037333692689061</v>
      </c>
      <c r="N14" s="2">
        <f t="shared" si="6"/>
        <v>7.1238600000000076</v>
      </c>
      <c r="O14" s="13">
        <v>19</v>
      </c>
      <c r="P14">
        <f t="shared" si="7"/>
        <v>5.0219644867816502</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81.393090000000001</v>
      </c>
      <c r="G15" s="13">
        <v>83.873769999999993</v>
      </c>
      <c r="H15" s="2">
        <f t="shared" si="0"/>
        <v>2.4806799999999924</v>
      </c>
      <c r="I15" s="2">
        <f t="shared" si="1"/>
        <v>8.8394200000000041</v>
      </c>
      <c r="J15" s="2">
        <f t="shared" si="2"/>
        <v>0.21913940689569819</v>
      </c>
      <c r="K15" s="2">
        <f t="shared" si="3"/>
        <v>0.78086059310430178</v>
      </c>
      <c r="L15" s="2">
        <f t="shared" si="4"/>
        <v>0.40311527484399562</v>
      </c>
      <c r="M15" s="2">
        <f t="shared" si="5"/>
        <v>8.8338442239909568E-2</v>
      </c>
      <c r="N15" s="2">
        <f t="shared" si="6"/>
        <v>11.320099999999996</v>
      </c>
      <c r="O15" s="2">
        <v>12</v>
      </c>
      <c r="P15">
        <f t="shared" si="7"/>
        <v>4.8373832981279472</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92.713189999999997</v>
      </c>
      <c r="G16" s="13">
        <v>96.524900000000002</v>
      </c>
      <c r="H16" s="2">
        <f t="shared" si="0"/>
        <v>3.811710000000005</v>
      </c>
      <c r="I16" s="2">
        <f t="shared" si="1"/>
        <v>5.0905599999999964</v>
      </c>
      <c r="J16" s="2">
        <f t="shared" si="2"/>
        <v>0.42817281434959897</v>
      </c>
      <c r="K16" s="2">
        <f t="shared" si="3"/>
        <v>0.57182718565040103</v>
      </c>
      <c r="L16" s="2">
        <f t="shared" si="4"/>
        <v>0.26234944421270207</v>
      </c>
      <c r="M16" s="2">
        <f t="shared" si="5"/>
        <v>0.11233089987160576</v>
      </c>
      <c r="N16" s="2">
        <f t="shared" si="6"/>
        <v>8.9022700000000015</v>
      </c>
      <c r="O16" s="2">
        <v>19</v>
      </c>
      <c r="P16">
        <f t="shared" si="7"/>
        <v>4.9846394400413399</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101.61546</v>
      </c>
      <c r="G17" s="13">
        <v>105.37967999999999</v>
      </c>
      <c r="H17" s="2">
        <f t="shared" si="0"/>
        <v>3.7642199999999946</v>
      </c>
      <c r="I17" s="2">
        <f t="shared" si="1"/>
        <v>7.6059600000000103</v>
      </c>
      <c r="J17" s="2">
        <f t="shared" si="2"/>
        <v>0.33106072199384645</v>
      </c>
      <c r="K17" s="2">
        <f t="shared" si="3"/>
        <v>0.6689392780061536</v>
      </c>
      <c r="L17" s="2">
        <f t="shared" si="4"/>
        <v>0.26565928665168387</v>
      </c>
      <c r="M17" s="2">
        <f t="shared" si="5"/>
        <v>8.794935524327667E-2</v>
      </c>
      <c r="N17" s="2">
        <f t="shared" si="6"/>
        <v>11.370180000000005</v>
      </c>
      <c r="O17" s="2">
        <v>18</v>
      </c>
      <c r="P17">
        <f t="shared" si="7"/>
        <v>4.78186715973031</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112.98564</v>
      </c>
      <c r="G18" s="13">
        <v>116.85926000000001</v>
      </c>
      <c r="H18" s="2">
        <f t="shared" si="0"/>
        <v>3.8736200000000025</v>
      </c>
      <c r="I18" s="2">
        <f t="shared" si="1"/>
        <v>4.7503899999999959</v>
      </c>
      <c r="J18" s="2">
        <f t="shared" si="2"/>
        <v>0.44916691886952859</v>
      </c>
      <c r="K18" s="2">
        <f t="shared" si="3"/>
        <v>0.55083308113047136</v>
      </c>
      <c r="L18" s="2">
        <f t="shared" si="4"/>
        <v>0.25815645313685892</v>
      </c>
      <c r="M18" s="2">
        <f t="shared" si="5"/>
        <v>0.11595533864176875</v>
      </c>
      <c r="N18" s="2">
        <f t="shared" si="6"/>
        <v>8.6240099999999984</v>
      </c>
      <c r="O18" s="2">
        <v>19</v>
      </c>
      <c r="P18">
        <f t="shared" si="7"/>
        <v>4.9049726096003194</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121.60965</v>
      </c>
      <c r="G19" s="13">
        <v>125.07034</v>
      </c>
      <c r="H19" s="2">
        <f t="shared" si="0"/>
        <v>3.4606899999999996</v>
      </c>
      <c r="I19" s="2">
        <f t="shared" si="1"/>
        <v>7.6084100000000063</v>
      </c>
      <c r="J19" s="2">
        <f t="shared" si="2"/>
        <v>0.31264420774950064</v>
      </c>
      <c r="K19" s="2">
        <f t="shared" si="3"/>
        <v>0.68735579225049936</v>
      </c>
      <c r="L19" s="2">
        <f t="shared" si="4"/>
        <v>0.28895971612597493</v>
      </c>
      <c r="M19" s="2">
        <f t="shared" si="5"/>
        <v>9.034158151972603E-2</v>
      </c>
      <c r="N19" s="2">
        <f t="shared" si="6"/>
        <v>11.069100000000006</v>
      </c>
      <c r="O19" s="2">
        <v>17</v>
      </c>
      <c r="P19">
        <f t="shared" si="7"/>
        <v>4.9123151741415736</v>
      </c>
      <c r="Y19" s="13"/>
      <c r="Z19" s="13"/>
      <c r="AA19" s="2"/>
      <c r="AB19" s="2"/>
      <c r="AC19" s="2"/>
      <c r="AD19" s="2"/>
      <c r="AE19" s="2"/>
      <c r="AF19" s="2"/>
      <c r="AG19" s="2"/>
      <c r="AH19" s="2"/>
    </row>
    <row r="20" spans="2:44" x14ac:dyDescent="0.35">
      <c r="B20" s="2"/>
      <c r="C20" s="2"/>
      <c r="D20" s="2"/>
      <c r="E20" s="2"/>
      <c r="F20" s="13">
        <v>132.67875000000001</v>
      </c>
      <c r="G20" s="13">
        <v>137.7576</v>
      </c>
      <c r="H20" s="2">
        <f t="shared" si="0"/>
        <v>5.0788499999999885</v>
      </c>
      <c r="I20" s="2">
        <f t="shared" si="1"/>
        <v>3.6172300000000064</v>
      </c>
      <c r="J20" s="2">
        <f t="shared" si="2"/>
        <v>0.58403901528044722</v>
      </c>
      <c r="K20" s="2">
        <f t="shared" si="3"/>
        <v>0.41596098471955278</v>
      </c>
      <c r="L20" s="2">
        <f t="shared" si="4"/>
        <v>0.19689496638018494</v>
      </c>
      <c r="M20" s="2">
        <f t="shared" si="5"/>
        <v>0.11499434227835997</v>
      </c>
      <c r="N20" s="2">
        <f t="shared" si="6"/>
        <v>8.6960799999999949</v>
      </c>
      <c r="O20" s="2">
        <v>26</v>
      </c>
      <c r="P20">
        <f t="shared" si="7"/>
        <v>5.1192691258848084</v>
      </c>
      <c r="Y20" s="13"/>
      <c r="Z20" s="13"/>
      <c r="AA20" s="2"/>
      <c r="AB20" s="2"/>
      <c r="AC20" s="2"/>
      <c r="AD20" s="2"/>
      <c r="AE20" s="2"/>
      <c r="AF20" s="2"/>
      <c r="AG20" s="2"/>
      <c r="AH20" s="2"/>
    </row>
    <row r="21" spans="2:44" x14ac:dyDescent="0.35">
      <c r="B21" s="2"/>
      <c r="C21" s="2"/>
      <c r="D21" s="2"/>
      <c r="E21" s="2"/>
      <c r="F21" s="13">
        <v>141.37483</v>
      </c>
      <c r="G21" s="13">
        <v>146.33217999999999</v>
      </c>
      <c r="H21" s="2">
        <f t="shared" si="0"/>
        <v>4.957349999999991</v>
      </c>
      <c r="I21" s="2">
        <f t="shared" si="1"/>
        <v>7.8778499999999951</v>
      </c>
      <c r="J21" s="2">
        <f t="shared" si="2"/>
        <v>0.386230833956619</v>
      </c>
      <c r="K21" s="2">
        <f t="shared" si="3"/>
        <v>0.61376916604338094</v>
      </c>
      <c r="L21" s="2">
        <f t="shared" si="4"/>
        <v>0.20172067737803501</v>
      </c>
      <c r="M21" s="2">
        <f t="shared" si="5"/>
        <v>7.7910745450012545E-2</v>
      </c>
      <c r="N21" s="2">
        <f t="shared" si="6"/>
        <v>12.835199999999986</v>
      </c>
      <c r="O21" s="2">
        <v>25</v>
      </c>
      <c r="P21">
        <f t="shared" si="7"/>
        <v>5.0430169344508746</v>
      </c>
      <c r="Y21" s="13"/>
      <c r="Z21" s="13"/>
      <c r="AA21" s="2"/>
      <c r="AB21" s="2"/>
      <c r="AC21" s="2"/>
      <c r="AD21" s="2"/>
      <c r="AE21" s="2"/>
      <c r="AF21" s="2"/>
      <c r="AG21" s="2"/>
      <c r="AH21" s="2"/>
    </row>
    <row r="22" spans="2:44" x14ac:dyDescent="0.35">
      <c r="B22" s="2"/>
      <c r="C22" s="2"/>
      <c r="D22" s="2"/>
      <c r="E22" s="2"/>
      <c r="F22" s="13">
        <v>154.21002999999999</v>
      </c>
      <c r="G22" s="13">
        <v>159.43459999999999</v>
      </c>
      <c r="H22" s="2">
        <f t="shared" si="0"/>
        <v>5.2245699999999999</v>
      </c>
      <c r="I22" s="2">
        <f t="shared" si="1"/>
        <v>4.72526000000002</v>
      </c>
      <c r="J22" s="2">
        <f t="shared" si="2"/>
        <v>0.52509138347087236</v>
      </c>
      <c r="K22" s="2">
        <f t="shared" si="3"/>
        <v>0.47490861652912769</v>
      </c>
      <c r="L22" s="2">
        <f t="shared" si="4"/>
        <v>0.19140331166009836</v>
      </c>
      <c r="M22" s="2">
        <f t="shared" si="5"/>
        <v>0.10050422972050758</v>
      </c>
      <c r="N22" s="2">
        <f t="shared" si="6"/>
        <v>9.9498300000000199</v>
      </c>
      <c r="O22" s="2">
        <v>32</v>
      </c>
      <c r="P22">
        <f t="shared" si="7"/>
        <v>6.1249059731231474</v>
      </c>
      <c r="Y22" s="13"/>
      <c r="Z22" s="13"/>
      <c r="AA22" s="2"/>
      <c r="AB22" s="2"/>
      <c r="AC22" s="2"/>
      <c r="AD22" s="2"/>
      <c r="AE22" s="2"/>
      <c r="AF22" s="2"/>
      <c r="AG22" s="2"/>
      <c r="AH22" s="2"/>
    </row>
    <row r="23" spans="2:44" x14ac:dyDescent="0.35">
      <c r="B23" s="2"/>
      <c r="C23" s="2"/>
      <c r="D23" s="2"/>
      <c r="E23" s="2"/>
      <c r="F23" s="13">
        <v>164.15986000000001</v>
      </c>
      <c r="G23" s="13">
        <v>168.76105999999999</v>
      </c>
      <c r="H23" s="2">
        <f t="shared" si="0"/>
        <v>4.6011999999999773</v>
      </c>
      <c r="I23" s="2">
        <f t="shared" si="1"/>
        <v>7.4050400000000138</v>
      </c>
      <c r="J23" s="2">
        <f t="shared" si="2"/>
        <v>0.38323405162648594</v>
      </c>
      <c r="K23" s="2">
        <f t="shared" si="3"/>
        <v>0.61676594837351406</v>
      </c>
      <c r="L23" s="2">
        <f t="shared" si="4"/>
        <v>0.21733460836303681</v>
      </c>
      <c r="M23" s="2">
        <f t="shared" si="5"/>
        <v>8.3290022521622153E-2</v>
      </c>
      <c r="N23" s="2">
        <f t="shared" si="6"/>
        <v>12.006239999999991</v>
      </c>
      <c r="O23" s="2">
        <v>26</v>
      </c>
      <c r="P23">
        <f t="shared" si="7"/>
        <v>5.6506998174389569</v>
      </c>
      <c r="Y23" s="13"/>
      <c r="Z23" s="13"/>
      <c r="AA23" s="2"/>
      <c r="AB23" s="2"/>
      <c r="AC23" s="2"/>
      <c r="AD23" s="2"/>
      <c r="AE23" s="2"/>
      <c r="AF23" s="2"/>
      <c r="AG23" s="2"/>
      <c r="AH23" s="2"/>
    </row>
    <row r="24" spans="2:44" x14ac:dyDescent="0.35">
      <c r="B24" s="2"/>
      <c r="C24" s="2"/>
      <c r="D24" s="2"/>
      <c r="E24" s="2"/>
      <c r="F24" s="13">
        <v>176.1661</v>
      </c>
      <c r="G24" s="13">
        <v>181.03954999999999</v>
      </c>
      <c r="H24" s="2">
        <f t="shared" si="0"/>
        <v>4.8734499999999912</v>
      </c>
      <c r="I24" s="2">
        <f t="shared" si="1"/>
        <v>4.857120000000009</v>
      </c>
      <c r="J24" s="2">
        <f t="shared" si="2"/>
        <v>0.5008391080892477</v>
      </c>
      <c r="K24" s="2">
        <f t="shared" si="3"/>
        <v>0.4991608919107523</v>
      </c>
      <c r="L24" s="2">
        <f t="shared" si="4"/>
        <v>0.20519344612133125</v>
      </c>
      <c r="M24" s="2">
        <f t="shared" si="5"/>
        <v>0.10276890254116665</v>
      </c>
      <c r="N24" s="2">
        <f t="shared" si="6"/>
        <v>9.7305700000000002</v>
      </c>
      <c r="O24" s="2">
        <v>27</v>
      </c>
      <c r="P24">
        <f t="shared" si="7"/>
        <v>5.540223045275944</v>
      </c>
      <c r="Y24" s="13"/>
      <c r="Z24" s="13"/>
      <c r="AA24" s="2"/>
      <c r="AB24" s="2"/>
      <c r="AC24" s="2"/>
      <c r="AD24" s="2"/>
      <c r="AE24" s="2"/>
      <c r="AF24" s="2"/>
      <c r="AG24" s="2"/>
      <c r="AH24" s="2"/>
    </row>
    <row r="25" spans="2:44" x14ac:dyDescent="0.35">
      <c r="B25" s="2"/>
      <c r="C25" s="2"/>
      <c r="D25" s="2"/>
      <c r="E25" s="2"/>
      <c r="F25" s="13">
        <v>185.89667</v>
      </c>
      <c r="G25" s="13">
        <v>190.12683000000001</v>
      </c>
      <c r="H25" s="2">
        <f t="shared" si="0"/>
        <v>4.2301600000000121</v>
      </c>
      <c r="I25" s="2">
        <f t="shared" si="1"/>
        <v>7.4127399999999852</v>
      </c>
      <c r="J25" s="2">
        <f t="shared" si="2"/>
        <v>0.36332528837317274</v>
      </c>
      <c r="K25" s="2">
        <f t="shared" si="3"/>
        <v>0.63667471162682721</v>
      </c>
      <c r="L25" s="2">
        <f t="shared" si="4"/>
        <v>0.23639767762921429</v>
      </c>
      <c r="M25" s="2">
        <f t="shared" si="5"/>
        <v>8.5889254395382614E-2</v>
      </c>
      <c r="N25" s="2">
        <f t="shared" si="6"/>
        <v>11.642899999999997</v>
      </c>
      <c r="O25" s="2">
        <v>22</v>
      </c>
      <c r="P25">
        <f t="shared" si="7"/>
        <v>5.2007489078427147</v>
      </c>
      <c r="Y25" s="13"/>
      <c r="Z25" s="13"/>
      <c r="AA25" s="2"/>
      <c r="AB25" s="2"/>
      <c r="AC25" s="2"/>
      <c r="AD25" s="2"/>
      <c r="AE25" s="2"/>
      <c r="AF25" s="2"/>
      <c r="AG25" s="2"/>
      <c r="AH25" s="2"/>
    </row>
    <row r="26" spans="2:44" x14ac:dyDescent="0.35">
      <c r="B26" s="2"/>
      <c r="C26" s="2"/>
      <c r="D26" s="2"/>
      <c r="E26" s="2"/>
      <c r="F26" s="13">
        <v>197.53957</v>
      </c>
      <c r="G26" s="13">
        <v>202.00886</v>
      </c>
      <c r="H26" s="2">
        <f t="shared" si="0"/>
        <v>4.4692900000000009</v>
      </c>
      <c r="I26" s="2">
        <f t="shared" si="1"/>
        <v>4.6673600000000022</v>
      </c>
      <c r="J26" s="2">
        <f t="shared" si="2"/>
        <v>0.48916068799833629</v>
      </c>
      <c r="K26" s="2">
        <f t="shared" si="3"/>
        <v>0.51083931200166366</v>
      </c>
      <c r="L26" s="2">
        <f t="shared" si="4"/>
        <v>0.22374918611233546</v>
      </c>
      <c r="M26" s="2">
        <f t="shared" si="5"/>
        <v>0.10944930581777781</v>
      </c>
      <c r="N26" s="2">
        <f t="shared" si="6"/>
        <v>9.136650000000003</v>
      </c>
      <c r="O26" s="2">
        <v>24</v>
      </c>
      <c r="P26">
        <f t="shared" si="7"/>
        <v>5.3699804666960516</v>
      </c>
      <c r="Y26" s="13"/>
      <c r="Z26" s="13"/>
      <c r="AA26" s="2"/>
      <c r="AB26" s="2"/>
      <c r="AC26" s="2"/>
      <c r="AD26" s="2"/>
      <c r="AE26" s="2"/>
      <c r="AF26" s="2"/>
      <c r="AG26" s="2"/>
      <c r="AH26" s="2"/>
    </row>
    <row r="27" spans="2:44" x14ac:dyDescent="0.35">
      <c r="B27" s="2"/>
      <c r="C27" s="2"/>
      <c r="D27" s="2"/>
      <c r="E27" s="2"/>
      <c r="F27" s="13">
        <v>206.67622</v>
      </c>
      <c r="G27" s="13">
        <v>210.83670000000001</v>
      </c>
      <c r="H27" s="2">
        <f t="shared" si="0"/>
        <v>4.1604800000000068</v>
      </c>
      <c r="I27" s="2">
        <f t="shared" si="1"/>
        <v>8.9935399999999959</v>
      </c>
      <c r="J27" s="2">
        <f t="shared" si="2"/>
        <v>0.31628962096758301</v>
      </c>
      <c r="K27" s="2">
        <f t="shared" si="3"/>
        <v>0.68371037903241705</v>
      </c>
      <c r="L27" s="2">
        <f t="shared" si="4"/>
        <v>0.24035688189824211</v>
      </c>
      <c r="M27" s="2">
        <f t="shared" si="5"/>
        <v>7.6022387072545106E-2</v>
      </c>
      <c r="N27" s="2">
        <f t="shared" si="6"/>
        <v>13.154020000000003</v>
      </c>
      <c r="O27" s="2">
        <v>22</v>
      </c>
      <c r="P27">
        <f t="shared" si="7"/>
        <v>5.2878514017613263</v>
      </c>
      <c r="Y27" s="13"/>
      <c r="Z27" s="13"/>
      <c r="AA27" s="2"/>
      <c r="AB27" s="2"/>
      <c r="AC27" s="2"/>
      <c r="AD27" s="2"/>
      <c r="AE27" s="2"/>
      <c r="AF27" s="2"/>
      <c r="AG27" s="2"/>
      <c r="AH27" s="2"/>
    </row>
    <row r="28" spans="2:44" x14ac:dyDescent="0.35">
      <c r="B28" s="2"/>
      <c r="C28" s="2"/>
      <c r="D28" s="2"/>
      <c r="E28" s="2"/>
      <c r="F28" s="13">
        <v>219.83024</v>
      </c>
      <c r="G28" s="13">
        <v>224.21692999999999</v>
      </c>
      <c r="H28" s="2">
        <f t="shared" si="0"/>
        <v>4.3866899999999873</v>
      </c>
      <c r="I28" s="2">
        <f t="shared" si="1"/>
        <v>4.9514300000000162</v>
      </c>
      <c r="J28" s="2">
        <f t="shared" si="2"/>
        <v>0.46976157941855379</v>
      </c>
      <c r="K28" s="2">
        <f t="shared" si="3"/>
        <v>0.53023842058144621</v>
      </c>
      <c r="L28" s="2">
        <f t="shared" si="4"/>
        <v>0.22796231327037081</v>
      </c>
      <c r="M28" s="2">
        <f t="shared" si="5"/>
        <v>0.10708793632979653</v>
      </c>
      <c r="N28" s="2">
        <f t="shared" si="6"/>
        <v>9.3381200000000035</v>
      </c>
      <c r="O28" s="2">
        <v>25</v>
      </c>
      <c r="P28">
        <f t="shared" si="7"/>
        <v>5.6990578317592702</v>
      </c>
      <c r="Y28" s="13"/>
      <c r="Z28" s="13"/>
      <c r="AA28" s="2"/>
      <c r="AB28" s="2"/>
      <c r="AC28" s="2"/>
      <c r="AD28" s="2"/>
      <c r="AE28" s="2"/>
      <c r="AF28" s="2"/>
      <c r="AG28" s="2"/>
      <c r="AH28" s="2"/>
    </row>
    <row r="29" spans="2:44" x14ac:dyDescent="0.35">
      <c r="B29" s="2"/>
      <c r="C29" s="2"/>
      <c r="D29" s="2"/>
      <c r="E29" s="2"/>
      <c r="F29" s="13">
        <v>229.16836000000001</v>
      </c>
      <c r="G29" s="13">
        <v>233.7627</v>
      </c>
      <c r="H29" s="2">
        <f t="shared" si="0"/>
        <v>4.5943399999999883</v>
      </c>
      <c r="I29" s="2"/>
      <c r="J29" s="2"/>
      <c r="K29" s="2"/>
      <c r="L29" s="2"/>
      <c r="M29" s="2"/>
      <c r="N29" s="2"/>
      <c r="O29" s="2"/>
      <c r="Y29" s="13"/>
      <c r="Z29" s="13"/>
      <c r="AA29" s="2"/>
      <c r="AB29" s="2"/>
      <c r="AC29" s="2"/>
      <c r="AD29" s="2"/>
      <c r="AE29" s="2"/>
      <c r="AF29" s="2"/>
      <c r="AG29" s="2"/>
      <c r="AH29" s="2"/>
    </row>
    <row r="30" spans="2:44" x14ac:dyDescent="0.35">
      <c r="B30" s="2"/>
      <c r="C30" s="2"/>
      <c r="D30" s="2"/>
      <c r="E30" s="2"/>
      <c r="F30" s="13"/>
      <c r="G30" s="13"/>
      <c r="H30" s="2"/>
      <c r="I30" s="2"/>
      <c r="J30" s="2"/>
      <c r="K30" s="2"/>
      <c r="L30" s="2"/>
      <c r="M30" s="2"/>
      <c r="N30" s="2"/>
      <c r="O30" s="2"/>
      <c r="Y30" s="13"/>
      <c r="Z30" s="13"/>
      <c r="AA30" s="2"/>
      <c r="AB30" s="2"/>
      <c r="AC30" s="2"/>
      <c r="AD30" s="2"/>
      <c r="AE30" s="2"/>
      <c r="AF30" s="2"/>
      <c r="AG30" s="2"/>
      <c r="AH30" s="2"/>
    </row>
    <row r="31" spans="2:44" x14ac:dyDescent="0.35">
      <c r="B31" s="2"/>
      <c r="C31" s="2"/>
      <c r="D31" s="2"/>
      <c r="E31" s="2"/>
      <c r="F31" s="13"/>
      <c r="G31" s="13"/>
      <c r="H31" s="2"/>
      <c r="I31" s="2"/>
      <c r="J31" s="2"/>
      <c r="K31" s="2"/>
      <c r="L31" s="2"/>
      <c r="M31" s="2"/>
      <c r="N31" s="2"/>
      <c r="O31" s="2"/>
      <c r="Y31" s="13"/>
      <c r="Z31" s="13"/>
      <c r="AA31" s="2"/>
      <c r="AB31" s="2"/>
      <c r="AC31" s="2"/>
      <c r="AD31" s="2"/>
      <c r="AE31" s="2"/>
      <c r="AF31" s="2"/>
      <c r="AG31" s="2"/>
      <c r="AH31" s="2"/>
    </row>
    <row r="32" spans="2:44" x14ac:dyDescent="0.35">
      <c r="B32" s="2"/>
      <c r="C32" s="2"/>
      <c r="D32" s="2"/>
      <c r="E32" s="2"/>
      <c r="F32" s="13"/>
      <c r="G32" s="13"/>
      <c r="H32" s="2"/>
      <c r="I32" s="2"/>
      <c r="J32" s="2"/>
      <c r="K32" s="2"/>
      <c r="L32" s="2"/>
      <c r="M32" s="2"/>
      <c r="N32" s="2"/>
      <c r="O32" s="2"/>
      <c r="Y32" s="13"/>
      <c r="Z32" s="13"/>
      <c r="AA32" s="2"/>
      <c r="AB32" s="2"/>
      <c r="AC32" s="2"/>
      <c r="AD32" s="2"/>
      <c r="AE32" s="2"/>
      <c r="AF32" s="2"/>
      <c r="AG32" s="2"/>
      <c r="AH32" s="2"/>
    </row>
    <row r="33" spans="2:36" ht="16" thickBot="1" x14ac:dyDescent="0.4">
      <c r="B33" s="2"/>
      <c r="C33" s="2"/>
      <c r="D33" s="2"/>
      <c r="E33" s="2"/>
      <c r="F33" s="13"/>
      <c r="G33" s="13"/>
      <c r="H33" s="9" t="s">
        <v>3</v>
      </c>
      <c r="I33" s="9" t="s">
        <v>4</v>
      </c>
      <c r="J33" s="9" t="s">
        <v>5</v>
      </c>
      <c r="K33" s="9" t="s">
        <v>6</v>
      </c>
      <c r="L33" s="9" t="s">
        <v>7</v>
      </c>
      <c r="M33" s="9" t="s">
        <v>8</v>
      </c>
      <c r="N33" s="9" t="s">
        <v>9</v>
      </c>
      <c r="O33" s="9" t="s">
        <v>10</v>
      </c>
      <c r="P33" s="44" t="s">
        <v>139</v>
      </c>
      <c r="Y33" s="13"/>
      <c r="Z33" s="13"/>
      <c r="AA33" s="2"/>
      <c r="AB33" s="2"/>
      <c r="AC33" s="2"/>
      <c r="AD33" s="2"/>
      <c r="AE33" s="2"/>
      <c r="AF33" s="2"/>
      <c r="AG33" s="2"/>
      <c r="AH33" s="2"/>
    </row>
    <row r="34" spans="2:36" x14ac:dyDescent="0.35">
      <c r="B34" s="2"/>
      <c r="C34" s="2"/>
      <c r="D34" s="2"/>
      <c r="E34" s="2"/>
      <c r="F34" s="13"/>
      <c r="G34" s="49" t="s">
        <v>77</v>
      </c>
      <c r="H34" s="13">
        <f>AVERAGE(H7:H28)</f>
        <v>4.0299036363636338</v>
      </c>
      <c r="I34" s="13">
        <f t="shared" ref="I34:P34" si="8">AVERAGE(I7:I28)</f>
        <v>6.2065981818181832</v>
      </c>
      <c r="J34" s="13">
        <f t="shared" si="8"/>
        <v>0.4075938241767304</v>
      </c>
      <c r="K34" s="13">
        <f t="shared" si="8"/>
        <v>0.5924061758232696</v>
      </c>
      <c r="L34" s="13">
        <f t="shared" si="8"/>
        <v>0.2600191265046799</v>
      </c>
      <c r="M34" s="13">
        <f t="shared" si="8"/>
        <v>0.10097039531931767</v>
      </c>
      <c r="N34" s="13">
        <f t="shared" si="8"/>
        <v>10.23650181818182</v>
      </c>
      <c r="O34" s="13">
        <f t="shared" si="8"/>
        <v>20.272727272727273</v>
      </c>
      <c r="P34" s="13">
        <f t="shared" si="8"/>
        <v>4.9995654273219321</v>
      </c>
      <c r="Y34" s="13"/>
      <c r="Z34" s="13"/>
      <c r="AA34" s="2"/>
      <c r="AB34" s="2"/>
      <c r="AC34" s="2"/>
      <c r="AD34" s="2"/>
      <c r="AE34" s="2"/>
      <c r="AF34" s="2"/>
      <c r="AG34" s="2"/>
      <c r="AH34" s="2"/>
    </row>
    <row r="35" spans="2:36" x14ac:dyDescent="0.35">
      <c r="B35" s="2"/>
      <c r="C35" s="2"/>
      <c r="D35" s="2"/>
      <c r="E35" s="2"/>
      <c r="F35" s="13"/>
      <c r="G35" s="49" t="s">
        <v>94</v>
      </c>
      <c r="H35" s="2">
        <f>_xlfn.STDEV.S(H7:H28)</f>
        <v>0.79748498520897904</v>
      </c>
      <c r="I35" s="2">
        <f t="shared" ref="I35:P35" si="9">_xlfn.STDEV.S(I7:I28)</f>
        <v>2.0663052442939152</v>
      </c>
      <c r="J35" s="2">
        <f t="shared" si="9"/>
        <v>0.11237877664520794</v>
      </c>
      <c r="K35" s="2">
        <f t="shared" si="9"/>
        <v>0.11237877664520765</v>
      </c>
      <c r="L35" s="2">
        <f t="shared" si="9"/>
        <v>6.5981935915590748E-2</v>
      </c>
      <c r="M35" s="2">
        <f t="shared" si="9"/>
        <v>1.9241207909727179E-2</v>
      </c>
      <c r="N35" s="2">
        <f t="shared" si="9"/>
        <v>1.856750849933789</v>
      </c>
      <c r="O35" s="2">
        <f t="shared" si="9"/>
        <v>5.2297848283317867</v>
      </c>
      <c r="P35" s="2">
        <f t="shared" si="9"/>
        <v>0.52820213963401252</v>
      </c>
      <c r="Y35" s="13"/>
      <c r="Z35" s="13"/>
      <c r="AA35" s="2"/>
      <c r="AB35" s="2"/>
      <c r="AC35" s="2"/>
      <c r="AD35" s="2"/>
      <c r="AE35" s="2"/>
      <c r="AF35" s="2"/>
      <c r="AG35" s="2"/>
      <c r="AH35" s="2"/>
    </row>
    <row r="36" spans="2:36" x14ac:dyDescent="0.35">
      <c r="B36" s="2"/>
      <c r="C36" s="2"/>
      <c r="D36" s="2"/>
      <c r="E36" s="2"/>
      <c r="F36" s="13"/>
      <c r="G36" s="49" t="s">
        <v>95</v>
      </c>
      <c r="H36" s="2">
        <f>H35/(SQRT(COUNT(H7:H28)))</f>
        <v>0.17002437012939772</v>
      </c>
      <c r="I36" s="2">
        <f t="shared" ref="I36:P36" si="10">I35/(SQRT(COUNT(I7:I28)))</f>
        <v>0.44053775829281733</v>
      </c>
      <c r="J36" s="2">
        <f t="shared" si="10"/>
        <v>2.3959235683925478E-2</v>
      </c>
      <c r="K36" s="2">
        <f t="shared" si="10"/>
        <v>2.3959235683925415E-2</v>
      </c>
      <c r="L36" s="2">
        <f t="shared" si="10"/>
        <v>1.4067396003733927E-2</v>
      </c>
      <c r="M36" s="2">
        <f t="shared" si="10"/>
        <v>4.1022393099010724E-3</v>
      </c>
      <c r="N36" s="2">
        <f t="shared" si="10"/>
        <v>0.39586061129977235</v>
      </c>
      <c r="O36" s="2">
        <f t="shared" si="10"/>
        <v>1.1149938717860399</v>
      </c>
      <c r="P36" s="2">
        <f t="shared" si="10"/>
        <v>0.11261307455053764</v>
      </c>
      <c r="Y36" s="13"/>
      <c r="Z36" s="13"/>
      <c r="AA36" s="2"/>
      <c r="AB36" s="2"/>
      <c r="AC36" s="2"/>
      <c r="AD36" s="2"/>
      <c r="AE36" s="2"/>
      <c r="AF36" s="2"/>
      <c r="AG36" s="2"/>
      <c r="AH36" s="2"/>
    </row>
    <row r="37" spans="2:36" x14ac:dyDescent="0.35">
      <c r="B37" s="2"/>
      <c r="C37" s="2"/>
      <c r="D37" s="2"/>
      <c r="E37" s="2"/>
      <c r="F37" s="13"/>
      <c r="G37" s="13"/>
      <c r="H37" s="2"/>
      <c r="I37" s="2"/>
      <c r="J37" s="2"/>
      <c r="K37" s="2"/>
      <c r="L37" s="2"/>
      <c r="M37" s="2"/>
      <c r="N37" s="2"/>
      <c r="O37" s="2"/>
      <c r="Y37" s="13"/>
      <c r="Z37" s="13"/>
      <c r="AA37" s="2"/>
      <c r="AB37" s="2"/>
      <c r="AC37" s="2"/>
      <c r="AD37" s="2"/>
      <c r="AE37" s="2"/>
      <c r="AF37" s="2"/>
      <c r="AG37" s="2"/>
      <c r="AH37" s="2"/>
    </row>
    <row r="38" spans="2:36" x14ac:dyDescent="0.35">
      <c r="B38" s="2"/>
      <c r="C38" s="2"/>
      <c r="D38" s="2"/>
      <c r="E38" s="2"/>
      <c r="F38" s="13"/>
      <c r="G38" s="13"/>
      <c r="H38" s="2"/>
      <c r="I38" s="2"/>
      <c r="J38" s="2"/>
      <c r="K38" s="2"/>
      <c r="L38" s="2"/>
      <c r="M38" s="2"/>
      <c r="N38" s="2"/>
      <c r="O38" s="2"/>
      <c r="Y38" s="13"/>
      <c r="Z38" s="13"/>
      <c r="AA38" s="2"/>
      <c r="AB38" s="2"/>
      <c r="AC38" s="2"/>
      <c r="AD38" s="2"/>
      <c r="AE38" s="2"/>
      <c r="AF38" s="2"/>
      <c r="AG38" s="2"/>
      <c r="AH38" s="2"/>
    </row>
    <row r="39" spans="2:36" x14ac:dyDescent="0.35">
      <c r="B39" s="2"/>
      <c r="C39" s="2"/>
      <c r="D39" s="2"/>
      <c r="E39" s="2"/>
      <c r="F39" s="13"/>
      <c r="Y39" s="13"/>
      <c r="Z39" s="13"/>
      <c r="AA39" s="2"/>
      <c r="AB39" s="2"/>
      <c r="AC39" s="2"/>
      <c r="AD39" s="2"/>
      <c r="AE39" s="2"/>
      <c r="AF39" s="2"/>
      <c r="AG39" s="2"/>
      <c r="AH39" s="2"/>
      <c r="AI39" s="2"/>
      <c r="AJ39" s="2"/>
    </row>
    <row r="40" spans="2:36" ht="15.5" x14ac:dyDescent="0.35">
      <c r="B40" s="2"/>
      <c r="C40" s="2"/>
      <c r="D40" s="2"/>
      <c r="E40" s="2"/>
      <c r="F40" s="13"/>
      <c r="Y40" s="13"/>
      <c r="Z40" s="13"/>
      <c r="AA40" s="5"/>
      <c r="AB40" s="5"/>
      <c r="AC40" s="5"/>
      <c r="AD40" s="5"/>
      <c r="AE40" s="5"/>
      <c r="AF40" s="5"/>
      <c r="AG40" s="5"/>
      <c r="AH40" s="5"/>
      <c r="AI40" s="14"/>
      <c r="AJ40" s="2"/>
    </row>
    <row r="41" spans="2:36" x14ac:dyDescent="0.35">
      <c r="B41" s="2"/>
      <c r="C41" s="2"/>
      <c r="D41" s="2"/>
      <c r="E41" s="2"/>
      <c r="F41" s="13"/>
      <c r="Y41" s="13"/>
      <c r="Z41" s="49"/>
      <c r="AA41" s="13"/>
      <c r="AB41" s="13"/>
      <c r="AC41" s="13"/>
      <c r="AD41" s="13"/>
      <c r="AE41" s="13"/>
      <c r="AF41" s="13"/>
      <c r="AG41" s="13"/>
      <c r="AH41" s="13"/>
      <c r="AI41" s="13"/>
      <c r="AJ41" s="2"/>
    </row>
    <row r="42" spans="2:36" ht="18.5" x14ac:dyDescent="0.45">
      <c r="B42" s="2"/>
      <c r="C42" s="2"/>
      <c r="D42" s="2"/>
      <c r="E42" s="2"/>
      <c r="F42" s="1" t="s">
        <v>52</v>
      </c>
      <c r="G42" s="3"/>
      <c r="H42" s="3"/>
      <c r="I42" s="3"/>
      <c r="J42" s="3"/>
      <c r="K42" s="3"/>
      <c r="L42" s="3"/>
      <c r="M42" s="3"/>
      <c r="N42" s="3"/>
      <c r="O42" s="3"/>
      <c r="Y42" s="13"/>
      <c r="Z42" s="49"/>
      <c r="AA42" s="2"/>
      <c r="AB42" s="2"/>
      <c r="AC42" s="2"/>
      <c r="AD42" s="2"/>
      <c r="AE42" s="2"/>
      <c r="AF42" s="2"/>
      <c r="AG42" s="2"/>
      <c r="AH42" s="2"/>
      <c r="AI42" s="2"/>
      <c r="AJ42" s="2"/>
    </row>
    <row r="43" spans="2:36" ht="16" thickBot="1" x14ac:dyDescent="0.4">
      <c r="B43" s="2"/>
      <c r="C43" s="2"/>
      <c r="D43" s="2"/>
      <c r="E43" s="2"/>
      <c r="F43" s="9" t="s">
        <v>1</v>
      </c>
      <c r="G43" s="9" t="s">
        <v>2</v>
      </c>
      <c r="H43" s="9" t="s">
        <v>3</v>
      </c>
      <c r="I43" s="9" t="s">
        <v>4</v>
      </c>
      <c r="J43" s="9" t="s">
        <v>5</v>
      </c>
      <c r="K43" s="9" t="s">
        <v>6</v>
      </c>
      <c r="L43" s="9" t="s">
        <v>7</v>
      </c>
      <c r="M43" s="9" t="s">
        <v>8</v>
      </c>
      <c r="N43" s="9" t="s">
        <v>9</v>
      </c>
      <c r="O43" s="9" t="s">
        <v>10</v>
      </c>
      <c r="P43" s="44" t="s">
        <v>139</v>
      </c>
      <c r="Y43" s="13"/>
      <c r="Z43" s="49"/>
      <c r="AA43" s="2"/>
      <c r="AB43" s="2"/>
      <c r="AC43" s="2"/>
      <c r="AD43" s="2"/>
      <c r="AE43" s="2"/>
      <c r="AF43" s="2"/>
      <c r="AG43" s="2"/>
      <c r="AH43" s="2"/>
      <c r="AI43" s="2"/>
      <c r="AJ43" s="2"/>
    </row>
    <row r="44" spans="2:36" x14ac:dyDescent="0.35">
      <c r="B44" s="2"/>
      <c r="C44" s="2"/>
      <c r="D44" s="2"/>
      <c r="E44" s="2"/>
      <c r="F44" s="2">
        <v>1.0478799999999999</v>
      </c>
      <c r="G44" s="2">
        <v>5.5548999999999999</v>
      </c>
      <c r="H44" s="2">
        <f>G44-F44</f>
        <v>4.5070199999999998</v>
      </c>
      <c r="I44" s="2">
        <f>F45-G44</f>
        <v>5.1781600000000001</v>
      </c>
      <c r="J44" s="2">
        <f>H44/N44</f>
        <v>0.46535221854420883</v>
      </c>
      <c r="K44" s="2">
        <f>I44/N44</f>
        <v>0.53464778145579128</v>
      </c>
      <c r="L44" s="2">
        <f>1/H44</f>
        <v>0.2218760955132216</v>
      </c>
      <c r="M44" s="2">
        <f>1/N44</f>
        <v>0.10325053328900445</v>
      </c>
      <c r="N44" s="2">
        <f>H44+I44</f>
        <v>9.685179999999999</v>
      </c>
      <c r="O44" s="2">
        <v>26</v>
      </c>
      <c r="P44">
        <f>O44/H44</f>
        <v>5.7687784833437616</v>
      </c>
      <c r="AA44" s="2"/>
      <c r="AB44" s="2"/>
      <c r="AC44" s="2"/>
      <c r="AD44" s="2"/>
      <c r="AE44" s="2"/>
      <c r="AF44" s="2"/>
      <c r="AG44" s="2"/>
      <c r="AH44" s="2"/>
      <c r="AI44" s="2"/>
      <c r="AJ44" s="2"/>
    </row>
    <row r="45" spans="2:36" x14ac:dyDescent="0.35">
      <c r="B45" s="2"/>
      <c r="C45" s="2"/>
      <c r="D45" s="2"/>
      <c r="E45" s="2"/>
      <c r="F45" s="2">
        <v>10.73306</v>
      </c>
      <c r="G45" s="2">
        <v>14.664389999999999</v>
      </c>
      <c r="H45" s="2">
        <f t="shared" ref="H45:H65" si="11">G45-F45</f>
        <v>3.9313299999999991</v>
      </c>
      <c r="I45" s="2">
        <f t="shared" ref="I45:I64" si="12">F46-G45</f>
        <v>7.2198900000000013</v>
      </c>
      <c r="J45" s="2">
        <f t="shared" ref="J45:J64" si="13">H45/N45</f>
        <v>0.35254707556661952</v>
      </c>
      <c r="K45" s="2">
        <f t="shared" ref="K45:K64" si="14">I45/N45</f>
        <v>0.64745292443338043</v>
      </c>
      <c r="L45" s="2">
        <f t="shared" ref="L45:L64" si="15">1/H45</f>
        <v>0.2543668427733109</v>
      </c>
      <c r="M45" s="2">
        <f t="shared" ref="M45:M64" si="16">1/N45</f>
        <v>8.9676286540844849E-2</v>
      </c>
      <c r="N45" s="2">
        <f t="shared" ref="N45:N64" si="17">H45+I45</f>
        <v>11.15122</v>
      </c>
      <c r="O45" s="2">
        <v>23</v>
      </c>
      <c r="P45">
        <f t="shared" ref="P45:P64" si="18">O45/H45</f>
        <v>5.8504373837861499</v>
      </c>
      <c r="AA45" s="2"/>
      <c r="AB45" s="2"/>
      <c r="AC45" s="2"/>
      <c r="AD45" s="2"/>
      <c r="AE45" s="2"/>
      <c r="AF45" s="2"/>
      <c r="AG45" s="2"/>
      <c r="AH45" s="2"/>
      <c r="AI45" s="2"/>
      <c r="AJ45" s="2"/>
    </row>
    <row r="46" spans="2:36" x14ac:dyDescent="0.35">
      <c r="B46" s="2"/>
      <c r="C46" s="2"/>
      <c r="D46" s="2"/>
      <c r="E46" s="2"/>
      <c r="F46" s="2">
        <v>21.88428</v>
      </c>
      <c r="G46" s="2">
        <v>27.811879999999999</v>
      </c>
      <c r="H46" s="2">
        <f t="shared" si="11"/>
        <v>5.9275999999999982</v>
      </c>
      <c r="I46" s="2">
        <f t="shared" si="12"/>
        <v>4.0098400000000005</v>
      </c>
      <c r="J46" s="2">
        <f t="shared" si="13"/>
        <v>0.59649165177349484</v>
      </c>
      <c r="K46" s="2">
        <f t="shared" si="14"/>
        <v>0.40350834822650511</v>
      </c>
      <c r="L46" s="2">
        <f t="shared" si="15"/>
        <v>0.16870234158850131</v>
      </c>
      <c r="M46" s="2">
        <f t="shared" si="16"/>
        <v>0.1006295383921815</v>
      </c>
      <c r="N46" s="2">
        <f t="shared" si="17"/>
        <v>9.9374399999999987</v>
      </c>
      <c r="O46" s="2">
        <v>30</v>
      </c>
      <c r="P46">
        <f t="shared" si="18"/>
        <v>5.0610702476550387</v>
      </c>
    </row>
    <row r="47" spans="2:36" s="13" customFormat="1" x14ac:dyDescent="0.35">
      <c r="F47" s="13">
        <v>31.821719999999999</v>
      </c>
      <c r="G47" s="13">
        <v>35.626690000000004</v>
      </c>
      <c r="H47" s="2">
        <f t="shared" si="11"/>
        <v>3.8049700000000044</v>
      </c>
      <c r="I47" s="2">
        <f t="shared" si="12"/>
        <v>7.1776999999999944</v>
      </c>
      <c r="J47" s="2">
        <f t="shared" si="13"/>
        <v>0.34645218330333194</v>
      </c>
      <c r="K47" s="2">
        <f t="shared" si="14"/>
        <v>0.65354781669666806</v>
      </c>
      <c r="L47" s="2">
        <f t="shared" si="15"/>
        <v>0.2628141614782768</v>
      </c>
      <c r="M47" s="2">
        <f t="shared" si="16"/>
        <v>9.1052540047183439E-2</v>
      </c>
      <c r="N47" s="2">
        <f t="shared" si="17"/>
        <v>10.982669999999999</v>
      </c>
      <c r="O47" s="13">
        <v>21</v>
      </c>
      <c r="P47">
        <f t="shared" si="18"/>
        <v>5.5190973910438128</v>
      </c>
    </row>
    <row r="48" spans="2:36" s="13" customFormat="1" x14ac:dyDescent="0.35">
      <c r="B48" s="28"/>
      <c r="F48" s="13">
        <v>42.804389999999998</v>
      </c>
      <c r="G48" s="13">
        <v>47.167850000000001</v>
      </c>
      <c r="H48" s="2">
        <f t="shared" si="11"/>
        <v>4.3634600000000034</v>
      </c>
      <c r="I48" s="2">
        <f t="shared" si="12"/>
        <v>5.3674699999999973</v>
      </c>
      <c r="J48" s="2">
        <f t="shared" si="13"/>
        <v>0.44841140569298138</v>
      </c>
      <c r="K48" s="2">
        <f t="shared" si="14"/>
        <v>0.55158859430701868</v>
      </c>
      <c r="L48" s="2">
        <f t="shared" si="15"/>
        <v>0.22917592919380472</v>
      </c>
      <c r="M48" s="2">
        <f t="shared" si="16"/>
        <v>0.10276510056078915</v>
      </c>
      <c r="N48" s="2">
        <f t="shared" si="17"/>
        <v>9.7309300000000007</v>
      </c>
      <c r="O48" s="13">
        <v>25</v>
      </c>
      <c r="P48">
        <f t="shared" si="18"/>
        <v>5.7293982298451187</v>
      </c>
    </row>
    <row r="49" spans="2:18" s="13" customFormat="1" x14ac:dyDescent="0.35">
      <c r="B49" s="28"/>
      <c r="F49" s="13">
        <v>52.535319999999999</v>
      </c>
      <c r="G49" s="13">
        <v>56.336840000000002</v>
      </c>
      <c r="H49" s="2">
        <f t="shared" si="11"/>
        <v>3.8015200000000036</v>
      </c>
      <c r="I49" s="2">
        <f t="shared" si="12"/>
        <v>7.3835100000000011</v>
      </c>
      <c r="J49" s="2">
        <f t="shared" si="13"/>
        <v>0.33987570887159013</v>
      </c>
      <c r="K49" s="2">
        <f t="shared" si="14"/>
        <v>0.66012429112840987</v>
      </c>
      <c r="L49" s="2">
        <f t="shared" si="15"/>
        <v>0.26305267366737489</v>
      </c>
      <c r="M49" s="2">
        <f t="shared" si="16"/>
        <v>8.9405213933266128E-2</v>
      </c>
      <c r="N49" s="2">
        <f t="shared" si="17"/>
        <v>11.185030000000005</v>
      </c>
      <c r="O49" s="13">
        <v>23</v>
      </c>
      <c r="P49">
        <f t="shared" si="18"/>
        <v>6.0502114943496226</v>
      </c>
    </row>
    <row r="50" spans="2:18" s="13" customFormat="1" x14ac:dyDescent="0.35">
      <c r="F50" s="13">
        <v>63.720350000000003</v>
      </c>
      <c r="G50" s="13">
        <v>69.727109999999996</v>
      </c>
      <c r="H50" s="2">
        <f t="shared" si="11"/>
        <v>6.0067599999999928</v>
      </c>
      <c r="I50" s="2">
        <f t="shared" si="12"/>
        <v>5.3315199999999976</v>
      </c>
      <c r="J50" s="2">
        <f t="shared" si="13"/>
        <v>0.52977700321389121</v>
      </c>
      <c r="K50" s="2">
        <f t="shared" si="14"/>
        <v>0.47022299678610885</v>
      </c>
      <c r="L50" s="2">
        <f t="shared" si="15"/>
        <v>0.16647910021375936</v>
      </c>
      <c r="M50" s="2">
        <f t="shared" si="16"/>
        <v>8.8196798808990506E-2</v>
      </c>
      <c r="N50" s="2">
        <f t="shared" si="17"/>
        <v>11.33827999999999</v>
      </c>
      <c r="O50" s="13">
        <v>30</v>
      </c>
      <c r="P50">
        <f t="shared" si="18"/>
        <v>4.9943730064127809</v>
      </c>
    </row>
    <row r="51" spans="2:18" s="13" customFormat="1" x14ac:dyDescent="0.35">
      <c r="F51" s="13">
        <v>75.058629999999994</v>
      </c>
      <c r="G51" s="13">
        <v>79.260180000000005</v>
      </c>
      <c r="H51" s="2">
        <f t="shared" si="11"/>
        <v>4.2015500000000117</v>
      </c>
      <c r="I51" s="2">
        <f t="shared" si="12"/>
        <v>8.625559999999993</v>
      </c>
      <c r="J51" s="2">
        <f t="shared" si="13"/>
        <v>0.32755234811270895</v>
      </c>
      <c r="K51" s="2">
        <f t="shared" si="14"/>
        <v>0.67244765188729105</v>
      </c>
      <c r="L51" s="2">
        <f t="shared" si="15"/>
        <v>0.23800740203020249</v>
      </c>
      <c r="M51" s="2">
        <f t="shared" si="16"/>
        <v>7.7959883403198357E-2</v>
      </c>
      <c r="N51" s="2">
        <f t="shared" si="17"/>
        <v>12.827110000000005</v>
      </c>
      <c r="O51" s="13">
        <v>25</v>
      </c>
      <c r="P51">
        <f t="shared" si="18"/>
        <v>5.9501850507550618</v>
      </c>
    </row>
    <row r="52" spans="2:18" s="13" customFormat="1" ht="15.5" x14ac:dyDescent="0.35">
      <c r="B52" s="14"/>
      <c r="C52" s="14"/>
      <c r="D52" s="14"/>
      <c r="E52" s="14"/>
      <c r="F52" s="13">
        <v>87.885739999999998</v>
      </c>
      <c r="G52" s="13">
        <v>92.288359999999997</v>
      </c>
      <c r="H52" s="2">
        <f t="shared" si="11"/>
        <v>4.4026199999999989</v>
      </c>
      <c r="I52" s="2">
        <f t="shared" si="12"/>
        <v>5.4904800000000051</v>
      </c>
      <c r="J52" s="2">
        <f t="shared" si="13"/>
        <v>0.44501925584498259</v>
      </c>
      <c r="K52" s="2">
        <f t="shared" si="14"/>
        <v>0.55498074415501741</v>
      </c>
      <c r="L52" s="2">
        <f t="shared" si="15"/>
        <v>0.22713747722946798</v>
      </c>
      <c r="M52" s="2">
        <f t="shared" si="16"/>
        <v>0.10108055109116451</v>
      </c>
      <c r="N52" s="2">
        <f t="shared" si="17"/>
        <v>9.893100000000004</v>
      </c>
      <c r="O52" s="2">
        <v>26</v>
      </c>
      <c r="P52">
        <f t="shared" si="18"/>
        <v>5.9055744079661672</v>
      </c>
      <c r="R52" s="14"/>
    </row>
    <row r="53" spans="2:18" s="13" customFormat="1" x14ac:dyDescent="0.35">
      <c r="F53" s="13">
        <v>97.778840000000002</v>
      </c>
      <c r="G53" s="13">
        <v>102.00608</v>
      </c>
      <c r="H53" s="2">
        <f t="shared" si="11"/>
        <v>4.2272399999999948</v>
      </c>
      <c r="I53" s="2">
        <f t="shared" si="12"/>
        <v>8.6531200000000013</v>
      </c>
      <c r="J53" s="2">
        <f t="shared" si="13"/>
        <v>0.32819269026642084</v>
      </c>
      <c r="K53" s="2">
        <f t="shared" si="14"/>
        <v>0.67180730973357916</v>
      </c>
      <c r="L53" s="2">
        <f t="shared" si="15"/>
        <v>0.23656097122472375</v>
      </c>
      <c r="M53" s="2">
        <f t="shared" si="16"/>
        <v>7.7637581558279448E-2</v>
      </c>
      <c r="N53" s="2">
        <f t="shared" si="17"/>
        <v>12.880359999999996</v>
      </c>
      <c r="O53" s="2">
        <v>25</v>
      </c>
      <c r="P53">
        <f t="shared" si="18"/>
        <v>5.9140242806180936</v>
      </c>
    </row>
    <row r="54" spans="2:18" s="13" customFormat="1" x14ac:dyDescent="0.35">
      <c r="F54" s="13">
        <v>110.6592</v>
      </c>
      <c r="G54" s="13">
        <v>115.27715000000001</v>
      </c>
      <c r="H54" s="2">
        <f t="shared" si="11"/>
        <v>4.6179500000000075</v>
      </c>
      <c r="I54" s="2">
        <f t="shared" si="12"/>
        <v>5.3676499999999976</v>
      </c>
      <c r="J54" s="2">
        <f t="shared" si="13"/>
        <v>0.46246094375901348</v>
      </c>
      <c r="K54" s="2">
        <f t="shared" si="14"/>
        <v>0.53753905624098652</v>
      </c>
      <c r="L54" s="2">
        <f t="shared" si="15"/>
        <v>0.21654630301324146</v>
      </c>
      <c r="M54" s="2">
        <f t="shared" si="16"/>
        <v>0.10014420765902896</v>
      </c>
      <c r="N54" s="2">
        <f t="shared" si="17"/>
        <v>9.9856000000000051</v>
      </c>
      <c r="O54" s="2">
        <v>28</v>
      </c>
      <c r="P54">
        <f t="shared" si="18"/>
        <v>6.0632964843707606</v>
      </c>
    </row>
    <row r="55" spans="2:18" s="13" customFormat="1" x14ac:dyDescent="0.35">
      <c r="F55" s="13">
        <v>120.6448</v>
      </c>
      <c r="G55" s="13">
        <v>124.70965</v>
      </c>
      <c r="H55" s="2">
        <f t="shared" si="11"/>
        <v>4.0648499999999927</v>
      </c>
      <c r="I55" s="2">
        <f t="shared" si="12"/>
        <v>9.0325900000000132</v>
      </c>
      <c r="J55" s="2">
        <f t="shared" si="13"/>
        <v>0.31035454256709638</v>
      </c>
      <c r="K55" s="2">
        <f t="shared" si="14"/>
        <v>0.68964545743290362</v>
      </c>
      <c r="L55" s="2">
        <f t="shared" si="15"/>
        <v>0.24601153794112987</v>
      </c>
      <c r="M55" s="2">
        <f t="shared" si="16"/>
        <v>7.6350798323947242E-2</v>
      </c>
      <c r="N55" s="2">
        <f t="shared" si="17"/>
        <v>13.097440000000006</v>
      </c>
      <c r="O55" s="2">
        <v>25</v>
      </c>
      <c r="P55">
        <f t="shared" si="18"/>
        <v>6.1502884485282472</v>
      </c>
    </row>
    <row r="56" spans="2:18" s="13" customFormat="1" x14ac:dyDescent="0.35">
      <c r="F56" s="13">
        <v>133.74224000000001</v>
      </c>
      <c r="G56" s="13">
        <v>138.33832000000001</v>
      </c>
      <c r="H56" s="2">
        <f t="shared" si="11"/>
        <v>4.5960800000000006</v>
      </c>
      <c r="I56" s="2">
        <f t="shared" si="12"/>
        <v>5.6428999999999974</v>
      </c>
      <c r="J56" s="2">
        <f t="shared" si="13"/>
        <v>0.44888065022101825</v>
      </c>
      <c r="K56" s="2">
        <f t="shared" si="14"/>
        <v>0.55111934977898169</v>
      </c>
      <c r="L56" s="2">
        <f t="shared" si="15"/>
        <v>0.21757671755060831</v>
      </c>
      <c r="M56" s="2">
        <f t="shared" si="16"/>
        <v>9.7665978447071894E-2</v>
      </c>
      <c r="N56" s="2">
        <f t="shared" si="17"/>
        <v>10.238979999999998</v>
      </c>
      <c r="O56" s="2">
        <v>28</v>
      </c>
      <c r="P56">
        <f t="shared" si="18"/>
        <v>6.092148091417033</v>
      </c>
    </row>
    <row r="57" spans="2:18" s="13" customFormat="1" x14ac:dyDescent="0.35">
      <c r="F57" s="13">
        <v>143.98122000000001</v>
      </c>
      <c r="G57" s="13">
        <v>148.06695999999999</v>
      </c>
      <c r="H57" s="2">
        <f t="shared" si="11"/>
        <v>4.085739999999987</v>
      </c>
      <c r="I57" s="2">
        <f t="shared" si="12"/>
        <v>9.083280000000002</v>
      </c>
      <c r="J57" s="2">
        <f t="shared" si="13"/>
        <v>0.31025391411054054</v>
      </c>
      <c r="K57" s="2">
        <f t="shared" si="14"/>
        <v>0.68974608588945951</v>
      </c>
      <c r="L57" s="2">
        <f t="shared" si="15"/>
        <v>0.24475370434731608</v>
      </c>
      <c r="M57" s="2">
        <f t="shared" si="16"/>
        <v>7.5935794766808826E-2</v>
      </c>
      <c r="N57" s="2">
        <f t="shared" si="17"/>
        <v>13.169019999999989</v>
      </c>
      <c r="O57" s="2">
        <v>25</v>
      </c>
      <c r="P57">
        <f t="shared" si="18"/>
        <v>6.1188426086829022</v>
      </c>
    </row>
    <row r="58" spans="2:18" s="13" customFormat="1" x14ac:dyDescent="0.35">
      <c r="F58" s="13">
        <v>157.15024</v>
      </c>
      <c r="G58" s="13">
        <v>161.83680000000001</v>
      </c>
      <c r="H58" s="2">
        <f t="shared" si="11"/>
        <v>4.6865600000000143</v>
      </c>
      <c r="I58" s="2">
        <f t="shared" si="12"/>
        <v>5.5962600000000009</v>
      </c>
      <c r="J58" s="2">
        <f t="shared" si="13"/>
        <v>0.45576602527322341</v>
      </c>
      <c r="K58" s="2">
        <f t="shared" si="14"/>
        <v>0.54423397472677659</v>
      </c>
      <c r="L58" s="2">
        <f t="shared" si="15"/>
        <v>0.21337612235840295</v>
      </c>
      <c r="M58" s="2">
        <f t="shared" si="16"/>
        <v>9.7249587175502292E-2</v>
      </c>
      <c r="N58" s="2">
        <f t="shared" si="17"/>
        <v>10.282820000000015</v>
      </c>
      <c r="O58" s="2">
        <v>28</v>
      </c>
      <c r="P58">
        <f t="shared" si="18"/>
        <v>5.9745314260352824</v>
      </c>
    </row>
    <row r="59" spans="2:18" s="13" customFormat="1" x14ac:dyDescent="0.35">
      <c r="F59" s="13">
        <v>167.43306000000001</v>
      </c>
      <c r="G59" s="13">
        <v>171.50593000000001</v>
      </c>
      <c r="H59" s="2">
        <f t="shared" si="11"/>
        <v>4.0728699999999947</v>
      </c>
      <c r="I59" s="2">
        <f t="shared" si="12"/>
        <v>9.3659999999999854</v>
      </c>
      <c r="J59" s="2">
        <f t="shared" si="13"/>
        <v>0.30306640364852111</v>
      </c>
      <c r="K59" s="2">
        <f t="shared" si="14"/>
        <v>0.69693359635147889</v>
      </c>
      <c r="L59" s="2">
        <f t="shared" si="15"/>
        <v>0.24552710987583726</v>
      </c>
      <c r="M59" s="2">
        <f t="shared" si="16"/>
        <v>7.4411018188285286E-2</v>
      </c>
      <c r="N59" s="2">
        <f t="shared" si="17"/>
        <v>13.43886999999998</v>
      </c>
      <c r="O59" s="2">
        <v>25</v>
      </c>
      <c r="P59">
        <f t="shared" si="18"/>
        <v>6.1381777468959315</v>
      </c>
    </row>
    <row r="60" spans="2:18" s="13" customFormat="1" x14ac:dyDescent="0.35">
      <c r="F60" s="13">
        <v>180.87192999999999</v>
      </c>
      <c r="G60" s="13">
        <v>185.34208000000001</v>
      </c>
      <c r="H60" s="2">
        <f t="shared" si="11"/>
        <v>4.4701500000000181</v>
      </c>
      <c r="I60" s="2">
        <f t="shared" si="12"/>
        <v>5.9430899999999838</v>
      </c>
      <c r="J60" s="2">
        <f t="shared" si="13"/>
        <v>0.42927561450614959</v>
      </c>
      <c r="K60" s="2">
        <f t="shared" si="14"/>
        <v>0.57072438549385041</v>
      </c>
      <c r="L60" s="2">
        <f t="shared" si="15"/>
        <v>0.22370613961500083</v>
      </c>
      <c r="M60" s="2">
        <f t="shared" si="16"/>
        <v>9.6031590552027979E-2</v>
      </c>
      <c r="N60" s="2">
        <f t="shared" si="17"/>
        <v>10.413240000000002</v>
      </c>
      <c r="O60" s="2">
        <v>28</v>
      </c>
      <c r="P60">
        <f t="shared" si="18"/>
        <v>6.263771909220023</v>
      </c>
    </row>
    <row r="61" spans="2:18" s="13" customFormat="1" x14ac:dyDescent="0.35">
      <c r="F61" s="13">
        <v>191.28516999999999</v>
      </c>
      <c r="G61" s="13">
        <v>192.02576999999999</v>
      </c>
      <c r="H61" s="2">
        <f t="shared" si="11"/>
        <v>0.74060000000000059</v>
      </c>
      <c r="I61" s="2">
        <f t="shared" si="12"/>
        <v>5.9018900000000087</v>
      </c>
      <c r="J61" s="2">
        <f t="shared" si="13"/>
        <v>0.11149433420298707</v>
      </c>
      <c r="K61" s="2">
        <f t="shared" si="14"/>
        <v>0.88850566579701296</v>
      </c>
      <c r="L61" s="2">
        <f t="shared" si="15"/>
        <v>1.3502565487442604</v>
      </c>
      <c r="M61" s="2">
        <f t="shared" si="16"/>
        <v>0.15054595490546446</v>
      </c>
      <c r="N61" s="2">
        <f t="shared" si="17"/>
        <v>6.6424900000000093</v>
      </c>
      <c r="O61" s="2">
        <v>8</v>
      </c>
      <c r="P61">
        <f t="shared" si="18"/>
        <v>10.802052389954083</v>
      </c>
    </row>
    <row r="62" spans="2:18" s="13" customFormat="1" x14ac:dyDescent="0.35">
      <c r="F62" s="13">
        <v>197.92766</v>
      </c>
      <c r="G62" s="13">
        <v>204.11374000000001</v>
      </c>
      <c r="H62" s="2">
        <f t="shared" si="11"/>
        <v>6.186080000000004</v>
      </c>
      <c r="I62" s="2">
        <f t="shared" si="12"/>
        <v>5.8381100000000004</v>
      </c>
      <c r="J62" s="2">
        <f t="shared" si="13"/>
        <v>0.51446958173481971</v>
      </c>
      <c r="K62" s="2">
        <f t="shared" si="14"/>
        <v>0.48553041826518029</v>
      </c>
      <c r="L62" s="2">
        <f t="shared" si="15"/>
        <v>0.16165326022295207</v>
      </c>
      <c r="M62" s="2">
        <f t="shared" si="16"/>
        <v>8.3165685172972126E-2</v>
      </c>
      <c r="N62" s="2">
        <f t="shared" si="17"/>
        <v>12.024190000000004</v>
      </c>
      <c r="O62" s="2">
        <v>33</v>
      </c>
      <c r="P62">
        <f t="shared" si="18"/>
        <v>5.334557587357418</v>
      </c>
    </row>
    <row r="63" spans="2:18" s="13" customFormat="1" x14ac:dyDescent="0.35">
      <c r="F63" s="13">
        <v>209.95185000000001</v>
      </c>
      <c r="G63" s="13">
        <v>214.15303</v>
      </c>
      <c r="H63" s="2">
        <f t="shared" si="11"/>
        <v>4.2011799999999937</v>
      </c>
      <c r="I63" s="2">
        <f t="shared" si="12"/>
        <v>7.7512099999999862</v>
      </c>
      <c r="J63" s="2">
        <f t="shared" si="13"/>
        <v>0.35149288134005002</v>
      </c>
      <c r="K63" s="2">
        <f t="shared" si="14"/>
        <v>0.64850711865994992</v>
      </c>
      <c r="L63" s="2">
        <f t="shared" si="15"/>
        <v>0.23802836345979023</v>
      </c>
      <c r="M63" s="2">
        <f t="shared" si="16"/>
        <v>8.3665275313138346E-2</v>
      </c>
      <c r="N63" s="2">
        <f t="shared" si="17"/>
        <v>11.95238999999998</v>
      </c>
      <c r="O63" s="2">
        <v>26</v>
      </c>
      <c r="P63">
        <f t="shared" si="18"/>
        <v>6.1887374499545462</v>
      </c>
    </row>
    <row r="64" spans="2:18" s="13" customFormat="1" x14ac:dyDescent="0.35">
      <c r="F64" s="13">
        <v>221.90423999999999</v>
      </c>
      <c r="G64" s="13">
        <v>228.15777</v>
      </c>
      <c r="H64" s="2">
        <f t="shared" si="11"/>
        <v>6.253530000000012</v>
      </c>
      <c r="I64" s="2">
        <f t="shared" si="12"/>
        <v>5.6752199999999959</v>
      </c>
      <c r="J64" s="2">
        <f t="shared" si="13"/>
        <v>0.5242401760452694</v>
      </c>
      <c r="K64" s="2">
        <f t="shared" si="14"/>
        <v>0.47575982395473054</v>
      </c>
      <c r="L64" s="2">
        <f t="shared" si="15"/>
        <v>0.15990968301103506</v>
      </c>
      <c r="M64" s="2">
        <f t="shared" si="16"/>
        <v>8.3831080373048247E-2</v>
      </c>
      <c r="N64" s="2">
        <f t="shared" si="17"/>
        <v>11.928750000000008</v>
      </c>
      <c r="O64" s="2">
        <v>33</v>
      </c>
      <c r="P64">
        <f t="shared" si="18"/>
        <v>5.277019539364157</v>
      </c>
    </row>
    <row r="65" spans="6:16" s="13" customFormat="1" x14ac:dyDescent="0.35">
      <c r="F65" s="13">
        <v>233.83299</v>
      </c>
      <c r="G65" s="13">
        <v>238.47279</v>
      </c>
      <c r="H65" s="2">
        <f t="shared" si="11"/>
        <v>4.6398000000000081</v>
      </c>
      <c r="I65" s="2"/>
      <c r="J65" s="2"/>
      <c r="K65" s="2"/>
      <c r="L65" s="2"/>
      <c r="M65" s="2"/>
      <c r="N65" s="2"/>
      <c r="O65" s="2">
        <v>29</v>
      </c>
      <c r="P65"/>
    </row>
    <row r="66" spans="6:16" s="13" customFormat="1" x14ac:dyDescent="0.35">
      <c r="H66" s="2"/>
      <c r="I66" s="2"/>
      <c r="J66" s="2"/>
      <c r="K66" s="2"/>
      <c r="L66" s="2"/>
      <c r="M66" s="2"/>
      <c r="N66" s="2"/>
      <c r="O66" s="2"/>
      <c r="P66"/>
    </row>
    <row r="67" spans="6:16" s="13" customFormat="1" x14ac:dyDescent="0.35">
      <c r="H67" s="2"/>
      <c r="I67" s="2"/>
      <c r="J67" s="2"/>
      <c r="K67" s="2"/>
      <c r="L67" s="2"/>
      <c r="M67" s="2"/>
      <c r="N67" s="2"/>
      <c r="O67" s="2"/>
      <c r="P67"/>
    </row>
    <row r="68" spans="6:16" s="13" customFormat="1" x14ac:dyDescent="0.35">
      <c r="H68" s="2"/>
      <c r="I68" s="2"/>
      <c r="J68" s="2"/>
      <c r="K68" s="2"/>
      <c r="L68" s="2"/>
      <c r="M68" s="2"/>
      <c r="N68" s="2"/>
      <c r="O68" s="2"/>
      <c r="P68"/>
    </row>
    <row r="69" spans="6:16" s="13" customFormat="1" x14ac:dyDescent="0.35">
      <c r="H69" s="2"/>
      <c r="I69" s="2"/>
      <c r="J69" s="2"/>
      <c r="K69" s="2"/>
      <c r="L69" s="2"/>
      <c r="M69" s="2"/>
      <c r="N69" s="2"/>
      <c r="O69" s="2"/>
      <c r="P69"/>
    </row>
    <row r="70" spans="6:16" s="13" customFormat="1" ht="16" thickBot="1" x14ac:dyDescent="0.4">
      <c r="H70" s="9" t="s">
        <v>3</v>
      </c>
      <c r="I70" s="9" t="s">
        <v>4</v>
      </c>
      <c r="J70" s="9" t="s">
        <v>5</v>
      </c>
      <c r="K70" s="9" t="s">
        <v>6</v>
      </c>
      <c r="L70" s="9" t="s">
        <v>7</v>
      </c>
      <c r="M70" s="9" t="s">
        <v>8</v>
      </c>
      <c r="N70" s="9" t="s">
        <v>9</v>
      </c>
      <c r="O70" s="9" t="s">
        <v>10</v>
      </c>
      <c r="P70" s="44" t="s">
        <v>139</v>
      </c>
    </row>
    <row r="71" spans="6:16" s="13" customFormat="1" x14ac:dyDescent="0.35">
      <c r="G71" s="49" t="s">
        <v>77</v>
      </c>
      <c r="H71" s="13">
        <f>AVERAGE(H44:H64)</f>
        <v>4.4356980952380969</v>
      </c>
      <c r="I71" s="13">
        <f t="shared" ref="I71:P71" si="19">AVERAGE(I44:I64)</f>
        <v>6.6493071428571415</v>
      </c>
      <c r="J71" s="13">
        <f t="shared" si="19"/>
        <v>0.40006793374280569</v>
      </c>
      <c r="K71" s="13">
        <f t="shared" si="19"/>
        <v>0.5999320662571942</v>
      </c>
      <c r="L71" s="13">
        <f t="shared" si="19"/>
        <v>0.27550088024058184</v>
      </c>
      <c r="M71" s="13">
        <f t="shared" si="19"/>
        <v>9.2411952309628481E-2</v>
      </c>
      <c r="N71" s="13">
        <f t="shared" si="19"/>
        <v>11.085005238095238</v>
      </c>
      <c r="O71" s="13">
        <f t="shared" si="19"/>
        <v>25.761904761904763</v>
      </c>
      <c r="P71" s="13">
        <f t="shared" si="19"/>
        <v>6.0545987455979047</v>
      </c>
    </row>
    <row r="72" spans="6:16" s="13" customFormat="1" x14ac:dyDescent="0.35">
      <c r="G72" s="49" t="s">
        <v>94</v>
      </c>
      <c r="H72" s="2">
        <f>_xlfn.STDEV.S(H44:H64)</f>
        <v>1.1499972054732102</v>
      </c>
      <c r="I72" s="2">
        <f t="shared" ref="I72:P72" si="20">_xlfn.STDEV.S(I44:I64)</f>
        <v>1.5739410842440771</v>
      </c>
      <c r="J72" s="2">
        <f t="shared" si="20"/>
        <v>0.10795902902906707</v>
      </c>
      <c r="K72" s="2">
        <f t="shared" si="20"/>
        <v>0.10795902902906748</v>
      </c>
      <c r="L72" s="2">
        <f t="shared" si="20"/>
        <v>0.24831934679917902</v>
      </c>
      <c r="M72" s="2">
        <f t="shared" si="20"/>
        <v>1.6466885843330635E-2</v>
      </c>
      <c r="N72" s="2">
        <f t="shared" si="20"/>
        <v>1.6111020171100829</v>
      </c>
      <c r="O72" s="2">
        <f t="shared" si="20"/>
        <v>5.0882684864771184</v>
      </c>
      <c r="P72" s="2">
        <f t="shared" si="20"/>
        <v>1.1495929187982954</v>
      </c>
    </row>
    <row r="73" spans="6:16" s="13" customFormat="1" x14ac:dyDescent="0.35">
      <c r="G73" s="49" t="s">
        <v>95</v>
      </c>
      <c r="H73" s="2">
        <f>H72/(SQRT(COUNT(H44:H64)))</f>
        <v>0.25094996395565095</v>
      </c>
      <c r="I73" s="2">
        <f t="shared" ref="I73:P73" si="21">I72/(SQRT(COUNT(I44:I64)))</f>
        <v>0.34346210275949285</v>
      </c>
      <c r="J73" s="2">
        <f t="shared" si="21"/>
        <v>2.3558591546649275E-2</v>
      </c>
      <c r="K73" s="2">
        <f t="shared" si="21"/>
        <v>2.3558591546649365E-2</v>
      </c>
      <c r="L73" s="2">
        <f t="shared" si="21"/>
        <v>5.4187723963296575E-2</v>
      </c>
      <c r="M73" s="2">
        <f t="shared" si="21"/>
        <v>3.5933690874885415E-3</v>
      </c>
      <c r="N73" s="2">
        <f t="shared" si="21"/>
        <v>0.351571283128714</v>
      </c>
      <c r="O73" s="2">
        <f t="shared" si="21"/>
        <v>1.1103512140733229</v>
      </c>
      <c r="P73" s="2">
        <f t="shared" si="21"/>
        <v>0.25086174137040052</v>
      </c>
    </row>
    <row r="74" spans="6:16" s="13" customFormat="1" x14ac:dyDescent="0.35"/>
    <row r="75" spans="6:16" s="13" customFormat="1" x14ac:dyDescent="0.35"/>
    <row r="76" spans="6:16" s="13" customFormat="1" x14ac:dyDescent="0.35"/>
    <row r="77" spans="6:16" s="13" customFormat="1" x14ac:dyDescent="0.35"/>
    <row r="78" spans="6:16" s="13" customFormat="1" x14ac:dyDescent="0.35"/>
    <row r="79" spans="6:16" s="13" customFormat="1" x14ac:dyDescent="0.35"/>
    <row r="80" spans="6:16" s="13" customFormat="1" x14ac:dyDescent="0.35"/>
    <row r="81" s="13" customFormat="1" x14ac:dyDescent="0.35"/>
    <row r="82" s="13" customFormat="1" x14ac:dyDescent="0.35"/>
    <row r="83" s="13" customFormat="1" x14ac:dyDescent="0.35"/>
    <row r="84" s="13" customFormat="1" x14ac:dyDescent="0.35"/>
    <row r="85" s="13" customFormat="1" x14ac:dyDescent="0.35"/>
    <row r="86" s="13" customFormat="1" x14ac:dyDescent="0.35"/>
    <row r="87" s="13" customFormat="1" x14ac:dyDescent="0.35"/>
    <row r="88" s="13" customFormat="1" x14ac:dyDescent="0.35"/>
    <row r="89" s="13" customFormat="1" x14ac:dyDescent="0.35"/>
    <row r="90" s="13" customFormat="1" x14ac:dyDescent="0.35"/>
    <row r="91" s="13" customFormat="1" x14ac:dyDescent="0.35"/>
    <row r="92" s="13" customFormat="1" x14ac:dyDescent="0.35"/>
    <row r="93" s="13" customFormat="1" x14ac:dyDescent="0.35"/>
    <row r="94" s="13" customFormat="1" x14ac:dyDescent="0.35"/>
    <row r="95" s="13" customFormat="1" x14ac:dyDescent="0.35"/>
    <row r="96" s="13" customFormat="1" x14ac:dyDescent="0.35"/>
    <row r="97" spans="5:16" s="13" customFormat="1" x14ac:dyDescent="0.35"/>
    <row r="98" spans="5:16" s="13" customFormat="1" x14ac:dyDescent="0.35"/>
    <row r="99" spans="5:16" s="13" customFormat="1" x14ac:dyDescent="0.35"/>
    <row r="100" spans="5:16" s="13" customFormat="1" x14ac:dyDescent="0.35"/>
    <row r="101" spans="5:16" s="13" customFormat="1" x14ac:dyDescent="0.35"/>
    <row r="102" spans="5:16" s="13" customFormat="1" x14ac:dyDescent="0.35"/>
    <row r="103" spans="5:16" s="13" customFormat="1" ht="15.5" x14ac:dyDescent="0.35">
      <c r="E103" s="49"/>
      <c r="H103" s="14"/>
      <c r="I103" s="14"/>
      <c r="J103" s="14"/>
      <c r="K103" s="14"/>
      <c r="L103" s="14"/>
      <c r="M103" s="14"/>
      <c r="N103" s="14"/>
      <c r="O103" s="14"/>
      <c r="P103" s="14"/>
    </row>
    <row r="104" spans="5:16" s="13" customFormat="1" x14ac:dyDescent="0.35">
      <c r="E104" s="49"/>
      <c r="G104" s="49"/>
    </row>
    <row r="105" spans="5:16" s="13" customFormat="1" x14ac:dyDescent="0.35">
      <c r="E105" s="49"/>
      <c r="G105" s="49"/>
    </row>
    <row r="106" spans="5:16" s="13" customFormat="1" x14ac:dyDescent="0.35">
      <c r="E106" s="49"/>
      <c r="G106" s="49"/>
    </row>
    <row r="107" spans="5:16" s="13" customFormat="1" x14ac:dyDescent="0.35">
      <c r="E107" s="49"/>
    </row>
    <row r="108" spans="5:16" s="13" customFormat="1" ht="15.5" x14ac:dyDescent="0.35">
      <c r="E108" s="49"/>
      <c r="H108" s="14"/>
      <c r="I108" s="14"/>
      <c r="J108" s="14"/>
      <c r="K108" s="14"/>
      <c r="L108" s="14"/>
      <c r="M108" s="14"/>
      <c r="N108" s="14"/>
      <c r="O108" s="14"/>
      <c r="P108" s="14"/>
    </row>
    <row r="109" spans="5:16" s="13" customFormat="1" x14ac:dyDescent="0.35">
      <c r="G109" s="49"/>
    </row>
    <row r="110" spans="5:16" s="13" customFormat="1" x14ac:dyDescent="0.35">
      <c r="G110" s="49"/>
    </row>
    <row r="111" spans="5:16" s="13" customFormat="1" x14ac:dyDescent="0.35">
      <c r="G111" s="49"/>
    </row>
    <row r="112" spans="5:16" s="13" customFormat="1" x14ac:dyDescent="0.35"/>
    <row r="113" spans="1:20" s="13" customFormat="1" ht="15.5" x14ac:dyDescent="0.35">
      <c r="H113" s="14"/>
      <c r="I113" s="14"/>
      <c r="J113" s="14"/>
      <c r="K113" s="14"/>
      <c r="L113" s="14"/>
      <c r="M113" s="14"/>
      <c r="N113" s="14"/>
      <c r="O113" s="14"/>
      <c r="P113" s="14"/>
    </row>
    <row r="114" spans="1:20" s="13" customFormat="1" x14ac:dyDescent="0.35">
      <c r="G114" s="49"/>
    </row>
    <row r="115" spans="1:20" s="13" customFormat="1" x14ac:dyDescent="0.35">
      <c r="G115" s="49"/>
    </row>
    <row r="116" spans="1:20" s="13" customFormat="1" x14ac:dyDescent="0.35">
      <c r="G116" s="49"/>
    </row>
    <row r="117" spans="1:20" s="13" customFormat="1" x14ac:dyDescent="0.35"/>
    <row r="118" spans="1:20" s="13" customFormat="1" x14ac:dyDescent="0.35"/>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49"/>
      <c r="E129" s="49"/>
      <c r="F129" s="13"/>
      <c r="G129" s="49"/>
      <c r="H129" s="13"/>
      <c r="I129" s="13"/>
      <c r="J129" s="13"/>
      <c r="K129" s="13"/>
      <c r="L129" s="13"/>
      <c r="M129" s="13"/>
      <c r="N129" s="13"/>
      <c r="O129" s="13"/>
      <c r="P129" s="13"/>
      <c r="Q129" s="13"/>
      <c r="R129" s="13"/>
      <c r="S129" s="13"/>
      <c r="T129" s="13"/>
    </row>
    <row r="130" spans="1:20" x14ac:dyDescent="0.35">
      <c r="A130" s="13"/>
      <c r="B130" s="13"/>
      <c r="C130" s="13"/>
      <c r="D130" s="49"/>
      <c r="E130" s="49"/>
      <c r="F130" s="13"/>
      <c r="G130" s="13"/>
      <c r="H130" s="13"/>
      <c r="I130" s="13"/>
      <c r="J130" s="13"/>
      <c r="K130" s="13"/>
      <c r="L130" s="13"/>
      <c r="M130" s="13"/>
      <c r="N130" s="13"/>
      <c r="O130" s="13"/>
      <c r="P130" s="13"/>
      <c r="Q130" s="13"/>
      <c r="R130" s="13"/>
      <c r="S130" s="13"/>
      <c r="T130" s="13"/>
    </row>
    <row r="131" spans="1:20" x14ac:dyDescent="0.35">
      <c r="A131" s="13"/>
      <c r="B131" s="13"/>
      <c r="C131" s="13"/>
      <c r="D131" s="49"/>
      <c r="E131" s="49"/>
      <c r="F131" s="13"/>
      <c r="G131" s="13"/>
      <c r="H131" s="13"/>
      <c r="I131" s="13"/>
      <c r="J131" s="13"/>
      <c r="K131" s="13"/>
      <c r="L131" s="13"/>
      <c r="M131" s="13"/>
      <c r="N131" s="13"/>
      <c r="O131" s="13"/>
      <c r="P131" s="13"/>
      <c r="Q131" s="13"/>
      <c r="R131" s="13"/>
      <c r="S131" s="13"/>
      <c r="T131" s="13"/>
    </row>
    <row r="132" spans="1:20" x14ac:dyDescent="0.35">
      <c r="A132" s="13"/>
      <c r="B132" s="13"/>
      <c r="C132" s="13"/>
      <c r="D132" s="49"/>
      <c r="E132" s="49"/>
      <c r="F132" s="13"/>
      <c r="G132" s="49"/>
      <c r="H132" s="13"/>
      <c r="I132" s="13"/>
      <c r="J132" s="13"/>
      <c r="K132" s="13"/>
      <c r="L132" s="13"/>
      <c r="M132" s="13"/>
      <c r="N132" s="13"/>
      <c r="O132" s="13"/>
      <c r="P132" s="13"/>
      <c r="Q132" s="13"/>
      <c r="R132" s="13"/>
      <c r="S132" s="13"/>
      <c r="T132" s="13"/>
    </row>
    <row r="133" spans="1:20" x14ac:dyDescent="0.35">
      <c r="A133" s="13"/>
      <c r="B133" s="13"/>
      <c r="C133" s="13"/>
      <c r="D133" s="49"/>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49"/>
      <c r="F139" s="49"/>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ht="18.5" x14ac:dyDescent="0.45">
      <c r="A142" s="13"/>
      <c r="B142" s="13"/>
      <c r="C142" s="13"/>
      <c r="D142" s="13"/>
      <c r="E142" s="13"/>
      <c r="F142" s="149"/>
      <c r="G142" s="13"/>
      <c r="H142" s="13"/>
      <c r="I142" s="13"/>
      <c r="J142" s="13"/>
      <c r="K142" s="13"/>
      <c r="L142" s="13"/>
      <c r="M142" s="13"/>
      <c r="N142" s="13"/>
      <c r="O142" s="13"/>
      <c r="P142" s="13"/>
      <c r="Q142" s="13"/>
      <c r="R142" s="13"/>
      <c r="S142" s="13"/>
      <c r="T142" s="13"/>
    </row>
    <row r="143" spans="1:20" ht="15.5" x14ac:dyDescent="0.35">
      <c r="A143" s="13"/>
      <c r="B143" s="14"/>
      <c r="C143" s="14"/>
      <c r="D143" s="14"/>
      <c r="E143" s="14"/>
      <c r="F143" s="14"/>
      <c r="G143" s="14"/>
      <c r="H143" s="14"/>
      <c r="I143" s="14"/>
      <c r="J143" s="14"/>
      <c r="K143" s="14"/>
      <c r="L143" s="14"/>
      <c r="M143" s="14"/>
      <c r="N143" s="14"/>
      <c r="O143" s="14"/>
      <c r="P143" s="14"/>
      <c r="Q143" s="13"/>
      <c r="R143" s="14"/>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49"/>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ht="15.5" x14ac:dyDescent="0.35">
      <c r="A171" s="13"/>
      <c r="B171" s="13"/>
      <c r="C171" s="13"/>
      <c r="D171" s="13"/>
      <c r="E171" s="13"/>
      <c r="F171" s="13"/>
      <c r="G171" s="13"/>
      <c r="H171" s="14"/>
      <c r="I171" s="14"/>
      <c r="J171" s="14"/>
      <c r="K171" s="14"/>
      <c r="L171" s="14"/>
      <c r="M171" s="14"/>
      <c r="N171" s="14"/>
      <c r="O171" s="14"/>
      <c r="P171" s="14"/>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49"/>
      <c r="F174" s="13"/>
      <c r="G174" s="49"/>
      <c r="H174" s="13"/>
      <c r="I174" s="13"/>
      <c r="J174" s="13"/>
      <c r="K174" s="13"/>
      <c r="L174" s="13"/>
      <c r="M174" s="13"/>
      <c r="N174" s="13"/>
      <c r="O174" s="13"/>
      <c r="P174" s="13"/>
      <c r="Q174" s="13"/>
      <c r="R174" s="13"/>
      <c r="S174" s="13"/>
      <c r="T174" s="13"/>
    </row>
    <row r="175" spans="1:20" x14ac:dyDescent="0.35">
      <c r="A175" s="13"/>
      <c r="B175" s="13"/>
      <c r="C175" s="13"/>
      <c r="D175" s="13"/>
      <c r="E175" s="49"/>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13"/>
      <c r="G176" s="13"/>
      <c r="H176" s="13"/>
      <c r="I176" s="13"/>
      <c r="J176" s="13"/>
      <c r="K176" s="13"/>
      <c r="L176" s="13"/>
      <c r="M176" s="13"/>
      <c r="N176" s="13"/>
      <c r="O176" s="13"/>
      <c r="P176" s="13"/>
      <c r="Q176" s="13"/>
      <c r="R176" s="13"/>
      <c r="S176" s="13"/>
      <c r="T176" s="13"/>
    </row>
    <row r="177" spans="1:20" x14ac:dyDescent="0.35">
      <c r="A177" s="13"/>
      <c r="B177" s="13"/>
      <c r="C177" s="13"/>
      <c r="D177" s="13"/>
      <c r="E177" s="49"/>
      <c r="F177" s="13"/>
      <c r="G177" s="49"/>
      <c r="H177" s="13"/>
      <c r="I177" s="13"/>
      <c r="J177" s="13"/>
      <c r="K177" s="13"/>
      <c r="L177" s="13"/>
      <c r="M177" s="13"/>
      <c r="N177" s="13"/>
      <c r="O177" s="13"/>
      <c r="P177" s="13"/>
      <c r="Q177" s="13"/>
      <c r="R177" s="13"/>
      <c r="S177" s="13"/>
      <c r="T177" s="13"/>
    </row>
    <row r="178" spans="1:20" x14ac:dyDescent="0.35">
      <c r="A178" s="13"/>
      <c r="B178" s="13"/>
      <c r="C178" s="13"/>
      <c r="D178" s="13"/>
      <c r="E178" s="49"/>
      <c r="F178" s="13"/>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49"/>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49"/>
      <c r="F181" s="49"/>
      <c r="G181" s="49"/>
      <c r="H181" s="13"/>
      <c r="I181" s="13"/>
      <c r="J181" s="13"/>
      <c r="K181" s="13"/>
      <c r="L181" s="13"/>
      <c r="M181" s="13"/>
      <c r="N181" s="13"/>
      <c r="O181" s="13"/>
      <c r="P181" s="13"/>
      <c r="Q181" s="13"/>
      <c r="R181" s="13"/>
      <c r="S181" s="13"/>
      <c r="T181" s="13"/>
    </row>
    <row r="182" spans="1:20" x14ac:dyDescent="0.35">
      <c r="A182" s="13"/>
      <c r="B182" s="13"/>
      <c r="C182" s="13"/>
      <c r="D182" s="13"/>
      <c r="E182" s="49"/>
      <c r="F182" s="49"/>
      <c r="G182" s="49"/>
      <c r="H182" s="13"/>
      <c r="I182" s="13"/>
      <c r="J182" s="13"/>
      <c r="K182" s="13"/>
      <c r="L182" s="13"/>
      <c r="M182" s="13"/>
      <c r="N182" s="13"/>
      <c r="O182" s="13"/>
      <c r="P182" s="13"/>
      <c r="Q182" s="13"/>
      <c r="R182" s="13"/>
      <c r="S182" s="13"/>
      <c r="T182" s="13"/>
    </row>
    <row r="183" spans="1:20" x14ac:dyDescent="0.35">
      <c r="A183" s="13"/>
      <c r="B183" s="13"/>
      <c r="C183" s="13"/>
      <c r="D183" s="13"/>
      <c r="E183" s="49"/>
      <c r="F183" s="49"/>
      <c r="G183" s="49"/>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13"/>
      <c r="F191" s="13"/>
      <c r="G191" s="13"/>
      <c r="H191" s="13"/>
      <c r="I191" s="13"/>
      <c r="J191" s="13"/>
      <c r="K191" s="13"/>
      <c r="L191" s="13"/>
      <c r="M191" s="13"/>
      <c r="N191" s="13"/>
      <c r="O191" s="13"/>
      <c r="P191" s="13"/>
      <c r="Q191" s="13"/>
      <c r="R191" s="13"/>
      <c r="S191" s="13"/>
      <c r="T191" s="13"/>
    </row>
    <row r="192" spans="1:20" x14ac:dyDescent="0.35">
      <c r="A192" s="13"/>
      <c r="B192" s="13"/>
      <c r="C192" s="13"/>
      <c r="D192" s="13"/>
      <c r="E192" s="13"/>
      <c r="F192" s="13"/>
      <c r="G192" s="13"/>
      <c r="H192" s="13"/>
      <c r="I192" s="13"/>
      <c r="J192" s="13"/>
      <c r="K192" s="13"/>
      <c r="L192" s="13"/>
      <c r="M192" s="13"/>
      <c r="N192" s="13"/>
      <c r="O192" s="13"/>
      <c r="P192" s="13"/>
      <c r="Q192" s="13"/>
      <c r="R192" s="13"/>
      <c r="S192" s="13"/>
      <c r="T192" s="13"/>
    </row>
    <row r="193" spans="1:20" x14ac:dyDescent="0.35">
      <c r="A193" s="13"/>
      <c r="B193" s="13"/>
      <c r="C193" s="13"/>
      <c r="D193" s="13"/>
      <c r="E193" s="13"/>
      <c r="F193" s="13"/>
      <c r="G193" s="13"/>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195"/>
  <sheetViews>
    <sheetView topLeftCell="A13" workbookViewId="0">
      <selection activeCell="C39" sqref="C39"/>
    </sheetView>
  </sheetViews>
  <sheetFormatPr defaultRowHeight="14.5" x14ac:dyDescent="0.35"/>
  <cols>
    <col min="2" max="2" width="10.54296875" customWidth="1"/>
    <col min="3" max="3" width="10.26953125" customWidth="1"/>
    <col min="13" max="13" width="11" customWidth="1"/>
  </cols>
  <sheetData>
    <row r="4" spans="2:44" ht="18.5" x14ac:dyDescent="0.45">
      <c r="B4" s="2"/>
      <c r="C4" s="1" t="s">
        <v>107</v>
      </c>
      <c r="D4" s="2"/>
      <c r="E4" s="2"/>
      <c r="F4" s="2"/>
      <c r="G4" s="2"/>
      <c r="H4" s="2"/>
      <c r="I4" s="2"/>
      <c r="J4" s="2"/>
      <c r="K4" s="2"/>
      <c r="L4" s="2"/>
      <c r="M4" s="2"/>
      <c r="N4" s="2"/>
      <c r="O4" s="2"/>
      <c r="X4" s="2"/>
      <c r="Y4" s="2"/>
      <c r="Z4" s="2"/>
      <c r="AA4" s="2"/>
      <c r="AB4" s="2"/>
      <c r="AC4" s="2"/>
      <c r="AD4" s="2"/>
      <c r="AE4" s="2"/>
      <c r="AF4" s="2"/>
      <c r="AG4" s="2"/>
      <c r="AH4" s="2"/>
      <c r="AI4" s="2"/>
      <c r="AJ4" s="2"/>
      <c r="AK4" s="2"/>
      <c r="AL4" s="2"/>
      <c r="AM4" s="2"/>
      <c r="AN4" s="2"/>
      <c r="AO4" s="2"/>
      <c r="AP4" s="2"/>
      <c r="AQ4" s="2"/>
      <c r="AR4" s="2"/>
    </row>
    <row r="5" spans="2:44" ht="18.5" x14ac:dyDescent="0.45">
      <c r="B5" s="2"/>
      <c r="C5" s="2"/>
      <c r="D5" s="2"/>
      <c r="E5" s="2"/>
      <c r="F5" s="1" t="s">
        <v>0</v>
      </c>
      <c r="G5" s="3"/>
      <c r="H5" s="3"/>
      <c r="I5" s="3"/>
      <c r="J5" s="3"/>
      <c r="K5" s="3"/>
      <c r="L5" s="3"/>
      <c r="M5" s="3"/>
      <c r="N5" s="3"/>
      <c r="O5" s="3"/>
      <c r="X5" s="2"/>
      <c r="Y5" s="1"/>
      <c r="Z5" s="3"/>
      <c r="AA5" s="3"/>
      <c r="AB5" s="3"/>
      <c r="AC5" s="3"/>
      <c r="AD5" s="3"/>
      <c r="AE5" s="3"/>
      <c r="AF5" s="3"/>
      <c r="AG5" s="3"/>
      <c r="AH5" s="3"/>
      <c r="AI5" s="2"/>
      <c r="AJ5" s="2"/>
      <c r="AK5" s="2"/>
      <c r="AL5" s="2"/>
      <c r="AM5" s="2"/>
      <c r="AN5" s="2"/>
      <c r="AO5" s="2"/>
      <c r="AP5" s="2"/>
      <c r="AQ5" s="2"/>
      <c r="AR5" s="2"/>
    </row>
    <row r="6" spans="2:4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c r="S6" s="14"/>
      <c r="X6" s="2"/>
      <c r="Y6" s="5"/>
      <c r="Z6" s="5"/>
      <c r="AA6" s="5"/>
      <c r="AB6" s="5"/>
      <c r="AC6" s="5"/>
      <c r="AD6" s="5"/>
      <c r="AE6" s="5"/>
      <c r="AF6" s="5"/>
      <c r="AG6" s="5"/>
      <c r="AH6" s="5"/>
      <c r="AI6" s="14"/>
      <c r="AJ6" s="2"/>
      <c r="AK6" s="14"/>
      <c r="AL6" s="2"/>
      <c r="AM6" s="2"/>
      <c r="AN6" s="2"/>
      <c r="AO6" s="2"/>
      <c r="AP6" s="2"/>
      <c r="AQ6" s="2"/>
      <c r="AR6" s="2"/>
    </row>
    <row r="7" spans="2:44" x14ac:dyDescent="0.35">
      <c r="B7" s="2"/>
      <c r="C7" s="2"/>
      <c r="D7" s="2"/>
      <c r="E7" s="2"/>
      <c r="F7" s="2">
        <v>194.27687</v>
      </c>
      <c r="G7" s="2">
        <v>197.61753999999999</v>
      </c>
      <c r="H7" s="2">
        <f>G7-F7</f>
        <v>3.3406699999999887</v>
      </c>
      <c r="I7" s="2">
        <f>F8-G7</f>
        <v>4.6342800000000182</v>
      </c>
      <c r="J7" s="2">
        <f>H7/N7</f>
        <v>0.41889541627220056</v>
      </c>
      <c r="K7" s="2">
        <f>I7/N7</f>
        <v>0.5811045837277995</v>
      </c>
      <c r="L7" s="2">
        <f>1/H7</f>
        <v>0.29934115012856805</v>
      </c>
      <c r="M7" s="2">
        <f>1/N7</f>
        <v>0.12539263569050579</v>
      </c>
      <c r="N7" s="2">
        <f>H7+I7</f>
        <v>7.9749500000000069</v>
      </c>
      <c r="O7" s="2">
        <v>16</v>
      </c>
      <c r="P7">
        <f>O7/H7</f>
        <v>4.7894584020570887</v>
      </c>
      <c r="X7" s="2"/>
      <c r="Y7" s="2"/>
      <c r="Z7" s="2"/>
      <c r="AA7" s="2"/>
      <c r="AB7" s="2"/>
      <c r="AC7" s="2"/>
      <c r="AD7" s="2"/>
      <c r="AE7" s="2"/>
      <c r="AF7" s="2"/>
      <c r="AG7" s="2"/>
      <c r="AH7" s="2"/>
      <c r="AI7" s="2"/>
      <c r="AJ7" s="2"/>
      <c r="AK7" s="2"/>
      <c r="AL7" s="2"/>
      <c r="AM7" s="2"/>
      <c r="AN7" s="2"/>
      <c r="AO7" s="2"/>
      <c r="AP7" s="2"/>
      <c r="AQ7" s="2"/>
      <c r="AR7" s="2"/>
    </row>
    <row r="8" spans="2:44" x14ac:dyDescent="0.35">
      <c r="B8" s="2"/>
      <c r="C8" s="2"/>
      <c r="D8" s="2"/>
      <c r="E8" s="2"/>
      <c r="F8" s="2">
        <v>202.25182000000001</v>
      </c>
      <c r="G8" s="2">
        <v>204.31491</v>
      </c>
      <c r="H8" s="2">
        <f t="shared" ref="H8:H37" si="0">G8-F8</f>
        <v>2.0630899999999883</v>
      </c>
      <c r="I8" s="2">
        <f t="shared" ref="I8:I36" si="1">F9-G8</f>
        <v>5.9247200000000078</v>
      </c>
      <c r="J8" s="2">
        <f t="shared" ref="J8:J36" si="2">H8/N8</f>
        <v>0.25827980385111682</v>
      </c>
      <c r="K8" s="2">
        <f t="shared" ref="K8:K36" si="3">I8/N8</f>
        <v>0.74172019614888318</v>
      </c>
      <c r="L8" s="2">
        <f t="shared" ref="L8:L36" si="4">1/H8</f>
        <v>0.48470982846119443</v>
      </c>
      <c r="M8" s="2">
        <f t="shared" ref="M8:M36" si="5">1/N8</f>
        <v>0.12519075941966579</v>
      </c>
      <c r="N8" s="2">
        <f t="shared" ref="N8:N36" si="6">H8+I8</f>
        <v>7.9878099999999961</v>
      </c>
      <c r="O8" s="2">
        <v>12</v>
      </c>
      <c r="P8">
        <f t="shared" ref="P8:P36" si="7">O8/H8</f>
        <v>5.8165179415343333</v>
      </c>
      <c r="X8" s="2"/>
      <c r="Y8" s="2"/>
      <c r="Z8" s="2"/>
      <c r="AA8" s="2"/>
      <c r="AB8" s="2"/>
      <c r="AC8" s="2"/>
      <c r="AD8" s="2"/>
      <c r="AE8" s="2"/>
      <c r="AF8" s="2"/>
      <c r="AG8" s="2"/>
      <c r="AH8" s="2"/>
      <c r="AI8" s="2"/>
      <c r="AJ8" s="2"/>
      <c r="AK8" s="2"/>
      <c r="AL8" s="2"/>
      <c r="AM8" s="2"/>
      <c r="AN8" s="2"/>
      <c r="AO8" s="2"/>
      <c r="AP8" s="2"/>
      <c r="AQ8" s="2"/>
      <c r="AR8" s="2"/>
    </row>
    <row r="9" spans="2:44" x14ac:dyDescent="0.35">
      <c r="B9" s="2"/>
      <c r="C9" s="2"/>
      <c r="D9" s="2"/>
      <c r="E9" s="2"/>
      <c r="F9" s="2">
        <v>210.23963000000001</v>
      </c>
      <c r="G9" s="2">
        <v>212.24162999999999</v>
      </c>
      <c r="H9" s="2">
        <f t="shared" si="0"/>
        <v>2.0019999999999811</v>
      </c>
      <c r="I9" s="2">
        <f t="shared" si="1"/>
        <v>5.8027200000000221</v>
      </c>
      <c r="J9" s="2">
        <f t="shared" si="2"/>
        <v>0.25651144435674572</v>
      </c>
      <c r="K9" s="2">
        <f t="shared" si="3"/>
        <v>0.74348855564325433</v>
      </c>
      <c r="L9" s="2">
        <f t="shared" si="4"/>
        <v>0.49950049950050424</v>
      </c>
      <c r="M9" s="2">
        <f t="shared" si="5"/>
        <v>0.12812759458379028</v>
      </c>
      <c r="N9" s="2">
        <f t="shared" si="6"/>
        <v>7.8047200000000032</v>
      </c>
      <c r="O9" s="2">
        <v>13</v>
      </c>
      <c r="P9">
        <f t="shared" si="7"/>
        <v>6.4935064935065547</v>
      </c>
      <c r="X9" s="2"/>
      <c r="Y9" s="2"/>
      <c r="Z9" s="2"/>
      <c r="AA9" s="2"/>
      <c r="AB9" s="2"/>
      <c r="AC9" s="2"/>
      <c r="AD9" s="2"/>
      <c r="AE9" s="2"/>
      <c r="AF9" s="2"/>
      <c r="AG9" s="2"/>
      <c r="AH9" s="2"/>
      <c r="AI9" s="2"/>
      <c r="AJ9" s="2"/>
      <c r="AK9" s="2"/>
      <c r="AL9" s="2"/>
      <c r="AM9" s="2"/>
      <c r="AN9" s="2"/>
      <c r="AO9" s="2"/>
      <c r="AP9" s="2"/>
      <c r="AQ9" s="2"/>
      <c r="AR9" s="2"/>
    </row>
    <row r="10" spans="2:44" x14ac:dyDescent="0.35">
      <c r="B10" s="2"/>
      <c r="C10" s="2"/>
      <c r="D10" s="2"/>
      <c r="E10" s="2"/>
      <c r="F10" s="13">
        <v>218.04435000000001</v>
      </c>
      <c r="G10" s="13">
        <v>221.4769</v>
      </c>
      <c r="H10" s="2">
        <f t="shared" si="0"/>
        <v>3.432549999999992</v>
      </c>
      <c r="I10" s="2">
        <f t="shared" si="1"/>
        <v>6.0987199999999859</v>
      </c>
      <c r="J10" s="2">
        <f t="shared" si="2"/>
        <v>0.36013563774816998</v>
      </c>
      <c r="K10" s="2">
        <f t="shared" si="3"/>
        <v>0.63986436225183008</v>
      </c>
      <c r="L10" s="2">
        <f t="shared" si="4"/>
        <v>0.29132860409899414</v>
      </c>
      <c r="M10" s="2">
        <f t="shared" si="5"/>
        <v>0.10491781263147537</v>
      </c>
      <c r="N10" s="2">
        <f t="shared" si="6"/>
        <v>9.5312699999999779</v>
      </c>
      <c r="O10" s="13">
        <v>18</v>
      </c>
      <c r="P10">
        <f t="shared" si="7"/>
        <v>5.2439148737818941</v>
      </c>
      <c r="X10" s="2"/>
      <c r="Y10" s="13"/>
      <c r="Z10" s="13"/>
      <c r="AA10" s="2"/>
      <c r="AB10" s="2"/>
      <c r="AC10" s="2"/>
      <c r="AD10" s="2"/>
      <c r="AE10" s="2"/>
      <c r="AF10" s="2"/>
      <c r="AG10" s="2"/>
      <c r="AH10" s="13"/>
      <c r="AI10" s="2"/>
      <c r="AJ10" s="2"/>
      <c r="AK10" s="2"/>
      <c r="AL10" s="2"/>
      <c r="AM10" s="2"/>
      <c r="AN10" s="2"/>
      <c r="AO10" s="2"/>
      <c r="AP10" s="2"/>
      <c r="AQ10" s="2"/>
      <c r="AR10" s="2"/>
    </row>
    <row r="11" spans="2:44" x14ac:dyDescent="0.35">
      <c r="B11" s="2"/>
      <c r="C11" s="2"/>
      <c r="D11" s="2"/>
      <c r="E11" s="2"/>
      <c r="F11" s="13">
        <v>227.57561999999999</v>
      </c>
      <c r="G11" s="13">
        <v>229.47495000000001</v>
      </c>
      <c r="H11" s="2">
        <f t="shared" si="0"/>
        <v>1.8993300000000204</v>
      </c>
      <c r="I11" s="2">
        <f t="shared" si="1"/>
        <v>5.8620999999999981</v>
      </c>
      <c r="J11" s="2">
        <f t="shared" si="2"/>
        <v>0.24471392514008578</v>
      </c>
      <c r="K11" s="2">
        <f t="shared" si="3"/>
        <v>0.75528607485991428</v>
      </c>
      <c r="L11" s="2">
        <f t="shared" si="4"/>
        <v>0.52650145051149055</v>
      </c>
      <c r="M11" s="2">
        <f t="shared" si="5"/>
        <v>0.12884223654661545</v>
      </c>
      <c r="N11" s="2">
        <f t="shared" si="6"/>
        <v>7.7614300000000185</v>
      </c>
      <c r="O11" s="13">
        <v>12</v>
      </c>
      <c r="P11">
        <f t="shared" si="7"/>
        <v>6.3180174061378862</v>
      </c>
      <c r="X11" s="2"/>
      <c r="Y11" s="13"/>
      <c r="Z11" s="13"/>
      <c r="AA11" s="2"/>
      <c r="AB11" s="2"/>
      <c r="AC11" s="2"/>
      <c r="AD11" s="2"/>
      <c r="AE11" s="2"/>
      <c r="AF11" s="2"/>
      <c r="AG11" s="2"/>
      <c r="AH11" s="13"/>
      <c r="AI11" s="2"/>
      <c r="AJ11" s="2"/>
      <c r="AK11" s="2"/>
      <c r="AL11" s="2"/>
      <c r="AM11" s="2"/>
      <c r="AN11" s="2"/>
      <c r="AO11" s="2"/>
      <c r="AP11" s="2"/>
      <c r="AQ11" s="2"/>
      <c r="AR11" s="2"/>
    </row>
    <row r="12" spans="2:44" x14ac:dyDescent="0.35">
      <c r="B12" s="2"/>
      <c r="C12" s="2"/>
      <c r="D12" s="2"/>
      <c r="E12" s="2"/>
      <c r="F12" s="13">
        <v>235.33705</v>
      </c>
      <c r="G12" s="13">
        <v>238.51589000000001</v>
      </c>
      <c r="H12" s="2">
        <f t="shared" si="0"/>
        <v>3.1788400000000081</v>
      </c>
      <c r="I12" s="2">
        <f t="shared" si="1"/>
        <v>6.1811499999999739</v>
      </c>
      <c r="J12" s="2">
        <f t="shared" si="2"/>
        <v>0.33962002096156235</v>
      </c>
      <c r="K12" s="2">
        <f t="shared" si="3"/>
        <v>0.66037997903843759</v>
      </c>
      <c r="L12" s="2">
        <f t="shared" si="4"/>
        <v>0.31458016131670591</v>
      </c>
      <c r="M12" s="2">
        <f t="shared" si="5"/>
        <v>0.10683772098047134</v>
      </c>
      <c r="N12" s="2">
        <f t="shared" si="6"/>
        <v>9.359989999999982</v>
      </c>
      <c r="O12" s="13">
        <v>15</v>
      </c>
      <c r="P12">
        <f t="shared" si="7"/>
        <v>4.7187024197505885</v>
      </c>
      <c r="X12" s="2"/>
      <c r="Y12" s="13"/>
      <c r="Z12" s="13"/>
      <c r="AA12" s="2"/>
      <c r="AB12" s="2"/>
      <c r="AC12" s="2"/>
      <c r="AD12" s="2"/>
      <c r="AE12" s="2"/>
      <c r="AF12" s="2"/>
      <c r="AG12" s="2"/>
      <c r="AH12" s="13"/>
      <c r="AI12" s="2"/>
      <c r="AJ12" s="2"/>
      <c r="AK12" s="2"/>
      <c r="AL12" s="2"/>
      <c r="AM12" s="2"/>
      <c r="AN12" s="2"/>
      <c r="AO12" s="2"/>
      <c r="AP12" s="2"/>
      <c r="AQ12" s="2"/>
      <c r="AR12" s="2"/>
    </row>
    <row r="13" spans="2:44" x14ac:dyDescent="0.35">
      <c r="B13" s="2"/>
      <c r="C13" s="2"/>
      <c r="D13" s="2"/>
      <c r="E13" s="2"/>
      <c r="F13" s="13">
        <v>244.69703999999999</v>
      </c>
      <c r="G13" s="13">
        <v>246.83949999999999</v>
      </c>
      <c r="H13" s="2">
        <f t="shared" si="0"/>
        <v>2.1424599999999998</v>
      </c>
      <c r="I13" s="2">
        <f t="shared" si="1"/>
        <v>7.4377500000000225</v>
      </c>
      <c r="J13" s="2">
        <f t="shared" si="2"/>
        <v>0.22363392869258553</v>
      </c>
      <c r="K13" s="2">
        <f t="shared" si="3"/>
        <v>0.77636607130741442</v>
      </c>
      <c r="L13" s="2">
        <f t="shared" si="4"/>
        <v>0.466753171587801</v>
      </c>
      <c r="M13" s="2">
        <f t="shared" si="5"/>
        <v>0.10438184549190442</v>
      </c>
      <c r="N13" s="2">
        <f t="shared" si="6"/>
        <v>9.5802100000000223</v>
      </c>
      <c r="O13" s="13">
        <v>13</v>
      </c>
      <c r="P13">
        <f t="shared" si="7"/>
        <v>6.0677912306414123</v>
      </c>
      <c r="X13" s="2"/>
      <c r="Y13" s="13"/>
      <c r="Z13" s="13"/>
      <c r="AA13" s="2"/>
      <c r="AB13" s="2"/>
      <c r="AC13" s="2"/>
      <c r="AD13" s="2"/>
      <c r="AE13" s="2"/>
      <c r="AF13" s="2"/>
      <c r="AG13" s="2"/>
      <c r="AH13" s="13"/>
      <c r="AI13" s="2"/>
      <c r="AJ13" s="2"/>
      <c r="AK13" s="2"/>
      <c r="AL13" s="2"/>
      <c r="AM13" s="2"/>
      <c r="AN13" s="2"/>
      <c r="AO13" s="2"/>
      <c r="AP13" s="2"/>
      <c r="AQ13" s="2"/>
      <c r="AR13" s="2"/>
    </row>
    <row r="14" spans="2:44" x14ac:dyDescent="0.35">
      <c r="B14" s="2"/>
      <c r="C14" s="2"/>
      <c r="D14" s="2"/>
      <c r="E14" s="2"/>
      <c r="F14" s="13">
        <v>254.27725000000001</v>
      </c>
      <c r="G14" s="13">
        <v>257.47843</v>
      </c>
      <c r="H14" s="2">
        <f t="shared" si="0"/>
        <v>3.2011799999999937</v>
      </c>
      <c r="I14" s="2">
        <f t="shared" si="1"/>
        <v>4.7918599999999856</v>
      </c>
      <c r="J14" s="2">
        <f t="shared" si="2"/>
        <v>0.40049593146037077</v>
      </c>
      <c r="K14" s="2">
        <f t="shared" si="3"/>
        <v>0.59950406853962923</v>
      </c>
      <c r="L14" s="2">
        <f t="shared" si="4"/>
        <v>0.31238480810201302</v>
      </c>
      <c r="M14" s="2">
        <f t="shared" si="5"/>
        <v>0.12510884469488487</v>
      </c>
      <c r="N14" s="2">
        <f t="shared" si="6"/>
        <v>7.9930399999999793</v>
      </c>
      <c r="O14" s="13">
        <v>16</v>
      </c>
      <c r="P14">
        <f t="shared" si="7"/>
        <v>4.9981569296322084</v>
      </c>
      <c r="X14" s="2"/>
      <c r="Y14" s="13"/>
      <c r="Z14" s="13"/>
      <c r="AA14" s="2"/>
      <c r="AB14" s="2"/>
      <c r="AC14" s="2"/>
      <c r="AD14" s="2"/>
      <c r="AE14" s="2"/>
      <c r="AF14" s="2"/>
      <c r="AG14" s="2"/>
      <c r="AH14" s="13"/>
      <c r="AI14" s="2"/>
      <c r="AJ14" s="2"/>
      <c r="AK14" s="2"/>
      <c r="AL14" s="2"/>
      <c r="AM14" s="2"/>
      <c r="AN14" s="2"/>
      <c r="AO14" s="2"/>
      <c r="AP14" s="2"/>
      <c r="AQ14" s="2"/>
      <c r="AR14" s="2"/>
    </row>
    <row r="15" spans="2:44" x14ac:dyDescent="0.35">
      <c r="B15" s="2"/>
      <c r="C15" s="2"/>
      <c r="D15" s="2"/>
      <c r="E15" s="2"/>
      <c r="F15" s="13">
        <v>262.27028999999999</v>
      </c>
      <c r="G15" s="13">
        <v>264.27458999999999</v>
      </c>
      <c r="H15" s="2">
        <f t="shared" si="0"/>
        <v>2.0043000000000006</v>
      </c>
      <c r="I15" s="2">
        <f t="shared" si="1"/>
        <v>5.8099000000000274</v>
      </c>
      <c r="J15" s="2">
        <f t="shared" si="2"/>
        <v>0.25649458677791631</v>
      </c>
      <c r="K15" s="2">
        <f t="shared" si="3"/>
        <v>0.74350541322208374</v>
      </c>
      <c r="L15" s="2">
        <f t="shared" si="4"/>
        <v>0.49892730629147319</v>
      </c>
      <c r="M15" s="2">
        <f t="shared" si="5"/>
        <v>0.12797215325945027</v>
      </c>
      <c r="N15" s="2">
        <f t="shared" si="6"/>
        <v>7.814200000000028</v>
      </c>
      <c r="O15" s="2">
        <v>12</v>
      </c>
      <c r="P15">
        <f t="shared" si="7"/>
        <v>5.9871276754976783</v>
      </c>
      <c r="X15" s="2"/>
      <c r="Y15" s="13"/>
      <c r="Z15" s="13"/>
      <c r="AA15" s="2"/>
      <c r="AB15" s="2"/>
      <c r="AC15" s="2"/>
      <c r="AD15" s="2"/>
      <c r="AE15" s="2"/>
      <c r="AF15" s="2"/>
      <c r="AG15" s="2"/>
      <c r="AH15" s="2"/>
      <c r="AI15" s="2"/>
      <c r="AJ15" s="2"/>
      <c r="AK15" s="2"/>
      <c r="AL15" s="2"/>
      <c r="AM15" s="2"/>
      <c r="AN15" s="2"/>
      <c r="AO15" s="2"/>
      <c r="AP15" s="2"/>
      <c r="AQ15" s="2"/>
      <c r="AR15" s="2"/>
    </row>
    <row r="16" spans="2:44" x14ac:dyDescent="0.35">
      <c r="B16" s="2"/>
      <c r="C16" s="2"/>
      <c r="D16" s="2"/>
      <c r="E16" s="2"/>
      <c r="F16" s="13">
        <v>270.08449000000002</v>
      </c>
      <c r="G16" s="13">
        <v>273.44475</v>
      </c>
      <c r="H16" s="2">
        <f t="shared" si="0"/>
        <v>3.3602599999999825</v>
      </c>
      <c r="I16" s="2">
        <f t="shared" si="1"/>
        <v>6.0805700000000229</v>
      </c>
      <c r="J16" s="2">
        <f t="shared" si="2"/>
        <v>0.35592845120608896</v>
      </c>
      <c r="K16" s="2">
        <f t="shared" si="3"/>
        <v>0.64407154879391104</v>
      </c>
      <c r="L16" s="2">
        <f t="shared" si="4"/>
        <v>0.29759601935564667</v>
      </c>
      <c r="M16" s="2">
        <f t="shared" si="5"/>
        <v>0.10592289025435257</v>
      </c>
      <c r="N16" s="2">
        <f t="shared" si="6"/>
        <v>9.4408300000000054</v>
      </c>
      <c r="O16" s="2">
        <v>17</v>
      </c>
      <c r="P16">
        <f t="shared" si="7"/>
        <v>5.0591323290459931</v>
      </c>
      <c r="X16" s="2"/>
      <c r="Y16" s="13"/>
      <c r="Z16" s="13"/>
      <c r="AA16" s="2"/>
      <c r="AB16" s="2"/>
      <c r="AC16" s="2"/>
      <c r="AD16" s="2"/>
      <c r="AE16" s="2"/>
      <c r="AF16" s="2"/>
      <c r="AG16" s="2"/>
      <c r="AH16" s="2"/>
      <c r="AI16" s="2"/>
      <c r="AJ16" s="2"/>
      <c r="AK16" s="2"/>
      <c r="AL16" s="2"/>
      <c r="AM16" s="2"/>
      <c r="AN16" s="2"/>
      <c r="AO16" s="2"/>
      <c r="AP16" s="2"/>
      <c r="AQ16" s="2"/>
      <c r="AR16" s="2"/>
    </row>
    <row r="17" spans="2:44" x14ac:dyDescent="0.35">
      <c r="B17" s="2"/>
      <c r="C17" s="2"/>
      <c r="D17" s="2"/>
      <c r="E17" s="2"/>
      <c r="F17" s="13">
        <v>279.52532000000002</v>
      </c>
      <c r="G17" s="13">
        <v>283.01719000000003</v>
      </c>
      <c r="H17" s="2">
        <f t="shared" si="0"/>
        <v>3.4918700000000058</v>
      </c>
      <c r="I17" s="2">
        <f t="shared" si="1"/>
        <v>5.6973599999999465</v>
      </c>
      <c r="J17" s="2">
        <f t="shared" si="2"/>
        <v>0.37999593001807813</v>
      </c>
      <c r="K17" s="2">
        <f t="shared" si="3"/>
        <v>0.62000406998192192</v>
      </c>
      <c r="L17" s="2">
        <f t="shared" si="4"/>
        <v>0.28637950439162924</v>
      </c>
      <c r="M17" s="2">
        <f t="shared" si="5"/>
        <v>0.10882304610941343</v>
      </c>
      <c r="N17" s="2">
        <f t="shared" si="6"/>
        <v>9.1892299999999523</v>
      </c>
      <c r="O17" s="2">
        <v>19</v>
      </c>
      <c r="P17">
        <f t="shared" si="7"/>
        <v>5.441210583440955</v>
      </c>
      <c r="X17" s="2"/>
      <c r="Y17" s="13"/>
      <c r="Z17" s="13"/>
      <c r="AA17" s="2"/>
      <c r="AB17" s="2"/>
      <c r="AC17" s="2"/>
      <c r="AD17" s="2"/>
      <c r="AE17" s="2"/>
      <c r="AF17" s="2"/>
      <c r="AG17" s="2"/>
      <c r="AH17" s="2"/>
      <c r="AI17" s="2"/>
      <c r="AJ17" s="2"/>
      <c r="AK17" s="2"/>
      <c r="AL17" s="2"/>
      <c r="AM17" s="2"/>
      <c r="AN17" s="2"/>
      <c r="AO17" s="2"/>
      <c r="AP17" s="2"/>
      <c r="AQ17" s="2"/>
      <c r="AR17" s="2"/>
    </row>
    <row r="18" spans="2:44" x14ac:dyDescent="0.35">
      <c r="B18" s="2"/>
      <c r="C18" s="2"/>
      <c r="D18" s="2"/>
      <c r="E18" s="2"/>
      <c r="F18" s="13">
        <v>288.71454999999997</v>
      </c>
      <c r="G18" s="13">
        <v>292.20188999999999</v>
      </c>
      <c r="H18" s="2">
        <f t="shared" si="0"/>
        <v>3.4873400000000174</v>
      </c>
      <c r="I18" s="2">
        <f t="shared" si="1"/>
        <v>5.6927000000000021</v>
      </c>
      <c r="J18" s="2">
        <f t="shared" si="2"/>
        <v>0.37988287632733736</v>
      </c>
      <c r="K18" s="2">
        <f t="shared" si="3"/>
        <v>0.6201171236726627</v>
      </c>
      <c r="L18" s="2">
        <f t="shared" si="4"/>
        <v>0.28675150687916723</v>
      </c>
      <c r="M18" s="2">
        <f t="shared" si="5"/>
        <v>0.10893198722445631</v>
      </c>
      <c r="N18" s="2">
        <f t="shared" si="6"/>
        <v>9.1800400000000195</v>
      </c>
      <c r="O18" s="2">
        <v>19</v>
      </c>
      <c r="P18">
        <f t="shared" si="7"/>
        <v>5.4482786307041771</v>
      </c>
      <c r="X18" s="2"/>
      <c r="Y18" s="13"/>
      <c r="Z18" s="13"/>
      <c r="AA18" s="2"/>
      <c r="AB18" s="2"/>
      <c r="AC18" s="2"/>
      <c r="AD18" s="2"/>
      <c r="AE18" s="2"/>
      <c r="AF18" s="2"/>
      <c r="AG18" s="2"/>
      <c r="AH18" s="2"/>
      <c r="AI18" s="2"/>
      <c r="AJ18" s="2"/>
      <c r="AK18" s="2"/>
      <c r="AL18" s="2"/>
      <c r="AM18" s="2"/>
      <c r="AN18" s="2"/>
      <c r="AO18" s="2"/>
      <c r="AP18" s="2"/>
      <c r="AQ18" s="2"/>
      <c r="AR18" s="2"/>
    </row>
    <row r="19" spans="2:44" x14ac:dyDescent="0.35">
      <c r="B19" s="2"/>
      <c r="C19" s="2"/>
      <c r="D19" s="2"/>
      <c r="E19" s="2"/>
      <c r="F19" s="13">
        <v>297.89458999999999</v>
      </c>
      <c r="G19" s="13">
        <v>301.31011999999998</v>
      </c>
      <c r="H19" s="2">
        <f t="shared" si="0"/>
        <v>3.4155299999999897</v>
      </c>
      <c r="I19" s="2">
        <f t="shared" si="1"/>
        <v>5.6705499999999915</v>
      </c>
      <c r="J19" s="2">
        <f t="shared" si="2"/>
        <v>0.37590798232020817</v>
      </c>
      <c r="K19" s="2">
        <f t="shared" si="3"/>
        <v>0.62409201767979183</v>
      </c>
      <c r="L19" s="2">
        <f t="shared" si="4"/>
        <v>0.29278032984632046</v>
      </c>
      <c r="M19" s="2">
        <f t="shared" si="5"/>
        <v>0.11005846305557535</v>
      </c>
      <c r="N19" s="2">
        <f t="shared" si="6"/>
        <v>9.0860799999999813</v>
      </c>
      <c r="O19" s="2">
        <v>18</v>
      </c>
      <c r="P19">
        <f t="shared" si="7"/>
        <v>5.2700459372337685</v>
      </c>
      <c r="Y19" s="13"/>
      <c r="Z19" s="13"/>
      <c r="AA19" s="2"/>
      <c r="AB19" s="2"/>
      <c r="AC19" s="2"/>
      <c r="AD19" s="2"/>
      <c r="AE19" s="2"/>
      <c r="AF19" s="2"/>
      <c r="AG19" s="2"/>
      <c r="AH19" s="2"/>
    </row>
    <row r="20" spans="2:44" x14ac:dyDescent="0.35">
      <c r="B20" s="2"/>
      <c r="C20" s="2"/>
      <c r="D20" s="2"/>
      <c r="E20" s="2"/>
      <c r="F20" s="13">
        <v>306.98066999999998</v>
      </c>
      <c r="G20" s="13">
        <v>310.17552000000001</v>
      </c>
      <c r="H20" s="2">
        <f t="shared" si="0"/>
        <v>3.1948500000000308</v>
      </c>
      <c r="I20" s="2">
        <f t="shared" si="1"/>
        <v>5.8488399999999956</v>
      </c>
      <c r="J20" s="2">
        <f t="shared" si="2"/>
        <v>0.35326841145594567</v>
      </c>
      <c r="K20" s="2">
        <f t="shared" si="3"/>
        <v>0.64673158854405433</v>
      </c>
      <c r="L20" s="2">
        <f t="shared" si="4"/>
        <v>0.3130037403946947</v>
      </c>
      <c r="M20" s="2">
        <f t="shared" si="5"/>
        <v>0.11057433414900301</v>
      </c>
      <c r="N20" s="2">
        <f t="shared" si="6"/>
        <v>9.0436900000000264</v>
      </c>
      <c r="O20" s="2">
        <v>17</v>
      </c>
      <c r="P20">
        <f t="shared" si="7"/>
        <v>5.3210635867098102</v>
      </c>
      <c r="Y20" s="13"/>
      <c r="Z20" s="13"/>
      <c r="AA20" s="2"/>
      <c r="AB20" s="2"/>
      <c r="AC20" s="2"/>
      <c r="AD20" s="2"/>
      <c r="AE20" s="2"/>
      <c r="AF20" s="2"/>
      <c r="AG20" s="2"/>
      <c r="AH20" s="2"/>
    </row>
    <row r="21" spans="2:44" x14ac:dyDescent="0.35">
      <c r="B21" s="2"/>
      <c r="C21" s="2"/>
      <c r="D21" s="2"/>
      <c r="E21" s="2"/>
      <c r="F21" s="13">
        <v>316.02436</v>
      </c>
      <c r="G21" s="13">
        <v>319.15642000000003</v>
      </c>
      <c r="H21" s="2">
        <f t="shared" si="0"/>
        <v>3.132060000000024</v>
      </c>
      <c r="I21" s="2">
        <f t="shared" si="1"/>
        <v>5.6645199999999818</v>
      </c>
      <c r="J21" s="2">
        <f t="shared" si="2"/>
        <v>0.35605428473338752</v>
      </c>
      <c r="K21" s="2">
        <f t="shared" si="3"/>
        <v>0.64394571526661248</v>
      </c>
      <c r="L21" s="2">
        <f t="shared" si="4"/>
        <v>0.3192786855935047</v>
      </c>
      <c r="M21" s="2">
        <f t="shared" si="5"/>
        <v>0.11368054402961143</v>
      </c>
      <c r="N21" s="2">
        <f t="shared" si="6"/>
        <v>8.7965800000000058</v>
      </c>
      <c r="O21" s="2">
        <v>17</v>
      </c>
      <c r="P21">
        <f t="shared" si="7"/>
        <v>5.4277376550895795</v>
      </c>
      <c r="Y21" s="13"/>
      <c r="Z21" s="13"/>
      <c r="AA21" s="2"/>
      <c r="AB21" s="2"/>
      <c r="AC21" s="2"/>
      <c r="AD21" s="2"/>
      <c r="AE21" s="2"/>
      <c r="AF21" s="2"/>
      <c r="AG21" s="2"/>
      <c r="AH21" s="2"/>
    </row>
    <row r="22" spans="2:44" x14ac:dyDescent="0.35">
      <c r="B22" s="2"/>
      <c r="C22" s="2"/>
      <c r="D22" s="2"/>
      <c r="E22" s="2"/>
      <c r="F22" s="13">
        <v>324.82094000000001</v>
      </c>
      <c r="G22" s="13">
        <v>328.19445000000002</v>
      </c>
      <c r="H22" s="2">
        <f t="shared" si="0"/>
        <v>3.3735100000000102</v>
      </c>
      <c r="I22" s="2">
        <f t="shared" si="1"/>
        <v>5.5228199999999674</v>
      </c>
      <c r="J22" s="2">
        <f t="shared" si="2"/>
        <v>0.37920243516146757</v>
      </c>
      <c r="K22" s="2">
        <f t="shared" si="3"/>
        <v>0.62079756483853243</v>
      </c>
      <c r="L22" s="2">
        <f t="shared" si="4"/>
        <v>0.29642716339954439</v>
      </c>
      <c r="M22" s="2">
        <f t="shared" si="5"/>
        <v>0.11240590220911348</v>
      </c>
      <c r="N22" s="2">
        <f t="shared" si="6"/>
        <v>8.8963299999999776</v>
      </c>
      <c r="O22" s="2">
        <v>19</v>
      </c>
      <c r="P22">
        <f t="shared" si="7"/>
        <v>5.6321161045913435</v>
      </c>
      <c r="Y22" s="13"/>
      <c r="Z22" s="13"/>
      <c r="AA22" s="2"/>
      <c r="AB22" s="2"/>
      <c r="AC22" s="2"/>
      <c r="AD22" s="2"/>
      <c r="AE22" s="2"/>
      <c r="AF22" s="2"/>
      <c r="AG22" s="2"/>
      <c r="AH22" s="2"/>
    </row>
    <row r="23" spans="2:44" x14ac:dyDescent="0.35">
      <c r="B23" s="2"/>
      <c r="C23" s="2"/>
      <c r="D23" s="2"/>
      <c r="E23" s="2"/>
      <c r="F23" s="13">
        <v>333.71726999999998</v>
      </c>
      <c r="G23" s="13">
        <v>336.82589000000002</v>
      </c>
      <c r="H23" s="2">
        <f t="shared" si="0"/>
        <v>3.1086200000000304</v>
      </c>
      <c r="I23" s="2">
        <f t="shared" si="1"/>
        <v>5.6277200000000107</v>
      </c>
      <c r="J23" s="2">
        <f t="shared" si="2"/>
        <v>0.35582635291209086</v>
      </c>
      <c r="K23" s="2">
        <f t="shared" si="3"/>
        <v>0.64417364708790914</v>
      </c>
      <c r="L23" s="2">
        <f t="shared" si="4"/>
        <v>0.32168615012448942</v>
      </c>
      <c r="M23" s="2">
        <f t="shared" si="5"/>
        <v>0.1144644095811284</v>
      </c>
      <c r="N23" s="2">
        <f t="shared" si="6"/>
        <v>8.7363400000000411</v>
      </c>
      <c r="O23" s="2">
        <v>18</v>
      </c>
      <c r="P23">
        <f t="shared" si="7"/>
        <v>5.7903507022408096</v>
      </c>
      <c r="Y23" s="13"/>
      <c r="Z23" s="13"/>
      <c r="AA23" s="2"/>
      <c r="AB23" s="2"/>
      <c r="AC23" s="2"/>
      <c r="AD23" s="2"/>
      <c r="AE23" s="2"/>
      <c r="AF23" s="2"/>
      <c r="AG23" s="2"/>
      <c r="AH23" s="2"/>
    </row>
    <row r="24" spans="2:44" x14ac:dyDescent="0.35">
      <c r="B24" s="2"/>
      <c r="C24" s="2"/>
      <c r="D24" s="2"/>
      <c r="E24" s="2"/>
      <c r="F24" s="13">
        <v>342.45361000000003</v>
      </c>
      <c r="G24" s="13">
        <v>345.58677999999998</v>
      </c>
      <c r="H24" s="2">
        <f t="shared" si="0"/>
        <v>3.1331699999999501</v>
      </c>
      <c r="I24" s="2">
        <f t="shared" si="1"/>
        <v>5.5173900000000344</v>
      </c>
      <c r="J24" s="2">
        <f t="shared" si="2"/>
        <v>0.36219273665519408</v>
      </c>
      <c r="K24" s="2">
        <f t="shared" si="3"/>
        <v>0.63780726334480597</v>
      </c>
      <c r="L24" s="2">
        <f t="shared" si="4"/>
        <v>0.31916557352458241</v>
      </c>
      <c r="M24" s="2">
        <f t="shared" si="5"/>
        <v>0.11559945252099307</v>
      </c>
      <c r="N24" s="2">
        <f t="shared" si="6"/>
        <v>8.6505599999999845</v>
      </c>
      <c r="O24" s="2">
        <v>18</v>
      </c>
      <c r="P24">
        <f t="shared" si="7"/>
        <v>5.7449803234424834</v>
      </c>
      <c r="Y24" s="13"/>
      <c r="Z24" s="13"/>
      <c r="AA24" s="2"/>
      <c r="AB24" s="2"/>
      <c r="AC24" s="2"/>
      <c r="AD24" s="2"/>
      <c r="AE24" s="2"/>
      <c r="AF24" s="2"/>
      <c r="AG24" s="2"/>
      <c r="AH24" s="2"/>
    </row>
    <row r="25" spans="2:44" x14ac:dyDescent="0.35">
      <c r="B25" s="2"/>
      <c r="C25" s="2"/>
      <c r="D25" s="2"/>
      <c r="E25" s="2"/>
      <c r="F25" s="13">
        <v>351.10417000000001</v>
      </c>
      <c r="G25" s="13">
        <v>355.3691</v>
      </c>
      <c r="H25" s="2">
        <f t="shared" si="0"/>
        <v>4.2649299999999926</v>
      </c>
      <c r="I25" s="2">
        <f t="shared" si="1"/>
        <v>5.801179999999988</v>
      </c>
      <c r="J25" s="2">
        <f t="shared" si="2"/>
        <v>0.42369197237065764</v>
      </c>
      <c r="K25" s="2">
        <f t="shared" si="3"/>
        <v>0.5763080276293423</v>
      </c>
      <c r="L25" s="2">
        <f t="shared" si="4"/>
        <v>0.23447043679497712</v>
      </c>
      <c r="M25" s="2">
        <f t="shared" si="5"/>
        <v>9.9343241828273476E-2</v>
      </c>
      <c r="N25" s="2">
        <f t="shared" si="6"/>
        <v>10.066109999999981</v>
      </c>
      <c r="O25" s="2">
        <v>20</v>
      </c>
      <c r="P25">
        <f t="shared" si="7"/>
        <v>4.6894087358995424</v>
      </c>
      <c r="Y25" s="13"/>
      <c r="Z25" s="13"/>
      <c r="AA25" s="2"/>
      <c r="AB25" s="2"/>
      <c r="AC25" s="2"/>
      <c r="AD25" s="2"/>
      <c r="AE25" s="2"/>
      <c r="AF25" s="2"/>
      <c r="AG25" s="2"/>
      <c r="AH25" s="2"/>
    </row>
    <row r="26" spans="2:44" x14ac:dyDescent="0.35">
      <c r="B26" s="2"/>
      <c r="C26" s="2"/>
      <c r="D26" s="2"/>
      <c r="E26" s="2"/>
      <c r="F26" s="13">
        <v>361.17027999999999</v>
      </c>
      <c r="G26" s="13">
        <v>364.37738999999999</v>
      </c>
      <c r="H26" s="2">
        <f t="shared" si="0"/>
        <v>3.2071100000000001</v>
      </c>
      <c r="I26" s="2">
        <f t="shared" si="1"/>
        <v>5.4513000000000034</v>
      </c>
      <c r="J26" s="2">
        <f t="shared" si="2"/>
        <v>0.37040403492096108</v>
      </c>
      <c r="K26" s="2">
        <f t="shared" si="3"/>
        <v>0.62959596507903892</v>
      </c>
      <c r="L26" s="2">
        <f t="shared" si="4"/>
        <v>0.31180720337001222</v>
      </c>
      <c r="M26" s="2">
        <f t="shared" si="5"/>
        <v>0.11549464624567324</v>
      </c>
      <c r="N26" s="2">
        <f t="shared" si="6"/>
        <v>8.6584100000000035</v>
      </c>
      <c r="O26" s="2">
        <v>20</v>
      </c>
      <c r="P26">
        <f t="shared" si="7"/>
        <v>6.2361440674002449</v>
      </c>
      <c r="Y26" s="13"/>
      <c r="Z26" s="13"/>
      <c r="AA26" s="2"/>
      <c r="AB26" s="2"/>
      <c r="AC26" s="2"/>
      <c r="AD26" s="2"/>
      <c r="AE26" s="2"/>
      <c r="AF26" s="2"/>
      <c r="AG26" s="2"/>
      <c r="AH26" s="2"/>
    </row>
    <row r="27" spans="2:44" x14ac:dyDescent="0.35">
      <c r="B27" s="2"/>
      <c r="C27" s="2"/>
      <c r="D27" s="2"/>
      <c r="E27" s="2"/>
      <c r="F27" s="13">
        <v>369.82868999999999</v>
      </c>
      <c r="G27" s="13">
        <v>373.00382999999999</v>
      </c>
      <c r="H27" s="2">
        <f t="shared" si="0"/>
        <v>3.175139999999999</v>
      </c>
      <c r="I27" s="2">
        <f t="shared" si="1"/>
        <v>5.4182500000000005</v>
      </c>
      <c r="J27" s="2">
        <f t="shared" si="2"/>
        <v>0.36948631448124652</v>
      </c>
      <c r="K27" s="2">
        <f t="shared" si="3"/>
        <v>0.63051368551875342</v>
      </c>
      <c r="L27" s="2">
        <f t="shared" si="4"/>
        <v>0.31494674250584237</v>
      </c>
      <c r="M27" s="2">
        <f t="shared" si="5"/>
        <v>0.11636851114635785</v>
      </c>
      <c r="N27" s="2">
        <f t="shared" si="6"/>
        <v>8.5933899999999994</v>
      </c>
      <c r="O27" s="2">
        <v>17</v>
      </c>
      <c r="P27">
        <f t="shared" si="7"/>
        <v>5.3540946225993205</v>
      </c>
      <c r="Y27" s="13"/>
      <c r="Z27" s="13"/>
      <c r="AA27" s="2"/>
      <c r="AB27" s="2"/>
      <c r="AC27" s="2"/>
      <c r="AD27" s="2"/>
      <c r="AE27" s="2"/>
      <c r="AF27" s="2"/>
      <c r="AG27" s="2"/>
      <c r="AH27" s="2"/>
    </row>
    <row r="28" spans="2:44" x14ac:dyDescent="0.35">
      <c r="B28" s="2"/>
      <c r="C28" s="2"/>
      <c r="D28" s="2"/>
      <c r="E28" s="2"/>
      <c r="F28" s="13">
        <v>378.42207999999999</v>
      </c>
      <c r="G28" s="13">
        <v>382.84077000000002</v>
      </c>
      <c r="H28" s="2">
        <f t="shared" si="0"/>
        <v>4.4186900000000264</v>
      </c>
      <c r="I28" s="2">
        <f t="shared" si="1"/>
        <v>6.9332999999999743</v>
      </c>
      <c r="J28" s="2">
        <f t="shared" si="2"/>
        <v>0.38924364802999528</v>
      </c>
      <c r="K28" s="2">
        <f t="shared" si="3"/>
        <v>0.61075635197000466</v>
      </c>
      <c r="L28" s="2">
        <f t="shared" si="4"/>
        <v>0.22631141808997554</v>
      </c>
      <c r="M28" s="2">
        <f t="shared" si="5"/>
        <v>8.809028196818354E-2</v>
      </c>
      <c r="N28" s="2">
        <f t="shared" si="6"/>
        <v>11.351990000000001</v>
      </c>
      <c r="O28" s="2">
        <v>21</v>
      </c>
      <c r="P28">
        <f t="shared" si="7"/>
        <v>4.7525397798894859</v>
      </c>
      <c r="Y28" s="13"/>
      <c r="Z28" s="13"/>
      <c r="AA28" s="2"/>
      <c r="AB28" s="2"/>
      <c r="AC28" s="2"/>
      <c r="AD28" s="2"/>
      <c r="AE28" s="2"/>
      <c r="AF28" s="2"/>
      <c r="AG28" s="2"/>
      <c r="AH28" s="2"/>
    </row>
    <row r="29" spans="2:44" x14ac:dyDescent="0.35">
      <c r="B29" s="2"/>
      <c r="C29" s="2"/>
      <c r="D29" s="2"/>
      <c r="E29" s="2"/>
      <c r="F29" s="13">
        <v>389.77406999999999</v>
      </c>
      <c r="G29" s="13">
        <v>392.91820999999999</v>
      </c>
      <c r="H29" s="2">
        <f t="shared" si="0"/>
        <v>3.1441399999999931</v>
      </c>
      <c r="I29" s="2">
        <f t="shared" si="1"/>
        <v>6.7193000000000325</v>
      </c>
      <c r="J29" s="2">
        <f t="shared" si="2"/>
        <v>0.31876708328939851</v>
      </c>
      <c r="K29" s="2">
        <f t="shared" si="3"/>
        <v>0.68123291671060149</v>
      </c>
      <c r="L29" s="2">
        <f t="shared" si="4"/>
        <v>0.31805199514016624</v>
      </c>
      <c r="M29" s="2">
        <f t="shared" si="5"/>
        <v>0.10138450682520474</v>
      </c>
      <c r="N29" s="2">
        <f t="shared" si="6"/>
        <v>9.8634400000000255</v>
      </c>
      <c r="O29" s="2">
        <v>18</v>
      </c>
      <c r="P29">
        <f t="shared" si="7"/>
        <v>5.7249359125229917</v>
      </c>
      <c r="Y29" s="13"/>
      <c r="Z29" s="13"/>
      <c r="AA29" s="2"/>
      <c r="AB29" s="2"/>
      <c r="AC29" s="2"/>
      <c r="AD29" s="2"/>
      <c r="AE29" s="2"/>
      <c r="AF29" s="2"/>
      <c r="AG29" s="2"/>
      <c r="AH29" s="2"/>
    </row>
    <row r="30" spans="2:44" x14ac:dyDescent="0.35">
      <c r="B30" s="2"/>
      <c r="C30" s="2"/>
      <c r="D30" s="2"/>
      <c r="E30" s="2"/>
      <c r="F30" s="13">
        <v>399.63751000000002</v>
      </c>
      <c r="G30" s="13">
        <v>402.89956000000001</v>
      </c>
      <c r="H30" s="2">
        <f t="shared" si="0"/>
        <v>3.2620499999999879</v>
      </c>
      <c r="I30" s="2">
        <f t="shared" si="1"/>
        <v>6.6795599999999808</v>
      </c>
      <c r="J30" s="2">
        <f t="shared" si="2"/>
        <v>0.32812089792297205</v>
      </c>
      <c r="K30" s="2">
        <f t="shared" si="3"/>
        <v>0.67187910207702795</v>
      </c>
      <c r="L30" s="2">
        <f t="shared" si="4"/>
        <v>0.30655569350561879</v>
      </c>
      <c r="M30" s="2">
        <f t="shared" si="5"/>
        <v>0.10058732941646305</v>
      </c>
      <c r="N30" s="2">
        <f t="shared" si="6"/>
        <v>9.9416099999999687</v>
      </c>
      <c r="O30" s="2">
        <v>20</v>
      </c>
      <c r="P30">
        <f t="shared" si="7"/>
        <v>6.1311138701123751</v>
      </c>
      <c r="Y30" s="13"/>
      <c r="Z30" s="13"/>
      <c r="AA30" s="2"/>
      <c r="AB30" s="2"/>
      <c r="AC30" s="2"/>
      <c r="AD30" s="2"/>
      <c r="AE30" s="2"/>
      <c r="AF30" s="2"/>
      <c r="AG30" s="2"/>
      <c r="AH30" s="2"/>
    </row>
    <row r="31" spans="2:44" x14ac:dyDescent="0.35">
      <c r="B31" s="2"/>
      <c r="C31" s="2"/>
      <c r="D31" s="2"/>
      <c r="E31" s="2"/>
      <c r="F31" s="13">
        <v>409.57911999999999</v>
      </c>
      <c r="G31" s="13">
        <v>412.76040999999998</v>
      </c>
      <c r="H31" s="2">
        <f t="shared" si="0"/>
        <v>3.18128999999999</v>
      </c>
      <c r="I31" s="2">
        <f t="shared" si="1"/>
        <v>6.6746700000000487</v>
      </c>
      <c r="J31" s="2">
        <f t="shared" si="2"/>
        <v>0.3227782986132226</v>
      </c>
      <c r="K31" s="2">
        <f t="shared" si="3"/>
        <v>0.6772217013867774</v>
      </c>
      <c r="L31" s="2">
        <f t="shared" si="4"/>
        <v>0.3143378943761817</v>
      </c>
      <c r="M31" s="2">
        <f t="shared" si="5"/>
        <v>0.10146145073640681</v>
      </c>
      <c r="N31" s="2">
        <f t="shared" si="6"/>
        <v>9.8559600000000387</v>
      </c>
      <c r="O31" s="2">
        <v>20</v>
      </c>
      <c r="P31">
        <f t="shared" si="7"/>
        <v>6.2867578875236347</v>
      </c>
      <c r="Y31" s="13"/>
      <c r="Z31" s="13"/>
      <c r="AA31" s="2"/>
      <c r="AB31" s="2"/>
      <c r="AC31" s="2"/>
      <c r="AD31" s="2"/>
      <c r="AE31" s="2"/>
      <c r="AF31" s="2"/>
      <c r="AG31" s="2"/>
      <c r="AH31" s="2"/>
    </row>
    <row r="32" spans="2:44" x14ac:dyDescent="0.35">
      <c r="B32" s="2"/>
      <c r="C32" s="2"/>
      <c r="D32" s="2"/>
      <c r="E32" s="2"/>
      <c r="F32" s="13">
        <v>419.43508000000003</v>
      </c>
      <c r="G32" s="13">
        <v>422.74862999999999</v>
      </c>
      <c r="H32" s="2">
        <f t="shared" si="0"/>
        <v>3.3135499999999638</v>
      </c>
      <c r="I32" s="2">
        <f t="shared" si="1"/>
        <v>6.5975900000000252</v>
      </c>
      <c r="J32" s="2">
        <f t="shared" si="2"/>
        <v>0.33432581922967158</v>
      </c>
      <c r="K32" s="2">
        <f t="shared" si="3"/>
        <v>0.66567418077032836</v>
      </c>
      <c r="L32" s="2">
        <f t="shared" si="4"/>
        <v>0.30179113035868205</v>
      </c>
      <c r="M32" s="2">
        <f t="shared" si="5"/>
        <v>0.100896566893415</v>
      </c>
      <c r="N32" s="2">
        <f t="shared" si="6"/>
        <v>9.911139999999989</v>
      </c>
      <c r="O32" s="2">
        <v>20</v>
      </c>
      <c r="P32">
        <f t="shared" si="7"/>
        <v>6.0358226071736407</v>
      </c>
      <c r="Y32" s="13"/>
      <c r="Z32" s="13"/>
      <c r="AA32" s="2"/>
      <c r="AB32" s="2"/>
      <c r="AC32" s="2"/>
      <c r="AD32" s="2"/>
      <c r="AE32" s="2"/>
      <c r="AF32" s="2"/>
      <c r="AG32" s="2"/>
      <c r="AH32" s="2"/>
    </row>
    <row r="33" spans="1:36" x14ac:dyDescent="0.35">
      <c r="B33" s="2"/>
      <c r="C33" s="2"/>
      <c r="D33" s="2"/>
      <c r="E33" s="2"/>
      <c r="F33" s="13">
        <v>429.34622000000002</v>
      </c>
      <c r="G33" s="13">
        <v>432.47264999999999</v>
      </c>
      <c r="H33" s="2">
        <f t="shared" si="0"/>
        <v>3.1264299999999707</v>
      </c>
      <c r="I33" s="2">
        <f t="shared" si="1"/>
        <v>6.7130700000000161</v>
      </c>
      <c r="J33" s="2">
        <f t="shared" si="2"/>
        <v>0.31774277148228824</v>
      </c>
      <c r="K33" s="2">
        <f t="shared" si="3"/>
        <v>0.68225722851771176</v>
      </c>
      <c r="L33" s="2">
        <f t="shared" si="4"/>
        <v>0.31985363497663771</v>
      </c>
      <c r="M33" s="2">
        <f t="shared" si="5"/>
        <v>0.10163118044616101</v>
      </c>
      <c r="N33" s="2">
        <f t="shared" si="6"/>
        <v>9.8394999999999868</v>
      </c>
      <c r="O33" s="2">
        <v>16</v>
      </c>
      <c r="P33">
        <f t="shared" si="7"/>
        <v>5.1176581596262034</v>
      </c>
      <c r="Y33" s="13"/>
      <c r="Z33" s="13"/>
      <c r="AA33" s="2"/>
      <c r="AB33" s="2"/>
      <c r="AC33" s="2"/>
      <c r="AD33" s="2"/>
      <c r="AE33" s="2"/>
      <c r="AF33" s="2"/>
      <c r="AG33" s="2"/>
      <c r="AH33" s="2"/>
    </row>
    <row r="34" spans="1:36" x14ac:dyDescent="0.35">
      <c r="B34" s="2"/>
      <c r="C34" s="2"/>
      <c r="D34" s="2"/>
      <c r="E34" s="2"/>
      <c r="F34" s="13">
        <v>439.18572</v>
      </c>
      <c r="G34" s="13">
        <v>442.50144999999998</v>
      </c>
      <c r="H34" s="2">
        <f t="shared" si="0"/>
        <v>3.3157299999999736</v>
      </c>
      <c r="I34" s="2">
        <f t="shared" si="1"/>
        <v>6.4522200000000112</v>
      </c>
      <c r="J34" s="2">
        <f t="shared" si="2"/>
        <v>0.33944993575929228</v>
      </c>
      <c r="K34" s="2">
        <f t="shared" si="3"/>
        <v>0.66055006424070772</v>
      </c>
      <c r="L34" s="2">
        <f t="shared" si="4"/>
        <v>0.30159271110736036</v>
      </c>
      <c r="M34" s="2">
        <f t="shared" si="5"/>
        <v>0.10237562641086426</v>
      </c>
      <c r="N34" s="2">
        <f t="shared" si="6"/>
        <v>9.7679499999999848</v>
      </c>
      <c r="O34" s="2">
        <v>21</v>
      </c>
      <c r="P34">
        <f t="shared" si="7"/>
        <v>6.3334469332545673</v>
      </c>
      <c r="Y34" s="13"/>
      <c r="Z34" s="13"/>
      <c r="AA34" s="2"/>
      <c r="AB34" s="2"/>
      <c r="AC34" s="2"/>
      <c r="AD34" s="2"/>
      <c r="AE34" s="2"/>
      <c r="AF34" s="2"/>
      <c r="AG34" s="2"/>
      <c r="AH34" s="2"/>
    </row>
    <row r="35" spans="1:36" x14ac:dyDescent="0.35">
      <c r="B35" s="2"/>
      <c r="C35" s="2"/>
      <c r="D35" s="2"/>
      <c r="E35" s="2"/>
      <c r="F35" s="13">
        <v>448.95366999999999</v>
      </c>
      <c r="G35" s="13">
        <v>453.34061000000003</v>
      </c>
      <c r="H35" s="2">
        <f t="shared" si="0"/>
        <v>4.3869400000000383</v>
      </c>
      <c r="I35" s="2">
        <f t="shared" si="1"/>
        <v>6.4984299999999848</v>
      </c>
      <c r="J35" s="2">
        <f t="shared" si="2"/>
        <v>0.40301248372816256</v>
      </c>
      <c r="K35" s="2">
        <f t="shared" si="3"/>
        <v>0.59698751627183744</v>
      </c>
      <c r="L35" s="2">
        <f t="shared" si="4"/>
        <v>0.22794932230666279</v>
      </c>
      <c r="M35" s="2">
        <f t="shared" si="5"/>
        <v>9.186642254695962E-2</v>
      </c>
      <c r="N35" s="2">
        <f t="shared" si="6"/>
        <v>10.885370000000023</v>
      </c>
      <c r="O35" s="2">
        <v>23</v>
      </c>
      <c r="P35">
        <f t="shared" si="7"/>
        <v>5.2428344130532443</v>
      </c>
      <c r="Y35" s="13"/>
      <c r="Z35" s="13"/>
      <c r="AA35" s="2"/>
      <c r="AB35" s="2"/>
      <c r="AC35" s="2"/>
      <c r="AD35" s="2"/>
      <c r="AE35" s="2"/>
      <c r="AF35" s="2"/>
      <c r="AG35" s="2"/>
      <c r="AH35" s="2"/>
    </row>
    <row r="36" spans="1:36" x14ac:dyDescent="0.35">
      <c r="B36" s="2"/>
      <c r="C36" s="2"/>
      <c r="D36" s="2"/>
      <c r="E36" s="2"/>
      <c r="F36" s="13">
        <v>459.83904000000001</v>
      </c>
      <c r="G36" s="13">
        <v>463.96275000000003</v>
      </c>
      <c r="H36" s="2">
        <f t="shared" si="0"/>
        <v>4.1237100000000169</v>
      </c>
      <c r="I36" s="2">
        <f t="shared" si="1"/>
        <v>5.6321599999999989</v>
      </c>
      <c r="J36" s="2">
        <f t="shared" si="2"/>
        <v>0.42269013424738239</v>
      </c>
      <c r="K36" s="2">
        <f t="shared" si="3"/>
        <v>0.57730986575261767</v>
      </c>
      <c r="L36" s="2">
        <f t="shared" si="4"/>
        <v>0.24250007881252461</v>
      </c>
      <c r="M36" s="2">
        <f t="shared" si="5"/>
        <v>0.10250239086826683</v>
      </c>
      <c r="N36" s="2">
        <f t="shared" si="6"/>
        <v>9.7558700000000158</v>
      </c>
      <c r="O36" s="2">
        <v>21</v>
      </c>
      <c r="P36">
        <f t="shared" si="7"/>
        <v>5.0925016550630167</v>
      </c>
      <c r="Y36" s="13"/>
      <c r="Z36" s="13"/>
      <c r="AA36" s="2"/>
      <c r="AB36" s="2"/>
      <c r="AC36" s="2"/>
      <c r="AD36" s="2"/>
      <c r="AE36" s="2"/>
      <c r="AF36" s="2"/>
      <c r="AG36" s="2"/>
      <c r="AH36" s="2"/>
    </row>
    <row r="37" spans="1:36" x14ac:dyDescent="0.35">
      <c r="B37" s="2"/>
      <c r="C37" s="2"/>
      <c r="D37" s="2"/>
      <c r="E37" s="2"/>
      <c r="F37" s="13">
        <v>469.59491000000003</v>
      </c>
      <c r="G37" s="13">
        <v>472.58953000000002</v>
      </c>
      <c r="H37" s="2">
        <f t="shared" si="0"/>
        <v>2.9946199999999976</v>
      </c>
      <c r="I37" s="2"/>
      <c r="J37" s="2"/>
      <c r="K37" s="2"/>
      <c r="L37" s="2"/>
      <c r="M37" s="2"/>
      <c r="N37" s="2"/>
      <c r="O37" s="2"/>
      <c r="Y37" s="13"/>
      <c r="Z37" s="13"/>
      <c r="AA37" s="2"/>
      <c r="AB37" s="2"/>
      <c r="AC37" s="2"/>
      <c r="AD37" s="2"/>
      <c r="AE37" s="2"/>
      <c r="AF37" s="2"/>
      <c r="AG37" s="2"/>
      <c r="AH37" s="2"/>
    </row>
    <row r="38" spans="1:36" x14ac:dyDescent="0.35">
      <c r="B38" s="2"/>
      <c r="C38" s="2"/>
      <c r="D38" s="2"/>
      <c r="E38" s="2"/>
      <c r="F38" s="13"/>
      <c r="G38" s="13"/>
      <c r="H38" s="2"/>
      <c r="I38" s="2"/>
      <c r="J38" s="2"/>
      <c r="K38" s="2"/>
      <c r="L38" s="2"/>
      <c r="M38" s="2"/>
      <c r="N38" s="2"/>
      <c r="O38" s="2"/>
      <c r="Y38" s="13"/>
      <c r="Z38" s="13"/>
      <c r="AA38" s="2"/>
      <c r="AB38" s="2"/>
      <c r="AC38" s="2"/>
      <c r="AD38" s="2"/>
      <c r="AE38" s="2"/>
      <c r="AF38" s="2"/>
      <c r="AG38" s="2"/>
      <c r="AH38" s="2"/>
    </row>
    <row r="39" spans="1:36" x14ac:dyDescent="0.35">
      <c r="B39" s="2"/>
      <c r="C39" s="2"/>
      <c r="D39" s="2"/>
      <c r="E39" s="2"/>
      <c r="F39" s="13"/>
      <c r="G39" s="13"/>
      <c r="H39" s="2"/>
      <c r="I39" s="2"/>
      <c r="J39" s="2"/>
      <c r="K39" s="2"/>
      <c r="L39" s="2"/>
      <c r="M39" s="2"/>
      <c r="N39" s="2"/>
      <c r="O39" s="2"/>
      <c r="Y39" s="13"/>
      <c r="Z39" s="13"/>
      <c r="AA39" s="2"/>
      <c r="AB39" s="2"/>
      <c r="AC39" s="2"/>
      <c r="AD39" s="2"/>
      <c r="AE39" s="2"/>
      <c r="AF39" s="2"/>
      <c r="AG39" s="2"/>
      <c r="AH39" s="2"/>
      <c r="AI39" s="2"/>
      <c r="AJ39" s="2"/>
    </row>
    <row r="40" spans="1:36" ht="16" thickBot="1" x14ac:dyDescent="0.4">
      <c r="B40" s="2"/>
      <c r="C40" s="2"/>
      <c r="D40" s="2"/>
      <c r="E40" s="2"/>
      <c r="F40" s="13"/>
      <c r="G40" s="13"/>
      <c r="H40" s="9" t="s">
        <v>3</v>
      </c>
      <c r="I40" s="9" t="s">
        <v>4</v>
      </c>
      <c r="J40" s="9" t="s">
        <v>5</v>
      </c>
      <c r="K40" s="9" t="s">
        <v>6</v>
      </c>
      <c r="L40" s="9" t="s">
        <v>7</v>
      </c>
      <c r="M40" s="9" t="s">
        <v>8</v>
      </c>
      <c r="N40" s="9" t="s">
        <v>9</v>
      </c>
      <c r="O40" s="9" t="s">
        <v>10</v>
      </c>
      <c r="P40" s="44" t="s">
        <v>139</v>
      </c>
      <c r="Y40" s="13"/>
      <c r="Z40" s="13"/>
      <c r="AA40" s="5"/>
      <c r="AB40" s="5"/>
      <c r="AC40" s="5"/>
      <c r="AD40" s="5"/>
      <c r="AE40" s="5"/>
      <c r="AF40" s="5"/>
      <c r="AG40" s="5"/>
      <c r="AH40" s="5"/>
      <c r="AI40" s="14"/>
      <c r="AJ40" s="2"/>
    </row>
    <row r="41" spans="1:36" x14ac:dyDescent="0.35">
      <c r="B41" s="2"/>
      <c r="C41" s="2"/>
      <c r="D41" s="2"/>
      <c r="E41" s="2"/>
      <c r="F41" s="13"/>
      <c r="G41" s="49" t="s">
        <v>77</v>
      </c>
      <c r="H41" s="13">
        <f>AVERAGE(H7:H36)</f>
        <v>3.1960446666666655</v>
      </c>
      <c r="I41" s="13">
        <f t="shared" ref="I41:P41" si="8">AVERAGE(I7:I36)</f>
        <v>5.9812233333333351</v>
      </c>
      <c r="J41" s="13">
        <f t="shared" si="8"/>
        <v>0.34655845167086013</v>
      </c>
      <c r="K41" s="13">
        <f t="shared" si="8"/>
        <v>0.65344154832914003</v>
      </c>
      <c r="L41" s="13">
        <f t="shared" si="8"/>
        <v>0.32824213049509887</v>
      </c>
      <c r="M41" s="13">
        <f t="shared" si="8"/>
        <v>0.10997449292548803</v>
      </c>
      <c r="N41" s="13">
        <f t="shared" si="8"/>
        <v>9.1772680000000015</v>
      </c>
      <c r="O41" s="13">
        <f>AVERAGE(O7:O36)</f>
        <v>17.533333333333335</v>
      </c>
      <c r="P41" s="13">
        <f t="shared" si="8"/>
        <v>5.5521789289718955</v>
      </c>
      <c r="Y41" s="13"/>
      <c r="Z41" s="49"/>
      <c r="AA41" s="13"/>
      <c r="AB41" s="13"/>
      <c r="AC41" s="13"/>
      <c r="AD41" s="13"/>
      <c r="AE41" s="13"/>
      <c r="AF41" s="13"/>
      <c r="AG41" s="13"/>
      <c r="AH41" s="13"/>
      <c r="AI41" s="13"/>
      <c r="AJ41" s="2"/>
    </row>
    <row r="42" spans="1:36" x14ac:dyDescent="0.35">
      <c r="B42" s="2"/>
      <c r="C42" s="2"/>
      <c r="D42" s="2"/>
      <c r="E42" s="2"/>
      <c r="F42" s="13"/>
      <c r="G42" s="49" t="s">
        <v>94</v>
      </c>
      <c r="H42" s="2">
        <f>_xlfn.STDEV.S(H7:H36)</f>
        <v>0.64993202974981945</v>
      </c>
      <c r="I42" s="2">
        <f t="shared" ref="I42:P42" si="9">_xlfn.STDEV.S(I7:I36)</f>
        <v>0.61581399585025709</v>
      </c>
      <c r="J42" s="2">
        <f t="shared" si="9"/>
        <v>5.3542258002145904E-2</v>
      </c>
      <c r="K42" s="2">
        <f t="shared" si="9"/>
        <v>5.3542258002146272E-2</v>
      </c>
      <c r="L42" s="2">
        <f t="shared" si="9"/>
        <v>8.104526864439629E-2</v>
      </c>
      <c r="M42" s="2">
        <f t="shared" si="9"/>
        <v>1.0757910479513987E-2</v>
      </c>
      <c r="N42" s="2">
        <f t="shared" si="9"/>
        <v>0.89722594878228634</v>
      </c>
      <c r="O42" s="2">
        <f t="shared" si="9"/>
        <v>2.9447010659515356</v>
      </c>
      <c r="P42" s="2">
        <f t="shared" si="9"/>
        <v>0.53583502328916943</v>
      </c>
      <c r="Y42" s="13"/>
      <c r="Z42" s="49"/>
      <c r="AA42" s="2"/>
      <c r="AB42" s="2"/>
      <c r="AC42" s="2"/>
      <c r="AD42" s="2"/>
      <c r="AE42" s="2"/>
      <c r="AF42" s="2"/>
      <c r="AG42" s="2"/>
      <c r="AH42" s="2"/>
      <c r="AI42" s="2"/>
      <c r="AJ42" s="2"/>
    </row>
    <row r="43" spans="1:36" x14ac:dyDescent="0.35">
      <c r="B43" s="2"/>
      <c r="C43" s="2"/>
      <c r="D43" s="2"/>
      <c r="E43" s="2"/>
      <c r="F43" s="13"/>
      <c r="G43" s="49" t="s">
        <v>95</v>
      </c>
      <c r="H43" s="2">
        <f>H42/(SQRT(COUNT(H7:H36)))</f>
        <v>0.11866081117969828</v>
      </c>
      <c r="I43" s="2">
        <f t="shared" ref="I43:P43" si="10">I42/(SQRT(COUNT(I7:I36)))</f>
        <v>0.11243173891819286</v>
      </c>
      <c r="J43" s="2">
        <f t="shared" si="10"/>
        <v>9.775434162512267E-3</v>
      </c>
      <c r="K43" s="2">
        <f t="shared" si="10"/>
        <v>9.775434162512333E-3</v>
      </c>
      <c r="L43" s="2">
        <f t="shared" si="10"/>
        <v>1.4796773938533994E-2</v>
      </c>
      <c r="M43" s="2">
        <f t="shared" si="10"/>
        <v>1.9641167470836763E-3</v>
      </c>
      <c r="N43" s="2">
        <f t="shared" si="10"/>
        <v>0.16381029710901102</v>
      </c>
      <c r="O43" s="2">
        <f t="shared" si="10"/>
        <v>0.53762639964372128</v>
      </c>
      <c r="P43" s="2">
        <f t="shared" si="10"/>
        <v>9.7829643118928042E-2</v>
      </c>
      <c r="Y43" s="13"/>
      <c r="Z43" s="49"/>
      <c r="AA43" s="2"/>
      <c r="AB43" s="2"/>
      <c r="AC43" s="2"/>
      <c r="AD43" s="2"/>
      <c r="AE43" s="2"/>
      <c r="AF43" s="2"/>
      <c r="AG43" s="2"/>
      <c r="AH43" s="2"/>
      <c r="AI43" s="2"/>
      <c r="AJ43" s="2"/>
    </row>
    <row r="44" spans="1:36" x14ac:dyDescent="0.35">
      <c r="B44" s="2"/>
      <c r="C44" s="2"/>
      <c r="D44" s="2"/>
      <c r="E44" s="2"/>
      <c r="F44" s="13"/>
      <c r="G44" s="13"/>
      <c r="H44" s="2"/>
      <c r="I44" s="2"/>
      <c r="J44" s="2"/>
      <c r="K44" s="2"/>
      <c r="L44" s="2"/>
      <c r="M44" s="2"/>
      <c r="N44" s="2"/>
      <c r="O44" s="2"/>
      <c r="AA44" s="2"/>
      <c r="AB44" s="2"/>
      <c r="AC44" s="2"/>
      <c r="AD44" s="2"/>
      <c r="AE44" s="2"/>
      <c r="AF44" s="2"/>
      <c r="AG44" s="2"/>
      <c r="AH44" s="2"/>
      <c r="AI44" s="2"/>
      <c r="AJ44" s="2"/>
    </row>
    <row r="45" spans="1:36" x14ac:dyDescent="0.35">
      <c r="B45" s="2"/>
      <c r="C45" s="2"/>
      <c r="D45" s="2"/>
      <c r="E45" s="2"/>
      <c r="F45" s="13"/>
      <c r="G45" s="13"/>
      <c r="H45" s="2"/>
      <c r="I45" s="2"/>
      <c r="J45" s="2"/>
      <c r="K45" s="2"/>
      <c r="L45" s="2"/>
      <c r="M45" s="2"/>
      <c r="N45" s="2"/>
      <c r="O45" s="2"/>
      <c r="AA45" s="2"/>
      <c r="AB45" s="2"/>
      <c r="AC45" s="2"/>
      <c r="AD45" s="2"/>
      <c r="AE45" s="2"/>
      <c r="AF45" s="2"/>
      <c r="AG45" s="2"/>
      <c r="AH45" s="2"/>
      <c r="AI45" s="2"/>
      <c r="AJ45" s="2"/>
    </row>
    <row r="46" spans="1:36" x14ac:dyDescent="0.35">
      <c r="B46" s="2"/>
      <c r="C46" s="2"/>
      <c r="D46" s="2"/>
      <c r="E46" s="2"/>
      <c r="F46" s="2"/>
      <c r="G46" s="2"/>
      <c r="H46" s="2"/>
      <c r="I46" s="2"/>
      <c r="J46" s="2"/>
      <c r="K46" s="2"/>
      <c r="L46" s="2"/>
      <c r="M46" s="2"/>
      <c r="N46" s="2"/>
      <c r="O46" s="2"/>
    </row>
    <row r="47" spans="1:36" x14ac:dyDescent="0.35">
      <c r="B47" s="2"/>
      <c r="C47" s="2"/>
      <c r="D47" s="2"/>
      <c r="E47" s="2"/>
      <c r="F47" s="2"/>
      <c r="G47" s="2"/>
      <c r="H47" s="49"/>
      <c r="I47" s="49"/>
      <c r="J47" s="49"/>
      <c r="K47" s="49"/>
      <c r="L47" s="49"/>
      <c r="M47" s="49"/>
      <c r="N47" s="49"/>
      <c r="O47" s="2"/>
    </row>
    <row r="48" spans="1:36" x14ac:dyDescent="0.35">
      <c r="A48" s="8"/>
      <c r="B48" s="6" t="s">
        <v>24</v>
      </c>
      <c r="D48" s="2"/>
      <c r="E48" s="2"/>
      <c r="F48" s="2"/>
      <c r="G48" s="2"/>
      <c r="H48" s="2"/>
      <c r="I48" s="2"/>
      <c r="J48" s="2"/>
      <c r="K48" s="2"/>
      <c r="L48" s="2"/>
      <c r="M48" s="2"/>
      <c r="N48" s="2"/>
      <c r="O48" s="2"/>
    </row>
    <row r="49" spans="1:20" x14ac:dyDescent="0.35">
      <c r="A49" s="7"/>
      <c r="B49" s="6" t="s">
        <v>72</v>
      </c>
      <c r="D49" s="2"/>
      <c r="E49" s="2"/>
      <c r="F49" s="2"/>
      <c r="G49" s="2"/>
      <c r="H49" s="2"/>
      <c r="I49" s="2"/>
      <c r="J49" s="2"/>
      <c r="K49" s="2"/>
      <c r="L49" s="2"/>
      <c r="M49" s="2"/>
      <c r="N49" s="2"/>
      <c r="O49" s="2"/>
    </row>
    <row r="50" spans="1:20" x14ac:dyDescent="0.35">
      <c r="B50" s="2"/>
      <c r="C50" s="2"/>
      <c r="D50" s="2"/>
      <c r="E50" s="2"/>
      <c r="F50" s="2"/>
      <c r="G50" s="2"/>
      <c r="H50" s="2"/>
      <c r="I50" s="2"/>
      <c r="J50" s="2"/>
      <c r="K50" s="2"/>
      <c r="L50" s="2"/>
      <c r="M50" s="2"/>
      <c r="N50" s="2"/>
      <c r="O50" s="2"/>
    </row>
    <row r="51" spans="1:20" ht="18.5" x14ac:dyDescent="0.45">
      <c r="B51" s="2"/>
      <c r="C51" s="2"/>
      <c r="D51" s="2"/>
      <c r="E51" s="2"/>
      <c r="F51" s="1" t="s">
        <v>319</v>
      </c>
      <c r="G51" s="2"/>
      <c r="H51" s="2"/>
      <c r="I51" s="2"/>
      <c r="J51" s="2"/>
      <c r="K51" s="2"/>
      <c r="L51" s="2"/>
      <c r="M51" s="2"/>
      <c r="N51" s="2"/>
      <c r="O51" s="2"/>
    </row>
    <row r="52" spans="1:20" ht="16" thickBot="1" x14ac:dyDescent="0.4">
      <c r="B52" s="9" t="s">
        <v>18</v>
      </c>
      <c r="C52" s="9" t="s">
        <v>17</v>
      </c>
      <c r="D52" s="9" t="s">
        <v>20</v>
      </c>
      <c r="E52" s="5"/>
      <c r="F52" s="9" t="s">
        <v>1</v>
      </c>
      <c r="G52" s="9" t="s">
        <v>2</v>
      </c>
      <c r="H52" s="9" t="s">
        <v>3</v>
      </c>
      <c r="I52" s="9" t="s">
        <v>4</v>
      </c>
      <c r="J52" s="9" t="s">
        <v>5</v>
      </c>
      <c r="K52" s="9" t="s">
        <v>6</v>
      </c>
      <c r="L52" s="9" t="s">
        <v>7</v>
      </c>
      <c r="M52" s="9" t="s">
        <v>8</v>
      </c>
      <c r="N52" s="9" t="s">
        <v>9</v>
      </c>
      <c r="O52" s="9" t="s">
        <v>10</v>
      </c>
      <c r="P52" s="44" t="s">
        <v>139</v>
      </c>
      <c r="Q52" s="20"/>
      <c r="R52" s="44"/>
    </row>
    <row r="53" spans="1:20" x14ac:dyDescent="0.35">
      <c r="A53" s="13"/>
      <c r="B53" s="91">
        <v>499.91</v>
      </c>
      <c r="C53" s="91">
        <v>508.23</v>
      </c>
      <c r="D53" s="91">
        <f>C53-B53</f>
        <v>8.3199999999999932</v>
      </c>
      <c r="E53" s="91"/>
      <c r="F53" s="91">
        <v>496.82459</v>
      </c>
      <c r="G53" s="91">
        <v>500.9</v>
      </c>
      <c r="H53" s="91">
        <f>G53-F53</f>
        <v>4.0754099999999767</v>
      </c>
      <c r="I53" s="91">
        <f>F54-G53</f>
        <v>8.1299999999999955</v>
      </c>
      <c r="J53" s="91">
        <f>H53/N53</f>
        <v>0.3339019336507324</v>
      </c>
      <c r="K53" s="91">
        <f>I53/N53</f>
        <v>0.6660980663492676</v>
      </c>
      <c r="L53" s="91">
        <f>1/H53</f>
        <v>0.24537408506138172</v>
      </c>
      <c r="M53" s="91">
        <f>1/N53</f>
        <v>8.1930881469774661E-2</v>
      </c>
      <c r="N53" s="91">
        <f>H53+I53</f>
        <v>12.205409999999972</v>
      </c>
      <c r="O53" s="91">
        <v>22</v>
      </c>
      <c r="P53" s="144">
        <f>O53/H53</f>
        <v>5.3982298713503978</v>
      </c>
      <c r="Q53" s="13"/>
      <c r="S53" s="13"/>
      <c r="T53" s="13"/>
    </row>
    <row r="54" spans="1:20" x14ac:dyDescent="0.35">
      <c r="A54" s="13"/>
      <c r="B54" s="13"/>
      <c r="C54" s="13"/>
      <c r="D54" s="13"/>
      <c r="E54" s="13"/>
      <c r="F54" s="13">
        <v>509.03</v>
      </c>
      <c r="G54" s="13">
        <v>513.13</v>
      </c>
      <c r="H54" s="13">
        <f t="shared" ref="H54:H97" si="11">G54-F54</f>
        <v>4.1000000000000227</v>
      </c>
      <c r="I54" s="13">
        <f t="shared" ref="I54:I97" si="12">F55-G54</f>
        <v>5.0816200000000435</v>
      </c>
      <c r="J54" s="13">
        <f t="shared" ref="J54:J97" si="13">H54/N54</f>
        <v>0.44654429174807858</v>
      </c>
      <c r="K54" s="13">
        <f t="shared" ref="K54:K97" si="14">I54/N54</f>
        <v>0.55345570825192147</v>
      </c>
      <c r="L54" s="13">
        <f t="shared" ref="L54:L97" si="15">1/H54</f>
        <v>0.24390243902438888</v>
      </c>
      <c r="M54" s="13">
        <f t="shared" ref="M54:M97" si="16">1/N54</f>
        <v>0.10891324188977465</v>
      </c>
      <c r="N54" s="13">
        <f t="shared" ref="N54:N97" si="17">H54+I54</f>
        <v>9.1816200000000663</v>
      </c>
      <c r="O54" s="13">
        <v>21</v>
      </c>
      <c r="P54">
        <f t="shared" ref="P54:P97" si="18">O54/H54</f>
        <v>5.1219512195121668</v>
      </c>
      <c r="Q54" s="13"/>
      <c r="S54" s="13"/>
      <c r="T54" s="13"/>
    </row>
    <row r="55" spans="1:20" x14ac:dyDescent="0.35">
      <c r="A55" s="13"/>
      <c r="B55" s="13"/>
      <c r="C55" s="13"/>
      <c r="D55" s="13"/>
      <c r="E55" s="13"/>
      <c r="F55" s="13">
        <v>518.21162000000004</v>
      </c>
      <c r="G55" s="13">
        <v>522.63708999999994</v>
      </c>
      <c r="H55" s="13">
        <f t="shared" si="11"/>
        <v>4.4254699999999048</v>
      </c>
      <c r="I55" s="13">
        <f t="shared" si="12"/>
        <v>7.8095600000000331</v>
      </c>
      <c r="J55" s="13">
        <f t="shared" si="13"/>
        <v>0.36170487526388795</v>
      </c>
      <c r="K55" s="13">
        <f t="shared" si="14"/>
        <v>0.63829512473611205</v>
      </c>
      <c r="L55" s="13">
        <f t="shared" si="15"/>
        <v>0.22596469979460296</v>
      </c>
      <c r="M55" s="13">
        <f t="shared" si="16"/>
        <v>8.1732533553248748E-2</v>
      </c>
      <c r="N55" s="13">
        <f t="shared" si="17"/>
        <v>12.235029999999938</v>
      </c>
      <c r="O55" s="13">
        <v>30</v>
      </c>
      <c r="P55">
        <f t="shared" si="18"/>
        <v>6.7789409938380887</v>
      </c>
      <c r="Q55" s="13"/>
      <c r="R55" s="13"/>
      <c r="S55" s="13"/>
      <c r="T55" s="13"/>
    </row>
    <row r="56" spans="1:20" x14ac:dyDescent="0.35">
      <c r="A56" s="13"/>
      <c r="B56" s="13"/>
      <c r="C56" s="13"/>
      <c r="D56" s="13"/>
      <c r="E56" s="13"/>
      <c r="F56" s="13">
        <v>530.44664999999998</v>
      </c>
      <c r="G56" s="13">
        <v>534.70406000000003</v>
      </c>
      <c r="H56" s="13">
        <f t="shared" si="11"/>
        <v>4.2574100000000499</v>
      </c>
      <c r="I56" s="13">
        <f t="shared" si="12"/>
        <v>6.0935699999999997</v>
      </c>
      <c r="J56" s="13">
        <f t="shared" si="13"/>
        <v>0.4113050165298387</v>
      </c>
      <c r="K56" s="13">
        <f t="shared" si="14"/>
        <v>0.58869498347016136</v>
      </c>
      <c r="L56" s="13">
        <f t="shared" si="15"/>
        <v>0.23488458945696758</v>
      </c>
      <c r="M56" s="13">
        <f t="shared" si="16"/>
        <v>9.6609209949202413E-2</v>
      </c>
      <c r="N56" s="13">
        <f t="shared" si="17"/>
        <v>10.35098000000005</v>
      </c>
      <c r="O56" s="13">
        <v>23</v>
      </c>
      <c r="P56">
        <f t="shared" si="18"/>
        <v>5.4023455575102544</v>
      </c>
      <c r="Q56" s="13"/>
      <c r="R56" s="13"/>
      <c r="S56" s="13"/>
      <c r="T56" s="13"/>
    </row>
    <row r="57" spans="1:20" x14ac:dyDescent="0.35">
      <c r="A57" s="13"/>
      <c r="B57" s="13"/>
      <c r="C57" s="13"/>
      <c r="D57" s="13"/>
      <c r="E57" s="13"/>
      <c r="F57" s="13">
        <v>540.79763000000003</v>
      </c>
      <c r="G57" s="13">
        <v>544.93411000000003</v>
      </c>
      <c r="H57" s="13">
        <f t="shared" si="11"/>
        <v>4.1364800000000059</v>
      </c>
      <c r="I57" s="13">
        <f t="shared" si="12"/>
        <v>6.3398599999999306</v>
      </c>
      <c r="J57" s="13">
        <f t="shared" si="13"/>
        <v>0.39484018273557664</v>
      </c>
      <c r="K57" s="13">
        <f t="shared" si="14"/>
        <v>0.60515981726442336</v>
      </c>
      <c r="L57" s="13">
        <f t="shared" si="15"/>
        <v>0.24175144083858705</v>
      </c>
      <c r="M57" s="13">
        <f t="shared" si="16"/>
        <v>9.5453183077296652E-2</v>
      </c>
      <c r="N57" s="13">
        <f t="shared" si="17"/>
        <v>10.476339999999936</v>
      </c>
      <c r="O57" s="13">
        <v>24</v>
      </c>
      <c r="P57">
        <f t="shared" si="18"/>
        <v>5.8020345801260893</v>
      </c>
      <c r="Q57" s="13"/>
      <c r="R57" s="13"/>
      <c r="S57" s="13"/>
      <c r="T57" s="13"/>
    </row>
    <row r="58" spans="1:20" x14ac:dyDescent="0.35">
      <c r="A58" s="13"/>
      <c r="B58" s="91">
        <v>556.4</v>
      </c>
      <c r="C58" s="91">
        <v>564.77</v>
      </c>
      <c r="D58" s="91">
        <f>C58-B58</f>
        <v>8.3700000000000045</v>
      </c>
      <c r="E58" s="91"/>
      <c r="F58" s="91">
        <v>551.27396999999996</v>
      </c>
      <c r="G58" s="91">
        <v>554.23254999999995</v>
      </c>
      <c r="H58" s="91">
        <f t="shared" si="11"/>
        <v>2.9585799999999836</v>
      </c>
      <c r="I58" s="91">
        <f t="shared" si="12"/>
        <v>9.0074500000000626</v>
      </c>
      <c r="J58" s="91">
        <f t="shared" si="13"/>
        <v>0.24724825192649294</v>
      </c>
      <c r="K58" s="91">
        <f t="shared" si="14"/>
        <v>0.75275174807350709</v>
      </c>
      <c r="L58" s="91">
        <f t="shared" si="15"/>
        <v>0.3379999864800024</v>
      </c>
      <c r="M58" s="91">
        <f t="shared" si="16"/>
        <v>8.3569905808358838E-2</v>
      </c>
      <c r="N58" s="91">
        <f t="shared" si="17"/>
        <v>11.966030000000046</v>
      </c>
      <c r="O58" s="91">
        <v>19</v>
      </c>
      <c r="P58" s="144">
        <f t="shared" si="18"/>
        <v>6.421999743120046</v>
      </c>
      <c r="Q58" s="13"/>
      <c r="R58" s="13"/>
      <c r="S58" s="13"/>
      <c r="T58" s="13"/>
    </row>
    <row r="59" spans="1:20" x14ac:dyDescent="0.35">
      <c r="A59" s="13"/>
      <c r="B59" s="13"/>
      <c r="C59" s="13"/>
      <c r="D59" s="13"/>
      <c r="E59" s="13"/>
      <c r="F59" s="13">
        <v>563.24</v>
      </c>
      <c r="G59" s="13">
        <v>567.01343999999995</v>
      </c>
      <c r="H59" s="13">
        <f t="shared" si="11"/>
        <v>3.7734399999999368</v>
      </c>
      <c r="I59" s="13">
        <f t="shared" si="12"/>
        <v>5.2004300000000967</v>
      </c>
      <c r="J59" s="13">
        <f t="shared" si="13"/>
        <v>0.42049193937508822</v>
      </c>
      <c r="K59" s="13">
        <f t="shared" si="14"/>
        <v>0.57950806062491178</v>
      </c>
      <c r="L59" s="13">
        <f t="shared" si="15"/>
        <v>0.26501017639077784</v>
      </c>
      <c r="M59" s="13">
        <f t="shared" si="16"/>
        <v>0.11143464302469239</v>
      </c>
      <c r="N59" s="13">
        <f t="shared" si="17"/>
        <v>8.9738700000000335</v>
      </c>
      <c r="O59" s="13">
        <v>16</v>
      </c>
      <c r="P59">
        <f t="shared" si="18"/>
        <v>4.2401628222524455</v>
      </c>
      <c r="Q59" s="13"/>
      <c r="R59" s="13"/>
      <c r="S59" s="13"/>
      <c r="T59" s="13"/>
    </row>
    <row r="60" spans="1:20" x14ac:dyDescent="0.35">
      <c r="A60" s="13"/>
      <c r="B60" s="13"/>
      <c r="C60" s="13"/>
      <c r="D60" s="13"/>
      <c r="E60" s="13"/>
      <c r="F60" s="13">
        <v>572.21387000000004</v>
      </c>
      <c r="G60" s="13">
        <v>576.47608000000002</v>
      </c>
      <c r="H60" s="13">
        <f t="shared" si="11"/>
        <v>4.2622099999999818</v>
      </c>
      <c r="I60" s="13">
        <f t="shared" si="12"/>
        <v>6.0944099999999253</v>
      </c>
      <c r="J60" s="13">
        <f t="shared" si="13"/>
        <v>0.41154450003959014</v>
      </c>
      <c r="K60" s="13">
        <f t="shared" si="14"/>
        <v>0.58845549996040991</v>
      </c>
      <c r="L60" s="13">
        <f t="shared" si="15"/>
        <v>0.2346200679928967</v>
      </c>
      <c r="M60" s="13">
        <f t="shared" si="16"/>
        <v>9.6556598581391317E-2</v>
      </c>
      <c r="N60" s="13">
        <f t="shared" si="17"/>
        <v>10.356619999999907</v>
      </c>
      <c r="O60" s="13">
        <v>26</v>
      </c>
      <c r="P60">
        <f t="shared" si="18"/>
        <v>6.1001217678153141</v>
      </c>
      <c r="Q60" s="13"/>
      <c r="R60" s="13"/>
      <c r="S60" s="13"/>
      <c r="T60" s="13"/>
    </row>
    <row r="61" spans="1:20" x14ac:dyDescent="0.35">
      <c r="A61" s="13"/>
      <c r="B61" s="13"/>
      <c r="C61" s="13"/>
      <c r="D61" s="13"/>
      <c r="E61" s="13"/>
      <c r="F61" s="13">
        <v>582.57048999999995</v>
      </c>
      <c r="G61" s="13">
        <v>586.62621999999999</v>
      </c>
      <c r="H61" s="13">
        <f t="shared" si="11"/>
        <v>4.0557300000000396</v>
      </c>
      <c r="I61" s="13">
        <f t="shared" si="12"/>
        <v>6.2866000000000213</v>
      </c>
      <c r="J61" s="13">
        <f t="shared" si="13"/>
        <v>0.39214857773828682</v>
      </c>
      <c r="K61" s="13">
        <f t="shared" si="14"/>
        <v>0.60785142226171318</v>
      </c>
      <c r="L61" s="13">
        <f t="shared" si="15"/>
        <v>0.2465647368044693</v>
      </c>
      <c r="M61" s="13">
        <f t="shared" si="16"/>
        <v>9.6690010858287656E-2</v>
      </c>
      <c r="N61" s="13">
        <f t="shared" si="17"/>
        <v>10.342330000000061</v>
      </c>
      <c r="O61" s="13">
        <v>23</v>
      </c>
      <c r="P61">
        <f t="shared" si="18"/>
        <v>5.6709889465027938</v>
      </c>
      <c r="Q61" s="13"/>
      <c r="R61" s="13"/>
      <c r="S61" s="13"/>
      <c r="T61" s="13"/>
    </row>
    <row r="62" spans="1:20" x14ac:dyDescent="0.35">
      <c r="A62" s="13"/>
      <c r="B62" s="13"/>
      <c r="C62" s="13"/>
      <c r="D62" s="13"/>
      <c r="E62" s="13"/>
      <c r="F62" s="13">
        <v>592.91282000000001</v>
      </c>
      <c r="G62" s="13">
        <v>597.09114</v>
      </c>
      <c r="H62" s="13">
        <f t="shared" si="11"/>
        <v>4.1783199999999852</v>
      </c>
      <c r="I62" s="13">
        <f t="shared" si="12"/>
        <v>5.3626799999999548</v>
      </c>
      <c r="J62" s="13">
        <f t="shared" si="13"/>
        <v>0.43793313069908935</v>
      </c>
      <c r="K62" s="13">
        <f t="shared" si="14"/>
        <v>0.56206686930091065</v>
      </c>
      <c r="L62" s="13">
        <f t="shared" si="15"/>
        <v>0.23933064006586463</v>
      </c>
      <c r="M62" s="13">
        <f t="shared" si="16"/>
        <v>0.104810816476261</v>
      </c>
      <c r="N62" s="13">
        <f t="shared" si="17"/>
        <v>9.54099999999994</v>
      </c>
      <c r="O62" s="13">
        <v>24</v>
      </c>
      <c r="P62">
        <f t="shared" si="18"/>
        <v>5.7439353615807516</v>
      </c>
      <c r="Q62" s="13"/>
      <c r="R62" s="13"/>
      <c r="S62" s="13"/>
      <c r="T62" s="13"/>
    </row>
    <row r="63" spans="1:20" x14ac:dyDescent="0.35">
      <c r="A63" s="13"/>
      <c r="B63" s="91">
        <v>607.66999999999996</v>
      </c>
      <c r="C63" s="91">
        <v>617.22</v>
      </c>
      <c r="D63" s="91">
        <f>C63-B63</f>
        <v>9.5500000000000682</v>
      </c>
      <c r="E63" s="91"/>
      <c r="F63" s="91">
        <v>602.45381999999995</v>
      </c>
      <c r="G63" s="91">
        <v>606.61818000000005</v>
      </c>
      <c r="H63" s="91">
        <f t="shared" si="11"/>
        <v>4.1643600000001015</v>
      </c>
      <c r="I63" s="91">
        <f t="shared" si="12"/>
        <v>9.7651199999999108</v>
      </c>
      <c r="J63" s="91">
        <f t="shared" si="13"/>
        <v>0.29896019090447723</v>
      </c>
      <c r="K63" s="91">
        <f t="shared" si="14"/>
        <v>0.70103980909552277</v>
      </c>
      <c r="L63" s="91">
        <f t="shared" si="15"/>
        <v>0.24013293759424631</v>
      </c>
      <c r="M63" s="91">
        <f t="shared" si="16"/>
        <v>7.179018886562881E-2</v>
      </c>
      <c r="N63" s="91">
        <f t="shared" si="17"/>
        <v>13.929480000000012</v>
      </c>
      <c r="O63" s="91">
        <v>27</v>
      </c>
      <c r="P63" s="144">
        <f t="shared" si="18"/>
        <v>6.4835893150446511</v>
      </c>
      <c r="Q63" s="13"/>
      <c r="R63" s="13"/>
      <c r="S63" s="13"/>
      <c r="T63" s="13"/>
    </row>
    <row r="64" spans="1:20" x14ac:dyDescent="0.35">
      <c r="A64" s="13"/>
      <c r="B64" s="13"/>
      <c r="C64" s="13"/>
      <c r="D64" s="13"/>
      <c r="E64" s="13"/>
      <c r="F64" s="13">
        <v>616.38329999999996</v>
      </c>
      <c r="G64" s="13">
        <v>619.29409999999996</v>
      </c>
      <c r="H64" s="13">
        <f t="shared" si="11"/>
        <v>2.9107999999999947</v>
      </c>
      <c r="I64" s="13">
        <f t="shared" si="12"/>
        <v>6.0167400000000271</v>
      </c>
      <c r="J64" s="13">
        <f t="shared" si="13"/>
        <v>0.3260472649800491</v>
      </c>
      <c r="K64" s="13">
        <f t="shared" si="14"/>
        <v>0.6739527350199509</v>
      </c>
      <c r="L64" s="13">
        <f t="shared" si="15"/>
        <v>0.34354816545279709</v>
      </c>
      <c r="M64" s="13">
        <f t="shared" si="16"/>
        <v>0.1120129397347979</v>
      </c>
      <c r="N64" s="13">
        <f t="shared" si="17"/>
        <v>8.9275400000000218</v>
      </c>
      <c r="O64" s="13">
        <v>19</v>
      </c>
      <c r="P64">
        <f t="shared" si="18"/>
        <v>6.5274151436031449</v>
      </c>
      <c r="Q64" s="13"/>
      <c r="R64" s="13"/>
      <c r="S64" s="13"/>
      <c r="T64" s="13"/>
    </row>
    <row r="65" spans="1:20" x14ac:dyDescent="0.35">
      <c r="A65" s="13"/>
      <c r="B65" s="13"/>
      <c r="C65" s="13"/>
      <c r="D65" s="13"/>
      <c r="E65" s="13"/>
      <c r="F65" s="13">
        <v>625.31083999999998</v>
      </c>
      <c r="G65" s="13">
        <v>629.52341999999999</v>
      </c>
      <c r="H65" s="13">
        <f t="shared" si="11"/>
        <v>4.2125800000000027</v>
      </c>
      <c r="I65" s="13">
        <f t="shared" si="12"/>
        <v>5.9191399999999703</v>
      </c>
      <c r="J65" s="13">
        <f t="shared" si="13"/>
        <v>0.41578132834306653</v>
      </c>
      <c r="K65" s="13">
        <f t="shared" si="14"/>
        <v>0.58421867165693353</v>
      </c>
      <c r="L65" s="13">
        <f t="shared" si="15"/>
        <v>0.23738421584871963</v>
      </c>
      <c r="M65" s="13">
        <f t="shared" si="16"/>
        <v>9.8699924593257868E-2</v>
      </c>
      <c r="N65" s="13">
        <f t="shared" si="17"/>
        <v>10.131719999999973</v>
      </c>
      <c r="O65" s="13">
        <v>25</v>
      </c>
      <c r="P65">
        <f t="shared" si="18"/>
        <v>5.9346053962179912</v>
      </c>
      <c r="Q65" s="13"/>
      <c r="R65" s="13"/>
      <c r="S65" s="13"/>
      <c r="T65" s="13"/>
    </row>
    <row r="66" spans="1:20" x14ac:dyDescent="0.35">
      <c r="A66" s="13"/>
      <c r="B66" s="85"/>
      <c r="C66" s="85"/>
      <c r="D66" s="13"/>
      <c r="E66" s="13"/>
      <c r="F66" s="13">
        <v>635.44255999999996</v>
      </c>
      <c r="G66" s="13">
        <v>639.66124000000002</v>
      </c>
      <c r="H66" s="13">
        <f t="shared" si="11"/>
        <v>4.218680000000063</v>
      </c>
      <c r="I66" s="13">
        <f t="shared" si="12"/>
        <v>7.2227500000000191</v>
      </c>
      <c r="J66" s="13">
        <f t="shared" si="13"/>
        <v>0.36871964431019838</v>
      </c>
      <c r="K66" s="13">
        <f t="shared" si="14"/>
        <v>0.63128035568980168</v>
      </c>
      <c r="L66" s="13">
        <f t="shared" si="15"/>
        <v>0.23704097016127915</v>
      </c>
      <c r="M66" s="13">
        <f t="shared" si="16"/>
        <v>8.7401662204811187E-2</v>
      </c>
      <c r="N66" s="13">
        <f t="shared" si="17"/>
        <v>11.441430000000082</v>
      </c>
      <c r="O66" s="13">
        <v>23</v>
      </c>
      <c r="P66">
        <f t="shared" si="18"/>
        <v>5.4519423137094201</v>
      </c>
      <c r="Q66" s="13"/>
      <c r="R66" s="13"/>
      <c r="S66" s="13"/>
      <c r="T66" s="13"/>
    </row>
    <row r="67" spans="1:20" x14ac:dyDescent="0.35">
      <c r="A67" s="13"/>
      <c r="B67" s="13"/>
      <c r="C67" s="13"/>
      <c r="D67" s="13"/>
      <c r="E67" s="13"/>
      <c r="F67" s="13">
        <v>646.88399000000004</v>
      </c>
      <c r="G67" s="13">
        <v>650.74573999999996</v>
      </c>
      <c r="H67" s="13">
        <f t="shared" si="11"/>
        <v>3.8617499999999154</v>
      </c>
      <c r="I67" s="13">
        <f t="shared" si="12"/>
        <v>6.4130300000000489</v>
      </c>
      <c r="J67" s="13">
        <f t="shared" si="13"/>
        <v>0.37584746340066927</v>
      </c>
      <c r="K67" s="13">
        <f t="shared" si="14"/>
        <v>0.62415253659933068</v>
      </c>
      <c r="L67" s="13">
        <f t="shared" si="15"/>
        <v>0.25894995792063752</v>
      </c>
      <c r="M67" s="13">
        <f t="shared" si="16"/>
        <v>9.7325684832181666E-2</v>
      </c>
      <c r="N67" s="13">
        <f t="shared" si="17"/>
        <v>10.274779999999964</v>
      </c>
      <c r="O67" s="13">
        <v>21</v>
      </c>
      <c r="P67">
        <f t="shared" si="18"/>
        <v>5.437949116333388</v>
      </c>
      <c r="Q67" s="13"/>
      <c r="R67" s="13"/>
      <c r="S67" s="13"/>
      <c r="T67" s="13"/>
    </row>
    <row r="68" spans="1:20" x14ac:dyDescent="0.35">
      <c r="A68" s="13"/>
      <c r="B68" s="91">
        <v>661</v>
      </c>
      <c r="C68" s="91">
        <v>670.38</v>
      </c>
      <c r="D68" s="91">
        <f>C68-B68</f>
        <v>9.3799999999999955</v>
      </c>
      <c r="E68" s="91"/>
      <c r="F68" s="91">
        <v>657.15877</v>
      </c>
      <c r="G68" s="91">
        <v>661.42188999999996</v>
      </c>
      <c r="H68" s="91">
        <f t="shared" si="11"/>
        <v>4.2631199999999581</v>
      </c>
      <c r="I68" s="91">
        <f t="shared" si="12"/>
        <v>8.5819200000000819</v>
      </c>
      <c r="J68" s="91">
        <f t="shared" si="13"/>
        <v>0.33188841763045851</v>
      </c>
      <c r="K68" s="91">
        <f t="shared" si="14"/>
        <v>0.66811158236954149</v>
      </c>
      <c r="L68" s="91">
        <f t="shared" si="15"/>
        <v>0.23456998630111511</v>
      </c>
      <c r="M68" s="91">
        <f t="shared" si="16"/>
        <v>7.7851061577075428E-2</v>
      </c>
      <c r="N68" s="91">
        <f t="shared" si="17"/>
        <v>12.84504000000004</v>
      </c>
      <c r="O68" s="91">
        <v>27</v>
      </c>
      <c r="P68" s="144">
        <f t="shared" si="18"/>
        <v>6.3333896301301076</v>
      </c>
      <c r="Q68" s="13"/>
      <c r="R68" s="13"/>
      <c r="S68" s="13"/>
      <c r="T68" s="13"/>
    </row>
    <row r="69" spans="1:20" x14ac:dyDescent="0.35">
      <c r="A69" s="13"/>
      <c r="B69" s="85"/>
      <c r="C69" s="85"/>
      <c r="D69" s="13"/>
      <c r="E69" s="13"/>
      <c r="F69" s="13">
        <v>670.00381000000004</v>
      </c>
      <c r="G69" s="13">
        <v>673.94439</v>
      </c>
      <c r="H69" s="13">
        <f t="shared" si="11"/>
        <v>3.9405799999999545</v>
      </c>
      <c r="I69" s="13">
        <f t="shared" si="12"/>
        <v>7.4183400000000574</v>
      </c>
      <c r="J69" s="13">
        <f t="shared" si="13"/>
        <v>0.34691502361139531</v>
      </c>
      <c r="K69" s="13">
        <f t="shared" si="14"/>
        <v>0.65308497638860474</v>
      </c>
      <c r="L69" s="13">
        <f t="shared" si="15"/>
        <v>0.25376974963076793</v>
      </c>
      <c r="M69" s="13">
        <f t="shared" si="16"/>
        <v>8.8036538685015736E-2</v>
      </c>
      <c r="N69" s="13">
        <f t="shared" si="17"/>
        <v>11.358920000000012</v>
      </c>
      <c r="O69" s="13">
        <v>22</v>
      </c>
      <c r="P69">
        <f t="shared" si="18"/>
        <v>5.5829344918768946</v>
      </c>
      <c r="Q69" s="13"/>
      <c r="R69" s="13"/>
      <c r="S69" s="13"/>
      <c r="T69" s="13"/>
    </row>
    <row r="70" spans="1:20" x14ac:dyDescent="0.35">
      <c r="A70" s="13"/>
      <c r="B70" s="91">
        <v>686.24</v>
      </c>
      <c r="C70" s="91">
        <v>693.15</v>
      </c>
      <c r="D70" s="91">
        <f>C70-B70</f>
        <v>6.9099999999999682</v>
      </c>
      <c r="E70" s="91"/>
      <c r="F70" s="91">
        <v>681.36273000000006</v>
      </c>
      <c r="G70" s="91">
        <v>685.37351000000001</v>
      </c>
      <c r="H70" s="91">
        <f t="shared" si="11"/>
        <v>4.0107799999999543</v>
      </c>
      <c r="I70" s="91">
        <f t="shared" si="12"/>
        <v>7.342019999999934</v>
      </c>
      <c r="J70" s="91">
        <f t="shared" si="13"/>
        <v>0.35328553308434868</v>
      </c>
      <c r="K70" s="91">
        <f t="shared" si="14"/>
        <v>0.64671446691565126</v>
      </c>
      <c r="L70" s="91">
        <f t="shared" si="15"/>
        <v>0.2493280608759422</v>
      </c>
      <c r="M70" s="91">
        <f t="shared" si="16"/>
        <v>8.808399689944417E-2</v>
      </c>
      <c r="N70" s="91">
        <f t="shared" si="17"/>
        <v>11.352799999999888</v>
      </c>
      <c r="O70" s="91">
        <v>24</v>
      </c>
      <c r="P70" s="144">
        <f t="shared" si="18"/>
        <v>5.9838734610226121</v>
      </c>
      <c r="Q70" s="13"/>
      <c r="R70" s="13"/>
      <c r="S70" s="13"/>
      <c r="T70" s="13"/>
    </row>
    <row r="71" spans="1:20" x14ac:dyDescent="0.35">
      <c r="A71" s="13"/>
      <c r="B71" s="91">
        <v>696.16</v>
      </c>
      <c r="C71" s="91">
        <v>702.77</v>
      </c>
      <c r="D71" s="91">
        <f>C71-B71</f>
        <v>6.6100000000000136</v>
      </c>
      <c r="E71" s="91"/>
      <c r="F71" s="91">
        <v>692.71552999999994</v>
      </c>
      <c r="G71" s="91">
        <v>696.95862999999997</v>
      </c>
      <c r="H71" s="91">
        <f t="shared" si="11"/>
        <v>4.2431000000000267</v>
      </c>
      <c r="I71" s="91">
        <f t="shared" si="12"/>
        <v>8.0941400000000385</v>
      </c>
      <c r="J71" s="91">
        <f t="shared" si="13"/>
        <v>0.34392619418930037</v>
      </c>
      <c r="K71" s="91">
        <f t="shared" si="14"/>
        <v>0.65607380581069963</v>
      </c>
      <c r="L71" s="91">
        <f t="shared" si="15"/>
        <v>0.23567674577549286</v>
      </c>
      <c r="M71" s="91">
        <f t="shared" si="16"/>
        <v>8.1055406233484534E-2</v>
      </c>
      <c r="N71" s="91">
        <f t="shared" si="17"/>
        <v>12.337240000000065</v>
      </c>
      <c r="O71" s="91">
        <v>24</v>
      </c>
      <c r="P71" s="144">
        <f t="shared" si="18"/>
        <v>5.6562418986118281</v>
      </c>
      <c r="Q71" s="13"/>
      <c r="R71" s="13"/>
      <c r="S71" s="13"/>
      <c r="T71" s="13"/>
    </row>
    <row r="72" spans="1:20" x14ac:dyDescent="0.35">
      <c r="A72" s="13"/>
      <c r="B72" s="91">
        <v>709.93</v>
      </c>
      <c r="C72" s="91">
        <v>719.43</v>
      </c>
      <c r="D72" s="91">
        <f>C72-B72</f>
        <v>9.5</v>
      </c>
      <c r="E72" s="91"/>
      <c r="F72" s="91">
        <v>705.05277000000001</v>
      </c>
      <c r="G72" s="91">
        <v>709.08144000000004</v>
      </c>
      <c r="H72" s="91">
        <f t="shared" si="11"/>
        <v>4.0286700000000337</v>
      </c>
      <c r="I72" s="91">
        <f t="shared" si="12"/>
        <v>9.5858999999999241</v>
      </c>
      <c r="J72" s="91">
        <f t="shared" si="13"/>
        <v>0.2959087213184145</v>
      </c>
      <c r="K72" s="91">
        <f t="shared" si="14"/>
        <v>0.7040912786815855</v>
      </c>
      <c r="L72" s="91">
        <f t="shared" si="15"/>
        <v>0.24822087686506752</v>
      </c>
      <c r="M72" s="91">
        <f t="shared" si="16"/>
        <v>7.3450722277677738E-2</v>
      </c>
      <c r="N72" s="91">
        <f t="shared" si="17"/>
        <v>13.614569999999958</v>
      </c>
      <c r="O72" s="91">
        <v>23</v>
      </c>
      <c r="P72" s="144">
        <f t="shared" si="18"/>
        <v>5.7090801678965537</v>
      </c>
      <c r="Q72" s="13"/>
      <c r="R72" s="13"/>
      <c r="S72" s="13"/>
      <c r="T72" s="13"/>
    </row>
    <row r="73" spans="1:20" x14ac:dyDescent="0.35">
      <c r="A73" s="13"/>
      <c r="B73" s="13"/>
      <c r="C73" s="13"/>
      <c r="D73" s="13"/>
      <c r="E73" s="13"/>
      <c r="F73" s="13">
        <v>718.66733999999997</v>
      </c>
      <c r="G73" s="13">
        <v>722.47838000000002</v>
      </c>
      <c r="H73" s="13">
        <f t="shared" si="11"/>
        <v>3.8110400000000482</v>
      </c>
      <c r="I73" s="13">
        <f t="shared" si="12"/>
        <v>6.168739999999957</v>
      </c>
      <c r="J73" s="13">
        <f t="shared" si="13"/>
        <v>0.38187615358254851</v>
      </c>
      <c r="K73" s="13">
        <f t="shared" si="14"/>
        <v>0.61812384641745144</v>
      </c>
      <c r="L73" s="13">
        <f t="shared" si="15"/>
        <v>0.26239556656450402</v>
      </c>
      <c r="M73" s="13">
        <f t="shared" si="16"/>
        <v>0.10020260967676636</v>
      </c>
      <c r="N73" s="13">
        <f t="shared" si="17"/>
        <v>9.9797800000000052</v>
      </c>
      <c r="O73" s="13">
        <v>18</v>
      </c>
      <c r="P73">
        <f t="shared" si="18"/>
        <v>4.7231201981610722</v>
      </c>
      <c r="Q73" s="13"/>
      <c r="R73" s="13"/>
      <c r="S73" s="13"/>
      <c r="T73" s="13"/>
    </row>
    <row r="74" spans="1:20" x14ac:dyDescent="0.35">
      <c r="A74" s="13"/>
      <c r="B74" s="91">
        <v>732.45</v>
      </c>
      <c r="C74" s="91">
        <v>744.55</v>
      </c>
      <c r="D74" s="91">
        <f>C74-B74</f>
        <v>12.099999999999909</v>
      </c>
      <c r="E74" s="91"/>
      <c r="F74" s="91">
        <v>728.64711999999997</v>
      </c>
      <c r="G74" s="91">
        <v>732.88523999999995</v>
      </c>
      <c r="H74" s="91">
        <f t="shared" si="11"/>
        <v>4.2381199999999808</v>
      </c>
      <c r="I74" s="91">
        <f t="shared" si="12"/>
        <v>11.791570000000092</v>
      </c>
      <c r="J74" s="91">
        <f t="shared" si="13"/>
        <v>0.26439188780319278</v>
      </c>
      <c r="K74" s="91">
        <f t="shared" si="14"/>
        <v>0.73560811219680722</v>
      </c>
      <c r="L74" s="91">
        <f t="shared" si="15"/>
        <v>0.23595367757401975</v>
      </c>
      <c r="M74" s="91">
        <f t="shared" si="16"/>
        <v>6.2384238247900951E-2</v>
      </c>
      <c r="N74" s="91">
        <f t="shared" si="17"/>
        <v>16.029690000000073</v>
      </c>
      <c r="O74" s="91">
        <v>26</v>
      </c>
      <c r="P74" s="144">
        <f t="shared" si="18"/>
        <v>6.1347956169245128</v>
      </c>
      <c r="Q74" s="13"/>
      <c r="R74" s="13"/>
      <c r="S74" s="13"/>
      <c r="T74" s="13"/>
    </row>
    <row r="75" spans="1:20" x14ac:dyDescent="0.35">
      <c r="A75" s="13"/>
      <c r="B75" s="91">
        <v>749.57</v>
      </c>
      <c r="C75" s="91">
        <v>758.82</v>
      </c>
      <c r="D75" s="91">
        <f>C75-B75</f>
        <v>9.25</v>
      </c>
      <c r="E75" s="91"/>
      <c r="F75" s="91">
        <v>744.67681000000005</v>
      </c>
      <c r="G75" s="91">
        <v>751.23880999999994</v>
      </c>
      <c r="H75" s="91">
        <f t="shared" si="11"/>
        <v>6.5619999999998981</v>
      </c>
      <c r="I75" s="91">
        <f t="shared" si="12"/>
        <v>5.4398900000001049</v>
      </c>
      <c r="J75" s="91">
        <f t="shared" si="13"/>
        <v>0.54674722064607295</v>
      </c>
      <c r="K75" s="91">
        <f t="shared" si="14"/>
        <v>0.45325277935392705</v>
      </c>
      <c r="L75" s="91">
        <f t="shared" si="15"/>
        <v>0.15239256324291611</v>
      </c>
      <c r="M75" s="91">
        <f t="shared" si="16"/>
        <v>8.3320210400195285E-2</v>
      </c>
      <c r="N75" s="91">
        <f t="shared" si="17"/>
        <v>12.001890000000003</v>
      </c>
      <c r="O75" s="91">
        <v>33</v>
      </c>
      <c r="P75" s="144">
        <f t="shared" si="18"/>
        <v>5.0289545870162318</v>
      </c>
      <c r="Q75" s="13"/>
      <c r="R75" s="13"/>
      <c r="S75" s="13"/>
      <c r="T75" s="13"/>
    </row>
    <row r="76" spans="1:20" x14ac:dyDescent="0.35">
      <c r="A76" s="13"/>
      <c r="B76" s="13"/>
      <c r="C76" s="13"/>
      <c r="D76" s="13"/>
      <c r="E76" s="13"/>
      <c r="F76" s="13">
        <v>756.67870000000005</v>
      </c>
      <c r="G76" s="13">
        <v>758.05786000000001</v>
      </c>
      <c r="H76" s="13">
        <f t="shared" si="11"/>
        <v>1.3791599999999562</v>
      </c>
      <c r="I76" s="13">
        <f t="shared" si="12"/>
        <v>8.5829700000000457</v>
      </c>
      <c r="J76" s="13">
        <f t="shared" si="13"/>
        <v>0.13844027331503964</v>
      </c>
      <c r="K76" s="13">
        <f t="shared" si="14"/>
        <v>0.86155972668496039</v>
      </c>
      <c r="L76" s="13">
        <f t="shared" si="15"/>
        <v>0.72507903361468706</v>
      </c>
      <c r="M76" s="13">
        <f t="shared" si="16"/>
        <v>0.10038013958862209</v>
      </c>
      <c r="N76" s="13">
        <f t="shared" si="17"/>
        <v>9.9621300000000019</v>
      </c>
      <c r="O76" s="13">
        <v>12</v>
      </c>
      <c r="P76">
        <f t="shared" si="18"/>
        <v>8.7009484033762448</v>
      </c>
      <c r="Q76" s="13"/>
      <c r="R76" s="13"/>
      <c r="S76" s="13"/>
      <c r="T76" s="13"/>
    </row>
    <row r="77" spans="1:20" x14ac:dyDescent="0.35">
      <c r="A77" s="13"/>
      <c r="B77" s="13"/>
      <c r="C77" s="13"/>
      <c r="D77" s="13"/>
      <c r="E77" s="13"/>
      <c r="F77" s="13">
        <v>766.64083000000005</v>
      </c>
      <c r="G77" s="13">
        <v>770.60145</v>
      </c>
      <c r="H77" s="13">
        <f t="shared" si="11"/>
        <v>3.960619999999949</v>
      </c>
      <c r="I77" s="13">
        <f t="shared" si="12"/>
        <v>6.997600000000034</v>
      </c>
      <c r="J77" s="13">
        <f t="shared" si="13"/>
        <v>0.36142913721388648</v>
      </c>
      <c r="K77" s="13">
        <f t="shared" si="14"/>
        <v>0.63857086278611352</v>
      </c>
      <c r="L77" s="13">
        <f t="shared" si="15"/>
        <v>0.25248572193242796</v>
      </c>
      <c r="M77" s="13">
        <f t="shared" si="16"/>
        <v>9.1255696636862699E-2</v>
      </c>
      <c r="N77" s="13">
        <f t="shared" si="17"/>
        <v>10.958219999999983</v>
      </c>
      <c r="O77" s="13">
        <v>21</v>
      </c>
      <c r="P77">
        <f t="shared" si="18"/>
        <v>5.3022001605809876</v>
      </c>
      <c r="Q77" s="13"/>
      <c r="R77" s="13"/>
      <c r="S77" s="13"/>
      <c r="T77" s="13"/>
    </row>
    <row r="78" spans="1:20" x14ac:dyDescent="0.35">
      <c r="A78" s="13"/>
      <c r="B78" s="13"/>
      <c r="C78" s="13"/>
      <c r="D78" s="13"/>
      <c r="E78" s="13"/>
      <c r="F78" s="13">
        <v>777.59905000000003</v>
      </c>
      <c r="G78" s="13">
        <v>781.48218999999995</v>
      </c>
      <c r="H78" s="13">
        <f t="shared" si="11"/>
        <v>3.8831399999999121</v>
      </c>
      <c r="I78" s="13">
        <f t="shared" si="12"/>
        <v>7.1971600000000535</v>
      </c>
      <c r="J78" s="13">
        <f t="shared" si="13"/>
        <v>0.35045441007914263</v>
      </c>
      <c r="K78" s="13">
        <f t="shared" si="14"/>
        <v>0.64954558992085731</v>
      </c>
      <c r="L78" s="13">
        <f t="shared" si="15"/>
        <v>0.25752355052870168</v>
      </c>
      <c r="M78" s="13">
        <f t="shared" si="16"/>
        <v>9.0250263982022433E-2</v>
      </c>
      <c r="N78" s="13">
        <f t="shared" si="17"/>
        <v>11.080299999999966</v>
      </c>
      <c r="O78" s="13">
        <v>20</v>
      </c>
      <c r="P78">
        <f t="shared" si="18"/>
        <v>5.1504710105740337</v>
      </c>
      <c r="Q78" s="13"/>
      <c r="R78" s="13"/>
      <c r="S78" s="13"/>
      <c r="T78" s="13"/>
    </row>
    <row r="79" spans="1:20" x14ac:dyDescent="0.35">
      <c r="A79" s="13"/>
      <c r="B79" s="13"/>
      <c r="C79" s="13"/>
      <c r="D79" s="13"/>
      <c r="E79" s="13"/>
      <c r="F79" s="13">
        <v>788.67935</v>
      </c>
      <c r="G79" s="13">
        <v>792.70164</v>
      </c>
      <c r="H79" s="13">
        <f t="shared" si="11"/>
        <v>4.0222899999999981</v>
      </c>
      <c r="I79" s="13">
        <f t="shared" si="12"/>
        <v>7.1310399999999845</v>
      </c>
      <c r="J79" s="13">
        <f t="shared" si="13"/>
        <v>0.36063579218045233</v>
      </c>
      <c r="K79" s="13">
        <f t="shared" si="14"/>
        <v>0.63936420781954761</v>
      </c>
      <c r="L79" s="13">
        <f t="shared" si="15"/>
        <v>0.24861459516842407</v>
      </c>
      <c r="M79" s="13">
        <f t="shared" si="16"/>
        <v>8.9659321476187076E-2</v>
      </c>
      <c r="N79" s="13">
        <f t="shared" si="17"/>
        <v>11.153329999999983</v>
      </c>
      <c r="O79" s="13">
        <v>22</v>
      </c>
      <c r="P79">
        <f t="shared" si="18"/>
        <v>5.46952109370533</v>
      </c>
      <c r="Q79" s="13"/>
      <c r="R79" s="13"/>
      <c r="S79" s="13"/>
      <c r="T79" s="13"/>
    </row>
    <row r="80" spans="1:20" x14ac:dyDescent="0.35">
      <c r="A80" s="13"/>
      <c r="B80" s="91">
        <v>803.35</v>
      </c>
      <c r="C80" s="91">
        <v>813.44</v>
      </c>
      <c r="D80" s="91">
        <f>C80-B80</f>
        <v>10.090000000000032</v>
      </c>
      <c r="E80" s="91"/>
      <c r="F80" s="91">
        <v>799.83267999999998</v>
      </c>
      <c r="G80" s="91">
        <v>803.61171999999999</v>
      </c>
      <c r="H80" s="91">
        <f t="shared" si="11"/>
        <v>3.7790400000000091</v>
      </c>
      <c r="I80" s="91">
        <f t="shared" si="12"/>
        <v>10.893000000000029</v>
      </c>
      <c r="J80" s="91">
        <f t="shared" si="13"/>
        <v>0.2575674548324568</v>
      </c>
      <c r="K80" s="91">
        <f t="shared" si="14"/>
        <v>0.7424325451675432</v>
      </c>
      <c r="L80" s="91">
        <f t="shared" si="15"/>
        <v>0.26461746898683203</v>
      </c>
      <c r="M80" s="91">
        <f t="shared" si="16"/>
        <v>6.8156847991144881E-2</v>
      </c>
      <c r="N80" s="91">
        <f t="shared" si="17"/>
        <v>14.672040000000038</v>
      </c>
      <c r="O80" s="91">
        <v>20</v>
      </c>
      <c r="P80" s="144">
        <f t="shared" si="18"/>
        <v>5.2923493797366401</v>
      </c>
      <c r="Q80" s="13"/>
      <c r="R80" s="13"/>
      <c r="S80" s="13"/>
      <c r="T80" s="13"/>
    </row>
    <row r="81" spans="1:20" x14ac:dyDescent="0.35">
      <c r="A81" s="13"/>
      <c r="B81" s="91">
        <v>819.8</v>
      </c>
      <c r="C81" s="91">
        <v>830.77</v>
      </c>
      <c r="D81" s="91">
        <f>C81-B81</f>
        <v>10.970000000000027</v>
      </c>
      <c r="E81" s="91"/>
      <c r="F81" s="91">
        <v>814.50472000000002</v>
      </c>
      <c r="G81" s="91">
        <v>818.45270000000005</v>
      </c>
      <c r="H81" s="91">
        <f t="shared" si="11"/>
        <v>3.9479800000000296</v>
      </c>
      <c r="I81" s="91">
        <f t="shared" si="12"/>
        <v>11.703269999999975</v>
      </c>
      <c r="J81" s="91">
        <f t="shared" si="13"/>
        <v>0.25224694513217977</v>
      </c>
      <c r="K81" s="91">
        <f t="shared" si="14"/>
        <v>0.74775305486782029</v>
      </c>
      <c r="L81" s="91">
        <f t="shared" si="15"/>
        <v>0.25329408963571054</v>
      </c>
      <c r="M81" s="91">
        <f t="shared" si="16"/>
        <v>6.3892660330644502E-2</v>
      </c>
      <c r="N81" s="91">
        <f t="shared" si="17"/>
        <v>15.651250000000005</v>
      </c>
      <c r="O81" s="91">
        <v>22</v>
      </c>
      <c r="P81" s="144">
        <f t="shared" si="18"/>
        <v>5.5724699719856323</v>
      </c>
      <c r="Q81" s="13"/>
      <c r="R81" s="13"/>
      <c r="S81" s="13"/>
      <c r="T81" s="13"/>
    </row>
    <row r="82" spans="1:20" x14ac:dyDescent="0.35">
      <c r="A82" s="13"/>
      <c r="B82" s="13"/>
      <c r="C82" s="13"/>
      <c r="D82" s="13"/>
      <c r="E82" s="13"/>
      <c r="F82" s="13">
        <v>830.15597000000002</v>
      </c>
      <c r="G82" s="13">
        <v>832.87432999999999</v>
      </c>
      <c r="H82" s="13">
        <f t="shared" si="11"/>
        <v>2.7183599999999615</v>
      </c>
      <c r="I82" s="13">
        <f t="shared" si="12"/>
        <v>7.063130000000001</v>
      </c>
      <c r="J82" s="13">
        <f t="shared" si="13"/>
        <v>0.2779085803901013</v>
      </c>
      <c r="K82" s="13">
        <f t="shared" si="14"/>
        <v>0.72209141960989875</v>
      </c>
      <c r="L82" s="13">
        <f t="shared" si="15"/>
        <v>0.36786886210804093</v>
      </c>
      <c r="M82" s="13">
        <f t="shared" si="16"/>
        <v>0.10223391323816758</v>
      </c>
      <c r="N82" s="13">
        <f t="shared" si="17"/>
        <v>9.7814899999999625</v>
      </c>
      <c r="O82" s="13">
        <v>15</v>
      </c>
      <c r="P82">
        <f t="shared" si="18"/>
        <v>5.5180329316206143</v>
      </c>
      <c r="Q82" s="13"/>
      <c r="R82" s="13"/>
      <c r="S82" s="13"/>
      <c r="T82" s="13"/>
    </row>
    <row r="83" spans="1:20" x14ac:dyDescent="0.35">
      <c r="A83" s="13"/>
      <c r="B83" s="91">
        <v>834.58</v>
      </c>
      <c r="C83" s="91">
        <v>862.02</v>
      </c>
      <c r="D83" s="91">
        <f>C83-B83</f>
        <v>27.439999999999941</v>
      </c>
      <c r="E83" s="91"/>
      <c r="F83" s="91">
        <v>839.93745999999999</v>
      </c>
      <c r="G83" s="91">
        <v>844.17445999999995</v>
      </c>
      <c r="H83" s="91">
        <f t="shared" si="11"/>
        <v>4.2369999999999663</v>
      </c>
      <c r="I83" s="91">
        <f t="shared" si="12"/>
        <v>20.743450000000053</v>
      </c>
      <c r="J83" s="91">
        <f t="shared" si="13"/>
        <v>0.16961263708219682</v>
      </c>
      <c r="K83" s="91">
        <f t="shared" si="14"/>
        <v>0.83038736291780324</v>
      </c>
      <c r="L83" s="91">
        <f t="shared" si="15"/>
        <v>0.23601604909134008</v>
      </c>
      <c r="M83" s="91">
        <f t="shared" si="16"/>
        <v>4.0031304480103412E-2</v>
      </c>
      <c r="N83" s="91">
        <f t="shared" si="17"/>
        <v>24.980450000000019</v>
      </c>
      <c r="O83" s="91">
        <v>24</v>
      </c>
      <c r="P83" s="144">
        <f t="shared" si="18"/>
        <v>5.6643851781921617</v>
      </c>
      <c r="Q83" s="13"/>
      <c r="R83" s="13"/>
      <c r="S83" s="13"/>
      <c r="T83" s="13"/>
    </row>
    <row r="84" spans="1:20" x14ac:dyDescent="0.35">
      <c r="A84" s="13"/>
      <c r="B84" s="91">
        <v>869.15</v>
      </c>
      <c r="C84" s="91">
        <v>883.13</v>
      </c>
      <c r="D84" s="91">
        <f>C84-B84</f>
        <v>13.980000000000018</v>
      </c>
      <c r="E84" s="91"/>
      <c r="F84" s="91">
        <v>864.91791000000001</v>
      </c>
      <c r="G84" s="91">
        <v>868.89727000000005</v>
      </c>
      <c r="H84" s="91">
        <f t="shared" si="11"/>
        <v>3.9793600000000424</v>
      </c>
      <c r="I84" s="91">
        <f t="shared" si="12"/>
        <v>15.626639999999952</v>
      </c>
      <c r="J84" s="91">
        <f t="shared" si="13"/>
        <v>0.20296643884525367</v>
      </c>
      <c r="K84" s="91">
        <f t="shared" si="14"/>
        <v>0.79703356115474633</v>
      </c>
      <c r="L84" s="91">
        <f t="shared" si="15"/>
        <v>0.25129669092517121</v>
      </c>
      <c r="M84" s="91">
        <f t="shared" si="16"/>
        <v>5.1004794450678376E-2</v>
      </c>
      <c r="N84" s="91">
        <f t="shared" si="17"/>
        <v>19.605999999999995</v>
      </c>
      <c r="O84" s="91">
        <v>18</v>
      </c>
      <c r="P84" s="144">
        <f t="shared" si="18"/>
        <v>4.5233404366530818</v>
      </c>
      <c r="Q84" s="13"/>
      <c r="R84" s="13"/>
      <c r="S84" s="13"/>
      <c r="T84" s="13"/>
    </row>
    <row r="85" spans="1:20" x14ac:dyDescent="0.35">
      <c r="A85" s="13"/>
      <c r="B85" s="91">
        <v>890.37</v>
      </c>
      <c r="C85" s="91">
        <v>903.06</v>
      </c>
      <c r="D85" s="91">
        <f>C85-B85</f>
        <v>12.689999999999941</v>
      </c>
      <c r="E85" s="91"/>
      <c r="F85" s="91">
        <v>884.52391</v>
      </c>
      <c r="G85" s="91">
        <v>888.94399999999996</v>
      </c>
      <c r="H85" s="91">
        <f t="shared" si="11"/>
        <v>4.4200899999999592</v>
      </c>
      <c r="I85" s="91">
        <f t="shared" si="12"/>
        <v>10.202120000000036</v>
      </c>
      <c r="J85" s="91">
        <f t="shared" si="13"/>
        <v>0.30228604294425815</v>
      </c>
      <c r="K85" s="91">
        <f t="shared" si="14"/>
        <v>0.69771395705574191</v>
      </c>
      <c r="L85" s="91">
        <f t="shared" si="15"/>
        <v>0.22623973719992335</v>
      </c>
      <c r="M85" s="91">
        <f t="shared" si="16"/>
        <v>6.8389114914913701E-2</v>
      </c>
      <c r="N85" s="91">
        <f t="shared" si="17"/>
        <v>14.622209999999995</v>
      </c>
      <c r="O85" s="91">
        <v>18</v>
      </c>
      <c r="P85" s="144">
        <f t="shared" si="18"/>
        <v>4.0723152695986204</v>
      </c>
      <c r="Q85" s="13"/>
      <c r="R85" s="13"/>
      <c r="S85" s="13"/>
      <c r="T85" s="13"/>
    </row>
    <row r="86" spans="1:20" x14ac:dyDescent="0.35">
      <c r="A86" s="13"/>
      <c r="B86" s="13"/>
      <c r="C86" s="13"/>
      <c r="D86" s="13"/>
      <c r="E86" s="13"/>
      <c r="F86" s="13">
        <v>899.14612</v>
      </c>
      <c r="G86" s="13">
        <v>903.15953000000002</v>
      </c>
      <c r="H86" s="13">
        <f t="shared" si="11"/>
        <v>4.0134100000000217</v>
      </c>
      <c r="I86" s="13">
        <f t="shared" si="12"/>
        <v>6.3995599999999513</v>
      </c>
      <c r="J86" s="13">
        <f t="shared" si="13"/>
        <v>0.38542413931856445</v>
      </c>
      <c r="K86" s="13">
        <f t="shared" si="14"/>
        <v>0.61457586068143555</v>
      </c>
      <c r="L86" s="13">
        <f t="shared" si="15"/>
        <v>0.24916467542563422</v>
      </c>
      <c r="M86" s="13">
        <f t="shared" si="16"/>
        <v>9.6034080574514527E-2</v>
      </c>
      <c r="N86" s="13">
        <f t="shared" si="17"/>
        <v>10.412969999999973</v>
      </c>
      <c r="O86" s="13">
        <v>22</v>
      </c>
      <c r="P86">
        <f t="shared" si="18"/>
        <v>5.4816228593639522</v>
      </c>
      <c r="Q86" s="13"/>
      <c r="R86" s="13"/>
      <c r="S86" s="13"/>
      <c r="T86" s="13"/>
    </row>
    <row r="87" spans="1:20" x14ac:dyDescent="0.35">
      <c r="A87" s="13"/>
      <c r="B87" s="13"/>
      <c r="C87" s="13"/>
      <c r="D87" s="13"/>
      <c r="E87" s="13"/>
      <c r="F87" s="13">
        <v>909.55908999999997</v>
      </c>
      <c r="G87" s="13">
        <v>914.94095000000004</v>
      </c>
      <c r="H87" s="13">
        <f t="shared" si="11"/>
        <v>5.3818600000000743</v>
      </c>
      <c r="I87" s="13">
        <f t="shared" si="12"/>
        <v>6.3180399999999963</v>
      </c>
      <c r="J87" s="13">
        <f t="shared" si="13"/>
        <v>0.45999196574330053</v>
      </c>
      <c r="K87" s="13">
        <f t="shared" si="14"/>
        <v>0.54000803425669952</v>
      </c>
      <c r="L87" s="13">
        <f t="shared" si="15"/>
        <v>0.18580936702180775</v>
      </c>
      <c r="M87" s="13">
        <f t="shared" si="16"/>
        <v>8.5470815989879739E-2</v>
      </c>
      <c r="N87" s="13">
        <f t="shared" si="17"/>
        <v>11.699900000000071</v>
      </c>
      <c r="O87" s="13">
        <v>34</v>
      </c>
      <c r="P87">
        <f t="shared" si="18"/>
        <v>6.3175184787414631</v>
      </c>
      <c r="Q87" s="13"/>
      <c r="R87" s="13"/>
      <c r="S87" s="13"/>
      <c r="T87" s="13"/>
    </row>
    <row r="88" spans="1:20" x14ac:dyDescent="0.35">
      <c r="A88" s="13"/>
      <c r="B88" s="13"/>
      <c r="C88" s="13"/>
      <c r="D88" s="13"/>
      <c r="E88" s="13"/>
      <c r="F88" s="13">
        <v>921.25899000000004</v>
      </c>
      <c r="G88" s="13">
        <v>925.32674999999995</v>
      </c>
      <c r="H88" s="13">
        <f t="shared" si="11"/>
        <v>4.0677599999999074</v>
      </c>
      <c r="I88" s="13">
        <f t="shared" si="12"/>
        <v>10.965430000000083</v>
      </c>
      <c r="J88" s="13">
        <f t="shared" si="13"/>
        <v>0.27058528495947365</v>
      </c>
      <c r="K88" s="13">
        <f t="shared" si="14"/>
        <v>0.72941471504052635</v>
      </c>
      <c r="L88" s="13">
        <f t="shared" si="15"/>
        <v>0.2458355458532516</v>
      </c>
      <c r="M88" s="13">
        <f t="shared" si="16"/>
        <v>6.6519481227869839E-2</v>
      </c>
      <c r="N88" s="13">
        <f t="shared" si="17"/>
        <v>15.033189999999991</v>
      </c>
      <c r="O88" s="13">
        <v>27</v>
      </c>
      <c r="P88">
        <f t="shared" si="18"/>
        <v>6.6375597380377931</v>
      </c>
      <c r="Q88" s="13"/>
      <c r="R88" s="13"/>
      <c r="S88" s="13"/>
      <c r="T88" s="13"/>
    </row>
    <row r="89" spans="1:20" x14ac:dyDescent="0.35">
      <c r="A89" s="13"/>
      <c r="B89" s="13"/>
      <c r="C89" s="13"/>
      <c r="D89" s="13"/>
      <c r="E89" s="13"/>
      <c r="F89" s="13">
        <v>936.29218000000003</v>
      </c>
      <c r="G89" s="13">
        <v>940.28150000000005</v>
      </c>
      <c r="H89" s="13">
        <f t="shared" si="11"/>
        <v>3.9893200000000206</v>
      </c>
      <c r="I89" s="13">
        <f t="shared" si="12"/>
        <v>8.094859999999926</v>
      </c>
      <c r="J89" s="13">
        <f t="shared" si="13"/>
        <v>0.33012748899801542</v>
      </c>
      <c r="K89" s="13">
        <f t="shared" si="14"/>
        <v>0.66987251100198453</v>
      </c>
      <c r="L89" s="13">
        <f t="shared" si="15"/>
        <v>0.25066928699627877</v>
      </c>
      <c r="M89" s="13">
        <f t="shared" si="16"/>
        <v>8.2752822285004399E-2</v>
      </c>
      <c r="N89" s="13">
        <f t="shared" si="17"/>
        <v>12.084179999999947</v>
      </c>
      <c r="O89" s="13">
        <v>27</v>
      </c>
      <c r="P89">
        <f t="shared" si="18"/>
        <v>6.7680707488995271</v>
      </c>
      <c r="Q89" s="13"/>
      <c r="R89" s="13"/>
      <c r="S89" s="13"/>
      <c r="T89" s="13"/>
    </row>
    <row r="90" spans="1:20" x14ac:dyDescent="0.35">
      <c r="A90" s="13"/>
      <c r="B90" s="91">
        <v>952.66</v>
      </c>
      <c r="C90" s="91">
        <v>964.08</v>
      </c>
      <c r="D90" s="91">
        <f>C90-B90</f>
        <v>11.420000000000073</v>
      </c>
      <c r="E90" s="91"/>
      <c r="F90" s="91">
        <v>948.37635999999998</v>
      </c>
      <c r="G90" s="91">
        <v>951.96313999999995</v>
      </c>
      <c r="H90" s="91">
        <f t="shared" si="11"/>
        <v>3.5867799999999761</v>
      </c>
      <c r="I90" s="91">
        <f t="shared" si="12"/>
        <v>9.7300700000000688</v>
      </c>
      <c r="J90" s="91">
        <f t="shared" si="13"/>
        <v>0.26934147339648368</v>
      </c>
      <c r="K90" s="91">
        <f t="shared" si="14"/>
        <v>0.73065852660351627</v>
      </c>
      <c r="L90" s="91">
        <f t="shared" si="15"/>
        <v>0.27880159920597491</v>
      </c>
      <c r="M90" s="91">
        <f t="shared" si="16"/>
        <v>7.5092833515433208E-2</v>
      </c>
      <c r="N90" s="91">
        <f t="shared" si="17"/>
        <v>13.316850000000045</v>
      </c>
      <c r="O90" s="91">
        <v>16</v>
      </c>
      <c r="P90" s="144">
        <f t="shared" si="18"/>
        <v>4.4608255872955986</v>
      </c>
      <c r="Q90" s="13"/>
      <c r="R90" s="13"/>
      <c r="S90" s="13"/>
      <c r="T90" s="13"/>
    </row>
    <row r="91" spans="1:20" x14ac:dyDescent="0.35">
      <c r="A91" s="13"/>
      <c r="B91" s="13"/>
      <c r="C91" s="13"/>
      <c r="D91" s="13"/>
      <c r="E91" s="13"/>
      <c r="F91" s="13">
        <v>961.69321000000002</v>
      </c>
      <c r="G91" s="13">
        <v>964.47484999999995</v>
      </c>
      <c r="H91" s="13">
        <f t="shared" si="11"/>
        <v>2.7816399999999248</v>
      </c>
      <c r="I91" s="13">
        <f t="shared" si="12"/>
        <v>6.6650900000000775</v>
      </c>
      <c r="J91" s="13">
        <f t="shared" si="13"/>
        <v>0.29445533004541508</v>
      </c>
      <c r="K91" s="13">
        <f t="shared" si="14"/>
        <v>0.70554466995458487</v>
      </c>
      <c r="L91" s="13">
        <f t="shared" si="15"/>
        <v>0.35950015099007315</v>
      </c>
      <c r="M91" s="13">
        <f t="shared" si="16"/>
        <v>0.10585673561115855</v>
      </c>
      <c r="N91" s="13">
        <f t="shared" si="17"/>
        <v>9.4467300000000023</v>
      </c>
      <c r="O91" s="13">
        <v>19</v>
      </c>
      <c r="P91">
        <f t="shared" si="18"/>
        <v>6.8305028688113891</v>
      </c>
      <c r="Q91" s="13"/>
      <c r="R91" s="13"/>
      <c r="S91" s="13"/>
      <c r="T91" s="13"/>
    </row>
    <row r="92" spans="1:20" x14ac:dyDescent="0.35">
      <c r="A92" s="13"/>
      <c r="B92" s="91">
        <v>975.47</v>
      </c>
      <c r="C92" s="91">
        <v>991.16</v>
      </c>
      <c r="D92" s="91">
        <f>C92-B92</f>
        <v>15.689999999999941</v>
      </c>
      <c r="E92" s="91"/>
      <c r="F92" s="91">
        <v>971.13994000000002</v>
      </c>
      <c r="G92" s="91">
        <v>973.78966000000003</v>
      </c>
      <c r="H92" s="91">
        <f t="shared" si="11"/>
        <v>2.6497200000000021</v>
      </c>
      <c r="I92" s="91">
        <f t="shared" si="12"/>
        <v>11.355810000000019</v>
      </c>
      <c r="J92" s="91">
        <f t="shared" si="13"/>
        <v>0.18919098384709454</v>
      </c>
      <c r="K92" s="91">
        <f t="shared" si="14"/>
        <v>0.81080901615290546</v>
      </c>
      <c r="L92" s="91">
        <f t="shared" si="15"/>
        <v>0.37739836661986897</v>
      </c>
      <c r="M92" s="91">
        <f t="shared" si="16"/>
        <v>7.1400368283099494E-2</v>
      </c>
      <c r="N92" s="91">
        <f t="shared" si="17"/>
        <v>14.005530000000022</v>
      </c>
      <c r="O92" s="91">
        <v>18</v>
      </c>
      <c r="P92" s="144">
        <f t="shared" si="18"/>
        <v>6.7931705991576417</v>
      </c>
      <c r="Q92" s="13"/>
      <c r="R92" s="13"/>
      <c r="S92" s="13"/>
      <c r="T92" s="13"/>
    </row>
    <row r="93" spans="1:20" x14ac:dyDescent="0.35">
      <c r="A93" s="13"/>
      <c r="B93" s="13"/>
      <c r="C93" s="13"/>
      <c r="D93" s="13"/>
      <c r="E93" s="13"/>
      <c r="F93" s="13">
        <v>985.14547000000005</v>
      </c>
      <c r="G93" s="13">
        <v>987.45195999999999</v>
      </c>
      <c r="H93" s="13">
        <f t="shared" si="11"/>
        <v>2.3064899999999398</v>
      </c>
      <c r="I93" s="13">
        <f t="shared" si="12"/>
        <v>7.8816900000000487</v>
      </c>
      <c r="J93" s="13">
        <f t="shared" si="13"/>
        <v>0.22638881527416499</v>
      </c>
      <c r="K93" s="13">
        <f t="shared" si="14"/>
        <v>0.77361118472583501</v>
      </c>
      <c r="L93" s="13">
        <f t="shared" si="15"/>
        <v>0.43355921768575895</v>
      </c>
      <c r="M93" s="13">
        <f t="shared" si="16"/>
        <v>9.8152957643072775E-2</v>
      </c>
      <c r="N93" s="13">
        <f t="shared" si="17"/>
        <v>10.188179999999988</v>
      </c>
      <c r="O93" s="13">
        <v>15</v>
      </c>
      <c r="P93">
        <f t="shared" si="18"/>
        <v>6.5033882652863841</v>
      </c>
      <c r="Q93" s="13"/>
      <c r="R93" s="13"/>
      <c r="S93" s="13"/>
      <c r="T93" s="13"/>
    </row>
    <row r="94" spans="1:20" x14ac:dyDescent="0.35">
      <c r="A94" s="13"/>
      <c r="B94" s="91">
        <v>999.33</v>
      </c>
      <c r="C94" s="91">
        <v>1011.26</v>
      </c>
      <c r="D94" s="91">
        <f>C94-B94</f>
        <v>11.92999999999995</v>
      </c>
      <c r="E94" s="91"/>
      <c r="F94" s="91">
        <v>995.33365000000003</v>
      </c>
      <c r="G94" s="91">
        <v>997.81731000000002</v>
      </c>
      <c r="H94" s="91">
        <f t="shared" si="11"/>
        <v>2.4836599999999862</v>
      </c>
      <c r="I94" s="91">
        <f t="shared" si="12"/>
        <v>12.098870000000034</v>
      </c>
      <c r="J94" s="91">
        <f t="shared" si="13"/>
        <v>0.17031749634665472</v>
      </c>
      <c r="K94" s="91">
        <f t="shared" si="14"/>
        <v>0.82968250365334528</v>
      </c>
      <c r="L94" s="91">
        <f t="shared" si="15"/>
        <v>0.40263160013850752</v>
      </c>
      <c r="M94" s="91">
        <f t="shared" si="16"/>
        <v>6.8575206085637996E-2</v>
      </c>
      <c r="N94" s="91">
        <f t="shared" si="17"/>
        <v>14.58253000000002</v>
      </c>
      <c r="O94" s="91">
        <v>15</v>
      </c>
      <c r="P94" s="144">
        <f t="shared" si="18"/>
        <v>6.039474002077613</v>
      </c>
      <c r="Q94" s="13"/>
      <c r="R94" s="13"/>
      <c r="S94" s="13"/>
      <c r="T94" s="13"/>
    </row>
    <row r="95" spans="1:20" x14ac:dyDescent="0.35">
      <c r="A95" s="13"/>
      <c r="B95" s="13"/>
      <c r="C95" s="13"/>
      <c r="D95" s="13"/>
      <c r="E95" s="13"/>
      <c r="F95" s="13">
        <v>1009.9161800000001</v>
      </c>
      <c r="G95" s="13">
        <v>1012.08847</v>
      </c>
      <c r="H95" s="13">
        <f t="shared" si="11"/>
        <v>2.1722899999999754</v>
      </c>
      <c r="I95" s="13">
        <f t="shared" si="12"/>
        <v>3.3231899999999541</v>
      </c>
      <c r="J95" s="13">
        <f t="shared" si="13"/>
        <v>0.39528667195586248</v>
      </c>
      <c r="K95" s="13">
        <f t="shared" si="14"/>
        <v>0.60471332804413747</v>
      </c>
      <c r="L95" s="13">
        <f t="shared" si="15"/>
        <v>0.46034369260090102</v>
      </c>
      <c r="M95" s="13">
        <f t="shared" si="16"/>
        <v>0.18196772620408277</v>
      </c>
      <c r="N95" s="13">
        <f t="shared" si="17"/>
        <v>5.4954799999999295</v>
      </c>
      <c r="O95" s="13">
        <v>10</v>
      </c>
      <c r="P95">
        <f t="shared" si="18"/>
        <v>4.6034369260090102</v>
      </c>
      <c r="Q95" s="13"/>
      <c r="R95" s="13"/>
      <c r="S95" s="13"/>
      <c r="T95" s="13"/>
    </row>
    <row r="96" spans="1:20" x14ac:dyDescent="0.35">
      <c r="A96" s="13"/>
      <c r="B96" s="13"/>
      <c r="C96" s="13"/>
      <c r="D96" s="13"/>
      <c r="E96" s="13"/>
      <c r="F96" s="13">
        <v>1015.41166</v>
      </c>
      <c r="G96" s="13">
        <v>1017.83572</v>
      </c>
      <c r="H96" s="13">
        <f t="shared" si="11"/>
        <v>2.4240600000000541</v>
      </c>
      <c r="I96" s="13">
        <f t="shared" si="12"/>
        <v>11.056229999999914</v>
      </c>
      <c r="J96" s="13">
        <f t="shared" si="13"/>
        <v>0.17982254090973263</v>
      </c>
      <c r="K96" s="13">
        <f t="shared" si="14"/>
        <v>0.8201774590902674</v>
      </c>
      <c r="L96" s="13">
        <f t="shared" si="15"/>
        <v>0.41253104296097359</v>
      </c>
      <c r="M96" s="13">
        <f t="shared" si="16"/>
        <v>7.4182380349384347E-2</v>
      </c>
      <c r="N96" s="13">
        <f t="shared" si="17"/>
        <v>13.480289999999968</v>
      </c>
      <c r="O96" s="13">
        <v>16</v>
      </c>
      <c r="P96">
        <f t="shared" si="18"/>
        <v>6.6004966873755775</v>
      </c>
      <c r="Q96" s="13"/>
      <c r="R96" s="13"/>
      <c r="S96" s="13"/>
      <c r="T96" s="13"/>
    </row>
    <row r="97" spans="1:20" x14ac:dyDescent="0.35">
      <c r="A97" s="13"/>
      <c r="B97" s="13"/>
      <c r="C97" s="13"/>
      <c r="D97" s="13"/>
      <c r="E97" s="13"/>
      <c r="F97" s="13">
        <v>1028.89195</v>
      </c>
      <c r="G97" s="13">
        <v>1031.3096499999999</v>
      </c>
      <c r="H97" s="13">
        <f t="shared" si="11"/>
        <v>2.417699999999968</v>
      </c>
      <c r="I97" s="13">
        <f t="shared" si="12"/>
        <v>5.2782799999999952</v>
      </c>
      <c r="J97" s="13">
        <f t="shared" si="13"/>
        <v>0.31415102430099606</v>
      </c>
      <c r="K97" s="13">
        <f t="shared" si="14"/>
        <v>0.68584897569900394</v>
      </c>
      <c r="L97" s="13">
        <f t="shared" si="15"/>
        <v>0.41361624684618159</v>
      </c>
      <c r="M97" s="13">
        <f t="shared" si="16"/>
        <v>0.12993796761426157</v>
      </c>
      <c r="N97" s="13">
        <f t="shared" si="17"/>
        <v>7.6959799999999632</v>
      </c>
      <c r="O97" s="13">
        <v>16</v>
      </c>
      <c r="P97">
        <f t="shared" si="18"/>
        <v>6.6178599495389054</v>
      </c>
      <c r="Q97" s="13"/>
      <c r="R97" s="13"/>
      <c r="S97" s="13"/>
      <c r="T97" s="13"/>
    </row>
    <row r="98" spans="1:20" x14ac:dyDescent="0.35">
      <c r="A98" s="13"/>
      <c r="B98" s="13"/>
      <c r="C98" s="13"/>
      <c r="D98" s="13"/>
      <c r="E98" s="13"/>
      <c r="F98" s="13">
        <v>1036.5879299999999</v>
      </c>
      <c r="G98" s="13">
        <v>1038.6674800000001</v>
      </c>
      <c r="H98" s="13">
        <f>G98-F98</f>
        <v>2.0795500000001539</v>
      </c>
      <c r="I98" s="13"/>
      <c r="J98" s="13"/>
      <c r="K98" s="13"/>
      <c r="L98" s="13"/>
      <c r="M98" s="13"/>
      <c r="N98" s="13"/>
      <c r="O98" s="13"/>
      <c r="Q98" s="13"/>
      <c r="R98" s="13"/>
      <c r="S98" s="13"/>
      <c r="T98" s="13"/>
    </row>
    <row r="99" spans="1:20" x14ac:dyDescent="0.35">
      <c r="A99" s="13"/>
      <c r="B99" s="13"/>
      <c r="C99" s="13"/>
      <c r="D99" s="13"/>
      <c r="E99" s="13"/>
      <c r="F99" s="13"/>
      <c r="G99" s="13"/>
      <c r="H99" s="13"/>
      <c r="I99" s="13"/>
      <c r="J99" s="13"/>
      <c r="K99" s="13"/>
      <c r="L99" s="13"/>
      <c r="M99" s="13"/>
      <c r="N99" s="13"/>
      <c r="O99" s="13"/>
      <c r="Q99" s="13"/>
      <c r="R99" s="13"/>
      <c r="S99" s="13"/>
      <c r="T99" s="13"/>
    </row>
    <row r="100" spans="1:20" x14ac:dyDescent="0.35">
      <c r="A100" s="13"/>
      <c r="B100" s="13"/>
      <c r="C100" s="13"/>
      <c r="D100" s="13"/>
      <c r="E100" s="13"/>
      <c r="F100" s="13"/>
      <c r="G100" s="13"/>
      <c r="H100" s="2"/>
      <c r="I100" s="2"/>
      <c r="J100" s="2"/>
      <c r="K100" s="2"/>
      <c r="L100" s="2"/>
      <c r="M100" s="2"/>
      <c r="N100" s="2"/>
      <c r="O100" s="13"/>
      <c r="P100" s="13"/>
      <c r="Q100" s="13"/>
      <c r="R100" s="13"/>
      <c r="S100" s="13"/>
      <c r="T100" s="13"/>
    </row>
    <row r="101" spans="1:20" x14ac:dyDescent="0.35">
      <c r="A101" s="13"/>
      <c r="B101" s="13"/>
      <c r="C101" s="13"/>
      <c r="D101" s="13"/>
      <c r="E101" s="13"/>
      <c r="F101" s="13"/>
      <c r="G101" s="13"/>
      <c r="H101" s="2"/>
      <c r="I101" s="2"/>
      <c r="J101" s="2"/>
      <c r="K101" s="2"/>
      <c r="L101" s="2"/>
      <c r="M101" s="2"/>
      <c r="N101" s="2"/>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6" thickBot="1" x14ac:dyDescent="0.4">
      <c r="A103" s="13"/>
      <c r="B103" s="13"/>
      <c r="C103" s="13"/>
      <c r="D103" s="13"/>
      <c r="E103" s="49" t="s">
        <v>320</v>
      </c>
      <c r="F103" s="13"/>
      <c r="G103" s="13"/>
      <c r="H103" s="9" t="s">
        <v>3</v>
      </c>
      <c r="I103" s="9" t="s">
        <v>4</v>
      </c>
      <c r="J103" s="9" t="s">
        <v>5</v>
      </c>
      <c r="K103" s="9" t="s">
        <v>6</v>
      </c>
      <c r="L103" s="9" t="s">
        <v>7</v>
      </c>
      <c r="M103" s="9" t="s">
        <v>8</v>
      </c>
      <c r="N103" s="9" t="s">
        <v>9</v>
      </c>
      <c r="O103" s="9" t="s">
        <v>10</v>
      </c>
      <c r="P103" s="44" t="s">
        <v>139</v>
      </c>
      <c r="Q103" s="13"/>
      <c r="R103" s="13"/>
      <c r="S103" s="13"/>
      <c r="T103" s="13"/>
    </row>
    <row r="104" spans="1:20" x14ac:dyDescent="0.35">
      <c r="A104" s="13"/>
      <c r="B104" s="13"/>
      <c r="C104" s="13"/>
      <c r="D104" s="13"/>
      <c r="E104" s="49"/>
      <c r="F104" s="13"/>
      <c r="G104" s="49" t="s">
        <v>77</v>
      </c>
      <c r="H104" s="13">
        <f>AVERAGE(H53,H58,H63,H68,H70:H72,H74:H75,H80:H81,H83:H85,H90,H92,H94)</f>
        <v>3.9781041176470522</v>
      </c>
      <c r="I104" s="13">
        <f t="shared" ref="I104:P104" si="19">AVERAGE(I53,I58,I63,I68,I70:I72,I74:I75,I80:I81,I83:I85,I90,I92,I94)</f>
        <v>10.593602352941195</v>
      </c>
      <c r="J104" s="13">
        <f t="shared" si="19"/>
        <v>0.28410516609294517</v>
      </c>
      <c r="K104" s="13">
        <f t="shared" si="19"/>
        <v>0.71589483390705477</v>
      </c>
      <c r="L104" s="13">
        <f t="shared" si="19"/>
        <v>0.26293791303373604</v>
      </c>
      <c r="M104" s="13">
        <f t="shared" si="19"/>
        <v>7.1175278931246838E-2</v>
      </c>
      <c r="N104" s="13">
        <f t="shared" si="19"/>
        <v>14.571706470588246</v>
      </c>
      <c r="O104" s="13">
        <f t="shared" si="19"/>
        <v>22.117647058823529</v>
      </c>
      <c r="P104" s="13">
        <f t="shared" si="19"/>
        <v>5.621675571518467</v>
      </c>
      <c r="Q104" s="13"/>
      <c r="R104" s="13"/>
      <c r="S104" s="13"/>
      <c r="T104" s="13"/>
    </row>
    <row r="105" spans="1:20" x14ac:dyDescent="0.35">
      <c r="A105" s="13"/>
      <c r="B105" s="13"/>
      <c r="C105" s="13"/>
      <c r="D105" s="13"/>
      <c r="E105" s="49"/>
      <c r="F105" s="13"/>
      <c r="G105" s="49" t="s">
        <v>94</v>
      </c>
      <c r="H105" s="2">
        <f>_xlfn.STDEV.S(H53,H58,H63,H68,H70:H72,H74:H75,H80:H81,H83:H85,H90,H92,H94)</f>
        <v>0.88164665215192728</v>
      </c>
      <c r="I105" s="2">
        <f t="shared" ref="I105:P105" si="20">_xlfn.STDEV.S(I53,I58,I63,I68,I70:I72,I74:I75,I80:I81,I83:I85,I90,I92,I94)</f>
        <v>3.4692174938981695</v>
      </c>
      <c r="J105" s="2">
        <f t="shared" si="20"/>
        <v>8.9488616954289335E-2</v>
      </c>
      <c r="K105" s="2">
        <f t="shared" si="20"/>
        <v>8.9488616954290112E-2</v>
      </c>
      <c r="L105" s="2">
        <f t="shared" si="20"/>
        <v>5.9440666969867342E-2</v>
      </c>
      <c r="M105" s="2">
        <f t="shared" si="20"/>
        <v>1.2238767919947616E-2</v>
      </c>
      <c r="N105" s="2">
        <f t="shared" si="20"/>
        <v>3.3311235484629367</v>
      </c>
      <c r="O105" s="2">
        <f t="shared" si="20"/>
        <v>4.64868735425895</v>
      </c>
      <c r="P105" s="2">
        <f t="shared" si="20"/>
        <v>0.76274988877171401</v>
      </c>
      <c r="Q105" s="13"/>
      <c r="R105" s="13"/>
      <c r="S105" s="13"/>
      <c r="T105" s="13"/>
    </row>
    <row r="106" spans="1:20" x14ac:dyDescent="0.35">
      <c r="A106" s="13"/>
      <c r="B106" s="13"/>
      <c r="C106" s="13"/>
      <c r="D106" s="13"/>
      <c r="E106" s="49"/>
      <c r="F106" s="13"/>
      <c r="G106" s="49" t="s">
        <v>95</v>
      </c>
      <c r="H106" s="2">
        <f>H105/(SQRT(COUNT(H53,H58,H63,H68,H70:H72,H74:H75,H80:H81,H83:H85,H90,H92,H94)))</f>
        <v>0.21383072184085811</v>
      </c>
      <c r="I106" s="2">
        <f t="shared" ref="I106:P106" si="21">I105/(SQRT(COUNT(I53,I58,I63,I68,I70:I72,I74:I75,I80:I81,I83:I85,I90,I92,I94)))</f>
        <v>0.84140883326957316</v>
      </c>
      <c r="J106" s="2">
        <f t="shared" si="21"/>
        <v>2.1704177646645548E-2</v>
      </c>
      <c r="K106" s="2">
        <f t="shared" si="21"/>
        <v>2.1704177646645735E-2</v>
      </c>
      <c r="L106" s="2">
        <f t="shared" si="21"/>
        <v>1.4416479316113288E-2</v>
      </c>
      <c r="M106" s="2">
        <f t="shared" si="21"/>
        <v>2.9683372271391158E-3</v>
      </c>
      <c r="N106" s="2">
        <f t="shared" si="21"/>
        <v>0.80791613189970579</v>
      </c>
      <c r="O106" s="2">
        <f t="shared" si="21"/>
        <v>1.1274722930636916</v>
      </c>
      <c r="P106" s="2">
        <f t="shared" si="21"/>
        <v>0.1849940210196411</v>
      </c>
      <c r="Q106" s="13"/>
      <c r="R106" s="13"/>
      <c r="S106" s="13"/>
      <c r="T106" s="13"/>
    </row>
    <row r="107" spans="1:20" x14ac:dyDescent="0.35">
      <c r="A107" s="13"/>
      <c r="B107" s="13"/>
      <c r="C107" s="13"/>
      <c r="D107" s="13"/>
      <c r="E107" s="49"/>
      <c r="F107" s="13"/>
      <c r="G107" s="13"/>
      <c r="H107" s="13"/>
      <c r="I107" s="13"/>
      <c r="J107" s="13"/>
      <c r="K107" s="13"/>
      <c r="L107" s="13"/>
      <c r="M107" s="13"/>
      <c r="N107" s="13"/>
      <c r="O107" s="13"/>
      <c r="P107" s="13"/>
      <c r="Q107" s="13"/>
      <c r="R107" s="13"/>
      <c r="S107" s="13"/>
      <c r="T107" s="13"/>
    </row>
    <row r="108" spans="1:20" ht="16" thickBot="1" x14ac:dyDescent="0.4">
      <c r="A108" s="13"/>
      <c r="B108" s="13"/>
      <c r="C108" s="13"/>
      <c r="D108" s="13"/>
      <c r="E108" s="49" t="s">
        <v>301</v>
      </c>
      <c r="F108" s="13"/>
      <c r="G108" s="13"/>
      <c r="H108" s="9" t="s">
        <v>3</v>
      </c>
      <c r="I108" s="9" t="s">
        <v>4</v>
      </c>
      <c r="J108" s="9" t="s">
        <v>5</v>
      </c>
      <c r="K108" s="9" t="s">
        <v>6</v>
      </c>
      <c r="L108" s="9" t="s">
        <v>7</v>
      </c>
      <c r="M108" s="9" t="s">
        <v>8</v>
      </c>
      <c r="N108" s="9" t="s">
        <v>9</v>
      </c>
      <c r="O108" s="9" t="s">
        <v>10</v>
      </c>
      <c r="P108" s="44" t="s">
        <v>139</v>
      </c>
      <c r="Q108" s="13"/>
      <c r="R108" s="13"/>
      <c r="S108" s="13"/>
      <c r="T108" s="13"/>
    </row>
    <row r="109" spans="1:20" x14ac:dyDescent="0.35">
      <c r="A109" s="13"/>
      <c r="B109" s="13"/>
      <c r="C109" s="13"/>
      <c r="D109" s="13"/>
      <c r="E109" s="13"/>
      <c r="F109" s="13"/>
      <c r="G109" s="49" t="s">
        <v>77</v>
      </c>
      <c r="H109" s="13">
        <f>AVERAGE(H54,H59,H64,H69,H73,H76,H82,H86,H91,H93,H95)</f>
        <v>3.0824736363636123</v>
      </c>
      <c r="I109" s="13">
        <f t="shared" ref="I109:P109" si="22">AVERAGE(I54,I59,I64,I69,I73,I76,I82,I86,I91,I93,I95)</f>
        <v>6.3455909090909328</v>
      </c>
      <c r="J109" s="13">
        <f t="shared" si="22"/>
        <v>0.33088895305420984</v>
      </c>
      <c r="K109" s="13">
        <f t="shared" si="22"/>
        <v>0.66911104694579027</v>
      </c>
      <c r="L109" s="13">
        <f t="shared" si="22"/>
        <v>0.36037652086257554</v>
      </c>
      <c r="M109" s="13">
        <f t="shared" si="22"/>
        <v>0.10956595689733324</v>
      </c>
      <c r="N109" s="13">
        <f t="shared" si="22"/>
        <v>9.4280645454545446</v>
      </c>
      <c r="O109" s="13">
        <f t="shared" si="22"/>
        <v>17.181818181818183</v>
      </c>
      <c r="P109" s="13">
        <f t="shared" si="22"/>
        <v>5.8030469208975752</v>
      </c>
      <c r="Q109" s="13"/>
      <c r="R109" s="13"/>
      <c r="S109" s="13"/>
      <c r="T109" s="13"/>
    </row>
    <row r="110" spans="1:20" x14ac:dyDescent="0.35">
      <c r="A110" s="13"/>
      <c r="B110" s="13"/>
      <c r="C110" s="13"/>
      <c r="D110" s="13"/>
      <c r="E110" s="13"/>
      <c r="F110" s="13"/>
      <c r="G110" s="49" t="s">
        <v>94</v>
      </c>
      <c r="H110" s="2">
        <f>_xlfn.STDEV.S(H54,H59,H64,H69,H73,H76,H82,H86,H91,H93,H95)</f>
        <v>0.90724892179902306</v>
      </c>
      <c r="I110" s="2">
        <f t="shared" ref="I110:P110" si="23">_xlfn.STDEV.S(I54,I59,I64,I69,I73,I76,I82,I86,I91,I93,I95)</f>
        <v>1.4601182585972745</v>
      </c>
      <c r="J110" s="2">
        <f t="shared" si="23"/>
        <v>9.1376735916664231E-2</v>
      </c>
      <c r="K110" s="2">
        <f t="shared" si="23"/>
        <v>9.1376735916664231E-2</v>
      </c>
      <c r="L110" s="2">
        <f t="shared" si="23"/>
        <v>0.14307042291674119</v>
      </c>
      <c r="M110" s="2">
        <f t="shared" si="23"/>
        <v>2.5036722476004226E-2</v>
      </c>
      <c r="N110" s="2">
        <f t="shared" si="23"/>
        <v>1.4823516612286414</v>
      </c>
      <c r="O110" s="2">
        <f t="shared" si="23"/>
        <v>3.9703446152237656</v>
      </c>
      <c r="P110" s="2">
        <f t="shared" si="23"/>
        <v>1.2733218704305498</v>
      </c>
      <c r="Q110" s="13"/>
      <c r="R110" s="13"/>
      <c r="S110" s="13"/>
      <c r="T110" s="13"/>
    </row>
    <row r="111" spans="1:20" x14ac:dyDescent="0.35">
      <c r="A111" s="13"/>
      <c r="B111" s="13"/>
      <c r="C111" s="13"/>
      <c r="D111" s="13"/>
      <c r="E111" s="13"/>
      <c r="F111" s="13"/>
      <c r="G111" s="49" t="s">
        <v>95</v>
      </c>
      <c r="H111" s="2">
        <f>H110/(SQRT(COUNT(H54,H59,H64,H69,H73,H76,H82,H86,H91,H93,H95)))</f>
        <v>0.27354584227834977</v>
      </c>
      <c r="I111" s="2">
        <f t="shared" ref="I111:P111" si="24">I110/(SQRT(COUNT(I54,I59,I64,I69,I73,I76,I82,I86,I91,I93,I95)))</f>
        <v>0.44024221939220703</v>
      </c>
      <c r="J111" s="2">
        <f t="shared" si="24"/>
        <v>2.7551122509360659E-2</v>
      </c>
      <c r="K111" s="2">
        <f t="shared" si="24"/>
        <v>2.7551122509360659E-2</v>
      </c>
      <c r="L111" s="2">
        <f t="shared" si="24"/>
        <v>4.3137355582935924E-2</v>
      </c>
      <c r="M111" s="2">
        <f t="shared" si="24"/>
        <v>7.5488558575603493E-3</v>
      </c>
      <c r="N111" s="2">
        <f t="shared" si="24"/>
        <v>0.44694584251412922</v>
      </c>
      <c r="O111" s="2">
        <f t="shared" si="24"/>
        <v>1.1971039433732011</v>
      </c>
      <c r="P111" s="2">
        <f t="shared" si="24"/>
        <v>0.38392098923378798</v>
      </c>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ht="16" thickBot="1" x14ac:dyDescent="0.4">
      <c r="A113" s="13"/>
      <c r="B113" s="13"/>
      <c r="C113" s="13"/>
      <c r="D113" s="13"/>
      <c r="E113" s="13" t="s">
        <v>273</v>
      </c>
      <c r="F113" s="13"/>
      <c r="G113" s="13"/>
      <c r="H113" s="9" t="s">
        <v>3</v>
      </c>
      <c r="I113" s="9" t="s">
        <v>4</v>
      </c>
      <c r="J113" s="9" t="s">
        <v>5</v>
      </c>
      <c r="K113" s="9" t="s">
        <v>6</v>
      </c>
      <c r="L113" s="9" t="s">
        <v>7</v>
      </c>
      <c r="M113" s="9" t="s">
        <v>8</v>
      </c>
      <c r="N113" s="9" t="s">
        <v>9</v>
      </c>
      <c r="O113" s="9" t="s">
        <v>10</v>
      </c>
      <c r="P113" s="44" t="s">
        <v>139</v>
      </c>
      <c r="Q113" s="13"/>
      <c r="R113" s="13"/>
      <c r="S113" s="13"/>
      <c r="T113" s="13"/>
    </row>
    <row r="114" spans="1:20" x14ac:dyDescent="0.35">
      <c r="A114" s="13"/>
      <c r="B114" s="13"/>
      <c r="C114" s="13"/>
      <c r="D114" s="13"/>
      <c r="E114" s="13"/>
      <c r="F114" s="13"/>
      <c r="G114" s="49" t="s">
        <v>77</v>
      </c>
      <c r="H114" s="13">
        <f>AVERAGE(H55:H57,H60:H62,H65:H67,H77:H79,H87:H89,H96:H97)</f>
        <v>3.9856105882352844</v>
      </c>
      <c r="I114" s="13">
        <f t="shared" ref="I114:P114" si="25">AVERAGE(I55:I57,I60:I62,I65:I67,I77:I79,I87:I89,I96:I97)</f>
        <v>7.0929552941176404</v>
      </c>
      <c r="J114" s="13">
        <f t="shared" si="25"/>
        <v>0.36453072726148256</v>
      </c>
      <c r="K114" s="13">
        <f t="shared" si="25"/>
        <v>0.63546927273851761</v>
      </c>
      <c r="L114" s="13">
        <f t="shared" si="25"/>
        <v>0.26021039271718077</v>
      </c>
      <c r="M114" s="13">
        <f t="shared" si="25"/>
        <v>9.2076963158082989E-2</v>
      </c>
      <c r="N114" s="13">
        <f t="shared" si="25"/>
        <v>11.078565882352924</v>
      </c>
      <c r="O114" s="13">
        <f t="shared" si="25"/>
        <v>23.647058823529413</v>
      </c>
      <c r="P114" s="13">
        <f t="shared" si="25"/>
        <v>5.9521507000639833</v>
      </c>
      <c r="Q114" s="13"/>
      <c r="R114" s="13"/>
      <c r="S114" s="13"/>
      <c r="T114" s="13"/>
    </row>
    <row r="115" spans="1:20" x14ac:dyDescent="0.35">
      <c r="A115" s="13"/>
      <c r="B115" s="13"/>
      <c r="C115" s="13"/>
      <c r="D115" s="13"/>
      <c r="E115" s="13"/>
      <c r="F115" s="13"/>
      <c r="G115" s="49" t="s">
        <v>94</v>
      </c>
      <c r="H115" s="2">
        <f>_xlfn.STDEV.S(H55:H57,H60:H62,H65:H67,H77:H79,H87:H89,H96:H97)</f>
        <v>0.67986121210023076</v>
      </c>
      <c r="I115" s="2">
        <f t="shared" ref="I115:P115" si="26">_xlfn.STDEV.S(I55:I57,I60:I62,I65:I67,I77:I79,I87:I89,I96:I97)</f>
        <v>1.6620760546343816</v>
      </c>
      <c r="J115" s="2">
        <f t="shared" si="26"/>
        <v>6.626085490959531E-2</v>
      </c>
      <c r="K115" s="2">
        <f t="shared" si="26"/>
        <v>6.6260854909593422E-2</v>
      </c>
      <c r="L115" s="2">
        <f t="shared" si="26"/>
        <v>5.9823095926601656E-2</v>
      </c>
      <c r="M115" s="2">
        <f t="shared" si="26"/>
        <v>1.3654235980423614E-2</v>
      </c>
      <c r="N115" s="2">
        <f t="shared" si="26"/>
        <v>1.6124068432085517</v>
      </c>
      <c r="O115" s="2">
        <f t="shared" si="26"/>
        <v>4.5130529643273114</v>
      </c>
      <c r="P115" s="2">
        <f t="shared" si="26"/>
        <v>0.56448021690916872</v>
      </c>
      <c r="Q115" s="13"/>
      <c r="R115" s="13"/>
      <c r="S115" s="13"/>
      <c r="T115" s="13"/>
    </row>
    <row r="116" spans="1:20" x14ac:dyDescent="0.35">
      <c r="A116" s="13"/>
      <c r="B116" s="13"/>
      <c r="C116" s="13"/>
      <c r="D116" s="13"/>
      <c r="E116" s="13"/>
      <c r="F116" s="13"/>
      <c r="G116" s="49" t="s">
        <v>95</v>
      </c>
      <c r="H116" s="2">
        <f>H115/(SQRT(COUNT(H55:H57,H60:H62,H65:H67,H77:H79,H87:H89,H96:H97)))</f>
        <v>0.16489056401468841</v>
      </c>
      <c r="I116" s="2">
        <f t="shared" ref="I116:P116" si="27">I115/(SQRT(COUNT(I55:I57,I60:I62,I65:I67,I77:I79,I87:I89,I96:I97)))</f>
        <v>0.40311265476867203</v>
      </c>
      <c r="J116" s="2">
        <f t="shared" si="27"/>
        <v>1.6070617860940471E-2</v>
      </c>
      <c r="K116" s="2">
        <f t="shared" si="27"/>
        <v>1.6070617860940013E-2</v>
      </c>
      <c r="L116" s="2">
        <f t="shared" si="27"/>
        <v>1.4509231962166838E-2</v>
      </c>
      <c r="M116" s="2">
        <f t="shared" si="27"/>
        <v>3.311638657905628E-3</v>
      </c>
      <c r="N116" s="2">
        <f t="shared" si="27"/>
        <v>0.39106610153044663</v>
      </c>
      <c r="O116" s="2">
        <f t="shared" si="27"/>
        <v>1.0945761215251999</v>
      </c>
      <c r="P116" s="2">
        <f t="shared" si="27"/>
        <v>0.13690656222871006</v>
      </c>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49"/>
      <c r="E127" s="49"/>
      <c r="F127" s="13"/>
      <c r="G127" s="49"/>
      <c r="H127" s="13"/>
      <c r="I127" s="13"/>
      <c r="J127" s="13"/>
      <c r="K127" s="13"/>
      <c r="L127" s="13"/>
      <c r="M127" s="13"/>
      <c r="N127" s="13"/>
      <c r="O127" s="13"/>
      <c r="P127" s="13"/>
      <c r="Q127" s="13"/>
      <c r="R127" s="13"/>
      <c r="S127" s="13"/>
      <c r="T127" s="13"/>
    </row>
    <row r="128" spans="1:20" x14ac:dyDescent="0.35">
      <c r="A128" s="13"/>
      <c r="B128" s="13"/>
      <c r="C128" s="13"/>
      <c r="D128" s="49"/>
      <c r="E128" s="49"/>
      <c r="F128" s="13"/>
      <c r="G128" s="49"/>
      <c r="H128" s="13"/>
      <c r="I128" s="13"/>
      <c r="J128" s="13"/>
      <c r="K128" s="13"/>
      <c r="L128" s="13"/>
      <c r="M128" s="13"/>
      <c r="N128" s="13"/>
      <c r="O128" s="13"/>
      <c r="P128" s="13"/>
      <c r="Q128" s="13"/>
      <c r="R128" s="13"/>
      <c r="S128" s="13"/>
      <c r="T128" s="13"/>
    </row>
    <row r="129" spans="1:20" x14ac:dyDescent="0.35">
      <c r="A129" s="13"/>
      <c r="B129" s="13"/>
      <c r="C129" s="13"/>
      <c r="D129" s="49"/>
      <c r="E129" s="49"/>
      <c r="F129" s="13"/>
      <c r="G129" s="49"/>
      <c r="H129" s="13"/>
      <c r="I129" s="13"/>
      <c r="J129" s="13"/>
      <c r="K129" s="13"/>
      <c r="L129" s="13"/>
      <c r="M129" s="13"/>
      <c r="N129" s="13"/>
      <c r="O129" s="13"/>
      <c r="P129" s="13"/>
      <c r="Q129" s="13"/>
      <c r="R129" s="13"/>
      <c r="S129" s="13"/>
      <c r="T129" s="13"/>
    </row>
    <row r="130" spans="1:20" x14ac:dyDescent="0.35">
      <c r="A130" s="13"/>
      <c r="B130" s="13"/>
      <c r="C130" s="13"/>
      <c r="D130" s="49"/>
      <c r="E130" s="49"/>
      <c r="F130" s="13"/>
      <c r="G130" s="13"/>
      <c r="H130" s="13"/>
      <c r="I130" s="13"/>
      <c r="J130" s="13"/>
      <c r="K130" s="13"/>
      <c r="L130" s="13"/>
      <c r="M130" s="13"/>
      <c r="N130" s="13"/>
      <c r="O130" s="13"/>
      <c r="P130" s="13"/>
      <c r="Q130" s="13"/>
      <c r="R130" s="13"/>
      <c r="S130" s="13"/>
      <c r="T130" s="13"/>
    </row>
    <row r="131" spans="1:20" x14ac:dyDescent="0.35">
      <c r="A131" s="13"/>
      <c r="B131" s="13"/>
      <c r="C131" s="13"/>
      <c r="D131" s="49"/>
      <c r="E131" s="49"/>
      <c r="F131" s="13"/>
      <c r="G131" s="13"/>
      <c r="H131" s="13"/>
      <c r="I131" s="13"/>
      <c r="J131" s="13"/>
      <c r="K131" s="13"/>
      <c r="L131" s="13"/>
      <c r="M131" s="13"/>
      <c r="N131" s="13"/>
      <c r="O131" s="13"/>
      <c r="P131" s="13"/>
      <c r="Q131" s="13"/>
      <c r="R131" s="13"/>
      <c r="S131" s="13"/>
      <c r="T131" s="13"/>
    </row>
    <row r="132" spans="1:20" x14ac:dyDescent="0.35">
      <c r="A132" s="13"/>
      <c r="B132" s="13"/>
      <c r="C132" s="13"/>
      <c r="D132" s="49"/>
      <c r="E132" s="49"/>
      <c r="F132" s="13"/>
      <c r="G132" s="49"/>
      <c r="H132" s="13"/>
      <c r="I132" s="13"/>
      <c r="J132" s="13"/>
      <c r="K132" s="13"/>
      <c r="L132" s="13"/>
      <c r="M132" s="13"/>
      <c r="N132" s="13"/>
      <c r="O132" s="13"/>
      <c r="P132" s="13"/>
      <c r="Q132" s="13"/>
      <c r="R132" s="13"/>
      <c r="S132" s="13"/>
      <c r="T132" s="13"/>
    </row>
    <row r="133" spans="1:20" x14ac:dyDescent="0.35">
      <c r="A133" s="13"/>
      <c r="B133" s="13"/>
      <c r="C133" s="13"/>
      <c r="D133" s="49"/>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49"/>
      <c r="F139" s="49"/>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ht="18.5" x14ac:dyDescent="0.45">
      <c r="A142" s="13"/>
      <c r="B142" s="13"/>
      <c r="C142" s="13"/>
      <c r="D142" s="13"/>
      <c r="E142" s="13"/>
      <c r="F142" s="149"/>
      <c r="G142" s="13"/>
      <c r="H142" s="13"/>
      <c r="I142" s="13"/>
      <c r="J142" s="13"/>
      <c r="K142" s="13"/>
      <c r="L142" s="13"/>
      <c r="M142" s="13"/>
      <c r="N142" s="13"/>
      <c r="O142" s="13"/>
      <c r="P142" s="13"/>
      <c r="Q142" s="13"/>
      <c r="R142" s="13"/>
      <c r="S142" s="13"/>
      <c r="T142" s="13"/>
    </row>
    <row r="143" spans="1:20" ht="15.5" x14ac:dyDescent="0.35">
      <c r="A143" s="13"/>
      <c r="B143" s="14"/>
      <c r="C143" s="14"/>
      <c r="D143" s="14"/>
      <c r="E143" s="14"/>
      <c r="F143" s="14"/>
      <c r="G143" s="14"/>
      <c r="H143" s="14"/>
      <c r="I143" s="14"/>
      <c r="J143" s="14"/>
      <c r="K143" s="14"/>
      <c r="L143" s="14"/>
      <c r="M143" s="14"/>
      <c r="N143" s="14"/>
      <c r="O143" s="14"/>
      <c r="P143" s="14"/>
      <c r="Q143" s="13"/>
      <c r="R143" s="14"/>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49"/>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row r="157" spans="1:20" x14ac:dyDescent="0.35">
      <c r="A157" s="13"/>
      <c r="B157" s="13"/>
      <c r="C157" s="13"/>
      <c r="D157" s="13"/>
      <c r="E157" s="13"/>
      <c r="F157" s="13"/>
      <c r="G157" s="13"/>
      <c r="H157" s="13"/>
      <c r="I157" s="13"/>
      <c r="J157" s="13"/>
      <c r="K157" s="13"/>
      <c r="L157" s="13"/>
      <c r="M157" s="13"/>
      <c r="N157" s="13"/>
      <c r="O157" s="13"/>
      <c r="P157" s="13"/>
      <c r="Q157" s="13"/>
      <c r="R157" s="13"/>
      <c r="S157" s="13"/>
      <c r="T157" s="13"/>
    </row>
    <row r="158" spans="1:20" x14ac:dyDescent="0.35">
      <c r="A158" s="13"/>
      <c r="B158" s="13"/>
      <c r="C158" s="13"/>
      <c r="D158" s="13"/>
      <c r="E158" s="13"/>
      <c r="F158" s="13"/>
      <c r="G158" s="13"/>
      <c r="H158" s="13"/>
      <c r="I158" s="13"/>
      <c r="J158" s="13"/>
      <c r="K158" s="13"/>
      <c r="L158" s="13"/>
      <c r="M158" s="13"/>
      <c r="N158" s="13"/>
      <c r="O158" s="13"/>
      <c r="P158" s="13"/>
      <c r="Q158" s="13"/>
      <c r="R158" s="13"/>
      <c r="S158" s="13"/>
      <c r="T158" s="13"/>
    </row>
    <row r="159" spans="1:20" x14ac:dyDescent="0.35">
      <c r="A159" s="13"/>
      <c r="B159" s="13"/>
      <c r="C159" s="13"/>
      <c r="D159" s="13"/>
      <c r="E159" s="13"/>
      <c r="F159" s="13"/>
      <c r="G159" s="13"/>
      <c r="H159" s="13"/>
      <c r="I159" s="13"/>
      <c r="J159" s="13"/>
      <c r="K159" s="13"/>
      <c r="L159" s="13"/>
      <c r="M159" s="13"/>
      <c r="N159" s="13"/>
      <c r="O159" s="13"/>
      <c r="P159" s="13"/>
      <c r="Q159" s="13"/>
      <c r="R159" s="13"/>
      <c r="S159" s="13"/>
      <c r="T159" s="13"/>
    </row>
    <row r="160" spans="1:20" x14ac:dyDescent="0.35">
      <c r="A160" s="13"/>
      <c r="B160" s="13"/>
      <c r="C160" s="13"/>
      <c r="D160" s="13"/>
      <c r="E160" s="13"/>
      <c r="F160" s="13"/>
      <c r="G160" s="13"/>
      <c r="H160" s="13"/>
      <c r="I160" s="13"/>
      <c r="J160" s="13"/>
      <c r="K160" s="13"/>
      <c r="L160" s="13"/>
      <c r="M160" s="13"/>
      <c r="N160" s="13"/>
      <c r="O160" s="13"/>
      <c r="P160" s="13"/>
      <c r="Q160" s="13"/>
      <c r="R160" s="13"/>
      <c r="S160" s="13"/>
      <c r="T160" s="13"/>
    </row>
    <row r="161" spans="1:20" x14ac:dyDescent="0.35">
      <c r="A161" s="13"/>
      <c r="B161" s="13"/>
      <c r="C161" s="13"/>
      <c r="D161" s="13"/>
      <c r="E161" s="13"/>
      <c r="F161" s="13"/>
      <c r="G161" s="13"/>
      <c r="H161" s="13"/>
      <c r="I161" s="13"/>
      <c r="J161" s="13"/>
      <c r="K161" s="13"/>
      <c r="L161" s="13"/>
      <c r="M161" s="13"/>
      <c r="N161" s="13"/>
      <c r="O161" s="13"/>
      <c r="P161" s="13"/>
      <c r="Q161" s="13"/>
      <c r="R161" s="13"/>
      <c r="S161" s="13"/>
      <c r="T161" s="13"/>
    </row>
    <row r="162" spans="1:20" x14ac:dyDescent="0.35">
      <c r="A162" s="13"/>
      <c r="B162" s="13"/>
      <c r="C162" s="13"/>
      <c r="D162" s="13"/>
      <c r="E162" s="13"/>
      <c r="F162" s="13"/>
      <c r="G162" s="13"/>
      <c r="H162" s="13"/>
      <c r="I162" s="13"/>
      <c r="J162" s="13"/>
      <c r="K162" s="13"/>
      <c r="L162" s="13"/>
      <c r="M162" s="13"/>
      <c r="N162" s="13"/>
      <c r="O162" s="13"/>
      <c r="P162" s="13"/>
      <c r="Q162" s="13"/>
      <c r="R162" s="13"/>
      <c r="S162" s="13"/>
      <c r="T162" s="13"/>
    </row>
    <row r="163" spans="1:20" x14ac:dyDescent="0.35">
      <c r="A163" s="13"/>
      <c r="B163" s="13"/>
      <c r="C163" s="13"/>
      <c r="D163" s="13"/>
      <c r="E163" s="13"/>
      <c r="F163" s="13"/>
      <c r="G163" s="13"/>
      <c r="H163" s="13"/>
      <c r="I163" s="13"/>
      <c r="J163" s="13"/>
      <c r="K163" s="13"/>
      <c r="L163" s="13"/>
      <c r="M163" s="13"/>
      <c r="N163" s="13"/>
      <c r="O163" s="13"/>
      <c r="P163" s="13"/>
      <c r="Q163" s="13"/>
      <c r="R163" s="13"/>
      <c r="S163" s="13"/>
      <c r="T163" s="13"/>
    </row>
    <row r="164" spans="1:20" x14ac:dyDescent="0.35">
      <c r="A164" s="13"/>
      <c r="B164" s="13"/>
      <c r="C164" s="13"/>
      <c r="D164" s="13"/>
      <c r="E164" s="13"/>
      <c r="F164" s="13"/>
      <c r="G164" s="13"/>
      <c r="H164" s="13"/>
      <c r="I164" s="13"/>
      <c r="J164" s="13"/>
      <c r="K164" s="13"/>
      <c r="L164" s="13"/>
      <c r="M164" s="13"/>
      <c r="N164" s="13"/>
      <c r="O164" s="13"/>
      <c r="P164" s="13"/>
      <c r="Q164" s="13"/>
      <c r="R164" s="13"/>
      <c r="S164" s="13"/>
      <c r="T164" s="13"/>
    </row>
    <row r="165" spans="1:20" x14ac:dyDescent="0.35">
      <c r="A165" s="13"/>
      <c r="B165" s="13"/>
      <c r="C165" s="13"/>
      <c r="D165" s="13"/>
      <c r="E165" s="13"/>
      <c r="F165" s="13"/>
      <c r="G165" s="13"/>
      <c r="H165" s="13"/>
      <c r="I165" s="13"/>
      <c r="J165" s="13"/>
      <c r="K165" s="13"/>
      <c r="L165" s="13"/>
      <c r="M165" s="13"/>
      <c r="N165" s="13"/>
      <c r="O165" s="13"/>
      <c r="P165" s="13"/>
      <c r="Q165" s="13"/>
      <c r="R165" s="13"/>
      <c r="S165" s="13"/>
      <c r="T165" s="13"/>
    </row>
    <row r="166" spans="1:20" x14ac:dyDescent="0.35">
      <c r="A166" s="13"/>
      <c r="B166" s="13"/>
      <c r="C166" s="13"/>
      <c r="D166" s="13"/>
      <c r="E166" s="13"/>
      <c r="F166" s="13"/>
      <c r="G166" s="13"/>
      <c r="H166" s="13"/>
      <c r="I166" s="13"/>
      <c r="J166" s="13"/>
      <c r="K166" s="13"/>
      <c r="L166" s="13"/>
      <c r="M166" s="13"/>
      <c r="N166" s="13"/>
      <c r="O166" s="13"/>
      <c r="P166" s="13"/>
      <c r="Q166" s="13"/>
      <c r="R166" s="13"/>
      <c r="S166" s="13"/>
      <c r="T166" s="13"/>
    </row>
    <row r="167" spans="1:20" x14ac:dyDescent="0.35">
      <c r="A167" s="13"/>
      <c r="B167" s="13"/>
      <c r="C167" s="13"/>
      <c r="D167" s="13"/>
      <c r="E167" s="13"/>
      <c r="F167" s="13"/>
      <c r="G167" s="13"/>
      <c r="H167" s="13"/>
      <c r="I167" s="13"/>
      <c r="J167" s="13"/>
      <c r="K167" s="13"/>
      <c r="L167" s="13"/>
      <c r="M167" s="13"/>
      <c r="N167" s="13"/>
      <c r="O167" s="13"/>
      <c r="P167" s="13"/>
      <c r="Q167" s="13"/>
      <c r="R167" s="13"/>
      <c r="S167" s="13"/>
      <c r="T167" s="13"/>
    </row>
    <row r="168" spans="1:20" x14ac:dyDescent="0.35">
      <c r="A168" s="13"/>
      <c r="B168" s="13"/>
      <c r="C168" s="13"/>
      <c r="D168" s="13"/>
      <c r="E168" s="13"/>
      <c r="F168" s="13"/>
      <c r="G168" s="13"/>
      <c r="H168" s="13"/>
      <c r="I168" s="13"/>
      <c r="J168" s="13"/>
      <c r="K168" s="13"/>
      <c r="L168" s="13"/>
      <c r="M168" s="13"/>
      <c r="N168" s="13"/>
      <c r="O168" s="13"/>
      <c r="P168" s="13"/>
      <c r="Q168" s="13"/>
      <c r="R168" s="13"/>
      <c r="S168" s="13"/>
      <c r="T168" s="13"/>
    </row>
    <row r="169" spans="1:20" x14ac:dyDescent="0.35">
      <c r="A169" s="13"/>
      <c r="B169" s="13"/>
      <c r="C169" s="13"/>
      <c r="D169" s="13"/>
      <c r="E169" s="13"/>
      <c r="F169" s="13"/>
      <c r="G169" s="13"/>
      <c r="H169" s="13"/>
      <c r="I169" s="13"/>
      <c r="J169" s="13"/>
      <c r="K169" s="13"/>
      <c r="L169" s="13"/>
      <c r="M169" s="13"/>
      <c r="N169" s="13"/>
      <c r="O169" s="13"/>
      <c r="P169" s="13"/>
      <c r="Q169" s="13"/>
      <c r="R169" s="13"/>
      <c r="S169" s="13"/>
      <c r="T169" s="13"/>
    </row>
    <row r="170" spans="1:20" x14ac:dyDescent="0.35">
      <c r="A170" s="13"/>
      <c r="B170" s="13"/>
      <c r="C170" s="13"/>
      <c r="D170" s="13"/>
      <c r="E170" s="13"/>
      <c r="F170" s="13"/>
      <c r="G170" s="13"/>
      <c r="H170" s="13"/>
      <c r="I170" s="13"/>
      <c r="J170" s="13"/>
      <c r="K170" s="13"/>
      <c r="L170" s="13"/>
      <c r="M170" s="13"/>
      <c r="N170" s="13"/>
      <c r="O170" s="13"/>
      <c r="P170" s="13"/>
      <c r="Q170" s="13"/>
      <c r="R170" s="13"/>
      <c r="S170" s="13"/>
      <c r="T170" s="13"/>
    </row>
    <row r="171" spans="1:20" ht="15.5" x14ac:dyDescent="0.35">
      <c r="A171" s="13"/>
      <c r="B171" s="13"/>
      <c r="C171" s="13"/>
      <c r="D171" s="13"/>
      <c r="E171" s="13"/>
      <c r="F171" s="13"/>
      <c r="G171" s="13"/>
      <c r="H171" s="14"/>
      <c r="I171" s="14"/>
      <c r="J171" s="14"/>
      <c r="K171" s="14"/>
      <c r="L171" s="14"/>
      <c r="M171" s="14"/>
      <c r="N171" s="14"/>
      <c r="O171" s="14"/>
      <c r="P171" s="14"/>
      <c r="Q171" s="13"/>
      <c r="R171" s="13"/>
      <c r="S171" s="13"/>
      <c r="T171" s="13"/>
    </row>
    <row r="172" spans="1:20" x14ac:dyDescent="0.35">
      <c r="A172" s="13"/>
      <c r="B172" s="13"/>
      <c r="C172" s="13"/>
      <c r="D172" s="13"/>
      <c r="E172" s="49"/>
      <c r="F172" s="13"/>
      <c r="G172" s="49"/>
      <c r="H172" s="13"/>
      <c r="I172" s="13"/>
      <c r="J172" s="13"/>
      <c r="K172" s="13"/>
      <c r="L172" s="13"/>
      <c r="M172" s="13"/>
      <c r="N172" s="13"/>
      <c r="O172" s="13"/>
      <c r="P172" s="13"/>
      <c r="Q172" s="13"/>
      <c r="R172" s="13"/>
      <c r="S172" s="13"/>
      <c r="T172" s="13"/>
    </row>
    <row r="173" spans="1:20" x14ac:dyDescent="0.35">
      <c r="A173" s="13"/>
      <c r="B173" s="13"/>
      <c r="C173" s="13"/>
      <c r="D173" s="13"/>
      <c r="E173" s="49"/>
      <c r="F173" s="13"/>
      <c r="G173" s="49"/>
      <c r="H173" s="13"/>
      <c r="I173" s="13"/>
      <c r="J173" s="13"/>
      <c r="K173" s="13"/>
      <c r="L173" s="13"/>
      <c r="M173" s="13"/>
      <c r="N173" s="13"/>
      <c r="O173" s="13"/>
      <c r="P173" s="13"/>
      <c r="Q173" s="13"/>
      <c r="R173" s="13"/>
      <c r="S173" s="13"/>
      <c r="T173" s="13"/>
    </row>
    <row r="174" spans="1:20" x14ac:dyDescent="0.35">
      <c r="A174" s="13"/>
      <c r="B174" s="13"/>
      <c r="C174" s="13"/>
      <c r="D174" s="13"/>
      <c r="E174" s="49"/>
      <c r="F174" s="13"/>
      <c r="G174" s="49"/>
      <c r="H174" s="13"/>
      <c r="I174" s="13"/>
      <c r="J174" s="13"/>
      <c r="K174" s="13"/>
      <c r="L174" s="13"/>
      <c r="M174" s="13"/>
      <c r="N174" s="13"/>
      <c r="O174" s="13"/>
      <c r="P174" s="13"/>
      <c r="Q174" s="13"/>
      <c r="R174" s="13"/>
      <c r="S174" s="13"/>
      <c r="T174" s="13"/>
    </row>
    <row r="175" spans="1:20" x14ac:dyDescent="0.35">
      <c r="A175" s="13"/>
      <c r="B175" s="13"/>
      <c r="C175" s="13"/>
      <c r="D175" s="13"/>
      <c r="E175" s="49"/>
      <c r="F175" s="13"/>
      <c r="G175" s="13"/>
      <c r="H175" s="13"/>
      <c r="I175" s="13"/>
      <c r="J175" s="13"/>
      <c r="K175" s="13"/>
      <c r="L175" s="13"/>
      <c r="M175" s="13"/>
      <c r="N175" s="13"/>
      <c r="O175" s="13"/>
      <c r="P175" s="13"/>
      <c r="Q175" s="13"/>
      <c r="R175" s="13"/>
      <c r="S175" s="13"/>
      <c r="T175" s="13"/>
    </row>
    <row r="176" spans="1:20" x14ac:dyDescent="0.35">
      <c r="A176" s="13"/>
      <c r="B176" s="13"/>
      <c r="C176" s="13"/>
      <c r="D176" s="13"/>
      <c r="E176" s="49"/>
      <c r="F176" s="13"/>
      <c r="G176" s="13"/>
      <c r="H176" s="13"/>
      <c r="I176" s="13"/>
      <c r="J176" s="13"/>
      <c r="K176" s="13"/>
      <c r="L176" s="13"/>
      <c r="M176" s="13"/>
      <c r="N176" s="13"/>
      <c r="O176" s="13"/>
      <c r="P176" s="13"/>
      <c r="Q176" s="13"/>
      <c r="R176" s="13"/>
      <c r="S176" s="13"/>
      <c r="T176" s="13"/>
    </row>
    <row r="177" spans="1:20" x14ac:dyDescent="0.35">
      <c r="A177" s="13"/>
      <c r="B177" s="13"/>
      <c r="C177" s="13"/>
      <c r="D177" s="13"/>
      <c r="E177" s="49"/>
      <c r="F177" s="13"/>
      <c r="G177" s="49"/>
      <c r="H177" s="13"/>
      <c r="I177" s="13"/>
      <c r="J177" s="13"/>
      <c r="K177" s="13"/>
      <c r="L177" s="13"/>
      <c r="M177" s="13"/>
      <c r="N177" s="13"/>
      <c r="O177" s="13"/>
      <c r="P177" s="13"/>
      <c r="Q177" s="13"/>
      <c r="R177" s="13"/>
      <c r="S177" s="13"/>
      <c r="T177" s="13"/>
    </row>
    <row r="178" spans="1:20" x14ac:dyDescent="0.35">
      <c r="A178" s="13"/>
      <c r="B178" s="13"/>
      <c r="C178" s="13"/>
      <c r="D178" s="13"/>
      <c r="E178" s="49"/>
      <c r="F178" s="13"/>
      <c r="G178" s="49"/>
      <c r="H178" s="13"/>
      <c r="I178" s="13"/>
      <c r="J178" s="13"/>
      <c r="K178" s="13"/>
      <c r="L178" s="13"/>
      <c r="M178" s="13"/>
      <c r="N178" s="13"/>
      <c r="O178" s="13"/>
      <c r="P178" s="13"/>
      <c r="Q178" s="13"/>
      <c r="R178" s="13"/>
      <c r="S178" s="13"/>
      <c r="T178" s="13"/>
    </row>
    <row r="179" spans="1:20" x14ac:dyDescent="0.35">
      <c r="A179" s="13"/>
      <c r="B179" s="13"/>
      <c r="C179" s="13"/>
      <c r="D179" s="13"/>
      <c r="E179" s="13"/>
      <c r="F179" s="13"/>
      <c r="G179" s="49"/>
      <c r="H179" s="13"/>
      <c r="I179" s="13"/>
      <c r="J179" s="13"/>
      <c r="K179" s="13"/>
      <c r="L179" s="13"/>
      <c r="M179" s="13"/>
      <c r="N179" s="13"/>
      <c r="O179" s="13"/>
      <c r="P179" s="13"/>
      <c r="Q179" s="13"/>
      <c r="R179" s="13"/>
      <c r="S179" s="13"/>
      <c r="T179" s="13"/>
    </row>
    <row r="180" spans="1:20" x14ac:dyDescent="0.35">
      <c r="A180" s="13"/>
      <c r="B180" s="13"/>
      <c r="C180" s="13"/>
      <c r="D180" s="13"/>
      <c r="E180" s="13"/>
      <c r="F180" s="13"/>
      <c r="G180" s="13"/>
      <c r="H180" s="13"/>
      <c r="I180" s="13"/>
      <c r="J180" s="13"/>
      <c r="K180" s="13"/>
      <c r="L180" s="13"/>
      <c r="M180" s="13"/>
      <c r="N180" s="13"/>
      <c r="O180" s="13"/>
      <c r="P180" s="13"/>
      <c r="Q180" s="13"/>
      <c r="R180" s="13"/>
      <c r="S180" s="13"/>
      <c r="T180" s="13"/>
    </row>
    <row r="181" spans="1:20" x14ac:dyDescent="0.35">
      <c r="A181" s="13"/>
      <c r="B181" s="13"/>
      <c r="C181" s="13"/>
      <c r="D181" s="13"/>
      <c r="E181" s="49"/>
      <c r="F181" s="49"/>
      <c r="G181" s="49"/>
      <c r="H181" s="13"/>
      <c r="I181" s="13"/>
      <c r="J181" s="13"/>
      <c r="K181" s="13"/>
      <c r="L181" s="13"/>
      <c r="M181" s="13"/>
      <c r="N181" s="13"/>
      <c r="O181" s="13"/>
      <c r="P181" s="13"/>
      <c r="Q181" s="13"/>
      <c r="R181" s="13"/>
      <c r="S181" s="13"/>
      <c r="T181" s="13"/>
    </row>
    <row r="182" spans="1:20" x14ac:dyDescent="0.35">
      <c r="A182" s="13"/>
      <c r="B182" s="13"/>
      <c r="C182" s="13"/>
      <c r="D182" s="13"/>
      <c r="E182" s="49"/>
      <c r="F182" s="49"/>
      <c r="G182" s="49"/>
      <c r="H182" s="13"/>
      <c r="I182" s="13"/>
      <c r="J182" s="13"/>
      <c r="K182" s="13"/>
      <c r="L182" s="13"/>
      <c r="M182" s="13"/>
      <c r="N182" s="13"/>
      <c r="O182" s="13"/>
      <c r="P182" s="13"/>
      <c r="Q182" s="13"/>
      <c r="R182" s="13"/>
      <c r="S182" s="13"/>
      <c r="T182" s="13"/>
    </row>
    <row r="183" spans="1:20" x14ac:dyDescent="0.35">
      <c r="A183" s="13"/>
      <c r="B183" s="13"/>
      <c r="C183" s="13"/>
      <c r="D183" s="13"/>
      <c r="E183" s="49"/>
      <c r="F183" s="49"/>
      <c r="G183" s="49"/>
      <c r="H183" s="13"/>
      <c r="I183" s="13"/>
      <c r="J183" s="13"/>
      <c r="K183" s="13"/>
      <c r="L183" s="13"/>
      <c r="M183" s="13"/>
      <c r="N183" s="13"/>
      <c r="O183" s="13"/>
      <c r="P183" s="13"/>
      <c r="Q183" s="13"/>
      <c r="R183" s="13"/>
      <c r="S183" s="13"/>
      <c r="T183" s="13"/>
    </row>
    <row r="184" spans="1:20" x14ac:dyDescent="0.35">
      <c r="A184" s="13"/>
      <c r="B184" s="13"/>
      <c r="C184" s="13"/>
      <c r="D184" s="13"/>
      <c r="E184" s="13"/>
      <c r="F184" s="13"/>
      <c r="G184" s="13"/>
      <c r="H184" s="13"/>
      <c r="I184" s="13"/>
      <c r="J184" s="13"/>
      <c r="K184" s="13"/>
      <c r="L184" s="13"/>
      <c r="M184" s="13"/>
      <c r="N184" s="13"/>
      <c r="O184" s="13"/>
      <c r="P184" s="13"/>
      <c r="Q184" s="13"/>
      <c r="R184" s="13"/>
      <c r="S184" s="13"/>
      <c r="T184" s="13"/>
    </row>
    <row r="185" spans="1:20" x14ac:dyDescent="0.35">
      <c r="A185" s="13"/>
      <c r="B185" s="13"/>
      <c r="C185" s="13"/>
      <c r="D185" s="13"/>
      <c r="E185" s="13"/>
      <c r="F185" s="13"/>
      <c r="G185" s="13"/>
      <c r="H185" s="13"/>
      <c r="I185" s="13"/>
      <c r="J185" s="13"/>
      <c r="K185" s="13"/>
      <c r="L185" s="13"/>
      <c r="M185" s="13"/>
      <c r="N185" s="13"/>
      <c r="O185" s="13"/>
      <c r="P185" s="13"/>
      <c r="Q185" s="13"/>
      <c r="R185" s="13"/>
      <c r="S185" s="13"/>
      <c r="T185" s="13"/>
    </row>
    <row r="186" spans="1:20" x14ac:dyDescent="0.35">
      <c r="A186" s="13"/>
      <c r="B186" s="13"/>
      <c r="C186" s="13"/>
      <c r="D186" s="13"/>
      <c r="E186" s="13"/>
      <c r="F186" s="13"/>
      <c r="G186" s="13"/>
      <c r="H186" s="13"/>
      <c r="I186" s="13"/>
      <c r="J186" s="13"/>
      <c r="K186" s="13"/>
      <c r="L186" s="13"/>
      <c r="M186" s="13"/>
      <c r="N186" s="13"/>
      <c r="O186" s="13"/>
      <c r="P186" s="13"/>
      <c r="Q186" s="13"/>
      <c r="R186" s="13"/>
      <c r="S186" s="13"/>
      <c r="T186" s="13"/>
    </row>
    <row r="187" spans="1:20" x14ac:dyDescent="0.35">
      <c r="A187" s="13"/>
      <c r="B187" s="13"/>
      <c r="C187" s="13"/>
      <c r="D187" s="13"/>
      <c r="E187" s="13"/>
      <c r="F187" s="13"/>
      <c r="G187" s="13"/>
      <c r="H187" s="13"/>
      <c r="I187" s="13"/>
      <c r="J187" s="13"/>
      <c r="K187" s="13"/>
      <c r="L187" s="13"/>
      <c r="M187" s="13"/>
      <c r="N187" s="13"/>
      <c r="O187" s="13"/>
      <c r="P187" s="13"/>
      <c r="Q187" s="13"/>
      <c r="R187" s="13"/>
      <c r="S187" s="13"/>
      <c r="T187" s="13"/>
    </row>
    <row r="188" spans="1:20" x14ac:dyDescent="0.35">
      <c r="A188" s="13"/>
      <c r="B188" s="13"/>
      <c r="C188" s="13"/>
      <c r="D188" s="13"/>
      <c r="E188" s="13"/>
      <c r="F188" s="13"/>
      <c r="G188" s="13"/>
      <c r="H188" s="13"/>
      <c r="I188" s="13"/>
      <c r="J188" s="13"/>
      <c r="K188" s="13"/>
      <c r="L188" s="13"/>
      <c r="M188" s="13"/>
      <c r="N188" s="13"/>
      <c r="O188" s="13"/>
      <c r="P188" s="13"/>
      <c r="Q188" s="13"/>
      <c r="R188" s="13"/>
      <c r="S188" s="13"/>
      <c r="T188" s="13"/>
    </row>
    <row r="189" spans="1:20" x14ac:dyDescent="0.35">
      <c r="A189" s="13"/>
      <c r="B189" s="13"/>
      <c r="C189" s="13"/>
      <c r="D189" s="13"/>
      <c r="E189" s="13"/>
      <c r="F189" s="13"/>
      <c r="G189" s="13"/>
      <c r="H189" s="13"/>
      <c r="I189" s="13"/>
      <c r="J189" s="13"/>
      <c r="K189" s="13"/>
      <c r="L189" s="13"/>
      <c r="M189" s="13"/>
      <c r="N189" s="13"/>
      <c r="O189" s="13"/>
      <c r="P189" s="13"/>
      <c r="Q189" s="13"/>
      <c r="R189" s="13"/>
      <c r="S189" s="13"/>
      <c r="T189" s="13"/>
    </row>
    <row r="190" spans="1:20" x14ac:dyDescent="0.35">
      <c r="A190" s="13"/>
      <c r="B190" s="13"/>
      <c r="C190" s="13"/>
      <c r="D190" s="13"/>
      <c r="E190" s="13"/>
      <c r="F190" s="13"/>
      <c r="G190" s="13"/>
      <c r="H190" s="13"/>
      <c r="I190" s="13"/>
      <c r="J190" s="13"/>
      <c r="K190" s="13"/>
      <c r="L190" s="13"/>
      <c r="M190" s="13"/>
      <c r="N190" s="13"/>
      <c r="O190" s="13"/>
      <c r="P190" s="13"/>
      <c r="Q190" s="13"/>
      <c r="R190" s="13"/>
      <c r="S190" s="13"/>
      <c r="T190" s="13"/>
    </row>
    <row r="191" spans="1:20" x14ac:dyDescent="0.35">
      <c r="A191" s="13"/>
      <c r="B191" s="13"/>
      <c r="C191" s="13"/>
      <c r="D191" s="13"/>
      <c r="E191" s="13"/>
      <c r="F191" s="13"/>
      <c r="G191" s="13"/>
      <c r="H191" s="13"/>
      <c r="I191" s="13"/>
      <c r="J191" s="13"/>
      <c r="K191" s="13"/>
      <c r="L191" s="13"/>
      <c r="M191" s="13"/>
      <c r="N191" s="13"/>
      <c r="O191" s="13"/>
      <c r="P191" s="13"/>
      <c r="Q191" s="13"/>
      <c r="R191" s="13"/>
      <c r="S191" s="13"/>
      <c r="T191" s="13"/>
    </row>
    <row r="192" spans="1:20" x14ac:dyDescent="0.35">
      <c r="A192" s="13"/>
      <c r="B192" s="13"/>
      <c r="C192" s="13"/>
      <c r="D192" s="13"/>
      <c r="E192" s="13"/>
      <c r="F192" s="13"/>
      <c r="G192" s="13"/>
      <c r="H192" s="13"/>
      <c r="I192" s="13"/>
      <c r="J192" s="13"/>
      <c r="K192" s="13"/>
      <c r="L192" s="13"/>
      <c r="M192" s="13"/>
      <c r="N192" s="13"/>
      <c r="O192" s="13"/>
      <c r="P192" s="13"/>
      <c r="Q192" s="13"/>
      <c r="R192" s="13"/>
      <c r="S192" s="13"/>
      <c r="T192" s="13"/>
    </row>
    <row r="193" spans="1:20" x14ac:dyDescent="0.35">
      <c r="A193" s="13"/>
      <c r="B193" s="13"/>
      <c r="C193" s="13"/>
      <c r="D193" s="13"/>
      <c r="E193" s="13"/>
      <c r="F193" s="13"/>
      <c r="G193" s="13"/>
      <c r="H193" s="13"/>
      <c r="I193" s="13"/>
      <c r="J193" s="13"/>
      <c r="K193" s="13"/>
      <c r="L193" s="13"/>
      <c r="M193" s="13"/>
      <c r="N193" s="13"/>
      <c r="O193" s="13"/>
      <c r="P193" s="13"/>
      <c r="Q193" s="13"/>
      <c r="R193" s="13"/>
      <c r="S193" s="13"/>
      <c r="T193" s="13"/>
    </row>
    <row r="194" spans="1:20" x14ac:dyDescent="0.35">
      <c r="A194" s="13"/>
      <c r="B194" s="13"/>
      <c r="C194" s="13"/>
      <c r="D194" s="13"/>
      <c r="E194" s="13"/>
      <c r="F194" s="13"/>
      <c r="G194" s="13"/>
      <c r="H194" s="13"/>
      <c r="I194" s="13"/>
      <c r="J194" s="13"/>
      <c r="K194" s="13"/>
      <c r="L194" s="13"/>
      <c r="M194" s="13"/>
      <c r="N194" s="13"/>
      <c r="O194" s="13"/>
      <c r="P194" s="13"/>
      <c r="Q194" s="13"/>
      <c r="R194" s="13"/>
      <c r="S194" s="13"/>
      <c r="T194" s="13"/>
    </row>
    <row r="195" spans="1:20" x14ac:dyDescent="0.35">
      <c r="A195" s="13"/>
      <c r="B195" s="13"/>
      <c r="C195" s="13"/>
      <c r="D195" s="13"/>
      <c r="E195" s="13"/>
      <c r="F195" s="13"/>
      <c r="G195" s="13"/>
      <c r="H195" s="13"/>
      <c r="I195" s="13"/>
      <c r="J195" s="13"/>
      <c r="K195" s="13"/>
      <c r="L195" s="13"/>
      <c r="M195" s="13"/>
      <c r="N195" s="13"/>
      <c r="O195" s="13"/>
      <c r="P195" s="13"/>
      <c r="Q195" s="13"/>
      <c r="R195" s="13"/>
      <c r="S195" s="13"/>
      <c r="T195"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56"/>
  <sheetViews>
    <sheetView workbookViewId="0">
      <selection activeCell="J26" sqref="J26:K26"/>
    </sheetView>
  </sheetViews>
  <sheetFormatPr defaultRowHeight="14.5" x14ac:dyDescent="0.35"/>
  <cols>
    <col min="2" max="2" width="10.54296875" customWidth="1"/>
    <col min="3" max="3" width="10.26953125" customWidth="1"/>
    <col min="13" max="13" width="11" customWidth="1"/>
  </cols>
  <sheetData>
    <row r="4" spans="2:37" ht="18.5" x14ac:dyDescent="0.45">
      <c r="B4" s="2"/>
      <c r="C4" s="1" t="s">
        <v>113</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13.23851</v>
      </c>
      <c r="G7" s="2">
        <v>16.159009999999999</v>
      </c>
      <c r="H7" s="2">
        <f>G7-F7</f>
        <v>2.9204999999999988</v>
      </c>
      <c r="I7" s="2">
        <f>F8-G7</f>
        <v>8.8384900000000002</v>
      </c>
      <c r="J7" s="2">
        <f>H7/N7</f>
        <v>0.24836316724480581</v>
      </c>
      <c r="K7" s="2">
        <f>I7/N7</f>
        <v>0.75163683275519422</v>
      </c>
      <c r="L7" s="2">
        <f>1/H7</f>
        <v>0.34240712206813917</v>
      </c>
      <c r="M7" s="2">
        <f>1/N7</f>
        <v>8.5041317324021884E-2</v>
      </c>
      <c r="N7" s="2">
        <f>H7+I7</f>
        <v>11.758989999999999</v>
      </c>
      <c r="O7" s="2">
        <v>10</v>
      </c>
      <c r="P7">
        <f>O7/H7</f>
        <v>3.4240712206813915</v>
      </c>
      <c r="R7" t="s">
        <v>316</v>
      </c>
      <c r="Y7" s="2">
        <v>5.2422599999999999</v>
      </c>
      <c r="Z7" s="2">
        <v>10.985620000000001</v>
      </c>
      <c r="AA7" s="2">
        <f>Z7-Y7</f>
        <v>5.7433600000000009</v>
      </c>
      <c r="AB7" s="2">
        <f>Y8-Z7</f>
        <v>8.9153899999999986</v>
      </c>
      <c r="AC7" s="2">
        <f>AA7/AG7</f>
        <v>0.39180421250106601</v>
      </c>
      <c r="AD7" s="2">
        <f>AB7/AG7</f>
        <v>0.60819578749893399</v>
      </c>
      <c r="AE7" s="2">
        <f>1/AA7</f>
        <v>0.17411410742143968</v>
      </c>
      <c r="AF7" s="2">
        <f>1/AG7</f>
        <v>6.8218640743583192E-2</v>
      </c>
      <c r="AG7" s="2">
        <f>AA7+AB7</f>
        <v>14.65875</v>
      </c>
      <c r="AH7" s="2">
        <v>41</v>
      </c>
      <c r="AI7">
        <f>AH7/AA7</f>
        <v>7.1386784042790268</v>
      </c>
      <c r="AK7" t="s">
        <v>314</v>
      </c>
    </row>
    <row r="8" spans="2:37" x14ac:dyDescent="0.35">
      <c r="B8" s="2"/>
      <c r="C8" s="2"/>
      <c r="D8" s="2"/>
      <c r="E8" s="2"/>
      <c r="F8" s="2">
        <v>24.997499999999999</v>
      </c>
      <c r="G8" s="2">
        <v>29.38176</v>
      </c>
      <c r="H8" s="2">
        <f>G8-F8</f>
        <v>4.3842600000000012</v>
      </c>
      <c r="I8" s="2">
        <f>F9-G8</f>
        <v>12.009210000000003</v>
      </c>
      <c r="J8" s="2">
        <f>H8/N8</f>
        <v>0.26743941337617966</v>
      </c>
      <c r="K8" s="2">
        <f>I8/N8</f>
        <v>0.73256058662382029</v>
      </c>
      <c r="L8" s="2">
        <f>1/H8</f>
        <v>0.22808866262493552</v>
      </c>
      <c r="M8" s="2">
        <f>1/N8</f>
        <v>6.0999898130170108E-2</v>
      </c>
      <c r="N8" s="2">
        <f>H8+I8</f>
        <v>16.393470000000004</v>
      </c>
      <c r="O8" s="2">
        <v>13</v>
      </c>
      <c r="P8">
        <f t="shared" ref="P8:P22" si="0">O8/H8</f>
        <v>2.9651526141241615</v>
      </c>
      <c r="Y8" s="2">
        <v>19.901009999999999</v>
      </c>
      <c r="Z8" s="2">
        <v>22.715060000000001</v>
      </c>
      <c r="AA8" s="2">
        <f t="shared" ref="AA8:AA14" si="1">Z8-Y8</f>
        <v>2.8140500000000017</v>
      </c>
      <c r="AB8" s="2">
        <f t="shared" ref="AB8:AB13" si="2">Y9-Z8</f>
        <v>5.3835799999999985</v>
      </c>
      <c r="AC8" s="2">
        <f t="shared" ref="AC8:AC13" si="3">AA8/AG8</f>
        <v>0.34327604441771603</v>
      </c>
      <c r="AD8" s="2">
        <f t="shared" ref="AD8:AD13" si="4">AB8/AG8</f>
        <v>0.65672395558228391</v>
      </c>
      <c r="AE8" s="2">
        <f t="shared" ref="AE8:AE13" si="5">1/AA8</f>
        <v>0.35535971286935181</v>
      </c>
      <c r="AF8" s="2">
        <f t="shared" ref="AF8:AF13" si="6">1/AG8</f>
        <v>0.12198647657920643</v>
      </c>
      <c r="AG8" s="2">
        <f t="shared" ref="AG8:AG13" si="7">AA8+AB8</f>
        <v>8.1976300000000002</v>
      </c>
      <c r="AH8" s="2">
        <v>22</v>
      </c>
      <c r="AI8">
        <f t="shared" ref="AI8:AI13" si="8">AH8/AA8</f>
        <v>7.817913683125739</v>
      </c>
    </row>
    <row r="9" spans="2:37" x14ac:dyDescent="0.35">
      <c r="B9" s="2"/>
      <c r="C9" s="2"/>
      <c r="D9" s="2"/>
      <c r="E9" s="2"/>
      <c r="F9" s="2">
        <v>41.390970000000003</v>
      </c>
      <c r="G9" s="2">
        <v>44.822099999999999</v>
      </c>
      <c r="H9" s="2">
        <f t="shared" ref="H9:H23" si="9">G9-F9</f>
        <v>3.431129999999996</v>
      </c>
      <c r="I9" s="2">
        <f t="shared" ref="I9:I22" si="10">F10-G9</f>
        <v>7.3327500000000043</v>
      </c>
      <c r="J9" s="2">
        <f t="shared" ref="J9:J22" si="11">H9/N9</f>
        <v>0.31876330839808653</v>
      </c>
      <c r="K9" s="2">
        <f t="shared" ref="K9:K22" si="12">I9/N9</f>
        <v>0.68123669160191347</v>
      </c>
      <c r="L9" s="2">
        <f t="shared" ref="L9:L22" si="13">1/H9</f>
        <v>0.29144917272152354</v>
      </c>
      <c r="M9" s="2">
        <f t="shared" ref="M9:M22" si="14">1/N9</f>
        <v>9.2903302526598217E-2</v>
      </c>
      <c r="N9" s="2">
        <f t="shared" ref="N9:N22" si="15">H9+I9</f>
        <v>10.76388</v>
      </c>
      <c r="O9" s="2">
        <v>12</v>
      </c>
      <c r="P9">
        <f t="shared" si="0"/>
        <v>3.4973900726582827</v>
      </c>
      <c r="Y9" s="2">
        <v>28.09864</v>
      </c>
      <c r="Z9" s="2">
        <v>32.011670000000002</v>
      </c>
      <c r="AA9" s="2">
        <f t="shared" si="1"/>
        <v>3.9130300000000027</v>
      </c>
      <c r="AB9" s="2">
        <f t="shared" si="2"/>
        <v>8.1419999999999959</v>
      </c>
      <c r="AC9" s="2">
        <f t="shared" si="3"/>
        <v>0.32459728428714013</v>
      </c>
      <c r="AD9" s="2">
        <f t="shared" si="4"/>
        <v>0.67540271571285981</v>
      </c>
      <c r="AE9" s="2">
        <f t="shared" si="5"/>
        <v>0.25555643580550091</v>
      </c>
      <c r="AF9" s="2">
        <f t="shared" si="6"/>
        <v>8.2952925044566472E-2</v>
      </c>
      <c r="AG9" s="2">
        <f t="shared" si="7"/>
        <v>12.055029999999999</v>
      </c>
      <c r="AH9" s="2">
        <v>28</v>
      </c>
      <c r="AI9">
        <f t="shared" si="8"/>
        <v>7.1555802025540265</v>
      </c>
    </row>
    <row r="10" spans="2:37" x14ac:dyDescent="0.35">
      <c r="B10" s="2"/>
      <c r="C10" s="2"/>
      <c r="D10" s="2"/>
      <c r="E10" s="2"/>
      <c r="F10" s="13">
        <v>52.154850000000003</v>
      </c>
      <c r="G10" s="13">
        <v>55.338900000000002</v>
      </c>
      <c r="H10" s="2">
        <f t="shared" si="9"/>
        <v>3.1840499999999992</v>
      </c>
      <c r="I10" s="2">
        <f t="shared" si="10"/>
        <v>12.215049999999998</v>
      </c>
      <c r="J10" s="2">
        <f t="shared" si="11"/>
        <v>0.20676857738439258</v>
      </c>
      <c r="K10" s="2">
        <f t="shared" si="12"/>
        <v>0.79323142261560742</v>
      </c>
      <c r="L10" s="2">
        <f t="shared" si="13"/>
        <v>0.31406541982695002</v>
      </c>
      <c r="M10" s="2">
        <f t="shared" si="14"/>
        <v>6.4938860063250461E-2</v>
      </c>
      <c r="N10" s="2">
        <f t="shared" si="15"/>
        <v>15.399099999999997</v>
      </c>
      <c r="O10" s="13">
        <v>10</v>
      </c>
      <c r="P10">
        <f t="shared" si="0"/>
        <v>3.1406541982695004</v>
      </c>
      <c r="Y10" s="13">
        <v>40.153669999999998</v>
      </c>
      <c r="Z10" s="13">
        <v>44.943170000000002</v>
      </c>
      <c r="AA10" s="2">
        <f t="shared" si="1"/>
        <v>4.7895000000000039</v>
      </c>
      <c r="AB10" s="2">
        <f t="shared" si="2"/>
        <v>9.0475299999999947</v>
      </c>
      <c r="AC10" s="2">
        <f t="shared" si="3"/>
        <v>0.3461364180029966</v>
      </c>
      <c r="AD10" s="2">
        <f t="shared" si="4"/>
        <v>0.65386358199700334</v>
      </c>
      <c r="AE10" s="2">
        <f t="shared" si="5"/>
        <v>0.20879006159306801</v>
      </c>
      <c r="AF10" s="2">
        <f t="shared" si="6"/>
        <v>7.2269844034449596E-2</v>
      </c>
      <c r="AG10" s="2">
        <f t="shared" si="7"/>
        <v>13.837029999999999</v>
      </c>
      <c r="AH10" s="13">
        <v>27</v>
      </c>
      <c r="AI10">
        <f t="shared" si="8"/>
        <v>5.6373316630128363</v>
      </c>
    </row>
    <row r="11" spans="2:37" x14ac:dyDescent="0.35">
      <c r="B11" s="2"/>
      <c r="C11" s="2"/>
      <c r="D11" s="2"/>
      <c r="E11" s="2"/>
      <c r="F11" s="13">
        <v>67.55395</v>
      </c>
      <c r="G11" s="13">
        <v>70.978729999999999</v>
      </c>
      <c r="H11" s="2">
        <f t="shared" si="9"/>
        <v>3.4247799999999984</v>
      </c>
      <c r="I11" s="2">
        <f t="shared" si="10"/>
        <v>7.4486600000000038</v>
      </c>
      <c r="J11" s="2">
        <f t="shared" si="11"/>
        <v>0.31496748039258943</v>
      </c>
      <c r="K11" s="2">
        <f t="shared" si="12"/>
        <v>0.68503251960741052</v>
      </c>
      <c r="L11" s="2">
        <f t="shared" si="13"/>
        <v>0.29198955845338986</v>
      </c>
      <c r="M11" s="2">
        <f t="shared" si="14"/>
        <v>9.1967215527008914E-2</v>
      </c>
      <c r="N11" s="2">
        <f t="shared" si="15"/>
        <v>10.873440000000002</v>
      </c>
      <c r="O11" s="13">
        <v>11</v>
      </c>
      <c r="P11">
        <f t="shared" si="0"/>
        <v>3.2118851429872883</v>
      </c>
      <c r="Y11" s="13">
        <v>53.990699999999997</v>
      </c>
      <c r="Z11" s="13">
        <v>56.924909999999997</v>
      </c>
      <c r="AA11" s="2">
        <f t="shared" si="1"/>
        <v>2.9342100000000002</v>
      </c>
      <c r="AB11" s="2">
        <f t="shared" si="2"/>
        <v>10.830870000000004</v>
      </c>
      <c r="AC11" s="2">
        <f t="shared" si="3"/>
        <v>0.21316330889468127</v>
      </c>
      <c r="AD11" s="2">
        <f t="shared" si="4"/>
        <v>0.78683669110531873</v>
      </c>
      <c r="AE11" s="2">
        <f t="shared" si="5"/>
        <v>0.34080723601923513</v>
      </c>
      <c r="AF11" s="2">
        <f t="shared" si="6"/>
        <v>7.2647598125110763E-2</v>
      </c>
      <c r="AG11" s="2">
        <f t="shared" si="7"/>
        <v>13.765080000000005</v>
      </c>
      <c r="AH11" s="13">
        <v>18</v>
      </c>
      <c r="AI11">
        <f t="shared" si="8"/>
        <v>6.1345302483462323</v>
      </c>
    </row>
    <row r="12" spans="2:37" x14ac:dyDescent="0.35">
      <c r="B12" s="2"/>
      <c r="C12" s="2"/>
      <c r="D12" s="2"/>
      <c r="E12" s="2"/>
      <c r="F12" s="13">
        <v>78.427390000000003</v>
      </c>
      <c r="G12" s="13">
        <v>82.272099999999995</v>
      </c>
      <c r="H12" s="2">
        <f t="shared" si="9"/>
        <v>3.8447099999999921</v>
      </c>
      <c r="I12" s="2">
        <f t="shared" si="10"/>
        <v>12.821280000000002</v>
      </c>
      <c r="J12" s="2">
        <f t="shared" si="11"/>
        <v>0.23069196609382303</v>
      </c>
      <c r="K12" s="2">
        <f t="shared" si="12"/>
        <v>0.76930803390617697</v>
      </c>
      <c r="L12" s="2">
        <f t="shared" si="13"/>
        <v>0.26009764065430219</v>
      </c>
      <c r="M12" s="2">
        <f t="shared" si="14"/>
        <v>6.000243609890564E-2</v>
      </c>
      <c r="N12" s="2">
        <f t="shared" si="15"/>
        <v>16.665989999999994</v>
      </c>
      <c r="O12" s="13">
        <v>11</v>
      </c>
      <c r="P12">
        <f t="shared" si="0"/>
        <v>2.8610740471973237</v>
      </c>
      <c r="Y12" s="13">
        <v>67.755780000000001</v>
      </c>
      <c r="Z12" s="13">
        <v>70.613140000000001</v>
      </c>
      <c r="AA12" s="2">
        <f t="shared" si="1"/>
        <v>2.8573599999999999</v>
      </c>
      <c r="AB12" s="2">
        <f t="shared" si="2"/>
        <v>15.68571</v>
      </c>
      <c r="AC12" s="2">
        <f t="shared" si="3"/>
        <v>0.1540931463883812</v>
      </c>
      <c r="AD12" s="2">
        <f t="shared" si="4"/>
        <v>0.84590685361161877</v>
      </c>
      <c r="AE12" s="2">
        <f t="shared" si="5"/>
        <v>0.34997340202144639</v>
      </c>
      <c r="AF12" s="2">
        <f t="shared" si="6"/>
        <v>5.3928502669730524E-2</v>
      </c>
      <c r="AG12" s="2">
        <f t="shared" si="7"/>
        <v>18.54307</v>
      </c>
      <c r="AH12" s="13">
        <v>19</v>
      </c>
      <c r="AI12">
        <f t="shared" si="8"/>
        <v>6.6494946384074813</v>
      </c>
    </row>
    <row r="13" spans="2:37" x14ac:dyDescent="0.35">
      <c r="B13" s="2"/>
      <c r="C13" s="2"/>
      <c r="D13" s="2"/>
      <c r="E13" s="2"/>
      <c r="F13" s="13">
        <v>95.093379999999996</v>
      </c>
      <c r="G13" s="13">
        <v>98.786469999999994</v>
      </c>
      <c r="H13" s="2">
        <f t="shared" si="9"/>
        <v>3.693089999999998</v>
      </c>
      <c r="I13" s="2">
        <f t="shared" si="10"/>
        <v>6.7414400000000114</v>
      </c>
      <c r="J13" s="2">
        <f t="shared" si="11"/>
        <v>0.35392969304798538</v>
      </c>
      <c r="K13" s="2">
        <f t="shared" si="12"/>
        <v>0.64607030695201462</v>
      </c>
      <c r="L13" s="2">
        <f t="shared" si="13"/>
        <v>0.27077596267624143</v>
      </c>
      <c r="M13" s="2">
        <f t="shared" si="14"/>
        <v>9.5835653354774883E-2</v>
      </c>
      <c r="N13" s="2">
        <f t="shared" si="15"/>
        <v>10.434530000000009</v>
      </c>
      <c r="O13" s="13">
        <v>12</v>
      </c>
      <c r="P13">
        <f t="shared" si="0"/>
        <v>3.2493115521148974</v>
      </c>
      <c r="Y13" s="13">
        <v>86.298850000000002</v>
      </c>
      <c r="Z13" s="13">
        <v>89.057599999999994</v>
      </c>
      <c r="AA13" s="2">
        <f t="shared" si="1"/>
        <v>2.758749999999992</v>
      </c>
      <c r="AB13" s="2">
        <f t="shared" si="2"/>
        <v>8.9207099999999997</v>
      </c>
      <c r="AC13" s="2">
        <f t="shared" si="3"/>
        <v>0.2362052697641838</v>
      </c>
      <c r="AD13" s="2">
        <f t="shared" si="4"/>
        <v>0.76379473023581623</v>
      </c>
      <c r="AE13" s="2">
        <f t="shared" si="5"/>
        <v>0.36248300860897248</v>
      </c>
      <c r="AF13" s="2">
        <f t="shared" si="6"/>
        <v>8.562039683341531E-2</v>
      </c>
      <c r="AG13" s="2">
        <f t="shared" si="7"/>
        <v>11.679459999999992</v>
      </c>
      <c r="AH13" s="13">
        <v>12</v>
      </c>
      <c r="AI13">
        <f t="shared" si="8"/>
        <v>4.3497961033076704</v>
      </c>
    </row>
    <row r="14" spans="2:37" x14ac:dyDescent="0.35">
      <c r="B14" s="2"/>
      <c r="C14" s="2"/>
      <c r="D14" s="2"/>
      <c r="E14" s="2"/>
      <c r="F14" s="13">
        <v>105.52791000000001</v>
      </c>
      <c r="G14" s="13">
        <v>107.67753999999999</v>
      </c>
      <c r="H14" s="2">
        <f t="shared" si="9"/>
        <v>2.1496299999999877</v>
      </c>
      <c r="I14" s="2">
        <f t="shared" si="10"/>
        <v>8.2713999999999999</v>
      </c>
      <c r="J14" s="2">
        <f t="shared" si="11"/>
        <v>0.20627807424026132</v>
      </c>
      <c r="K14" s="2">
        <f t="shared" si="12"/>
        <v>0.79372192575973866</v>
      </c>
      <c r="L14" s="2">
        <f t="shared" si="13"/>
        <v>0.4651963361136594</v>
      </c>
      <c r="M14" s="2">
        <f t="shared" si="14"/>
        <v>9.5959804357150985E-2</v>
      </c>
      <c r="N14" s="2">
        <f t="shared" si="15"/>
        <v>10.421029999999988</v>
      </c>
      <c r="O14" s="13">
        <v>6</v>
      </c>
      <c r="P14">
        <f t="shared" si="0"/>
        <v>2.7911780166819566</v>
      </c>
      <c r="Y14" s="13">
        <v>97.978309999999993</v>
      </c>
      <c r="Z14" s="13">
        <v>100.78858</v>
      </c>
      <c r="AA14" s="2">
        <f t="shared" si="1"/>
        <v>2.8102700000000027</v>
      </c>
      <c r="AB14" s="2"/>
      <c r="AC14" s="2"/>
      <c r="AD14" s="2"/>
      <c r="AE14" s="2"/>
      <c r="AF14" s="2"/>
      <c r="AG14" s="2"/>
      <c r="AH14" s="13"/>
    </row>
    <row r="15" spans="2:37" x14ac:dyDescent="0.35">
      <c r="B15" s="2"/>
      <c r="C15" s="2"/>
      <c r="D15" s="2"/>
      <c r="E15" s="2"/>
      <c r="F15" s="13">
        <v>115.94893999999999</v>
      </c>
      <c r="G15" s="13">
        <v>119.51307</v>
      </c>
      <c r="H15" s="2">
        <f t="shared" si="9"/>
        <v>3.5641300000000058</v>
      </c>
      <c r="I15" s="2">
        <f t="shared" si="10"/>
        <v>12.187330000000003</v>
      </c>
      <c r="J15" s="2">
        <f t="shared" si="11"/>
        <v>0.22627299310667098</v>
      </c>
      <c r="K15" s="2">
        <f t="shared" si="12"/>
        <v>0.77372700689332896</v>
      </c>
      <c r="L15" s="2">
        <f t="shared" si="13"/>
        <v>0.28057337975887481</v>
      </c>
      <c r="M15" s="2">
        <f t="shared" si="14"/>
        <v>6.3486178424095249E-2</v>
      </c>
      <c r="N15" s="2">
        <f t="shared" si="15"/>
        <v>15.751460000000009</v>
      </c>
      <c r="O15" s="2">
        <v>9</v>
      </c>
      <c r="P15">
        <f t="shared" si="0"/>
        <v>2.525160417829873</v>
      </c>
      <c r="Y15" s="13"/>
      <c r="Z15" s="13"/>
      <c r="AA15" s="2"/>
      <c r="AB15" s="2"/>
      <c r="AC15" s="2"/>
      <c r="AD15" s="2"/>
      <c r="AE15" s="2"/>
      <c r="AF15" s="2"/>
      <c r="AG15" s="2"/>
      <c r="AH15" s="2"/>
    </row>
    <row r="16" spans="2:37" x14ac:dyDescent="0.35">
      <c r="B16" s="2"/>
      <c r="C16" s="2"/>
      <c r="D16" s="2"/>
      <c r="E16" s="2"/>
      <c r="F16" s="13">
        <v>131.7004</v>
      </c>
      <c r="G16" s="13">
        <v>135.86117999999999</v>
      </c>
      <c r="H16" s="2">
        <f t="shared" si="9"/>
        <v>4.1607799999999884</v>
      </c>
      <c r="I16" s="2">
        <f t="shared" si="10"/>
        <v>8.8667499999999961</v>
      </c>
      <c r="J16" s="2">
        <f t="shared" si="11"/>
        <v>0.31938364371450256</v>
      </c>
      <c r="K16" s="2">
        <f t="shared" si="12"/>
        <v>0.68061635628549744</v>
      </c>
      <c r="L16" s="2">
        <f t="shared" si="13"/>
        <v>0.2403395517186688</v>
      </c>
      <c r="M16" s="2">
        <f t="shared" si="14"/>
        <v>7.6760521756618572E-2</v>
      </c>
      <c r="N16" s="2">
        <f t="shared" si="15"/>
        <v>13.027529999999985</v>
      </c>
      <c r="O16" s="2">
        <v>12</v>
      </c>
      <c r="P16">
        <f t="shared" si="0"/>
        <v>2.8840746206240255</v>
      </c>
      <c r="R16" t="s">
        <v>314</v>
      </c>
      <c r="Y16" s="13"/>
      <c r="Z16" s="13"/>
      <c r="AA16" s="2"/>
      <c r="AB16" s="2"/>
      <c r="AC16" s="2"/>
      <c r="AD16" s="2"/>
      <c r="AE16" s="2"/>
      <c r="AF16" s="2"/>
      <c r="AG16" s="2"/>
      <c r="AH16" s="2"/>
    </row>
    <row r="17" spans="2:35" x14ac:dyDescent="0.35">
      <c r="B17" s="2"/>
      <c r="C17" s="2"/>
      <c r="D17" s="2"/>
      <c r="E17" s="2"/>
      <c r="F17" s="13">
        <v>144.72792999999999</v>
      </c>
      <c r="G17" s="13">
        <v>146.91403</v>
      </c>
      <c r="H17" s="2">
        <f t="shared" si="9"/>
        <v>2.1861000000000104</v>
      </c>
      <c r="I17" s="2">
        <f t="shared" si="10"/>
        <v>8.5544199999999933</v>
      </c>
      <c r="J17" s="2">
        <f t="shared" si="11"/>
        <v>0.20353763132511365</v>
      </c>
      <c r="K17" s="2">
        <f t="shared" si="12"/>
        <v>0.7964623686748864</v>
      </c>
      <c r="L17" s="2">
        <f t="shared" si="13"/>
        <v>0.45743561593705467</v>
      </c>
      <c r="M17" s="2">
        <f t="shared" si="14"/>
        <v>9.3105361751572524E-2</v>
      </c>
      <c r="N17" s="2">
        <f t="shared" si="15"/>
        <v>10.740520000000004</v>
      </c>
      <c r="O17" s="2">
        <v>8</v>
      </c>
      <c r="P17">
        <f t="shared" si="0"/>
        <v>3.6594849274964374</v>
      </c>
      <c r="Y17" s="13"/>
      <c r="Z17" s="13"/>
      <c r="AA17" s="2"/>
      <c r="AB17" s="2"/>
      <c r="AC17" s="2"/>
      <c r="AD17" s="2"/>
      <c r="AE17" s="2"/>
      <c r="AF17" s="2"/>
      <c r="AG17" s="2"/>
      <c r="AH17" s="2"/>
    </row>
    <row r="18" spans="2:35" x14ac:dyDescent="0.35">
      <c r="B18" s="2"/>
      <c r="C18" s="2"/>
      <c r="D18" s="2"/>
      <c r="E18" s="2"/>
      <c r="F18" s="13">
        <v>155.46844999999999</v>
      </c>
      <c r="G18" s="13">
        <v>157.98905999999999</v>
      </c>
      <c r="H18" s="2">
        <f t="shared" si="9"/>
        <v>2.5206100000000049</v>
      </c>
      <c r="I18" s="2">
        <f t="shared" si="10"/>
        <v>8.7661999999999978</v>
      </c>
      <c r="J18" s="2">
        <f t="shared" si="11"/>
        <v>0.2233235077050118</v>
      </c>
      <c r="K18" s="2">
        <f t="shared" si="12"/>
        <v>0.77667649229498814</v>
      </c>
      <c r="L18" s="2">
        <f t="shared" si="13"/>
        <v>0.39672936313035262</v>
      </c>
      <c r="M18" s="2">
        <f t="shared" si="14"/>
        <v>8.8598992983845729E-2</v>
      </c>
      <c r="N18" s="2">
        <f t="shared" si="15"/>
        <v>11.286810000000003</v>
      </c>
      <c r="O18" s="2">
        <v>8</v>
      </c>
      <c r="P18">
        <f t="shared" si="0"/>
        <v>3.173834905042821</v>
      </c>
      <c r="Y18" s="13"/>
      <c r="Z18" s="13"/>
      <c r="AA18" s="2"/>
      <c r="AB18" s="2"/>
      <c r="AC18" s="2"/>
      <c r="AD18" s="2"/>
      <c r="AE18" s="2"/>
      <c r="AF18" s="2"/>
      <c r="AG18" s="2"/>
      <c r="AH18" s="2"/>
    </row>
    <row r="19" spans="2:35" x14ac:dyDescent="0.35">
      <c r="B19" s="2"/>
      <c r="C19" s="2"/>
      <c r="D19" s="2"/>
      <c r="E19" s="2"/>
      <c r="F19" s="13">
        <v>166.75525999999999</v>
      </c>
      <c r="G19" s="13">
        <v>169.23054999999999</v>
      </c>
      <c r="H19" s="2">
        <f t="shared" si="9"/>
        <v>2.4752900000000011</v>
      </c>
      <c r="I19" s="2">
        <f t="shared" si="10"/>
        <v>10.254890000000017</v>
      </c>
      <c r="J19" s="2">
        <f t="shared" si="11"/>
        <v>0.19444265517062584</v>
      </c>
      <c r="K19" s="2">
        <f t="shared" si="12"/>
        <v>0.80555734482937413</v>
      </c>
      <c r="L19" s="2">
        <f t="shared" si="13"/>
        <v>0.40399306747896185</v>
      </c>
      <c r="M19" s="2">
        <f t="shared" si="14"/>
        <v>7.8553484711135158E-2</v>
      </c>
      <c r="N19" s="2">
        <f t="shared" si="15"/>
        <v>12.730180000000018</v>
      </c>
      <c r="O19" s="2">
        <v>9</v>
      </c>
      <c r="P19">
        <f t="shared" si="0"/>
        <v>3.6359376073106571</v>
      </c>
      <c r="Y19" s="13"/>
      <c r="Z19" s="13"/>
      <c r="AA19" s="2"/>
      <c r="AB19" s="2"/>
      <c r="AC19" s="2"/>
      <c r="AD19" s="2"/>
      <c r="AE19" s="2"/>
      <c r="AF19" s="2"/>
      <c r="AG19" s="2"/>
      <c r="AH19" s="2"/>
    </row>
    <row r="20" spans="2:35" x14ac:dyDescent="0.35">
      <c r="B20" s="2"/>
      <c r="C20" s="2"/>
      <c r="D20" s="2"/>
      <c r="E20" s="2"/>
      <c r="F20" s="13">
        <v>179.48544000000001</v>
      </c>
      <c r="G20" s="13">
        <v>181.90186</v>
      </c>
      <c r="H20" s="2">
        <f t="shared" si="9"/>
        <v>2.416419999999988</v>
      </c>
      <c r="I20" s="2">
        <f t="shared" si="10"/>
        <v>14.193270000000012</v>
      </c>
      <c r="J20" s="2">
        <f t="shared" si="11"/>
        <v>0.14548254663392202</v>
      </c>
      <c r="K20" s="2">
        <f t="shared" si="12"/>
        <v>0.85451745336607798</v>
      </c>
      <c r="L20" s="2">
        <f t="shared" si="13"/>
        <v>0.41383534319365217</v>
      </c>
      <c r="M20" s="2">
        <f t="shared" si="14"/>
        <v>6.0205819614935617E-2</v>
      </c>
      <c r="N20" s="2">
        <f t="shared" si="15"/>
        <v>16.609690000000001</v>
      </c>
      <c r="O20" s="2">
        <v>9</v>
      </c>
      <c r="P20">
        <f t="shared" si="0"/>
        <v>3.7245180887428693</v>
      </c>
      <c r="Y20" s="13"/>
      <c r="Z20" s="13"/>
      <c r="AA20" s="2"/>
      <c r="AB20" s="2"/>
      <c r="AC20" s="2"/>
      <c r="AD20" s="2"/>
      <c r="AE20" s="2"/>
      <c r="AF20" s="2"/>
      <c r="AG20" s="2"/>
      <c r="AH20" s="2"/>
    </row>
    <row r="21" spans="2:35" x14ac:dyDescent="0.35">
      <c r="B21" s="2"/>
      <c r="C21" s="2"/>
      <c r="D21" s="2"/>
      <c r="E21" s="2"/>
      <c r="F21" s="13">
        <v>196.09513000000001</v>
      </c>
      <c r="G21" s="13">
        <v>198.79052999999999</v>
      </c>
      <c r="H21" s="2">
        <f t="shared" si="9"/>
        <v>2.695399999999978</v>
      </c>
      <c r="I21" s="2">
        <f t="shared" si="10"/>
        <v>11.422590000000014</v>
      </c>
      <c r="J21" s="2">
        <f t="shared" si="11"/>
        <v>0.1909195289131087</v>
      </c>
      <c r="K21" s="2">
        <f t="shared" si="12"/>
        <v>0.8090804710868913</v>
      </c>
      <c r="L21" s="2">
        <f t="shared" si="13"/>
        <v>0.37100244861616388</v>
      </c>
      <c r="M21" s="2">
        <f t="shared" si="14"/>
        <v>7.0831612715407832E-2</v>
      </c>
      <c r="N21" s="2">
        <f t="shared" si="15"/>
        <v>14.117989999999992</v>
      </c>
      <c r="O21" s="2">
        <v>10</v>
      </c>
      <c r="P21">
        <f t="shared" si="0"/>
        <v>3.7100244861616387</v>
      </c>
      <c r="Y21" s="13"/>
      <c r="Z21" s="13"/>
      <c r="AA21" s="2"/>
      <c r="AB21" s="2"/>
      <c r="AC21" s="2"/>
      <c r="AD21" s="2"/>
      <c r="AE21" s="2"/>
      <c r="AF21" s="2"/>
      <c r="AG21" s="2"/>
      <c r="AH21" s="2"/>
    </row>
    <row r="22" spans="2:35" x14ac:dyDescent="0.35">
      <c r="B22" s="2"/>
      <c r="C22" s="2"/>
      <c r="D22" s="2"/>
      <c r="E22" s="2"/>
      <c r="F22" s="13">
        <v>210.21312</v>
      </c>
      <c r="G22" s="13">
        <v>213.35154</v>
      </c>
      <c r="H22" s="2">
        <f t="shared" si="9"/>
        <v>3.1384199999999964</v>
      </c>
      <c r="I22" s="2">
        <f t="shared" si="10"/>
        <v>14.215820000000008</v>
      </c>
      <c r="J22" s="2">
        <f t="shared" si="11"/>
        <v>0.18084456593892881</v>
      </c>
      <c r="K22" s="2">
        <f t="shared" si="12"/>
        <v>0.81915543406107116</v>
      </c>
      <c r="L22" s="2">
        <f t="shared" si="13"/>
        <v>0.31863166816423588</v>
      </c>
      <c r="M22" s="2">
        <f t="shared" si="14"/>
        <v>5.7622805723558032E-2</v>
      </c>
      <c r="N22" s="2">
        <f t="shared" si="15"/>
        <v>17.354240000000004</v>
      </c>
      <c r="O22" s="2">
        <v>11</v>
      </c>
      <c r="P22">
        <f t="shared" si="0"/>
        <v>3.5049483498065945</v>
      </c>
      <c r="Y22" s="13"/>
      <c r="Z22" s="13"/>
      <c r="AA22" s="2"/>
      <c r="AB22" s="2"/>
      <c r="AC22" s="2"/>
      <c r="AD22" s="2"/>
      <c r="AE22" s="2"/>
      <c r="AF22" s="2"/>
      <c r="AG22" s="2"/>
      <c r="AH22" s="2"/>
    </row>
    <row r="23" spans="2:35" x14ac:dyDescent="0.35">
      <c r="B23" s="2"/>
      <c r="C23" s="2"/>
      <c r="D23" s="2"/>
      <c r="E23" s="2"/>
      <c r="F23" s="13">
        <v>227.56736000000001</v>
      </c>
      <c r="G23" s="13">
        <v>232.19721999999999</v>
      </c>
      <c r="H23" s="2">
        <f t="shared" si="9"/>
        <v>4.6298599999999794</v>
      </c>
      <c r="I23" s="2"/>
      <c r="J23" s="2"/>
      <c r="K23" s="2"/>
      <c r="L23" s="2"/>
      <c r="M23" s="2"/>
      <c r="N23" s="2"/>
      <c r="O23" s="2"/>
      <c r="Y23" s="13"/>
      <c r="Z23" s="13"/>
      <c r="AA23" s="2"/>
      <c r="AB23" s="2"/>
      <c r="AC23" s="2"/>
      <c r="AD23" s="2"/>
      <c r="AE23" s="2"/>
      <c r="AF23" s="2"/>
      <c r="AG23" s="2"/>
      <c r="AH23" s="2"/>
    </row>
    <row r="24" spans="2:35" x14ac:dyDescent="0.35">
      <c r="B24" s="2"/>
      <c r="C24" s="2"/>
      <c r="D24" s="2"/>
      <c r="E24" s="2"/>
      <c r="F24" s="13"/>
      <c r="G24" s="13"/>
      <c r="H24" s="2"/>
      <c r="I24" s="2"/>
      <c r="J24" s="2"/>
      <c r="K24" s="2"/>
      <c r="L24" s="2"/>
      <c r="M24" s="2"/>
      <c r="N24" s="2"/>
      <c r="O24" s="2"/>
      <c r="Y24" s="13"/>
      <c r="Z24" s="13"/>
      <c r="AA24" s="2"/>
      <c r="AB24" s="2"/>
      <c r="AC24" s="2"/>
      <c r="AD24" s="2"/>
      <c r="AE24" s="2"/>
      <c r="AF24" s="2"/>
      <c r="AG24" s="2"/>
      <c r="AH24" s="2"/>
    </row>
    <row r="25" spans="2:35" ht="16" thickBot="1" x14ac:dyDescent="0.4">
      <c r="B25" s="2"/>
      <c r="C25" s="2"/>
      <c r="D25" s="2"/>
      <c r="E25" s="2"/>
      <c r="F25" s="13"/>
      <c r="G25" s="13"/>
      <c r="H25" s="9" t="s">
        <v>3</v>
      </c>
      <c r="I25" s="9" t="s">
        <v>4</v>
      </c>
      <c r="J25" s="9" t="s">
        <v>5</v>
      </c>
      <c r="K25" s="9" t="s">
        <v>6</v>
      </c>
      <c r="L25" s="9" t="s">
        <v>7</v>
      </c>
      <c r="M25" s="9" t="s">
        <v>8</v>
      </c>
      <c r="N25" s="9" t="s">
        <v>9</v>
      </c>
      <c r="O25" s="9" t="s">
        <v>10</v>
      </c>
      <c r="P25" s="44" t="s">
        <v>139</v>
      </c>
      <c r="Y25" s="13"/>
      <c r="Z25" s="13"/>
      <c r="AA25" s="9" t="s">
        <v>3</v>
      </c>
      <c r="AB25" s="9" t="s">
        <v>4</v>
      </c>
      <c r="AC25" s="9" t="s">
        <v>5</v>
      </c>
      <c r="AD25" s="9" t="s">
        <v>6</v>
      </c>
      <c r="AE25" s="9" t="s">
        <v>7</v>
      </c>
      <c r="AF25" s="9" t="s">
        <v>8</v>
      </c>
      <c r="AG25" s="9" t="s">
        <v>9</v>
      </c>
      <c r="AH25" s="9" t="s">
        <v>10</v>
      </c>
      <c r="AI25" s="44" t="s">
        <v>139</v>
      </c>
    </row>
    <row r="26" spans="2:35" x14ac:dyDescent="0.35">
      <c r="B26" s="2"/>
      <c r="C26" s="2"/>
      <c r="D26" s="2"/>
      <c r="E26" s="2"/>
      <c r="F26" s="13"/>
      <c r="G26" s="49" t="s">
        <v>77</v>
      </c>
      <c r="H26" s="13">
        <f t="shared" ref="H26:P26" si="16">AVERAGE(H7:H15)</f>
        <v>3.3995866666666643</v>
      </c>
      <c r="I26" s="13">
        <f t="shared" si="16"/>
        <v>9.7628455555555593</v>
      </c>
      <c r="J26" s="13">
        <f t="shared" si="16"/>
        <v>0.26371940814275496</v>
      </c>
      <c r="K26" s="13">
        <f t="shared" si="16"/>
        <v>0.73628059185724504</v>
      </c>
      <c r="L26" s="13">
        <f t="shared" si="16"/>
        <v>0.30496036165533513</v>
      </c>
      <c r="M26" s="13">
        <f t="shared" si="16"/>
        <v>7.9014962867330701E-2</v>
      </c>
      <c r="N26" s="13">
        <f t="shared" si="16"/>
        <v>13.162432222222224</v>
      </c>
      <c r="O26" s="13">
        <f t="shared" si="16"/>
        <v>10.444444444444445</v>
      </c>
      <c r="P26" s="13">
        <f t="shared" si="16"/>
        <v>3.0739863647271863</v>
      </c>
      <c r="Y26" s="13"/>
      <c r="Z26" s="49" t="s">
        <v>77</v>
      </c>
      <c r="AA26" s="13">
        <f>AVERAGE(AA7:AA13)</f>
        <v>3.6871800000000001</v>
      </c>
      <c r="AB26" s="13">
        <f t="shared" ref="AB26:AI26" si="17">AVERAGE(AB7:AB13)</f>
        <v>9.560827142857141</v>
      </c>
      <c r="AC26" s="13">
        <f t="shared" si="17"/>
        <v>0.28703938346516639</v>
      </c>
      <c r="AD26" s="13">
        <f t="shared" si="17"/>
        <v>0.71296061653483356</v>
      </c>
      <c r="AE26" s="13">
        <f t="shared" si="17"/>
        <v>0.29244056633414495</v>
      </c>
      <c r="AF26" s="13">
        <f t="shared" si="17"/>
        <v>7.9660626290008904E-2</v>
      </c>
      <c r="AG26" s="13">
        <f t="shared" si="17"/>
        <v>13.248007142857142</v>
      </c>
      <c r="AH26" s="13">
        <f t="shared" si="17"/>
        <v>23.857142857142858</v>
      </c>
      <c r="AI26" s="13">
        <f t="shared" si="17"/>
        <v>6.41190356329043</v>
      </c>
    </row>
    <row r="27" spans="2:35" x14ac:dyDescent="0.35">
      <c r="B27" s="2"/>
      <c r="C27" s="2"/>
      <c r="D27" s="2"/>
      <c r="E27" s="2"/>
      <c r="F27" s="13"/>
      <c r="G27" s="49" t="s">
        <v>94</v>
      </c>
      <c r="H27" s="2">
        <f>_xlfn.STDEV.S(H7:H15)</f>
        <v>0.62459351919868977</v>
      </c>
      <c r="I27" s="2">
        <f t="shared" ref="I27:N27" si="18">_xlfn.STDEV.S(I7:I14)</f>
        <v>2.4827193980736908</v>
      </c>
      <c r="J27" s="2">
        <f t="shared" si="18"/>
        <v>5.5423281059442414E-2</v>
      </c>
      <c r="K27" s="2">
        <f t="shared" si="18"/>
        <v>5.5423281059442456E-2</v>
      </c>
      <c r="L27" s="2">
        <f t="shared" si="18"/>
        <v>7.2237384259602633E-2</v>
      </c>
      <c r="M27" s="2">
        <f t="shared" si="18"/>
        <v>1.6129119919078842E-2</v>
      </c>
      <c r="N27" s="2">
        <f t="shared" si="18"/>
        <v>2.7979136812169592</v>
      </c>
      <c r="O27" s="2">
        <f>_xlfn.STDEV.S(O7:O15)</f>
        <v>2.0682789409984745</v>
      </c>
      <c r="P27" s="2">
        <f>_xlfn.STDEV.S(P7:P15)</f>
        <v>0.31511835526586895</v>
      </c>
      <c r="Y27" s="13"/>
      <c r="Z27" s="49" t="s">
        <v>94</v>
      </c>
      <c r="AA27" s="2">
        <f>_xlfn.STDEV.S(AA7:AA13)</f>
        <v>1.1813761123085815</v>
      </c>
      <c r="AB27" s="2">
        <f t="shared" ref="AB27:AI27" si="19">_xlfn.STDEV.S(AB7:AB13)</f>
        <v>3.1538198015882997</v>
      </c>
      <c r="AC27" s="2">
        <f t="shared" si="19"/>
        <v>8.6369140231448246E-2</v>
      </c>
      <c r="AD27" s="2">
        <f t="shared" si="19"/>
        <v>8.6369140231447816E-2</v>
      </c>
      <c r="AE27" s="2">
        <f t="shared" si="19"/>
        <v>7.8393368710094516E-2</v>
      </c>
      <c r="AF27" s="2">
        <f t="shared" si="19"/>
        <v>2.1349095001769708E-2</v>
      </c>
      <c r="AG27" s="2">
        <f t="shared" si="19"/>
        <v>3.163121934201051</v>
      </c>
      <c r="AH27" s="2">
        <f t="shared" si="19"/>
        <v>9.3350338586883073</v>
      </c>
      <c r="AI27" s="2">
        <f t="shared" si="19"/>
        <v>1.157854002770812</v>
      </c>
    </row>
    <row r="28" spans="2:35" x14ac:dyDescent="0.35">
      <c r="B28" s="2"/>
      <c r="C28" s="2"/>
      <c r="D28" s="2"/>
      <c r="E28" s="2"/>
      <c r="F28" s="13"/>
      <c r="G28" s="49" t="s">
        <v>95</v>
      </c>
      <c r="H28" s="2">
        <f>H27/(SQRT(COUNT(H7:H15)))</f>
        <v>0.2081978397328966</v>
      </c>
      <c r="I28" s="2">
        <f t="shared" ref="I28:N28" si="20">I27/(SQRT(COUNT(I7:I14)))</f>
        <v>0.87777386108064503</v>
      </c>
      <c r="J28" s="2">
        <f t="shared" si="20"/>
        <v>1.9595088936369832E-2</v>
      </c>
      <c r="K28" s="2">
        <f t="shared" si="20"/>
        <v>1.959508893636985E-2</v>
      </c>
      <c r="L28" s="2">
        <f t="shared" si="20"/>
        <v>2.5539772132571695E-2</v>
      </c>
      <c r="M28" s="2">
        <f t="shared" si="20"/>
        <v>5.7025050346758335E-3</v>
      </c>
      <c r="N28" s="2">
        <f t="shared" si="20"/>
        <v>0.98921186858156396</v>
      </c>
      <c r="O28" s="2">
        <f>O27/(SQRT(COUNT(O7:O15)))</f>
        <v>0.68942631366615814</v>
      </c>
      <c r="P28" s="2">
        <f>P27/(SQRT(COUNT(P7:P15)))</f>
        <v>0.10503945175528966</v>
      </c>
      <c r="Y28" s="13"/>
      <c r="Z28" s="49" t="s">
        <v>95</v>
      </c>
      <c r="AA28" s="2">
        <f>AA27/(SQRT(COUNT(AA7:AA13)))</f>
        <v>0.44651819971440265</v>
      </c>
      <c r="AB28" s="2">
        <f t="shared" ref="AB28:AI28" si="21">AB27/(SQRT(COUNT(AB7:AB13)))</f>
        <v>1.1920318392733873</v>
      </c>
      <c r="AC28" s="2">
        <f t="shared" si="21"/>
        <v>3.2644466571839378E-2</v>
      </c>
      <c r="AD28" s="2">
        <f t="shared" si="21"/>
        <v>3.2644466571839219E-2</v>
      </c>
      <c r="AE28" s="2">
        <f t="shared" si="21"/>
        <v>2.9629908291928915E-2</v>
      </c>
      <c r="AF28" s="2">
        <f t="shared" si="21"/>
        <v>8.0691994415678144E-3</v>
      </c>
      <c r="AG28" s="2">
        <f t="shared" si="21"/>
        <v>1.1955477149242277</v>
      </c>
      <c r="AH28" s="2">
        <f t="shared" si="21"/>
        <v>3.5283111529224187</v>
      </c>
      <c r="AI28" s="2">
        <f t="shared" si="21"/>
        <v>0.43762767797889424</v>
      </c>
    </row>
    <row r="29" spans="2:35" x14ac:dyDescent="0.35">
      <c r="B29" s="2"/>
      <c r="C29" s="2"/>
      <c r="D29" s="2"/>
      <c r="E29" s="2"/>
      <c r="F29" s="13"/>
      <c r="G29" s="13"/>
      <c r="H29" s="2"/>
      <c r="I29" s="2"/>
      <c r="J29" s="2"/>
      <c r="K29" s="2"/>
      <c r="L29" s="2"/>
      <c r="M29" s="2"/>
      <c r="N29" s="2"/>
      <c r="O29" s="2"/>
    </row>
    <row r="30" spans="2:35" x14ac:dyDescent="0.35">
      <c r="B30" s="2"/>
      <c r="C30" s="2"/>
      <c r="D30" s="2"/>
      <c r="E30" s="2"/>
      <c r="F30" s="13"/>
      <c r="G30" s="13"/>
      <c r="H30" s="2"/>
      <c r="I30" s="2"/>
      <c r="J30" s="2"/>
      <c r="K30" s="2"/>
      <c r="L30" s="2"/>
      <c r="M30" s="2"/>
      <c r="N30" s="2"/>
      <c r="O30" s="2"/>
    </row>
    <row r="31" spans="2:35" x14ac:dyDescent="0.35">
      <c r="B31" s="2"/>
      <c r="C31" s="2"/>
      <c r="D31" s="2"/>
      <c r="E31" s="2"/>
      <c r="F31" s="2"/>
      <c r="G31" s="2"/>
      <c r="H31" s="2"/>
      <c r="I31" s="2"/>
      <c r="J31" s="2"/>
      <c r="K31" s="2"/>
      <c r="L31" s="2"/>
      <c r="M31" s="2"/>
      <c r="N31" s="2"/>
      <c r="O31" s="2"/>
    </row>
    <row r="32" spans="2:35" x14ac:dyDescent="0.35">
      <c r="B32" s="2"/>
      <c r="C32" s="2"/>
      <c r="D32" s="2"/>
      <c r="E32" s="2"/>
      <c r="F32" s="2"/>
      <c r="G32" s="2"/>
      <c r="H32" s="49"/>
      <c r="I32" s="49"/>
      <c r="J32" s="49"/>
      <c r="K32" s="49"/>
      <c r="L32" s="49"/>
      <c r="M32" s="49"/>
      <c r="N32" s="49"/>
      <c r="O32" s="2"/>
    </row>
    <row r="33" spans="1:24" x14ac:dyDescent="0.35">
      <c r="A33" s="8"/>
      <c r="B33" s="6" t="s">
        <v>24</v>
      </c>
      <c r="D33" s="2"/>
      <c r="E33" s="2"/>
      <c r="F33" s="2"/>
      <c r="G33" s="2"/>
      <c r="H33" s="2"/>
      <c r="I33" s="2"/>
      <c r="J33" s="2"/>
      <c r="K33" s="2"/>
      <c r="L33" s="2"/>
      <c r="M33" s="2"/>
      <c r="N33" s="2"/>
      <c r="O33" s="2"/>
    </row>
    <row r="34" spans="1:24" x14ac:dyDescent="0.35">
      <c r="A34" s="7"/>
      <c r="B34" s="6" t="s">
        <v>72</v>
      </c>
      <c r="D34" s="2"/>
      <c r="E34" s="2"/>
      <c r="F34" s="2"/>
      <c r="G34" s="2"/>
      <c r="H34" s="2"/>
      <c r="I34" s="2"/>
      <c r="J34" s="2"/>
      <c r="K34" s="2"/>
      <c r="L34" s="2"/>
      <c r="M34" s="2"/>
      <c r="N34" s="2"/>
      <c r="O34" s="2"/>
    </row>
    <row r="35" spans="1:24" x14ac:dyDescent="0.35">
      <c r="B35" s="2"/>
      <c r="C35" s="2"/>
      <c r="D35" s="2"/>
      <c r="E35" s="2"/>
      <c r="F35" s="2"/>
      <c r="G35" s="2"/>
      <c r="H35" s="2"/>
      <c r="I35" s="2"/>
      <c r="J35" s="2"/>
      <c r="K35" s="2"/>
      <c r="L35" s="2"/>
      <c r="M35" s="2"/>
      <c r="N35" s="2"/>
      <c r="O35" s="2"/>
    </row>
    <row r="36" spans="1:24" ht="18.5" x14ac:dyDescent="0.45">
      <c r="B36" s="2"/>
      <c r="C36" s="2"/>
      <c r="D36" s="2"/>
      <c r="E36" s="2"/>
      <c r="F36" s="1" t="s">
        <v>319</v>
      </c>
      <c r="G36" s="2"/>
      <c r="H36" s="2"/>
      <c r="I36" s="2"/>
      <c r="J36" s="2"/>
      <c r="K36" s="2"/>
      <c r="L36" s="2"/>
      <c r="M36" s="2"/>
      <c r="N36" s="2"/>
      <c r="O36" s="2"/>
    </row>
    <row r="37" spans="1:24" ht="16" thickBot="1" x14ac:dyDescent="0.4">
      <c r="B37" s="9" t="s">
        <v>18</v>
      </c>
      <c r="C37" s="9" t="s">
        <v>17</v>
      </c>
      <c r="D37" s="9" t="s">
        <v>20</v>
      </c>
      <c r="E37" s="5"/>
      <c r="F37" s="9" t="s">
        <v>1</v>
      </c>
      <c r="G37" s="9" t="s">
        <v>2</v>
      </c>
      <c r="H37" s="9" t="s">
        <v>3</v>
      </c>
      <c r="I37" s="9" t="s">
        <v>4</v>
      </c>
      <c r="J37" s="9" t="s">
        <v>5</v>
      </c>
      <c r="K37" s="9" t="s">
        <v>6</v>
      </c>
      <c r="L37" s="9" t="s">
        <v>7</v>
      </c>
      <c r="M37" s="9" t="s">
        <v>8</v>
      </c>
      <c r="N37" s="9" t="s">
        <v>9</v>
      </c>
      <c r="O37" s="9" t="s">
        <v>10</v>
      </c>
      <c r="P37" s="44" t="s">
        <v>139</v>
      </c>
      <c r="Q37" s="20"/>
      <c r="R37" s="44" t="s">
        <v>134</v>
      </c>
    </row>
    <row r="38" spans="1:24" x14ac:dyDescent="0.35">
      <c r="A38" s="13"/>
      <c r="B38" s="91">
        <v>5.4704699999999997</v>
      </c>
      <c r="C38" s="91">
        <v>15.432180000000001</v>
      </c>
      <c r="D38" s="91">
        <f>C38-B38</f>
        <v>9.9617100000000001</v>
      </c>
      <c r="E38" s="91"/>
      <c r="F38" s="91">
        <v>1.5267900000000001</v>
      </c>
      <c r="G38" s="91">
        <v>4.4240000000000004</v>
      </c>
      <c r="H38" s="91">
        <f>G38-F38</f>
        <v>2.8972100000000003</v>
      </c>
      <c r="I38" s="91">
        <f>F39-G38</f>
        <v>19.25281</v>
      </c>
      <c r="J38" s="91">
        <f>H38/N38</f>
        <v>0.1307994304294082</v>
      </c>
      <c r="K38" s="91">
        <f>I38/N38</f>
        <v>0.86920056957059177</v>
      </c>
      <c r="L38" s="91">
        <f>1/H38</f>
        <v>0.34515965359777162</v>
      </c>
      <c r="M38" s="91">
        <f>1/N38</f>
        <v>4.5146686097800363E-2</v>
      </c>
      <c r="N38" s="91">
        <f>H38+I38</f>
        <v>22.150020000000001</v>
      </c>
      <c r="O38" s="13">
        <v>10</v>
      </c>
      <c r="P38">
        <f>O38/H38</f>
        <v>3.4515965359777163</v>
      </c>
      <c r="Q38" s="13"/>
      <c r="R38" t="s">
        <v>315</v>
      </c>
      <c r="S38" s="13"/>
      <c r="T38" s="13"/>
    </row>
    <row r="39" spans="1:24" x14ac:dyDescent="0.35">
      <c r="A39" s="13"/>
      <c r="B39" s="13"/>
      <c r="C39" s="13"/>
      <c r="D39" s="13"/>
      <c r="E39" s="13"/>
      <c r="F39" s="13">
        <v>23.67681</v>
      </c>
      <c r="G39" s="13">
        <v>29.615960000000001</v>
      </c>
      <c r="H39" s="2">
        <f t="shared" ref="H39:H60" si="22">G39-F39</f>
        <v>5.9391500000000015</v>
      </c>
      <c r="I39" s="2">
        <f t="shared" ref="I39:I59" si="23">F40-G39</f>
        <v>5.6264800000000008</v>
      </c>
      <c r="J39" s="2">
        <f t="shared" ref="J39:J59" si="24">H39/N39</f>
        <v>0.51351720572074333</v>
      </c>
      <c r="K39" s="2">
        <f t="shared" ref="K39:K59" si="25">I39/N39</f>
        <v>0.48648279427925673</v>
      </c>
      <c r="L39" s="2">
        <f t="shared" ref="L39:L59" si="26">1/H39</f>
        <v>0.1683742623102632</v>
      </c>
      <c r="M39" s="2">
        <f t="shared" ref="M39:M59" si="27">1/N39</f>
        <v>8.6463080696857833E-2</v>
      </c>
      <c r="N39" s="2">
        <f t="shared" ref="N39:N59" si="28">H39+I39</f>
        <v>11.565630000000002</v>
      </c>
      <c r="O39" s="13">
        <v>19</v>
      </c>
      <c r="P39">
        <f t="shared" ref="P39:P59" si="29">O39/H39</f>
        <v>3.1991109838950011</v>
      </c>
      <c r="Q39" s="13"/>
      <c r="R39" s="13"/>
      <c r="S39" s="13"/>
      <c r="T39" s="13"/>
    </row>
    <row r="40" spans="1:24" x14ac:dyDescent="0.35">
      <c r="A40" s="13"/>
      <c r="B40" s="13"/>
      <c r="C40" s="13"/>
      <c r="D40" s="13"/>
      <c r="E40" s="13"/>
      <c r="F40" s="13">
        <v>35.242440000000002</v>
      </c>
      <c r="G40" s="13">
        <v>40.373820000000002</v>
      </c>
      <c r="H40" s="2">
        <f t="shared" si="22"/>
        <v>5.1313800000000001</v>
      </c>
      <c r="I40" s="2">
        <f t="shared" si="23"/>
        <v>9.369259999999997</v>
      </c>
      <c r="J40" s="2">
        <f t="shared" si="24"/>
        <v>0.3538726566551546</v>
      </c>
      <c r="K40" s="2">
        <f t="shared" si="25"/>
        <v>0.64612734334484534</v>
      </c>
      <c r="L40" s="2">
        <f t="shared" si="26"/>
        <v>0.1948793501942947</v>
      </c>
      <c r="M40" s="2">
        <f t="shared" si="27"/>
        <v>6.8962473380485292E-2</v>
      </c>
      <c r="N40" s="2">
        <f t="shared" si="28"/>
        <v>14.500639999999997</v>
      </c>
      <c r="O40" s="13">
        <v>22</v>
      </c>
      <c r="P40">
        <f t="shared" si="29"/>
        <v>4.2873457042744834</v>
      </c>
      <c r="Q40" s="13"/>
      <c r="R40" s="13"/>
      <c r="S40" s="13"/>
      <c r="T40" s="13"/>
    </row>
    <row r="41" spans="1:24" x14ac:dyDescent="0.35">
      <c r="A41" s="13"/>
      <c r="B41" s="13"/>
      <c r="C41" s="13"/>
      <c r="D41" s="13"/>
      <c r="E41" s="13"/>
      <c r="F41" s="13">
        <v>49.743079999999999</v>
      </c>
      <c r="G41" s="13">
        <v>54.5518</v>
      </c>
      <c r="H41" s="2">
        <f t="shared" si="22"/>
        <v>4.808720000000001</v>
      </c>
      <c r="I41" s="2">
        <f t="shared" si="23"/>
        <v>8.3180600000000027</v>
      </c>
      <c r="J41" s="2">
        <f t="shared" si="24"/>
        <v>0.36632898547854081</v>
      </c>
      <c r="K41" s="2">
        <f t="shared" si="25"/>
        <v>0.63367101452145924</v>
      </c>
      <c r="L41" s="2">
        <f t="shared" si="26"/>
        <v>0.207955547422183</v>
      </c>
      <c r="M41" s="2">
        <f t="shared" si="27"/>
        <v>7.6180144711802872E-2</v>
      </c>
      <c r="N41" s="2">
        <f t="shared" si="28"/>
        <v>13.126780000000004</v>
      </c>
      <c r="O41" s="13">
        <v>19</v>
      </c>
      <c r="P41">
        <f t="shared" si="29"/>
        <v>3.9511554010214769</v>
      </c>
      <c r="Q41" s="13"/>
      <c r="R41" s="13"/>
      <c r="S41" s="13"/>
      <c r="T41" s="13"/>
      <c r="U41">
        <v>9.8541600000000003</v>
      </c>
      <c r="V41">
        <v>23.800180000000001</v>
      </c>
      <c r="W41">
        <f t="shared" ref="W41:X44" si="30">240+U41</f>
        <v>249.85416000000001</v>
      </c>
      <c r="X41">
        <f t="shared" si="30"/>
        <v>263.80018000000001</v>
      </c>
    </row>
    <row r="42" spans="1:24" x14ac:dyDescent="0.35">
      <c r="A42" s="13"/>
      <c r="B42" s="13"/>
      <c r="C42" s="13"/>
      <c r="D42" s="13"/>
      <c r="E42" s="13"/>
      <c r="F42" s="13">
        <v>62.869860000000003</v>
      </c>
      <c r="G42" s="13">
        <v>66.430070000000001</v>
      </c>
      <c r="H42" s="2">
        <f t="shared" si="22"/>
        <v>3.5602099999999979</v>
      </c>
      <c r="I42" s="2">
        <f t="shared" si="23"/>
        <v>8.2245599999999968</v>
      </c>
      <c r="J42" s="2">
        <f t="shared" si="24"/>
        <v>0.30210262907125041</v>
      </c>
      <c r="K42" s="2">
        <f t="shared" si="25"/>
        <v>0.69789737092874959</v>
      </c>
      <c r="L42" s="2">
        <f t="shared" si="26"/>
        <v>0.2808823075043328</v>
      </c>
      <c r="M42" s="2">
        <f t="shared" si="27"/>
        <v>8.4855283556658334E-2</v>
      </c>
      <c r="N42" s="2">
        <f t="shared" si="28"/>
        <v>11.784769999999995</v>
      </c>
      <c r="O42" s="13">
        <v>14</v>
      </c>
      <c r="P42">
        <f t="shared" si="29"/>
        <v>3.9323523050606588</v>
      </c>
      <c r="Q42" s="13"/>
      <c r="R42" s="13"/>
      <c r="S42" s="13"/>
      <c r="T42" s="13"/>
      <c r="U42">
        <v>37.46904</v>
      </c>
      <c r="V42">
        <v>51.415059999999997</v>
      </c>
      <c r="W42">
        <f t="shared" si="30"/>
        <v>277.46904000000001</v>
      </c>
      <c r="X42">
        <f t="shared" si="30"/>
        <v>291.41505999999998</v>
      </c>
    </row>
    <row r="43" spans="1:24" x14ac:dyDescent="0.35">
      <c r="A43" s="13"/>
      <c r="B43" s="13"/>
      <c r="C43" s="13"/>
      <c r="D43" s="13"/>
      <c r="E43" s="13"/>
      <c r="F43" s="13">
        <v>74.654629999999997</v>
      </c>
      <c r="G43" s="13">
        <v>78.002889999999994</v>
      </c>
      <c r="H43" s="2">
        <f t="shared" si="22"/>
        <v>3.3482599999999962</v>
      </c>
      <c r="I43" s="2">
        <f t="shared" si="23"/>
        <v>12.858280000000008</v>
      </c>
      <c r="J43" s="2">
        <f t="shared" si="24"/>
        <v>0.20659931114229166</v>
      </c>
      <c r="K43" s="2">
        <f t="shared" si="25"/>
        <v>0.79340068885770831</v>
      </c>
      <c r="L43" s="2">
        <f t="shared" si="26"/>
        <v>0.29866258892678621</v>
      </c>
      <c r="M43" s="2">
        <f t="shared" si="27"/>
        <v>6.1703485136247453E-2</v>
      </c>
      <c r="N43" s="2">
        <f t="shared" si="28"/>
        <v>16.206540000000004</v>
      </c>
      <c r="O43" s="13">
        <v>13</v>
      </c>
      <c r="P43">
        <f t="shared" si="29"/>
        <v>3.8826136560482203</v>
      </c>
      <c r="Q43" s="13"/>
      <c r="R43" s="13"/>
      <c r="S43" s="13"/>
      <c r="T43" s="13"/>
      <c r="U43">
        <v>92.140910000000005</v>
      </c>
      <c r="V43">
        <v>102.10263</v>
      </c>
      <c r="W43">
        <f t="shared" si="30"/>
        <v>332.14091000000002</v>
      </c>
      <c r="X43">
        <f t="shared" si="30"/>
        <v>342.10262999999998</v>
      </c>
    </row>
    <row r="44" spans="1:24" x14ac:dyDescent="0.35">
      <c r="A44" s="13"/>
      <c r="B44" s="91">
        <v>95.686260000000004</v>
      </c>
      <c r="C44" s="91">
        <v>105.64825999999999</v>
      </c>
      <c r="D44" s="91">
        <f>C44-B44</f>
        <v>9.9619999999999891</v>
      </c>
      <c r="E44" s="91"/>
      <c r="F44" s="91">
        <v>90.861170000000001</v>
      </c>
      <c r="G44" s="91">
        <v>94.451369999999997</v>
      </c>
      <c r="H44" s="91">
        <f t="shared" si="22"/>
        <v>3.5901999999999958</v>
      </c>
      <c r="I44" s="91">
        <f t="shared" si="23"/>
        <v>19.035690000000002</v>
      </c>
      <c r="J44" s="91">
        <f t="shared" si="24"/>
        <v>0.15867663106291049</v>
      </c>
      <c r="K44" s="91">
        <f t="shared" si="25"/>
        <v>0.84132336893708948</v>
      </c>
      <c r="L44" s="91">
        <f t="shared" si="26"/>
        <v>0.27853601470670192</v>
      </c>
      <c r="M44" s="91">
        <f t="shared" si="27"/>
        <v>4.4197156443348748E-2</v>
      </c>
      <c r="N44" s="91">
        <f t="shared" si="28"/>
        <v>22.625889999999998</v>
      </c>
      <c r="O44" s="13">
        <v>14</v>
      </c>
      <c r="P44">
        <f t="shared" si="29"/>
        <v>3.8995042058938267</v>
      </c>
      <c r="Q44" s="13"/>
      <c r="R44" s="13"/>
      <c r="S44" s="13"/>
      <c r="T44" s="13"/>
      <c r="U44">
        <v>118.01121000000001</v>
      </c>
      <c r="V44">
        <v>119.85979</v>
      </c>
      <c r="W44">
        <f t="shared" si="30"/>
        <v>358.01121000000001</v>
      </c>
      <c r="X44">
        <f t="shared" si="30"/>
        <v>359.85978999999998</v>
      </c>
    </row>
    <row r="45" spans="1:24" x14ac:dyDescent="0.35">
      <c r="A45" s="13"/>
      <c r="B45" s="13"/>
      <c r="C45" s="13"/>
      <c r="D45" s="13"/>
      <c r="E45" s="13"/>
      <c r="F45" s="13">
        <v>113.48706</v>
      </c>
      <c r="G45" s="13">
        <v>119.15549</v>
      </c>
      <c r="H45" s="2">
        <f t="shared" si="22"/>
        <v>5.6684300000000007</v>
      </c>
      <c r="I45" s="2">
        <f t="shared" si="23"/>
        <v>6.2351799999999997</v>
      </c>
      <c r="J45" s="2">
        <f t="shared" si="24"/>
        <v>0.47619419655045825</v>
      </c>
      <c r="K45" s="2">
        <f t="shared" si="25"/>
        <v>0.52380580344954175</v>
      </c>
      <c r="L45" s="2">
        <f t="shared" si="26"/>
        <v>0.17641569182295624</v>
      </c>
      <c r="M45" s="2">
        <f t="shared" si="27"/>
        <v>8.4008128626525902E-2</v>
      </c>
      <c r="N45" s="2">
        <f t="shared" si="28"/>
        <v>11.90361</v>
      </c>
      <c r="O45" s="13">
        <v>23</v>
      </c>
      <c r="P45">
        <f t="shared" si="29"/>
        <v>4.0575609119279941</v>
      </c>
      <c r="Q45" s="13"/>
      <c r="R45" s="13"/>
      <c r="S45" s="13"/>
      <c r="T45" s="13"/>
    </row>
    <row r="46" spans="1:24" x14ac:dyDescent="0.35">
      <c r="A46" s="13"/>
      <c r="B46" s="13"/>
      <c r="C46" s="13"/>
      <c r="D46" s="13"/>
      <c r="E46" s="13"/>
      <c r="F46" s="13">
        <v>125.39067</v>
      </c>
      <c r="G46" s="13">
        <v>130.09636</v>
      </c>
      <c r="H46" s="2">
        <f t="shared" si="22"/>
        <v>4.7056900000000041</v>
      </c>
      <c r="I46" s="2">
        <f t="shared" si="23"/>
        <v>9.0782899999999813</v>
      </c>
      <c r="J46" s="2">
        <f t="shared" si="24"/>
        <v>0.34138833631505627</v>
      </c>
      <c r="K46" s="2">
        <f t="shared" si="25"/>
        <v>0.65861166368494373</v>
      </c>
      <c r="L46" s="2">
        <f t="shared" si="26"/>
        <v>0.21250868629255201</v>
      </c>
      <c r="M46" s="2">
        <f t="shared" si="27"/>
        <v>7.2547986865912531E-2</v>
      </c>
      <c r="N46" s="2">
        <f t="shared" si="28"/>
        <v>13.783979999999985</v>
      </c>
      <c r="O46" s="13">
        <v>23</v>
      </c>
      <c r="P46">
        <f t="shared" si="29"/>
        <v>4.8876997847286967</v>
      </c>
      <c r="Q46" s="13"/>
      <c r="R46" s="13" t="s">
        <v>317</v>
      </c>
      <c r="S46" s="13"/>
      <c r="T46" s="13"/>
    </row>
    <row r="47" spans="1:24" x14ac:dyDescent="0.35">
      <c r="A47" s="13"/>
      <c r="B47" s="13"/>
      <c r="C47" s="13"/>
      <c r="D47" s="13"/>
      <c r="E47" s="13"/>
      <c r="F47" s="13">
        <v>139.17464999999999</v>
      </c>
      <c r="G47" s="13">
        <v>143.84120000000001</v>
      </c>
      <c r="H47" s="2">
        <f t="shared" si="22"/>
        <v>4.6665500000000293</v>
      </c>
      <c r="I47" s="2">
        <f t="shared" si="23"/>
        <v>6.6320199999999829</v>
      </c>
      <c r="J47" s="2">
        <f t="shared" si="24"/>
        <v>0.41302129384515246</v>
      </c>
      <c r="K47" s="2">
        <f t="shared" si="25"/>
        <v>0.58697870615484748</v>
      </c>
      <c r="L47" s="2">
        <f t="shared" si="26"/>
        <v>0.21429107156250202</v>
      </c>
      <c r="M47" s="2">
        <f t="shared" si="27"/>
        <v>8.8506775636208734E-2</v>
      </c>
      <c r="N47" s="2">
        <f t="shared" si="28"/>
        <v>11.298570000000012</v>
      </c>
      <c r="O47" s="13">
        <v>46</v>
      </c>
      <c r="P47">
        <f t="shared" si="29"/>
        <v>9.8573892918750925</v>
      </c>
      <c r="Q47" s="13"/>
      <c r="R47" s="13"/>
      <c r="S47" s="13"/>
      <c r="T47" s="13"/>
    </row>
    <row r="48" spans="1:24" x14ac:dyDescent="0.35">
      <c r="A48" s="13"/>
      <c r="B48" s="13"/>
      <c r="C48" s="13"/>
      <c r="D48" s="13"/>
      <c r="E48" s="13"/>
      <c r="F48" s="13">
        <v>150.47322</v>
      </c>
      <c r="G48" s="13">
        <v>155.03568000000001</v>
      </c>
      <c r="H48" s="2">
        <f t="shared" si="22"/>
        <v>4.5624600000000157</v>
      </c>
      <c r="I48" s="2">
        <f t="shared" si="23"/>
        <v>9.5506799999999998</v>
      </c>
      <c r="J48" s="2">
        <f t="shared" si="24"/>
        <v>0.32327745632793348</v>
      </c>
      <c r="K48" s="2">
        <f t="shared" si="25"/>
        <v>0.67672254367206652</v>
      </c>
      <c r="L48" s="2">
        <f t="shared" si="26"/>
        <v>0.2191800037698953</v>
      </c>
      <c r="M48" s="2">
        <f t="shared" si="27"/>
        <v>7.0855954096678622E-2</v>
      </c>
      <c r="N48" s="2">
        <f t="shared" si="28"/>
        <v>14.113140000000016</v>
      </c>
      <c r="O48" s="13">
        <v>38</v>
      </c>
      <c r="P48">
        <f t="shared" si="29"/>
        <v>8.3288401432560217</v>
      </c>
      <c r="Q48" s="13"/>
      <c r="R48" s="13"/>
      <c r="S48" s="13"/>
      <c r="T48" s="13"/>
    </row>
    <row r="49" spans="1:20" x14ac:dyDescent="0.35">
      <c r="A49" s="13"/>
      <c r="B49" s="13"/>
      <c r="C49" s="13"/>
      <c r="D49" s="13"/>
      <c r="E49" s="13"/>
      <c r="F49" s="13">
        <v>164.58636000000001</v>
      </c>
      <c r="G49" s="13">
        <v>167.89893000000001</v>
      </c>
      <c r="H49" s="2">
        <f t="shared" si="22"/>
        <v>3.3125699999999938</v>
      </c>
      <c r="I49" s="2">
        <f t="shared" si="23"/>
        <v>13.684229999999985</v>
      </c>
      <c r="J49" s="2">
        <f t="shared" si="24"/>
        <v>0.19489374470488549</v>
      </c>
      <c r="K49" s="2">
        <f t="shared" si="25"/>
        <v>0.80510625529511448</v>
      </c>
      <c r="L49" s="2">
        <f t="shared" si="26"/>
        <v>0.30188041309315783</v>
      </c>
      <c r="M49" s="2">
        <f t="shared" si="27"/>
        <v>5.8834604160783281E-2</v>
      </c>
      <c r="N49" s="2">
        <f t="shared" si="28"/>
        <v>16.996799999999979</v>
      </c>
      <c r="O49" s="13">
        <v>5</v>
      </c>
      <c r="P49">
        <f t="shared" si="29"/>
        <v>1.5094020654657891</v>
      </c>
      <c r="Q49" s="13"/>
      <c r="R49" s="13"/>
      <c r="S49" s="13"/>
      <c r="T49" s="13"/>
    </row>
    <row r="50" spans="1:20" x14ac:dyDescent="0.35">
      <c r="A50" s="13"/>
      <c r="B50" s="144">
        <v>186.37260000000001</v>
      </c>
      <c r="C50" s="144">
        <v>200.31637000000001</v>
      </c>
      <c r="D50" s="91">
        <f>C50-B50</f>
        <v>13.943770000000001</v>
      </c>
      <c r="E50" s="91"/>
      <c r="F50" s="91">
        <v>181.58315999999999</v>
      </c>
      <c r="G50" s="91">
        <v>187.00326000000001</v>
      </c>
      <c r="H50" s="91">
        <f t="shared" si="22"/>
        <v>5.4201000000000192</v>
      </c>
      <c r="I50" s="91">
        <f t="shared" si="23"/>
        <v>19.584810000000004</v>
      </c>
      <c r="J50" s="91">
        <f t="shared" si="24"/>
        <v>0.21676142805553045</v>
      </c>
      <c r="K50" s="91">
        <f t="shared" si="25"/>
        <v>0.78323857194446955</v>
      </c>
      <c r="L50" s="91">
        <f t="shared" si="26"/>
        <v>0.184498440988173</v>
      </c>
      <c r="M50" s="91">
        <f t="shared" si="27"/>
        <v>3.999214554261539E-2</v>
      </c>
      <c r="N50" s="91">
        <f t="shared" si="28"/>
        <v>25.004910000000024</v>
      </c>
      <c r="O50" s="91">
        <v>29</v>
      </c>
      <c r="P50">
        <f t="shared" si="29"/>
        <v>5.3504547886570171</v>
      </c>
      <c r="Q50" s="13"/>
      <c r="R50" s="13"/>
      <c r="S50" s="13"/>
      <c r="T50" s="13"/>
    </row>
    <row r="51" spans="1:20" x14ac:dyDescent="0.35">
      <c r="A51" s="13"/>
      <c r="B51" s="13"/>
      <c r="C51" s="13"/>
      <c r="D51" s="13"/>
      <c r="E51" s="13"/>
      <c r="F51" s="13">
        <v>206.58807000000002</v>
      </c>
      <c r="G51" s="13">
        <v>212.23651000000001</v>
      </c>
      <c r="H51" s="2">
        <f t="shared" si="22"/>
        <v>5.6484399999999937</v>
      </c>
      <c r="I51" s="2">
        <f t="shared" si="23"/>
        <v>7.25779</v>
      </c>
      <c r="J51" s="2">
        <f t="shared" si="24"/>
        <v>0.43765220362569057</v>
      </c>
      <c r="K51" s="2">
        <f t="shared" si="25"/>
        <v>0.56234779637430943</v>
      </c>
      <c r="L51" s="2">
        <f t="shared" si="26"/>
        <v>0.17704003229210208</v>
      </c>
      <c r="M51" s="2">
        <f t="shared" si="27"/>
        <v>7.7481960262601901E-2</v>
      </c>
      <c r="N51" s="2">
        <f t="shared" si="28"/>
        <v>12.906229999999994</v>
      </c>
      <c r="O51" s="13">
        <v>35</v>
      </c>
      <c r="P51">
        <f t="shared" si="29"/>
        <v>6.1964011302235731</v>
      </c>
      <c r="Q51" s="13"/>
      <c r="R51" s="13"/>
      <c r="S51" s="13"/>
      <c r="T51" s="13"/>
    </row>
    <row r="52" spans="1:20" x14ac:dyDescent="0.35">
      <c r="A52" s="13"/>
      <c r="B52" s="91">
        <v>224.96023</v>
      </c>
      <c r="C52" s="91">
        <v>238.90430000000001</v>
      </c>
      <c r="D52" s="91">
        <f>C52-B52</f>
        <v>13.944070000000011</v>
      </c>
      <c r="E52" s="91"/>
      <c r="F52" s="91">
        <v>219.49430000000001</v>
      </c>
      <c r="G52" s="91">
        <v>223.98576</v>
      </c>
      <c r="H52" s="91">
        <f t="shared" si="22"/>
        <v>4.4914599999999893</v>
      </c>
      <c r="I52" s="91">
        <f t="shared" si="23"/>
        <v>20.402199999999993</v>
      </c>
      <c r="J52" s="91">
        <f t="shared" si="24"/>
        <v>0.18042585943569536</v>
      </c>
      <c r="K52" s="91">
        <f t="shared" si="25"/>
        <v>0.81957414056430467</v>
      </c>
      <c r="L52" s="91">
        <f t="shared" si="26"/>
        <v>0.22264475248582918</v>
      </c>
      <c r="M52" s="91">
        <f t="shared" si="27"/>
        <v>4.0170870816103404E-2</v>
      </c>
      <c r="N52" s="91">
        <f t="shared" si="28"/>
        <v>24.893659999999983</v>
      </c>
      <c r="O52" s="91">
        <v>35</v>
      </c>
      <c r="P52">
        <f t="shared" si="29"/>
        <v>7.7925663370040219</v>
      </c>
      <c r="Q52" s="13"/>
      <c r="R52" s="13"/>
      <c r="S52" s="13"/>
      <c r="T52" s="13"/>
    </row>
    <row r="53" spans="1:20" x14ac:dyDescent="0.35">
      <c r="A53" s="13"/>
      <c r="B53" s="144">
        <v>249.85416000000001</v>
      </c>
      <c r="C53" s="144">
        <v>263.80018000000001</v>
      </c>
      <c r="D53" s="91">
        <f>C53-B53</f>
        <v>13.946020000000004</v>
      </c>
      <c r="E53" s="91"/>
      <c r="F53" s="91">
        <v>244.38795999999999</v>
      </c>
      <c r="G53" s="91">
        <v>249.65579</v>
      </c>
      <c r="H53" s="91">
        <f t="shared" si="22"/>
        <v>5.2678300000000036</v>
      </c>
      <c r="I53" s="91">
        <f t="shared" si="23"/>
        <v>19.887010000000004</v>
      </c>
      <c r="J53" s="91">
        <f t="shared" si="24"/>
        <v>0.20941616007098443</v>
      </c>
      <c r="K53" s="91">
        <f t="shared" si="25"/>
        <v>0.7905838399290156</v>
      </c>
      <c r="L53" s="91">
        <f t="shared" si="26"/>
        <v>0.1898314865893545</v>
      </c>
      <c r="M53" s="91">
        <f t="shared" si="27"/>
        <v>3.9753780982109195E-2</v>
      </c>
      <c r="N53" s="91">
        <f t="shared" si="28"/>
        <v>25.154840000000007</v>
      </c>
      <c r="O53" s="91">
        <v>38</v>
      </c>
      <c r="P53">
        <f t="shared" si="29"/>
        <v>7.2135964903954708</v>
      </c>
      <c r="Q53" s="13"/>
      <c r="R53" s="13" t="s">
        <v>318</v>
      </c>
      <c r="S53" s="13"/>
      <c r="T53" s="13"/>
    </row>
    <row r="54" spans="1:20" x14ac:dyDescent="0.35">
      <c r="A54" s="13"/>
      <c r="B54" s="91">
        <v>277.46904000000001</v>
      </c>
      <c r="C54" s="91">
        <v>291.41505999999998</v>
      </c>
      <c r="D54" s="91">
        <f>C54-B54</f>
        <v>13.946019999999976</v>
      </c>
      <c r="E54" s="91"/>
      <c r="F54" s="91">
        <v>269.5428</v>
      </c>
      <c r="G54" s="91">
        <v>278.41503999999998</v>
      </c>
      <c r="H54" s="91">
        <f t="shared" si="22"/>
        <v>8.8722399999999766</v>
      </c>
      <c r="I54" s="91">
        <f t="shared" si="23"/>
        <v>17.778729999999996</v>
      </c>
      <c r="J54" s="91">
        <f t="shared" si="24"/>
        <v>0.33290495617983079</v>
      </c>
      <c r="K54" s="91">
        <f t="shared" si="25"/>
        <v>0.66709504382016915</v>
      </c>
      <c r="L54" s="91">
        <f t="shared" si="26"/>
        <v>0.11271110790510656</v>
      </c>
      <c r="M54" s="91">
        <f t="shared" si="27"/>
        <v>3.7522086438129681E-2</v>
      </c>
      <c r="N54" s="91">
        <f t="shared" si="28"/>
        <v>26.650969999999973</v>
      </c>
      <c r="O54" s="91">
        <v>34</v>
      </c>
      <c r="P54">
        <f t="shared" si="29"/>
        <v>3.8321776687736229</v>
      </c>
      <c r="Q54" s="13"/>
      <c r="R54" s="13"/>
      <c r="S54" s="13"/>
      <c r="T54" s="13"/>
    </row>
    <row r="55" spans="1:20" x14ac:dyDescent="0.35">
      <c r="A55" s="13"/>
      <c r="B55" s="13"/>
      <c r="C55" s="13"/>
      <c r="D55" s="13"/>
      <c r="E55" s="13"/>
      <c r="F55" s="13">
        <v>296.19376999999997</v>
      </c>
      <c r="G55" s="13">
        <v>304.23930000000001</v>
      </c>
      <c r="H55" s="2">
        <f t="shared" si="22"/>
        <v>8.045530000000042</v>
      </c>
      <c r="I55" s="2">
        <f t="shared" si="23"/>
        <v>7.4481099999999856</v>
      </c>
      <c r="J55" s="2">
        <f t="shared" si="24"/>
        <v>0.51927952372715691</v>
      </c>
      <c r="K55" s="2">
        <f t="shared" si="25"/>
        <v>0.48072047627284309</v>
      </c>
      <c r="L55" s="2">
        <f t="shared" si="26"/>
        <v>0.12429261962853842</v>
      </c>
      <c r="M55" s="2">
        <f t="shared" si="27"/>
        <v>6.4542612323508108E-2</v>
      </c>
      <c r="N55" s="2">
        <f t="shared" si="28"/>
        <v>15.493640000000028</v>
      </c>
      <c r="O55" s="13">
        <v>33</v>
      </c>
      <c r="P55">
        <f t="shared" si="29"/>
        <v>4.1016564477417683</v>
      </c>
      <c r="Q55" s="13"/>
      <c r="R55" s="13"/>
      <c r="S55" s="13"/>
      <c r="T55" s="13"/>
    </row>
    <row r="56" spans="1:20" x14ac:dyDescent="0.35">
      <c r="A56" s="13"/>
      <c r="B56" s="13"/>
      <c r="C56" s="13"/>
      <c r="D56" s="13"/>
      <c r="E56" s="13"/>
      <c r="F56" s="13">
        <v>311.68741</v>
      </c>
      <c r="G56" s="13">
        <v>316.87004000000002</v>
      </c>
      <c r="H56" s="2">
        <f t="shared" si="22"/>
        <v>5.1826300000000174</v>
      </c>
      <c r="I56" s="2">
        <f t="shared" si="23"/>
        <v>9.0561399999999708</v>
      </c>
      <c r="J56" s="2">
        <f t="shared" si="24"/>
        <v>0.36398017525390336</v>
      </c>
      <c r="K56" s="2">
        <f t="shared" si="25"/>
        <v>0.63601982474609664</v>
      </c>
      <c r="L56" s="2">
        <f t="shared" si="26"/>
        <v>0.19295222695812678</v>
      </c>
      <c r="M56" s="2">
        <f t="shared" si="27"/>
        <v>7.0230785383849928E-2</v>
      </c>
      <c r="N56" s="2">
        <f t="shared" si="28"/>
        <v>14.238769999999988</v>
      </c>
      <c r="O56" s="13">
        <v>24</v>
      </c>
      <c r="P56">
        <f t="shared" si="29"/>
        <v>4.6308534469950429</v>
      </c>
      <c r="Q56" s="13"/>
      <c r="R56" s="13"/>
      <c r="S56" s="13"/>
      <c r="T56" s="13"/>
    </row>
    <row r="57" spans="1:20" x14ac:dyDescent="0.35">
      <c r="A57" s="13"/>
      <c r="B57" s="91">
        <v>332.14091000000002</v>
      </c>
      <c r="C57" s="91">
        <v>342.10262999999998</v>
      </c>
      <c r="D57" s="91">
        <f>C57-B57</f>
        <v>9.9617199999999571</v>
      </c>
      <c r="E57" s="91"/>
      <c r="F57" s="91">
        <v>325.92617999999999</v>
      </c>
      <c r="G57" s="91">
        <v>333.40080999999998</v>
      </c>
      <c r="H57" s="91">
        <f t="shared" si="22"/>
        <v>7.4746299999999906</v>
      </c>
      <c r="I57" s="91">
        <f t="shared" si="23"/>
        <v>15.756830000000036</v>
      </c>
      <c r="J57" s="91">
        <f t="shared" si="24"/>
        <v>0.32174602887635911</v>
      </c>
      <c r="K57" s="91">
        <f t="shared" si="25"/>
        <v>0.67825397112364083</v>
      </c>
      <c r="L57" s="91">
        <f t="shared" si="26"/>
        <v>0.13378588639170116</v>
      </c>
      <c r="M57" s="91">
        <f t="shared" si="27"/>
        <v>4.3045077666233583E-2</v>
      </c>
      <c r="N57" s="91">
        <f t="shared" si="28"/>
        <v>23.231460000000027</v>
      </c>
      <c r="O57" s="91">
        <v>30</v>
      </c>
      <c r="P57">
        <f t="shared" si="29"/>
        <v>4.0135765917510353</v>
      </c>
      <c r="Q57" s="13"/>
      <c r="R57" s="13"/>
      <c r="S57" s="13"/>
      <c r="T57" s="13"/>
    </row>
    <row r="58" spans="1:20" x14ac:dyDescent="0.35">
      <c r="A58" s="13"/>
      <c r="B58" s="91">
        <v>358.01121000000001</v>
      </c>
      <c r="C58" s="91">
        <v>359.85978999999998</v>
      </c>
      <c r="D58" s="91">
        <f>C58-B58</f>
        <v>1.8485799999999699</v>
      </c>
      <c r="E58" s="91"/>
      <c r="F58" s="91">
        <v>349.15764000000001</v>
      </c>
      <c r="G58" s="91">
        <v>357.63706999999999</v>
      </c>
      <c r="H58" s="91">
        <f t="shared" si="22"/>
        <v>8.4794299999999794</v>
      </c>
      <c r="I58" s="91">
        <f t="shared" si="23"/>
        <v>20.064830000000029</v>
      </c>
      <c r="J58" s="91">
        <f t="shared" si="24"/>
        <v>0.29706252675669215</v>
      </c>
      <c r="K58" s="91">
        <f t="shared" si="25"/>
        <v>0.70293747324330791</v>
      </c>
      <c r="L58" s="91">
        <f t="shared" si="26"/>
        <v>0.11793245536551425</v>
      </c>
      <c r="M58" s="91">
        <f t="shared" si="27"/>
        <v>3.5033313177500476E-2</v>
      </c>
      <c r="N58" s="91">
        <f t="shared" si="28"/>
        <v>28.544260000000008</v>
      </c>
      <c r="O58" s="91">
        <v>27</v>
      </c>
      <c r="P58">
        <f t="shared" si="29"/>
        <v>3.1841762948688848</v>
      </c>
      <c r="Q58" s="13"/>
      <c r="R58" s="13"/>
      <c r="S58" s="13"/>
      <c r="T58" s="13"/>
    </row>
    <row r="59" spans="1:20" x14ac:dyDescent="0.35">
      <c r="A59" s="13"/>
      <c r="B59" s="13"/>
      <c r="C59" s="13"/>
      <c r="D59" s="13"/>
      <c r="E59" s="13"/>
      <c r="F59" s="13">
        <v>377.70190000000002</v>
      </c>
      <c r="G59" s="13">
        <v>383.82342</v>
      </c>
      <c r="H59" s="2">
        <f t="shared" si="22"/>
        <v>6.1215199999999754</v>
      </c>
      <c r="I59" s="2">
        <f t="shared" si="23"/>
        <v>20.002220000000023</v>
      </c>
      <c r="J59" s="2">
        <f t="shared" si="24"/>
        <v>0.23432785657796226</v>
      </c>
      <c r="K59" s="2">
        <f t="shared" si="25"/>
        <v>0.76567214342203771</v>
      </c>
      <c r="L59" s="2">
        <f t="shared" si="26"/>
        <v>0.16335812020543983</v>
      </c>
      <c r="M59" s="2">
        <f t="shared" si="27"/>
        <v>3.8279358162345824E-2</v>
      </c>
      <c r="N59" s="2">
        <f t="shared" si="28"/>
        <v>26.123739999999998</v>
      </c>
      <c r="O59" s="13">
        <v>27</v>
      </c>
      <c r="P59">
        <f t="shared" si="29"/>
        <v>4.4106692455468757</v>
      </c>
      <c r="Q59" s="13"/>
      <c r="R59" s="13"/>
      <c r="S59" s="13"/>
      <c r="T59" s="13"/>
    </row>
    <row r="60" spans="1:20" x14ac:dyDescent="0.35">
      <c r="A60" s="13"/>
      <c r="B60" s="13"/>
      <c r="C60" s="13"/>
      <c r="D60" s="13"/>
      <c r="E60" s="13"/>
      <c r="F60" s="13">
        <v>403.82564000000002</v>
      </c>
      <c r="G60" s="13">
        <v>410.24837000000002</v>
      </c>
      <c r="H60" s="2">
        <f t="shared" si="22"/>
        <v>6.4227300000000014</v>
      </c>
      <c r="I60" s="2"/>
      <c r="J60" s="2"/>
      <c r="K60" s="2"/>
      <c r="L60" s="2"/>
      <c r="M60" s="2"/>
      <c r="N60" s="2"/>
      <c r="O60" s="13"/>
      <c r="P60" s="13"/>
      <c r="Q60" s="13"/>
      <c r="R60" s="13"/>
      <c r="S60" s="13"/>
      <c r="T60" s="13"/>
    </row>
    <row r="61" spans="1:20" x14ac:dyDescent="0.35">
      <c r="A61" s="13"/>
      <c r="B61" s="13"/>
      <c r="C61" s="13"/>
      <c r="D61" s="13"/>
      <c r="E61" s="13"/>
      <c r="F61" s="13"/>
      <c r="G61" s="13"/>
      <c r="H61" s="2"/>
      <c r="I61" s="2"/>
      <c r="J61" s="2"/>
      <c r="K61" s="2"/>
      <c r="L61" s="2"/>
      <c r="M61" s="2"/>
      <c r="N61" s="2"/>
      <c r="O61" s="13"/>
      <c r="P61" s="13"/>
      <c r="Q61" s="13"/>
      <c r="R61" s="13"/>
      <c r="S61" s="13"/>
      <c r="T61" s="13"/>
    </row>
    <row r="62" spans="1:20" x14ac:dyDescent="0.35">
      <c r="A62" s="13"/>
      <c r="B62" s="13"/>
      <c r="C62" s="13"/>
      <c r="D62" s="13"/>
      <c r="E62" s="13"/>
      <c r="F62" s="13"/>
      <c r="G62" s="13"/>
      <c r="H62" s="2"/>
      <c r="I62" s="13"/>
      <c r="J62" s="13"/>
      <c r="K62" s="13"/>
      <c r="L62" s="13"/>
      <c r="M62" s="13"/>
      <c r="N62" s="13"/>
      <c r="O62" s="13"/>
      <c r="P62" s="13"/>
      <c r="Q62" s="13"/>
      <c r="R62" s="13"/>
      <c r="S62" s="13"/>
      <c r="T62" s="13"/>
    </row>
    <row r="63" spans="1:20" x14ac:dyDescent="0.35">
      <c r="A63" s="13"/>
      <c r="B63" s="13"/>
      <c r="C63" s="13"/>
      <c r="D63" s="13"/>
      <c r="E63" s="13"/>
      <c r="F63" s="13"/>
      <c r="G63" s="13"/>
      <c r="H63" s="13"/>
      <c r="I63" s="13"/>
      <c r="J63" s="13"/>
      <c r="K63" s="13"/>
      <c r="L63" s="13"/>
      <c r="M63" s="13"/>
      <c r="N63" s="13"/>
      <c r="O63" s="13"/>
      <c r="P63" s="13"/>
      <c r="Q63" s="13"/>
      <c r="R63" s="13"/>
      <c r="S63" s="13"/>
      <c r="T63" s="13"/>
    </row>
    <row r="64" spans="1:20" ht="16" thickBot="1" x14ac:dyDescent="0.4">
      <c r="A64" s="13"/>
      <c r="B64" s="13"/>
      <c r="C64" s="13"/>
      <c r="D64" s="13"/>
      <c r="E64" s="49" t="s">
        <v>320</v>
      </c>
      <c r="F64" s="13"/>
      <c r="G64" s="13"/>
      <c r="H64" s="9" t="s">
        <v>3</v>
      </c>
      <c r="I64" s="9" t="s">
        <v>4</v>
      </c>
      <c r="J64" s="9" t="s">
        <v>5</v>
      </c>
      <c r="K64" s="9" t="s">
        <v>6</v>
      </c>
      <c r="L64" s="9" t="s">
        <v>7</v>
      </c>
      <c r="M64" s="9" t="s">
        <v>8</v>
      </c>
      <c r="N64" s="9" t="s">
        <v>9</v>
      </c>
      <c r="O64" s="9" t="s">
        <v>10</v>
      </c>
      <c r="P64" s="44" t="s">
        <v>139</v>
      </c>
      <c r="Q64" s="13"/>
      <c r="R64" s="13"/>
      <c r="S64" s="13"/>
      <c r="T64" s="13"/>
    </row>
    <row r="65" spans="1:20" x14ac:dyDescent="0.35">
      <c r="A65" s="13"/>
      <c r="B65" s="13"/>
      <c r="C65" s="13"/>
      <c r="D65" s="13"/>
      <c r="E65" s="49"/>
      <c r="F65" s="13"/>
      <c r="G65" s="49" t="s">
        <v>77</v>
      </c>
      <c r="H65" s="13">
        <f>AVERAGE(H38,H44,H50,H52:H54,H57,H58)</f>
        <v>5.8116374999999945</v>
      </c>
      <c r="I65" s="13">
        <f t="shared" ref="I65:P65" si="31">AVERAGE(I38,I44,I50,I52:I54,I57,I58)</f>
        <v>18.970363750000008</v>
      </c>
      <c r="J65" s="13">
        <f t="shared" si="31"/>
        <v>0.23097412760842639</v>
      </c>
      <c r="K65" s="13">
        <f t="shared" si="31"/>
        <v>0.76902587239157372</v>
      </c>
      <c r="L65" s="13">
        <f t="shared" si="31"/>
        <v>0.19813747475376906</v>
      </c>
      <c r="M65" s="13">
        <f t="shared" si="31"/>
        <v>4.0607639645480101E-2</v>
      </c>
      <c r="N65" s="13">
        <f t="shared" si="31"/>
        <v>24.78200125</v>
      </c>
      <c r="O65" s="13">
        <f t="shared" si="31"/>
        <v>27.125</v>
      </c>
      <c r="P65" s="13">
        <f t="shared" si="31"/>
        <v>4.8422061141651991</v>
      </c>
      <c r="Q65" s="13"/>
      <c r="R65" s="13"/>
      <c r="S65" s="13"/>
      <c r="T65" s="13"/>
    </row>
    <row r="66" spans="1:20" x14ac:dyDescent="0.35">
      <c r="A66" s="13"/>
      <c r="B66" s="13"/>
      <c r="C66" s="13"/>
      <c r="D66" s="13"/>
      <c r="E66" s="49"/>
      <c r="F66" s="13"/>
      <c r="G66" s="49" t="s">
        <v>94</v>
      </c>
      <c r="H66" s="2">
        <f>_xlfn.STDEV.S(H38,H44,H50,H52:H54,H57,H58)</f>
        <v>2.2319279815169977</v>
      </c>
      <c r="I66" s="2">
        <f t="shared" ref="I66:P66" si="32">_xlfn.STDEV.S(I38,I44,I50,I52:I54,I57,I58)</f>
        <v>1.5258079602336843</v>
      </c>
      <c r="J66" s="2">
        <f t="shared" si="32"/>
        <v>7.6979478290250702E-2</v>
      </c>
      <c r="K66" s="2">
        <f t="shared" si="32"/>
        <v>7.69794782902508E-2</v>
      </c>
      <c r="L66" s="2">
        <f t="shared" si="32"/>
        <v>8.1772071598557705E-2</v>
      </c>
      <c r="M66" s="2">
        <f t="shared" si="32"/>
        <v>3.4084161891352648E-3</v>
      </c>
      <c r="N66" s="2">
        <f t="shared" si="32"/>
        <v>2.1323735602069416</v>
      </c>
      <c r="O66" s="2">
        <f t="shared" si="32"/>
        <v>10.034761012173064</v>
      </c>
      <c r="P66" s="2">
        <f t="shared" si="32"/>
        <v>1.7673532911635852</v>
      </c>
      <c r="Q66" s="13"/>
      <c r="R66" s="13"/>
      <c r="S66" s="13"/>
      <c r="T66" s="13"/>
    </row>
    <row r="67" spans="1:20" x14ac:dyDescent="0.35">
      <c r="A67" s="13"/>
      <c r="B67" s="13"/>
      <c r="C67" s="13"/>
      <c r="D67" s="13"/>
      <c r="E67" s="49"/>
      <c r="F67" s="13"/>
      <c r="G67" s="49" t="s">
        <v>95</v>
      </c>
      <c r="H67" s="2">
        <f>H66/(SQRT(8))</f>
        <v>0.78910570542533609</v>
      </c>
      <c r="I67" s="2">
        <f t="shared" ref="I67:P67" si="33">I66/(SQRT(8))</f>
        <v>0.53945457773482608</v>
      </c>
      <c r="J67" s="2">
        <f t="shared" si="33"/>
        <v>2.7216355555619444E-2</v>
      </c>
      <c r="K67" s="2">
        <f t="shared" si="33"/>
        <v>2.7216355555619479E-2</v>
      </c>
      <c r="L67" s="2">
        <f t="shared" si="33"/>
        <v>2.8910793169506017E-2</v>
      </c>
      <c r="M67" s="2">
        <f t="shared" si="33"/>
        <v>1.2050571002217778E-3</v>
      </c>
      <c r="N67" s="2">
        <f t="shared" si="33"/>
        <v>0.7539079022226145</v>
      </c>
      <c r="O67" s="2">
        <f t="shared" si="33"/>
        <v>3.5478237796469783</v>
      </c>
      <c r="P67" s="2">
        <f t="shared" si="33"/>
        <v>0.62485374846706687</v>
      </c>
      <c r="Q67" s="13"/>
      <c r="R67" s="13"/>
      <c r="S67" s="13"/>
      <c r="T67" s="13"/>
    </row>
    <row r="68" spans="1:20" x14ac:dyDescent="0.35">
      <c r="A68" s="13"/>
      <c r="B68" s="13"/>
      <c r="C68" s="13"/>
      <c r="D68" s="13"/>
      <c r="E68" s="49"/>
      <c r="F68" s="13"/>
      <c r="G68" s="13"/>
      <c r="H68" s="13"/>
      <c r="I68" s="13"/>
      <c r="J68" s="13"/>
      <c r="K68" s="13"/>
      <c r="L68" s="13"/>
      <c r="M68" s="13"/>
      <c r="N68" s="13"/>
      <c r="O68" s="13"/>
      <c r="P68" s="13"/>
      <c r="Q68" s="13"/>
      <c r="R68" s="13"/>
      <c r="S68" s="13"/>
      <c r="T68" s="13"/>
    </row>
    <row r="69" spans="1:20" ht="16" thickBot="1" x14ac:dyDescent="0.4">
      <c r="A69" s="13"/>
      <c r="B69" s="13"/>
      <c r="C69" s="13"/>
      <c r="D69" s="13"/>
      <c r="E69" s="49" t="s">
        <v>301</v>
      </c>
      <c r="F69" s="13"/>
      <c r="G69" s="13"/>
      <c r="H69" s="9" t="s">
        <v>3</v>
      </c>
      <c r="I69" s="9" t="s">
        <v>4</v>
      </c>
      <c r="J69" s="9" t="s">
        <v>5</v>
      </c>
      <c r="K69" s="9" t="s">
        <v>6</v>
      </c>
      <c r="L69" s="9" t="s">
        <v>7</v>
      </c>
      <c r="M69" s="9" t="s">
        <v>8</v>
      </c>
      <c r="N69" s="9" t="s">
        <v>9</v>
      </c>
      <c r="O69" s="9" t="s">
        <v>10</v>
      </c>
      <c r="P69" s="44" t="s">
        <v>139</v>
      </c>
      <c r="Q69" s="13"/>
      <c r="R69" s="13"/>
      <c r="S69" s="13"/>
      <c r="T69" s="13"/>
    </row>
    <row r="70" spans="1:20" x14ac:dyDescent="0.35">
      <c r="A70" s="13"/>
      <c r="B70" s="13"/>
      <c r="C70" s="13"/>
      <c r="D70" s="13"/>
      <c r="E70" s="13"/>
      <c r="F70" s="13"/>
      <c r="G70" s="49" t="s">
        <v>77</v>
      </c>
      <c r="H70" s="13">
        <f>AVERAGE(H39,H45,H51,H55)</f>
        <v>6.3253875000000095</v>
      </c>
      <c r="I70" s="13">
        <f t="shared" ref="I70:P70" si="34">AVERAGE(I39,I45,I51,I55)</f>
        <v>6.6418899999999965</v>
      </c>
      <c r="J70" s="13">
        <f t="shared" si="34"/>
        <v>0.48666078240601229</v>
      </c>
      <c r="K70" s="13">
        <f t="shared" si="34"/>
        <v>0.51333921759398782</v>
      </c>
      <c r="L70" s="13">
        <f t="shared" si="34"/>
        <v>0.16153065151346499</v>
      </c>
      <c r="M70" s="13">
        <f t="shared" si="34"/>
        <v>7.8123945477373433E-2</v>
      </c>
      <c r="N70" s="13">
        <f t="shared" si="34"/>
        <v>12.967277500000005</v>
      </c>
      <c r="O70" s="13">
        <f t="shared" si="34"/>
        <v>27.5</v>
      </c>
      <c r="P70" s="13">
        <f t="shared" si="34"/>
        <v>4.3886823684470837</v>
      </c>
      <c r="Q70" s="13"/>
      <c r="R70" s="13"/>
      <c r="S70" s="13"/>
      <c r="T70" s="13"/>
    </row>
    <row r="71" spans="1:20" x14ac:dyDescent="0.35">
      <c r="A71" s="13"/>
      <c r="B71" s="13"/>
      <c r="C71" s="13"/>
      <c r="D71" s="13"/>
      <c r="E71" s="13"/>
      <c r="F71" s="13"/>
      <c r="G71" s="49" t="s">
        <v>94</v>
      </c>
      <c r="H71" s="2">
        <f>_xlfn.STDEV.S(H39,H45,H51,H55)</f>
        <v>1.1544003784469161</v>
      </c>
      <c r="I71" s="2">
        <f t="shared" ref="I71:P71" si="35">_xlfn.STDEV.S(I39,I45,I51,I55)</f>
        <v>0.8613543580896218</v>
      </c>
      <c r="J71" s="2">
        <f t="shared" si="35"/>
        <v>3.7844594383586061E-2</v>
      </c>
      <c r="K71" s="2">
        <f t="shared" si="35"/>
        <v>3.7844594383586047E-2</v>
      </c>
      <c r="L71" s="2">
        <f t="shared" si="35"/>
        <v>2.5137033400627638E-2</v>
      </c>
      <c r="M71" s="2">
        <f t="shared" si="35"/>
        <v>9.8154562263449655E-3</v>
      </c>
      <c r="N71" s="2">
        <f t="shared" si="35"/>
        <v>1.7778487509229803</v>
      </c>
      <c r="O71" s="2">
        <f t="shared" si="35"/>
        <v>7.7244201508376449</v>
      </c>
      <c r="P71" s="2">
        <f t="shared" si="35"/>
        <v>1.2747486678750912</v>
      </c>
      <c r="Q71" s="13"/>
      <c r="R71" s="13"/>
      <c r="S71" s="13"/>
      <c r="T71" s="13"/>
    </row>
    <row r="72" spans="1:20" x14ac:dyDescent="0.35">
      <c r="A72" s="13"/>
      <c r="B72" s="13"/>
      <c r="C72" s="13"/>
      <c r="D72" s="13"/>
      <c r="E72" s="13"/>
      <c r="F72" s="13"/>
      <c r="G72" s="49" t="s">
        <v>95</v>
      </c>
      <c r="H72" s="2">
        <f>H71/(SQRT(4))</f>
        <v>0.57720018922345806</v>
      </c>
      <c r="I72" s="2">
        <f t="shared" ref="I72:P72" si="36">I71/(SQRT(4))</f>
        <v>0.4306771790448109</v>
      </c>
      <c r="J72" s="2">
        <f t="shared" si="36"/>
        <v>1.892229719179303E-2</v>
      </c>
      <c r="K72" s="2">
        <f t="shared" si="36"/>
        <v>1.8922297191793024E-2</v>
      </c>
      <c r="L72" s="2">
        <f t="shared" si="36"/>
        <v>1.2568516700313819E-2</v>
      </c>
      <c r="M72" s="2">
        <f t="shared" si="36"/>
        <v>4.9077281131724828E-3</v>
      </c>
      <c r="N72" s="2">
        <f t="shared" si="36"/>
        <v>0.88892437546149017</v>
      </c>
      <c r="O72" s="2">
        <f t="shared" si="36"/>
        <v>3.8622100754188224</v>
      </c>
      <c r="P72" s="2">
        <f t="shared" si="36"/>
        <v>0.63737433393754561</v>
      </c>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ht="16" thickBot="1" x14ac:dyDescent="0.4">
      <c r="A74" s="13"/>
      <c r="B74" s="13"/>
      <c r="C74" s="13"/>
      <c r="D74" s="13"/>
      <c r="E74" s="13" t="s">
        <v>273</v>
      </c>
      <c r="F74" s="13"/>
      <c r="G74" s="13"/>
      <c r="H74" s="9" t="s">
        <v>3</v>
      </c>
      <c r="I74" s="9" t="s">
        <v>4</v>
      </c>
      <c r="J74" s="9" t="s">
        <v>5</v>
      </c>
      <c r="K74" s="9" t="s">
        <v>6</v>
      </c>
      <c r="L74" s="9" t="s">
        <v>7</v>
      </c>
      <c r="M74" s="9" t="s">
        <v>8</v>
      </c>
      <c r="N74" s="9" t="s">
        <v>9</v>
      </c>
      <c r="O74" s="9" t="s">
        <v>10</v>
      </c>
      <c r="P74" s="44" t="s">
        <v>139</v>
      </c>
      <c r="Q74" s="13"/>
      <c r="R74" s="13"/>
      <c r="S74" s="13"/>
      <c r="T74" s="13"/>
    </row>
    <row r="75" spans="1:20" x14ac:dyDescent="0.35">
      <c r="A75" s="13"/>
      <c r="B75" s="13"/>
      <c r="C75" s="13"/>
      <c r="D75" s="13"/>
      <c r="E75" s="13"/>
      <c r="F75" s="13"/>
      <c r="G75" s="49" t="s">
        <v>77</v>
      </c>
      <c r="H75" s="13">
        <f>AVERAGE(H39:H43,H45:H49,H51,H55:H56)</f>
        <v>4.9676938461538533</v>
      </c>
      <c r="I75" s="13">
        <f t="shared" ref="I75:P75" si="37">AVERAGE(I39:I43,I45:I49,I51,I55:I56)</f>
        <v>8.7183907692307621</v>
      </c>
      <c r="J75" s="13">
        <f t="shared" si="37"/>
        <v>0.37016213218601673</v>
      </c>
      <c r="K75" s="13">
        <f t="shared" si="37"/>
        <v>0.62983786781398332</v>
      </c>
      <c r="L75" s="13">
        <f t="shared" si="37"/>
        <v>0.21302421552136083</v>
      </c>
      <c r="M75" s="13">
        <f t="shared" si="37"/>
        <v>7.4244098064470826E-2</v>
      </c>
      <c r="N75" s="13">
        <f t="shared" si="37"/>
        <v>13.686084615384617</v>
      </c>
      <c r="O75" s="13">
        <f t="shared" si="37"/>
        <v>24.153846153846153</v>
      </c>
      <c r="P75" s="13">
        <f t="shared" si="37"/>
        <v>4.832490867116447</v>
      </c>
      <c r="Q75" s="13"/>
      <c r="R75" s="13"/>
      <c r="S75" s="13"/>
      <c r="T75" s="13"/>
    </row>
    <row r="76" spans="1:20" x14ac:dyDescent="0.35">
      <c r="A76" s="13"/>
      <c r="B76" s="13"/>
      <c r="C76" s="13"/>
      <c r="D76" s="13"/>
      <c r="E76" s="13"/>
      <c r="F76" s="13"/>
      <c r="G76" s="49" t="s">
        <v>94</v>
      </c>
      <c r="H76" s="2">
        <f>_xlfn.STDEV.S(H39:H43,H45:H49,H51,H55:H56)</f>
        <v>1.2628034991606318</v>
      </c>
      <c r="I76" s="2">
        <f t="shared" ref="I76:P76" si="38">_xlfn.STDEV.S(I39:I43,I45:I49,I51,I55:I56)</f>
        <v>2.3697480973107012</v>
      </c>
      <c r="J76" s="2">
        <f t="shared" si="38"/>
        <v>0.10241644990847906</v>
      </c>
      <c r="K76" s="2">
        <f t="shared" si="38"/>
        <v>0.10241644990847797</v>
      </c>
      <c r="L76" s="2">
        <f t="shared" si="38"/>
        <v>5.2546496916226246E-2</v>
      </c>
      <c r="M76" s="2">
        <f t="shared" si="38"/>
        <v>9.669927343624438E-3</v>
      </c>
      <c r="N76" s="2">
        <f t="shared" si="38"/>
        <v>1.8177704131417491</v>
      </c>
      <c r="O76" s="2">
        <f t="shared" si="38"/>
        <v>11.253489487311287</v>
      </c>
      <c r="P76" s="2">
        <f t="shared" si="38"/>
        <v>2.1796397892278514</v>
      </c>
      <c r="Q76" s="13"/>
      <c r="R76" s="13"/>
      <c r="S76" s="13"/>
      <c r="T76" s="13"/>
    </row>
    <row r="77" spans="1:20" x14ac:dyDescent="0.35">
      <c r="A77" s="13"/>
      <c r="B77" s="13"/>
      <c r="C77" s="13"/>
      <c r="D77" s="13"/>
      <c r="E77" s="13"/>
      <c r="F77" s="13"/>
      <c r="G77" s="49" t="s">
        <v>95</v>
      </c>
      <c r="H77" s="2">
        <f>H76/(SQRT(13))</f>
        <v>0.35023867438915424</v>
      </c>
      <c r="I77" s="2">
        <f t="shared" ref="I77:P77" si="39">I76/(SQRT(13))</f>
        <v>0.65724986729130475</v>
      </c>
      <c r="J77" s="2">
        <f t="shared" si="39"/>
        <v>2.8405212430462345E-2</v>
      </c>
      <c r="K77" s="2">
        <f t="shared" si="39"/>
        <v>2.840521243046204E-2</v>
      </c>
      <c r="L77" s="2">
        <f t="shared" si="39"/>
        <v>1.4573776075189549E-2</v>
      </c>
      <c r="M77" s="2">
        <f t="shared" si="39"/>
        <v>2.6819552974960922E-3</v>
      </c>
      <c r="N77" s="2">
        <f t="shared" si="39"/>
        <v>0.50415880243107203</v>
      </c>
      <c r="O77" s="2">
        <f t="shared" si="39"/>
        <v>3.1211564134150618</v>
      </c>
      <c r="P77" s="2">
        <f t="shared" si="39"/>
        <v>0.60452330939250309</v>
      </c>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x14ac:dyDescent="0.35">
      <c r="A81" s="13"/>
      <c r="B81" s="13"/>
      <c r="C81" s="13"/>
      <c r="D81" s="13"/>
      <c r="E81" s="13"/>
      <c r="F81" s="13"/>
      <c r="G81" s="13"/>
      <c r="H81" s="13"/>
      <c r="I81" s="13"/>
      <c r="J81" s="13"/>
      <c r="K81" s="13"/>
      <c r="L81" s="13"/>
      <c r="M81" s="13"/>
      <c r="N81" s="13"/>
      <c r="O81" s="13"/>
      <c r="P81" s="13"/>
      <c r="Q81" s="13"/>
      <c r="R81" s="13"/>
      <c r="S81" s="13"/>
      <c r="T81" s="13"/>
    </row>
    <row r="82" spans="1:20" x14ac:dyDescent="0.35">
      <c r="A82" s="13"/>
      <c r="B82" s="13"/>
      <c r="C82" s="13"/>
      <c r="D82" s="13"/>
      <c r="E82" s="13"/>
      <c r="F82" s="13"/>
      <c r="G82" s="13"/>
      <c r="H82" s="13"/>
      <c r="I82" s="13"/>
      <c r="J82" s="13"/>
      <c r="K82" s="13"/>
      <c r="L82" s="13"/>
      <c r="M82" s="13"/>
      <c r="N82" s="13"/>
      <c r="O82" s="13"/>
      <c r="P82" s="13"/>
      <c r="Q82" s="13"/>
      <c r="R82" s="13"/>
      <c r="S82" s="13"/>
      <c r="T82" s="13"/>
    </row>
    <row r="83" spans="1:20" x14ac:dyDescent="0.35">
      <c r="A83" s="13"/>
      <c r="B83" s="13"/>
      <c r="C83" s="13"/>
      <c r="D83" s="13"/>
      <c r="E83" s="13"/>
      <c r="F83" s="13"/>
      <c r="G83" s="13"/>
      <c r="H83" s="13"/>
      <c r="I83" s="13"/>
      <c r="J83" s="13"/>
      <c r="K83" s="13"/>
      <c r="L83" s="13"/>
      <c r="M83" s="13"/>
      <c r="N83" s="13"/>
      <c r="O83" s="13"/>
      <c r="P83" s="13"/>
      <c r="Q83" s="13"/>
      <c r="R83" s="13"/>
      <c r="S83" s="13"/>
      <c r="T83" s="13"/>
    </row>
    <row r="84" spans="1:20" x14ac:dyDescent="0.35">
      <c r="A84" s="13"/>
      <c r="B84" s="13"/>
      <c r="C84" s="13"/>
      <c r="D84" s="13"/>
      <c r="E84" s="13"/>
      <c r="F84" s="13"/>
      <c r="G84" s="13"/>
      <c r="H84" s="13"/>
      <c r="I84" s="13"/>
      <c r="J84" s="13"/>
      <c r="K84" s="13"/>
      <c r="L84" s="13"/>
      <c r="M84" s="13"/>
      <c r="N84" s="13"/>
      <c r="O84" s="13"/>
      <c r="P84" s="13"/>
      <c r="Q84" s="13"/>
      <c r="R84" s="13"/>
      <c r="S84" s="13"/>
      <c r="T84" s="13"/>
    </row>
    <row r="85" spans="1:20" x14ac:dyDescent="0.35">
      <c r="A85" s="13"/>
      <c r="B85" s="13"/>
      <c r="C85" s="13"/>
      <c r="D85" s="13"/>
      <c r="E85" s="13"/>
      <c r="F85" s="13"/>
      <c r="G85" s="13"/>
      <c r="H85" s="13"/>
      <c r="I85" s="13"/>
      <c r="J85" s="13"/>
      <c r="K85" s="13"/>
      <c r="L85" s="13"/>
      <c r="M85" s="13"/>
      <c r="N85" s="13"/>
      <c r="O85" s="13"/>
      <c r="P85" s="13"/>
      <c r="Q85" s="13"/>
      <c r="R85" s="13"/>
      <c r="S85" s="13"/>
      <c r="T85" s="13"/>
    </row>
    <row r="86" spans="1:20" x14ac:dyDescent="0.35">
      <c r="A86" s="13"/>
      <c r="B86" s="13"/>
      <c r="C86" s="13"/>
      <c r="D86" s="13"/>
      <c r="E86" s="13"/>
      <c r="F86" s="13"/>
      <c r="G86" s="13"/>
      <c r="H86" s="13"/>
      <c r="I86" s="13"/>
      <c r="J86" s="13"/>
      <c r="K86" s="13"/>
      <c r="L86" s="13"/>
      <c r="M86" s="13"/>
      <c r="N86" s="13"/>
      <c r="O86" s="13"/>
      <c r="P86" s="13"/>
      <c r="Q86" s="13"/>
      <c r="R86" s="13"/>
      <c r="S86" s="13"/>
      <c r="T86" s="13"/>
    </row>
    <row r="87" spans="1:20" ht="15.5" x14ac:dyDescent="0.35">
      <c r="A87" s="13"/>
      <c r="B87" s="13"/>
      <c r="C87" s="13"/>
      <c r="D87" s="13"/>
      <c r="E87" s="13"/>
      <c r="F87" s="13"/>
      <c r="G87" s="13"/>
      <c r="H87" s="14"/>
      <c r="I87" s="14"/>
      <c r="J87" s="14"/>
      <c r="K87" s="14"/>
      <c r="L87" s="14"/>
      <c r="M87" s="14"/>
      <c r="N87" s="14"/>
      <c r="O87" s="14"/>
      <c r="P87" s="14"/>
      <c r="Q87" s="13"/>
      <c r="R87" s="13"/>
      <c r="S87" s="13"/>
      <c r="T87" s="13"/>
    </row>
    <row r="88" spans="1:20" x14ac:dyDescent="0.35">
      <c r="A88" s="13"/>
      <c r="B88" s="13"/>
      <c r="C88" s="13"/>
      <c r="D88" s="49"/>
      <c r="E88" s="49"/>
      <c r="F88" s="13"/>
      <c r="G88" s="49"/>
      <c r="H88" s="13"/>
      <c r="I88" s="13"/>
      <c r="J88" s="13"/>
      <c r="K88" s="13"/>
      <c r="L88" s="13"/>
      <c r="M88" s="13"/>
      <c r="N88" s="13"/>
      <c r="O88" s="13"/>
      <c r="P88" s="13"/>
      <c r="Q88" s="13"/>
      <c r="R88" s="13"/>
      <c r="S88" s="13"/>
      <c r="T88" s="13"/>
    </row>
    <row r="89" spans="1:20" x14ac:dyDescent="0.35">
      <c r="A89" s="13"/>
      <c r="B89" s="13"/>
      <c r="C89" s="13"/>
      <c r="D89" s="49"/>
      <c r="E89" s="49"/>
      <c r="F89" s="13"/>
      <c r="G89" s="49"/>
      <c r="H89" s="13"/>
      <c r="I89" s="13"/>
      <c r="J89" s="13"/>
      <c r="K89" s="13"/>
      <c r="L89" s="13"/>
      <c r="M89" s="13"/>
      <c r="N89" s="13"/>
      <c r="O89" s="13"/>
      <c r="P89" s="13"/>
      <c r="Q89" s="13"/>
      <c r="R89" s="13"/>
      <c r="S89" s="13"/>
      <c r="T89" s="13"/>
    </row>
    <row r="90" spans="1:20" x14ac:dyDescent="0.35">
      <c r="A90" s="13"/>
      <c r="B90" s="13"/>
      <c r="C90" s="13"/>
      <c r="D90" s="49"/>
      <c r="E90" s="49"/>
      <c r="F90" s="13"/>
      <c r="G90" s="49"/>
      <c r="H90" s="13"/>
      <c r="I90" s="13"/>
      <c r="J90" s="13"/>
      <c r="K90" s="13"/>
      <c r="L90" s="13"/>
      <c r="M90" s="13"/>
      <c r="N90" s="13"/>
      <c r="O90" s="13"/>
      <c r="P90" s="13"/>
      <c r="Q90" s="13"/>
      <c r="R90" s="13"/>
      <c r="S90" s="13"/>
      <c r="T90" s="13"/>
    </row>
    <row r="91" spans="1:20" x14ac:dyDescent="0.35">
      <c r="A91" s="13"/>
      <c r="B91" s="13"/>
      <c r="C91" s="13"/>
      <c r="D91" s="49"/>
      <c r="E91" s="49"/>
      <c r="F91" s="13"/>
      <c r="G91" s="13"/>
      <c r="H91" s="13"/>
      <c r="I91" s="13"/>
      <c r="J91" s="13"/>
      <c r="K91" s="13"/>
      <c r="L91" s="13"/>
      <c r="M91" s="13"/>
      <c r="N91" s="13"/>
      <c r="O91" s="13"/>
      <c r="P91" s="13"/>
      <c r="Q91" s="13"/>
      <c r="R91" s="13"/>
      <c r="S91" s="13"/>
      <c r="T91" s="13"/>
    </row>
    <row r="92" spans="1:20" x14ac:dyDescent="0.35">
      <c r="A92" s="13"/>
      <c r="B92" s="13"/>
      <c r="C92" s="13"/>
      <c r="D92" s="49"/>
      <c r="E92" s="49"/>
      <c r="F92" s="13"/>
      <c r="G92" s="13"/>
      <c r="H92" s="13"/>
      <c r="I92" s="13"/>
      <c r="J92" s="13"/>
      <c r="K92" s="13"/>
      <c r="L92" s="13"/>
      <c r="M92" s="13"/>
      <c r="N92" s="13"/>
      <c r="O92" s="13"/>
      <c r="P92" s="13"/>
      <c r="Q92" s="13"/>
      <c r="R92" s="13"/>
      <c r="S92" s="13"/>
      <c r="T92" s="13"/>
    </row>
    <row r="93" spans="1:20" x14ac:dyDescent="0.35">
      <c r="A93" s="13"/>
      <c r="B93" s="13"/>
      <c r="C93" s="13"/>
      <c r="D93" s="49"/>
      <c r="E93" s="49"/>
      <c r="F93" s="13"/>
      <c r="G93" s="49"/>
      <c r="H93" s="13"/>
      <c r="I93" s="13"/>
      <c r="J93" s="13"/>
      <c r="K93" s="13"/>
      <c r="L93" s="13"/>
      <c r="M93" s="13"/>
      <c r="N93" s="13"/>
      <c r="O93" s="13"/>
      <c r="P93" s="13"/>
      <c r="Q93" s="13"/>
      <c r="R93" s="13"/>
      <c r="S93" s="13"/>
      <c r="T93" s="13"/>
    </row>
    <row r="94" spans="1:20" x14ac:dyDescent="0.35">
      <c r="A94" s="13"/>
      <c r="B94" s="13"/>
      <c r="C94" s="13"/>
      <c r="D94" s="49"/>
      <c r="E94" s="49"/>
      <c r="F94" s="13"/>
      <c r="G94" s="49"/>
      <c r="H94" s="13"/>
      <c r="I94" s="13"/>
      <c r="J94" s="13"/>
      <c r="K94" s="13"/>
      <c r="L94" s="13"/>
      <c r="M94" s="13"/>
      <c r="N94" s="13"/>
      <c r="O94" s="13"/>
      <c r="P94" s="13"/>
      <c r="Q94" s="13"/>
      <c r="R94" s="13"/>
      <c r="S94" s="13"/>
      <c r="T94" s="13"/>
    </row>
    <row r="95" spans="1:20" x14ac:dyDescent="0.35">
      <c r="A95" s="13"/>
      <c r="B95" s="13"/>
      <c r="C95" s="13"/>
      <c r="D95" s="13"/>
      <c r="E95" s="13"/>
      <c r="F95" s="13"/>
      <c r="G95" s="49"/>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x14ac:dyDescent="0.35">
      <c r="A97" s="13"/>
      <c r="B97" s="13"/>
      <c r="C97" s="13"/>
      <c r="D97" s="13"/>
      <c r="E97" s="49"/>
      <c r="F97" s="49"/>
      <c r="G97" s="49"/>
      <c r="H97" s="13"/>
      <c r="I97" s="13"/>
      <c r="J97" s="13"/>
      <c r="K97" s="13"/>
      <c r="L97" s="13"/>
      <c r="M97" s="13"/>
      <c r="N97" s="13"/>
      <c r="O97" s="13"/>
      <c r="P97" s="13"/>
      <c r="Q97" s="13"/>
      <c r="R97" s="13"/>
      <c r="S97" s="13"/>
      <c r="T97" s="13"/>
    </row>
    <row r="98" spans="1:20" x14ac:dyDescent="0.35">
      <c r="A98" s="13"/>
      <c r="B98" s="13"/>
      <c r="C98" s="13"/>
      <c r="D98" s="13"/>
      <c r="E98" s="49"/>
      <c r="F98" s="49"/>
      <c r="G98" s="49"/>
      <c r="H98" s="13"/>
      <c r="I98" s="13"/>
      <c r="J98" s="13"/>
      <c r="K98" s="13"/>
      <c r="L98" s="13"/>
      <c r="M98" s="13"/>
      <c r="N98" s="13"/>
      <c r="O98" s="13"/>
      <c r="P98" s="13"/>
      <c r="Q98" s="13"/>
      <c r="R98" s="13"/>
      <c r="S98" s="13"/>
      <c r="T98" s="13"/>
    </row>
    <row r="99" spans="1:20" x14ac:dyDescent="0.35">
      <c r="A99" s="13"/>
      <c r="B99" s="13"/>
      <c r="C99" s="13"/>
      <c r="D99" s="13"/>
      <c r="E99" s="49"/>
      <c r="F99" s="49"/>
      <c r="G99" s="49"/>
      <c r="H99" s="13"/>
      <c r="I99" s="13"/>
      <c r="J99" s="13"/>
      <c r="K99" s="13"/>
      <c r="L99" s="13"/>
      <c r="M99" s="13"/>
      <c r="N99" s="13"/>
      <c r="O99" s="13"/>
      <c r="P99" s="13"/>
      <c r="Q99" s="13"/>
      <c r="R99" s="13"/>
      <c r="S99" s="13"/>
      <c r="T99" s="13"/>
    </row>
    <row r="100" spans="1:20" x14ac:dyDescent="0.35">
      <c r="A100" s="13"/>
      <c r="B100" s="13"/>
      <c r="C100" s="13"/>
      <c r="D100" s="13"/>
      <c r="E100" s="49"/>
      <c r="F100" s="49"/>
      <c r="G100" s="49"/>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8.5" x14ac:dyDescent="0.45">
      <c r="A103" s="13"/>
      <c r="B103" s="13"/>
      <c r="C103" s="13"/>
      <c r="D103" s="13"/>
      <c r="E103" s="13"/>
      <c r="F103" s="149"/>
      <c r="G103" s="13"/>
      <c r="H103" s="13"/>
      <c r="I103" s="13"/>
      <c r="J103" s="13"/>
      <c r="K103" s="13"/>
      <c r="L103" s="13"/>
      <c r="M103" s="13"/>
      <c r="N103" s="13"/>
      <c r="O103" s="13"/>
      <c r="P103" s="13"/>
      <c r="Q103" s="13"/>
      <c r="R103" s="13"/>
      <c r="S103" s="13"/>
      <c r="T103" s="13"/>
    </row>
    <row r="104" spans="1:20" ht="15.5" x14ac:dyDescent="0.35">
      <c r="A104" s="13"/>
      <c r="B104" s="14"/>
      <c r="C104" s="14"/>
      <c r="D104" s="14"/>
      <c r="E104" s="14"/>
      <c r="F104" s="14"/>
      <c r="G104" s="14"/>
      <c r="H104" s="14"/>
      <c r="I104" s="14"/>
      <c r="J104" s="14"/>
      <c r="K104" s="14"/>
      <c r="L104" s="14"/>
      <c r="M104" s="14"/>
      <c r="N104" s="14"/>
      <c r="O104" s="14"/>
      <c r="P104" s="14"/>
      <c r="Q104" s="13"/>
      <c r="R104" s="14"/>
      <c r="S104" s="13"/>
      <c r="T104" s="13"/>
    </row>
    <row r="105" spans="1:20" x14ac:dyDescent="0.35">
      <c r="A105" s="13"/>
      <c r="B105" s="13"/>
      <c r="C105" s="13"/>
      <c r="D105" s="13"/>
      <c r="E105" s="13"/>
      <c r="F105" s="13"/>
      <c r="G105" s="13"/>
      <c r="H105" s="13"/>
      <c r="I105" s="13"/>
      <c r="J105" s="13"/>
      <c r="K105" s="13"/>
      <c r="L105" s="13"/>
      <c r="M105" s="13"/>
      <c r="N105" s="13"/>
      <c r="O105" s="13"/>
      <c r="P105" s="13"/>
      <c r="Q105" s="13"/>
      <c r="R105" s="13"/>
      <c r="S105" s="13"/>
      <c r="T105" s="13"/>
    </row>
    <row r="106" spans="1:20" x14ac:dyDescent="0.35">
      <c r="A106" s="13"/>
      <c r="B106" s="13"/>
      <c r="C106" s="13"/>
      <c r="D106" s="13"/>
      <c r="E106" s="13"/>
      <c r="F106" s="13"/>
      <c r="G106" s="13"/>
      <c r="H106" s="13"/>
      <c r="I106" s="13"/>
      <c r="J106" s="13"/>
      <c r="K106" s="13"/>
      <c r="L106" s="13"/>
      <c r="M106" s="13"/>
      <c r="N106" s="13"/>
      <c r="O106" s="13"/>
      <c r="P106" s="13"/>
      <c r="Q106" s="13"/>
      <c r="R106" s="13"/>
      <c r="S106" s="13"/>
      <c r="T106" s="13"/>
    </row>
    <row r="107" spans="1:20" x14ac:dyDescent="0.35">
      <c r="A107" s="13"/>
      <c r="B107" s="13"/>
      <c r="C107" s="13"/>
      <c r="D107" s="13"/>
      <c r="E107" s="13"/>
      <c r="F107" s="13"/>
      <c r="G107" s="13"/>
      <c r="H107" s="13"/>
      <c r="I107" s="13"/>
      <c r="J107" s="13"/>
      <c r="K107" s="13"/>
      <c r="L107" s="13"/>
      <c r="M107" s="13"/>
      <c r="N107" s="13"/>
      <c r="O107" s="13"/>
      <c r="P107" s="13"/>
      <c r="Q107" s="13"/>
      <c r="R107" s="13"/>
      <c r="S107" s="13"/>
      <c r="T107" s="13"/>
    </row>
    <row r="108" spans="1:20" x14ac:dyDescent="0.35">
      <c r="A108" s="13"/>
      <c r="B108" s="13"/>
      <c r="C108" s="13"/>
      <c r="D108" s="13"/>
      <c r="E108" s="13"/>
      <c r="F108" s="13"/>
      <c r="G108" s="13"/>
      <c r="H108" s="13"/>
      <c r="I108" s="13"/>
      <c r="J108" s="13"/>
      <c r="K108" s="13"/>
      <c r="L108" s="13"/>
      <c r="M108" s="13"/>
      <c r="N108" s="13"/>
      <c r="O108" s="13"/>
      <c r="P108" s="13"/>
      <c r="Q108" s="13"/>
      <c r="R108" s="13"/>
      <c r="S108" s="13"/>
      <c r="T108" s="13"/>
    </row>
    <row r="109" spans="1:20" x14ac:dyDescent="0.35">
      <c r="A109" s="13"/>
      <c r="B109" s="13"/>
      <c r="C109" s="13"/>
      <c r="D109" s="13"/>
      <c r="E109" s="13"/>
      <c r="F109" s="13"/>
      <c r="G109" s="13"/>
      <c r="H109" s="13"/>
      <c r="I109" s="13"/>
      <c r="J109" s="13"/>
      <c r="K109" s="13"/>
      <c r="L109" s="13"/>
      <c r="M109" s="13"/>
      <c r="N109" s="13"/>
      <c r="O109" s="13"/>
      <c r="P109" s="13"/>
      <c r="Q109" s="13"/>
      <c r="R109" s="13"/>
      <c r="S109" s="13"/>
      <c r="T109" s="13"/>
    </row>
    <row r="110" spans="1:20" x14ac:dyDescent="0.35">
      <c r="A110" s="13"/>
      <c r="B110" s="13"/>
      <c r="C110" s="13"/>
      <c r="D110" s="13"/>
      <c r="E110" s="13"/>
      <c r="F110" s="13"/>
      <c r="G110" s="13"/>
      <c r="H110" s="13"/>
      <c r="I110" s="13"/>
      <c r="J110" s="13"/>
      <c r="K110" s="13"/>
      <c r="L110" s="13"/>
      <c r="M110" s="13"/>
      <c r="N110" s="13"/>
      <c r="O110" s="13"/>
      <c r="P110" s="13"/>
      <c r="Q110" s="13"/>
      <c r="R110" s="13"/>
      <c r="S110" s="13"/>
      <c r="T110" s="13"/>
    </row>
    <row r="111" spans="1:20" x14ac:dyDescent="0.35">
      <c r="A111" s="49"/>
      <c r="B111" s="13"/>
      <c r="C111" s="13"/>
      <c r="D111" s="13"/>
      <c r="E111" s="13"/>
      <c r="F111" s="13"/>
      <c r="G111" s="13"/>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13"/>
      <c r="F113" s="13"/>
      <c r="G113" s="13"/>
      <c r="H113" s="13"/>
      <c r="I113" s="13"/>
      <c r="J113" s="13"/>
      <c r="K113" s="13"/>
      <c r="L113" s="13"/>
      <c r="M113" s="13"/>
      <c r="N113" s="13"/>
      <c r="O113" s="13"/>
      <c r="P113" s="13"/>
      <c r="Q113" s="13"/>
      <c r="R113" s="13"/>
      <c r="S113" s="13"/>
      <c r="T113" s="13"/>
    </row>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x14ac:dyDescent="0.35">
      <c r="A126" s="13"/>
      <c r="B126" s="13"/>
      <c r="C126" s="13"/>
      <c r="D126" s="13"/>
      <c r="E126" s="13"/>
      <c r="F126" s="13"/>
      <c r="G126" s="13"/>
      <c r="H126" s="13"/>
      <c r="I126" s="13"/>
      <c r="J126" s="13"/>
      <c r="K126" s="13"/>
      <c r="L126" s="13"/>
      <c r="M126" s="13"/>
      <c r="N126" s="13"/>
      <c r="O126" s="13"/>
      <c r="P126" s="13"/>
      <c r="Q126" s="13"/>
      <c r="R126" s="13"/>
      <c r="S126" s="13"/>
      <c r="T126" s="13"/>
    </row>
    <row r="127" spans="1:20" x14ac:dyDescent="0.35">
      <c r="A127" s="13"/>
      <c r="B127" s="13"/>
      <c r="C127" s="13"/>
      <c r="D127" s="13"/>
      <c r="E127" s="13"/>
      <c r="F127" s="13"/>
      <c r="G127" s="13"/>
      <c r="H127" s="13"/>
      <c r="I127" s="13"/>
      <c r="J127" s="13"/>
      <c r="K127" s="13"/>
      <c r="L127" s="13"/>
      <c r="M127" s="13"/>
      <c r="N127" s="13"/>
      <c r="O127" s="13"/>
      <c r="P127" s="13"/>
      <c r="Q127" s="13"/>
      <c r="R127" s="13"/>
      <c r="S127" s="13"/>
      <c r="T127" s="13"/>
    </row>
    <row r="128" spans="1:20" x14ac:dyDescent="0.35">
      <c r="A128" s="13"/>
      <c r="B128" s="13"/>
      <c r="C128" s="13"/>
      <c r="D128" s="13"/>
      <c r="E128" s="13"/>
      <c r="F128" s="13"/>
      <c r="G128" s="13"/>
      <c r="H128" s="13"/>
      <c r="I128" s="13"/>
      <c r="J128" s="13"/>
      <c r="K128" s="13"/>
      <c r="L128" s="13"/>
      <c r="M128" s="13"/>
      <c r="N128" s="13"/>
      <c r="O128" s="13"/>
      <c r="P128" s="13"/>
      <c r="Q128" s="13"/>
      <c r="R128" s="13"/>
      <c r="S128" s="13"/>
      <c r="T128" s="13"/>
    </row>
    <row r="129" spans="1:20" x14ac:dyDescent="0.35">
      <c r="A129" s="13"/>
      <c r="B129" s="13"/>
      <c r="C129" s="13"/>
      <c r="D129" s="13"/>
      <c r="E129" s="13"/>
      <c r="F129" s="13"/>
      <c r="G129" s="13"/>
      <c r="H129" s="13"/>
      <c r="I129" s="13"/>
      <c r="J129" s="13"/>
      <c r="K129" s="13"/>
      <c r="L129" s="13"/>
      <c r="M129" s="13"/>
      <c r="N129" s="13"/>
      <c r="O129" s="13"/>
      <c r="P129" s="13"/>
      <c r="Q129" s="13"/>
      <c r="R129" s="13"/>
      <c r="S129" s="13"/>
      <c r="T129" s="13"/>
    </row>
    <row r="130" spans="1:20" x14ac:dyDescent="0.35">
      <c r="A130" s="13"/>
      <c r="B130" s="13"/>
      <c r="C130" s="13"/>
      <c r="D130" s="13"/>
      <c r="E130" s="13"/>
      <c r="F130" s="13"/>
      <c r="G130" s="13"/>
      <c r="H130" s="13"/>
      <c r="I130" s="13"/>
      <c r="J130" s="13"/>
      <c r="K130" s="13"/>
      <c r="L130" s="13"/>
      <c r="M130" s="13"/>
      <c r="N130" s="13"/>
      <c r="O130" s="13"/>
      <c r="P130" s="13"/>
      <c r="Q130" s="13"/>
      <c r="R130" s="13"/>
      <c r="S130" s="13"/>
      <c r="T130" s="13"/>
    </row>
    <row r="131" spans="1:20" x14ac:dyDescent="0.35">
      <c r="A131" s="13"/>
      <c r="B131" s="13"/>
      <c r="C131" s="13"/>
      <c r="D131" s="13"/>
      <c r="E131" s="13"/>
      <c r="F131" s="13"/>
      <c r="G131" s="13"/>
      <c r="H131" s="13"/>
      <c r="I131" s="13"/>
      <c r="J131" s="13"/>
      <c r="K131" s="13"/>
      <c r="L131" s="13"/>
      <c r="M131" s="13"/>
      <c r="N131" s="13"/>
      <c r="O131" s="13"/>
      <c r="P131" s="13"/>
      <c r="Q131" s="13"/>
      <c r="R131" s="13"/>
      <c r="S131" s="13"/>
      <c r="T131" s="13"/>
    </row>
    <row r="132" spans="1:20" ht="15.5" x14ac:dyDescent="0.35">
      <c r="A132" s="13"/>
      <c r="B132" s="13"/>
      <c r="C132" s="13"/>
      <c r="D132" s="13"/>
      <c r="E132" s="13"/>
      <c r="F132" s="13"/>
      <c r="G132" s="13"/>
      <c r="H132" s="14"/>
      <c r="I132" s="14"/>
      <c r="J132" s="14"/>
      <c r="K132" s="14"/>
      <c r="L132" s="14"/>
      <c r="M132" s="14"/>
      <c r="N132" s="14"/>
      <c r="O132" s="14"/>
      <c r="P132" s="14"/>
      <c r="Q132" s="13"/>
      <c r="R132" s="13"/>
      <c r="S132" s="13"/>
      <c r="T132" s="13"/>
    </row>
    <row r="133" spans="1:20" x14ac:dyDescent="0.35">
      <c r="A133" s="13"/>
      <c r="B133" s="13"/>
      <c r="C133" s="13"/>
      <c r="D133" s="13"/>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49"/>
      <c r="F134" s="13"/>
      <c r="G134" s="49"/>
      <c r="H134" s="13"/>
      <c r="I134" s="13"/>
      <c r="J134" s="13"/>
      <c r="K134" s="13"/>
      <c r="L134" s="13"/>
      <c r="M134" s="13"/>
      <c r="N134" s="13"/>
      <c r="O134" s="13"/>
      <c r="P134" s="13"/>
      <c r="Q134" s="13"/>
      <c r="R134" s="13"/>
      <c r="S134" s="13"/>
      <c r="T134" s="13"/>
    </row>
    <row r="135" spans="1:20" x14ac:dyDescent="0.35">
      <c r="A135" s="13"/>
      <c r="B135" s="13"/>
      <c r="C135" s="13"/>
      <c r="D135" s="13"/>
      <c r="E135" s="49"/>
      <c r="F135" s="13"/>
      <c r="G135" s="49"/>
      <c r="H135" s="13"/>
      <c r="I135" s="13"/>
      <c r="J135" s="13"/>
      <c r="K135" s="13"/>
      <c r="L135" s="13"/>
      <c r="M135" s="13"/>
      <c r="N135" s="13"/>
      <c r="O135" s="13"/>
      <c r="P135" s="13"/>
      <c r="Q135" s="13"/>
      <c r="R135" s="13"/>
      <c r="S135" s="13"/>
      <c r="T135" s="13"/>
    </row>
    <row r="136" spans="1:20" x14ac:dyDescent="0.35">
      <c r="A136" s="13"/>
      <c r="B136" s="13"/>
      <c r="C136" s="13"/>
      <c r="D136" s="13"/>
      <c r="E136" s="49"/>
      <c r="F136" s="13"/>
      <c r="G136" s="13"/>
      <c r="H136" s="13"/>
      <c r="I136" s="13"/>
      <c r="J136" s="13"/>
      <c r="K136" s="13"/>
      <c r="L136" s="13"/>
      <c r="M136" s="13"/>
      <c r="N136" s="13"/>
      <c r="O136" s="13"/>
      <c r="P136" s="13"/>
      <c r="Q136" s="13"/>
      <c r="R136" s="13"/>
      <c r="S136" s="13"/>
      <c r="T136" s="13"/>
    </row>
    <row r="137" spans="1:20" x14ac:dyDescent="0.35">
      <c r="A137" s="13"/>
      <c r="B137" s="13"/>
      <c r="C137" s="13"/>
      <c r="D137" s="13"/>
      <c r="E137" s="49"/>
      <c r="F137" s="13"/>
      <c r="G137" s="13"/>
      <c r="H137" s="13"/>
      <c r="I137" s="13"/>
      <c r="J137" s="13"/>
      <c r="K137" s="13"/>
      <c r="L137" s="13"/>
      <c r="M137" s="13"/>
      <c r="N137" s="13"/>
      <c r="O137" s="13"/>
      <c r="P137" s="13"/>
      <c r="Q137" s="13"/>
      <c r="R137" s="13"/>
      <c r="S137" s="13"/>
      <c r="T137" s="13"/>
    </row>
    <row r="138" spans="1:20" x14ac:dyDescent="0.35">
      <c r="A138" s="13"/>
      <c r="B138" s="13"/>
      <c r="C138" s="13"/>
      <c r="D138" s="13"/>
      <c r="E138" s="49"/>
      <c r="F138" s="13"/>
      <c r="G138" s="49"/>
      <c r="H138" s="13"/>
      <c r="I138" s="13"/>
      <c r="J138" s="13"/>
      <c r="K138" s="13"/>
      <c r="L138" s="13"/>
      <c r="M138" s="13"/>
      <c r="N138" s="13"/>
      <c r="O138" s="13"/>
      <c r="P138" s="13"/>
      <c r="Q138" s="13"/>
      <c r="R138" s="13"/>
      <c r="S138" s="13"/>
      <c r="T138" s="13"/>
    </row>
    <row r="139" spans="1:20" x14ac:dyDescent="0.35">
      <c r="A139" s="13"/>
      <c r="B139" s="13"/>
      <c r="C139" s="13"/>
      <c r="D139" s="13"/>
      <c r="E139" s="49"/>
      <c r="F139" s="13"/>
      <c r="G139" s="49"/>
      <c r="H139" s="13"/>
      <c r="I139" s="13"/>
      <c r="J139" s="13"/>
      <c r="K139" s="13"/>
      <c r="L139" s="13"/>
      <c r="M139" s="13"/>
      <c r="N139" s="13"/>
      <c r="O139" s="13"/>
      <c r="P139" s="13"/>
      <c r="Q139" s="13"/>
      <c r="R139" s="13"/>
      <c r="S139" s="13"/>
      <c r="T139" s="13"/>
    </row>
    <row r="140" spans="1:20" x14ac:dyDescent="0.35">
      <c r="A140" s="13"/>
      <c r="B140" s="13"/>
      <c r="C140" s="13"/>
      <c r="D140" s="13"/>
      <c r="E140" s="13"/>
      <c r="F140" s="13"/>
      <c r="G140" s="49"/>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49"/>
      <c r="F142" s="49"/>
      <c r="G142" s="49"/>
      <c r="H142" s="13"/>
      <c r="I142" s="13"/>
      <c r="J142" s="13"/>
      <c r="K142" s="13"/>
      <c r="L142" s="13"/>
      <c r="M142" s="13"/>
      <c r="N142" s="13"/>
      <c r="O142" s="13"/>
      <c r="P142" s="13"/>
      <c r="Q142" s="13"/>
      <c r="R142" s="13"/>
      <c r="S142" s="13"/>
      <c r="T142" s="13"/>
    </row>
    <row r="143" spans="1:20" x14ac:dyDescent="0.35">
      <c r="A143" s="13"/>
      <c r="B143" s="13"/>
      <c r="C143" s="13"/>
      <c r="D143" s="13"/>
      <c r="E143" s="49"/>
      <c r="F143" s="49"/>
      <c r="G143" s="49"/>
      <c r="H143" s="13"/>
      <c r="I143" s="13"/>
      <c r="J143" s="13"/>
      <c r="K143" s="13"/>
      <c r="L143" s="13"/>
      <c r="M143" s="13"/>
      <c r="N143" s="13"/>
      <c r="O143" s="13"/>
      <c r="P143" s="13"/>
      <c r="Q143" s="13"/>
      <c r="R143" s="13"/>
      <c r="S143" s="13"/>
      <c r="T143" s="13"/>
    </row>
    <row r="144" spans="1:20" x14ac:dyDescent="0.35">
      <c r="A144" s="13"/>
      <c r="B144" s="13"/>
      <c r="C144" s="13"/>
      <c r="D144" s="13"/>
      <c r="E144" s="49"/>
      <c r="F144" s="49"/>
      <c r="G144" s="49"/>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row r="151" spans="1:20" x14ac:dyDescent="0.35">
      <c r="A151" s="13"/>
      <c r="B151" s="13"/>
      <c r="C151" s="13"/>
      <c r="D151" s="13"/>
      <c r="E151" s="13"/>
      <c r="F151" s="13"/>
      <c r="G151" s="13"/>
      <c r="H151" s="13"/>
      <c r="I151" s="13"/>
      <c r="J151" s="13"/>
      <c r="K151" s="13"/>
      <c r="L151" s="13"/>
      <c r="M151" s="13"/>
      <c r="N151" s="13"/>
      <c r="O151" s="13"/>
      <c r="P151" s="13"/>
      <c r="Q151" s="13"/>
      <c r="R151" s="13"/>
      <c r="S151" s="13"/>
      <c r="T151" s="13"/>
    </row>
    <row r="152" spans="1:20" x14ac:dyDescent="0.35">
      <c r="A152" s="13"/>
      <c r="B152" s="13"/>
      <c r="C152" s="13"/>
      <c r="D152" s="13"/>
      <c r="E152" s="13"/>
      <c r="F152" s="13"/>
      <c r="G152" s="13"/>
      <c r="H152" s="13"/>
      <c r="I152" s="13"/>
      <c r="J152" s="13"/>
      <c r="K152" s="13"/>
      <c r="L152" s="13"/>
      <c r="M152" s="13"/>
      <c r="N152" s="13"/>
      <c r="O152" s="13"/>
      <c r="P152" s="13"/>
      <c r="Q152" s="13"/>
      <c r="R152" s="13"/>
      <c r="S152" s="13"/>
      <c r="T152" s="13"/>
    </row>
    <row r="153" spans="1:20" x14ac:dyDescent="0.35">
      <c r="A153" s="13"/>
      <c r="B153" s="13"/>
      <c r="C153" s="13"/>
      <c r="D153" s="13"/>
      <c r="E153" s="13"/>
      <c r="F153" s="13"/>
      <c r="G153" s="13"/>
      <c r="H153" s="13"/>
      <c r="I153" s="13"/>
      <c r="J153" s="13"/>
      <c r="K153" s="13"/>
      <c r="L153" s="13"/>
      <c r="M153" s="13"/>
      <c r="N153" s="13"/>
      <c r="O153" s="13"/>
      <c r="P153" s="13"/>
      <c r="Q153" s="13"/>
      <c r="R153" s="13"/>
      <c r="S153" s="13"/>
      <c r="T153" s="13"/>
    </row>
    <row r="154" spans="1:20" x14ac:dyDescent="0.35">
      <c r="A154" s="13"/>
      <c r="B154" s="13"/>
      <c r="C154" s="13"/>
      <c r="D154" s="13"/>
      <c r="E154" s="13"/>
      <c r="F154" s="13"/>
      <c r="G154" s="13"/>
      <c r="H154" s="13"/>
      <c r="I154" s="13"/>
      <c r="J154" s="13"/>
      <c r="K154" s="13"/>
      <c r="L154" s="13"/>
      <c r="M154" s="13"/>
      <c r="N154" s="13"/>
      <c r="O154" s="13"/>
      <c r="P154" s="13"/>
      <c r="Q154" s="13"/>
      <c r="R154" s="13"/>
      <c r="S154" s="13"/>
      <c r="T154" s="13"/>
    </row>
    <row r="155" spans="1:20" x14ac:dyDescent="0.35">
      <c r="A155" s="13"/>
      <c r="B155" s="13"/>
      <c r="C155" s="13"/>
      <c r="D155" s="13"/>
      <c r="E155" s="13"/>
      <c r="F155" s="13"/>
      <c r="G155" s="13"/>
      <c r="H155" s="13"/>
      <c r="I155" s="13"/>
      <c r="J155" s="13"/>
      <c r="K155" s="13"/>
      <c r="L155" s="13"/>
      <c r="M155" s="13"/>
      <c r="N155" s="13"/>
      <c r="O155" s="13"/>
      <c r="P155" s="13"/>
      <c r="Q155" s="13"/>
      <c r="R155" s="13"/>
      <c r="S155" s="13"/>
      <c r="T155" s="13"/>
    </row>
    <row r="156" spans="1:20" x14ac:dyDescent="0.35">
      <c r="A156" s="13"/>
      <c r="B156" s="13"/>
      <c r="C156" s="13"/>
      <c r="D156" s="13"/>
      <c r="E156" s="13"/>
      <c r="F156" s="13"/>
      <c r="G156" s="13"/>
      <c r="H156" s="13"/>
      <c r="I156" s="13"/>
      <c r="J156" s="13"/>
      <c r="K156" s="13"/>
      <c r="L156" s="13"/>
      <c r="M156" s="13"/>
      <c r="N156" s="13"/>
      <c r="O156" s="13"/>
      <c r="P156" s="13"/>
      <c r="Q156" s="13"/>
      <c r="R156" s="13"/>
      <c r="S156" s="13"/>
      <c r="T156"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27"/>
  <sheetViews>
    <sheetView topLeftCell="D1" workbookViewId="0">
      <selection activeCell="R29" sqref="R29"/>
    </sheetView>
  </sheetViews>
  <sheetFormatPr defaultRowHeight="14.5" x14ac:dyDescent="0.35"/>
  <cols>
    <col min="2" max="2" width="10.54296875" customWidth="1"/>
    <col min="3" max="3" width="10.26953125" customWidth="1"/>
    <col min="13" max="13" width="11" customWidth="1"/>
  </cols>
  <sheetData>
    <row r="4" spans="2:37" ht="18.5" x14ac:dyDescent="0.45">
      <c r="B4" s="2"/>
      <c r="C4" s="1" t="s">
        <v>117</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6.9624699999999997</v>
      </c>
      <c r="G7" s="2">
        <v>13.557449999999999</v>
      </c>
      <c r="H7" s="2">
        <f>G7-F7</f>
        <v>6.5949799999999996</v>
      </c>
      <c r="I7" s="2">
        <f t="shared" ref="I7:I12" si="0">F8-G7</f>
        <v>10.73884</v>
      </c>
      <c r="J7" s="2">
        <f t="shared" ref="J7:J12" si="1">H7/N7</f>
        <v>0.38046893298765072</v>
      </c>
      <c r="K7" s="2">
        <f t="shared" ref="K7:K12" si="2">I7/N7</f>
        <v>0.61953106701234928</v>
      </c>
      <c r="L7" s="2">
        <f t="shared" ref="L7:L12" si="3">1/H7</f>
        <v>0.15163048257917386</v>
      </c>
      <c r="M7" s="2">
        <f t="shared" ref="M7:M12" si="4">1/N7</f>
        <v>5.769068791530084E-2</v>
      </c>
      <c r="N7" s="2">
        <f t="shared" ref="N7:N12" si="5">H7+I7</f>
        <v>17.333819999999999</v>
      </c>
      <c r="O7" s="2">
        <v>31</v>
      </c>
      <c r="P7">
        <f t="shared" ref="P7:P12" si="6">O7/H7</f>
        <v>4.7005449599543896</v>
      </c>
      <c r="R7" t="s">
        <v>638</v>
      </c>
      <c r="Y7" s="2"/>
      <c r="Z7" s="2"/>
      <c r="AA7" s="2">
        <f>Z7-Y7</f>
        <v>0</v>
      </c>
      <c r="AB7" s="2">
        <f t="shared" ref="AB7:AB12" si="7">Y8-Z7</f>
        <v>0</v>
      </c>
      <c r="AC7" s="2" t="e">
        <f>AA7/AG7</f>
        <v>#DIV/0!</v>
      </c>
      <c r="AD7" s="2" t="e">
        <f>AB7/AG7</f>
        <v>#DIV/0!</v>
      </c>
      <c r="AE7" s="2" t="e">
        <f>1/AA7</f>
        <v>#DIV/0!</v>
      </c>
      <c r="AF7" s="2" t="e">
        <f>1/AG7</f>
        <v>#DIV/0!</v>
      </c>
      <c r="AG7" s="2">
        <f>AA7+AB7</f>
        <v>0</v>
      </c>
      <c r="AH7" s="2"/>
      <c r="AK7" t="s">
        <v>314</v>
      </c>
    </row>
    <row r="8" spans="2:37" x14ac:dyDescent="0.35">
      <c r="B8" s="2"/>
      <c r="C8" s="2"/>
      <c r="D8" s="2"/>
      <c r="E8" s="2"/>
      <c r="F8" s="2">
        <v>24.296289999999999</v>
      </c>
      <c r="G8" s="2">
        <v>33.646949999999997</v>
      </c>
      <c r="H8" s="2">
        <f t="shared" ref="H8:H13" si="8">G8-F8</f>
        <v>9.3506599999999978</v>
      </c>
      <c r="I8" s="2">
        <f t="shared" si="0"/>
        <v>10.772540000000006</v>
      </c>
      <c r="J8" s="2">
        <f t="shared" si="1"/>
        <v>0.46467062892581679</v>
      </c>
      <c r="K8" s="2">
        <f t="shared" si="2"/>
        <v>0.53532937107418321</v>
      </c>
      <c r="L8" s="2">
        <f t="shared" si="3"/>
        <v>0.10694432264674368</v>
      </c>
      <c r="M8" s="2">
        <f t="shared" si="4"/>
        <v>4.9693885664307852E-2</v>
      </c>
      <c r="N8" s="2">
        <f t="shared" si="5"/>
        <v>20.123200000000004</v>
      </c>
      <c r="O8" s="2">
        <v>47</v>
      </c>
      <c r="P8">
        <f t="shared" si="6"/>
        <v>5.026383164396953</v>
      </c>
      <c r="Y8" s="2"/>
      <c r="Z8" s="2"/>
      <c r="AA8" s="2">
        <f t="shared" ref="AA8:AA13" si="9">Z8-Y8</f>
        <v>0</v>
      </c>
      <c r="AB8" s="2">
        <f t="shared" si="7"/>
        <v>0</v>
      </c>
      <c r="AC8" s="2" t="e">
        <f t="shared" ref="AC8:AC13" si="10">AA8/AG8</f>
        <v>#DIV/0!</v>
      </c>
      <c r="AD8" s="2" t="e">
        <f t="shared" ref="AD8:AD13" si="11">AB8/AG8</f>
        <v>#DIV/0!</v>
      </c>
      <c r="AE8" s="2" t="e">
        <f t="shared" ref="AE8:AE13" si="12">1/AA8</f>
        <v>#DIV/0!</v>
      </c>
      <c r="AF8" s="2" t="e">
        <f t="shared" ref="AF8:AF13" si="13">1/AG8</f>
        <v>#DIV/0!</v>
      </c>
      <c r="AG8" s="2">
        <f t="shared" ref="AG8:AG13" si="14">AA8+AB8</f>
        <v>0</v>
      </c>
      <c r="AH8" s="2"/>
    </row>
    <row r="9" spans="2:37" x14ac:dyDescent="0.35">
      <c r="B9" s="2"/>
      <c r="C9" s="2"/>
      <c r="D9" s="2"/>
      <c r="E9" s="2"/>
      <c r="F9" s="2">
        <v>44.419490000000003</v>
      </c>
      <c r="G9" s="2">
        <v>51.187330000000003</v>
      </c>
      <c r="H9" s="2">
        <f t="shared" si="8"/>
        <v>6.7678399999999996</v>
      </c>
      <c r="I9" s="2">
        <f t="shared" si="0"/>
        <v>9.4133599999999973</v>
      </c>
      <c r="J9" s="2">
        <f t="shared" si="1"/>
        <v>0.41825328158603819</v>
      </c>
      <c r="K9" s="2">
        <f t="shared" si="2"/>
        <v>0.58174671841396186</v>
      </c>
      <c r="L9" s="2">
        <f t="shared" si="3"/>
        <v>0.14775763020402374</v>
      </c>
      <c r="M9" s="2">
        <f t="shared" si="4"/>
        <v>6.180011371220924E-2</v>
      </c>
      <c r="N9" s="2">
        <f t="shared" si="5"/>
        <v>16.181199999999997</v>
      </c>
      <c r="O9" s="2">
        <v>36</v>
      </c>
      <c r="P9">
        <f t="shared" si="6"/>
        <v>5.3192746873448549</v>
      </c>
      <c r="Y9" s="2"/>
      <c r="Z9" s="2"/>
      <c r="AA9" s="2">
        <f t="shared" si="9"/>
        <v>0</v>
      </c>
      <c r="AB9" s="2">
        <f t="shared" si="7"/>
        <v>0</v>
      </c>
      <c r="AC9" s="2" t="e">
        <f t="shared" si="10"/>
        <v>#DIV/0!</v>
      </c>
      <c r="AD9" s="2" t="e">
        <f t="shared" si="11"/>
        <v>#DIV/0!</v>
      </c>
      <c r="AE9" s="2" t="e">
        <f t="shared" si="12"/>
        <v>#DIV/0!</v>
      </c>
      <c r="AF9" s="2" t="e">
        <f t="shared" si="13"/>
        <v>#DIV/0!</v>
      </c>
      <c r="AG9" s="2">
        <f t="shared" si="14"/>
        <v>0</v>
      </c>
      <c r="AH9" s="2"/>
    </row>
    <row r="10" spans="2:37" x14ac:dyDescent="0.35">
      <c r="B10" s="2"/>
      <c r="C10" s="2"/>
      <c r="D10" s="2"/>
      <c r="E10" s="2"/>
      <c r="F10" s="13">
        <v>60.60069</v>
      </c>
      <c r="G10" s="13">
        <v>67.046030000000002</v>
      </c>
      <c r="H10" s="2">
        <f t="shared" si="8"/>
        <v>6.4453400000000016</v>
      </c>
      <c r="I10" s="2">
        <f t="shared" si="0"/>
        <v>11.553159999999991</v>
      </c>
      <c r="J10" s="2">
        <f t="shared" si="1"/>
        <v>0.35810428646831705</v>
      </c>
      <c r="K10" s="2">
        <f t="shared" si="2"/>
        <v>0.64189571353168295</v>
      </c>
      <c r="L10" s="2">
        <f t="shared" si="3"/>
        <v>0.15515085317454158</v>
      </c>
      <c r="M10" s="2">
        <f t="shared" si="4"/>
        <v>5.5560185571019827E-2</v>
      </c>
      <c r="N10" s="2">
        <f t="shared" si="5"/>
        <v>17.998499999999993</v>
      </c>
      <c r="O10" s="13">
        <v>35</v>
      </c>
      <c r="P10">
        <f t="shared" si="6"/>
        <v>5.4302798611089544</v>
      </c>
      <c r="Y10" s="13"/>
      <c r="Z10" s="13"/>
      <c r="AA10" s="2">
        <f t="shared" si="9"/>
        <v>0</v>
      </c>
      <c r="AB10" s="2">
        <f t="shared" si="7"/>
        <v>0</v>
      </c>
      <c r="AC10" s="2" t="e">
        <f t="shared" si="10"/>
        <v>#DIV/0!</v>
      </c>
      <c r="AD10" s="2" t="e">
        <f t="shared" si="11"/>
        <v>#DIV/0!</v>
      </c>
      <c r="AE10" s="2" t="e">
        <f t="shared" si="12"/>
        <v>#DIV/0!</v>
      </c>
      <c r="AF10" s="2" t="e">
        <f t="shared" si="13"/>
        <v>#DIV/0!</v>
      </c>
      <c r="AG10" s="2">
        <f t="shared" si="14"/>
        <v>0</v>
      </c>
      <c r="AH10" s="13"/>
    </row>
    <row r="11" spans="2:37" x14ac:dyDescent="0.35">
      <c r="B11" s="2"/>
      <c r="C11" s="2"/>
      <c r="D11" s="2"/>
      <c r="E11" s="2"/>
      <c r="F11" s="13">
        <v>78.599189999999993</v>
      </c>
      <c r="G11" s="13">
        <v>85.258610000000004</v>
      </c>
      <c r="H11" s="2">
        <f t="shared" si="8"/>
        <v>6.6594200000000114</v>
      </c>
      <c r="I11" s="2">
        <f t="shared" si="0"/>
        <v>12.166219999999996</v>
      </c>
      <c r="J11" s="2">
        <f t="shared" si="1"/>
        <v>0.35374202417553979</v>
      </c>
      <c r="K11" s="2">
        <f t="shared" si="2"/>
        <v>0.64625797582446021</v>
      </c>
      <c r="L11" s="2">
        <f t="shared" si="3"/>
        <v>0.15016322742821422</v>
      </c>
      <c r="M11" s="2">
        <f t="shared" si="4"/>
        <v>5.3119044027188429E-2</v>
      </c>
      <c r="N11" s="2">
        <f t="shared" si="5"/>
        <v>18.825640000000007</v>
      </c>
      <c r="O11" s="13">
        <v>37</v>
      </c>
      <c r="P11">
        <f t="shared" si="6"/>
        <v>5.5560394148439256</v>
      </c>
      <c r="Y11" s="13"/>
      <c r="Z11" s="13"/>
      <c r="AA11" s="2">
        <f t="shared" si="9"/>
        <v>0</v>
      </c>
      <c r="AB11" s="2">
        <f t="shared" si="7"/>
        <v>0</v>
      </c>
      <c r="AC11" s="2" t="e">
        <f t="shared" si="10"/>
        <v>#DIV/0!</v>
      </c>
      <c r="AD11" s="2" t="e">
        <f t="shared" si="11"/>
        <v>#DIV/0!</v>
      </c>
      <c r="AE11" s="2" t="e">
        <f t="shared" si="12"/>
        <v>#DIV/0!</v>
      </c>
      <c r="AF11" s="2" t="e">
        <f t="shared" si="13"/>
        <v>#DIV/0!</v>
      </c>
      <c r="AG11" s="2">
        <f t="shared" si="14"/>
        <v>0</v>
      </c>
      <c r="AH11" s="13"/>
    </row>
    <row r="12" spans="2:37" x14ac:dyDescent="0.35">
      <c r="B12" s="2"/>
      <c r="C12" s="2"/>
      <c r="D12" s="2"/>
      <c r="E12" s="2"/>
      <c r="F12" s="13">
        <v>97.42483</v>
      </c>
      <c r="G12" s="13">
        <v>99.665289999999999</v>
      </c>
      <c r="H12" s="2">
        <f t="shared" si="8"/>
        <v>2.2404599999999988</v>
      </c>
      <c r="I12" s="2">
        <f t="shared" si="0"/>
        <v>10.821449999999999</v>
      </c>
      <c r="J12" s="2">
        <f t="shared" si="1"/>
        <v>0.17152621630374112</v>
      </c>
      <c r="K12" s="2">
        <f t="shared" si="2"/>
        <v>0.8284737836962589</v>
      </c>
      <c r="L12" s="2">
        <f t="shared" si="3"/>
        <v>0.44633691295537548</v>
      </c>
      <c r="M12" s="2">
        <f t="shared" si="4"/>
        <v>7.6558481875927814E-2</v>
      </c>
      <c r="N12" s="2">
        <f t="shared" si="5"/>
        <v>13.061909999999997</v>
      </c>
      <c r="O12" s="13">
        <v>15</v>
      </c>
      <c r="P12">
        <f t="shared" si="6"/>
        <v>6.6950536943306318</v>
      </c>
      <c r="Y12" s="13"/>
      <c r="Z12" s="13"/>
      <c r="AA12" s="2">
        <f t="shared" si="9"/>
        <v>0</v>
      </c>
      <c r="AB12" s="2">
        <f t="shared" si="7"/>
        <v>0</v>
      </c>
      <c r="AC12" s="2" t="e">
        <f t="shared" si="10"/>
        <v>#DIV/0!</v>
      </c>
      <c r="AD12" s="2" t="e">
        <f t="shared" si="11"/>
        <v>#DIV/0!</v>
      </c>
      <c r="AE12" s="2" t="e">
        <f t="shared" si="12"/>
        <v>#DIV/0!</v>
      </c>
      <c r="AF12" s="2" t="e">
        <f t="shared" si="13"/>
        <v>#DIV/0!</v>
      </c>
      <c r="AG12" s="2">
        <f t="shared" si="14"/>
        <v>0</v>
      </c>
      <c r="AH12" s="13"/>
    </row>
    <row r="13" spans="2:37" x14ac:dyDescent="0.35">
      <c r="B13" s="2"/>
      <c r="C13" s="2"/>
      <c r="D13" s="2"/>
      <c r="E13" s="2"/>
      <c r="F13" s="13">
        <v>110.48674</v>
      </c>
      <c r="G13" s="13">
        <v>118.75006</v>
      </c>
      <c r="H13" s="2">
        <f t="shared" si="8"/>
        <v>8.2633200000000073</v>
      </c>
      <c r="I13" s="2"/>
      <c r="J13" s="2"/>
      <c r="K13" s="2"/>
      <c r="L13" s="2"/>
      <c r="M13" s="2"/>
      <c r="N13" s="2"/>
      <c r="O13" s="13"/>
      <c r="Y13" s="13"/>
      <c r="Z13" s="13"/>
      <c r="AA13" s="2">
        <f t="shared" si="9"/>
        <v>0</v>
      </c>
      <c r="AB13" s="2" t="e">
        <f>#REF!-Z13</f>
        <v>#REF!</v>
      </c>
      <c r="AC13" s="2" t="e">
        <f t="shared" si="10"/>
        <v>#REF!</v>
      </c>
      <c r="AD13" s="2" t="e">
        <f t="shared" si="11"/>
        <v>#REF!</v>
      </c>
      <c r="AE13" s="2" t="e">
        <f t="shared" si="12"/>
        <v>#DIV/0!</v>
      </c>
      <c r="AF13" s="2" t="e">
        <f t="shared" si="13"/>
        <v>#REF!</v>
      </c>
      <c r="AG13" s="2" t="e">
        <f t="shared" si="14"/>
        <v>#REF!</v>
      </c>
      <c r="AH13" s="13"/>
    </row>
    <row r="14" spans="2:37" x14ac:dyDescent="0.35">
      <c r="B14" s="2"/>
      <c r="C14" s="2"/>
      <c r="D14" s="2"/>
      <c r="E14" s="2"/>
      <c r="F14" s="13"/>
      <c r="G14" s="13"/>
      <c r="H14" s="2"/>
      <c r="I14" s="2"/>
      <c r="J14" s="2"/>
      <c r="K14" s="2"/>
      <c r="L14" s="2"/>
      <c r="M14" s="2"/>
      <c r="N14" s="2"/>
      <c r="O14" s="2"/>
      <c r="Y14" s="13"/>
      <c r="Z14" s="13"/>
      <c r="AA14" s="2"/>
      <c r="AB14" s="2"/>
      <c r="AC14" s="2"/>
      <c r="AD14" s="2"/>
      <c r="AE14" s="2"/>
      <c r="AF14" s="2"/>
      <c r="AG14" s="2"/>
      <c r="AH14" s="2"/>
    </row>
    <row r="15" spans="2:37" ht="16" thickBot="1" x14ac:dyDescent="0.4">
      <c r="B15" s="2"/>
      <c r="C15" s="2"/>
      <c r="D15" s="2"/>
      <c r="E15" s="2"/>
      <c r="F15" s="13"/>
      <c r="G15" s="13"/>
      <c r="H15" s="9" t="s">
        <v>3</v>
      </c>
      <c r="I15" s="9" t="s">
        <v>4</v>
      </c>
      <c r="J15" s="9" t="s">
        <v>5</v>
      </c>
      <c r="K15" s="9" t="s">
        <v>6</v>
      </c>
      <c r="L15" s="9" t="s">
        <v>7</v>
      </c>
      <c r="M15" s="9" t="s">
        <v>8</v>
      </c>
      <c r="N15" s="9" t="s">
        <v>9</v>
      </c>
      <c r="O15" s="9" t="s">
        <v>10</v>
      </c>
      <c r="P15" s="44" t="s">
        <v>139</v>
      </c>
      <c r="Y15" s="13"/>
      <c r="Z15" s="13"/>
      <c r="AA15" s="9" t="s">
        <v>3</v>
      </c>
      <c r="AB15" s="9" t="s">
        <v>4</v>
      </c>
      <c r="AC15" s="9" t="s">
        <v>5</v>
      </c>
      <c r="AD15" s="9" t="s">
        <v>6</v>
      </c>
      <c r="AE15" s="9" t="s">
        <v>7</v>
      </c>
      <c r="AF15" s="9" t="s">
        <v>8</v>
      </c>
      <c r="AG15" s="9" t="s">
        <v>9</v>
      </c>
      <c r="AH15" s="9" t="s">
        <v>10</v>
      </c>
      <c r="AI15" s="44" t="s">
        <v>139</v>
      </c>
    </row>
    <row r="16" spans="2:37" x14ac:dyDescent="0.35">
      <c r="B16" s="2"/>
      <c r="C16" s="2"/>
      <c r="D16" s="2"/>
      <c r="E16" s="2"/>
      <c r="F16" s="13"/>
      <c r="G16" s="49" t="s">
        <v>77</v>
      </c>
      <c r="H16" s="13">
        <f>AVERAGE(H7:H12)</f>
        <v>6.3431166666666678</v>
      </c>
      <c r="I16" s="13">
        <f t="shared" ref="I16:N16" si="15">AVERAGE(I7:I12)</f>
        <v>10.910928333333331</v>
      </c>
      <c r="J16" s="13">
        <f t="shared" si="15"/>
        <v>0.35779422840785058</v>
      </c>
      <c r="K16" s="13">
        <f t="shared" si="15"/>
        <v>0.64220577159214942</v>
      </c>
      <c r="L16" s="13">
        <f t="shared" si="15"/>
        <v>0.19299723816467873</v>
      </c>
      <c r="M16" s="13">
        <f t="shared" si="15"/>
        <v>5.9070399794325677E-2</v>
      </c>
      <c r="N16" s="13">
        <f t="shared" si="15"/>
        <v>17.254045000000001</v>
      </c>
      <c r="O16" s="13">
        <f>AVERAGE(O7:O13)</f>
        <v>33.5</v>
      </c>
      <c r="P16" s="13">
        <f>AVERAGE(P7:P13)</f>
        <v>5.4545959636632846</v>
      </c>
      <c r="Y16" s="13"/>
      <c r="Z16" s="49" t="s">
        <v>77</v>
      </c>
      <c r="AA16" s="13">
        <f t="shared" ref="AA16:AI16" si="16">AVERAGE(AA7:AA13)</f>
        <v>0</v>
      </c>
      <c r="AB16" s="13" t="e">
        <f t="shared" si="16"/>
        <v>#REF!</v>
      </c>
      <c r="AC16" s="13" t="e">
        <f t="shared" si="16"/>
        <v>#DIV/0!</v>
      </c>
      <c r="AD16" s="13" t="e">
        <f t="shared" si="16"/>
        <v>#DIV/0!</v>
      </c>
      <c r="AE16" s="13" t="e">
        <f t="shared" si="16"/>
        <v>#DIV/0!</v>
      </c>
      <c r="AF16" s="13" t="e">
        <f t="shared" si="16"/>
        <v>#DIV/0!</v>
      </c>
      <c r="AG16" s="13" t="e">
        <f t="shared" si="16"/>
        <v>#REF!</v>
      </c>
      <c r="AH16" s="13" t="e">
        <f t="shared" si="16"/>
        <v>#DIV/0!</v>
      </c>
      <c r="AI16" s="13" t="e">
        <f t="shared" si="16"/>
        <v>#DIV/0!</v>
      </c>
    </row>
    <row r="17" spans="1:35" x14ac:dyDescent="0.35">
      <c r="B17" s="2"/>
      <c r="C17" s="2"/>
      <c r="D17" s="2"/>
      <c r="E17" s="2"/>
      <c r="F17" s="13"/>
      <c r="G17" s="49" t="s">
        <v>94</v>
      </c>
      <c r="H17" s="2">
        <f>_xlfn.STDEV.S(H7:H12)</f>
        <v>2.2904772901530088</v>
      </c>
      <c r="I17" s="2">
        <f t="shared" ref="I17:N17" si="17">_xlfn.STDEV.S(I7:I12)</f>
        <v>0.92603473935736536</v>
      </c>
      <c r="J17" s="2">
        <f t="shared" si="17"/>
        <v>0.10030383158685309</v>
      </c>
      <c r="K17" s="2">
        <f t="shared" si="17"/>
        <v>0.10030383158685276</v>
      </c>
      <c r="L17" s="2">
        <f t="shared" si="17"/>
        <v>0.12538821876148556</v>
      </c>
      <c r="M17" s="2">
        <f t="shared" si="17"/>
        <v>9.4957592053128478E-3</v>
      </c>
      <c r="N17" s="2">
        <f t="shared" si="17"/>
        <v>2.4489806372427672</v>
      </c>
      <c r="O17" s="2">
        <f>_xlfn.STDEV.S(O7:O13)</f>
        <v>10.502380682492898</v>
      </c>
      <c r="P17" s="2">
        <f>_xlfn.STDEV.S(P7:P13)</f>
        <v>0.68115907006772147</v>
      </c>
      <c r="Y17" s="13"/>
      <c r="Z17" s="49" t="s">
        <v>94</v>
      </c>
      <c r="AA17" s="2">
        <f t="shared" ref="AA17:AI17" si="18">_xlfn.STDEV.S(AA7:AA13)</f>
        <v>0</v>
      </c>
      <c r="AB17" s="2" t="e">
        <f t="shared" si="18"/>
        <v>#REF!</v>
      </c>
      <c r="AC17" s="2" t="e">
        <f t="shared" si="18"/>
        <v>#DIV/0!</v>
      </c>
      <c r="AD17" s="2" t="e">
        <f t="shared" si="18"/>
        <v>#DIV/0!</v>
      </c>
      <c r="AE17" s="2" t="e">
        <f t="shared" si="18"/>
        <v>#DIV/0!</v>
      </c>
      <c r="AF17" s="2" t="e">
        <f t="shared" si="18"/>
        <v>#DIV/0!</v>
      </c>
      <c r="AG17" s="2" t="e">
        <f t="shared" si="18"/>
        <v>#REF!</v>
      </c>
      <c r="AH17" s="2" t="e">
        <f t="shared" si="18"/>
        <v>#DIV/0!</v>
      </c>
      <c r="AI17" s="2" t="e">
        <f t="shared" si="18"/>
        <v>#DIV/0!</v>
      </c>
    </row>
    <row r="18" spans="1:35" x14ac:dyDescent="0.35">
      <c r="B18" s="2"/>
      <c r="C18" s="2"/>
      <c r="D18" s="2"/>
      <c r="E18" s="2"/>
      <c r="F18" s="13"/>
      <c r="G18" s="49" t="s">
        <v>95</v>
      </c>
      <c r="H18" s="2">
        <f>H17/(SQRT(COUNT(H7:H12)))</f>
        <v>0.93508343805126748</v>
      </c>
      <c r="I18" s="2">
        <f t="shared" ref="I18:P18" si="19">I17/(SQRT(COUNT(I7:I12)))</f>
        <v>0.37805209925279343</v>
      </c>
      <c r="J18" s="2">
        <f t="shared" si="19"/>
        <v>4.0948867772308002E-2</v>
      </c>
      <c r="K18" s="2">
        <f t="shared" si="19"/>
        <v>4.0948867772307863E-2</v>
      </c>
      <c r="L18" s="2">
        <f t="shared" si="19"/>
        <v>5.1189525953685359E-2</v>
      </c>
      <c r="M18" s="2">
        <f t="shared" si="19"/>
        <v>3.8766274622254607E-3</v>
      </c>
      <c r="N18" s="2">
        <f t="shared" si="19"/>
        <v>0.99979215853346159</v>
      </c>
      <c r="O18" s="2">
        <f t="shared" si="19"/>
        <v>4.2875789594284246</v>
      </c>
      <c r="P18" s="2">
        <f t="shared" si="19"/>
        <v>0.27808202588910202</v>
      </c>
      <c r="Y18" s="13"/>
      <c r="Z18" s="49" t="s">
        <v>95</v>
      </c>
      <c r="AA18" s="2">
        <f t="shared" ref="AA18:AI18" si="20">AA17/(SQRT(COUNT(AA7:AA13)))</f>
        <v>0</v>
      </c>
      <c r="AB18" s="2" t="e">
        <f t="shared" si="20"/>
        <v>#REF!</v>
      </c>
      <c r="AC18" s="2" t="e">
        <f t="shared" si="20"/>
        <v>#DIV/0!</v>
      </c>
      <c r="AD18" s="2" t="e">
        <f t="shared" si="20"/>
        <v>#DIV/0!</v>
      </c>
      <c r="AE18" s="2" t="e">
        <f t="shared" si="20"/>
        <v>#DIV/0!</v>
      </c>
      <c r="AF18" s="2" t="e">
        <f t="shared" si="20"/>
        <v>#DIV/0!</v>
      </c>
      <c r="AG18" s="2" t="e">
        <f t="shared" si="20"/>
        <v>#REF!</v>
      </c>
      <c r="AH18" s="2" t="e">
        <f t="shared" si="20"/>
        <v>#DIV/0!</v>
      </c>
      <c r="AI18" s="2" t="e">
        <f t="shared" si="20"/>
        <v>#DIV/0!</v>
      </c>
    </row>
    <row r="19" spans="1:35" x14ac:dyDescent="0.35">
      <c r="B19" s="2"/>
      <c r="C19" s="2"/>
      <c r="D19" s="2"/>
      <c r="E19" s="2"/>
      <c r="F19" s="13"/>
      <c r="G19" s="13"/>
      <c r="H19" s="2"/>
      <c r="I19" s="2"/>
      <c r="J19" s="2"/>
      <c r="K19" s="2"/>
      <c r="L19" s="2"/>
      <c r="M19" s="2"/>
      <c r="N19" s="2"/>
      <c r="O19" s="2"/>
    </row>
    <row r="20" spans="1:35" x14ac:dyDescent="0.35">
      <c r="B20" s="2"/>
      <c r="C20" s="2"/>
      <c r="D20" s="2"/>
      <c r="E20" s="2"/>
      <c r="F20" s="13"/>
      <c r="G20" s="13"/>
      <c r="H20" s="2"/>
      <c r="I20" s="2"/>
      <c r="J20" s="2"/>
      <c r="K20" s="2"/>
      <c r="L20" s="2"/>
      <c r="M20" s="2"/>
      <c r="N20" s="2"/>
      <c r="O20" s="2"/>
    </row>
    <row r="21" spans="1:35" x14ac:dyDescent="0.35">
      <c r="B21" s="2"/>
      <c r="C21" s="2"/>
      <c r="D21" s="2"/>
      <c r="E21" s="2"/>
      <c r="F21" s="2"/>
      <c r="G21" s="2"/>
      <c r="H21" s="2"/>
      <c r="I21" s="2"/>
      <c r="J21" s="2"/>
      <c r="K21" s="2"/>
      <c r="L21" s="2"/>
      <c r="M21" s="2"/>
      <c r="N21" s="2"/>
      <c r="O21" s="2"/>
    </row>
    <row r="22" spans="1:35" x14ac:dyDescent="0.35">
      <c r="B22" s="2"/>
      <c r="C22" s="2"/>
      <c r="D22" s="2"/>
      <c r="E22" s="2"/>
      <c r="F22" s="2"/>
      <c r="G22" s="2"/>
      <c r="H22" s="49"/>
      <c r="I22" s="49"/>
      <c r="J22" s="49"/>
      <c r="K22" s="49"/>
      <c r="L22" s="49"/>
      <c r="M22" s="49"/>
      <c r="N22" s="49"/>
      <c r="O22" s="2"/>
    </row>
    <row r="23" spans="1:35" x14ac:dyDescent="0.35">
      <c r="A23" s="8"/>
      <c r="B23" s="6" t="s">
        <v>24</v>
      </c>
      <c r="D23" s="2"/>
      <c r="E23" s="2"/>
      <c r="F23" s="2"/>
      <c r="G23" s="2"/>
      <c r="H23" s="2"/>
      <c r="I23" s="2"/>
      <c r="J23" s="2"/>
      <c r="K23" s="2"/>
      <c r="L23" s="2"/>
      <c r="M23" s="2"/>
      <c r="N23" s="2"/>
      <c r="O23" s="2"/>
    </row>
    <row r="24" spans="1:35" x14ac:dyDescent="0.35">
      <c r="A24" s="7"/>
      <c r="B24" s="6" t="s">
        <v>72</v>
      </c>
      <c r="D24" s="2"/>
      <c r="E24" s="2"/>
      <c r="F24" s="2"/>
      <c r="G24" s="2"/>
      <c r="H24" s="2"/>
      <c r="I24" s="2"/>
      <c r="J24" s="2"/>
      <c r="K24" s="2"/>
      <c r="L24" s="2"/>
      <c r="M24" s="2"/>
      <c r="N24" s="2"/>
      <c r="O24" s="2"/>
    </row>
    <row r="25" spans="1:35" x14ac:dyDescent="0.35">
      <c r="B25" s="2"/>
      <c r="C25" s="2"/>
      <c r="D25" s="2"/>
      <c r="E25" s="2"/>
      <c r="F25" s="2"/>
      <c r="G25" s="2"/>
      <c r="H25" s="2"/>
      <c r="I25" s="2"/>
      <c r="J25" s="2"/>
      <c r="K25" s="2"/>
      <c r="L25" s="2"/>
      <c r="M25" s="2"/>
      <c r="N25" s="2"/>
      <c r="O25" s="2"/>
    </row>
    <row r="26" spans="1:35" ht="18.5" x14ac:dyDescent="0.45">
      <c r="B26" s="2"/>
      <c r="C26" s="2"/>
      <c r="D26" s="2"/>
      <c r="E26" s="2"/>
      <c r="F26" s="1" t="s">
        <v>319</v>
      </c>
      <c r="G26" s="2"/>
      <c r="H26" s="2"/>
      <c r="I26" s="2"/>
      <c r="J26" s="2"/>
      <c r="K26" s="2"/>
      <c r="L26" s="2"/>
      <c r="M26" s="2"/>
      <c r="N26" s="2"/>
      <c r="O26" s="2"/>
    </row>
    <row r="27" spans="1:35" ht="16" thickBot="1" x14ac:dyDescent="0.4">
      <c r="B27" s="9" t="s">
        <v>18</v>
      </c>
      <c r="C27" s="9" t="s">
        <v>17</v>
      </c>
      <c r="D27" s="9" t="s">
        <v>20</v>
      </c>
      <c r="E27" s="5"/>
      <c r="F27" s="9" t="s">
        <v>1</v>
      </c>
      <c r="G27" s="9" t="s">
        <v>2</v>
      </c>
      <c r="H27" s="9" t="s">
        <v>3</v>
      </c>
      <c r="I27" s="9" t="s">
        <v>4</v>
      </c>
      <c r="J27" s="9" t="s">
        <v>5</v>
      </c>
      <c r="K27" s="9" t="s">
        <v>6</v>
      </c>
      <c r="L27" s="9" t="s">
        <v>7</v>
      </c>
      <c r="M27" s="9" t="s">
        <v>8</v>
      </c>
      <c r="N27" s="9" t="s">
        <v>9</v>
      </c>
      <c r="O27" s="9" t="s">
        <v>10</v>
      </c>
      <c r="P27" s="44" t="s">
        <v>139</v>
      </c>
      <c r="Q27" s="20"/>
      <c r="R27" s="44" t="s">
        <v>134</v>
      </c>
    </row>
    <row r="28" spans="1:35" x14ac:dyDescent="0.35">
      <c r="A28" s="13"/>
      <c r="B28" s="13">
        <v>29.049230000000001</v>
      </c>
      <c r="C28" s="13">
        <v>33.949260000000002</v>
      </c>
      <c r="D28" s="13">
        <f>C28-B28</f>
        <v>4.900030000000001</v>
      </c>
      <c r="E28" s="13"/>
      <c r="F28" s="13">
        <v>21.9374</v>
      </c>
      <c r="G28" s="13">
        <v>28.271550000000001</v>
      </c>
      <c r="H28" s="13">
        <f>G28-F28</f>
        <v>6.3341500000000011</v>
      </c>
      <c r="I28" s="13">
        <f>F29-G28</f>
        <v>11.554169999999996</v>
      </c>
      <c r="J28" s="13">
        <f>H28/N28</f>
        <v>0.35409417988944752</v>
      </c>
      <c r="K28" s="13">
        <f>I28/N28</f>
        <v>0.64590582011055242</v>
      </c>
      <c r="L28" s="13">
        <f>1/H28</f>
        <v>0.15787437935634613</v>
      </c>
      <c r="M28" s="13">
        <f>1/N28</f>
        <v>5.5902398883740913E-2</v>
      </c>
      <c r="N28" s="13">
        <f>H28+I28</f>
        <v>17.888319999999997</v>
      </c>
      <c r="O28" s="13">
        <v>35</v>
      </c>
      <c r="P28">
        <f>O28/H28</f>
        <v>5.5256032774721149</v>
      </c>
      <c r="Q28" s="13"/>
      <c r="R28" t="s">
        <v>639</v>
      </c>
      <c r="S28" s="13"/>
      <c r="T28" s="13"/>
    </row>
    <row r="29" spans="1:35" x14ac:dyDescent="0.35">
      <c r="A29" s="13"/>
      <c r="B29" s="13">
        <v>48.217289999999998</v>
      </c>
      <c r="C29" s="13">
        <v>53.117170000000002</v>
      </c>
      <c r="D29" s="13">
        <f>C29-B29</f>
        <v>4.8998800000000031</v>
      </c>
      <c r="E29" s="13"/>
      <c r="F29" s="13">
        <v>39.825719999999997</v>
      </c>
      <c r="G29" s="13">
        <v>46.862310000000001</v>
      </c>
      <c r="H29" s="13">
        <f>G29-F29</f>
        <v>7.0365900000000039</v>
      </c>
      <c r="I29" s="13">
        <f>F30-G29</f>
        <v>10.602959999999996</v>
      </c>
      <c r="J29" s="13">
        <f>H29/N29</f>
        <v>0.39890983613527581</v>
      </c>
      <c r="K29" s="13">
        <f>I29/N29</f>
        <v>0.60109016386472425</v>
      </c>
      <c r="L29" s="13">
        <f>1/H29</f>
        <v>0.14211429115523277</v>
      </c>
      <c r="M29" s="13">
        <f>1/N29</f>
        <v>5.6690788597214783E-2</v>
      </c>
      <c r="N29" s="13">
        <f>H29+I29</f>
        <v>17.63955</v>
      </c>
      <c r="O29" s="13">
        <v>35</v>
      </c>
      <c r="P29">
        <f>O29/H29</f>
        <v>4.9740001904331477</v>
      </c>
      <c r="Q29" s="13"/>
      <c r="R29" s="13"/>
      <c r="S29" s="13"/>
      <c r="T29" s="13"/>
    </row>
    <row r="30" spans="1:35" x14ac:dyDescent="0.35">
      <c r="A30" s="13"/>
      <c r="B30" s="13">
        <v>66.393150000000006</v>
      </c>
      <c r="C30" s="13">
        <v>71.293199999999999</v>
      </c>
      <c r="D30" s="13">
        <f>C30-B30</f>
        <v>4.9000499999999931</v>
      </c>
      <c r="E30" s="13"/>
      <c r="F30" s="13">
        <v>57.465269999999997</v>
      </c>
      <c r="G30" s="13">
        <v>65.562470000000005</v>
      </c>
      <c r="H30" s="13">
        <f>G30-F30</f>
        <v>8.0972000000000079</v>
      </c>
      <c r="I30" s="13">
        <f>F31-G30</f>
        <v>18.129069999999999</v>
      </c>
      <c r="J30" s="13">
        <f>H30/N30</f>
        <v>0.30874386635995155</v>
      </c>
      <c r="K30" s="13">
        <f>I30/N30</f>
        <v>0.69125613364004845</v>
      </c>
      <c r="L30" s="13">
        <f>1/H30</f>
        <v>0.12349948130217842</v>
      </c>
      <c r="M30" s="13">
        <f>1/N30</f>
        <v>3.8129707350683106E-2</v>
      </c>
      <c r="N30" s="13">
        <f>H30+I30</f>
        <v>26.226270000000007</v>
      </c>
      <c r="O30" s="13">
        <v>44</v>
      </c>
      <c r="P30">
        <f>O30/H30</f>
        <v>5.4339771772958496</v>
      </c>
      <c r="Q30" s="13"/>
      <c r="R30" s="13"/>
      <c r="S30" s="13"/>
      <c r="T30" s="13"/>
    </row>
    <row r="31" spans="1:35" x14ac:dyDescent="0.35">
      <c r="A31" s="13"/>
      <c r="B31" s="13"/>
      <c r="C31" s="13"/>
      <c r="D31" s="13"/>
      <c r="E31" s="13"/>
      <c r="F31" s="13">
        <v>83.691540000000003</v>
      </c>
      <c r="G31" s="13">
        <v>90.907240000000002</v>
      </c>
      <c r="H31" s="13">
        <f>G31-F31</f>
        <v>7.2156999999999982</v>
      </c>
      <c r="I31" s="13">
        <f>F32-G31</f>
        <v>12.833519999999993</v>
      </c>
      <c r="J31" s="13">
        <f>H31/N31</f>
        <v>0.35989928785259484</v>
      </c>
      <c r="K31" s="13">
        <f>I31/N31</f>
        <v>0.64010071214740516</v>
      </c>
      <c r="L31" s="13">
        <f>1/H31</f>
        <v>0.13858669290574721</v>
      </c>
      <c r="M31" s="13">
        <f>1/N31</f>
        <v>4.9877252082624682E-2</v>
      </c>
      <c r="N31" s="13">
        <f>H31+I31</f>
        <v>20.049219999999991</v>
      </c>
      <c r="O31" s="13">
        <v>38</v>
      </c>
      <c r="P31">
        <f>O31/H31</f>
        <v>5.2662943304183942</v>
      </c>
      <c r="Q31" s="13"/>
      <c r="R31" s="13"/>
      <c r="S31" s="13"/>
      <c r="T31" s="13"/>
    </row>
    <row r="32" spans="1:35" x14ac:dyDescent="0.35">
      <c r="A32" s="13"/>
      <c r="B32" s="13"/>
      <c r="C32" s="13"/>
      <c r="D32" s="13"/>
      <c r="E32" s="13"/>
      <c r="F32" s="13">
        <v>103.74075999999999</v>
      </c>
      <c r="G32" s="13">
        <v>111.06926</v>
      </c>
      <c r="H32" s="13">
        <f>G32-F32</f>
        <v>7.3285000000000053</v>
      </c>
      <c r="I32" s="13"/>
      <c r="J32" s="13"/>
      <c r="K32" s="13"/>
      <c r="L32" s="13"/>
      <c r="M32" s="13"/>
      <c r="N32" s="13"/>
      <c r="O32" s="13"/>
      <c r="P32" s="13"/>
      <c r="Q32" s="13"/>
      <c r="R32" s="13"/>
      <c r="S32" s="13"/>
      <c r="T32" s="13"/>
    </row>
    <row r="33" spans="1:20" x14ac:dyDescent="0.35">
      <c r="A33" s="13"/>
      <c r="B33" s="13"/>
      <c r="C33" s="13"/>
      <c r="D33" s="13"/>
      <c r="E33" s="13"/>
      <c r="F33" s="13"/>
      <c r="G33" s="13"/>
      <c r="H33" s="2"/>
      <c r="I33" s="13"/>
      <c r="J33" s="13"/>
      <c r="K33" s="13"/>
      <c r="L33" s="13"/>
      <c r="M33" s="13"/>
      <c r="N33" s="13"/>
      <c r="O33" s="13"/>
      <c r="P33" s="13"/>
      <c r="Q33" s="13"/>
      <c r="R33" s="13"/>
      <c r="S33" s="13"/>
      <c r="T33" s="13"/>
    </row>
    <row r="34" spans="1:20" x14ac:dyDescent="0.35">
      <c r="A34" s="13"/>
      <c r="B34" s="13"/>
      <c r="C34" s="13"/>
      <c r="D34" s="13"/>
      <c r="E34" s="13"/>
      <c r="F34" s="13"/>
      <c r="G34" s="13"/>
      <c r="H34" s="13"/>
      <c r="I34" s="13"/>
      <c r="J34" s="13"/>
      <c r="K34" s="13"/>
      <c r="L34" s="13"/>
      <c r="M34" s="13"/>
      <c r="N34" s="13"/>
      <c r="O34" s="13"/>
      <c r="P34" s="13"/>
      <c r="Q34" s="13"/>
      <c r="R34" s="13"/>
      <c r="S34" s="13"/>
      <c r="T34" s="13"/>
    </row>
    <row r="35" spans="1:20" ht="16" thickBot="1" x14ac:dyDescent="0.4">
      <c r="A35" s="13"/>
      <c r="B35" s="13"/>
      <c r="C35" s="13"/>
      <c r="D35" s="13"/>
      <c r="E35" s="49" t="s">
        <v>320</v>
      </c>
      <c r="F35" s="13"/>
      <c r="G35" s="13"/>
      <c r="H35" s="9" t="s">
        <v>3</v>
      </c>
      <c r="I35" s="9" t="s">
        <v>4</v>
      </c>
      <c r="J35" s="9" t="s">
        <v>5</v>
      </c>
      <c r="K35" s="9" t="s">
        <v>6</v>
      </c>
      <c r="L35" s="9" t="s">
        <v>7</v>
      </c>
      <c r="M35" s="9" t="s">
        <v>8</v>
      </c>
      <c r="N35" s="9" t="s">
        <v>9</v>
      </c>
      <c r="O35" s="9" t="s">
        <v>10</v>
      </c>
      <c r="P35" s="44" t="s">
        <v>139</v>
      </c>
      <c r="Q35" s="13"/>
      <c r="R35" s="13"/>
      <c r="S35" s="13"/>
      <c r="T35" s="13"/>
    </row>
    <row r="36" spans="1:20" x14ac:dyDescent="0.35">
      <c r="A36" s="13"/>
      <c r="B36" s="13"/>
      <c r="C36" s="13"/>
      <c r="D36" s="13"/>
      <c r="E36" s="49"/>
      <c r="F36" s="13"/>
      <c r="G36" s="49" t="s">
        <v>77</v>
      </c>
      <c r="H36" s="13">
        <f>AVERAGE(H28:H30)</f>
        <v>7.155980000000004</v>
      </c>
      <c r="I36" s="13">
        <f t="shared" ref="I36:P36" si="21">AVERAGE(I28:I30)</f>
        <v>13.428733333333332</v>
      </c>
      <c r="J36" s="13">
        <f t="shared" si="21"/>
        <v>0.35391596079489163</v>
      </c>
      <c r="K36" s="13">
        <f t="shared" si="21"/>
        <v>0.64608403920510837</v>
      </c>
      <c r="L36" s="13">
        <f t="shared" si="21"/>
        <v>0.14116271727125243</v>
      </c>
      <c r="M36" s="13">
        <f t="shared" si="21"/>
        <v>5.0240964943879605E-2</v>
      </c>
      <c r="N36" s="13">
        <f t="shared" si="21"/>
        <v>20.584713333333333</v>
      </c>
      <c r="O36" s="13">
        <f t="shared" si="21"/>
        <v>38</v>
      </c>
      <c r="P36" s="13">
        <f t="shared" si="21"/>
        <v>5.3111935484003707</v>
      </c>
      <c r="Q36" s="13"/>
      <c r="R36" s="13"/>
      <c r="S36" s="13"/>
      <c r="T36" s="13"/>
    </row>
    <row r="37" spans="1:20" x14ac:dyDescent="0.35">
      <c r="A37" s="13"/>
      <c r="B37" s="13"/>
      <c r="C37" s="13"/>
      <c r="D37" s="13"/>
      <c r="E37" s="49"/>
      <c r="F37" s="13"/>
      <c r="G37" s="49" t="s">
        <v>94</v>
      </c>
      <c r="H37" s="2">
        <f>_xlfn.STDEV.S(H28:H30)</f>
        <v>0.88756791554225078</v>
      </c>
      <c r="I37" s="2">
        <f t="shared" ref="I37:P37" si="22">_xlfn.STDEV.S(I28:I30)</f>
        <v>4.0983013189653734</v>
      </c>
      <c r="J37" s="2">
        <f t="shared" si="22"/>
        <v>4.5083249083394422E-2</v>
      </c>
      <c r="K37" s="2">
        <f t="shared" si="22"/>
        <v>4.5083249083394797E-2</v>
      </c>
      <c r="L37" s="2">
        <f t="shared" si="22"/>
        <v>1.7207193951981562E-2</v>
      </c>
      <c r="M37" s="2">
        <f t="shared" si="22"/>
        <v>1.049606164004608E-2</v>
      </c>
      <c r="N37" s="2">
        <f t="shared" si="22"/>
        <v>4.887314481965892</v>
      </c>
      <c r="O37" s="2">
        <f t="shared" si="22"/>
        <v>5.196152422706632</v>
      </c>
      <c r="P37" s="2">
        <f t="shared" si="22"/>
        <v>0.29558984429659729</v>
      </c>
      <c r="Q37" s="13"/>
      <c r="R37" s="13"/>
      <c r="S37" s="13"/>
      <c r="T37" s="13"/>
    </row>
    <row r="38" spans="1:20" x14ac:dyDescent="0.35">
      <c r="A38" s="13"/>
      <c r="B38" s="13"/>
      <c r="C38" s="13"/>
      <c r="D38" s="13"/>
      <c r="E38" s="49"/>
      <c r="F38" s="13"/>
      <c r="G38" s="49" t="s">
        <v>95</v>
      </c>
      <c r="H38" s="2">
        <f>H37/(SQRT(3))</f>
        <v>0.51243757496239351</v>
      </c>
      <c r="I38" s="2">
        <f t="shared" ref="I38:P38" si="23">I37/(SQRT(3))</f>
        <v>2.366155369724857</v>
      </c>
      <c r="J38" s="2">
        <f t="shared" si="23"/>
        <v>2.6028825994240719E-2</v>
      </c>
      <c r="K38" s="2">
        <f t="shared" si="23"/>
        <v>2.6028825994240938E-2</v>
      </c>
      <c r="L38" s="2">
        <f t="shared" si="23"/>
        <v>9.9345780601746564E-3</v>
      </c>
      <c r="M38" s="2">
        <f t="shared" si="23"/>
        <v>6.0599040133115095E-3</v>
      </c>
      <c r="N38" s="2">
        <f t="shared" si="23"/>
        <v>2.8216923317773643</v>
      </c>
      <c r="O38" s="2">
        <f t="shared" si="23"/>
        <v>3.0000000000000004</v>
      </c>
      <c r="P38" s="2">
        <f t="shared" si="23"/>
        <v>0.17065887617436001</v>
      </c>
      <c r="Q38" s="13"/>
      <c r="R38" s="13"/>
      <c r="S38" s="13"/>
      <c r="T38" s="13"/>
    </row>
    <row r="39" spans="1:20" x14ac:dyDescent="0.35">
      <c r="A39" s="13"/>
      <c r="B39" s="13"/>
      <c r="C39" s="13"/>
      <c r="D39" s="13"/>
      <c r="E39" s="49"/>
      <c r="F39" s="13"/>
      <c r="G39" s="13"/>
      <c r="H39" s="13"/>
      <c r="I39" s="13"/>
      <c r="J39" s="13"/>
      <c r="K39" s="13"/>
      <c r="L39" s="13"/>
      <c r="M39" s="13"/>
      <c r="N39" s="13"/>
      <c r="O39" s="13"/>
      <c r="P39" s="13"/>
      <c r="Q39" s="13"/>
      <c r="R39" s="13"/>
      <c r="S39" s="13"/>
      <c r="T39" s="13"/>
    </row>
    <row r="40" spans="1:20" ht="16" thickBot="1" x14ac:dyDescent="0.4">
      <c r="A40" s="13"/>
      <c r="B40" s="13"/>
      <c r="C40" s="13"/>
      <c r="D40" s="13"/>
      <c r="E40" s="49" t="s">
        <v>301</v>
      </c>
      <c r="F40" s="13"/>
      <c r="G40" s="13"/>
      <c r="H40" s="9" t="s">
        <v>3</v>
      </c>
      <c r="I40" s="9" t="s">
        <v>4</v>
      </c>
      <c r="J40" s="9" t="s">
        <v>5</v>
      </c>
      <c r="K40" s="9" t="s">
        <v>6</v>
      </c>
      <c r="L40" s="9" t="s">
        <v>7</v>
      </c>
      <c r="M40" s="9" t="s">
        <v>8</v>
      </c>
      <c r="N40" s="9" t="s">
        <v>9</v>
      </c>
      <c r="O40" s="9" t="s">
        <v>10</v>
      </c>
      <c r="P40" s="44" t="s">
        <v>139</v>
      </c>
      <c r="Q40" s="13"/>
      <c r="R40" s="13"/>
      <c r="S40" s="13"/>
      <c r="T40" s="13"/>
    </row>
    <row r="41" spans="1:20" x14ac:dyDescent="0.35">
      <c r="A41" s="13"/>
      <c r="B41" s="13"/>
      <c r="C41" s="13"/>
      <c r="D41" s="13"/>
      <c r="E41" s="13"/>
      <c r="F41" s="13"/>
      <c r="G41" s="49" t="s">
        <v>77</v>
      </c>
      <c r="H41" s="13">
        <f>AVERAGE(H31)</f>
        <v>7.2156999999999982</v>
      </c>
      <c r="I41" s="13">
        <f t="shared" ref="I41:P41" si="24">AVERAGE(I31)</f>
        <v>12.833519999999993</v>
      </c>
      <c r="J41" s="13">
        <f t="shared" si="24"/>
        <v>0.35989928785259484</v>
      </c>
      <c r="K41" s="13">
        <f t="shared" si="24"/>
        <v>0.64010071214740516</v>
      </c>
      <c r="L41" s="13">
        <f t="shared" si="24"/>
        <v>0.13858669290574721</v>
      </c>
      <c r="M41" s="13">
        <f t="shared" si="24"/>
        <v>4.9877252082624682E-2</v>
      </c>
      <c r="N41" s="13">
        <f t="shared" si="24"/>
        <v>20.049219999999991</v>
      </c>
      <c r="O41" s="13">
        <f>AVERAGE(O31)</f>
        <v>38</v>
      </c>
      <c r="P41" s="13">
        <f t="shared" si="24"/>
        <v>5.2662943304183942</v>
      </c>
      <c r="Q41" s="13"/>
      <c r="R41" s="13"/>
      <c r="S41" s="13"/>
      <c r="T41" s="13"/>
    </row>
    <row r="42" spans="1:20" x14ac:dyDescent="0.35">
      <c r="A42" s="13"/>
      <c r="B42" s="13"/>
      <c r="C42" s="13"/>
      <c r="D42" s="13"/>
      <c r="E42" s="13"/>
      <c r="F42" s="13"/>
      <c r="G42" s="49" t="s">
        <v>94</v>
      </c>
      <c r="H42" s="2" t="e">
        <f>_xlfn.STDEV.S(H29,#REF!,#REF!,#REF!)</f>
        <v>#REF!</v>
      </c>
      <c r="I42" s="2" t="e">
        <f>_xlfn.STDEV.S(I29,#REF!,#REF!,#REF!)</f>
        <v>#REF!</v>
      </c>
      <c r="J42" s="2" t="e">
        <f>_xlfn.STDEV.S(J29,#REF!,#REF!,#REF!)</f>
        <v>#REF!</v>
      </c>
      <c r="K42" s="2" t="e">
        <f>_xlfn.STDEV.S(K29,#REF!,#REF!,#REF!)</f>
        <v>#REF!</v>
      </c>
      <c r="L42" s="2" t="e">
        <f>_xlfn.STDEV.S(L29,#REF!,#REF!,#REF!)</f>
        <v>#REF!</v>
      </c>
      <c r="M42" s="2" t="e">
        <f>_xlfn.STDEV.S(M29,#REF!,#REF!,#REF!)</f>
        <v>#REF!</v>
      </c>
      <c r="N42" s="2" t="e">
        <f>_xlfn.STDEV.S(N29,#REF!,#REF!,#REF!)</f>
        <v>#REF!</v>
      </c>
      <c r="O42" s="2" t="e">
        <f>_xlfn.STDEV.S(O29,#REF!,#REF!,#REF!)</f>
        <v>#REF!</v>
      </c>
      <c r="P42" s="2" t="e">
        <f>_xlfn.STDEV.S(P29,#REF!,#REF!,#REF!)</f>
        <v>#REF!</v>
      </c>
      <c r="Q42" s="13"/>
      <c r="R42" s="13"/>
      <c r="S42" s="13"/>
      <c r="T42" s="13"/>
    </row>
    <row r="43" spans="1:20" x14ac:dyDescent="0.35">
      <c r="A43" s="13"/>
      <c r="B43" s="13"/>
      <c r="C43" s="13"/>
      <c r="D43" s="13"/>
      <c r="E43" s="13"/>
      <c r="F43" s="13"/>
      <c r="G43" s="49" t="s">
        <v>95</v>
      </c>
      <c r="H43" s="2" t="e">
        <f>H42/(SQRT(4))</f>
        <v>#REF!</v>
      </c>
      <c r="I43" s="2" t="e">
        <f t="shared" ref="I43:P43" si="25">I42/(SQRT(4))</f>
        <v>#REF!</v>
      </c>
      <c r="J43" s="2" t="e">
        <f t="shared" si="25"/>
        <v>#REF!</v>
      </c>
      <c r="K43" s="2" t="e">
        <f t="shared" si="25"/>
        <v>#REF!</v>
      </c>
      <c r="L43" s="2" t="e">
        <f t="shared" si="25"/>
        <v>#REF!</v>
      </c>
      <c r="M43" s="2" t="e">
        <f t="shared" si="25"/>
        <v>#REF!</v>
      </c>
      <c r="N43" s="2" t="e">
        <f t="shared" si="25"/>
        <v>#REF!</v>
      </c>
      <c r="O43" s="2" t="e">
        <f t="shared" si="25"/>
        <v>#REF!</v>
      </c>
      <c r="P43" s="2" t="e">
        <f t="shared" si="25"/>
        <v>#REF!</v>
      </c>
      <c r="Q43" s="13"/>
      <c r="R43" s="13"/>
      <c r="S43" s="13"/>
      <c r="T43" s="13"/>
    </row>
    <row r="44" spans="1:20" x14ac:dyDescent="0.35">
      <c r="A44" s="13"/>
      <c r="B44" s="13"/>
      <c r="C44" s="13"/>
      <c r="D44" s="13"/>
      <c r="E44" s="13"/>
      <c r="F44" s="13"/>
      <c r="G44" s="13"/>
      <c r="H44" s="13"/>
      <c r="I44" s="13"/>
      <c r="J44" s="13"/>
      <c r="K44" s="13"/>
      <c r="L44" s="13"/>
      <c r="M44" s="13"/>
      <c r="N44" s="13"/>
      <c r="O44" s="13"/>
      <c r="P44" s="13"/>
      <c r="Q44" s="13"/>
      <c r="R44" s="13"/>
      <c r="S44" s="13"/>
      <c r="T44" s="13"/>
    </row>
    <row r="45" spans="1:20" ht="16" thickBot="1" x14ac:dyDescent="0.4">
      <c r="A45" s="13"/>
      <c r="B45" s="13"/>
      <c r="C45" s="13"/>
      <c r="D45" s="13"/>
      <c r="E45" s="13"/>
      <c r="F45" s="13"/>
      <c r="G45" s="13"/>
      <c r="H45" s="9"/>
      <c r="I45" s="9"/>
      <c r="J45" s="9"/>
      <c r="K45" s="9"/>
      <c r="L45" s="9"/>
      <c r="M45" s="9"/>
      <c r="N45" s="9"/>
      <c r="O45" s="9"/>
      <c r="P45" s="44"/>
      <c r="Q45" s="13"/>
      <c r="R45" s="13"/>
      <c r="S45" s="13"/>
      <c r="T45" s="13"/>
    </row>
    <row r="46" spans="1:20" x14ac:dyDescent="0.35">
      <c r="A46" s="13"/>
      <c r="B46" s="13"/>
      <c r="C46" s="13"/>
      <c r="D46" s="13"/>
      <c r="E46" s="13"/>
      <c r="F46" s="13"/>
      <c r="G46" s="49"/>
      <c r="H46" s="13"/>
      <c r="I46" s="13"/>
      <c r="J46" s="13"/>
      <c r="K46" s="13"/>
      <c r="L46" s="13"/>
      <c r="M46" s="13"/>
      <c r="N46" s="13"/>
      <c r="O46" s="13"/>
      <c r="P46" s="13"/>
      <c r="Q46" s="13"/>
      <c r="R46" s="13"/>
      <c r="S46" s="13"/>
      <c r="T46" s="13"/>
    </row>
    <row r="47" spans="1:20" x14ac:dyDescent="0.35">
      <c r="A47" s="13"/>
      <c r="B47" s="13"/>
      <c r="C47" s="13"/>
      <c r="D47" s="13"/>
      <c r="E47" s="13"/>
      <c r="F47" s="13"/>
      <c r="G47" s="49"/>
      <c r="H47" s="2"/>
      <c r="I47" s="2"/>
      <c r="J47" s="2"/>
      <c r="K47" s="2"/>
      <c r="L47" s="2"/>
      <c r="M47" s="2"/>
      <c r="N47" s="2"/>
      <c r="O47" s="2"/>
      <c r="P47" s="2"/>
      <c r="Q47" s="13"/>
      <c r="R47" s="13"/>
      <c r="S47" s="13"/>
      <c r="T47" s="13"/>
    </row>
    <row r="48" spans="1:20" x14ac:dyDescent="0.35">
      <c r="A48" s="13"/>
      <c r="B48" s="13"/>
      <c r="C48" s="13"/>
      <c r="D48" s="13"/>
      <c r="E48" s="13"/>
      <c r="F48" s="13"/>
      <c r="G48" s="49"/>
      <c r="H48" s="2"/>
      <c r="I48" s="2"/>
      <c r="J48" s="2"/>
      <c r="K48" s="2"/>
      <c r="L48" s="2"/>
      <c r="M48" s="2"/>
      <c r="N48" s="2"/>
      <c r="O48" s="2"/>
      <c r="P48" s="2"/>
      <c r="Q48" s="13"/>
      <c r="R48" s="13"/>
      <c r="S48" s="13"/>
      <c r="T48" s="13"/>
    </row>
    <row r="49" spans="1:20" x14ac:dyDescent="0.35">
      <c r="A49" s="13"/>
      <c r="B49" s="13"/>
      <c r="C49" s="13"/>
      <c r="D49" s="13"/>
      <c r="E49" s="13"/>
      <c r="F49" s="13"/>
      <c r="G49" s="13"/>
      <c r="H49" s="13"/>
      <c r="I49" s="13"/>
      <c r="J49" s="13"/>
      <c r="K49" s="13"/>
      <c r="L49" s="13"/>
      <c r="M49" s="13"/>
      <c r="N49" s="13"/>
      <c r="O49" s="13"/>
      <c r="P49" s="13"/>
      <c r="Q49" s="13"/>
      <c r="R49" s="13"/>
      <c r="S49" s="13"/>
      <c r="T49" s="13"/>
    </row>
    <row r="50" spans="1:20" x14ac:dyDescent="0.35">
      <c r="A50" s="13"/>
      <c r="B50" s="13"/>
      <c r="C50" s="13"/>
      <c r="D50" s="13"/>
      <c r="E50" s="13"/>
      <c r="F50" s="13"/>
      <c r="G50" s="13"/>
      <c r="H50" s="13"/>
      <c r="I50" s="13"/>
      <c r="J50" s="13"/>
      <c r="K50" s="13"/>
      <c r="L50" s="13"/>
      <c r="M50" s="13"/>
      <c r="N50" s="13"/>
      <c r="O50" s="13"/>
      <c r="P50" s="13"/>
      <c r="Q50" s="13"/>
      <c r="R50" s="13"/>
      <c r="S50" s="13"/>
      <c r="T50" s="13"/>
    </row>
    <row r="51" spans="1:20" x14ac:dyDescent="0.35">
      <c r="A51" s="13"/>
      <c r="B51" s="13"/>
      <c r="C51" s="13"/>
      <c r="D51" s="13"/>
      <c r="E51" s="13"/>
      <c r="F51" s="13"/>
      <c r="G51" s="13"/>
      <c r="H51" s="13"/>
      <c r="I51" s="13"/>
      <c r="J51" s="13"/>
      <c r="K51" s="13"/>
      <c r="L51" s="13"/>
      <c r="M51" s="13"/>
      <c r="N51" s="13"/>
      <c r="O51" s="13"/>
      <c r="P51" s="13"/>
      <c r="Q51" s="13"/>
      <c r="R51" s="13"/>
      <c r="S51" s="13"/>
      <c r="T51" s="13"/>
    </row>
    <row r="52" spans="1:20" x14ac:dyDescent="0.35">
      <c r="A52" s="13"/>
      <c r="B52" s="13"/>
      <c r="C52" s="13"/>
      <c r="D52" s="13"/>
      <c r="E52" s="13"/>
      <c r="F52" s="13"/>
      <c r="G52" s="13"/>
      <c r="H52" s="13"/>
      <c r="I52" s="13"/>
      <c r="J52" s="13"/>
      <c r="K52" s="13"/>
      <c r="L52" s="13"/>
      <c r="M52" s="13"/>
      <c r="N52" s="13"/>
      <c r="O52" s="13"/>
      <c r="P52" s="13"/>
      <c r="Q52" s="13"/>
      <c r="R52" s="13"/>
      <c r="S52" s="13"/>
      <c r="T52" s="13"/>
    </row>
    <row r="53" spans="1:20" x14ac:dyDescent="0.35">
      <c r="A53" s="13"/>
      <c r="B53" s="13"/>
      <c r="C53" s="13"/>
      <c r="D53" s="13"/>
      <c r="E53" s="13"/>
      <c r="F53" s="13"/>
      <c r="G53" s="13"/>
      <c r="H53" s="13"/>
      <c r="I53" s="13"/>
      <c r="J53" s="13"/>
      <c r="K53" s="13"/>
      <c r="L53" s="13"/>
      <c r="M53" s="13"/>
      <c r="N53" s="13"/>
      <c r="O53" s="13"/>
      <c r="P53" s="13"/>
      <c r="Q53" s="13"/>
      <c r="R53" s="13"/>
      <c r="S53" s="13"/>
      <c r="T53" s="13"/>
    </row>
    <row r="54" spans="1:20" x14ac:dyDescent="0.35">
      <c r="A54" s="13"/>
      <c r="B54" s="13"/>
      <c r="C54" s="13"/>
      <c r="D54" s="13"/>
      <c r="E54" s="13"/>
      <c r="F54" s="13"/>
      <c r="G54" s="13"/>
      <c r="H54" s="13"/>
      <c r="I54" s="13"/>
      <c r="J54" s="13"/>
      <c r="K54" s="13"/>
      <c r="L54" s="13"/>
      <c r="M54" s="13"/>
      <c r="N54" s="13"/>
      <c r="O54" s="13"/>
      <c r="P54" s="13"/>
      <c r="Q54" s="13"/>
      <c r="R54" s="13"/>
      <c r="S54" s="13"/>
      <c r="T54" s="13"/>
    </row>
    <row r="55" spans="1:20" x14ac:dyDescent="0.35">
      <c r="A55" s="13"/>
      <c r="B55" s="13"/>
      <c r="C55" s="13"/>
      <c r="D55" s="13"/>
      <c r="E55" s="13"/>
      <c r="F55" s="13"/>
      <c r="G55" s="13"/>
      <c r="H55" s="13"/>
      <c r="I55" s="13"/>
      <c r="J55" s="13"/>
      <c r="K55" s="13"/>
      <c r="L55" s="13"/>
      <c r="M55" s="13"/>
      <c r="N55" s="13"/>
      <c r="O55" s="13"/>
      <c r="P55" s="13"/>
      <c r="Q55" s="13"/>
      <c r="R55" s="13"/>
      <c r="S55" s="13"/>
      <c r="T55" s="13"/>
    </row>
    <row r="56" spans="1:20" x14ac:dyDescent="0.35">
      <c r="A56" s="13"/>
      <c r="B56" s="13"/>
      <c r="C56" s="13"/>
      <c r="D56" s="13"/>
      <c r="E56" s="13"/>
      <c r="F56" s="13"/>
      <c r="G56" s="13"/>
      <c r="H56" s="13"/>
      <c r="I56" s="13"/>
      <c r="J56" s="13"/>
      <c r="K56" s="13"/>
      <c r="L56" s="13"/>
      <c r="M56" s="13"/>
      <c r="N56" s="13"/>
      <c r="O56" s="13"/>
      <c r="P56" s="13"/>
      <c r="Q56" s="13"/>
      <c r="R56" s="13"/>
      <c r="S56" s="13"/>
      <c r="T56" s="13"/>
    </row>
    <row r="57" spans="1:20" x14ac:dyDescent="0.35">
      <c r="A57" s="13"/>
      <c r="B57" s="13"/>
      <c r="C57" s="13"/>
      <c r="D57" s="13"/>
      <c r="E57" s="13"/>
      <c r="F57" s="13"/>
      <c r="G57" s="13"/>
      <c r="H57" s="13"/>
      <c r="I57" s="13"/>
      <c r="J57" s="13"/>
      <c r="K57" s="13"/>
      <c r="L57" s="13"/>
      <c r="M57" s="13"/>
      <c r="N57" s="13"/>
      <c r="O57" s="13"/>
      <c r="P57" s="13"/>
      <c r="Q57" s="13"/>
      <c r="R57" s="13"/>
      <c r="S57" s="13"/>
      <c r="T57" s="13"/>
    </row>
    <row r="58" spans="1:20" ht="15.5" x14ac:dyDescent="0.35">
      <c r="A58" s="13"/>
      <c r="B58" s="13"/>
      <c r="C58" s="13"/>
      <c r="D58" s="13"/>
      <c r="E58" s="13"/>
      <c r="F58" s="13"/>
      <c r="G58" s="13"/>
      <c r="H58" s="14"/>
      <c r="I58" s="14"/>
      <c r="J58" s="14"/>
      <c r="K58" s="14"/>
      <c r="L58" s="14"/>
      <c r="M58" s="14"/>
      <c r="N58" s="14"/>
      <c r="O58" s="14"/>
      <c r="P58" s="14"/>
      <c r="Q58" s="13"/>
      <c r="R58" s="13"/>
      <c r="S58" s="13"/>
      <c r="T58" s="13"/>
    </row>
    <row r="59" spans="1:20" x14ac:dyDescent="0.35">
      <c r="A59" s="13"/>
      <c r="B59" s="13"/>
      <c r="C59" s="13"/>
      <c r="D59" s="49"/>
      <c r="E59" s="49"/>
      <c r="F59" s="13"/>
      <c r="G59" s="49"/>
      <c r="H59" s="13"/>
      <c r="I59" s="13"/>
      <c r="J59" s="13"/>
      <c r="K59" s="13"/>
      <c r="L59" s="13"/>
      <c r="M59" s="13"/>
      <c r="N59" s="13"/>
      <c r="O59" s="13"/>
      <c r="P59" s="13"/>
      <c r="Q59" s="13"/>
      <c r="R59" s="13"/>
      <c r="S59" s="13"/>
      <c r="T59" s="13"/>
    </row>
    <row r="60" spans="1:20" x14ac:dyDescent="0.35">
      <c r="A60" s="13"/>
      <c r="B60" s="13"/>
      <c r="C60" s="13"/>
      <c r="D60" s="49"/>
      <c r="E60" s="49"/>
      <c r="F60" s="13"/>
      <c r="G60" s="49"/>
      <c r="H60" s="13"/>
      <c r="I60" s="13"/>
      <c r="J60" s="13"/>
      <c r="K60" s="13"/>
      <c r="L60" s="13"/>
      <c r="M60" s="13"/>
      <c r="N60" s="13"/>
      <c r="O60" s="13"/>
      <c r="P60" s="13"/>
      <c r="Q60" s="13"/>
      <c r="R60" s="13"/>
      <c r="S60" s="13"/>
      <c r="T60" s="13"/>
    </row>
    <row r="61" spans="1:20" x14ac:dyDescent="0.35">
      <c r="A61" s="13"/>
      <c r="B61" s="13"/>
      <c r="C61" s="13"/>
      <c r="D61" s="49"/>
      <c r="E61" s="49"/>
      <c r="F61" s="13"/>
      <c r="G61" s="49"/>
      <c r="H61" s="13"/>
      <c r="I61" s="13"/>
      <c r="J61" s="13"/>
      <c r="K61" s="13"/>
      <c r="L61" s="13"/>
      <c r="M61" s="13"/>
      <c r="N61" s="13"/>
      <c r="O61" s="13"/>
      <c r="P61" s="13"/>
      <c r="Q61" s="13"/>
      <c r="R61" s="13"/>
      <c r="S61" s="13"/>
      <c r="T61" s="13"/>
    </row>
    <row r="62" spans="1:20" x14ac:dyDescent="0.35">
      <c r="A62" s="13"/>
      <c r="B62" s="13"/>
      <c r="C62" s="13"/>
      <c r="D62" s="49"/>
      <c r="E62" s="49"/>
      <c r="F62" s="13"/>
      <c r="G62" s="13"/>
      <c r="H62" s="13"/>
      <c r="I62" s="13"/>
      <c r="J62" s="13"/>
      <c r="K62" s="13"/>
      <c r="L62" s="13"/>
      <c r="M62" s="13"/>
      <c r="N62" s="13"/>
      <c r="O62" s="13"/>
      <c r="P62" s="13"/>
      <c r="Q62" s="13"/>
      <c r="R62" s="13"/>
      <c r="S62" s="13"/>
      <c r="T62" s="13"/>
    </row>
    <row r="63" spans="1:20" x14ac:dyDescent="0.35">
      <c r="A63" s="13"/>
      <c r="B63" s="13"/>
      <c r="C63" s="13"/>
      <c r="D63" s="49"/>
      <c r="E63" s="49"/>
      <c r="F63" s="13"/>
      <c r="G63" s="13"/>
      <c r="H63" s="13"/>
      <c r="I63" s="13"/>
      <c r="J63" s="13"/>
      <c r="K63" s="13"/>
      <c r="L63" s="13"/>
      <c r="M63" s="13"/>
      <c r="N63" s="13"/>
      <c r="O63" s="13"/>
      <c r="P63" s="13"/>
      <c r="Q63" s="13"/>
      <c r="R63" s="13"/>
      <c r="S63" s="13"/>
      <c r="T63" s="13"/>
    </row>
    <row r="64" spans="1:20" x14ac:dyDescent="0.35">
      <c r="A64" s="13"/>
      <c r="B64" s="13"/>
      <c r="C64" s="13"/>
      <c r="D64" s="49"/>
      <c r="E64" s="49"/>
      <c r="F64" s="13"/>
      <c r="G64" s="49"/>
      <c r="H64" s="13"/>
      <c r="I64" s="13"/>
      <c r="J64" s="13"/>
      <c r="K64" s="13"/>
      <c r="L64" s="13"/>
      <c r="M64" s="13"/>
      <c r="N64" s="13"/>
      <c r="O64" s="13"/>
      <c r="P64" s="13"/>
      <c r="Q64" s="13"/>
      <c r="R64" s="13"/>
      <c r="S64" s="13"/>
      <c r="T64" s="13"/>
    </row>
    <row r="65" spans="1:20" x14ac:dyDescent="0.35">
      <c r="A65" s="13"/>
      <c r="B65" s="13"/>
      <c r="C65" s="13"/>
      <c r="D65" s="49"/>
      <c r="E65" s="49"/>
      <c r="F65" s="13"/>
      <c r="G65" s="49"/>
      <c r="H65" s="13"/>
      <c r="I65" s="13"/>
      <c r="J65" s="13"/>
      <c r="K65" s="13"/>
      <c r="L65" s="13"/>
      <c r="M65" s="13"/>
      <c r="N65" s="13"/>
      <c r="O65" s="13"/>
      <c r="P65" s="13"/>
      <c r="Q65" s="13"/>
      <c r="R65" s="13"/>
      <c r="S65" s="13"/>
      <c r="T65" s="13"/>
    </row>
    <row r="66" spans="1:20" x14ac:dyDescent="0.35">
      <c r="A66" s="13"/>
      <c r="B66" s="13"/>
      <c r="C66" s="13"/>
      <c r="D66" s="13"/>
      <c r="E66" s="13"/>
      <c r="F66" s="13"/>
      <c r="G66" s="49"/>
      <c r="H66" s="13"/>
      <c r="I66" s="13"/>
      <c r="J66" s="13"/>
      <c r="K66" s="13"/>
      <c r="L66" s="13"/>
      <c r="M66" s="13"/>
      <c r="N66" s="13"/>
      <c r="O66" s="13"/>
      <c r="P66" s="13"/>
      <c r="Q66" s="13"/>
      <c r="R66" s="13"/>
      <c r="S66" s="13"/>
      <c r="T66" s="13"/>
    </row>
    <row r="67" spans="1:20" x14ac:dyDescent="0.35">
      <c r="A67" s="13"/>
      <c r="B67" s="13"/>
      <c r="C67" s="13"/>
      <c r="D67" s="13"/>
      <c r="E67" s="13"/>
      <c r="F67" s="13"/>
      <c r="G67" s="13"/>
      <c r="H67" s="13"/>
      <c r="I67" s="13"/>
      <c r="J67" s="13"/>
      <c r="K67" s="13"/>
      <c r="L67" s="13"/>
      <c r="M67" s="13"/>
      <c r="N67" s="13"/>
      <c r="O67" s="13"/>
      <c r="P67" s="13"/>
      <c r="Q67" s="13"/>
      <c r="R67" s="13"/>
      <c r="S67" s="13"/>
      <c r="T67" s="13"/>
    </row>
    <row r="68" spans="1:20" x14ac:dyDescent="0.35">
      <c r="A68" s="13"/>
      <c r="B68" s="13"/>
      <c r="C68" s="13"/>
      <c r="D68" s="13"/>
      <c r="E68" s="49"/>
      <c r="F68" s="49"/>
      <c r="G68" s="49"/>
      <c r="H68" s="13"/>
      <c r="I68" s="13"/>
      <c r="J68" s="13"/>
      <c r="K68" s="13"/>
      <c r="L68" s="13"/>
      <c r="M68" s="13"/>
      <c r="N68" s="13"/>
      <c r="O68" s="13"/>
      <c r="P68" s="13"/>
      <c r="Q68" s="13"/>
      <c r="R68" s="13"/>
      <c r="S68" s="13"/>
      <c r="T68" s="13"/>
    </row>
    <row r="69" spans="1:20" x14ac:dyDescent="0.35">
      <c r="A69" s="13"/>
      <c r="B69" s="13"/>
      <c r="C69" s="13"/>
      <c r="D69" s="13"/>
      <c r="E69" s="49"/>
      <c r="F69" s="49"/>
      <c r="G69" s="49"/>
      <c r="H69" s="13"/>
      <c r="I69" s="13"/>
      <c r="J69" s="13"/>
      <c r="K69" s="13"/>
      <c r="L69" s="13"/>
      <c r="M69" s="13"/>
      <c r="N69" s="13"/>
      <c r="O69" s="13"/>
      <c r="P69" s="13"/>
      <c r="Q69" s="13"/>
      <c r="R69" s="13"/>
      <c r="S69" s="13"/>
      <c r="T69" s="13"/>
    </row>
    <row r="70" spans="1:20" x14ac:dyDescent="0.35">
      <c r="A70" s="13"/>
      <c r="B70" s="13"/>
      <c r="C70" s="13"/>
      <c r="D70" s="13"/>
      <c r="E70" s="49"/>
      <c r="F70" s="49"/>
      <c r="G70" s="49"/>
      <c r="H70" s="13"/>
      <c r="I70" s="13"/>
      <c r="J70" s="13"/>
      <c r="K70" s="13"/>
      <c r="L70" s="13"/>
      <c r="M70" s="13"/>
      <c r="N70" s="13"/>
      <c r="O70" s="13"/>
      <c r="P70" s="13"/>
      <c r="Q70" s="13"/>
      <c r="R70" s="13"/>
      <c r="S70" s="13"/>
      <c r="T70" s="13"/>
    </row>
    <row r="71" spans="1:20" x14ac:dyDescent="0.35">
      <c r="A71" s="13"/>
      <c r="B71" s="13"/>
      <c r="C71" s="13"/>
      <c r="D71" s="13"/>
      <c r="E71" s="49"/>
      <c r="F71" s="49"/>
      <c r="G71" s="49"/>
      <c r="H71" s="13"/>
      <c r="I71" s="13"/>
      <c r="J71" s="13"/>
      <c r="K71" s="13"/>
      <c r="L71" s="13"/>
      <c r="M71" s="13"/>
      <c r="N71" s="13"/>
      <c r="O71" s="13"/>
      <c r="P71" s="13"/>
      <c r="Q71" s="13"/>
      <c r="R71" s="13"/>
      <c r="S71" s="13"/>
      <c r="T71" s="13"/>
    </row>
    <row r="72" spans="1:20" x14ac:dyDescent="0.35">
      <c r="A72" s="13"/>
      <c r="B72" s="13"/>
      <c r="C72" s="13"/>
      <c r="D72" s="13"/>
      <c r="E72" s="13"/>
      <c r="F72" s="13"/>
      <c r="G72" s="13"/>
      <c r="H72" s="13"/>
      <c r="I72" s="13"/>
      <c r="J72" s="13"/>
      <c r="K72" s="13"/>
      <c r="L72" s="13"/>
      <c r="M72" s="13"/>
      <c r="N72" s="13"/>
      <c r="O72" s="13"/>
      <c r="P72" s="13"/>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ht="18.5" x14ac:dyDescent="0.45">
      <c r="A74" s="13"/>
      <c r="B74" s="13"/>
      <c r="C74" s="13"/>
      <c r="D74" s="13"/>
      <c r="E74" s="13"/>
      <c r="F74" s="149"/>
      <c r="G74" s="13"/>
      <c r="H74" s="13"/>
      <c r="I74" s="13"/>
      <c r="J74" s="13"/>
      <c r="K74" s="13"/>
      <c r="L74" s="13"/>
      <c r="M74" s="13"/>
      <c r="N74" s="13"/>
      <c r="O74" s="13"/>
      <c r="P74" s="13"/>
      <c r="Q74" s="13"/>
      <c r="R74" s="13"/>
      <c r="S74" s="13"/>
      <c r="T74" s="13"/>
    </row>
    <row r="75" spans="1:20" ht="15.5" x14ac:dyDescent="0.35">
      <c r="A75" s="13"/>
      <c r="B75" s="14"/>
      <c r="C75" s="14"/>
      <c r="D75" s="14"/>
      <c r="E75" s="14"/>
      <c r="F75" s="14"/>
      <c r="G75" s="14"/>
      <c r="H75" s="14"/>
      <c r="I75" s="14"/>
      <c r="J75" s="14"/>
      <c r="K75" s="14"/>
      <c r="L75" s="14"/>
      <c r="M75" s="14"/>
      <c r="N75" s="14"/>
      <c r="O75" s="14"/>
      <c r="P75" s="14"/>
      <c r="Q75" s="13"/>
      <c r="R75" s="14"/>
      <c r="S75" s="13"/>
      <c r="T75" s="13"/>
    </row>
    <row r="76" spans="1:20" x14ac:dyDescent="0.35">
      <c r="A76" s="13"/>
      <c r="B76" s="13"/>
      <c r="C76" s="13"/>
      <c r="D76" s="13"/>
      <c r="E76" s="13"/>
      <c r="F76" s="13"/>
      <c r="G76" s="13"/>
      <c r="H76" s="13"/>
      <c r="I76" s="13"/>
      <c r="J76" s="13"/>
      <c r="K76" s="13"/>
      <c r="L76" s="13"/>
      <c r="M76" s="13"/>
      <c r="N76" s="13"/>
      <c r="O76" s="13"/>
      <c r="P76" s="13"/>
      <c r="Q76" s="13"/>
      <c r="R76" s="13"/>
      <c r="S76" s="13"/>
      <c r="T76" s="13"/>
    </row>
    <row r="77" spans="1:20" x14ac:dyDescent="0.35">
      <c r="A77" s="13"/>
      <c r="B77" s="13"/>
      <c r="C77" s="13"/>
      <c r="D77" s="13"/>
      <c r="E77" s="13"/>
      <c r="F77" s="13"/>
      <c r="G77" s="13"/>
      <c r="H77" s="13"/>
      <c r="I77" s="13"/>
      <c r="J77" s="13"/>
      <c r="K77" s="13"/>
      <c r="L77" s="13"/>
      <c r="M77" s="13"/>
      <c r="N77" s="13"/>
      <c r="O77" s="13"/>
      <c r="P77" s="13"/>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x14ac:dyDescent="0.35">
      <c r="A81" s="13"/>
      <c r="B81" s="13"/>
      <c r="C81" s="13"/>
      <c r="D81" s="13"/>
      <c r="E81" s="13"/>
      <c r="F81" s="13"/>
      <c r="G81" s="13"/>
      <c r="H81" s="13"/>
      <c r="I81" s="13"/>
      <c r="J81" s="13"/>
      <c r="K81" s="13"/>
      <c r="L81" s="13"/>
      <c r="M81" s="13"/>
      <c r="N81" s="13"/>
      <c r="O81" s="13"/>
      <c r="P81" s="13"/>
      <c r="Q81" s="13"/>
      <c r="R81" s="13"/>
      <c r="S81" s="13"/>
      <c r="T81" s="13"/>
    </row>
    <row r="82" spans="1:20" x14ac:dyDescent="0.35">
      <c r="A82" s="49"/>
      <c r="B82" s="13"/>
      <c r="C82" s="13"/>
      <c r="D82" s="13"/>
      <c r="E82" s="13"/>
      <c r="F82" s="13"/>
      <c r="G82" s="13"/>
      <c r="H82" s="13"/>
      <c r="I82" s="13"/>
      <c r="J82" s="13"/>
      <c r="K82" s="13"/>
      <c r="L82" s="13"/>
      <c r="M82" s="13"/>
      <c r="N82" s="13"/>
      <c r="O82" s="13"/>
      <c r="P82" s="13"/>
      <c r="Q82" s="13"/>
      <c r="R82" s="13"/>
      <c r="S82" s="13"/>
      <c r="T82" s="13"/>
    </row>
    <row r="83" spans="1:20" x14ac:dyDescent="0.35">
      <c r="A83" s="13"/>
      <c r="B83" s="13"/>
      <c r="C83" s="13"/>
      <c r="D83" s="13"/>
      <c r="E83" s="13"/>
      <c r="F83" s="13"/>
      <c r="G83" s="13"/>
      <c r="H83" s="13"/>
      <c r="I83" s="13"/>
      <c r="J83" s="13"/>
      <c r="K83" s="13"/>
      <c r="L83" s="13"/>
      <c r="M83" s="13"/>
      <c r="N83" s="13"/>
      <c r="O83" s="13"/>
      <c r="P83" s="13"/>
      <c r="Q83" s="13"/>
      <c r="R83" s="13"/>
      <c r="S83" s="13"/>
      <c r="T83" s="13"/>
    </row>
    <row r="84" spans="1:20" x14ac:dyDescent="0.35">
      <c r="A84" s="13"/>
      <c r="B84" s="13"/>
      <c r="C84" s="13"/>
      <c r="D84" s="13"/>
      <c r="E84" s="13"/>
      <c r="F84" s="13"/>
      <c r="G84" s="13"/>
      <c r="H84" s="13"/>
      <c r="I84" s="13"/>
      <c r="J84" s="13"/>
      <c r="K84" s="13"/>
      <c r="L84" s="13"/>
      <c r="M84" s="13"/>
      <c r="N84" s="13"/>
      <c r="O84" s="13"/>
      <c r="P84" s="13"/>
      <c r="Q84" s="13"/>
      <c r="R84" s="13"/>
      <c r="S84" s="13"/>
      <c r="T84" s="13"/>
    </row>
    <row r="85" spans="1:20" x14ac:dyDescent="0.35">
      <c r="A85" s="13"/>
      <c r="B85" s="13"/>
      <c r="C85" s="13"/>
      <c r="D85" s="13"/>
      <c r="E85" s="13"/>
      <c r="F85" s="13"/>
      <c r="G85" s="13"/>
      <c r="H85" s="13"/>
      <c r="I85" s="13"/>
      <c r="J85" s="13"/>
      <c r="K85" s="13"/>
      <c r="L85" s="13"/>
      <c r="M85" s="13"/>
      <c r="N85" s="13"/>
      <c r="O85" s="13"/>
      <c r="P85" s="13"/>
      <c r="Q85" s="13"/>
      <c r="R85" s="13"/>
      <c r="S85" s="13"/>
      <c r="T85" s="13"/>
    </row>
    <row r="86" spans="1:20" x14ac:dyDescent="0.35">
      <c r="A86" s="13"/>
      <c r="B86" s="13"/>
      <c r="C86" s="13"/>
      <c r="D86" s="13"/>
      <c r="E86" s="13"/>
      <c r="F86" s="13"/>
      <c r="G86" s="13"/>
      <c r="H86" s="13"/>
      <c r="I86" s="13"/>
      <c r="J86" s="13"/>
      <c r="K86" s="13"/>
      <c r="L86" s="13"/>
      <c r="M86" s="13"/>
      <c r="N86" s="13"/>
      <c r="O86" s="13"/>
      <c r="P86" s="13"/>
      <c r="Q86" s="13"/>
      <c r="R86" s="13"/>
      <c r="S86" s="13"/>
      <c r="T86" s="13"/>
    </row>
    <row r="87" spans="1:20" x14ac:dyDescent="0.35">
      <c r="A87" s="13"/>
      <c r="B87" s="13"/>
      <c r="C87" s="13"/>
      <c r="D87" s="13"/>
      <c r="E87" s="13"/>
      <c r="F87" s="13"/>
      <c r="G87" s="13"/>
      <c r="H87" s="13"/>
      <c r="I87" s="13"/>
      <c r="J87" s="13"/>
      <c r="K87" s="13"/>
      <c r="L87" s="13"/>
      <c r="M87" s="13"/>
      <c r="N87" s="13"/>
      <c r="O87" s="13"/>
      <c r="P87" s="13"/>
      <c r="Q87" s="13"/>
      <c r="R87" s="13"/>
      <c r="S87" s="13"/>
      <c r="T87" s="13"/>
    </row>
    <row r="88" spans="1:20" x14ac:dyDescent="0.35">
      <c r="A88" s="13"/>
      <c r="B88" s="13"/>
      <c r="C88" s="13"/>
      <c r="D88" s="13"/>
      <c r="E88" s="13"/>
      <c r="F88" s="13"/>
      <c r="G88" s="13"/>
      <c r="H88" s="13"/>
      <c r="I88" s="13"/>
      <c r="J88" s="13"/>
      <c r="K88" s="13"/>
      <c r="L88" s="13"/>
      <c r="M88" s="13"/>
      <c r="N88" s="13"/>
      <c r="O88" s="13"/>
      <c r="P88" s="13"/>
      <c r="Q88" s="13"/>
      <c r="R88" s="13"/>
      <c r="S88" s="13"/>
      <c r="T88" s="13"/>
    </row>
    <row r="89" spans="1:20" x14ac:dyDescent="0.35">
      <c r="A89" s="13"/>
      <c r="B89" s="13"/>
      <c r="C89" s="13"/>
      <c r="D89" s="13"/>
      <c r="E89" s="13"/>
      <c r="F89" s="13"/>
      <c r="G89" s="13"/>
      <c r="H89" s="13"/>
      <c r="I89" s="13"/>
      <c r="J89" s="13"/>
      <c r="K89" s="13"/>
      <c r="L89" s="13"/>
      <c r="M89" s="13"/>
      <c r="N89" s="13"/>
      <c r="O89" s="13"/>
      <c r="P89" s="13"/>
      <c r="Q89" s="13"/>
      <c r="R89" s="13"/>
      <c r="S89" s="13"/>
      <c r="T89" s="13"/>
    </row>
    <row r="90" spans="1:20" x14ac:dyDescent="0.35">
      <c r="A90" s="13"/>
      <c r="B90" s="13"/>
      <c r="C90" s="13"/>
      <c r="D90" s="13"/>
      <c r="E90" s="13"/>
      <c r="F90" s="13"/>
      <c r="G90" s="13"/>
      <c r="H90" s="13"/>
      <c r="I90" s="13"/>
      <c r="J90" s="13"/>
      <c r="K90" s="13"/>
      <c r="L90" s="13"/>
      <c r="M90" s="13"/>
      <c r="N90" s="13"/>
      <c r="O90" s="13"/>
      <c r="P90" s="13"/>
      <c r="Q90" s="13"/>
      <c r="R90" s="13"/>
      <c r="S90" s="13"/>
      <c r="T90" s="13"/>
    </row>
    <row r="91" spans="1:20" x14ac:dyDescent="0.35">
      <c r="A91" s="13"/>
      <c r="B91" s="13"/>
      <c r="C91" s="13"/>
      <c r="D91" s="13"/>
      <c r="E91" s="13"/>
      <c r="F91" s="13"/>
      <c r="G91" s="13"/>
      <c r="H91" s="13"/>
      <c r="I91" s="13"/>
      <c r="J91" s="13"/>
      <c r="K91" s="13"/>
      <c r="L91" s="13"/>
      <c r="M91" s="13"/>
      <c r="N91" s="13"/>
      <c r="O91" s="13"/>
      <c r="P91" s="13"/>
      <c r="Q91" s="13"/>
      <c r="R91" s="13"/>
      <c r="S91" s="13"/>
      <c r="T91" s="13"/>
    </row>
    <row r="92" spans="1:20" x14ac:dyDescent="0.35">
      <c r="A92" s="13"/>
      <c r="B92" s="13"/>
      <c r="C92" s="13"/>
      <c r="D92" s="13"/>
      <c r="E92" s="13"/>
      <c r="F92" s="13"/>
      <c r="G92" s="13"/>
      <c r="H92" s="13"/>
      <c r="I92" s="13"/>
      <c r="J92" s="13"/>
      <c r="K92" s="13"/>
      <c r="L92" s="13"/>
      <c r="M92" s="13"/>
      <c r="N92" s="13"/>
      <c r="O92" s="13"/>
      <c r="P92" s="13"/>
      <c r="Q92" s="13"/>
      <c r="R92" s="13"/>
      <c r="S92" s="13"/>
      <c r="T92" s="13"/>
    </row>
    <row r="93" spans="1:20" x14ac:dyDescent="0.35">
      <c r="A93" s="13"/>
      <c r="B93" s="13"/>
      <c r="C93" s="13"/>
      <c r="D93" s="13"/>
      <c r="E93" s="13"/>
      <c r="F93" s="13"/>
      <c r="G93" s="13"/>
      <c r="H93" s="13"/>
      <c r="I93" s="13"/>
      <c r="J93" s="13"/>
      <c r="K93" s="13"/>
      <c r="L93" s="13"/>
      <c r="M93" s="13"/>
      <c r="N93" s="13"/>
      <c r="O93" s="13"/>
      <c r="P93" s="13"/>
      <c r="Q93" s="13"/>
      <c r="R93" s="13"/>
      <c r="S93" s="13"/>
      <c r="T93" s="13"/>
    </row>
    <row r="94" spans="1:20" x14ac:dyDescent="0.35">
      <c r="A94" s="13"/>
      <c r="B94" s="13"/>
      <c r="C94" s="13"/>
      <c r="D94" s="13"/>
      <c r="E94" s="13"/>
      <c r="F94" s="13"/>
      <c r="G94" s="13"/>
      <c r="H94" s="13"/>
      <c r="I94" s="13"/>
      <c r="J94" s="13"/>
      <c r="K94" s="13"/>
      <c r="L94" s="13"/>
      <c r="M94" s="13"/>
      <c r="N94" s="13"/>
      <c r="O94" s="13"/>
      <c r="P94" s="13"/>
      <c r="Q94" s="13"/>
      <c r="R94" s="13"/>
      <c r="S94" s="13"/>
      <c r="T94" s="13"/>
    </row>
    <row r="95" spans="1:20" x14ac:dyDescent="0.35">
      <c r="A95" s="13"/>
      <c r="B95" s="13"/>
      <c r="C95" s="13"/>
      <c r="D95" s="13"/>
      <c r="E95" s="13"/>
      <c r="F95" s="13"/>
      <c r="G95" s="13"/>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x14ac:dyDescent="0.35">
      <c r="A97" s="13"/>
      <c r="B97" s="13"/>
      <c r="C97" s="13"/>
      <c r="D97" s="13"/>
      <c r="E97" s="13"/>
      <c r="F97" s="13"/>
      <c r="G97" s="13"/>
      <c r="H97" s="13"/>
      <c r="I97" s="13"/>
      <c r="J97" s="13"/>
      <c r="K97" s="13"/>
      <c r="L97" s="13"/>
      <c r="M97" s="13"/>
      <c r="N97" s="13"/>
      <c r="O97" s="13"/>
      <c r="P97" s="13"/>
      <c r="Q97" s="13"/>
      <c r="R97" s="13"/>
      <c r="S97" s="13"/>
      <c r="T97" s="13"/>
    </row>
    <row r="98" spans="1:20" x14ac:dyDescent="0.35">
      <c r="A98" s="13"/>
      <c r="B98" s="13"/>
      <c r="C98" s="13"/>
      <c r="D98" s="13"/>
      <c r="E98" s="13"/>
      <c r="F98" s="13"/>
      <c r="G98" s="13"/>
      <c r="H98" s="13"/>
      <c r="I98" s="13"/>
      <c r="J98" s="13"/>
      <c r="K98" s="13"/>
      <c r="L98" s="13"/>
      <c r="M98" s="13"/>
      <c r="N98" s="13"/>
      <c r="O98" s="13"/>
      <c r="P98" s="13"/>
      <c r="Q98" s="13"/>
      <c r="R98" s="13"/>
      <c r="S98" s="13"/>
      <c r="T98" s="13"/>
    </row>
    <row r="99" spans="1:20" x14ac:dyDescent="0.35">
      <c r="A99" s="13"/>
      <c r="B99" s="13"/>
      <c r="C99" s="13"/>
      <c r="D99" s="13"/>
      <c r="E99" s="13"/>
      <c r="F99" s="13"/>
      <c r="G99" s="13"/>
      <c r="H99" s="13"/>
      <c r="I99" s="13"/>
      <c r="J99" s="13"/>
      <c r="K99" s="13"/>
      <c r="L99" s="13"/>
      <c r="M99" s="13"/>
      <c r="N99" s="13"/>
      <c r="O99" s="13"/>
      <c r="P99" s="13"/>
      <c r="Q99" s="13"/>
      <c r="R99" s="13"/>
      <c r="S99" s="13"/>
      <c r="T99" s="13"/>
    </row>
    <row r="100" spans="1:20" x14ac:dyDescent="0.35">
      <c r="A100" s="13"/>
      <c r="B100" s="13"/>
      <c r="C100" s="13"/>
      <c r="D100" s="13"/>
      <c r="E100" s="13"/>
      <c r="F100" s="13"/>
      <c r="G100" s="13"/>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ht="15.5" x14ac:dyDescent="0.35">
      <c r="A103" s="13"/>
      <c r="B103" s="13"/>
      <c r="C103" s="13"/>
      <c r="D103" s="13"/>
      <c r="E103" s="13"/>
      <c r="F103" s="13"/>
      <c r="G103" s="13"/>
      <c r="H103" s="14"/>
      <c r="I103" s="14"/>
      <c r="J103" s="14"/>
      <c r="K103" s="14"/>
      <c r="L103" s="14"/>
      <c r="M103" s="14"/>
      <c r="N103" s="14"/>
      <c r="O103" s="14"/>
      <c r="P103" s="14"/>
      <c r="Q103" s="13"/>
      <c r="R103" s="13"/>
      <c r="S103" s="13"/>
      <c r="T103" s="13"/>
    </row>
    <row r="104" spans="1:20" x14ac:dyDescent="0.35">
      <c r="A104" s="13"/>
      <c r="B104" s="13"/>
      <c r="C104" s="13"/>
      <c r="D104" s="13"/>
      <c r="E104" s="49"/>
      <c r="F104" s="13"/>
      <c r="G104" s="49"/>
      <c r="H104" s="13"/>
      <c r="I104" s="13"/>
      <c r="J104" s="13"/>
      <c r="K104" s="13"/>
      <c r="L104" s="13"/>
      <c r="M104" s="13"/>
      <c r="N104" s="13"/>
      <c r="O104" s="13"/>
      <c r="P104" s="13"/>
      <c r="Q104" s="13"/>
      <c r="R104" s="13"/>
      <c r="S104" s="13"/>
      <c r="T104" s="13"/>
    </row>
    <row r="105" spans="1:20" x14ac:dyDescent="0.35">
      <c r="A105" s="13"/>
      <c r="B105" s="13"/>
      <c r="C105" s="13"/>
      <c r="D105" s="13"/>
      <c r="E105" s="49"/>
      <c r="F105" s="13"/>
      <c r="G105" s="49"/>
      <c r="H105" s="13"/>
      <c r="I105" s="13"/>
      <c r="J105" s="13"/>
      <c r="K105" s="13"/>
      <c r="L105" s="13"/>
      <c r="M105" s="13"/>
      <c r="N105" s="13"/>
      <c r="O105" s="13"/>
      <c r="P105" s="13"/>
      <c r="Q105" s="13"/>
      <c r="R105" s="13"/>
      <c r="S105" s="13"/>
      <c r="T105" s="13"/>
    </row>
    <row r="106" spans="1:20" x14ac:dyDescent="0.35">
      <c r="A106" s="13"/>
      <c r="B106" s="13"/>
      <c r="C106" s="13"/>
      <c r="D106" s="13"/>
      <c r="E106" s="49"/>
      <c r="F106" s="13"/>
      <c r="G106" s="49"/>
      <c r="H106" s="13"/>
      <c r="I106" s="13"/>
      <c r="J106" s="13"/>
      <c r="K106" s="13"/>
      <c r="L106" s="13"/>
      <c r="M106" s="13"/>
      <c r="N106" s="13"/>
      <c r="O106" s="13"/>
      <c r="P106" s="13"/>
      <c r="Q106" s="13"/>
      <c r="R106" s="13"/>
      <c r="S106" s="13"/>
      <c r="T106" s="13"/>
    </row>
    <row r="107" spans="1:20" x14ac:dyDescent="0.35">
      <c r="A107" s="13"/>
      <c r="B107" s="13"/>
      <c r="C107" s="13"/>
      <c r="D107" s="13"/>
      <c r="E107" s="49"/>
      <c r="F107" s="13"/>
      <c r="G107" s="13"/>
      <c r="H107" s="13"/>
      <c r="I107" s="13"/>
      <c r="J107" s="13"/>
      <c r="K107" s="13"/>
      <c r="L107" s="13"/>
      <c r="M107" s="13"/>
      <c r="N107" s="13"/>
      <c r="O107" s="13"/>
      <c r="P107" s="13"/>
      <c r="Q107" s="13"/>
      <c r="R107" s="13"/>
      <c r="S107" s="13"/>
      <c r="T107" s="13"/>
    </row>
    <row r="108" spans="1:20" x14ac:dyDescent="0.35">
      <c r="A108" s="13"/>
      <c r="B108" s="13"/>
      <c r="C108" s="13"/>
      <c r="D108" s="13"/>
      <c r="E108" s="49"/>
      <c r="F108" s="13"/>
      <c r="G108" s="13"/>
      <c r="H108" s="13"/>
      <c r="I108" s="13"/>
      <c r="J108" s="13"/>
      <c r="K108" s="13"/>
      <c r="L108" s="13"/>
      <c r="M108" s="13"/>
      <c r="N108" s="13"/>
      <c r="O108" s="13"/>
      <c r="P108" s="13"/>
      <c r="Q108" s="13"/>
      <c r="R108" s="13"/>
      <c r="S108" s="13"/>
      <c r="T108" s="13"/>
    </row>
    <row r="109" spans="1:20" x14ac:dyDescent="0.35">
      <c r="A109" s="13"/>
      <c r="B109" s="13"/>
      <c r="C109" s="13"/>
      <c r="D109" s="13"/>
      <c r="E109" s="49"/>
      <c r="F109" s="13"/>
      <c r="G109" s="49"/>
      <c r="H109" s="13"/>
      <c r="I109" s="13"/>
      <c r="J109" s="13"/>
      <c r="K109" s="13"/>
      <c r="L109" s="13"/>
      <c r="M109" s="13"/>
      <c r="N109" s="13"/>
      <c r="O109" s="13"/>
      <c r="P109" s="13"/>
      <c r="Q109" s="13"/>
      <c r="R109" s="13"/>
      <c r="S109" s="13"/>
      <c r="T109" s="13"/>
    </row>
    <row r="110" spans="1:20" x14ac:dyDescent="0.35">
      <c r="A110" s="13"/>
      <c r="B110" s="13"/>
      <c r="C110" s="13"/>
      <c r="D110" s="13"/>
      <c r="E110" s="49"/>
      <c r="F110" s="13"/>
      <c r="G110" s="49"/>
      <c r="H110" s="13"/>
      <c r="I110" s="13"/>
      <c r="J110" s="13"/>
      <c r="K110" s="13"/>
      <c r="L110" s="13"/>
      <c r="M110" s="13"/>
      <c r="N110" s="13"/>
      <c r="O110" s="13"/>
      <c r="P110" s="13"/>
      <c r="Q110" s="13"/>
      <c r="R110" s="13"/>
      <c r="S110" s="13"/>
      <c r="T110" s="13"/>
    </row>
    <row r="111" spans="1:20" x14ac:dyDescent="0.35">
      <c r="A111" s="13"/>
      <c r="B111" s="13"/>
      <c r="C111" s="13"/>
      <c r="D111" s="13"/>
      <c r="E111" s="13"/>
      <c r="F111" s="13"/>
      <c r="G111" s="49"/>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49"/>
      <c r="F113" s="49"/>
      <c r="G113" s="49"/>
      <c r="H113" s="13"/>
      <c r="I113" s="13"/>
      <c r="J113" s="13"/>
      <c r="K113" s="13"/>
      <c r="L113" s="13"/>
      <c r="M113" s="13"/>
      <c r="N113" s="13"/>
      <c r="O113" s="13"/>
      <c r="P113" s="13"/>
      <c r="Q113" s="13"/>
      <c r="R113" s="13"/>
      <c r="S113" s="13"/>
      <c r="T113" s="13"/>
    </row>
    <row r="114" spans="1:20" x14ac:dyDescent="0.35">
      <c r="A114" s="13"/>
      <c r="B114" s="13"/>
      <c r="C114" s="13"/>
      <c r="D114" s="13"/>
      <c r="E114" s="49"/>
      <c r="F114" s="49"/>
      <c r="G114" s="49"/>
      <c r="H114" s="13"/>
      <c r="I114" s="13"/>
      <c r="J114" s="13"/>
      <c r="K114" s="13"/>
      <c r="L114" s="13"/>
      <c r="M114" s="13"/>
      <c r="N114" s="13"/>
      <c r="O114" s="13"/>
      <c r="P114" s="13"/>
      <c r="Q114" s="13"/>
      <c r="R114" s="13"/>
      <c r="S114" s="13"/>
      <c r="T114" s="13"/>
    </row>
    <row r="115" spans="1:20" x14ac:dyDescent="0.35">
      <c r="A115" s="13"/>
      <c r="B115" s="13"/>
      <c r="C115" s="13"/>
      <c r="D115" s="13"/>
      <c r="E115" s="49"/>
      <c r="F115" s="49"/>
      <c r="G115" s="49"/>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x14ac:dyDescent="0.35">
      <c r="A126" s="13"/>
      <c r="B126" s="13"/>
      <c r="C126" s="13"/>
      <c r="D126" s="13"/>
      <c r="E126" s="13"/>
      <c r="F126" s="13"/>
      <c r="G126" s="13"/>
      <c r="H126" s="13"/>
      <c r="I126" s="13"/>
      <c r="J126" s="13"/>
      <c r="K126" s="13"/>
      <c r="L126" s="13"/>
      <c r="M126" s="13"/>
      <c r="N126" s="13"/>
      <c r="O126" s="13"/>
      <c r="P126" s="13"/>
      <c r="Q126" s="13"/>
      <c r="R126" s="13"/>
      <c r="S126" s="13"/>
      <c r="T126" s="13"/>
    </row>
    <row r="127" spans="1:20" x14ac:dyDescent="0.35">
      <c r="A127" s="13"/>
      <c r="B127" s="13"/>
      <c r="C127" s="13"/>
      <c r="D127" s="13"/>
      <c r="E127" s="13"/>
      <c r="F127" s="13"/>
      <c r="G127" s="13"/>
      <c r="H127" s="13"/>
      <c r="I127" s="13"/>
      <c r="J127" s="13"/>
      <c r="K127" s="13"/>
      <c r="L127" s="13"/>
      <c r="M127" s="13"/>
      <c r="N127" s="13"/>
      <c r="O127" s="13"/>
      <c r="P127" s="13"/>
      <c r="Q127" s="13"/>
      <c r="R127" s="13"/>
      <c r="S127" s="13"/>
      <c r="T127" s="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K150"/>
  <sheetViews>
    <sheetView workbookViewId="0">
      <selection activeCell="R68" sqref="R68"/>
    </sheetView>
  </sheetViews>
  <sheetFormatPr defaultRowHeight="14.5" x14ac:dyDescent="0.35"/>
  <cols>
    <col min="2" max="2" width="10.54296875" customWidth="1"/>
    <col min="3" max="3" width="10.26953125" customWidth="1"/>
    <col min="8" max="8" width="11.81640625" bestFit="1" customWidth="1"/>
    <col min="13" max="13" width="11" customWidth="1"/>
  </cols>
  <sheetData>
    <row r="4" spans="2:37" ht="18.5" x14ac:dyDescent="0.45">
      <c r="B4" s="2"/>
      <c r="C4" s="1" t="s">
        <v>118</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86</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7.2280300000000004</v>
      </c>
      <c r="G7" s="2">
        <v>9.5135900000000007</v>
      </c>
      <c r="H7" s="2">
        <f>G7-F7</f>
        <v>2.2855600000000003</v>
      </c>
      <c r="I7" s="2">
        <f>F8-G7</f>
        <v>9.3504299999999994</v>
      </c>
      <c r="J7" s="2">
        <f>H7/N7</f>
        <v>0.19642161947543788</v>
      </c>
      <c r="K7" s="2">
        <f>I7/N7</f>
        <v>0.8035783805245621</v>
      </c>
      <c r="L7" s="2">
        <f>1/H7</f>
        <v>0.43752953324349386</v>
      </c>
      <c r="M7" s="2">
        <f>1/N7</f>
        <v>8.5940259488019505E-2</v>
      </c>
      <c r="N7" s="2">
        <f>H7+I7</f>
        <v>11.63599</v>
      </c>
      <c r="O7" s="2">
        <v>13</v>
      </c>
      <c r="P7">
        <f>O7/H7</f>
        <v>5.6878839321654207</v>
      </c>
      <c r="R7" t="s">
        <v>640</v>
      </c>
      <c r="Y7" s="2"/>
      <c r="Z7" s="2"/>
      <c r="AA7" s="2">
        <f t="shared" ref="AA7:AA12" si="0">Z7-Y7</f>
        <v>0</v>
      </c>
      <c r="AB7" s="2">
        <f>Y8-Z7</f>
        <v>0</v>
      </c>
      <c r="AC7" s="2" t="e">
        <f t="shared" ref="AC7:AC12" si="1">AA7/AG7</f>
        <v>#DIV/0!</v>
      </c>
      <c r="AD7" s="2" t="e">
        <f t="shared" ref="AD7:AD12" si="2">AB7/AG7</f>
        <v>#DIV/0!</v>
      </c>
      <c r="AE7" s="2" t="e">
        <f t="shared" ref="AE7:AE12" si="3">1/AA7</f>
        <v>#DIV/0!</v>
      </c>
      <c r="AF7" s="2" t="e">
        <f t="shared" ref="AF7:AF12" si="4">1/AG7</f>
        <v>#DIV/0!</v>
      </c>
      <c r="AG7" s="2">
        <f t="shared" ref="AG7:AG12" si="5">AA7+AB7</f>
        <v>0</v>
      </c>
      <c r="AH7" s="2"/>
      <c r="AK7" t="s">
        <v>314</v>
      </c>
    </row>
    <row r="8" spans="2:37" x14ac:dyDescent="0.35">
      <c r="B8" s="2"/>
      <c r="C8" s="2"/>
      <c r="D8" s="2"/>
      <c r="E8" s="2"/>
      <c r="F8" s="2">
        <v>18.86402</v>
      </c>
      <c r="G8" s="2">
        <v>21.34</v>
      </c>
      <c r="H8" s="2">
        <f t="shared" ref="H8:H23" si="6">G8-F8</f>
        <v>2.4759799999999998</v>
      </c>
      <c r="I8" s="2">
        <f t="shared" ref="I8:I23" si="7">F9-G8</f>
        <v>10.24248</v>
      </c>
      <c r="J8" s="2">
        <f t="shared" ref="J8:J23" si="8">H8/N8</f>
        <v>0.19467608499771197</v>
      </c>
      <c r="K8" s="2">
        <f t="shared" ref="K8:K23" si="9">I8/N8</f>
        <v>0.80532391500228806</v>
      </c>
      <c r="L8" s="2">
        <f t="shared" ref="L8:L23" si="10">1/H8</f>
        <v>0.40388048368726731</v>
      </c>
      <c r="M8" s="2">
        <f t="shared" ref="M8:M23" si="11">1/N8</f>
        <v>7.8625871371219472E-2</v>
      </c>
      <c r="N8" s="2">
        <f t="shared" ref="N8:N23" si="12">H8+I8</f>
        <v>12.71846</v>
      </c>
      <c r="O8" s="2">
        <v>14</v>
      </c>
      <c r="P8">
        <f t="shared" ref="P8:P23" si="13">O8/H8</f>
        <v>5.6543267716217418</v>
      </c>
      <c r="Y8" s="2"/>
      <c r="Z8" s="2"/>
      <c r="AA8" s="2">
        <f t="shared" si="0"/>
        <v>0</v>
      </c>
      <c r="AB8" s="2">
        <f>Y9-Z8</f>
        <v>0</v>
      </c>
      <c r="AC8" s="2" t="e">
        <f t="shared" si="1"/>
        <v>#DIV/0!</v>
      </c>
      <c r="AD8" s="2" t="e">
        <f t="shared" si="2"/>
        <v>#DIV/0!</v>
      </c>
      <c r="AE8" s="2" t="e">
        <f t="shared" si="3"/>
        <v>#DIV/0!</v>
      </c>
      <c r="AF8" s="2" t="e">
        <f t="shared" si="4"/>
        <v>#DIV/0!</v>
      </c>
      <c r="AG8" s="2">
        <f t="shared" si="5"/>
        <v>0</v>
      </c>
      <c r="AH8" s="2"/>
    </row>
    <row r="9" spans="2:37" x14ac:dyDescent="0.35">
      <c r="B9" s="2"/>
      <c r="C9" s="2"/>
      <c r="D9" s="2"/>
      <c r="E9" s="2"/>
      <c r="F9" s="2">
        <v>31.58248</v>
      </c>
      <c r="G9" s="2">
        <v>33.852519999999998</v>
      </c>
      <c r="H9" s="2">
        <f t="shared" si="6"/>
        <v>2.2700399999999981</v>
      </c>
      <c r="I9" s="2">
        <f t="shared" si="7"/>
        <v>10.327730000000003</v>
      </c>
      <c r="J9" s="2">
        <f t="shared" si="8"/>
        <v>0.18019379620361364</v>
      </c>
      <c r="K9" s="2">
        <f t="shared" si="9"/>
        <v>0.81980620379638636</v>
      </c>
      <c r="L9" s="2">
        <f t="shared" si="10"/>
        <v>0.44052087187890998</v>
      </c>
      <c r="M9" s="2">
        <f t="shared" si="11"/>
        <v>7.9379128210786506E-2</v>
      </c>
      <c r="N9" s="2">
        <f t="shared" si="12"/>
        <v>12.597770000000001</v>
      </c>
      <c r="O9" s="2">
        <v>13</v>
      </c>
      <c r="P9">
        <f t="shared" si="13"/>
        <v>5.7267713344258304</v>
      </c>
      <c r="Y9" s="2"/>
      <c r="Z9" s="2"/>
      <c r="AA9" s="2">
        <f t="shared" si="0"/>
        <v>0</v>
      </c>
      <c r="AB9" s="2">
        <f>Y10-Z9</f>
        <v>0</v>
      </c>
      <c r="AC9" s="2" t="e">
        <f t="shared" si="1"/>
        <v>#DIV/0!</v>
      </c>
      <c r="AD9" s="2" t="e">
        <f t="shared" si="2"/>
        <v>#DIV/0!</v>
      </c>
      <c r="AE9" s="2" t="e">
        <f t="shared" si="3"/>
        <v>#DIV/0!</v>
      </c>
      <c r="AF9" s="2" t="e">
        <f t="shared" si="4"/>
        <v>#DIV/0!</v>
      </c>
      <c r="AG9" s="2">
        <f t="shared" si="5"/>
        <v>0</v>
      </c>
      <c r="AH9" s="2"/>
    </row>
    <row r="10" spans="2:37" x14ac:dyDescent="0.35">
      <c r="B10" s="2"/>
      <c r="C10" s="2"/>
      <c r="D10" s="2"/>
      <c r="E10" s="2"/>
      <c r="F10" s="13">
        <v>44.180250000000001</v>
      </c>
      <c r="G10" s="13">
        <v>46.517589999999998</v>
      </c>
      <c r="H10" s="2">
        <f t="shared" si="6"/>
        <v>2.3373399999999975</v>
      </c>
      <c r="I10" s="2">
        <f t="shared" si="7"/>
        <v>10.235309999999998</v>
      </c>
      <c r="J10" s="2">
        <f t="shared" si="8"/>
        <v>0.18590671020031563</v>
      </c>
      <c r="K10" s="2">
        <f t="shared" si="9"/>
        <v>0.81409328979968432</v>
      </c>
      <c r="L10" s="2">
        <f t="shared" si="10"/>
        <v>0.42783677171485579</v>
      </c>
      <c r="M10" s="2">
        <f t="shared" si="11"/>
        <v>7.9537726732232292E-2</v>
      </c>
      <c r="N10" s="2">
        <f t="shared" si="12"/>
        <v>12.572649999999996</v>
      </c>
      <c r="O10" s="13">
        <v>13</v>
      </c>
      <c r="P10">
        <f t="shared" si="13"/>
        <v>5.5618780322931256</v>
      </c>
      <c r="Y10" s="13"/>
      <c r="Z10" s="13"/>
      <c r="AA10" s="2">
        <f t="shared" si="0"/>
        <v>0</v>
      </c>
      <c r="AB10" s="2">
        <f>Y11-Z10</f>
        <v>0</v>
      </c>
      <c r="AC10" s="2" t="e">
        <f t="shared" si="1"/>
        <v>#DIV/0!</v>
      </c>
      <c r="AD10" s="2" t="e">
        <f t="shared" si="2"/>
        <v>#DIV/0!</v>
      </c>
      <c r="AE10" s="2" t="e">
        <f t="shared" si="3"/>
        <v>#DIV/0!</v>
      </c>
      <c r="AF10" s="2" t="e">
        <f t="shared" si="4"/>
        <v>#DIV/0!</v>
      </c>
      <c r="AG10" s="2">
        <f t="shared" si="5"/>
        <v>0</v>
      </c>
      <c r="AH10" s="13"/>
    </row>
    <row r="11" spans="2:37" x14ac:dyDescent="0.35">
      <c r="B11" s="2"/>
      <c r="C11" s="2"/>
      <c r="D11" s="2"/>
      <c r="E11" s="2"/>
      <c r="F11" s="13">
        <v>56.752899999999997</v>
      </c>
      <c r="G11" s="13">
        <v>59.063490000000002</v>
      </c>
      <c r="H11" s="2">
        <f t="shared" si="6"/>
        <v>2.3105900000000048</v>
      </c>
      <c r="I11" s="2">
        <f t="shared" si="7"/>
        <v>12.045469999999995</v>
      </c>
      <c r="J11" s="2">
        <f t="shared" si="8"/>
        <v>0.16094875613504017</v>
      </c>
      <c r="K11" s="2">
        <f t="shared" si="9"/>
        <v>0.83905124386495977</v>
      </c>
      <c r="L11" s="2">
        <f t="shared" si="10"/>
        <v>0.43278989349040631</v>
      </c>
      <c r="M11" s="2">
        <f t="shared" si="11"/>
        <v>6.9656995025097423E-2</v>
      </c>
      <c r="N11" s="2">
        <f t="shared" si="12"/>
        <v>14.356059999999999</v>
      </c>
      <c r="O11" s="13">
        <v>13</v>
      </c>
      <c r="P11">
        <f t="shared" si="13"/>
        <v>5.6262686153752819</v>
      </c>
      <c r="Y11" s="13"/>
      <c r="Z11" s="13"/>
      <c r="AA11" s="2">
        <f t="shared" si="0"/>
        <v>0</v>
      </c>
      <c r="AB11" s="2">
        <f>Y12-Z11</f>
        <v>0</v>
      </c>
      <c r="AC11" s="2" t="e">
        <f t="shared" si="1"/>
        <v>#DIV/0!</v>
      </c>
      <c r="AD11" s="2" t="e">
        <f t="shared" si="2"/>
        <v>#DIV/0!</v>
      </c>
      <c r="AE11" s="2" t="e">
        <f t="shared" si="3"/>
        <v>#DIV/0!</v>
      </c>
      <c r="AF11" s="2" t="e">
        <f t="shared" si="4"/>
        <v>#DIV/0!</v>
      </c>
      <c r="AG11" s="2">
        <f t="shared" si="5"/>
        <v>0</v>
      </c>
      <c r="AH11" s="13"/>
    </row>
    <row r="12" spans="2:37" x14ac:dyDescent="0.35">
      <c r="B12" s="2"/>
      <c r="C12" s="2"/>
      <c r="D12" s="2"/>
      <c r="E12" s="2"/>
      <c r="F12" s="13">
        <v>71.108959999999996</v>
      </c>
      <c r="G12" s="13">
        <v>73.470730000000003</v>
      </c>
      <c r="H12" s="2">
        <f t="shared" si="6"/>
        <v>2.361770000000007</v>
      </c>
      <c r="I12" s="2">
        <f t="shared" si="7"/>
        <v>9.9488699999999994</v>
      </c>
      <c r="J12" s="2">
        <f t="shared" si="8"/>
        <v>0.19184786493634823</v>
      </c>
      <c r="K12" s="2">
        <f t="shared" si="9"/>
        <v>0.8081521350636518</v>
      </c>
      <c r="L12" s="2">
        <f t="shared" si="10"/>
        <v>0.42341125511798228</v>
      </c>
      <c r="M12" s="2">
        <f t="shared" si="11"/>
        <v>8.1230545284404349E-2</v>
      </c>
      <c r="N12" s="2">
        <f t="shared" si="12"/>
        <v>12.310640000000006</v>
      </c>
      <c r="O12" s="13">
        <v>14</v>
      </c>
      <c r="P12">
        <f t="shared" si="13"/>
        <v>5.9277575716517523</v>
      </c>
      <c r="Y12" s="13"/>
      <c r="Z12" s="13"/>
      <c r="AA12" s="2">
        <f t="shared" si="0"/>
        <v>0</v>
      </c>
      <c r="AB12" s="2">
        <f>Y22-Z12</f>
        <v>0</v>
      </c>
      <c r="AC12" s="2" t="e">
        <f t="shared" si="1"/>
        <v>#DIV/0!</v>
      </c>
      <c r="AD12" s="2" t="e">
        <f t="shared" si="2"/>
        <v>#DIV/0!</v>
      </c>
      <c r="AE12" s="2" t="e">
        <f t="shared" si="3"/>
        <v>#DIV/0!</v>
      </c>
      <c r="AF12" s="2" t="e">
        <f t="shared" si="4"/>
        <v>#DIV/0!</v>
      </c>
      <c r="AG12" s="2">
        <f t="shared" si="5"/>
        <v>0</v>
      </c>
      <c r="AH12" s="13"/>
    </row>
    <row r="13" spans="2:37" x14ac:dyDescent="0.35">
      <c r="B13" s="2"/>
      <c r="C13" s="2"/>
      <c r="D13" s="2"/>
      <c r="E13" s="2"/>
      <c r="F13" s="13">
        <v>83.419600000000003</v>
      </c>
      <c r="G13" s="13">
        <v>85.803100000000001</v>
      </c>
      <c r="H13" s="2">
        <f t="shared" si="6"/>
        <v>2.383499999999998</v>
      </c>
      <c r="I13" s="2">
        <f t="shared" si="7"/>
        <v>9.8005200000000059</v>
      </c>
      <c r="J13" s="2">
        <f t="shared" si="8"/>
        <v>0.1956250892562551</v>
      </c>
      <c r="K13" s="2">
        <f t="shared" si="9"/>
        <v>0.8043749107437449</v>
      </c>
      <c r="L13" s="2">
        <f t="shared" si="10"/>
        <v>0.41955108034403227</v>
      </c>
      <c r="M13" s="2">
        <f t="shared" si="11"/>
        <v>8.2074717539859565E-2</v>
      </c>
      <c r="N13" s="2">
        <f t="shared" si="12"/>
        <v>12.184020000000004</v>
      </c>
      <c r="O13" s="13">
        <v>15</v>
      </c>
      <c r="P13">
        <f t="shared" si="13"/>
        <v>6.2932662051604833</v>
      </c>
      <c r="Y13" s="13"/>
      <c r="Z13" s="13"/>
      <c r="AA13" s="2"/>
      <c r="AB13" s="2"/>
      <c r="AC13" s="2"/>
      <c r="AD13" s="2"/>
      <c r="AE13" s="2"/>
      <c r="AF13" s="2"/>
      <c r="AG13" s="2"/>
      <c r="AH13" s="13"/>
    </row>
    <row r="14" spans="2:37" x14ac:dyDescent="0.35">
      <c r="B14" s="2"/>
      <c r="C14" s="2"/>
      <c r="D14" s="2"/>
      <c r="E14" s="2"/>
      <c r="F14" s="13">
        <v>95.603620000000006</v>
      </c>
      <c r="G14" s="13">
        <v>97.773690000000002</v>
      </c>
      <c r="H14" s="2">
        <f t="shared" si="6"/>
        <v>2.1700699999999955</v>
      </c>
      <c r="I14" s="2">
        <f t="shared" si="7"/>
        <v>10.934690000000003</v>
      </c>
      <c r="J14" s="2">
        <f t="shared" si="8"/>
        <v>0.16559402842936427</v>
      </c>
      <c r="K14" s="2">
        <f t="shared" si="9"/>
        <v>0.83440597157063578</v>
      </c>
      <c r="L14" s="2">
        <f t="shared" si="10"/>
        <v>0.46081462809955537</v>
      </c>
      <c r="M14" s="2">
        <f t="shared" si="11"/>
        <v>7.6308150626184693E-2</v>
      </c>
      <c r="N14" s="2">
        <f t="shared" si="12"/>
        <v>13.104759999999999</v>
      </c>
      <c r="O14" s="13">
        <v>13</v>
      </c>
      <c r="P14">
        <f t="shared" si="13"/>
        <v>5.9905901652942193</v>
      </c>
      <c r="Y14" s="13"/>
      <c r="Z14" s="13"/>
      <c r="AA14" s="2"/>
      <c r="AB14" s="2"/>
      <c r="AC14" s="2"/>
      <c r="AD14" s="2"/>
      <c r="AE14" s="2"/>
      <c r="AF14" s="2"/>
      <c r="AG14" s="2"/>
      <c r="AH14" s="13"/>
    </row>
    <row r="15" spans="2:37" x14ac:dyDescent="0.35">
      <c r="B15" s="2"/>
      <c r="C15" s="2"/>
      <c r="D15" s="2"/>
      <c r="E15" s="2"/>
      <c r="F15" s="13">
        <v>108.70838000000001</v>
      </c>
      <c r="G15" s="13">
        <v>111.1828</v>
      </c>
      <c r="H15" s="2">
        <f t="shared" si="6"/>
        <v>2.474419999999995</v>
      </c>
      <c r="I15" s="2">
        <f t="shared" si="7"/>
        <v>11.473969999999994</v>
      </c>
      <c r="J15" s="2">
        <f t="shared" si="8"/>
        <v>0.17739825169786599</v>
      </c>
      <c r="K15" s="2">
        <f t="shared" si="9"/>
        <v>0.82260174830213406</v>
      </c>
      <c r="L15" s="2">
        <f t="shared" si="10"/>
        <v>0.40413511045012651</v>
      </c>
      <c r="M15" s="2">
        <f t="shared" si="11"/>
        <v>7.1692862043576416E-2</v>
      </c>
      <c r="N15" s="2">
        <f t="shared" si="12"/>
        <v>13.948389999999989</v>
      </c>
      <c r="O15" s="13">
        <v>14</v>
      </c>
      <c r="P15">
        <f t="shared" si="13"/>
        <v>5.6578915463017712</v>
      </c>
      <c r="Y15" s="13"/>
      <c r="Z15" s="13"/>
      <c r="AA15" s="2"/>
      <c r="AB15" s="2"/>
      <c r="AC15" s="2"/>
      <c r="AD15" s="2"/>
      <c r="AE15" s="2"/>
      <c r="AF15" s="2"/>
      <c r="AG15" s="2"/>
      <c r="AH15" s="13"/>
    </row>
    <row r="16" spans="2:37" x14ac:dyDescent="0.35">
      <c r="B16" s="2"/>
      <c r="C16" s="2"/>
      <c r="D16" s="2"/>
      <c r="E16" s="2"/>
      <c r="F16" s="13">
        <v>122.65676999999999</v>
      </c>
      <c r="G16" s="13">
        <v>124.9753</v>
      </c>
      <c r="H16" s="2">
        <f t="shared" si="6"/>
        <v>2.3185300000000097</v>
      </c>
      <c r="I16" s="2">
        <f t="shared" si="7"/>
        <v>9.9072799999999859</v>
      </c>
      <c r="J16" s="2">
        <f t="shared" si="8"/>
        <v>0.18964224047322922</v>
      </c>
      <c r="K16" s="2">
        <f t="shared" si="9"/>
        <v>0.8103577595267708</v>
      </c>
      <c r="L16" s="2">
        <f t="shared" si="10"/>
        <v>0.43130776828421274</v>
      </c>
      <c r="M16" s="2">
        <f t="shared" si="11"/>
        <v>8.1794171510926508E-2</v>
      </c>
      <c r="N16" s="2">
        <f t="shared" si="12"/>
        <v>12.225809999999996</v>
      </c>
      <c r="O16" s="13">
        <v>13</v>
      </c>
      <c r="P16">
        <f t="shared" si="13"/>
        <v>5.6070009876947662</v>
      </c>
      <c r="R16" t="s">
        <v>641</v>
      </c>
      <c r="Y16" s="13"/>
      <c r="Z16" s="13"/>
      <c r="AA16" s="2"/>
      <c r="AB16" s="2"/>
      <c r="AC16" s="2"/>
      <c r="AD16" s="2"/>
      <c r="AE16" s="2"/>
      <c r="AF16" s="2"/>
      <c r="AG16" s="2"/>
      <c r="AH16" s="13"/>
    </row>
    <row r="17" spans="2:35" x14ac:dyDescent="0.35">
      <c r="B17" s="2"/>
      <c r="C17" s="2"/>
      <c r="D17" s="2"/>
      <c r="E17" s="2"/>
      <c r="F17" s="13">
        <v>134.88257999999999</v>
      </c>
      <c r="G17" s="13">
        <v>136.99678</v>
      </c>
      <c r="H17" s="2">
        <f t="shared" si="6"/>
        <v>2.114200000000011</v>
      </c>
      <c r="I17" s="2">
        <f t="shared" si="7"/>
        <v>10.987539999999996</v>
      </c>
      <c r="J17" s="2">
        <f t="shared" si="8"/>
        <v>0.16136787938090741</v>
      </c>
      <c r="K17" s="2">
        <f t="shared" si="9"/>
        <v>0.83863212061909254</v>
      </c>
      <c r="L17" s="2">
        <f t="shared" si="10"/>
        <v>0.47299214833033526</v>
      </c>
      <c r="M17" s="2">
        <f t="shared" si="11"/>
        <v>7.6325739939885812E-2</v>
      </c>
      <c r="N17" s="2">
        <f t="shared" si="12"/>
        <v>13.101740000000007</v>
      </c>
      <c r="O17" s="13">
        <v>12</v>
      </c>
      <c r="P17">
        <f t="shared" si="13"/>
        <v>5.6759057799640233</v>
      </c>
      <c r="Y17" s="13"/>
      <c r="Z17" s="13"/>
      <c r="AA17" s="2"/>
      <c r="AB17" s="2"/>
      <c r="AC17" s="2"/>
      <c r="AD17" s="2"/>
      <c r="AE17" s="2"/>
      <c r="AF17" s="2"/>
      <c r="AG17" s="2"/>
      <c r="AH17" s="13"/>
    </row>
    <row r="18" spans="2:35" x14ac:dyDescent="0.35">
      <c r="B18" s="2"/>
      <c r="C18" s="2"/>
      <c r="D18" s="2"/>
      <c r="E18" s="2"/>
      <c r="F18" s="13">
        <v>147.98432</v>
      </c>
      <c r="G18" s="13">
        <v>150.23417000000001</v>
      </c>
      <c r="H18" s="2">
        <f t="shared" si="6"/>
        <v>2.2498500000000092</v>
      </c>
      <c r="I18" s="2">
        <f t="shared" si="7"/>
        <v>10.949780000000004</v>
      </c>
      <c r="J18" s="2">
        <f t="shared" si="8"/>
        <v>0.17044795952613875</v>
      </c>
      <c r="K18" s="2">
        <f t="shared" si="9"/>
        <v>0.82955204047386122</v>
      </c>
      <c r="L18" s="2">
        <f t="shared" si="10"/>
        <v>0.44447407604951261</v>
      </c>
      <c r="M18" s="2">
        <f t="shared" si="11"/>
        <v>7.5759699324905241E-2</v>
      </c>
      <c r="N18" s="2">
        <f t="shared" si="12"/>
        <v>13.199630000000013</v>
      </c>
      <c r="O18" s="13">
        <v>13</v>
      </c>
      <c r="P18">
        <f t="shared" si="13"/>
        <v>5.7781629886436638</v>
      </c>
      <c r="Y18" s="13"/>
      <c r="Z18" s="13"/>
      <c r="AA18" s="2"/>
      <c r="AB18" s="2"/>
      <c r="AC18" s="2"/>
      <c r="AD18" s="2"/>
      <c r="AE18" s="2"/>
      <c r="AF18" s="2"/>
      <c r="AG18" s="2"/>
      <c r="AH18" s="13"/>
    </row>
    <row r="19" spans="2:35" x14ac:dyDescent="0.35">
      <c r="B19" s="2"/>
      <c r="C19" s="2"/>
      <c r="D19" s="2"/>
      <c r="E19" s="2"/>
      <c r="F19" s="13">
        <v>161.18395000000001</v>
      </c>
      <c r="G19" s="13">
        <v>163.34365</v>
      </c>
      <c r="H19" s="2">
        <f t="shared" si="6"/>
        <v>2.1596999999999866</v>
      </c>
      <c r="I19" s="2">
        <f t="shared" si="7"/>
        <v>9.8378700000000094</v>
      </c>
      <c r="J19" s="2">
        <f t="shared" si="8"/>
        <v>0.18001145231909357</v>
      </c>
      <c r="K19" s="2">
        <f t="shared" si="9"/>
        <v>0.81998854768090645</v>
      </c>
      <c r="L19" s="2">
        <f t="shared" si="10"/>
        <v>0.46302727230634172</v>
      </c>
      <c r="M19" s="2">
        <f t="shared" si="11"/>
        <v>8.3350211751212988E-2</v>
      </c>
      <c r="N19" s="2">
        <f t="shared" si="12"/>
        <v>11.997569999999996</v>
      </c>
      <c r="O19" s="13">
        <v>13</v>
      </c>
      <c r="P19">
        <f t="shared" si="13"/>
        <v>6.0193545399824426</v>
      </c>
      <c r="Y19" s="13"/>
      <c r="Z19" s="13"/>
      <c r="AA19" s="2"/>
      <c r="AB19" s="2"/>
      <c r="AC19" s="2"/>
      <c r="AD19" s="2"/>
      <c r="AE19" s="2"/>
      <c r="AF19" s="2"/>
      <c r="AG19" s="2"/>
      <c r="AH19" s="13"/>
    </row>
    <row r="20" spans="2:35" x14ac:dyDescent="0.35">
      <c r="B20" s="2"/>
      <c r="C20" s="2"/>
      <c r="D20" s="2"/>
      <c r="E20" s="2"/>
      <c r="F20" s="13">
        <v>173.18152000000001</v>
      </c>
      <c r="G20" s="13">
        <v>175.65413000000001</v>
      </c>
      <c r="H20" s="2">
        <f t="shared" si="6"/>
        <v>2.4726100000000031</v>
      </c>
      <c r="I20" s="2">
        <f t="shared" si="7"/>
        <v>10.645649999999989</v>
      </c>
      <c r="J20" s="2">
        <f t="shared" si="8"/>
        <v>0.18848612544651536</v>
      </c>
      <c r="K20" s="2">
        <f t="shared" si="9"/>
        <v>0.81151387455348467</v>
      </c>
      <c r="L20" s="2">
        <f t="shared" si="10"/>
        <v>0.40443094543822067</v>
      </c>
      <c r="M20" s="2">
        <f t="shared" si="11"/>
        <v>7.6229621916321266E-2</v>
      </c>
      <c r="N20" s="2">
        <f t="shared" si="12"/>
        <v>13.118259999999992</v>
      </c>
      <c r="O20" s="13">
        <v>13</v>
      </c>
      <c r="P20">
        <f t="shared" si="13"/>
        <v>5.2576022906968687</v>
      </c>
      <c r="Y20" s="13"/>
      <c r="Z20" s="13"/>
      <c r="AA20" s="2"/>
      <c r="AB20" s="2"/>
      <c r="AC20" s="2"/>
      <c r="AD20" s="2"/>
      <c r="AE20" s="2"/>
      <c r="AF20" s="2"/>
      <c r="AG20" s="2"/>
      <c r="AH20" s="13"/>
    </row>
    <row r="21" spans="2:35" x14ac:dyDescent="0.35">
      <c r="B21" s="2"/>
      <c r="C21" s="2"/>
      <c r="D21" s="2"/>
      <c r="E21" s="2"/>
      <c r="F21" s="13">
        <v>186.29978</v>
      </c>
      <c r="G21" s="13">
        <v>189.50473</v>
      </c>
      <c r="H21" s="2">
        <f t="shared" si="6"/>
        <v>3.2049499999999966</v>
      </c>
      <c r="I21" s="2">
        <f t="shared" si="7"/>
        <v>11.678560000000004</v>
      </c>
      <c r="J21" s="2">
        <f t="shared" si="8"/>
        <v>0.21533562983462881</v>
      </c>
      <c r="K21" s="2">
        <f t="shared" si="9"/>
        <v>0.78466437016537116</v>
      </c>
      <c r="L21" s="2">
        <f t="shared" si="10"/>
        <v>0.31201734816455828</v>
      </c>
      <c r="M21" s="2">
        <f t="shared" si="11"/>
        <v>6.7188452186345823E-2</v>
      </c>
      <c r="N21" s="2">
        <f t="shared" si="12"/>
        <v>14.883510000000001</v>
      </c>
      <c r="O21" s="13">
        <v>15</v>
      </c>
      <c r="P21">
        <f t="shared" si="13"/>
        <v>4.680260222468374</v>
      </c>
      <c r="Y21" s="13"/>
      <c r="Z21" s="13"/>
      <c r="AA21" s="2"/>
      <c r="AB21" s="2"/>
      <c r="AC21" s="2"/>
      <c r="AD21" s="2"/>
      <c r="AE21" s="2"/>
      <c r="AF21" s="2"/>
      <c r="AG21" s="2"/>
      <c r="AH21" s="13"/>
    </row>
    <row r="22" spans="2:35" x14ac:dyDescent="0.35">
      <c r="B22" s="2"/>
      <c r="C22" s="2"/>
      <c r="D22" s="2"/>
      <c r="E22" s="2"/>
      <c r="F22" s="13">
        <v>201.18329</v>
      </c>
      <c r="G22" s="13">
        <v>203.68226000000001</v>
      </c>
      <c r="H22" s="2">
        <f t="shared" si="6"/>
        <v>2.4989700000000141</v>
      </c>
      <c r="I22" s="2">
        <f t="shared" si="7"/>
        <v>13.280899999999974</v>
      </c>
      <c r="J22" s="2">
        <f t="shared" si="8"/>
        <v>0.15836442252059213</v>
      </c>
      <c r="K22" s="2">
        <f t="shared" si="9"/>
        <v>0.84163557747940787</v>
      </c>
      <c r="L22" s="2">
        <f t="shared" si="10"/>
        <v>0.40016486792558309</v>
      </c>
      <c r="M22" s="2">
        <f t="shared" si="11"/>
        <v>6.3371878222063985E-2</v>
      </c>
      <c r="N22" s="2">
        <f t="shared" si="12"/>
        <v>15.779869999999988</v>
      </c>
      <c r="O22" s="13">
        <v>14</v>
      </c>
      <c r="P22">
        <f t="shared" si="13"/>
        <v>5.6023081509581631</v>
      </c>
      <c r="Y22" s="13"/>
      <c r="Z22" s="13"/>
      <c r="AA22" s="2">
        <f>Z22-Y22</f>
        <v>0</v>
      </c>
      <c r="AB22" s="2" t="e">
        <f>#REF!-Z22</f>
        <v>#REF!</v>
      </c>
      <c r="AC22" s="2" t="e">
        <f>AA22/AG22</f>
        <v>#REF!</v>
      </c>
      <c r="AD22" s="2" t="e">
        <f>AB22/AG22</f>
        <v>#REF!</v>
      </c>
      <c r="AE22" s="2" t="e">
        <f>1/AA22</f>
        <v>#DIV/0!</v>
      </c>
      <c r="AF22" s="2" t="e">
        <f>1/AG22</f>
        <v>#REF!</v>
      </c>
      <c r="AG22" s="2" t="e">
        <f>AA22+AB22</f>
        <v>#REF!</v>
      </c>
      <c r="AH22" s="13"/>
    </row>
    <row r="23" spans="2:35" x14ac:dyDescent="0.35">
      <c r="B23" s="2"/>
      <c r="C23" s="2"/>
      <c r="D23" s="2"/>
      <c r="E23" s="2"/>
      <c r="F23" s="13">
        <v>216.96315999999999</v>
      </c>
      <c r="G23" s="13">
        <v>219.46258</v>
      </c>
      <c r="H23" s="2">
        <f t="shared" si="6"/>
        <v>2.4994200000000149</v>
      </c>
      <c r="I23" s="2">
        <f t="shared" si="7"/>
        <v>13.420140000000004</v>
      </c>
      <c r="J23" s="2">
        <f t="shared" si="8"/>
        <v>0.15700308299978216</v>
      </c>
      <c r="K23" s="2">
        <f t="shared" si="9"/>
        <v>0.84299691700021784</v>
      </c>
      <c r="L23" s="2">
        <f t="shared" si="10"/>
        <v>0.40009282153459363</v>
      </c>
      <c r="M23" s="2">
        <f t="shared" si="11"/>
        <v>6.2815806467012833E-2</v>
      </c>
      <c r="N23" s="2">
        <f t="shared" si="12"/>
        <v>15.919560000000018</v>
      </c>
      <c r="O23" s="13">
        <v>14</v>
      </c>
      <c r="P23">
        <f t="shared" si="13"/>
        <v>5.601299501484311</v>
      </c>
      <c r="Y23" s="13"/>
      <c r="Z23" s="13"/>
      <c r="AA23" s="2"/>
      <c r="AB23" s="2"/>
      <c r="AC23" s="2"/>
      <c r="AD23" s="2"/>
      <c r="AE23" s="2"/>
      <c r="AF23" s="2"/>
      <c r="AG23" s="2"/>
      <c r="AH23" s="13"/>
    </row>
    <row r="24" spans="2:35" x14ac:dyDescent="0.35">
      <c r="B24" s="2"/>
      <c r="C24" s="2"/>
      <c r="D24" s="2"/>
      <c r="E24" s="2"/>
      <c r="F24" s="13">
        <v>232.88272000000001</v>
      </c>
      <c r="G24" s="13">
        <v>235.08170000000001</v>
      </c>
      <c r="H24" s="2"/>
      <c r="I24" s="2"/>
      <c r="J24" s="2"/>
      <c r="K24" s="2"/>
      <c r="L24" s="2"/>
      <c r="M24" s="2"/>
      <c r="N24" s="2"/>
      <c r="O24" s="2"/>
      <c r="Y24" s="13"/>
      <c r="Z24" s="13"/>
      <c r="AA24" s="2"/>
      <c r="AB24" s="2"/>
      <c r="AC24" s="2"/>
      <c r="AD24" s="2"/>
      <c r="AE24" s="2"/>
      <c r="AF24" s="2"/>
      <c r="AG24" s="2"/>
      <c r="AH24" s="2"/>
    </row>
    <row r="25" spans="2:35" ht="16" thickBot="1" x14ac:dyDescent="0.4">
      <c r="B25" s="2"/>
      <c r="C25" s="2"/>
      <c r="D25" s="2"/>
      <c r="E25" s="2"/>
      <c r="F25" s="13"/>
      <c r="G25" s="13"/>
      <c r="H25" s="9" t="s">
        <v>3</v>
      </c>
      <c r="I25" s="9" t="s">
        <v>4</v>
      </c>
      <c r="J25" s="9" t="s">
        <v>5</v>
      </c>
      <c r="K25" s="9" t="s">
        <v>6</v>
      </c>
      <c r="L25" s="9" t="s">
        <v>7</v>
      </c>
      <c r="M25" s="9" t="s">
        <v>8</v>
      </c>
      <c r="N25" s="9" t="s">
        <v>9</v>
      </c>
      <c r="O25" s="9" t="s">
        <v>10</v>
      </c>
      <c r="P25" s="44" t="s">
        <v>139</v>
      </c>
      <c r="Y25" s="13"/>
      <c r="Z25" s="13"/>
      <c r="AA25" s="9" t="s">
        <v>3</v>
      </c>
      <c r="AB25" s="9" t="s">
        <v>4</v>
      </c>
      <c r="AC25" s="9" t="s">
        <v>5</v>
      </c>
      <c r="AD25" s="9" t="s">
        <v>6</v>
      </c>
      <c r="AE25" s="9" t="s">
        <v>7</v>
      </c>
      <c r="AF25" s="9" t="s">
        <v>8</v>
      </c>
      <c r="AG25" s="9" t="s">
        <v>9</v>
      </c>
      <c r="AH25" s="9" t="s">
        <v>10</v>
      </c>
      <c r="AI25" s="44" t="s">
        <v>139</v>
      </c>
    </row>
    <row r="26" spans="2:35" x14ac:dyDescent="0.35">
      <c r="B26" s="2"/>
      <c r="C26" s="2"/>
      <c r="D26" s="2"/>
      <c r="E26" s="2"/>
      <c r="F26" s="13"/>
      <c r="G26" s="49" t="s">
        <v>77</v>
      </c>
      <c r="H26" s="13">
        <f>AVERAGE(H7:H23)</f>
        <v>2.3875000000000024</v>
      </c>
      <c r="I26" s="13">
        <f t="shared" ref="I26:P26" si="14">AVERAGE(I7:I23)</f>
        <v>10.886305294117646</v>
      </c>
      <c r="J26" s="13">
        <f t="shared" si="14"/>
        <v>0.1805453525784024</v>
      </c>
      <c r="K26" s="13">
        <f t="shared" si="14"/>
        <v>0.81945464742159757</v>
      </c>
      <c r="L26" s="13">
        <f t="shared" si="14"/>
        <v>0.42229275741529337</v>
      </c>
      <c r="M26" s="13">
        <f t="shared" si="14"/>
        <v>7.5957755155297332E-2</v>
      </c>
      <c r="N26" s="13">
        <f t="shared" si="14"/>
        <v>13.273805294117647</v>
      </c>
      <c r="O26" s="13">
        <f t="shared" si="14"/>
        <v>13.470588235294118</v>
      </c>
      <c r="P26" s="13">
        <f t="shared" si="14"/>
        <v>5.6675605080107196</v>
      </c>
      <c r="Y26" s="13"/>
      <c r="Z26" s="49" t="s">
        <v>77</v>
      </c>
      <c r="AA26" s="13">
        <f t="shared" ref="AA26:AI26" si="15">AVERAGE(AA7:AA22)</f>
        <v>0</v>
      </c>
      <c r="AB26" s="13" t="e">
        <f t="shared" si="15"/>
        <v>#REF!</v>
      </c>
      <c r="AC26" s="13" t="e">
        <f t="shared" si="15"/>
        <v>#DIV/0!</v>
      </c>
      <c r="AD26" s="13" t="e">
        <f t="shared" si="15"/>
        <v>#DIV/0!</v>
      </c>
      <c r="AE26" s="13" t="e">
        <f t="shared" si="15"/>
        <v>#DIV/0!</v>
      </c>
      <c r="AF26" s="13" t="e">
        <f t="shared" si="15"/>
        <v>#DIV/0!</v>
      </c>
      <c r="AG26" s="13" t="e">
        <f t="shared" si="15"/>
        <v>#REF!</v>
      </c>
      <c r="AH26" s="13" t="e">
        <f t="shared" si="15"/>
        <v>#DIV/0!</v>
      </c>
      <c r="AI26" s="13" t="e">
        <f t="shared" si="15"/>
        <v>#DIV/0!</v>
      </c>
    </row>
    <row r="27" spans="2:35" x14ac:dyDescent="0.35">
      <c r="B27" s="2"/>
      <c r="C27" s="2"/>
      <c r="D27" s="2"/>
      <c r="E27" s="2"/>
      <c r="F27" s="13"/>
      <c r="G27" s="49" t="s">
        <v>94</v>
      </c>
      <c r="H27" s="2">
        <f>_xlfn.STDEV.S(H7:H23)</f>
        <v>0.24324208604803546</v>
      </c>
      <c r="I27" s="2">
        <f t="shared" ref="I27:O27" si="16">_xlfn.STDEV.S(I7:I23)</f>
        <v>1.1771327109236545</v>
      </c>
      <c r="J27" s="2">
        <f t="shared" si="16"/>
        <v>1.6442403250680748E-2</v>
      </c>
      <c r="K27" s="2">
        <f t="shared" si="16"/>
        <v>1.6442403250680741E-2</v>
      </c>
      <c r="L27" s="2">
        <f t="shared" si="16"/>
        <v>3.6342094130024788E-2</v>
      </c>
      <c r="M27" s="2">
        <f t="shared" si="16"/>
        <v>6.8533702881450661E-3</v>
      </c>
      <c r="N27" s="2">
        <f t="shared" si="16"/>
        <v>1.2837354237152889</v>
      </c>
      <c r="O27" s="2">
        <f t="shared" si="16"/>
        <v>0.79981615534630268</v>
      </c>
      <c r="P27" s="2">
        <f>_xlfn.STDEV.S(P7:P22)</f>
        <v>0.35281343380459806</v>
      </c>
      <c r="Y27" s="13"/>
      <c r="Z27" s="49" t="s">
        <v>94</v>
      </c>
      <c r="AA27" s="2">
        <f t="shared" ref="AA27:AI27" si="17">_xlfn.STDEV.S(AA7:AA22)</f>
        <v>0</v>
      </c>
      <c r="AB27" s="2" t="e">
        <f t="shared" si="17"/>
        <v>#REF!</v>
      </c>
      <c r="AC27" s="2" t="e">
        <f t="shared" si="17"/>
        <v>#DIV/0!</v>
      </c>
      <c r="AD27" s="2" t="e">
        <f t="shared" si="17"/>
        <v>#DIV/0!</v>
      </c>
      <c r="AE27" s="2" t="e">
        <f t="shared" si="17"/>
        <v>#DIV/0!</v>
      </c>
      <c r="AF27" s="2" t="e">
        <f t="shared" si="17"/>
        <v>#DIV/0!</v>
      </c>
      <c r="AG27" s="2" t="e">
        <f t="shared" si="17"/>
        <v>#REF!</v>
      </c>
      <c r="AH27" s="2" t="e">
        <f t="shared" si="17"/>
        <v>#DIV/0!</v>
      </c>
      <c r="AI27" s="2" t="e">
        <f t="shared" si="17"/>
        <v>#DIV/0!</v>
      </c>
    </row>
    <row r="28" spans="2:35" x14ac:dyDescent="0.35">
      <c r="B28" s="2"/>
      <c r="C28" s="2"/>
      <c r="D28" s="2"/>
      <c r="E28" s="2"/>
      <c r="F28" s="13"/>
      <c r="G28" s="49" t="s">
        <v>95</v>
      </c>
      <c r="H28" s="2">
        <f>H27/(SQRT(COUNT(H7:H23)))</f>
        <v>5.899487137480177E-2</v>
      </c>
      <c r="I28" s="2">
        <f t="shared" ref="I28:P28" si="18">I27/(SQRT(COUNT(I7:I23)))</f>
        <v>0.28549661779458158</v>
      </c>
      <c r="J28" s="2">
        <f t="shared" si="18"/>
        <v>3.9878685495032887E-3</v>
      </c>
      <c r="K28" s="2">
        <f t="shared" si="18"/>
        <v>3.9878685495032869E-3</v>
      </c>
      <c r="L28" s="2">
        <f t="shared" si="18"/>
        <v>8.8142525149548095E-3</v>
      </c>
      <c r="M28" s="2">
        <f t="shared" si="18"/>
        <v>1.6621864464406971E-3</v>
      </c>
      <c r="N28" s="2">
        <f t="shared" si="18"/>
        <v>0.31135157337206937</v>
      </c>
      <c r="O28" s="2">
        <f t="shared" si="18"/>
        <v>0.1939839111510723</v>
      </c>
      <c r="P28" s="2">
        <f t="shared" si="18"/>
        <v>8.5569826689013084E-2</v>
      </c>
      <c r="Y28" s="13"/>
      <c r="Z28" s="49" t="s">
        <v>95</v>
      </c>
      <c r="AA28" s="2">
        <f t="shared" ref="AA28:AI28" si="19">AA27/(SQRT(COUNT(AA7:AA22)))</f>
        <v>0</v>
      </c>
      <c r="AB28" s="2" t="e">
        <f t="shared" si="19"/>
        <v>#REF!</v>
      </c>
      <c r="AC28" s="2" t="e">
        <f t="shared" si="19"/>
        <v>#DIV/0!</v>
      </c>
      <c r="AD28" s="2" t="e">
        <f t="shared" si="19"/>
        <v>#DIV/0!</v>
      </c>
      <c r="AE28" s="2" t="e">
        <f t="shared" si="19"/>
        <v>#DIV/0!</v>
      </c>
      <c r="AF28" s="2" t="e">
        <f t="shared" si="19"/>
        <v>#DIV/0!</v>
      </c>
      <c r="AG28" s="2" t="e">
        <f t="shared" si="19"/>
        <v>#REF!</v>
      </c>
      <c r="AH28" s="2" t="e">
        <f t="shared" si="19"/>
        <v>#DIV/0!</v>
      </c>
      <c r="AI28" s="2" t="e">
        <f t="shared" si="19"/>
        <v>#DIV/0!</v>
      </c>
    </row>
    <row r="29" spans="2:35" x14ac:dyDescent="0.35">
      <c r="B29" s="2"/>
      <c r="C29" s="2"/>
      <c r="D29" s="2"/>
      <c r="E29" s="2"/>
      <c r="F29" s="13"/>
      <c r="G29" s="13"/>
      <c r="H29" s="2"/>
      <c r="I29" s="2"/>
      <c r="J29" s="2"/>
      <c r="K29" s="2"/>
      <c r="L29" s="2"/>
      <c r="M29" s="2"/>
      <c r="N29" s="2"/>
      <c r="O29" s="2"/>
    </row>
    <row r="30" spans="2:35" x14ac:dyDescent="0.35">
      <c r="B30" s="2"/>
      <c r="C30" s="2"/>
      <c r="D30" s="2"/>
      <c r="E30" s="2"/>
      <c r="F30" s="13"/>
      <c r="G30" s="13"/>
      <c r="H30" s="2"/>
      <c r="I30" s="2"/>
      <c r="J30" s="2"/>
      <c r="K30" s="2"/>
      <c r="L30" s="2"/>
      <c r="M30" s="2"/>
      <c r="N30" s="2"/>
      <c r="O30" s="2"/>
    </row>
    <row r="31" spans="2:35" x14ac:dyDescent="0.35">
      <c r="B31" s="2"/>
      <c r="C31" s="2"/>
      <c r="D31" s="2"/>
      <c r="E31" s="2"/>
      <c r="F31" s="2"/>
      <c r="G31" s="2"/>
      <c r="H31" s="2"/>
      <c r="I31" s="2"/>
      <c r="J31" s="2"/>
      <c r="K31" s="2"/>
      <c r="L31" s="2"/>
      <c r="M31" s="2"/>
      <c r="N31" s="2"/>
      <c r="O31" s="2"/>
    </row>
    <row r="32" spans="2:35" x14ac:dyDescent="0.35">
      <c r="B32" s="2"/>
      <c r="C32" s="2"/>
      <c r="D32" s="2"/>
      <c r="E32" s="2"/>
      <c r="F32" s="2"/>
      <c r="G32" s="2"/>
      <c r="H32" s="49"/>
      <c r="I32" s="49"/>
      <c r="J32" s="49"/>
      <c r="K32" s="49"/>
      <c r="L32" s="49"/>
      <c r="M32" s="49"/>
      <c r="N32" s="49"/>
      <c r="O32" s="2"/>
    </row>
    <row r="33" spans="1:22" x14ac:dyDescent="0.35">
      <c r="A33" s="8"/>
      <c r="B33" s="6" t="s">
        <v>24</v>
      </c>
      <c r="D33" s="2"/>
      <c r="E33" s="2"/>
      <c r="F33" s="2"/>
      <c r="G33" s="2"/>
      <c r="H33" s="2"/>
      <c r="I33" s="2"/>
      <c r="J33" s="2"/>
      <c r="K33" s="2"/>
      <c r="L33" s="2"/>
      <c r="M33" s="2"/>
      <c r="N33" s="2"/>
      <c r="O33" s="2"/>
    </row>
    <row r="34" spans="1:22" x14ac:dyDescent="0.35">
      <c r="A34" s="7"/>
      <c r="B34" s="6" t="s">
        <v>72</v>
      </c>
      <c r="D34" s="2"/>
      <c r="E34" s="2"/>
      <c r="F34" s="2"/>
      <c r="G34" s="2"/>
      <c r="H34" s="2"/>
      <c r="I34" s="2"/>
      <c r="J34" s="2"/>
      <c r="K34" s="2"/>
      <c r="L34" s="2"/>
      <c r="M34" s="2"/>
      <c r="N34" s="2"/>
      <c r="O34" s="2"/>
    </row>
    <row r="35" spans="1:22" x14ac:dyDescent="0.35">
      <c r="B35" s="2"/>
      <c r="C35" s="2"/>
      <c r="D35" s="2"/>
      <c r="E35" s="2"/>
      <c r="F35" s="2"/>
      <c r="G35" s="2"/>
      <c r="H35" s="2"/>
      <c r="I35" s="2"/>
      <c r="J35" s="2"/>
      <c r="K35" s="2"/>
      <c r="L35" s="2"/>
      <c r="M35" s="2"/>
      <c r="N35" s="2"/>
      <c r="O35" s="2"/>
    </row>
    <row r="36" spans="1:22" ht="18.5" x14ac:dyDescent="0.45">
      <c r="B36" s="2"/>
      <c r="C36" s="2"/>
      <c r="D36" s="2"/>
      <c r="E36" s="2"/>
      <c r="F36" s="1" t="s">
        <v>319</v>
      </c>
      <c r="G36" s="2"/>
      <c r="H36" s="2"/>
      <c r="I36" s="2"/>
      <c r="J36" s="2"/>
      <c r="K36" s="2"/>
      <c r="L36" s="2"/>
      <c r="M36" s="2"/>
      <c r="N36" s="2"/>
      <c r="O36" s="2"/>
    </row>
    <row r="37" spans="1:22" ht="16" thickBot="1" x14ac:dyDescent="0.4">
      <c r="B37" s="9" t="s">
        <v>18</v>
      </c>
      <c r="C37" s="9" t="s">
        <v>17</v>
      </c>
      <c r="D37" s="9" t="s">
        <v>20</v>
      </c>
      <c r="E37" s="5"/>
      <c r="F37" s="9" t="s">
        <v>1</v>
      </c>
      <c r="G37" s="9" t="s">
        <v>2</v>
      </c>
      <c r="H37" s="9" t="s">
        <v>3</v>
      </c>
      <c r="I37" s="9" t="s">
        <v>4</v>
      </c>
      <c r="J37" s="9" t="s">
        <v>5</v>
      </c>
      <c r="K37" s="9" t="s">
        <v>6</v>
      </c>
      <c r="L37" s="9" t="s">
        <v>7</v>
      </c>
      <c r="M37" s="9" t="s">
        <v>8</v>
      </c>
      <c r="N37" s="9" t="s">
        <v>9</v>
      </c>
      <c r="O37" s="9" t="s">
        <v>10</v>
      </c>
      <c r="P37" s="44" t="s">
        <v>139</v>
      </c>
      <c r="Q37" s="20"/>
      <c r="R37" s="44" t="s">
        <v>134</v>
      </c>
    </row>
    <row r="38" spans="1:22" x14ac:dyDescent="0.35">
      <c r="A38" s="13"/>
      <c r="B38" s="13"/>
      <c r="C38" s="13"/>
      <c r="D38" s="13">
        <f>C38-B38</f>
        <v>0</v>
      </c>
      <c r="E38" s="13"/>
      <c r="F38" s="13">
        <v>6.2916100000000004</v>
      </c>
      <c r="G38" s="13">
        <v>8.39405</v>
      </c>
      <c r="H38" s="13">
        <f>G38-F38</f>
        <v>2.1024399999999996</v>
      </c>
      <c r="I38" s="13">
        <f>F39-G38</f>
        <v>11.78519</v>
      </c>
      <c r="J38" s="13">
        <f>H38/N38</f>
        <v>0.15138940193539141</v>
      </c>
      <c r="K38" s="13">
        <f>I38/N38</f>
        <v>0.84861059806460859</v>
      </c>
      <c r="L38" s="13">
        <f>1/H38</f>
        <v>0.47563783033047324</v>
      </c>
      <c r="M38" s="13">
        <f>1/N38</f>
        <v>7.2006526671577517E-2</v>
      </c>
      <c r="N38" s="13">
        <f>H38+I38</f>
        <v>13.88763</v>
      </c>
      <c r="O38" s="13">
        <v>13</v>
      </c>
      <c r="P38">
        <f>O38/H38</f>
        <v>6.1832917942961521</v>
      </c>
      <c r="Q38" s="13"/>
      <c r="R38" t="s">
        <v>642</v>
      </c>
      <c r="S38" s="13"/>
      <c r="T38" s="13"/>
      <c r="U38">
        <v>23.309339999999999</v>
      </c>
      <c r="V38">
        <v>26.142690000000002</v>
      </c>
    </row>
    <row r="39" spans="1:22" x14ac:dyDescent="0.35">
      <c r="A39" s="13"/>
      <c r="B39">
        <v>23.309339999999999</v>
      </c>
      <c r="C39">
        <v>26.142690000000002</v>
      </c>
      <c r="D39" s="13">
        <f t="shared" ref="D39:D50" si="20">C39-B39</f>
        <v>2.8333500000000029</v>
      </c>
      <c r="E39" s="13"/>
      <c r="F39" s="13">
        <v>20.17924</v>
      </c>
      <c r="G39" s="13">
        <v>22.706669999999999</v>
      </c>
      <c r="H39" s="13">
        <f t="shared" ref="H39:H53" si="21">G39-F39</f>
        <v>2.527429999999999</v>
      </c>
      <c r="I39" s="13">
        <f t="shared" ref="I39:I53" si="22">F40-G39</f>
        <v>12.782120000000003</v>
      </c>
      <c r="J39" s="13">
        <f t="shared" ref="J39:J53" si="23">H39/N39</f>
        <v>0.16508845785800358</v>
      </c>
      <c r="K39" s="13">
        <f t="shared" ref="K39:K53" si="24">I39/N39</f>
        <v>0.83491154214199637</v>
      </c>
      <c r="L39" s="13">
        <f t="shared" ref="L39:L53" si="25">1/H39</f>
        <v>0.39565883130294427</v>
      </c>
      <c r="M39" s="13">
        <f t="shared" ref="M39:M53" si="26">1/N39</f>
        <v>6.5318706297703061E-2</v>
      </c>
      <c r="N39" s="13">
        <f t="shared" ref="N39:N53" si="27">H39+I39</f>
        <v>15.309550000000002</v>
      </c>
      <c r="O39" s="13">
        <v>14</v>
      </c>
      <c r="P39">
        <f t="shared" ref="P39:P53" si="28">O39/H39</f>
        <v>5.5392236382412197</v>
      </c>
      <c r="Q39" s="13"/>
      <c r="R39" s="13"/>
      <c r="S39" s="13"/>
      <c r="T39" s="13"/>
      <c r="U39">
        <v>39.117420000000003</v>
      </c>
      <c r="V39">
        <v>41.950780000000002</v>
      </c>
    </row>
    <row r="40" spans="1:22" x14ac:dyDescent="0.35">
      <c r="A40" s="13"/>
      <c r="B40">
        <v>39.117420000000003</v>
      </c>
      <c r="C40">
        <v>41.950780000000002</v>
      </c>
      <c r="D40" s="13">
        <f t="shared" si="20"/>
        <v>2.833359999999999</v>
      </c>
      <c r="E40" s="13"/>
      <c r="F40" s="13">
        <v>35.488790000000002</v>
      </c>
      <c r="G40" s="13">
        <v>38.448610000000002</v>
      </c>
      <c r="H40" s="13">
        <f t="shared" si="21"/>
        <v>2.9598200000000006</v>
      </c>
      <c r="I40" s="13">
        <f t="shared" si="22"/>
        <v>13.490089999999995</v>
      </c>
      <c r="J40" s="13">
        <f t="shared" si="23"/>
        <v>0.17992925189256362</v>
      </c>
      <c r="K40" s="13">
        <f t="shared" si="24"/>
        <v>0.82007074810743641</v>
      </c>
      <c r="L40" s="13">
        <f t="shared" si="25"/>
        <v>0.33785838328006429</v>
      </c>
      <c r="M40" s="13">
        <f t="shared" si="26"/>
        <v>6.0790606149212993E-2</v>
      </c>
      <c r="N40" s="13">
        <f t="shared" si="27"/>
        <v>16.449909999999996</v>
      </c>
      <c r="O40" s="13">
        <v>15</v>
      </c>
      <c r="P40">
        <f t="shared" si="28"/>
        <v>5.0678757492009643</v>
      </c>
      <c r="Q40" s="13"/>
      <c r="R40" s="13"/>
      <c r="S40" s="13"/>
      <c r="T40" s="13"/>
      <c r="U40">
        <v>56.55744</v>
      </c>
      <c r="V40">
        <v>59.390790000000003</v>
      </c>
    </row>
    <row r="41" spans="1:22" x14ac:dyDescent="0.35">
      <c r="A41" s="13"/>
      <c r="B41">
        <v>56.55744</v>
      </c>
      <c r="C41">
        <v>59.390790000000003</v>
      </c>
      <c r="D41" s="13">
        <f t="shared" si="20"/>
        <v>2.8333500000000029</v>
      </c>
      <c r="E41" s="13"/>
      <c r="F41" s="13">
        <v>51.938699999999997</v>
      </c>
      <c r="G41" s="13">
        <v>55.282980000000002</v>
      </c>
      <c r="H41" s="13">
        <f t="shared" si="21"/>
        <v>3.3442800000000048</v>
      </c>
      <c r="I41" s="13">
        <f t="shared" si="22"/>
        <v>11.546929999999996</v>
      </c>
      <c r="J41" s="13">
        <f t="shared" si="23"/>
        <v>0.22458080975286793</v>
      </c>
      <c r="K41" s="13">
        <f t="shared" si="24"/>
        <v>0.77541919024713202</v>
      </c>
      <c r="L41" s="13">
        <f t="shared" si="25"/>
        <v>0.29901802480653489</v>
      </c>
      <c r="M41" s="13">
        <f t="shared" si="26"/>
        <v>6.7153710141754766E-2</v>
      </c>
      <c r="N41" s="13">
        <f t="shared" si="27"/>
        <v>14.891210000000001</v>
      </c>
      <c r="O41" s="13">
        <v>15</v>
      </c>
      <c r="P41">
        <f t="shared" si="28"/>
        <v>4.4852703720980234</v>
      </c>
      <c r="Q41" s="13"/>
      <c r="R41" s="13"/>
      <c r="S41" s="13"/>
      <c r="T41" s="13"/>
      <c r="U41">
        <v>70.669409999999999</v>
      </c>
      <c r="V41">
        <v>73.502750000000006</v>
      </c>
    </row>
    <row r="42" spans="1:22" x14ac:dyDescent="0.35">
      <c r="A42" s="13"/>
      <c r="B42">
        <v>70.669409999999999</v>
      </c>
      <c r="C42">
        <v>73.502750000000006</v>
      </c>
      <c r="D42" s="13">
        <f t="shared" si="20"/>
        <v>2.8333400000000069</v>
      </c>
      <c r="E42" s="13"/>
      <c r="F42" s="13">
        <v>66.829909999999998</v>
      </c>
      <c r="G42" s="13">
        <v>70.002570000000006</v>
      </c>
      <c r="H42" s="13">
        <f t="shared" si="21"/>
        <v>3.1726600000000076</v>
      </c>
      <c r="I42" s="13">
        <f t="shared" si="22"/>
        <v>11.25278999999999</v>
      </c>
      <c r="J42" s="13">
        <f t="shared" si="23"/>
        <v>0.21993490671001653</v>
      </c>
      <c r="K42" s="13">
        <f t="shared" si="24"/>
        <v>0.78006509328998341</v>
      </c>
      <c r="L42" s="13">
        <f t="shared" si="25"/>
        <v>0.31519292959220263</v>
      </c>
      <c r="M42" s="13">
        <f t="shared" si="26"/>
        <v>6.9321927565517902E-2</v>
      </c>
      <c r="N42" s="13">
        <f t="shared" si="27"/>
        <v>14.425449999999998</v>
      </c>
      <c r="O42" s="13">
        <v>17</v>
      </c>
      <c r="P42">
        <f t="shared" si="28"/>
        <v>5.358279803067445</v>
      </c>
      <c r="Q42" s="13"/>
      <c r="R42" s="13"/>
      <c r="S42" s="13"/>
      <c r="T42" s="13"/>
      <c r="U42">
        <v>83.693359999999998</v>
      </c>
      <c r="V42">
        <v>86.526709999999994</v>
      </c>
    </row>
    <row r="43" spans="1:22" x14ac:dyDescent="0.35">
      <c r="A43" s="13"/>
      <c r="B43">
        <v>83.693359999999998</v>
      </c>
      <c r="C43">
        <v>86.526709999999994</v>
      </c>
      <c r="D43" s="13">
        <f t="shared" si="20"/>
        <v>2.8333499999999958</v>
      </c>
      <c r="E43" s="13"/>
      <c r="F43" s="13">
        <v>81.255359999999996</v>
      </c>
      <c r="G43" s="13">
        <v>85.468130000000002</v>
      </c>
      <c r="H43" s="13">
        <f t="shared" si="21"/>
        <v>4.2127700000000061</v>
      </c>
      <c r="I43" s="13">
        <f t="shared" si="22"/>
        <v>10.947409999999991</v>
      </c>
      <c r="J43" s="13">
        <f t="shared" si="23"/>
        <v>0.27788390375312211</v>
      </c>
      <c r="K43" s="13">
        <f t="shared" si="24"/>
        <v>0.72211609624687789</v>
      </c>
      <c r="L43" s="13">
        <f t="shared" si="25"/>
        <v>0.23737350959107631</v>
      </c>
      <c r="M43" s="13">
        <f t="shared" si="26"/>
        <v>6.5962277492747468E-2</v>
      </c>
      <c r="N43" s="13">
        <f t="shared" si="27"/>
        <v>15.160179999999997</v>
      </c>
      <c r="O43" s="13">
        <v>21</v>
      </c>
      <c r="P43">
        <f t="shared" si="28"/>
        <v>4.9848437014126024</v>
      </c>
      <c r="Q43" s="13"/>
      <c r="R43" s="13"/>
      <c r="S43" s="13"/>
      <c r="T43" s="13"/>
      <c r="U43">
        <v>99.469480000000004</v>
      </c>
      <c r="V43">
        <v>102.30283</v>
      </c>
    </row>
    <row r="44" spans="1:22" x14ac:dyDescent="0.35">
      <c r="A44" s="13"/>
      <c r="B44">
        <v>99.469480000000004</v>
      </c>
      <c r="C44">
        <v>102.30283</v>
      </c>
      <c r="D44" s="13">
        <f t="shared" si="20"/>
        <v>2.8333499999999958</v>
      </c>
      <c r="E44" s="13"/>
      <c r="F44" s="13">
        <v>96.415539999999993</v>
      </c>
      <c r="G44" s="13">
        <v>100.50458</v>
      </c>
      <c r="H44" s="13">
        <f t="shared" si="21"/>
        <v>4.0890400000000113</v>
      </c>
      <c r="I44" s="13">
        <f t="shared" si="22"/>
        <v>9.086829999999992</v>
      </c>
      <c r="J44" s="13">
        <f t="shared" si="23"/>
        <v>0.31034307411958456</v>
      </c>
      <c r="K44" s="13">
        <f t="shared" si="24"/>
        <v>0.68965692588041549</v>
      </c>
      <c r="L44" s="13">
        <f t="shared" si="25"/>
        <v>0.24455617944554156</v>
      </c>
      <c r="M44" s="13">
        <f t="shared" si="26"/>
        <v>7.5896316524070112E-2</v>
      </c>
      <c r="N44" s="13">
        <f t="shared" si="27"/>
        <v>13.175870000000003</v>
      </c>
      <c r="O44" s="13">
        <v>20</v>
      </c>
      <c r="P44">
        <f t="shared" si="28"/>
        <v>4.8911235889108307</v>
      </c>
      <c r="Q44" s="13"/>
      <c r="R44" s="13"/>
      <c r="S44" s="13"/>
      <c r="T44" s="13"/>
      <c r="U44">
        <v>113.26138</v>
      </c>
      <c r="V44">
        <v>116.09474</v>
      </c>
    </row>
    <row r="45" spans="1:22" x14ac:dyDescent="0.35">
      <c r="A45" s="13"/>
      <c r="B45">
        <v>113.26138</v>
      </c>
      <c r="C45">
        <v>116.09474</v>
      </c>
      <c r="D45" s="13">
        <f t="shared" si="20"/>
        <v>2.833359999999999</v>
      </c>
      <c r="E45" s="13"/>
      <c r="F45" s="13">
        <v>109.59141</v>
      </c>
      <c r="G45" s="13">
        <v>111.92583999999999</v>
      </c>
      <c r="H45" s="13">
        <f t="shared" si="21"/>
        <v>2.3344299999999976</v>
      </c>
      <c r="I45" s="13">
        <f t="shared" si="22"/>
        <v>10.509230000000002</v>
      </c>
      <c r="J45" s="13">
        <f t="shared" si="23"/>
        <v>0.18175738068432187</v>
      </c>
      <c r="K45" s="13">
        <f t="shared" si="24"/>
        <v>0.8182426193156781</v>
      </c>
      <c r="L45" s="13">
        <f t="shared" si="25"/>
        <v>0.42837009462695436</v>
      </c>
      <c r="M45" s="13">
        <f t="shared" si="26"/>
        <v>7.7859426362890324E-2</v>
      </c>
      <c r="N45" s="13">
        <f t="shared" si="27"/>
        <v>12.84366</v>
      </c>
      <c r="O45" s="13">
        <v>13</v>
      </c>
      <c r="P45">
        <f t="shared" si="28"/>
        <v>5.5688112301504065</v>
      </c>
      <c r="Q45" s="13"/>
      <c r="R45" s="13"/>
      <c r="S45" s="13"/>
      <c r="T45" s="13"/>
      <c r="U45">
        <v>126.49336</v>
      </c>
      <c r="V45">
        <v>129.32671999999999</v>
      </c>
    </row>
    <row r="46" spans="1:22" x14ac:dyDescent="0.35">
      <c r="A46" s="13"/>
      <c r="B46">
        <v>126.49336</v>
      </c>
      <c r="C46">
        <v>129.32671999999999</v>
      </c>
      <c r="D46" s="13">
        <f t="shared" si="20"/>
        <v>2.833359999999999</v>
      </c>
      <c r="E46" s="13"/>
      <c r="F46" s="13">
        <v>122.43507</v>
      </c>
      <c r="G46" s="13">
        <v>125.51006</v>
      </c>
      <c r="H46" s="13">
        <f t="shared" si="21"/>
        <v>3.0749899999999997</v>
      </c>
      <c r="I46" s="13">
        <f t="shared" si="22"/>
        <v>11.855040000000017</v>
      </c>
      <c r="J46" s="13">
        <f t="shared" si="23"/>
        <v>0.20596006839905856</v>
      </c>
      <c r="K46" s="13">
        <f t="shared" si="24"/>
        <v>0.79403993160094144</v>
      </c>
      <c r="L46" s="13">
        <f t="shared" si="25"/>
        <v>0.32520430960751096</v>
      </c>
      <c r="M46" s="13">
        <f t="shared" si="26"/>
        <v>6.6979101850431572E-2</v>
      </c>
      <c r="N46" s="13">
        <f t="shared" si="27"/>
        <v>14.930030000000016</v>
      </c>
      <c r="O46" s="13">
        <v>16</v>
      </c>
      <c r="P46">
        <f t="shared" si="28"/>
        <v>5.2032689537201753</v>
      </c>
      <c r="Q46" s="13"/>
      <c r="R46" t="s">
        <v>643</v>
      </c>
      <c r="S46" s="13"/>
      <c r="T46" s="13"/>
      <c r="U46">
        <v>140.63741999999999</v>
      </c>
      <c r="V46">
        <v>143.47076000000001</v>
      </c>
    </row>
    <row r="47" spans="1:22" x14ac:dyDescent="0.35">
      <c r="A47" s="13"/>
      <c r="B47">
        <v>140.63741999999999</v>
      </c>
      <c r="C47">
        <v>143.47076000000001</v>
      </c>
      <c r="D47" s="13">
        <f t="shared" si="20"/>
        <v>2.8333400000000211</v>
      </c>
      <c r="E47" s="13"/>
      <c r="F47" s="13">
        <v>137.36510000000001</v>
      </c>
      <c r="G47" s="13">
        <v>139.91879</v>
      </c>
      <c r="H47" s="13">
        <f t="shared" si="21"/>
        <v>2.5536899999999889</v>
      </c>
      <c r="I47" s="13">
        <f t="shared" si="22"/>
        <v>10.421840000000003</v>
      </c>
      <c r="J47" s="13">
        <f t="shared" si="23"/>
        <v>0.19680814579442923</v>
      </c>
      <c r="K47" s="13">
        <f t="shared" si="24"/>
        <v>0.80319185420557071</v>
      </c>
      <c r="L47" s="13">
        <f t="shared" si="25"/>
        <v>0.39159020867842392</v>
      </c>
      <c r="M47" s="13">
        <f t="shared" si="26"/>
        <v>7.7068142881254229E-2</v>
      </c>
      <c r="N47" s="13">
        <f t="shared" si="27"/>
        <v>12.975529999999992</v>
      </c>
      <c r="O47" s="13">
        <v>16</v>
      </c>
      <c r="P47">
        <f t="shared" si="28"/>
        <v>6.2654433388547828</v>
      </c>
      <c r="Q47" s="13"/>
      <c r="R47" s="13"/>
      <c r="S47" s="13"/>
      <c r="T47" s="13"/>
      <c r="U47">
        <v>153.34144000000001</v>
      </c>
      <c r="V47">
        <v>156.17478</v>
      </c>
    </row>
    <row r="48" spans="1:22" x14ac:dyDescent="0.35">
      <c r="A48" s="13"/>
      <c r="B48">
        <v>153.34144000000001</v>
      </c>
      <c r="C48">
        <v>156.17478</v>
      </c>
      <c r="D48" s="13">
        <f t="shared" si="20"/>
        <v>2.8333399999999926</v>
      </c>
      <c r="E48" s="13"/>
      <c r="F48" s="13">
        <v>150.34063</v>
      </c>
      <c r="G48" s="13">
        <v>152.45017999999999</v>
      </c>
      <c r="H48" s="13">
        <f t="shared" si="21"/>
        <v>2.1095499999999845</v>
      </c>
      <c r="I48" s="13">
        <f t="shared" si="22"/>
        <v>10.024619999999999</v>
      </c>
      <c r="J48" s="13">
        <f t="shared" si="23"/>
        <v>0.17385202284128107</v>
      </c>
      <c r="K48" s="13">
        <f t="shared" si="24"/>
        <v>0.8261479771587189</v>
      </c>
      <c r="L48" s="13">
        <f t="shared" si="25"/>
        <v>0.47403474674694002</v>
      </c>
      <c r="M48" s="13">
        <f t="shared" si="26"/>
        <v>8.2411899619009896E-2</v>
      </c>
      <c r="N48" s="13">
        <f t="shared" si="27"/>
        <v>12.134169999999983</v>
      </c>
      <c r="O48" s="13">
        <v>15</v>
      </c>
      <c r="P48">
        <f t="shared" si="28"/>
        <v>7.1105212012041008</v>
      </c>
      <c r="Q48" s="13"/>
      <c r="R48" s="13"/>
      <c r="S48" s="13"/>
      <c r="T48" s="13"/>
      <c r="U48">
        <v>166.55744000000001</v>
      </c>
      <c r="V48">
        <v>169.39079000000001</v>
      </c>
    </row>
    <row r="49" spans="1:22" x14ac:dyDescent="0.35">
      <c r="A49" s="13"/>
      <c r="B49">
        <v>166.55744000000001</v>
      </c>
      <c r="C49">
        <v>169.39079000000001</v>
      </c>
      <c r="D49" s="13">
        <f t="shared" si="20"/>
        <v>2.8333499999999958</v>
      </c>
      <c r="E49" s="13"/>
      <c r="F49" s="13">
        <v>162.47479999999999</v>
      </c>
      <c r="G49" s="13">
        <v>165.64537000000001</v>
      </c>
      <c r="H49" s="13">
        <f t="shared" si="21"/>
        <v>3.1705700000000263</v>
      </c>
      <c r="I49" s="13">
        <f t="shared" si="22"/>
        <v>11.466799999999978</v>
      </c>
      <c r="J49" s="13">
        <f t="shared" si="23"/>
        <v>0.21660790155608728</v>
      </c>
      <c r="K49" s="13">
        <f t="shared" si="24"/>
        <v>0.78339209844391267</v>
      </c>
      <c r="L49" s="13">
        <f t="shared" si="25"/>
        <v>0.3154007008203546</v>
      </c>
      <c r="M49" s="13">
        <f t="shared" si="26"/>
        <v>6.8318283954016304E-2</v>
      </c>
      <c r="N49" s="13">
        <f t="shared" si="27"/>
        <v>14.637370000000004</v>
      </c>
      <c r="O49" s="13">
        <v>17</v>
      </c>
      <c r="P49">
        <f t="shared" si="28"/>
        <v>5.3618119139460285</v>
      </c>
      <c r="Q49" s="13"/>
      <c r="R49" s="13"/>
      <c r="S49" s="13"/>
      <c r="T49" s="13"/>
      <c r="U49">
        <v>180.15743000000001</v>
      </c>
      <c r="V49">
        <v>182.99078</v>
      </c>
    </row>
    <row r="50" spans="1:22" x14ac:dyDescent="0.35">
      <c r="A50" s="13"/>
      <c r="B50">
        <v>180.15743000000001</v>
      </c>
      <c r="C50">
        <v>182.99078</v>
      </c>
      <c r="D50" s="13">
        <f t="shared" si="20"/>
        <v>2.8333499999999958</v>
      </c>
      <c r="E50" s="13"/>
      <c r="F50" s="13">
        <v>177.11216999999999</v>
      </c>
      <c r="G50" s="13">
        <v>179.28559999999999</v>
      </c>
      <c r="H50" s="13">
        <f t="shared" si="21"/>
        <v>2.1734299999999962</v>
      </c>
      <c r="I50" s="13">
        <f t="shared" si="22"/>
        <v>11.399230000000017</v>
      </c>
      <c r="J50" s="13">
        <f t="shared" si="23"/>
        <v>0.16013294372657932</v>
      </c>
      <c r="K50" s="13">
        <f t="shared" si="24"/>
        <v>0.83986705627342073</v>
      </c>
      <c r="L50" s="13">
        <f t="shared" si="25"/>
        <v>0.46010223471655481</v>
      </c>
      <c r="M50" s="13">
        <f t="shared" si="26"/>
        <v>7.3677525260339466E-2</v>
      </c>
      <c r="N50" s="13">
        <f t="shared" si="27"/>
        <v>13.572660000000013</v>
      </c>
      <c r="O50" s="13">
        <v>15</v>
      </c>
      <c r="P50">
        <f t="shared" si="28"/>
        <v>6.9015335207483224</v>
      </c>
      <c r="Q50" s="13"/>
      <c r="R50" s="13"/>
      <c r="S50" s="13"/>
      <c r="T50" s="13"/>
      <c r="U50">
        <v>230.90943999999999</v>
      </c>
      <c r="V50">
        <v>233.74279000000001</v>
      </c>
    </row>
    <row r="51" spans="1:22" x14ac:dyDescent="0.35">
      <c r="A51" s="13"/>
      <c r="B51" s="13"/>
      <c r="C51" s="13"/>
      <c r="D51" s="13"/>
      <c r="E51" s="13"/>
      <c r="F51" s="13">
        <v>190.68483000000001</v>
      </c>
      <c r="G51" s="13">
        <v>192.79687000000001</v>
      </c>
      <c r="H51" s="13">
        <f t="shared" si="21"/>
        <v>2.1120400000000075</v>
      </c>
      <c r="I51" s="13">
        <f t="shared" si="22"/>
        <v>10.838169999999991</v>
      </c>
      <c r="J51" s="13">
        <f t="shared" si="23"/>
        <v>0.16308924720139734</v>
      </c>
      <c r="K51" s="13">
        <f t="shared" si="24"/>
        <v>0.83691075279860272</v>
      </c>
      <c r="L51" s="13">
        <f t="shared" si="25"/>
        <v>0.47347588113861311</v>
      </c>
      <c r="M51" s="13">
        <f t="shared" si="26"/>
        <v>7.7218825022914689E-2</v>
      </c>
      <c r="N51" s="13">
        <f t="shared" si="27"/>
        <v>12.950209999999998</v>
      </c>
      <c r="O51" s="13">
        <v>15</v>
      </c>
      <c r="P51">
        <f t="shared" si="28"/>
        <v>7.1021382170791965</v>
      </c>
      <c r="Q51" s="13"/>
      <c r="R51" s="13"/>
      <c r="S51" s="13"/>
      <c r="T51" s="13"/>
    </row>
    <row r="52" spans="1:22" x14ac:dyDescent="0.35">
      <c r="A52" s="13"/>
      <c r="B52" s="13"/>
      <c r="C52" s="13"/>
      <c r="D52" s="13"/>
      <c r="E52" s="13"/>
      <c r="F52" s="13">
        <v>203.63504</v>
      </c>
      <c r="G52" s="13">
        <v>205.77936</v>
      </c>
      <c r="H52" s="13">
        <f t="shared" si="21"/>
        <v>2.1443199999999933</v>
      </c>
      <c r="I52" s="13">
        <f t="shared" si="22"/>
        <v>9.6037800000000004</v>
      </c>
      <c r="J52" s="13">
        <f t="shared" si="23"/>
        <v>0.18252483380291235</v>
      </c>
      <c r="K52" s="13">
        <f t="shared" si="24"/>
        <v>0.81747516619708771</v>
      </c>
      <c r="L52" s="13">
        <f t="shared" si="25"/>
        <v>0.46634830622295326</v>
      </c>
      <c r="M52" s="13">
        <f t="shared" si="26"/>
        <v>8.5120147087614215E-2</v>
      </c>
      <c r="N52" s="13">
        <f t="shared" si="27"/>
        <v>11.748099999999994</v>
      </c>
      <c r="O52" s="13">
        <v>15</v>
      </c>
      <c r="P52">
        <f t="shared" si="28"/>
        <v>6.9952245933442985</v>
      </c>
      <c r="Q52" s="13"/>
      <c r="R52" s="13"/>
      <c r="S52" s="13"/>
      <c r="T52" s="13"/>
    </row>
    <row r="53" spans="1:22" x14ac:dyDescent="0.35">
      <c r="A53" s="13"/>
      <c r="B53" s="13"/>
      <c r="C53" s="13"/>
      <c r="D53" s="13"/>
      <c r="E53" s="13"/>
      <c r="F53" s="13">
        <v>215.38314</v>
      </c>
      <c r="G53" s="13">
        <v>217.20760999999999</v>
      </c>
      <c r="H53" s="13">
        <f t="shared" si="21"/>
        <v>1.8244699999999909</v>
      </c>
      <c r="I53" s="13">
        <f t="shared" si="22"/>
        <v>9.9977700000000027</v>
      </c>
      <c r="J53" s="13">
        <f t="shared" si="23"/>
        <v>0.15432523785678448</v>
      </c>
      <c r="K53" s="13">
        <f t="shared" si="24"/>
        <v>0.84567476214321546</v>
      </c>
      <c r="L53" s="13">
        <f t="shared" si="25"/>
        <v>0.54810438099832004</v>
      </c>
      <c r="M53" s="13">
        <f t="shared" si="26"/>
        <v>8.4586338967911373E-2</v>
      </c>
      <c r="N53" s="13">
        <f t="shared" si="27"/>
        <v>11.822239999999994</v>
      </c>
      <c r="O53" s="13">
        <v>13</v>
      </c>
      <c r="P53">
        <f t="shared" si="28"/>
        <v>7.1253569529781604</v>
      </c>
      <c r="Q53" s="13"/>
      <c r="R53" s="13"/>
      <c r="S53" s="13"/>
      <c r="T53" s="13"/>
    </row>
    <row r="54" spans="1:22" x14ac:dyDescent="0.35">
      <c r="A54" s="13"/>
      <c r="B54" s="13"/>
      <c r="C54" s="13"/>
      <c r="D54" s="13"/>
      <c r="E54" s="13"/>
      <c r="F54" s="13">
        <v>227.20537999999999</v>
      </c>
      <c r="G54" s="13">
        <v>230.09395000000001</v>
      </c>
      <c r="H54" s="13"/>
      <c r="I54" s="13"/>
      <c r="J54" s="13"/>
      <c r="K54" s="13"/>
      <c r="L54" s="13"/>
      <c r="M54" s="13"/>
      <c r="N54" s="13"/>
      <c r="O54" s="13"/>
      <c r="P54" s="13"/>
      <c r="Q54" s="13"/>
      <c r="R54" s="13"/>
      <c r="S54" s="13"/>
      <c r="T54" s="13"/>
    </row>
    <row r="55" spans="1:22" x14ac:dyDescent="0.35">
      <c r="A55" s="13"/>
      <c r="B55" s="13"/>
      <c r="C55" s="13"/>
      <c r="D55" s="13"/>
      <c r="E55" s="13"/>
      <c r="F55" s="13"/>
      <c r="G55" s="13"/>
      <c r="H55" s="13"/>
      <c r="I55" s="13"/>
      <c r="J55" s="13"/>
      <c r="K55" s="13"/>
      <c r="L55" s="13"/>
      <c r="M55" s="13"/>
      <c r="N55" s="13"/>
      <c r="O55" s="13"/>
      <c r="P55" s="13"/>
      <c r="Q55" s="13"/>
      <c r="R55" s="13"/>
      <c r="S55" s="13"/>
      <c r="T55" s="13"/>
    </row>
    <row r="56" spans="1:22" x14ac:dyDescent="0.35">
      <c r="A56" s="13"/>
      <c r="B56" s="13"/>
      <c r="C56" s="13"/>
      <c r="D56" s="13"/>
      <c r="E56" s="13"/>
      <c r="F56" s="13"/>
      <c r="G56" s="13"/>
      <c r="H56" s="2"/>
      <c r="I56" s="13"/>
      <c r="J56" s="13"/>
      <c r="K56" s="13"/>
      <c r="L56" s="13"/>
      <c r="M56" s="13"/>
      <c r="N56" s="13"/>
      <c r="O56" s="13"/>
      <c r="P56" s="13"/>
      <c r="Q56" s="13"/>
      <c r="R56" s="13"/>
      <c r="S56" s="13"/>
      <c r="T56" s="13"/>
    </row>
    <row r="57" spans="1:22" x14ac:dyDescent="0.35">
      <c r="A57" s="13"/>
      <c r="B57" s="13"/>
      <c r="C57" s="13"/>
      <c r="D57" s="13"/>
      <c r="E57" s="13"/>
      <c r="F57" s="13"/>
      <c r="G57" s="13"/>
      <c r="H57" s="13"/>
      <c r="I57" s="13"/>
      <c r="J57" s="13"/>
      <c r="K57" s="13"/>
      <c r="L57" s="13"/>
      <c r="M57" s="13"/>
      <c r="N57" s="13"/>
      <c r="O57" s="13"/>
      <c r="P57" s="13"/>
      <c r="Q57" s="13"/>
      <c r="R57" s="13"/>
      <c r="S57" s="13"/>
      <c r="T57" s="13"/>
    </row>
    <row r="58" spans="1:22" ht="16" thickBot="1" x14ac:dyDescent="0.4">
      <c r="A58" s="13"/>
      <c r="B58" s="13"/>
      <c r="C58" s="13"/>
      <c r="D58" s="13"/>
      <c r="E58" s="49" t="s">
        <v>320</v>
      </c>
      <c r="F58" s="13"/>
      <c r="G58" s="13"/>
      <c r="H58" s="9" t="s">
        <v>3</v>
      </c>
      <c r="I58" s="9" t="s">
        <v>4</v>
      </c>
      <c r="J58" s="9" t="s">
        <v>5</v>
      </c>
      <c r="K58" s="9" t="s">
        <v>6</v>
      </c>
      <c r="L58" s="9" t="s">
        <v>7</v>
      </c>
      <c r="M58" s="9" t="s">
        <v>8</v>
      </c>
      <c r="N58" s="9" t="s">
        <v>9</v>
      </c>
      <c r="O58" s="9" t="s">
        <v>10</v>
      </c>
      <c r="P58" s="44" t="s">
        <v>139</v>
      </c>
      <c r="Q58" s="13"/>
      <c r="R58" s="13"/>
      <c r="S58" s="13"/>
      <c r="T58" s="13"/>
    </row>
    <row r="59" spans="1:22" x14ac:dyDescent="0.35">
      <c r="A59" s="13"/>
      <c r="B59" s="13"/>
      <c r="C59" s="13"/>
      <c r="D59" s="13"/>
      <c r="E59" s="49"/>
      <c r="F59" s="13"/>
      <c r="G59" s="49" t="s">
        <v>77</v>
      </c>
      <c r="H59" s="13">
        <f t="shared" ref="H59:P59" si="29">AVERAGE(H39:H53)</f>
        <v>2.7868993333333338</v>
      </c>
      <c r="I59" s="13">
        <f t="shared" si="29"/>
        <v>11.01484333333333</v>
      </c>
      <c r="J59" s="13">
        <f t="shared" si="29"/>
        <v>0.20085454572993403</v>
      </c>
      <c r="K59" s="13">
        <f t="shared" si="29"/>
        <v>0.79914545427006611</v>
      </c>
      <c r="L59" s="13">
        <f t="shared" si="29"/>
        <v>0.38081924810499934</v>
      </c>
      <c r="M59" s="13">
        <f t="shared" si="29"/>
        <v>7.3178882345159207E-2</v>
      </c>
      <c r="N59" s="13">
        <f t="shared" si="29"/>
        <v>13.801742666666666</v>
      </c>
      <c r="O59" s="13">
        <f t="shared" si="29"/>
        <v>15.8</v>
      </c>
      <c r="P59" s="13">
        <f t="shared" si="29"/>
        <v>5.8640484516637716</v>
      </c>
      <c r="Q59" s="13"/>
      <c r="R59" s="13"/>
      <c r="S59" s="13"/>
      <c r="T59" s="13"/>
    </row>
    <row r="60" spans="1:22" x14ac:dyDescent="0.35">
      <c r="A60" s="13"/>
      <c r="B60" s="13"/>
      <c r="C60" s="13"/>
      <c r="D60" s="13"/>
      <c r="E60" s="49"/>
      <c r="F60" s="13"/>
      <c r="G60" s="49" t="s">
        <v>94</v>
      </c>
      <c r="H60" s="2">
        <f t="shared" ref="H60:P60" si="30">_xlfn.STDEV.S(H39:H53)</f>
        <v>0.72724836846516949</v>
      </c>
      <c r="I60" s="2">
        <f t="shared" si="30"/>
        <v>1.1653990784256005</v>
      </c>
      <c r="J60" s="2">
        <f t="shared" si="30"/>
        <v>4.4348622101389436E-2</v>
      </c>
      <c r="K60" s="2">
        <f t="shared" si="30"/>
        <v>4.4348622101389533E-2</v>
      </c>
      <c r="L60" s="2">
        <f t="shared" si="30"/>
        <v>9.2896954934878984E-2</v>
      </c>
      <c r="M60" s="2">
        <f t="shared" si="30"/>
        <v>7.5570836377762121E-3</v>
      </c>
      <c r="N60" s="2">
        <f t="shared" si="30"/>
        <v>1.4234116748074341</v>
      </c>
      <c r="O60" s="2">
        <f t="shared" si="30"/>
        <v>2.2424476423255539</v>
      </c>
      <c r="P60" s="2">
        <f t="shared" si="30"/>
        <v>0.94816986267816084</v>
      </c>
      <c r="Q60" s="13"/>
      <c r="R60" s="13"/>
      <c r="S60" s="13"/>
      <c r="T60" s="13"/>
    </row>
    <row r="61" spans="1:22" x14ac:dyDescent="0.35">
      <c r="A61" s="13"/>
      <c r="B61" s="13"/>
      <c r="C61" s="13"/>
      <c r="D61" s="13"/>
      <c r="E61" s="49"/>
      <c r="F61" s="13"/>
      <c r="G61" s="49" t="s">
        <v>95</v>
      </c>
      <c r="H61" s="2">
        <f>H60/(SQRT(15))</f>
        <v>0.1877747213081411</v>
      </c>
      <c r="I61" s="2">
        <f t="shared" ref="I61:P61" si="31">I60/(SQRT(15))</f>
        <v>0.30090474816185481</v>
      </c>
      <c r="J61" s="2">
        <f t="shared" si="31"/>
        <v>1.1450764988395163E-2</v>
      </c>
      <c r="K61" s="2">
        <f t="shared" si="31"/>
        <v>1.1450764988395189E-2</v>
      </c>
      <c r="L61" s="2">
        <f t="shared" si="31"/>
        <v>2.3985890625077815E-2</v>
      </c>
      <c r="M61" s="2">
        <f t="shared" si="31"/>
        <v>1.9512306050002554E-3</v>
      </c>
      <c r="N61" s="2">
        <f t="shared" si="31"/>
        <v>0.36752331408842664</v>
      </c>
      <c r="O61" s="2">
        <f t="shared" si="31"/>
        <v>0.57899749156459712</v>
      </c>
      <c r="P61" s="2">
        <f t="shared" si="31"/>
        <v>0.24481640583521935</v>
      </c>
      <c r="Q61" s="13"/>
      <c r="R61" s="13"/>
      <c r="S61" s="13"/>
      <c r="T61" s="13"/>
    </row>
    <row r="62" spans="1:22" x14ac:dyDescent="0.35">
      <c r="A62" s="13"/>
      <c r="B62" s="13"/>
      <c r="C62" s="13"/>
      <c r="D62" s="13"/>
      <c r="E62" s="49"/>
      <c r="F62" s="13"/>
      <c r="G62" s="13"/>
      <c r="H62" s="13"/>
      <c r="I62" s="13"/>
      <c r="J62" s="13"/>
      <c r="K62" s="13"/>
      <c r="L62" s="13"/>
      <c r="M62" s="13"/>
      <c r="N62" s="13"/>
      <c r="O62" s="13"/>
      <c r="P62" s="13"/>
      <c r="Q62" s="13"/>
      <c r="R62" s="13"/>
      <c r="S62" s="13"/>
      <c r="T62" s="13"/>
    </row>
    <row r="63" spans="1:22" ht="16" thickBot="1" x14ac:dyDescent="0.4">
      <c r="A63" s="13"/>
      <c r="B63" s="13"/>
      <c r="C63" s="13"/>
      <c r="D63" s="13"/>
      <c r="E63" s="49" t="s">
        <v>301</v>
      </c>
      <c r="F63" s="13"/>
      <c r="G63" s="13"/>
      <c r="H63" s="9" t="s">
        <v>3</v>
      </c>
      <c r="I63" s="9" t="s">
        <v>4</v>
      </c>
      <c r="J63" s="9" t="s">
        <v>5</v>
      </c>
      <c r="K63" s="9" t="s">
        <v>6</v>
      </c>
      <c r="L63" s="9" t="s">
        <v>7</v>
      </c>
      <c r="M63" s="9" t="s">
        <v>8</v>
      </c>
      <c r="N63" s="9" t="s">
        <v>9</v>
      </c>
      <c r="O63" s="9" t="s">
        <v>10</v>
      </c>
      <c r="P63" s="44" t="s">
        <v>139</v>
      </c>
      <c r="Q63" s="13"/>
      <c r="R63" s="13"/>
      <c r="S63" s="13"/>
      <c r="T63" s="13"/>
    </row>
    <row r="64" spans="1:22" x14ac:dyDescent="0.35">
      <c r="A64" s="13"/>
      <c r="B64" s="13"/>
      <c r="C64" s="13"/>
      <c r="D64" s="13"/>
      <c r="E64" s="13"/>
      <c r="F64" s="13"/>
      <c r="G64" s="49" t="s">
        <v>77</v>
      </c>
      <c r="H64" s="13">
        <f>AVERAGE(H51)</f>
        <v>2.1120400000000075</v>
      </c>
      <c r="I64" s="13">
        <f t="shared" ref="I64:P64" si="32">AVERAGE(I51)</f>
        <v>10.838169999999991</v>
      </c>
      <c r="J64" s="13">
        <f t="shared" si="32"/>
        <v>0.16308924720139734</v>
      </c>
      <c r="K64" s="13">
        <f t="shared" si="32"/>
        <v>0.83691075279860272</v>
      </c>
      <c r="L64" s="13">
        <f t="shared" si="32"/>
        <v>0.47347588113861311</v>
      </c>
      <c r="M64" s="13">
        <f t="shared" si="32"/>
        <v>7.7218825022914689E-2</v>
      </c>
      <c r="N64" s="13">
        <f t="shared" si="32"/>
        <v>12.950209999999998</v>
      </c>
      <c r="O64" s="13">
        <f t="shared" si="32"/>
        <v>15</v>
      </c>
      <c r="P64" s="13">
        <f t="shared" si="32"/>
        <v>7.1021382170791965</v>
      </c>
      <c r="Q64" s="13"/>
      <c r="R64" s="13"/>
      <c r="S64" s="13"/>
      <c r="T64" s="13"/>
    </row>
    <row r="65" spans="1:20" x14ac:dyDescent="0.35">
      <c r="A65" s="13"/>
      <c r="B65" s="13"/>
      <c r="C65" s="13"/>
      <c r="D65" s="13"/>
      <c r="E65" s="13"/>
      <c r="F65" s="13"/>
      <c r="G65" s="49" t="s">
        <v>94</v>
      </c>
      <c r="H65" s="2" t="e">
        <f>_xlfn.STDEV.S(H51)</f>
        <v>#DIV/0!</v>
      </c>
      <c r="I65" s="2" t="e">
        <f>_xlfn.STDEV.S(I51,#REF!)</f>
        <v>#REF!</v>
      </c>
      <c r="J65" s="2" t="e">
        <f>_xlfn.STDEV.S(J51,#REF!)</f>
        <v>#REF!</v>
      </c>
      <c r="K65" s="2" t="e">
        <f>_xlfn.STDEV.S(K51,#REF!)</f>
        <v>#REF!</v>
      </c>
      <c r="L65" s="2" t="e">
        <f>_xlfn.STDEV.S(L51,#REF!)</f>
        <v>#REF!</v>
      </c>
      <c r="M65" s="2" t="e">
        <f>_xlfn.STDEV.S(M51,#REF!)</f>
        <v>#REF!</v>
      </c>
      <c r="N65" s="2" t="e">
        <f>_xlfn.STDEV.S(N51,#REF!)</f>
        <v>#REF!</v>
      </c>
      <c r="O65" s="2" t="e">
        <f>_xlfn.STDEV.S(O51,#REF!)</f>
        <v>#REF!</v>
      </c>
      <c r="P65" s="2" t="e">
        <f>_xlfn.STDEV.S(P51,#REF!)</f>
        <v>#REF!</v>
      </c>
      <c r="Q65" s="13"/>
      <c r="R65" s="13"/>
      <c r="S65" s="13"/>
      <c r="T65" s="13"/>
    </row>
    <row r="66" spans="1:20" x14ac:dyDescent="0.35">
      <c r="A66" s="13"/>
      <c r="B66" s="13"/>
      <c r="C66" s="13"/>
      <c r="D66" s="13"/>
      <c r="E66" s="13"/>
      <c r="F66" s="13"/>
      <c r="G66" s="49" t="s">
        <v>95</v>
      </c>
      <c r="H66" s="2" t="e">
        <f>H65/(SQRT(2))</f>
        <v>#DIV/0!</v>
      </c>
      <c r="I66" s="2" t="e">
        <f t="shared" ref="I66:P66" si="33">I65/(SQRT(2))</f>
        <v>#REF!</v>
      </c>
      <c r="J66" s="2" t="e">
        <f t="shared" si="33"/>
        <v>#REF!</v>
      </c>
      <c r="K66" s="2" t="e">
        <f t="shared" si="33"/>
        <v>#REF!</v>
      </c>
      <c r="L66" s="2" t="e">
        <f t="shared" si="33"/>
        <v>#REF!</v>
      </c>
      <c r="M66" s="2" t="e">
        <f t="shared" si="33"/>
        <v>#REF!</v>
      </c>
      <c r="N66" s="2" t="e">
        <f t="shared" si="33"/>
        <v>#REF!</v>
      </c>
      <c r="O66" s="2" t="e">
        <f t="shared" si="33"/>
        <v>#REF!</v>
      </c>
      <c r="P66" s="2" t="e">
        <f t="shared" si="33"/>
        <v>#REF!</v>
      </c>
      <c r="Q66" s="13"/>
      <c r="R66" s="13"/>
      <c r="S66" s="13"/>
      <c r="T66" s="13"/>
    </row>
    <row r="67" spans="1:20" x14ac:dyDescent="0.35">
      <c r="A67" s="13"/>
      <c r="B67" s="13"/>
      <c r="C67" s="13"/>
      <c r="D67" s="13"/>
      <c r="E67" s="13"/>
      <c r="F67" s="13"/>
      <c r="G67" s="13"/>
      <c r="H67" s="13"/>
      <c r="I67" s="13"/>
      <c r="J67" s="13"/>
      <c r="K67" s="13"/>
      <c r="L67" s="13"/>
      <c r="M67" s="13"/>
      <c r="N67" s="13"/>
      <c r="O67" s="13"/>
      <c r="P67" s="13"/>
      <c r="Q67" s="13"/>
      <c r="R67" s="13"/>
      <c r="S67" s="13"/>
      <c r="T67" s="13"/>
    </row>
    <row r="68" spans="1:20" ht="16" thickBot="1" x14ac:dyDescent="0.4">
      <c r="A68" s="13"/>
      <c r="B68" s="13"/>
      <c r="C68" s="13"/>
      <c r="D68" s="13"/>
      <c r="E68" s="13"/>
      <c r="F68" s="13"/>
      <c r="G68" s="13"/>
      <c r="H68" s="9"/>
      <c r="I68" s="9"/>
      <c r="J68" s="9"/>
      <c r="K68" s="9"/>
      <c r="L68" s="9"/>
      <c r="M68" s="9"/>
      <c r="N68" s="9"/>
      <c r="O68" s="9"/>
      <c r="P68" s="44"/>
      <c r="Q68" s="13"/>
      <c r="R68" s="13"/>
      <c r="S68" s="13"/>
      <c r="T68" s="13"/>
    </row>
    <row r="69" spans="1:20" x14ac:dyDescent="0.35">
      <c r="A69" s="13"/>
      <c r="B69" s="13"/>
      <c r="C69" s="13"/>
      <c r="D69" s="13"/>
      <c r="E69" s="13"/>
      <c r="F69" s="13"/>
      <c r="G69" s="49"/>
      <c r="H69" s="13"/>
      <c r="I69" s="13"/>
      <c r="J69" s="13"/>
      <c r="K69" s="13"/>
      <c r="L69" s="13"/>
      <c r="M69" s="13"/>
      <c r="N69" s="13"/>
      <c r="O69" s="13"/>
      <c r="P69" s="13"/>
      <c r="Q69" s="13"/>
      <c r="R69" s="13"/>
      <c r="S69" s="13"/>
      <c r="T69" s="13"/>
    </row>
    <row r="70" spans="1:20" x14ac:dyDescent="0.35">
      <c r="A70" s="13"/>
      <c r="B70" s="13"/>
      <c r="C70" s="13"/>
      <c r="D70" s="13"/>
      <c r="E70" s="13"/>
      <c r="F70" s="13"/>
      <c r="G70" s="49"/>
      <c r="H70" s="2"/>
      <c r="I70" s="2"/>
      <c r="J70" s="2"/>
      <c r="K70" s="2"/>
      <c r="L70" s="2"/>
      <c r="M70" s="2"/>
      <c r="N70" s="2"/>
      <c r="O70" s="2"/>
      <c r="P70" s="2"/>
      <c r="Q70" s="13"/>
      <c r="R70" s="13"/>
      <c r="S70" s="13"/>
      <c r="T70" s="13"/>
    </row>
    <row r="71" spans="1:20" x14ac:dyDescent="0.35">
      <c r="A71" s="13"/>
      <c r="B71" s="13"/>
      <c r="C71" s="13"/>
      <c r="D71" s="13"/>
      <c r="E71" s="13"/>
      <c r="F71" s="13"/>
      <c r="G71" s="49"/>
      <c r="H71" s="2"/>
      <c r="I71" s="2"/>
      <c r="J71" s="2"/>
      <c r="K71" s="2"/>
      <c r="L71" s="2"/>
      <c r="M71" s="2"/>
      <c r="N71" s="2"/>
      <c r="O71" s="2"/>
      <c r="P71" s="2"/>
      <c r="Q71" s="13"/>
      <c r="R71" s="13"/>
      <c r="S71" s="13"/>
      <c r="T71" s="13"/>
    </row>
    <row r="72" spans="1:20" x14ac:dyDescent="0.35">
      <c r="A72" s="13"/>
      <c r="B72" s="13"/>
      <c r="C72" s="13"/>
      <c r="D72" s="13"/>
      <c r="E72" s="13"/>
      <c r="F72" s="13"/>
      <c r="G72" s="13"/>
      <c r="H72" s="13"/>
      <c r="I72" s="13"/>
      <c r="J72" s="13"/>
      <c r="K72" s="13"/>
      <c r="L72" s="13"/>
      <c r="M72" s="13"/>
      <c r="N72" s="13"/>
      <c r="O72" s="13"/>
      <c r="P72" s="13"/>
      <c r="Q72" s="13"/>
      <c r="R72" s="13"/>
      <c r="S72" s="13"/>
      <c r="T72" s="13"/>
    </row>
    <row r="73" spans="1:20" x14ac:dyDescent="0.35">
      <c r="A73" s="13"/>
      <c r="B73" s="13"/>
      <c r="C73" s="13"/>
      <c r="D73" s="13"/>
      <c r="E73" s="13"/>
      <c r="F73" s="13"/>
      <c r="G73" s="13"/>
      <c r="H73" s="13"/>
      <c r="I73" s="13"/>
      <c r="J73" s="13"/>
      <c r="K73" s="13"/>
      <c r="L73" s="13"/>
      <c r="M73" s="13"/>
      <c r="N73" s="13"/>
      <c r="O73" s="13"/>
      <c r="P73" s="13"/>
      <c r="Q73" s="13"/>
      <c r="R73" s="13"/>
      <c r="S73" s="13"/>
      <c r="T73" s="13"/>
    </row>
    <row r="74" spans="1:20" x14ac:dyDescent="0.35">
      <c r="A74" s="13"/>
      <c r="B74" s="13"/>
      <c r="C74" s="13"/>
      <c r="D74" s="13"/>
      <c r="E74" s="13"/>
      <c r="F74" s="13"/>
      <c r="G74" s="13"/>
      <c r="H74" s="13"/>
      <c r="I74" s="13"/>
      <c r="J74" s="13"/>
      <c r="K74" s="13"/>
      <c r="L74" s="13"/>
      <c r="M74" s="13"/>
      <c r="N74" s="13"/>
      <c r="O74" s="13"/>
      <c r="P74" s="13"/>
      <c r="Q74" s="13"/>
      <c r="R74" s="13"/>
      <c r="S74" s="13"/>
      <c r="T74" s="13"/>
    </row>
    <row r="75" spans="1:20" x14ac:dyDescent="0.35">
      <c r="A75" s="13"/>
      <c r="B75" s="13"/>
      <c r="C75" s="13"/>
      <c r="D75" s="13"/>
      <c r="E75" s="13"/>
      <c r="F75" s="13"/>
      <c r="G75" s="13"/>
      <c r="H75" s="13"/>
      <c r="I75" s="13"/>
      <c r="J75" s="13"/>
      <c r="K75" s="13"/>
      <c r="L75" s="13"/>
      <c r="M75" s="13"/>
      <c r="N75" s="13"/>
      <c r="O75" s="13"/>
      <c r="P75" s="13"/>
      <c r="Q75" s="13"/>
      <c r="R75" s="13"/>
      <c r="S75" s="13"/>
      <c r="T75" s="13"/>
    </row>
    <row r="76" spans="1:20" x14ac:dyDescent="0.35">
      <c r="A76" s="13"/>
      <c r="B76" s="13"/>
      <c r="C76" s="13"/>
      <c r="D76" s="13"/>
      <c r="E76" s="13"/>
      <c r="F76" s="13"/>
      <c r="G76" s="13"/>
      <c r="H76" s="13"/>
      <c r="I76" s="13"/>
      <c r="J76" s="13"/>
      <c r="K76" s="13"/>
      <c r="L76" s="13"/>
      <c r="M76" s="13"/>
      <c r="N76" s="13"/>
      <c r="O76" s="13"/>
      <c r="P76" s="13"/>
      <c r="Q76" s="13"/>
      <c r="R76" s="13"/>
      <c r="S76" s="13"/>
      <c r="T76" s="13"/>
    </row>
    <row r="77" spans="1:20" x14ac:dyDescent="0.35">
      <c r="A77" s="13"/>
      <c r="B77" s="13"/>
      <c r="C77" s="13"/>
      <c r="D77" s="13"/>
      <c r="E77" s="13"/>
      <c r="F77" s="13"/>
      <c r="G77" s="13"/>
      <c r="H77" s="13"/>
      <c r="I77" s="13"/>
      <c r="J77" s="13"/>
      <c r="K77" s="13"/>
      <c r="L77" s="13"/>
      <c r="M77" s="13"/>
      <c r="N77" s="13"/>
      <c r="O77" s="13"/>
      <c r="P77" s="13"/>
      <c r="Q77" s="13"/>
      <c r="R77" s="13"/>
      <c r="S77" s="13"/>
      <c r="T77" s="13"/>
    </row>
    <row r="78" spans="1:20" x14ac:dyDescent="0.35">
      <c r="A78" s="13"/>
      <c r="B78" s="13"/>
      <c r="C78" s="13"/>
      <c r="D78" s="13"/>
      <c r="E78" s="13"/>
      <c r="F78" s="13"/>
      <c r="G78" s="13"/>
      <c r="H78" s="13"/>
      <c r="I78" s="13"/>
      <c r="J78" s="13"/>
      <c r="K78" s="13"/>
      <c r="L78" s="13"/>
      <c r="M78" s="13"/>
      <c r="N78" s="13"/>
      <c r="O78" s="13"/>
      <c r="P78" s="13"/>
      <c r="Q78" s="13"/>
      <c r="R78" s="13"/>
      <c r="S78" s="13"/>
      <c r="T78" s="13"/>
    </row>
    <row r="79" spans="1:20" x14ac:dyDescent="0.35">
      <c r="A79" s="13"/>
      <c r="B79" s="13"/>
      <c r="C79" s="13"/>
      <c r="D79" s="13"/>
      <c r="E79" s="13"/>
      <c r="F79" s="13"/>
      <c r="G79" s="13"/>
      <c r="H79" s="13"/>
      <c r="I79" s="13"/>
      <c r="J79" s="13"/>
      <c r="K79" s="13"/>
      <c r="L79" s="13"/>
      <c r="M79" s="13"/>
      <c r="N79" s="13"/>
      <c r="O79" s="13"/>
      <c r="P79" s="13"/>
      <c r="Q79" s="13"/>
      <c r="R79" s="13"/>
      <c r="S79" s="13"/>
      <c r="T79" s="13"/>
    </row>
    <row r="80" spans="1:20" x14ac:dyDescent="0.35">
      <c r="A80" s="13"/>
      <c r="B80" s="13"/>
      <c r="C80" s="13"/>
      <c r="D80" s="13"/>
      <c r="E80" s="13"/>
      <c r="F80" s="13"/>
      <c r="G80" s="13"/>
      <c r="H80" s="13"/>
      <c r="I80" s="13"/>
      <c r="J80" s="13"/>
      <c r="K80" s="13"/>
      <c r="L80" s="13"/>
      <c r="M80" s="13"/>
      <c r="N80" s="13"/>
      <c r="O80" s="13"/>
      <c r="P80" s="13"/>
      <c r="Q80" s="13"/>
      <c r="R80" s="13"/>
      <c r="S80" s="13"/>
      <c r="T80" s="13"/>
    </row>
    <row r="81" spans="1:20" ht="15.5" x14ac:dyDescent="0.35">
      <c r="A81" s="13"/>
      <c r="B81" s="13"/>
      <c r="C81" s="13"/>
      <c r="D81" s="13"/>
      <c r="E81" s="13"/>
      <c r="F81" s="13"/>
      <c r="G81" s="13"/>
      <c r="H81" s="14"/>
      <c r="I81" s="14"/>
      <c r="J81" s="14"/>
      <c r="K81" s="14"/>
      <c r="L81" s="14"/>
      <c r="M81" s="14"/>
      <c r="N81" s="14"/>
      <c r="O81" s="14"/>
      <c r="P81" s="14"/>
      <c r="Q81" s="13"/>
      <c r="R81" s="13"/>
      <c r="S81" s="13"/>
      <c r="T81" s="13"/>
    </row>
    <row r="82" spans="1:20" x14ac:dyDescent="0.35">
      <c r="A82" s="13"/>
      <c r="B82" s="13"/>
      <c r="C82" s="13"/>
      <c r="D82" s="49"/>
      <c r="E82" s="49"/>
      <c r="F82" s="13"/>
      <c r="G82" s="49"/>
      <c r="H82" s="13"/>
      <c r="I82" s="13"/>
      <c r="J82" s="13"/>
      <c r="K82" s="13"/>
      <c r="L82" s="13"/>
      <c r="M82" s="13"/>
      <c r="N82" s="13"/>
      <c r="O82" s="13"/>
      <c r="P82" s="13"/>
      <c r="Q82" s="13"/>
      <c r="R82" s="13"/>
      <c r="S82" s="13"/>
      <c r="T82" s="13"/>
    </row>
    <row r="83" spans="1:20" x14ac:dyDescent="0.35">
      <c r="A83" s="13"/>
      <c r="B83" s="13"/>
      <c r="C83" s="13"/>
      <c r="D83" s="49"/>
      <c r="E83" s="49"/>
      <c r="F83" s="13"/>
      <c r="G83" s="49"/>
      <c r="H83" s="13"/>
      <c r="I83" s="13"/>
      <c r="J83" s="13"/>
      <c r="K83" s="13"/>
      <c r="L83" s="13"/>
      <c r="M83" s="13"/>
      <c r="N83" s="13"/>
      <c r="O83" s="13"/>
      <c r="P83" s="13"/>
      <c r="Q83" s="13"/>
      <c r="R83" s="13"/>
      <c r="S83" s="13"/>
      <c r="T83" s="13"/>
    </row>
    <row r="84" spans="1:20" x14ac:dyDescent="0.35">
      <c r="A84" s="13"/>
      <c r="B84" s="13"/>
      <c r="C84" s="13"/>
      <c r="D84" s="49"/>
      <c r="E84" s="49"/>
      <c r="F84" s="13"/>
      <c r="G84" s="49"/>
      <c r="H84" s="13"/>
      <c r="I84" s="13"/>
      <c r="J84" s="13"/>
      <c r="K84" s="13"/>
      <c r="L84" s="13"/>
      <c r="M84" s="13"/>
      <c r="N84" s="13"/>
      <c r="O84" s="13"/>
      <c r="P84" s="13"/>
      <c r="Q84" s="13"/>
      <c r="R84" s="13"/>
      <c r="S84" s="13"/>
      <c r="T84" s="13"/>
    </row>
    <row r="85" spans="1:20" x14ac:dyDescent="0.35">
      <c r="A85" s="13"/>
      <c r="B85" s="13"/>
      <c r="C85" s="13"/>
      <c r="D85" s="49"/>
      <c r="E85" s="49"/>
      <c r="F85" s="13"/>
      <c r="G85" s="13"/>
      <c r="H85" s="13"/>
      <c r="I85" s="13"/>
      <c r="J85" s="13"/>
      <c r="K85" s="13"/>
      <c r="L85" s="13"/>
      <c r="M85" s="13"/>
      <c r="N85" s="13"/>
      <c r="O85" s="13"/>
      <c r="P85" s="13"/>
      <c r="Q85" s="13"/>
      <c r="R85" s="13"/>
      <c r="S85" s="13"/>
      <c r="T85" s="13"/>
    </row>
    <row r="86" spans="1:20" x14ac:dyDescent="0.35">
      <c r="A86" s="13"/>
      <c r="B86" s="13"/>
      <c r="C86" s="13"/>
      <c r="D86" s="49"/>
      <c r="E86" s="49"/>
      <c r="F86" s="13"/>
      <c r="G86" s="13"/>
      <c r="H86" s="13"/>
      <c r="I86" s="13"/>
      <c r="J86" s="13"/>
      <c r="K86" s="13"/>
      <c r="L86" s="13"/>
      <c r="M86" s="13"/>
      <c r="N86" s="13"/>
      <c r="O86" s="13"/>
      <c r="P86" s="13"/>
      <c r="Q86" s="13"/>
      <c r="R86" s="13"/>
      <c r="S86" s="13"/>
      <c r="T86" s="13"/>
    </row>
    <row r="87" spans="1:20" x14ac:dyDescent="0.35">
      <c r="A87" s="13"/>
      <c r="B87" s="13"/>
      <c r="C87" s="13"/>
      <c r="D87" s="49"/>
      <c r="E87" s="49"/>
      <c r="F87" s="13"/>
      <c r="G87" s="49"/>
      <c r="H87" s="13"/>
      <c r="I87" s="13"/>
      <c r="J87" s="13"/>
      <c r="K87" s="13"/>
      <c r="L87" s="13"/>
      <c r="M87" s="13"/>
      <c r="N87" s="13"/>
      <c r="O87" s="13"/>
      <c r="P87" s="13"/>
      <c r="Q87" s="13"/>
      <c r="R87" s="13"/>
      <c r="S87" s="13"/>
      <c r="T87" s="13"/>
    </row>
    <row r="88" spans="1:20" x14ac:dyDescent="0.35">
      <c r="A88" s="13"/>
      <c r="B88" s="13"/>
      <c r="C88" s="13"/>
      <c r="D88" s="49"/>
      <c r="E88" s="49"/>
      <c r="F88" s="13"/>
      <c r="G88" s="49"/>
      <c r="H88" s="13"/>
      <c r="I88" s="13"/>
      <c r="J88" s="13"/>
      <c r="K88" s="13"/>
      <c r="L88" s="13"/>
      <c r="M88" s="13"/>
      <c r="N88" s="13"/>
      <c r="O88" s="13"/>
      <c r="P88" s="13"/>
      <c r="Q88" s="13"/>
      <c r="R88" s="13"/>
      <c r="S88" s="13"/>
      <c r="T88" s="13"/>
    </row>
    <row r="89" spans="1:20" x14ac:dyDescent="0.35">
      <c r="A89" s="13"/>
      <c r="B89" s="13"/>
      <c r="C89" s="13"/>
      <c r="D89" s="13"/>
      <c r="E89" s="13"/>
      <c r="F89" s="13"/>
      <c r="G89" s="49"/>
      <c r="H89" s="13"/>
      <c r="I89" s="13"/>
      <c r="J89" s="13"/>
      <c r="K89" s="13"/>
      <c r="L89" s="13"/>
      <c r="M89" s="13"/>
      <c r="N89" s="13"/>
      <c r="O89" s="13"/>
      <c r="P89" s="13"/>
      <c r="Q89" s="13"/>
      <c r="R89" s="13"/>
      <c r="S89" s="13"/>
      <c r="T89" s="13"/>
    </row>
    <row r="90" spans="1:20" x14ac:dyDescent="0.35">
      <c r="A90" s="13"/>
      <c r="B90" s="13"/>
      <c r="C90" s="13"/>
      <c r="D90" s="13"/>
      <c r="E90" s="13"/>
      <c r="F90" s="13"/>
      <c r="G90" s="13"/>
      <c r="H90" s="13"/>
      <c r="I90" s="13"/>
      <c r="J90" s="13"/>
      <c r="K90" s="13"/>
      <c r="L90" s="13"/>
      <c r="M90" s="13"/>
      <c r="N90" s="13"/>
      <c r="O90" s="13"/>
      <c r="P90" s="13"/>
      <c r="Q90" s="13"/>
      <c r="R90" s="13"/>
      <c r="S90" s="13"/>
      <c r="T90" s="13"/>
    </row>
    <row r="91" spans="1:20" x14ac:dyDescent="0.35">
      <c r="A91" s="13"/>
      <c r="B91" s="13"/>
      <c r="C91" s="13"/>
      <c r="D91" s="13"/>
      <c r="E91" s="49"/>
      <c r="F91" s="49"/>
      <c r="G91" s="49"/>
      <c r="H91" s="13"/>
      <c r="I91" s="13"/>
      <c r="J91" s="13"/>
      <c r="K91" s="13"/>
      <c r="L91" s="13"/>
      <c r="M91" s="13"/>
      <c r="N91" s="13"/>
      <c r="O91" s="13"/>
      <c r="P91" s="13"/>
      <c r="Q91" s="13"/>
      <c r="R91" s="13"/>
      <c r="S91" s="13"/>
      <c r="T91" s="13"/>
    </row>
    <row r="92" spans="1:20" x14ac:dyDescent="0.35">
      <c r="A92" s="13"/>
      <c r="B92" s="13"/>
      <c r="C92" s="13"/>
      <c r="D92" s="13"/>
      <c r="E92" s="49"/>
      <c r="F92" s="49"/>
      <c r="G92" s="49"/>
      <c r="H92" s="13"/>
      <c r="I92" s="13"/>
      <c r="J92" s="13"/>
      <c r="K92" s="13"/>
      <c r="L92" s="13"/>
      <c r="M92" s="13"/>
      <c r="N92" s="13"/>
      <c r="O92" s="13"/>
      <c r="P92" s="13"/>
      <c r="Q92" s="13"/>
      <c r="R92" s="13"/>
      <c r="S92" s="13"/>
      <c r="T92" s="13"/>
    </row>
    <row r="93" spans="1:20" x14ac:dyDescent="0.35">
      <c r="A93" s="13"/>
      <c r="B93" s="13"/>
      <c r="C93" s="13"/>
      <c r="D93" s="13"/>
      <c r="E93" s="49"/>
      <c r="F93" s="49"/>
      <c r="G93" s="49"/>
      <c r="H93" s="13"/>
      <c r="I93" s="13"/>
      <c r="J93" s="13"/>
      <c r="K93" s="13"/>
      <c r="L93" s="13"/>
      <c r="M93" s="13"/>
      <c r="N93" s="13"/>
      <c r="O93" s="13"/>
      <c r="P93" s="13"/>
      <c r="Q93" s="13"/>
      <c r="R93" s="13"/>
      <c r="S93" s="13"/>
      <c r="T93" s="13"/>
    </row>
    <row r="94" spans="1:20" x14ac:dyDescent="0.35">
      <c r="A94" s="13"/>
      <c r="B94" s="13"/>
      <c r="C94" s="13"/>
      <c r="D94" s="13"/>
      <c r="E94" s="49"/>
      <c r="F94" s="49"/>
      <c r="G94" s="49"/>
      <c r="H94" s="13"/>
      <c r="I94" s="13"/>
      <c r="J94" s="13"/>
      <c r="K94" s="13"/>
      <c r="L94" s="13"/>
      <c r="M94" s="13"/>
      <c r="N94" s="13"/>
      <c r="O94" s="13"/>
      <c r="P94" s="13"/>
      <c r="Q94" s="13"/>
      <c r="R94" s="13"/>
      <c r="S94" s="13"/>
      <c r="T94" s="13"/>
    </row>
    <row r="95" spans="1:20" x14ac:dyDescent="0.35">
      <c r="A95" s="13"/>
      <c r="B95" s="13"/>
      <c r="C95" s="13"/>
      <c r="D95" s="13"/>
      <c r="E95" s="13"/>
      <c r="F95" s="13"/>
      <c r="G95" s="13"/>
      <c r="H95" s="13"/>
      <c r="I95" s="13"/>
      <c r="J95" s="13"/>
      <c r="K95" s="13"/>
      <c r="L95" s="13"/>
      <c r="M95" s="13"/>
      <c r="N95" s="13"/>
      <c r="O95" s="13"/>
      <c r="P95" s="13"/>
      <c r="Q95" s="13"/>
      <c r="R95" s="13"/>
      <c r="S95" s="13"/>
      <c r="T95" s="13"/>
    </row>
    <row r="96" spans="1:20" x14ac:dyDescent="0.35">
      <c r="A96" s="13"/>
      <c r="B96" s="13"/>
      <c r="C96" s="13"/>
      <c r="D96" s="13"/>
      <c r="E96" s="13"/>
      <c r="F96" s="13"/>
      <c r="G96" s="13"/>
      <c r="H96" s="13"/>
      <c r="I96" s="13"/>
      <c r="J96" s="13"/>
      <c r="K96" s="13"/>
      <c r="L96" s="13"/>
      <c r="M96" s="13"/>
      <c r="N96" s="13"/>
      <c r="O96" s="13"/>
      <c r="P96" s="13"/>
      <c r="Q96" s="13"/>
      <c r="R96" s="13"/>
      <c r="S96" s="13"/>
      <c r="T96" s="13"/>
    </row>
    <row r="97" spans="1:20" ht="18.5" x14ac:dyDescent="0.45">
      <c r="A97" s="13"/>
      <c r="B97" s="13"/>
      <c r="C97" s="13"/>
      <c r="D97" s="13"/>
      <c r="E97" s="13"/>
      <c r="F97" s="149"/>
      <c r="G97" s="13"/>
      <c r="H97" s="13"/>
      <c r="I97" s="13"/>
      <c r="J97" s="13"/>
      <c r="K97" s="13"/>
      <c r="L97" s="13"/>
      <c r="M97" s="13"/>
      <c r="N97" s="13"/>
      <c r="O97" s="13"/>
      <c r="P97" s="13"/>
      <c r="Q97" s="13"/>
      <c r="R97" s="13"/>
      <c r="S97" s="13"/>
      <c r="T97" s="13"/>
    </row>
    <row r="98" spans="1:20" ht="15.5" x14ac:dyDescent="0.35">
      <c r="A98" s="13"/>
      <c r="B98" s="14"/>
      <c r="C98" s="14"/>
      <c r="D98" s="14"/>
      <c r="E98" s="14"/>
      <c r="F98" s="14"/>
      <c r="G98" s="14"/>
      <c r="H98" s="14"/>
      <c r="I98" s="14"/>
      <c r="J98" s="14"/>
      <c r="K98" s="14"/>
      <c r="L98" s="14"/>
      <c r="M98" s="14"/>
      <c r="N98" s="14"/>
      <c r="O98" s="14"/>
      <c r="P98" s="14"/>
      <c r="Q98" s="13"/>
      <c r="R98" s="14"/>
      <c r="S98" s="13"/>
      <c r="T98" s="13"/>
    </row>
    <row r="99" spans="1:20" x14ac:dyDescent="0.35">
      <c r="A99" s="13"/>
      <c r="B99" s="13"/>
      <c r="C99" s="13"/>
      <c r="D99" s="13"/>
      <c r="E99" s="13"/>
      <c r="F99" s="13"/>
      <c r="G99" s="13"/>
      <c r="H99" s="13"/>
      <c r="I99" s="13"/>
      <c r="J99" s="13"/>
      <c r="K99" s="13"/>
      <c r="L99" s="13"/>
      <c r="M99" s="13"/>
      <c r="N99" s="13"/>
      <c r="O99" s="13"/>
      <c r="P99" s="13"/>
      <c r="Q99" s="13"/>
      <c r="R99" s="13"/>
      <c r="S99" s="13"/>
      <c r="T99" s="13"/>
    </row>
    <row r="100" spans="1:20" x14ac:dyDescent="0.35">
      <c r="A100" s="13"/>
      <c r="B100" s="13"/>
      <c r="C100" s="13"/>
      <c r="D100" s="13"/>
      <c r="E100" s="13"/>
      <c r="F100" s="13"/>
      <c r="G100" s="13"/>
      <c r="H100" s="13"/>
      <c r="I100" s="13"/>
      <c r="J100" s="13"/>
      <c r="K100" s="13"/>
      <c r="L100" s="13"/>
      <c r="M100" s="13"/>
      <c r="N100" s="13"/>
      <c r="O100" s="13"/>
      <c r="P100" s="13"/>
      <c r="Q100" s="13"/>
      <c r="R100" s="13"/>
      <c r="S100" s="13"/>
      <c r="T100" s="13"/>
    </row>
    <row r="101" spans="1:20" x14ac:dyDescent="0.35">
      <c r="A101" s="13"/>
      <c r="B101" s="13"/>
      <c r="C101" s="13"/>
      <c r="D101" s="13"/>
      <c r="E101" s="13"/>
      <c r="F101" s="13"/>
      <c r="G101" s="13"/>
      <c r="H101" s="13"/>
      <c r="I101" s="13"/>
      <c r="J101" s="13"/>
      <c r="K101" s="13"/>
      <c r="L101" s="13"/>
      <c r="M101" s="13"/>
      <c r="N101" s="13"/>
      <c r="O101" s="13"/>
      <c r="P101" s="13"/>
      <c r="Q101" s="13"/>
      <c r="R101" s="13"/>
      <c r="S101" s="13"/>
      <c r="T101" s="13"/>
    </row>
    <row r="102" spans="1:20" x14ac:dyDescent="0.35">
      <c r="A102" s="13"/>
      <c r="B102" s="13"/>
      <c r="C102" s="13"/>
      <c r="D102" s="13"/>
      <c r="E102" s="13"/>
      <c r="F102" s="13"/>
      <c r="G102" s="13"/>
      <c r="H102" s="13"/>
      <c r="I102" s="13"/>
      <c r="J102" s="13"/>
      <c r="K102" s="13"/>
      <c r="L102" s="13"/>
      <c r="M102" s="13"/>
      <c r="N102" s="13"/>
      <c r="O102" s="13"/>
      <c r="P102" s="13"/>
      <c r="Q102" s="13"/>
      <c r="R102" s="13"/>
      <c r="S102" s="13"/>
      <c r="T102" s="13"/>
    </row>
    <row r="103" spans="1:20" x14ac:dyDescent="0.35">
      <c r="A103" s="13"/>
      <c r="B103" s="13"/>
      <c r="C103" s="13"/>
      <c r="D103" s="13"/>
      <c r="E103" s="13"/>
      <c r="F103" s="13"/>
      <c r="G103" s="13"/>
      <c r="H103" s="13"/>
      <c r="I103" s="13"/>
      <c r="J103" s="13"/>
      <c r="K103" s="13"/>
      <c r="L103" s="13"/>
      <c r="M103" s="13"/>
      <c r="N103" s="13"/>
      <c r="O103" s="13"/>
      <c r="P103" s="13"/>
      <c r="Q103" s="13"/>
      <c r="R103" s="13"/>
      <c r="S103" s="13"/>
      <c r="T103" s="13"/>
    </row>
    <row r="104" spans="1:20" x14ac:dyDescent="0.35">
      <c r="A104" s="13"/>
      <c r="B104" s="13"/>
      <c r="C104" s="13"/>
      <c r="D104" s="13"/>
      <c r="E104" s="13"/>
      <c r="F104" s="13"/>
      <c r="G104" s="13"/>
      <c r="H104" s="13"/>
      <c r="I104" s="13"/>
      <c r="J104" s="13"/>
      <c r="K104" s="13"/>
      <c r="L104" s="13"/>
      <c r="M104" s="13"/>
      <c r="N104" s="13"/>
      <c r="O104" s="13"/>
      <c r="P104" s="13"/>
      <c r="Q104" s="13"/>
      <c r="R104" s="13"/>
      <c r="S104" s="13"/>
      <c r="T104" s="13"/>
    </row>
    <row r="105" spans="1:20" x14ac:dyDescent="0.35">
      <c r="A105" s="49"/>
      <c r="B105" s="13"/>
      <c r="C105" s="13"/>
      <c r="D105" s="13"/>
      <c r="E105" s="13"/>
      <c r="F105" s="13"/>
      <c r="G105" s="13"/>
      <c r="H105" s="13"/>
      <c r="I105" s="13"/>
      <c r="J105" s="13"/>
      <c r="K105" s="13"/>
      <c r="L105" s="13"/>
      <c r="M105" s="13"/>
      <c r="N105" s="13"/>
      <c r="O105" s="13"/>
      <c r="P105" s="13"/>
      <c r="Q105" s="13"/>
      <c r="R105" s="13"/>
      <c r="S105" s="13"/>
      <c r="T105" s="13"/>
    </row>
    <row r="106" spans="1:20" x14ac:dyDescent="0.35">
      <c r="A106" s="13"/>
      <c r="B106" s="13"/>
      <c r="C106" s="13"/>
      <c r="D106" s="13"/>
      <c r="E106" s="13"/>
      <c r="F106" s="13"/>
      <c r="G106" s="13"/>
      <c r="H106" s="13"/>
      <c r="I106" s="13"/>
      <c r="J106" s="13"/>
      <c r="K106" s="13"/>
      <c r="L106" s="13"/>
      <c r="M106" s="13"/>
      <c r="N106" s="13"/>
      <c r="O106" s="13"/>
      <c r="P106" s="13"/>
      <c r="Q106" s="13"/>
      <c r="R106" s="13"/>
      <c r="S106" s="13"/>
      <c r="T106" s="13"/>
    </row>
    <row r="107" spans="1:20" x14ac:dyDescent="0.35">
      <c r="A107" s="13"/>
      <c r="B107" s="13"/>
      <c r="C107" s="13"/>
      <c r="D107" s="13"/>
      <c r="E107" s="13"/>
      <c r="F107" s="13"/>
      <c r="G107" s="13"/>
      <c r="H107" s="13"/>
      <c r="I107" s="13"/>
      <c r="J107" s="13"/>
      <c r="K107" s="13"/>
      <c r="L107" s="13"/>
      <c r="M107" s="13"/>
      <c r="N107" s="13"/>
      <c r="O107" s="13"/>
      <c r="P107" s="13"/>
      <c r="Q107" s="13"/>
      <c r="R107" s="13"/>
      <c r="S107" s="13"/>
      <c r="T107" s="13"/>
    </row>
    <row r="108" spans="1:20" x14ac:dyDescent="0.35">
      <c r="A108" s="13"/>
      <c r="B108" s="13"/>
      <c r="C108" s="13"/>
      <c r="D108" s="13"/>
      <c r="E108" s="13"/>
      <c r="F108" s="13"/>
      <c r="G108" s="13"/>
      <c r="H108" s="13"/>
      <c r="I108" s="13"/>
      <c r="J108" s="13"/>
      <c r="K108" s="13"/>
      <c r="L108" s="13"/>
      <c r="M108" s="13"/>
      <c r="N108" s="13"/>
      <c r="O108" s="13"/>
      <c r="P108" s="13"/>
      <c r="Q108" s="13"/>
      <c r="R108" s="13"/>
      <c r="S108" s="13"/>
      <c r="T108" s="13"/>
    </row>
    <row r="109" spans="1:20" x14ac:dyDescent="0.35">
      <c r="A109" s="13"/>
      <c r="B109" s="13"/>
      <c r="C109" s="13"/>
      <c r="D109" s="13"/>
      <c r="E109" s="13"/>
      <c r="F109" s="13"/>
      <c r="G109" s="13"/>
      <c r="H109" s="13"/>
      <c r="I109" s="13"/>
      <c r="J109" s="13"/>
      <c r="K109" s="13"/>
      <c r="L109" s="13"/>
      <c r="M109" s="13"/>
      <c r="N109" s="13"/>
      <c r="O109" s="13"/>
      <c r="P109" s="13"/>
      <c r="Q109" s="13"/>
      <c r="R109" s="13"/>
      <c r="S109" s="13"/>
      <c r="T109" s="13"/>
    </row>
    <row r="110" spans="1:20" x14ac:dyDescent="0.35">
      <c r="A110" s="13"/>
      <c r="B110" s="13"/>
      <c r="C110" s="13"/>
      <c r="D110" s="13"/>
      <c r="E110" s="13"/>
      <c r="F110" s="13"/>
      <c r="G110" s="13"/>
      <c r="H110" s="13"/>
      <c r="I110" s="13"/>
      <c r="J110" s="13"/>
      <c r="K110" s="13"/>
      <c r="L110" s="13"/>
      <c r="M110" s="13"/>
      <c r="N110" s="13"/>
      <c r="O110" s="13"/>
      <c r="P110" s="13"/>
      <c r="Q110" s="13"/>
      <c r="R110" s="13"/>
      <c r="S110" s="13"/>
      <c r="T110" s="13"/>
    </row>
    <row r="111" spans="1:20" x14ac:dyDescent="0.35">
      <c r="A111" s="13"/>
      <c r="B111" s="13"/>
      <c r="C111" s="13"/>
      <c r="D111" s="13"/>
      <c r="E111" s="13"/>
      <c r="F111" s="13"/>
      <c r="G111" s="13"/>
      <c r="H111" s="13"/>
      <c r="I111" s="13"/>
      <c r="J111" s="13"/>
      <c r="K111" s="13"/>
      <c r="L111" s="13"/>
      <c r="M111" s="13"/>
      <c r="N111" s="13"/>
      <c r="O111" s="13"/>
      <c r="P111" s="13"/>
      <c r="Q111" s="13"/>
      <c r="R111" s="13"/>
      <c r="S111" s="13"/>
      <c r="T111" s="13"/>
    </row>
    <row r="112" spans="1:20" x14ac:dyDescent="0.35">
      <c r="A112" s="13"/>
      <c r="B112" s="13"/>
      <c r="C112" s="13"/>
      <c r="D112" s="13"/>
      <c r="E112" s="13"/>
      <c r="F112" s="13"/>
      <c r="G112" s="13"/>
      <c r="H112" s="13"/>
      <c r="I112" s="13"/>
      <c r="J112" s="13"/>
      <c r="K112" s="13"/>
      <c r="L112" s="13"/>
      <c r="M112" s="13"/>
      <c r="N112" s="13"/>
      <c r="O112" s="13"/>
      <c r="P112" s="13"/>
      <c r="Q112" s="13"/>
      <c r="R112" s="13"/>
      <c r="S112" s="13"/>
      <c r="T112" s="13"/>
    </row>
    <row r="113" spans="1:20" x14ac:dyDescent="0.35">
      <c r="A113" s="13"/>
      <c r="B113" s="13"/>
      <c r="C113" s="13"/>
      <c r="D113" s="13"/>
      <c r="E113" s="13"/>
      <c r="F113" s="13"/>
      <c r="G113" s="13"/>
      <c r="H113" s="13"/>
      <c r="I113" s="13"/>
      <c r="J113" s="13"/>
      <c r="K113" s="13"/>
      <c r="L113" s="13"/>
      <c r="M113" s="13"/>
      <c r="N113" s="13"/>
      <c r="O113" s="13"/>
      <c r="P113" s="13"/>
      <c r="Q113" s="13"/>
      <c r="R113" s="13"/>
      <c r="S113" s="13"/>
      <c r="T113" s="13"/>
    </row>
    <row r="114" spans="1:20" x14ac:dyDescent="0.35">
      <c r="A114" s="13"/>
      <c r="B114" s="13"/>
      <c r="C114" s="13"/>
      <c r="D114" s="13"/>
      <c r="E114" s="13"/>
      <c r="F114" s="13"/>
      <c r="G114" s="13"/>
      <c r="H114" s="13"/>
      <c r="I114" s="13"/>
      <c r="J114" s="13"/>
      <c r="K114" s="13"/>
      <c r="L114" s="13"/>
      <c r="M114" s="13"/>
      <c r="N114" s="13"/>
      <c r="O114" s="13"/>
      <c r="P114" s="13"/>
      <c r="Q114" s="13"/>
      <c r="R114" s="13"/>
      <c r="S114" s="13"/>
      <c r="T114" s="13"/>
    </row>
    <row r="115" spans="1:20" x14ac:dyDescent="0.35">
      <c r="A115" s="13"/>
      <c r="B115" s="13"/>
      <c r="C115" s="13"/>
      <c r="D115" s="13"/>
      <c r="E115" s="13"/>
      <c r="F115" s="13"/>
      <c r="G115" s="13"/>
      <c r="H115" s="13"/>
      <c r="I115" s="13"/>
      <c r="J115" s="13"/>
      <c r="K115" s="13"/>
      <c r="L115" s="13"/>
      <c r="M115" s="13"/>
      <c r="N115" s="13"/>
      <c r="O115" s="13"/>
      <c r="P115" s="13"/>
      <c r="Q115" s="13"/>
      <c r="R115" s="13"/>
      <c r="S115" s="13"/>
      <c r="T115" s="13"/>
    </row>
    <row r="116" spans="1:20" x14ac:dyDescent="0.35">
      <c r="A116" s="13"/>
      <c r="B116" s="13"/>
      <c r="C116" s="13"/>
      <c r="D116" s="13"/>
      <c r="E116" s="13"/>
      <c r="F116" s="13"/>
      <c r="G116" s="13"/>
      <c r="H116" s="13"/>
      <c r="I116" s="13"/>
      <c r="J116" s="13"/>
      <c r="K116" s="13"/>
      <c r="L116" s="13"/>
      <c r="M116" s="13"/>
      <c r="N116" s="13"/>
      <c r="O116" s="13"/>
      <c r="P116" s="13"/>
      <c r="Q116" s="13"/>
      <c r="R116" s="13"/>
      <c r="S116" s="13"/>
      <c r="T116" s="13"/>
    </row>
    <row r="117" spans="1:20" x14ac:dyDescent="0.35">
      <c r="A117" s="13"/>
      <c r="B117" s="13"/>
      <c r="C117" s="13"/>
      <c r="D117" s="13"/>
      <c r="E117" s="13"/>
      <c r="F117" s="13"/>
      <c r="G117" s="13"/>
      <c r="H117" s="13"/>
      <c r="I117" s="13"/>
      <c r="J117" s="13"/>
      <c r="K117" s="13"/>
      <c r="L117" s="13"/>
      <c r="M117" s="13"/>
      <c r="N117" s="13"/>
      <c r="O117" s="13"/>
      <c r="P117" s="13"/>
      <c r="Q117" s="13"/>
      <c r="R117" s="13"/>
      <c r="S117" s="13"/>
      <c r="T117" s="13"/>
    </row>
    <row r="118" spans="1:20" x14ac:dyDescent="0.35">
      <c r="A118" s="13"/>
      <c r="B118" s="13"/>
      <c r="C118" s="13"/>
      <c r="D118" s="13"/>
      <c r="E118" s="13"/>
      <c r="F118" s="13"/>
      <c r="G118" s="13"/>
      <c r="H118" s="13"/>
      <c r="I118" s="13"/>
      <c r="J118" s="13"/>
      <c r="K118" s="13"/>
      <c r="L118" s="13"/>
      <c r="M118" s="13"/>
      <c r="N118" s="13"/>
      <c r="O118" s="13"/>
      <c r="P118" s="13"/>
      <c r="Q118" s="13"/>
      <c r="R118" s="13"/>
      <c r="S118" s="13"/>
      <c r="T118" s="13"/>
    </row>
    <row r="119" spans="1:20" x14ac:dyDescent="0.35">
      <c r="A119" s="13"/>
      <c r="B119" s="13"/>
      <c r="C119" s="13"/>
      <c r="D119" s="13"/>
      <c r="E119" s="13"/>
      <c r="F119" s="13"/>
      <c r="G119" s="13"/>
      <c r="H119" s="13"/>
      <c r="I119" s="13"/>
      <c r="J119" s="13"/>
      <c r="K119" s="13"/>
      <c r="L119" s="13"/>
      <c r="M119" s="13"/>
      <c r="N119" s="13"/>
      <c r="O119" s="13"/>
      <c r="P119" s="13"/>
      <c r="Q119" s="13"/>
      <c r="R119" s="13"/>
      <c r="S119" s="13"/>
      <c r="T119" s="13"/>
    </row>
    <row r="120" spans="1:20" x14ac:dyDescent="0.35">
      <c r="A120" s="13"/>
      <c r="B120" s="13"/>
      <c r="C120" s="13"/>
      <c r="D120" s="13"/>
      <c r="E120" s="13"/>
      <c r="F120" s="13"/>
      <c r="G120" s="13"/>
      <c r="H120" s="13"/>
      <c r="I120" s="13"/>
      <c r="J120" s="13"/>
      <c r="K120" s="13"/>
      <c r="L120" s="13"/>
      <c r="M120" s="13"/>
      <c r="N120" s="13"/>
      <c r="O120" s="13"/>
      <c r="P120" s="13"/>
      <c r="Q120" s="13"/>
      <c r="R120" s="13"/>
      <c r="S120" s="13"/>
      <c r="T120" s="13"/>
    </row>
    <row r="121" spans="1:20" x14ac:dyDescent="0.35">
      <c r="A121" s="13"/>
      <c r="B121" s="13"/>
      <c r="C121" s="13"/>
      <c r="D121" s="13"/>
      <c r="E121" s="13"/>
      <c r="F121" s="13"/>
      <c r="G121" s="13"/>
      <c r="H121" s="13"/>
      <c r="I121" s="13"/>
      <c r="J121" s="13"/>
      <c r="K121" s="13"/>
      <c r="L121" s="13"/>
      <c r="M121" s="13"/>
      <c r="N121" s="13"/>
      <c r="O121" s="13"/>
      <c r="P121" s="13"/>
      <c r="Q121" s="13"/>
      <c r="R121" s="13"/>
      <c r="S121" s="13"/>
      <c r="T121" s="13"/>
    </row>
    <row r="122" spans="1:20" x14ac:dyDescent="0.35">
      <c r="A122" s="13"/>
      <c r="B122" s="13"/>
      <c r="C122" s="13"/>
      <c r="D122" s="13"/>
      <c r="E122" s="13"/>
      <c r="F122" s="13"/>
      <c r="G122" s="13"/>
      <c r="H122" s="13"/>
      <c r="I122" s="13"/>
      <c r="J122" s="13"/>
      <c r="K122" s="13"/>
      <c r="L122" s="13"/>
      <c r="M122" s="13"/>
      <c r="N122" s="13"/>
      <c r="O122" s="13"/>
      <c r="P122" s="13"/>
      <c r="Q122" s="13"/>
      <c r="R122" s="13"/>
      <c r="S122" s="13"/>
      <c r="T122" s="13"/>
    </row>
    <row r="123" spans="1:20" x14ac:dyDescent="0.35">
      <c r="A123" s="13"/>
      <c r="B123" s="13"/>
      <c r="C123" s="13"/>
      <c r="D123" s="13"/>
      <c r="E123" s="13"/>
      <c r="F123" s="13"/>
      <c r="G123" s="13"/>
      <c r="H123" s="13"/>
      <c r="I123" s="13"/>
      <c r="J123" s="13"/>
      <c r="K123" s="13"/>
      <c r="L123" s="13"/>
      <c r="M123" s="13"/>
      <c r="N123" s="13"/>
      <c r="O123" s="13"/>
      <c r="P123" s="13"/>
      <c r="Q123" s="13"/>
      <c r="R123" s="13"/>
      <c r="S123" s="13"/>
      <c r="T123" s="13"/>
    </row>
    <row r="124" spans="1:20" x14ac:dyDescent="0.35">
      <c r="A124" s="13"/>
      <c r="B124" s="13"/>
      <c r="C124" s="13"/>
      <c r="D124" s="13"/>
      <c r="E124" s="13"/>
      <c r="F124" s="13"/>
      <c r="G124" s="13"/>
      <c r="H124" s="13"/>
      <c r="I124" s="13"/>
      <c r="J124" s="13"/>
      <c r="K124" s="13"/>
      <c r="L124" s="13"/>
      <c r="M124" s="13"/>
      <c r="N124" s="13"/>
      <c r="O124" s="13"/>
      <c r="P124" s="13"/>
      <c r="Q124" s="13"/>
      <c r="R124" s="13"/>
      <c r="S124" s="13"/>
      <c r="T124" s="13"/>
    </row>
    <row r="125" spans="1:20" x14ac:dyDescent="0.35">
      <c r="A125" s="13"/>
      <c r="B125" s="13"/>
      <c r="C125" s="13"/>
      <c r="D125" s="13"/>
      <c r="E125" s="13"/>
      <c r="F125" s="13"/>
      <c r="G125" s="13"/>
      <c r="H125" s="13"/>
      <c r="I125" s="13"/>
      <c r="J125" s="13"/>
      <c r="K125" s="13"/>
      <c r="L125" s="13"/>
      <c r="M125" s="13"/>
      <c r="N125" s="13"/>
      <c r="O125" s="13"/>
      <c r="P125" s="13"/>
      <c r="Q125" s="13"/>
      <c r="R125" s="13"/>
      <c r="S125" s="13"/>
      <c r="T125" s="13"/>
    </row>
    <row r="126" spans="1:20" ht="15.5" x14ac:dyDescent="0.35">
      <c r="A126" s="13"/>
      <c r="B126" s="13"/>
      <c r="C126" s="13"/>
      <c r="D126" s="13"/>
      <c r="E126" s="13"/>
      <c r="F126" s="13"/>
      <c r="G126" s="13"/>
      <c r="H126" s="14"/>
      <c r="I126" s="14"/>
      <c r="J126" s="14"/>
      <c r="K126" s="14"/>
      <c r="L126" s="14"/>
      <c r="M126" s="14"/>
      <c r="N126" s="14"/>
      <c r="O126" s="14"/>
      <c r="P126" s="14"/>
      <c r="Q126" s="13"/>
      <c r="R126" s="13"/>
      <c r="S126" s="13"/>
      <c r="T126" s="13"/>
    </row>
    <row r="127" spans="1:20" x14ac:dyDescent="0.35">
      <c r="A127" s="13"/>
      <c r="B127" s="13"/>
      <c r="C127" s="13"/>
      <c r="D127" s="13"/>
      <c r="E127" s="49"/>
      <c r="F127" s="13"/>
      <c r="G127" s="49"/>
      <c r="H127" s="13"/>
      <c r="I127" s="13"/>
      <c r="J127" s="13"/>
      <c r="K127" s="13"/>
      <c r="L127" s="13"/>
      <c r="M127" s="13"/>
      <c r="N127" s="13"/>
      <c r="O127" s="13"/>
      <c r="P127" s="13"/>
      <c r="Q127" s="13"/>
      <c r="R127" s="13"/>
      <c r="S127" s="13"/>
      <c r="T127" s="13"/>
    </row>
    <row r="128" spans="1:20" x14ac:dyDescent="0.35">
      <c r="A128" s="13"/>
      <c r="B128" s="13"/>
      <c r="C128" s="13"/>
      <c r="D128" s="13"/>
      <c r="E128" s="49"/>
      <c r="F128" s="13"/>
      <c r="G128" s="49"/>
      <c r="H128" s="13"/>
      <c r="I128" s="13"/>
      <c r="J128" s="13"/>
      <c r="K128" s="13"/>
      <c r="L128" s="13"/>
      <c r="M128" s="13"/>
      <c r="N128" s="13"/>
      <c r="O128" s="13"/>
      <c r="P128" s="13"/>
      <c r="Q128" s="13"/>
      <c r="R128" s="13"/>
      <c r="S128" s="13"/>
      <c r="T128" s="13"/>
    </row>
    <row r="129" spans="1:20" x14ac:dyDescent="0.35">
      <c r="A129" s="13"/>
      <c r="B129" s="13"/>
      <c r="C129" s="13"/>
      <c r="D129" s="13"/>
      <c r="E129" s="49"/>
      <c r="F129" s="13"/>
      <c r="G129" s="49"/>
      <c r="H129" s="13"/>
      <c r="I129" s="13"/>
      <c r="J129" s="13"/>
      <c r="K129" s="13"/>
      <c r="L129" s="13"/>
      <c r="M129" s="13"/>
      <c r="N129" s="13"/>
      <c r="O129" s="13"/>
      <c r="P129" s="13"/>
      <c r="Q129" s="13"/>
      <c r="R129" s="13"/>
      <c r="S129" s="13"/>
      <c r="T129" s="13"/>
    </row>
    <row r="130" spans="1:20" x14ac:dyDescent="0.35">
      <c r="A130" s="13"/>
      <c r="B130" s="13"/>
      <c r="C130" s="13"/>
      <c r="D130" s="13"/>
      <c r="E130" s="49"/>
      <c r="F130" s="13"/>
      <c r="G130" s="13"/>
      <c r="H130" s="13"/>
      <c r="I130" s="13"/>
      <c r="J130" s="13"/>
      <c r="K130" s="13"/>
      <c r="L130" s="13"/>
      <c r="M130" s="13"/>
      <c r="N130" s="13"/>
      <c r="O130" s="13"/>
      <c r="P130" s="13"/>
      <c r="Q130" s="13"/>
      <c r="R130" s="13"/>
      <c r="S130" s="13"/>
      <c r="T130" s="13"/>
    </row>
    <row r="131" spans="1:20" x14ac:dyDescent="0.35">
      <c r="A131" s="13"/>
      <c r="B131" s="13"/>
      <c r="C131" s="13"/>
      <c r="D131" s="13"/>
      <c r="E131" s="49"/>
      <c r="F131" s="13"/>
      <c r="G131" s="13"/>
      <c r="H131" s="13"/>
      <c r="I131" s="13"/>
      <c r="J131" s="13"/>
      <c r="K131" s="13"/>
      <c r="L131" s="13"/>
      <c r="M131" s="13"/>
      <c r="N131" s="13"/>
      <c r="O131" s="13"/>
      <c r="P131" s="13"/>
      <c r="Q131" s="13"/>
      <c r="R131" s="13"/>
      <c r="S131" s="13"/>
      <c r="T131" s="13"/>
    </row>
    <row r="132" spans="1:20" x14ac:dyDescent="0.35">
      <c r="A132" s="13"/>
      <c r="B132" s="13"/>
      <c r="C132" s="13"/>
      <c r="D132" s="13"/>
      <c r="E132" s="49"/>
      <c r="F132" s="13"/>
      <c r="G132" s="49"/>
      <c r="H132" s="13"/>
      <c r="I132" s="13"/>
      <c r="J132" s="13"/>
      <c r="K132" s="13"/>
      <c r="L132" s="13"/>
      <c r="M132" s="13"/>
      <c r="N132" s="13"/>
      <c r="O132" s="13"/>
      <c r="P132" s="13"/>
      <c r="Q132" s="13"/>
      <c r="R132" s="13"/>
      <c r="S132" s="13"/>
      <c r="T132" s="13"/>
    </row>
    <row r="133" spans="1:20" x14ac:dyDescent="0.35">
      <c r="A133" s="13"/>
      <c r="B133" s="13"/>
      <c r="C133" s="13"/>
      <c r="D133" s="13"/>
      <c r="E133" s="49"/>
      <c r="F133" s="13"/>
      <c r="G133" s="49"/>
      <c r="H133" s="13"/>
      <c r="I133" s="13"/>
      <c r="J133" s="13"/>
      <c r="K133" s="13"/>
      <c r="L133" s="13"/>
      <c r="M133" s="13"/>
      <c r="N133" s="13"/>
      <c r="O133" s="13"/>
      <c r="P133" s="13"/>
      <c r="Q133" s="13"/>
      <c r="R133" s="13"/>
      <c r="S133" s="13"/>
      <c r="T133" s="13"/>
    </row>
    <row r="134" spans="1:20" x14ac:dyDescent="0.35">
      <c r="A134" s="13"/>
      <c r="B134" s="13"/>
      <c r="C134" s="13"/>
      <c r="D134" s="13"/>
      <c r="E134" s="13"/>
      <c r="F134" s="13"/>
      <c r="G134" s="49"/>
      <c r="H134" s="13"/>
      <c r="I134" s="13"/>
      <c r="J134" s="13"/>
      <c r="K134" s="13"/>
      <c r="L134" s="13"/>
      <c r="M134" s="13"/>
      <c r="N134" s="13"/>
      <c r="O134" s="13"/>
      <c r="P134" s="13"/>
      <c r="Q134" s="13"/>
      <c r="R134" s="13"/>
      <c r="S134" s="13"/>
      <c r="T134" s="13"/>
    </row>
    <row r="135" spans="1:20" x14ac:dyDescent="0.35">
      <c r="A135" s="13"/>
      <c r="B135" s="13"/>
      <c r="C135" s="13"/>
      <c r="D135" s="13"/>
      <c r="E135" s="13"/>
      <c r="F135" s="13"/>
      <c r="G135" s="13"/>
      <c r="H135" s="13"/>
      <c r="I135" s="13"/>
      <c r="J135" s="13"/>
      <c r="K135" s="13"/>
      <c r="L135" s="13"/>
      <c r="M135" s="13"/>
      <c r="N135" s="13"/>
      <c r="O135" s="13"/>
      <c r="P135" s="13"/>
      <c r="Q135" s="13"/>
      <c r="R135" s="13"/>
      <c r="S135" s="13"/>
      <c r="T135" s="13"/>
    </row>
    <row r="136" spans="1:20" x14ac:dyDescent="0.35">
      <c r="A136" s="13"/>
      <c r="B136" s="13"/>
      <c r="C136" s="13"/>
      <c r="D136" s="13"/>
      <c r="E136" s="49"/>
      <c r="F136" s="49"/>
      <c r="G136" s="49"/>
      <c r="H136" s="13"/>
      <c r="I136" s="13"/>
      <c r="J136" s="13"/>
      <c r="K136" s="13"/>
      <c r="L136" s="13"/>
      <c r="M136" s="13"/>
      <c r="N136" s="13"/>
      <c r="O136" s="13"/>
      <c r="P136" s="13"/>
      <c r="Q136" s="13"/>
      <c r="R136" s="13"/>
      <c r="S136" s="13"/>
      <c r="T136" s="13"/>
    </row>
    <row r="137" spans="1:20" x14ac:dyDescent="0.35">
      <c r="A137" s="13"/>
      <c r="B137" s="13"/>
      <c r="C137" s="13"/>
      <c r="D137" s="13"/>
      <c r="E137" s="49"/>
      <c r="F137" s="49"/>
      <c r="G137" s="49"/>
      <c r="H137" s="13"/>
      <c r="I137" s="13"/>
      <c r="J137" s="13"/>
      <c r="K137" s="13"/>
      <c r="L137" s="13"/>
      <c r="M137" s="13"/>
      <c r="N137" s="13"/>
      <c r="O137" s="13"/>
      <c r="P137" s="13"/>
      <c r="Q137" s="13"/>
      <c r="R137" s="13"/>
      <c r="S137" s="13"/>
      <c r="T137" s="13"/>
    </row>
    <row r="138" spans="1:20" x14ac:dyDescent="0.35">
      <c r="A138" s="13"/>
      <c r="B138" s="13"/>
      <c r="C138" s="13"/>
      <c r="D138" s="13"/>
      <c r="E138" s="49"/>
      <c r="F138" s="49"/>
      <c r="G138" s="49"/>
      <c r="H138" s="13"/>
      <c r="I138" s="13"/>
      <c r="J138" s="13"/>
      <c r="K138" s="13"/>
      <c r="L138" s="13"/>
      <c r="M138" s="13"/>
      <c r="N138" s="13"/>
      <c r="O138" s="13"/>
      <c r="P138" s="13"/>
      <c r="Q138" s="13"/>
      <c r="R138" s="13"/>
      <c r="S138" s="13"/>
      <c r="T138" s="13"/>
    </row>
    <row r="139" spans="1:20" x14ac:dyDescent="0.35">
      <c r="A139" s="13"/>
      <c r="B139" s="13"/>
      <c r="C139" s="13"/>
      <c r="D139" s="13"/>
      <c r="E139" s="13"/>
      <c r="F139" s="13"/>
      <c r="G139" s="13"/>
      <c r="H139" s="13"/>
      <c r="I139" s="13"/>
      <c r="J139" s="13"/>
      <c r="K139" s="13"/>
      <c r="L139" s="13"/>
      <c r="M139" s="13"/>
      <c r="N139" s="13"/>
      <c r="O139" s="13"/>
      <c r="P139" s="13"/>
      <c r="Q139" s="13"/>
      <c r="R139" s="13"/>
      <c r="S139" s="13"/>
      <c r="T139" s="13"/>
    </row>
    <row r="140" spans="1:20" x14ac:dyDescent="0.35">
      <c r="A140" s="13"/>
      <c r="B140" s="13"/>
      <c r="C140" s="13"/>
      <c r="D140" s="13"/>
      <c r="E140" s="13"/>
      <c r="F140" s="13"/>
      <c r="G140" s="13"/>
      <c r="H140" s="13"/>
      <c r="I140" s="13"/>
      <c r="J140" s="13"/>
      <c r="K140" s="13"/>
      <c r="L140" s="13"/>
      <c r="M140" s="13"/>
      <c r="N140" s="13"/>
      <c r="O140" s="13"/>
      <c r="P140" s="13"/>
      <c r="Q140" s="13"/>
      <c r="R140" s="13"/>
      <c r="S140" s="13"/>
      <c r="T140" s="13"/>
    </row>
    <row r="141" spans="1:20" x14ac:dyDescent="0.35">
      <c r="A141" s="13"/>
      <c r="B141" s="13"/>
      <c r="C141" s="13"/>
      <c r="D141" s="13"/>
      <c r="E141" s="13"/>
      <c r="F141" s="13"/>
      <c r="G141" s="13"/>
      <c r="H141" s="13"/>
      <c r="I141" s="13"/>
      <c r="J141" s="13"/>
      <c r="K141" s="13"/>
      <c r="L141" s="13"/>
      <c r="M141" s="13"/>
      <c r="N141" s="13"/>
      <c r="O141" s="13"/>
      <c r="P141" s="13"/>
      <c r="Q141" s="13"/>
      <c r="R141" s="13"/>
      <c r="S141" s="13"/>
      <c r="T141" s="13"/>
    </row>
    <row r="142" spans="1:20" x14ac:dyDescent="0.35">
      <c r="A142" s="13"/>
      <c r="B142" s="13"/>
      <c r="C142" s="13"/>
      <c r="D142" s="13"/>
      <c r="E142" s="13"/>
      <c r="F142" s="13"/>
      <c r="G142" s="13"/>
      <c r="H142" s="13"/>
      <c r="I142" s="13"/>
      <c r="J142" s="13"/>
      <c r="K142" s="13"/>
      <c r="L142" s="13"/>
      <c r="M142" s="13"/>
      <c r="N142" s="13"/>
      <c r="O142" s="13"/>
      <c r="P142" s="13"/>
      <c r="Q142" s="13"/>
      <c r="R142" s="13"/>
      <c r="S142" s="13"/>
      <c r="T142" s="13"/>
    </row>
    <row r="143" spans="1:20" x14ac:dyDescent="0.35">
      <c r="A143" s="13"/>
      <c r="B143" s="13"/>
      <c r="C143" s="13"/>
      <c r="D143" s="13"/>
      <c r="E143" s="13"/>
      <c r="F143" s="13"/>
      <c r="G143" s="13"/>
      <c r="H143" s="13"/>
      <c r="I143" s="13"/>
      <c r="J143" s="13"/>
      <c r="K143" s="13"/>
      <c r="L143" s="13"/>
      <c r="M143" s="13"/>
      <c r="N143" s="13"/>
      <c r="O143" s="13"/>
      <c r="P143" s="13"/>
      <c r="Q143" s="13"/>
      <c r="R143" s="13"/>
      <c r="S143" s="13"/>
      <c r="T143" s="13"/>
    </row>
    <row r="144" spans="1:20" x14ac:dyDescent="0.35">
      <c r="A144" s="13"/>
      <c r="B144" s="13"/>
      <c r="C144" s="13"/>
      <c r="D144" s="13"/>
      <c r="E144" s="13"/>
      <c r="F144" s="13"/>
      <c r="G144" s="13"/>
      <c r="H144" s="13"/>
      <c r="I144" s="13"/>
      <c r="J144" s="13"/>
      <c r="K144" s="13"/>
      <c r="L144" s="13"/>
      <c r="M144" s="13"/>
      <c r="N144" s="13"/>
      <c r="O144" s="13"/>
      <c r="P144" s="13"/>
      <c r="Q144" s="13"/>
      <c r="R144" s="13"/>
      <c r="S144" s="13"/>
      <c r="T144" s="13"/>
    </row>
    <row r="145" spans="1:20" x14ac:dyDescent="0.35">
      <c r="A145" s="13"/>
      <c r="B145" s="13"/>
      <c r="C145" s="13"/>
      <c r="D145" s="13"/>
      <c r="E145" s="13"/>
      <c r="F145" s="13"/>
      <c r="G145" s="13"/>
      <c r="H145" s="13"/>
      <c r="I145" s="13"/>
      <c r="J145" s="13"/>
      <c r="K145" s="13"/>
      <c r="L145" s="13"/>
      <c r="M145" s="13"/>
      <c r="N145" s="13"/>
      <c r="O145" s="13"/>
      <c r="P145" s="13"/>
      <c r="Q145" s="13"/>
      <c r="R145" s="13"/>
      <c r="S145" s="13"/>
      <c r="T145" s="13"/>
    </row>
    <row r="146" spans="1:20" x14ac:dyDescent="0.35">
      <c r="A146" s="13"/>
      <c r="B146" s="13"/>
      <c r="C146" s="13"/>
      <c r="D146" s="13"/>
      <c r="E146" s="13"/>
      <c r="F146" s="13"/>
      <c r="G146" s="13"/>
      <c r="H146" s="13"/>
      <c r="I146" s="13"/>
      <c r="J146" s="13"/>
      <c r="K146" s="13"/>
      <c r="L146" s="13"/>
      <c r="M146" s="13"/>
      <c r="N146" s="13"/>
      <c r="O146" s="13"/>
      <c r="P146" s="13"/>
      <c r="Q146" s="13"/>
      <c r="R146" s="13"/>
      <c r="S146" s="13"/>
      <c r="T146" s="13"/>
    </row>
    <row r="147" spans="1:20" x14ac:dyDescent="0.35">
      <c r="A147" s="13"/>
      <c r="B147" s="13"/>
      <c r="C147" s="13"/>
      <c r="D147" s="13"/>
      <c r="E147" s="13"/>
      <c r="F147" s="13"/>
      <c r="G147" s="13"/>
      <c r="H147" s="13"/>
      <c r="I147" s="13"/>
      <c r="J147" s="13"/>
      <c r="K147" s="13"/>
      <c r="L147" s="13"/>
      <c r="M147" s="13"/>
      <c r="N147" s="13"/>
      <c r="O147" s="13"/>
      <c r="P147" s="13"/>
      <c r="Q147" s="13"/>
      <c r="R147" s="13"/>
      <c r="S147" s="13"/>
      <c r="T147" s="13"/>
    </row>
    <row r="148" spans="1:20" x14ac:dyDescent="0.35">
      <c r="A148" s="13"/>
      <c r="B148" s="13"/>
      <c r="C148" s="13"/>
      <c r="D148" s="13"/>
      <c r="E148" s="13"/>
      <c r="F148" s="13"/>
      <c r="G148" s="13"/>
      <c r="H148" s="13"/>
      <c r="I148" s="13"/>
      <c r="J148" s="13"/>
      <c r="K148" s="13"/>
      <c r="L148" s="13"/>
      <c r="M148" s="13"/>
      <c r="N148" s="13"/>
      <c r="O148" s="13"/>
      <c r="P148" s="13"/>
      <c r="Q148" s="13"/>
      <c r="R148" s="13"/>
      <c r="S148" s="13"/>
      <c r="T148" s="13"/>
    </row>
    <row r="149" spans="1:20" x14ac:dyDescent="0.35">
      <c r="A149" s="13"/>
      <c r="B149" s="13"/>
      <c r="C149" s="13"/>
      <c r="D149" s="13"/>
      <c r="E149" s="13"/>
      <c r="F149" s="13"/>
      <c r="G149" s="13"/>
      <c r="H149" s="13"/>
      <c r="I149" s="13"/>
      <c r="J149" s="13"/>
      <c r="K149" s="13"/>
      <c r="L149" s="13"/>
      <c r="M149" s="13"/>
      <c r="N149" s="13"/>
      <c r="O149" s="13"/>
      <c r="P149" s="13"/>
      <c r="Q149" s="13"/>
      <c r="R149" s="13"/>
      <c r="S149" s="13"/>
      <c r="T149" s="13"/>
    </row>
    <row r="150" spans="1:20" x14ac:dyDescent="0.35">
      <c r="A150" s="13"/>
      <c r="B150" s="13"/>
      <c r="C150" s="13"/>
      <c r="D150" s="13"/>
      <c r="E150" s="13"/>
      <c r="F150" s="13"/>
      <c r="G150" s="13"/>
      <c r="H150" s="13"/>
      <c r="I150" s="13"/>
      <c r="J150" s="13"/>
      <c r="K150" s="13"/>
      <c r="L150" s="13"/>
      <c r="M150" s="13"/>
      <c r="N150" s="13"/>
      <c r="O150" s="13"/>
      <c r="P150" s="13"/>
      <c r="Q150" s="13"/>
      <c r="R150" s="13"/>
      <c r="S150" s="13"/>
      <c r="T150"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2"/>
  <sheetViews>
    <sheetView workbookViewId="0">
      <selection activeCell="H120" sqref="H120:P120"/>
    </sheetView>
  </sheetViews>
  <sheetFormatPr defaultColWidth="9.1796875" defaultRowHeight="14.5" x14ac:dyDescent="0.35"/>
  <cols>
    <col min="1" max="1" width="9.1796875" style="2"/>
    <col min="2" max="2" width="11.81640625" style="2" customWidth="1"/>
    <col min="3" max="3" width="10.54296875" style="2" customWidth="1"/>
    <col min="4" max="7" width="9.1796875" style="2"/>
    <col min="8" max="8" width="10.453125" style="2" customWidth="1"/>
    <col min="9" max="9" width="9.81640625" style="2" customWidth="1"/>
    <col min="10" max="12" width="9.1796875" style="2"/>
    <col min="13" max="13" width="11.26953125" style="2" customWidth="1"/>
    <col min="14" max="19" width="9.1796875" style="2"/>
    <col min="20" max="20" width="11.7265625" style="2" customWidth="1"/>
    <col min="21" max="16384" width="9.1796875" style="2"/>
  </cols>
  <sheetData>
    <row r="1" spans="3:21" ht="15.5" x14ac:dyDescent="0.35">
      <c r="C1" s="4" t="s">
        <v>16</v>
      </c>
    </row>
    <row r="3" spans="3:21" ht="18.5" x14ac:dyDescent="0.45">
      <c r="C3" s="1" t="s">
        <v>19</v>
      </c>
    </row>
    <row r="4" spans="3:21" ht="18.5" x14ac:dyDescent="0.45">
      <c r="F4" s="1" t="s">
        <v>0</v>
      </c>
      <c r="G4" s="3"/>
      <c r="H4" s="3"/>
      <c r="I4" s="3"/>
      <c r="J4" s="3"/>
      <c r="K4" s="3"/>
      <c r="L4" s="3"/>
      <c r="M4" s="3"/>
      <c r="N4" s="3"/>
      <c r="O4" s="3"/>
      <c r="P4" s="3"/>
      <c r="Q4" s="3"/>
      <c r="R4" s="3"/>
      <c r="S4" s="3"/>
      <c r="T4" s="3"/>
      <c r="U4" s="3"/>
    </row>
    <row r="5" spans="3:21" s="4" customFormat="1" ht="16" thickBot="1" x14ac:dyDescent="0.4">
      <c r="F5" s="9" t="s">
        <v>1</v>
      </c>
      <c r="G5" s="9" t="s">
        <v>2</v>
      </c>
      <c r="H5" s="9" t="s">
        <v>3</v>
      </c>
      <c r="I5" s="9" t="s">
        <v>4</v>
      </c>
      <c r="J5" s="9" t="s">
        <v>5</v>
      </c>
      <c r="K5" s="9" t="s">
        <v>6</v>
      </c>
      <c r="L5" s="9" t="s">
        <v>7</v>
      </c>
      <c r="M5" s="9" t="s">
        <v>8</v>
      </c>
      <c r="N5" s="9" t="s">
        <v>9</v>
      </c>
      <c r="O5" s="9" t="s">
        <v>10</v>
      </c>
      <c r="P5" s="9" t="s">
        <v>297</v>
      </c>
      <c r="Q5" s="5"/>
      <c r="R5" s="9" t="s">
        <v>11</v>
      </c>
      <c r="S5" s="9" t="s">
        <v>12</v>
      </c>
      <c r="T5" s="9" t="s">
        <v>13</v>
      </c>
      <c r="U5" s="9" t="s">
        <v>14</v>
      </c>
    </row>
    <row r="6" spans="3:21" x14ac:dyDescent="0.35">
      <c r="F6" s="2">
        <v>201.34</v>
      </c>
      <c r="G6" s="2">
        <v>208.12</v>
      </c>
      <c r="H6" s="2">
        <f>G6-F6</f>
        <v>6.7800000000000011</v>
      </c>
      <c r="I6" s="2">
        <f>F7-G6</f>
        <v>6.4499999999999886</v>
      </c>
      <c r="J6" s="2">
        <f>H6/N6</f>
        <v>0.51247165532879868</v>
      </c>
      <c r="K6" s="2">
        <f>I6/N6</f>
        <v>0.48752834467120132</v>
      </c>
      <c r="L6" s="2">
        <f>1/H6</f>
        <v>0.14749262536873153</v>
      </c>
      <c r="M6" s="2">
        <f>1/N6</f>
        <v>7.5585789871504216E-2</v>
      </c>
      <c r="N6" s="2">
        <f>F7-F6</f>
        <v>13.22999999999999</v>
      </c>
      <c r="O6" s="2">
        <v>44</v>
      </c>
      <c r="P6" s="2">
        <f>O6/H6</f>
        <v>6.4896755162241879</v>
      </c>
    </row>
    <row r="7" spans="3:21" x14ac:dyDescent="0.35">
      <c r="F7" s="2">
        <v>214.57</v>
      </c>
      <c r="G7" s="2">
        <v>221.22</v>
      </c>
      <c r="H7" s="2">
        <f t="shared" ref="H7:H15" si="0">G7-F7</f>
        <v>6.6500000000000057</v>
      </c>
      <c r="I7" s="2">
        <f t="shared" ref="I7:I14" si="1">F8-G7</f>
        <v>7.6800000000000068</v>
      </c>
      <c r="J7" s="2">
        <f t="shared" ref="J7:J14" si="2">H7/N7</f>
        <v>0.46406140963014653</v>
      </c>
      <c r="K7" s="2">
        <f t="shared" ref="K7:K14" si="3">I7/N7</f>
        <v>0.53593859036985347</v>
      </c>
      <c r="L7" s="2">
        <f t="shared" ref="L7:L14" si="4">1/H7</f>
        <v>0.15037593984962394</v>
      </c>
      <c r="M7" s="2">
        <f t="shared" ref="M7:M14" si="5">1/N7</f>
        <v>6.9783670621074614E-2</v>
      </c>
      <c r="N7" s="2">
        <f t="shared" ref="N7:N14" si="6">F8-F7</f>
        <v>14.330000000000013</v>
      </c>
      <c r="O7" s="2">
        <v>47</v>
      </c>
      <c r="P7" s="2">
        <f t="shared" ref="P7:P14" si="7">O7/H7</f>
        <v>7.0676691729323249</v>
      </c>
      <c r="R7" s="2">
        <v>153.94</v>
      </c>
      <c r="S7" s="2">
        <v>222.15</v>
      </c>
      <c r="T7" s="2">
        <f>S7-R7</f>
        <v>68.210000000000008</v>
      </c>
      <c r="U7" s="2">
        <f>R8-S7</f>
        <v>14.900000000000006</v>
      </c>
    </row>
    <row r="8" spans="3:21" x14ac:dyDescent="0.35">
      <c r="F8" s="2">
        <v>228.9</v>
      </c>
      <c r="G8" s="2">
        <v>236.03</v>
      </c>
      <c r="H8" s="2">
        <f t="shared" si="0"/>
        <v>7.1299999999999955</v>
      </c>
      <c r="I8" s="2">
        <f t="shared" si="1"/>
        <v>6.4499999999999886</v>
      </c>
      <c r="J8" s="2">
        <f t="shared" si="2"/>
        <v>0.52503681885125209</v>
      </c>
      <c r="K8" s="2">
        <f t="shared" si="3"/>
        <v>0.47496318114874786</v>
      </c>
      <c r="L8" s="2">
        <f t="shared" si="4"/>
        <v>0.14025245441795239</v>
      </c>
      <c r="M8" s="2">
        <f t="shared" si="5"/>
        <v>7.363770250368197E-2</v>
      </c>
      <c r="N8" s="2">
        <f t="shared" si="6"/>
        <v>13.579999999999984</v>
      </c>
      <c r="O8" s="2">
        <v>47</v>
      </c>
      <c r="P8" s="2">
        <f t="shared" si="7"/>
        <v>6.5918653576437629</v>
      </c>
      <c r="R8" s="2">
        <v>237.05</v>
      </c>
      <c r="S8" s="2">
        <v>250.22</v>
      </c>
      <c r="T8" s="2">
        <f>S8-R8</f>
        <v>13.169999999999987</v>
      </c>
      <c r="U8" s="2">
        <f>R9-S8</f>
        <v>13.250000000000028</v>
      </c>
    </row>
    <row r="9" spans="3:21" x14ac:dyDescent="0.35">
      <c r="F9" s="2">
        <v>242.48</v>
      </c>
      <c r="G9" s="2">
        <v>249.5</v>
      </c>
      <c r="H9" s="2">
        <f t="shared" si="0"/>
        <v>7.0200000000000102</v>
      </c>
      <c r="I9" s="2">
        <f t="shared" si="1"/>
        <v>5.9300000000000068</v>
      </c>
      <c r="J9" s="2">
        <f t="shared" si="2"/>
        <v>0.54208494208494218</v>
      </c>
      <c r="K9" s="2">
        <f t="shared" si="3"/>
        <v>0.45791505791505782</v>
      </c>
      <c r="L9" s="2">
        <f t="shared" si="4"/>
        <v>0.14245014245014223</v>
      </c>
      <c r="M9" s="2">
        <f t="shared" si="5"/>
        <v>7.7220077220077121E-2</v>
      </c>
      <c r="N9" s="2">
        <f t="shared" si="6"/>
        <v>12.950000000000017</v>
      </c>
      <c r="O9" s="13">
        <v>48</v>
      </c>
      <c r="P9" s="2">
        <f t="shared" si="7"/>
        <v>6.8376068376068275</v>
      </c>
      <c r="R9" s="2">
        <v>263.47000000000003</v>
      </c>
      <c r="S9" s="2">
        <v>275.31</v>
      </c>
      <c r="T9" s="2">
        <f>S9-R9</f>
        <v>11.839999999999975</v>
      </c>
      <c r="U9" s="2">
        <f>R10-S9</f>
        <v>9.6899999999999977</v>
      </c>
    </row>
    <row r="10" spans="3:21" x14ac:dyDescent="0.35">
      <c r="F10" s="2">
        <v>255.43</v>
      </c>
      <c r="G10" s="2">
        <v>262.39</v>
      </c>
      <c r="H10" s="2">
        <f t="shared" si="0"/>
        <v>6.9599999999999795</v>
      </c>
      <c r="I10" s="2">
        <f t="shared" si="1"/>
        <v>6.3000000000000114</v>
      </c>
      <c r="J10" s="2">
        <f t="shared" si="2"/>
        <v>0.5248868778280531</v>
      </c>
      <c r="K10" s="2">
        <f t="shared" si="3"/>
        <v>0.4751131221719469</v>
      </c>
      <c r="L10" s="2">
        <f t="shared" si="4"/>
        <v>0.14367816091954067</v>
      </c>
      <c r="M10" s="2">
        <f t="shared" si="5"/>
        <v>7.541478129713429E-2</v>
      </c>
      <c r="N10" s="2">
        <f t="shared" si="6"/>
        <v>13.259999999999991</v>
      </c>
      <c r="O10" s="13">
        <v>47</v>
      </c>
      <c r="P10" s="2">
        <f t="shared" si="7"/>
        <v>6.7528735632184107</v>
      </c>
      <c r="R10" s="2">
        <v>285</v>
      </c>
      <c r="S10" s="2">
        <v>296.27</v>
      </c>
      <c r="T10" s="2">
        <f>S10-R10</f>
        <v>11.269999999999982</v>
      </c>
      <c r="U10" s="2">
        <f>R11-S10</f>
        <v>13.830000000000041</v>
      </c>
    </row>
    <row r="11" spans="3:21" x14ac:dyDescent="0.35">
      <c r="F11" s="2">
        <v>268.69</v>
      </c>
      <c r="G11" s="2">
        <v>275.58</v>
      </c>
      <c r="H11" s="2">
        <f t="shared" si="0"/>
        <v>6.8899999999999864</v>
      </c>
      <c r="I11" s="2">
        <f t="shared" si="1"/>
        <v>13.230000000000018</v>
      </c>
      <c r="J11" s="2">
        <f t="shared" si="2"/>
        <v>0.34244532803180838</v>
      </c>
      <c r="K11" s="2">
        <f t="shared" si="3"/>
        <v>0.65755467196819162</v>
      </c>
      <c r="L11" s="2">
        <f t="shared" si="4"/>
        <v>0.14513788098693789</v>
      </c>
      <c r="M11" s="2">
        <f t="shared" si="5"/>
        <v>4.9701789264413508E-2</v>
      </c>
      <c r="N11" s="2">
        <f t="shared" si="6"/>
        <v>20.120000000000005</v>
      </c>
      <c r="O11" s="13">
        <v>43</v>
      </c>
      <c r="P11" s="2">
        <f t="shared" si="7"/>
        <v>6.2409288824383289</v>
      </c>
      <c r="R11" s="2">
        <v>310.10000000000002</v>
      </c>
      <c r="S11" s="2">
        <v>339.6</v>
      </c>
      <c r="T11" s="2">
        <f>S11-R11</f>
        <v>29.5</v>
      </c>
    </row>
    <row r="12" spans="3:21" x14ac:dyDescent="0.35">
      <c r="F12" s="2">
        <v>288.81</v>
      </c>
      <c r="G12" s="2">
        <v>295.79000000000002</v>
      </c>
      <c r="H12" s="2">
        <f t="shared" si="0"/>
        <v>6.9800000000000182</v>
      </c>
      <c r="I12" s="2">
        <f t="shared" si="1"/>
        <v>6.2999999999999545</v>
      </c>
      <c r="J12" s="2">
        <f t="shared" si="2"/>
        <v>0.52560240963855664</v>
      </c>
      <c r="K12" s="2">
        <f t="shared" si="3"/>
        <v>0.47439759036144336</v>
      </c>
      <c r="L12" s="2">
        <f t="shared" si="4"/>
        <v>0.14326647564469877</v>
      </c>
      <c r="M12" s="2">
        <f t="shared" si="5"/>
        <v>7.5301204819277268E-2</v>
      </c>
      <c r="N12" s="2">
        <f t="shared" si="6"/>
        <v>13.279999999999973</v>
      </c>
      <c r="O12" s="13">
        <v>43</v>
      </c>
      <c r="P12" s="2">
        <f t="shared" si="7"/>
        <v>6.1604584527220467</v>
      </c>
    </row>
    <row r="13" spans="3:21" x14ac:dyDescent="0.35">
      <c r="F13" s="2">
        <v>302.08999999999997</v>
      </c>
      <c r="G13" s="2">
        <v>308.48</v>
      </c>
      <c r="H13" s="2">
        <f t="shared" si="0"/>
        <v>6.3900000000000432</v>
      </c>
      <c r="I13" s="2">
        <f t="shared" si="1"/>
        <v>6.7699999999999818</v>
      </c>
      <c r="J13" s="2">
        <f t="shared" si="2"/>
        <v>0.48556231003039751</v>
      </c>
      <c r="K13" s="2">
        <f t="shared" si="3"/>
        <v>0.51443768996960249</v>
      </c>
      <c r="L13" s="2">
        <f t="shared" si="4"/>
        <v>0.15649452269170475</v>
      </c>
      <c r="M13" s="2">
        <f t="shared" si="5"/>
        <v>7.5987841945288612E-2</v>
      </c>
      <c r="N13" s="2">
        <f t="shared" si="6"/>
        <v>13.160000000000025</v>
      </c>
      <c r="O13" s="13">
        <v>53</v>
      </c>
      <c r="P13" s="2">
        <f t="shared" si="7"/>
        <v>8.2942097026603516</v>
      </c>
    </row>
    <row r="14" spans="3:21" x14ac:dyDescent="0.35">
      <c r="F14" s="2">
        <v>315.25</v>
      </c>
      <c r="G14" s="2">
        <v>323.11</v>
      </c>
      <c r="H14" s="2">
        <f t="shared" si="0"/>
        <v>7.8600000000000136</v>
      </c>
      <c r="I14" s="2">
        <f t="shared" si="1"/>
        <v>7.8499999999999659</v>
      </c>
      <c r="J14" s="2">
        <f t="shared" si="2"/>
        <v>0.50031826861871576</v>
      </c>
      <c r="K14" s="2">
        <f t="shared" si="3"/>
        <v>0.4996817313812843</v>
      </c>
      <c r="L14" s="2">
        <f t="shared" si="4"/>
        <v>0.12722646310432548</v>
      </c>
      <c r="M14" s="2">
        <f t="shared" si="5"/>
        <v>6.3653723742839036E-2</v>
      </c>
      <c r="N14" s="2">
        <f t="shared" si="6"/>
        <v>15.70999999999998</v>
      </c>
      <c r="O14" s="13">
        <v>57</v>
      </c>
      <c r="P14" s="2">
        <f t="shared" si="7"/>
        <v>7.2519083969465523</v>
      </c>
    </row>
    <row r="15" spans="3:21" x14ac:dyDescent="0.35">
      <c r="F15" s="2">
        <v>330.96</v>
      </c>
      <c r="G15" s="2">
        <v>339.39</v>
      </c>
      <c r="H15" s="2">
        <f t="shared" si="0"/>
        <v>8.4300000000000068</v>
      </c>
    </row>
    <row r="16" spans="3:21" x14ac:dyDescent="0.35">
      <c r="H16" s="49">
        <f t="shared" ref="H16:P16" si="8">AVERAGE(H6:H15)</f>
        <v>7.1090000000000062</v>
      </c>
      <c r="I16" s="49">
        <f t="shared" si="8"/>
        <v>7.4399999999999915</v>
      </c>
      <c r="J16" s="49">
        <f t="shared" si="8"/>
        <v>0.49138555778251891</v>
      </c>
      <c r="K16" s="49">
        <f t="shared" si="8"/>
        <v>0.50861444221748109</v>
      </c>
      <c r="L16" s="49">
        <f t="shared" si="8"/>
        <v>0.14404162949262864</v>
      </c>
      <c r="M16" s="49">
        <f t="shared" si="8"/>
        <v>7.0698509031698956E-2</v>
      </c>
      <c r="N16" s="49">
        <f t="shared" si="8"/>
        <v>14.402222222222219</v>
      </c>
      <c r="O16" s="49">
        <f t="shared" si="8"/>
        <v>47.666666666666664</v>
      </c>
      <c r="P16" s="49">
        <f t="shared" si="8"/>
        <v>6.8541328758214224</v>
      </c>
    </row>
    <row r="17" spans="2:21" x14ac:dyDescent="0.35">
      <c r="B17" s="8"/>
      <c r="C17" s="6" t="s">
        <v>24</v>
      </c>
    </row>
    <row r="18" spans="2:21" x14ac:dyDescent="0.35">
      <c r="B18" s="7"/>
      <c r="C18" s="6" t="s">
        <v>72</v>
      </c>
    </row>
    <row r="20" spans="2:21" ht="18.5" x14ac:dyDescent="0.45">
      <c r="F20" s="1" t="s">
        <v>15</v>
      </c>
    </row>
    <row r="21" spans="2:21" ht="16" thickBot="1" x14ac:dyDescent="0.4">
      <c r="B21" s="9" t="s">
        <v>18</v>
      </c>
      <c r="C21" s="9" t="s">
        <v>17</v>
      </c>
      <c r="D21" s="9" t="s">
        <v>20</v>
      </c>
      <c r="E21" s="5"/>
      <c r="F21" s="9" t="s">
        <v>1</v>
      </c>
      <c r="G21" s="9" t="s">
        <v>2</v>
      </c>
      <c r="H21" s="9" t="s">
        <v>3</v>
      </c>
      <c r="I21" s="9" t="s">
        <v>4</v>
      </c>
      <c r="J21" s="9" t="s">
        <v>5</v>
      </c>
      <c r="K21" s="9" t="s">
        <v>6</v>
      </c>
      <c r="L21" s="9" t="s">
        <v>7</v>
      </c>
      <c r="M21" s="9" t="s">
        <v>8</v>
      </c>
      <c r="N21" s="9" t="s">
        <v>9</v>
      </c>
      <c r="O21" s="9" t="s">
        <v>10</v>
      </c>
      <c r="P21" s="9" t="s">
        <v>297</v>
      </c>
      <c r="Q21" s="5"/>
      <c r="R21" s="9" t="s">
        <v>11</v>
      </c>
      <c r="S21" s="9" t="s">
        <v>12</v>
      </c>
      <c r="T21" s="9" t="s">
        <v>13</v>
      </c>
      <c r="U21" s="9" t="s">
        <v>14</v>
      </c>
    </row>
    <row r="22" spans="2:21" x14ac:dyDescent="0.35">
      <c r="B22" s="94">
        <v>353.72</v>
      </c>
      <c r="C22" s="95">
        <v>360.86</v>
      </c>
      <c r="D22" s="96">
        <f>C22-B22</f>
        <v>7.1399999999999864</v>
      </c>
      <c r="F22" s="92">
        <v>346.8</v>
      </c>
      <c r="G22" s="91">
        <v>353.03</v>
      </c>
      <c r="H22" s="91">
        <f>G22-F22</f>
        <v>6.2299999999999613</v>
      </c>
      <c r="I22" s="93">
        <f>F23-G22</f>
        <v>11.160000000000025</v>
      </c>
      <c r="J22" s="2">
        <f>H22/N22</f>
        <v>0.3582518688901648</v>
      </c>
      <c r="K22" s="2">
        <f>I22/N22</f>
        <v>0.6417481311098352</v>
      </c>
      <c r="L22" s="2">
        <f>1/H22</f>
        <v>0.16051364365971207</v>
      </c>
      <c r="M22" s="2">
        <f t="shared" ref="M22:M31" si="9">1/N22</f>
        <v>5.7504312823461808E-2</v>
      </c>
      <c r="N22" s="2">
        <f>F23-F22</f>
        <v>17.389999999999986</v>
      </c>
      <c r="O22" s="2">
        <v>44</v>
      </c>
      <c r="P22" s="2">
        <f>O22/H22</f>
        <v>7.0626003210273307</v>
      </c>
      <c r="R22" s="2" t="s">
        <v>23</v>
      </c>
    </row>
    <row r="23" spans="2:21" x14ac:dyDescent="0.35">
      <c r="B23" s="10">
        <v>372.13</v>
      </c>
      <c r="C23" s="11">
        <v>379.81</v>
      </c>
      <c r="D23" s="12">
        <f>C23-B23</f>
        <v>7.6800000000000068</v>
      </c>
      <c r="E23" s="13"/>
      <c r="F23" s="10">
        <v>364.19</v>
      </c>
      <c r="G23" s="11">
        <v>371.53</v>
      </c>
      <c r="H23" s="11">
        <f t="shared" ref="H23:H32" si="10">G23-F23</f>
        <v>7.339999999999975</v>
      </c>
      <c r="I23" s="12">
        <f t="shared" ref="I23:I31" si="11">F24-G23</f>
        <v>11.310000000000002</v>
      </c>
      <c r="J23" s="2">
        <f t="shared" ref="J23:J31" si="12">H23/N23</f>
        <v>0.39356568364611172</v>
      </c>
      <c r="K23" s="2">
        <f t="shared" ref="K23:K31" si="13">I23/N23</f>
        <v>0.60643431635388823</v>
      </c>
      <c r="L23" s="2">
        <f t="shared" ref="L23:L31" si="14">1/H23</f>
        <v>0.13623978201634923</v>
      </c>
      <c r="M23" s="2">
        <f t="shared" si="9"/>
        <v>5.3619302949061726E-2</v>
      </c>
      <c r="N23" s="2">
        <f t="shared" ref="N23:N31" si="15">F24-F23</f>
        <v>18.649999999999977</v>
      </c>
      <c r="O23" s="2">
        <v>53</v>
      </c>
      <c r="P23" s="2">
        <f t="shared" ref="P23:P31" si="16">O23/H23</f>
        <v>7.2207084468665093</v>
      </c>
    </row>
    <row r="24" spans="2:21" x14ac:dyDescent="0.35">
      <c r="B24" s="10">
        <v>389.4</v>
      </c>
      <c r="C24" s="11">
        <v>396.75</v>
      </c>
      <c r="D24" s="12">
        <f>C24-B24</f>
        <v>7.3500000000000227</v>
      </c>
      <c r="E24" s="13"/>
      <c r="F24" s="10">
        <v>382.84</v>
      </c>
      <c r="G24" s="11">
        <v>389.31</v>
      </c>
      <c r="H24" s="11">
        <f t="shared" si="10"/>
        <v>6.4700000000000273</v>
      </c>
      <c r="I24" s="12">
        <f t="shared" si="11"/>
        <v>11.79000000000002</v>
      </c>
      <c r="J24" s="2">
        <f t="shared" si="12"/>
        <v>0.35432639649507175</v>
      </c>
      <c r="K24" s="2">
        <f t="shared" si="13"/>
        <v>0.6456736035049282</v>
      </c>
      <c r="L24" s="2">
        <f t="shared" si="14"/>
        <v>0.15455950540958205</v>
      </c>
      <c r="M24" s="2">
        <f t="shared" si="9"/>
        <v>5.4764512595837755E-2</v>
      </c>
      <c r="N24" s="2">
        <f t="shared" si="15"/>
        <v>18.260000000000048</v>
      </c>
      <c r="O24" s="2">
        <v>47</v>
      </c>
      <c r="P24" s="2">
        <f t="shared" si="16"/>
        <v>7.2642967542503554</v>
      </c>
    </row>
    <row r="25" spans="2:21" x14ac:dyDescent="0.35">
      <c r="B25" s="323" t="s">
        <v>21</v>
      </c>
      <c r="C25" s="323"/>
      <c r="D25" s="323"/>
      <c r="E25" s="13"/>
      <c r="F25" s="13">
        <v>401.1</v>
      </c>
      <c r="G25" s="13">
        <v>408.68</v>
      </c>
      <c r="H25" s="13">
        <f t="shared" si="10"/>
        <v>7.5799999999999841</v>
      </c>
      <c r="I25" s="13">
        <f t="shared" si="11"/>
        <v>6.9300000000000068</v>
      </c>
      <c r="J25" s="2">
        <f t="shared" si="12"/>
        <v>0.52239834596829693</v>
      </c>
      <c r="K25" s="2">
        <f t="shared" si="13"/>
        <v>0.47760165403170307</v>
      </c>
      <c r="L25" s="2">
        <f t="shared" si="14"/>
        <v>0.13192612137203194</v>
      </c>
      <c r="M25" s="2">
        <f t="shared" si="9"/>
        <v>6.8917987594762281E-2</v>
      </c>
      <c r="N25" s="2">
        <f t="shared" si="15"/>
        <v>14.509999999999991</v>
      </c>
      <c r="O25" s="2">
        <v>56</v>
      </c>
      <c r="P25" s="2">
        <f t="shared" si="16"/>
        <v>7.3878627968337884</v>
      </c>
    </row>
    <row r="26" spans="2:21" x14ac:dyDescent="0.35">
      <c r="B26" s="10">
        <v>428.33</v>
      </c>
      <c r="C26" s="11">
        <v>430.3</v>
      </c>
      <c r="D26" s="12">
        <f>C26-B26</f>
        <v>1.9700000000000273</v>
      </c>
      <c r="E26" s="13"/>
      <c r="F26" s="10">
        <v>415.61</v>
      </c>
      <c r="G26" s="11">
        <v>423.35</v>
      </c>
      <c r="H26" s="11">
        <f t="shared" si="10"/>
        <v>7.7400000000000091</v>
      </c>
      <c r="I26" s="12">
        <f t="shared" si="11"/>
        <v>9.5</v>
      </c>
      <c r="J26" s="2">
        <f t="shared" si="12"/>
        <v>0.44895591647331817</v>
      </c>
      <c r="K26" s="2">
        <f t="shared" si="13"/>
        <v>0.55104408352668188</v>
      </c>
      <c r="L26" s="2">
        <f t="shared" si="14"/>
        <v>0.12919896640826858</v>
      </c>
      <c r="M26" s="2">
        <f t="shared" si="9"/>
        <v>5.8004640371229668E-2</v>
      </c>
      <c r="N26" s="2">
        <f t="shared" si="15"/>
        <v>17.240000000000009</v>
      </c>
      <c r="O26" s="2">
        <v>62</v>
      </c>
      <c r="P26" s="2">
        <f t="shared" si="16"/>
        <v>8.010335917312652</v>
      </c>
    </row>
    <row r="27" spans="2:21" x14ac:dyDescent="0.35">
      <c r="B27" s="10">
        <v>441.46</v>
      </c>
      <c r="C27" s="11">
        <v>450</v>
      </c>
      <c r="D27" s="12">
        <f>C27-B27</f>
        <v>8.5400000000000205</v>
      </c>
      <c r="E27" s="13"/>
      <c r="F27" s="10">
        <v>432.85</v>
      </c>
      <c r="G27" s="11">
        <v>440.65</v>
      </c>
      <c r="H27" s="11">
        <f t="shared" si="10"/>
        <v>7.7999999999999545</v>
      </c>
      <c r="I27" s="12">
        <f t="shared" si="11"/>
        <v>11</v>
      </c>
      <c r="J27" s="2">
        <f t="shared" si="12"/>
        <v>0.4148936170212752</v>
      </c>
      <c r="K27" s="2">
        <f t="shared" si="13"/>
        <v>0.58510638297872486</v>
      </c>
      <c r="L27" s="2">
        <f t="shared" si="14"/>
        <v>0.12820512820512894</v>
      </c>
      <c r="M27" s="2">
        <f t="shared" si="9"/>
        <v>5.3191489361702253E-2</v>
      </c>
      <c r="N27" s="2">
        <f t="shared" si="15"/>
        <v>18.799999999999955</v>
      </c>
      <c r="O27" s="2">
        <v>56</v>
      </c>
      <c r="P27" s="2">
        <f t="shared" si="16"/>
        <v>7.1794871794872215</v>
      </c>
    </row>
    <row r="28" spans="2:21" x14ac:dyDescent="0.35">
      <c r="B28" s="10">
        <v>460.05</v>
      </c>
      <c r="C28" s="11">
        <v>472.28</v>
      </c>
      <c r="D28" s="12">
        <f>C28-B28</f>
        <v>12.229999999999961</v>
      </c>
      <c r="E28" s="13"/>
      <c r="F28" s="94">
        <v>451.65</v>
      </c>
      <c r="G28" s="95">
        <v>459</v>
      </c>
      <c r="H28" s="95">
        <f t="shared" si="10"/>
        <v>7.3500000000000227</v>
      </c>
      <c r="I28" s="96">
        <f t="shared" si="11"/>
        <v>12.199999999999989</v>
      </c>
      <c r="J28" s="2">
        <f t="shared" si="12"/>
        <v>0.37595907928388839</v>
      </c>
      <c r="K28" s="2">
        <f t="shared" si="13"/>
        <v>0.62404092071611161</v>
      </c>
      <c r="L28" s="2">
        <f t="shared" si="14"/>
        <v>0.13605442176870705</v>
      </c>
      <c r="M28" s="2">
        <f t="shared" si="9"/>
        <v>5.1150895140664933E-2</v>
      </c>
      <c r="N28" s="2">
        <f t="shared" si="15"/>
        <v>19.550000000000011</v>
      </c>
      <c r="O28" s="2">
        <v>54</v>
      </c>
      <c r="P28" s="2">
        <f t="shared" si="16"/>
        <v>7.3469387755101812</v>
      </c>
    </row>
    <row r="29" spans="2:21" x14ac:dyDescent="0.35">
      <c r="B29" s="323" t="s">
        <v>21</v>
      </c>
      <c r="C29" s="323"/>
      <c r="D29" s="323"/>
      <c r="E29" s="13"/>
      <c r="F29" s="13">
        <v>471.2</v>
      </c>
      <c r="G29" s="13">
        <v>478.19</v>
      </c>
      <c r="H29" s="13">
        <f t="shared" si="10"/>
        <v>6.9900000000000091</v>
      </c>
      <c r="I29" s="13">
        <f t="shared" si="11"/>
        <v>5.9599999999999795</v>
      </c>
      <c r="J29" s="2">
        <f t="shared" si="12"/>
        <v>0.53976833976834093</v>
      </c>
      <c r="K29" s="2">
        <f t="shared" si="13"/>
        <v>0.46023166023165907</v>
      </c>
      <c r="L29" s="2">
        <f t="shared" si="14"/>
        <v>0.14306151645207421</v>
      </c>
      <c r="M29" s="2">
        <f t="shared" si="9"/>
        <v>7.7220077220077288E-2</v>
      </c>
      <c r="N29" s="2">
        <f t="shared" si="15"/>
        <v>12.949999999999989</v>
      </c>
      <c r="O29" s="2">
        <v>51</v>
      </c>
      <c r="P29" s="2">
        <f t="shared" si="16"/>
        <v>7.2961373390557842</v>
      </c>
    </row>
    <row r="30" spans="2:21" x14ac:dyDescent="0.35">
      <c r="B30" s="10">
        <v>495.28</v>
      </c>
      <c r="C30" s="11">
        <v>505.26</v>
      </c>
      <c r="D30" s="12">
        <f>C30-B30</f>
        <v>9.9800000000000182</v>
      </c>
      <c r="E30" s="13"/>
      <c r="F30" s="10">
        <v>484.15</v>
      </c>
      <c r="G30" s="11">
        <v>494.29</v>
      </c>
      <c r="H30" s="11">
        <f t="shared" si="10"/>
        <v>10.140000000000043</v>
      </c>
      <c r="I30" s="12">
        <f t="shared" si="11"/>
        <v>12.46999999999997</v>
      </c>
      <c r="J30" s="2">
        <f t="shared" si="12"/>
        <v>0.44847412649270396</v>
      </c>
      <c r="K30" s="2">
        <f t="shared" si="13"/>
        <v>0.55152587350729598</v>
      </c>
      <c r="L30" s="2">
        <f t="shared" si="14"/>
        <v>9.8619329388559732E-2</v>
      </c>
      <c r="M30" s="2">
        <f t="shared" si="9"/>
        <v>4.4228217602830577E-2</v>
      </c>
      <c r="N30" s="2">
        <f t="shared" si="15"/>
        <v>22.610000000000014</v>
      </c>
      <c r="O30" s="2">
        <v>89</v>
      </c>
      <c r="P30" s="2">
        <f t="shared" si="16"/>
        <v>8.7771203155818167</v>
      </c>
    </row>
    <row r="31" spans="2:21" x14ac:dyDescent="0.35">
      <c r="B31" s="323" t="s">
        <v>21</v>
      </c>
      <c r="C31" s="323"/>
      <c r="D31" s="323"/>
      <c r="E31" s="13"/>
      <c r="F31" s="13">
        <v>506.76</v>
      </c>
      <c r="G31" s="13">
        <v>514.98</v>
      </c>
      <c r="H31" s="13">
        <f t="shared" si="10"/>
        <v>8.2200000000000273</v>
      </c>
      <c r="I31" s="13">
        <f t="shared" si="11"/>
        <v>6.4700000000000273</v>
      </c>
      <c r="J31" s="2">
        <f t="shared" si="12"/>
        <v>0.55956432947583368</v>
      </c>
      <c r="K31" s="2">
        <f t="shared" si="13"/>
        <v>0.44043567052416632</v>
      </c>
      <c r="L31" s="2">
        <f t="shared" si="14"/>
        <v>0.12165450121654461</v>
      </c>
      <c r="M31" s="2">
        <f t="shared" si="9"/>
        <v>6.807351940095277E-2</v>
      </c>
      <c r="N31" s="2">
        <f t="shared" si="15"/>
        <v>14.690000000000055</v>
      </c>
      <c r="O31" s="2">
        <v>59</v>
      </c>
      <c r="P31" s="2">
        <f t="shared" si="16"/>
        <v>7.1776155717761316</v>
      </c>
    </row>
    <row r="32" spans="2:21" x14ac:dyDescent="0.35">
      <c r="D32" s="2">
        <f>AVERAGE(D22:D30)</f>
        <v>7.8414285714285779</v>
      </c>
      <c r="F32" s="2">
        <v>521.45000000000005</v>
      </c>
      <c r="G32" s="2">
        <v>530.39</v>
      </c>
      <c r="H32" s="2">
        <f t="shared" si="10"/>
        <v>8.9399999999999409</v>
      </c>
    </row>
    <row r="33" spans="2:21" x14ac:dyDescent="0.35">
      <c r="G33" s="3" t="s">
        <v>20</v>
      </c>
      <c r="H33" s="49">
        <f>AVERAGE(H22:H24,H26:H28,H30)</f>
        <v>7.5814285714285701</v>
      </c>
      <c r="I33" s="49">
        <f t="shared" ref="I33:N33" si="17">AVERAGE(I22:I24,I26:I28,I30)</f>
        <v>11.347142857142858</v>
      </c>
      <c r="J33" s="49">
        <f t="shared" si="17"/>
        <v>0.39920381261464766</v>
      </c>
      <c r="K33" s="49">
        <f t="shared" si="17"/>
        <v>0.60079618738535234</v>
      </c>
      <c r="L33" s="49">
        <f t="shared" si="17"/>
        <v>0.13477011097947253</v>
      </c>
      <c r="M33" s="49">
        <f t="shared" si="17"/>
        <v>5.3209052977826965E-2</v>
      </c>
      <c r="N33" s="49">
        <f t="shared" si="17"/>
        <v>18.928571428571427</v>
      </c>
      <c r="O33" s="49">
        <f>AVERAGE(O22:O24,O26:O28,O30)</f>
        <v>57.857142857142854</v>
      </c>
      <c r="P33" s="49">
        <f>AVERAGE(P22:P24,P26:P28,P30)</f>
        <v>7.5516411014337237</v>
      </c>
    </row>
    <row r="34" spans="2:21" x14ac:dyDescent="0.35">
      <c r="G34" s="3" t="s">
        <v>75</v>
      </c>
      <c r="H34" s="13">
        <f>AVERAGE(H25,H29,H31)</f>
        <v>7.5966666666666738</v>
      </c>
      <c r="I34" s="13">
        <f t="shared" ref="I34:N34" si="18">AVERAGE(I25,I29,I31)</f>
        <v>6.4533333333333376</v>
      </c>
      <c r="J34" s="13">
        <f t="shared" si="18"/>
        <v>0.54057700507082385</v>
      </c>
      <c r="K34" s="13">
        <f t="shared" si="18"/>
        <v>0.45942299492917615</v>
      </c>
      <c r="L34" s="13">
        <f t="shared" si="18"/>
        <v>0.13221404634688361</v>
      </c>
      <c r="M34" s="13">
        <f t="shared" si="18"/>
        <v>7.1403861405264113E-2</v>
      </c>
      <c r="N34" s="13">
        <f t="shared" si="18"/>
        <v>14.050000000000011</v>
      </c>
      <c r="O34" s="13">
        <f>AVERAGE(O25,O29,O31)</f>
        <v>55.333333333333336</v>
      </c>
      <c r="P34" s="13">
        <f>AVERAGE(P25,P29,P31)</f>
        <v>7.2872052358885684</v>
      </c>
    </row>
    <row r="35" spans="2:21" x14ac:dyDescent="0.35">
      <c r="G35" s="3" t="s">
        <v>94</v>
      </c>
      <c r="H35" s="2">
        <f>_xlfn.STDEV.S(H22:H24,H26:H28,H30)</f>
        <v>1.2775422833371632</v>
      </c>
    </row>
    <row r="37" spans="2:21" ht="18.5" x14ac:dyDescent="0.45">
      <c r="F37" s="1" t="s">
        <v>22</v>
      </c>
    </row>
    <row r="38" spans="2:21" ht="16" thickBot="1" x14ac:dyDescent="0.4">
      <c r="B38" s="9" t="s">
        <v>18</v>
      </c>
      <c r="C38" s="9" t="s">
        <v>17</v>
      </c>
      <c r="D38" s="9" t="s">
        <v>20</v>
      </c>
      <c r="E38" s="14"/>
      <c r="F38" s="9" t="s">
        <v>1</v>
      </c>
      <c r="G38" s="9" t="s">
        <v>2</v>
      </c>
      <c r="H38" s="9" t="s">
        <v>3</v>
      </c>
      <c r="I38" s="9" t="s">
        <v>4</v>
      </c>
      <c r="J38" s="9" t="s">
        <v>5</v>
      </c>
      <c r="K38" s="9" t="s">
        <v>6</v>
      </c>
      <c r="L38" s="9" t="s">
        <v>7</v>
      </c>
      <c r="M38" s="9" t="s">
        <v>8</v>
      </c>
      <c r="N38" s="9" t="s">
        <v>9</v>
      </c>
      <c r="O38" s="9" t="s">
        <v>10</v>
      </c>
      <c r="P38" s="9" t="s">
        <v>297</v>
      </c>
      <c r="R38" s="9" t="s">
        <v>11</v>
      </c>
      <c r="S38" s="9" t="s">
        <v>12</v>
      </c>
      <c r="T38" s="9" t="s">
        <v>13</v>
      </c>
      <c r="U38" s="9" t="s">
        <v>14</v>
      </c>
    </row>
    <row r="39" spans="2:21" x14ac:dyDescent="0.35">
      <c r="B39" s="94">
        <v>538.78</v>
      </c>
      <c r="C39" s="95">
        <v>543.91</v>
      </c>
      <c r="D39" s="96">
        <f>C39-B39</f>
        <v>5.1299999999999955</v>
      </c>
      <c r="E39" s="13"/>
      <c r="F39" s="94">
        <v>538.09</v>
      </c>
      <c r="G39" s="95">
        <v>542.04999999999995</v>
      </c>
      <c r="H39" s="95">
        <f>G39-F39</f>
        <v>3.9599999999999227</v>
      </c>
      <c r="I39" s="96">
        <f>F40-G39</f>
        <v>8.4600000000000364</v>
      </c>
      <c r="J39" s="2">
        <f>H39/N39</f>
        <v>0.31884057971013974</v>
      </c>
      <c r="K39" s="2">
        <f>I39/N39</f>
        <v>0.68115942028986021</v>
      </c>
      <c r="L39" s="2">
        <f>1/H39</f>
        <v>0.25252525252525748</v>
      </c>
      <c r="M39" s="2">
        <f t="shared" ref="M39:M56" si="19">1/N39</f>
        <v>8.0515297906602515E-2</v>
      </c>
      <c r="N39" s="2">
        <f>F40-F39</f>
        <v>12.419999999999959</v>
      </c>
      <c r="O39" s="2">
        <v>30</v>
      </c>
      <c r="P39" s="2">
        <f>O39/H39</f>
        <v>7.5757575757577236</v>
      </c>
      <c r="R39" s="2" t="s">
        <v>23</v>
      </c>
    </row>
    <row r="40" spans="2:21" x14ac:dyDescent="0.35">
      <c r="B40" s="10">
        <v>551.04999999999995</v>
      </c>
      <c r="C40" s="11">
        <v>555.85</v>
      </c>
      <c r="D40" s="12">
        <f t="shared" ref="D40:D45" si="20">C40-B40</f>
        <v>4.8000000000000682</v>
      </c>
      <c r="E40" s="13"/>
      <c r="F40" s="10">
        <v>550.51</v>
      </c>
      <c r="G40" s="11">
        <v>555.46</v>
      </c>
      <c r="H40" s="11">
        <f t="shared" ref="H40:H57" si="21">G40-F40</f>
        <v>4.9500000000000455</v>
      </c>
      <c r="I40" s="12">
        <f t="shared" ref="I40:I56" si="22">F41-G40</f>
        <v>7.5199999999999818</v>
      </c>
      <c r="J40" s="2">
        <f t="shared" ref="J40:J56" si="23">H40/N40</f>
        <v>0.39695268644747672</v>
      </c>
      <c r="K40" s="2">
        <f t="shared" ref="K40:K56" si="24">I40/N40</f>
        <v>0.60304731355252328</v>
      </c>
      <c r="L40" s="2">
        <f t="shared" ref="L40:L56" si="25">1/H40</f>
        <v>0.20202020202020016</v>
      </c>
      <c r="M40" s="2">
        <f t="shared" si="19"/>
        <v>8.0192461908580412E-2</v>
      </c>
      <c r="N40" s="2">
        <f t="shared" ref="N40:N56" si="26">F41-F40</f>
        <v>12.470000000000027</v>
      </c>
      <c r="O40" s="2">
        <v>40</v>
      </c>
      <c r="P40" s="2">
        <f t="shared" ref="P40:P56" si="27">O40/H40</f>
        <v>8.0808080808080067</v>
      </c>
    </row>
    <row r="41" spans="2:21" x14ac:dyDescent="0.35">
      <c r="B41" s="15">
        <v>563.64</v>
      </c>
      <c r="C41" s="16">
        <v>567.45000000000005</v>
      </c>
      <c r="D41" s="17">
        <f t="shared" si="20"/>
        <v>3.8100000000000591</v>
      </c>
      <c r="E41" s="13"/>
      <c r="F41" s="15">
        <v>562.98</v>
      </c>
      <c r="G41" s="16">
        <v>568.38</v>
      </c>
      <c r="H41" s="16">
        <f t="shared" si="21"/>
        <v>5.3999999999999773</v>
      </c>
      <c r="I41" s="17">
        <f t="shared" si="22"/>
        <v>8.4800000000000182</v>
      </c>
      <c r="J41" s="2">
        <f t="shared" si="23"/>
        <v>0.38904899135446536</v>
      </c>
      <c r="K41" s="2">
        <f t="shared" si="24"/>
        <v>0.61095100864553464</v>
      </c>
      <c r="L41" s="2">
        <f t="shared" si="25"/>
        <v>0.18518518518518595</v>
      </c>
      <c r="M41" s="2">
        <f t="shared" si="19"/>
        <v>7.2046109510086484E-2</v>
      </c>
      <c r="N41" s="2">
        <f t="shared" si="26"/>
        <v>13.879999999999995</v>
      </c>
      <c r="O41" s="2">
        <v>40</v>
      </c>
      <c r="P41" s="2">
        <f t="shared" si="27"/>
        <v>7.4074074074074385</v>
      </c>
    </row>
    <row r="42" spans="2:21" x14ac:dyDescent="0.35">
      <c r="B42" s="10">
        <v>577.34</v>
      </c>
      <c r="C42" s="11">
        <v>583.73</v>
      </c>
      <c r="D42" s="12">
        <f t="shared" si="20"/>
        <v>6.3899999999999864</v>
      </c>
      <c r="E42" s="13"/>
      <c r="F42" s="10">
        <v>576.86</v>
      </c>
      <c r="G42" s="11">
        <v>582.20000000000005</v>
      </c>
      <c r="H42" s="11">
        <f t="shared" si="21"/>
        <v>5.3400000000000318</v>
      </c>
      <c r="I42" s="12">
        <f t="shared" si="22"/>
        <v>7.7400000000000091</v>
      </c>
      <c r="J42" s="2">
        <f t="shared" si="23"/>
        <v>0.40825688073394611</v>
      </c>
      <c r="K42" s="2">
        <f t="shared" si="24"/>
        <v>0.59174311926605394</v>
      </c>
      <c r="L42" s="2">
        <f t="shared" si="25"/>
        <v>0.18726591760299513</v>
      </c>
      <c r="M42" s="2">
        <f t="shared" si="19"/>
        <v>7.6452599388378964E-2</v>
      </c>
      <c r="N42" s="2">
        <f t="shared" si="26"/>
        <v>13.080000000000041</v>
      </c>
      <c r="O42" s="2">
        <v>41</v>
      </c>
      <c r="P42" s="2">
        <f t="shared" si="27"/>
        <v>7.6779026217228008</v>
      </c>
    </row>
    <row r="43" spans="2:21" x14ac:dyDescent="0.35">
      <c r="B43" s="15">
        <v>591.08000000000004</v>
      </c>
      <c r="C43" s="16">
        <v>594.82000000000005</v>
      </c>
      <c r="D43" s="17">
        <f t="shared" si="20"/>
        <v>3.7400000000000091</v>
      </c>
      <c r="E43" s="13"/>
      <c r="F43" s="15">
        <v>589.94000000000005</v>
      </c>
      <c r="G43" s="16">
        <v>595.24</v>
      </c>
      <c r="H43" s="16">
        <f t="shared" si="21"/>
        <v>5.2999999999999545</v>
      </c>
      <c r="I43" s="17">
        <f t="shared" si="22"/>
        <v>7.6499999999999773</v>
      </c>
      <c r="J43" s="2">
        <f t="shared" si="23"/>
        <v>0.40926640926640789</v>
      </c>
      <c r="K43" s="2">
        <f t="shared" si="24"/>
        <v>0.59073359073359211</v>
      </c>
      <c r="L43" s="2">
        <f t="shared" si="25"/>
        <v>0.18867924528302049</v>
      </c>
      <c r="M43" s="2">
        <f t="shared" si="19"/>
        <v>7.7220077220077621E-2</v>
      </c>
      <c r="N43" s="2">
        <f t="shared" si="26"/>
        <v>12.949999999999932</v>
      </c>
      <c r="O43" s="2">
        <v>40</v>
      </c>
      <c r="P43" s="2">
        <f t="shared" si="27"/>
        <v>7.5471698113208197</v>
      </c>
    </row>
    <row r="44" spans="2:21" x14ac:dyDescent="0.35">
      <c r="B44" s="15">
        <v>603.49</v>
      </c>
      <c r="C44" s="16">
        <v>607</v>
      </c>
      <c r="D44" s="17">
        <f t="shared" si="20"/>
        <v>3.5099999999999909</v>
      </c>
      <c r="E44" s="13"/>
      <c r="F44" s="15">
        <v>602.89</v>
      </c>
      <c r="G44" s="16">
        <v>608.35</v>
      </c>
      <c r="H44" s="16">
        <f t="shared" si="21"/>
        <v>5.4600000000000364</v>
      </c>
      <c r="I44" s="17">
        <f t="shared" si="22"/>
        <v>7.5499999999999545</v>
      </c>
      <c r="J44" s="2">
        <f t="shared" si="23"/>
        <v>0.41967717140661337</v>
      </c>
      <c r="K44" s="2">
        <f t="shared" si="24"/>
        <v>0.58032282859338657</v>
      </c>
      <c r="L44" s="2">
        <f t="shared" si="25"/>
        <v>0.18315018315018192</v>
      </c>
      <c r="M44" s="2">
        <f t="shared" si="19"/>
        <v>7.6863950807071535E-2</v>
      </c>
      <c r="N44" s="2">
        <f t="shared" si="26"/>
        <v>13.009999999999991</v>
      </c>
      <c r="O44" s="2">
        <v>40</v>
      </c>
      <c r="P44" s="2">
        <f t="shared" si="27"/>
        <v>7.3260073260072769</v>
      </c>
    </row>
    <row r="45" spans="2:21" x14ac:dyDescent="0.35">
      <c r="B45" s="10">
        <v>616.39</v>
      </c>
      <c r="C45" s="11">
        <v>621.01</v>
      </c>
      <c r="D45" s="12">
        <f t="shared" si="20"/>
        <v>4.6200000000000045</v>
      </c>
      <c r="E45" s="13"/>
      <c r="F45" s="10">
        <v>615.9</v>
      </c>
      <c r="G45" s="11">
        <v>620.49</v>
      </c>
      <c r="H45" s="11">
        <f t="shared" si="21"/>
        <v>4.5900000000000318</v>
      </c>
      <c r="I45" s="12">
        <f t="shared" si="22"/>
        <v>8.2200000000000273</v>
      </c>
      <c r="J45" s="2">
        <f t="shared" si="23"/>
        <v>0.35831381733021161</v>
      </c>
      <c r="K45" s="2">
        <f t="shared" si="24"/>
        <v>0.64168618266978839</v>
      </c>
      <c r="L45" s="2">
        <f t="shared" si="25"/>
        <v>0.21786492374727517</v>
      </c>
      <c r="M45" s="2">
        <f t="shared" si="19"/>
        <v>7.8064012490241641E-2</v>
      </c>
      <c r="N45" s="2">
        <f t="shared" si="26"/>
        <v>12.810000000000059</v>
      </c>
      <c r="O45" s="2">
        <v>37</v>
      </c>
      <c r="P45" s="2">
        <f t="shared" si="27"/>
        <v>8.061002178649181</v>
      </c>
    </row>
    <row r="46" spans="2:21" x14ac:dyDescent="0.35">
      <c r="B46" s="323" t="s">
        <v>21</v>
      </c>
      <c r="C46" s="323"/>
      <c r="D46" s="323"/>
      <c r="E46" s="13"/>
      <c r="F46" s="13">
        <v>628.71</v>
      </c>
      <c r="G46" s="13">
        <v>637.5</v>
      </c>
      <c r="H46" s="13">
        <f t="shared" si="21"/>
        <v>8.7899999999999636</v>
      </c>
      <c r="I46" s="13">
        <f t="shared" si="22"/>
        <v>7.5800000000000409</v>
      </c>
      <c r="J46" s="2">
        <f t="shared" si="23"/>
        <v>0.53695784972510452</v>
      </c>
      <c r="K46" s="2">
        <f t="shared" si="24"/>
        <v>0.46304215027489548</v>
      </c>
      <c r="L46" s="2">
        <f t="shared" si="25"/>
        <v>0.11376564277588215</v>
      </c>
      <c r="M46" s="2">
        <f t="shared" si="19"/>
        <v>6.1087354917532054E-2</v>
      </c>
      <c r="N46" s="2">
        <f t="shared" si="26"/>
        <v>16.370000000000005</v>
      </c>
      <c r="O46" s="2">
        <v>66</v>
      </c>
      <c r="P46" s="2">
        <f t="shared" si="27"/>
        <v>7.508532423208222</v>
      </c>
    </row>
    <row r="47" spans="2:21" x14ac:dyDescent="0.35">
      <c r="B47" s="323" t="s">
        <v>21</v>
      </c>
      <c r="C47" s="323"/>
      <c r="D47" s="323"/>
      <c r="E47" s="13"/>
      <c r="F47" s="13">
        <v>645.08000000000004</v>
      </c>
      <c r="G47" s="13">
        <v>653.4</v>
      </c>
      <c r="H47" s="13">
        <f t="shared" si="21"/>
        <v>8.3199999999999363</v>
      </c>
      <c r="I47" s="13">
        <f t="shared" si="22"/>
        <v>6.8799999999999955</v>
      </c>
      <c r="J47" s="2">
        <f t="shared" si="23"/>
        <v>0.54736842105262984</v>
      </c>
      <c r="K47" s="2">
        <f t="shared" si="24"/>
        <v>0.45263157894737016</v>
      </c>
      <c r="L47" s="2">
        <f t="shared" si="25"/>
        <v>0.12019230769230861</v>
      </c>
      <c r="M47" s="2">
        <f t="shared" si="19"/>
        <v>6.5789473684210828E-2</v>
      </c>
      <c r="N47" s="2">
        <f t="shared" si="26"/>
        <v>15.199999999999932</v>
      </c>
      <c r="O47" s="2">
        <v>69</v>
      </c>
      <c r="P47" s="2">
        <f t="shared" si="27"/>
        <v>8.2932692307692939</v>
      </c>
    </row>
    <row r="48" spans="2:21" x14ac:dyDescent="0.35">
      <c r="B48" s="323" t="s">
        <v>21</v>
      </c>
      <c r="C48" s="323"/>
      <c r="D48" s="323"/>
      <c r="E48" s="13"/>
      <c r="F48" s="13">
        <v>660.28</v>
      </c>
      <c r="G48" s="13">
        <v>668.24</v>
      </c>
      <c r="H48" s="13">
        <f t="shared" si="21"/>
        <v>7.9600000000000364</v>
      </c>
      <c r="I48" s="13">
        <f t="shared" si="22"/>
        <v>8.7799999999999727</v>
      </c>
      <c r="J48" s="2">
        <f t="shared" si="23"/>
        <v>0.47550776583034837</v>
      </c>
      <c r="K48" s="2">
        <f t="shared" si="24"/>
        <v>0.52449223416965163</v>
      </c>
      <c r="L48" s="2">
        <f t="shared" si="25"/>
        <v>0.12562814070351702</v>
      </c>
      <c r="M48" s="2">
        <f t="shared" si="19"/>
        <v>5.9737156511350024E-2</v>
      </c>
      <c r="N48" s="2">
        <f t="shared" si="26"/>
        <v>16.740000000000009</v>
      </c>
      <c r="O48" s="2">
        <v>64</v>
      </c>
      <c r="P48" s="2">
        <f t="shared" si="27"/>
        <v>8.0402010050250894</v>
      </c>
    </row>
    <row r="49" spans="2:16" x14ac:dyDescent="0.35">
      <c r="B49" s="323" t="s">
        <v>21</v>
      </c>
      <c r="C49" s="323"/>
      <c r="D49" s="323"/>
      <c r="E49" s="13"/>
      <c r="F49" s="13">
        <v>677.02</v>
      </c>
      <c r="G49" s="13">
        <v>686.46</v>
      </c>
      <c r="H49" s="13">
        <f t="shared" si="21"/>
        <v>9.4400000000000546</v>
      </c>
      <c r="I49" s="13">
        <f t="shared" si="22"/>
        <v>8.2999999999999545</v>
      </c>
      <c r="J49" s="2">
        <f t="shared" si="23"/>
        <v>0.53213077790304675</v>
      </c>
      <c r="K49" s="2">
        <f t="shared" si="24"/>
        <v>0.46786922209695325</v>
      </c>
      <c r="L49" s="2">
        <f t="shared" si="25"/>
        <v>0.10593220338982989</v>
      </c>
      <c r="M49" s="2">
        <f t="shared" si="19"/>
        <v>5.6369785794813949E-2</v>
      </c>
      <c r="N49" s="2">
        <f t="shared" si="26"/>
        <v>17.740000000000009</v>
      </c>
      <c r="O49" s="2">
        <v>75</v>
      </c>
      <c r="P49" s="2">
        <f t="shared" si="27"/>
        <v>7.9449152542372419</v>
      </c>
    </row>
    <row r="50" spans="2:16" x14ac:dyDescent="0.35">
      <c r="B50" s="10">
        <v>695.74</v>
      </c>
      <c r="C50" s="11">
        <v>701.14</v>
      </c>
      <c r="D50" s="12">
        <f>C50-B50</f>
        <v>5.3999999999999773</v>
      </c>
      <c r="E50" s="13"/>
      <c r="F50" s="10">
        <v>694.76</v>
      </c>
      <c r="G50" s="11">
        <v>699.05</v>
      </c>
      <c r="H50" s="11">
        <f t="shared" si="21"/>
        <v>4.2899999999999636</v>
      </c>
      <c r="I50" s="12">
        <f t="shared" si="22"/>
        <v>10.190000000000055</v>
      </c>
      <c r="J50" s="2">
        <f t="shared" si="23"/>
        <v>0.29627071823204132</v>
      </c>
      <c r="K50" s="2">
        <f t="shared" si="24"/>
        <v>0.70372928176795868</v>
      </c>
      <c r="L50" s="2">
        <f t="shared" si="25"/>
        <v>0.23310023310023509</v>
      </c>
      <c r="M50" s="2">
        <f t="shared" si="19"/>
        <v>6.906077348066289E-2</v>
      </c>
      <c r="N50" s="2">
        <f t="shared" si="26"/>
        <v>14.480000000000018</v>
      </c>
      <c r="O50" s="2">
        <v>35</v>
      </c>
      <c r="P50" s="2">
        <f t="shared" si="27"/>
        <v>8.1585081585082282</v>
      </c>
    </row>
    <row r="51" spans="2:16" x14ac:dyDescent="0.35">
      <c r="B51" s="15">
        <v>709.71</v>
      </c>
      <c r="C51" s="16">
        <v>712.21</v>
      </c>
      <c r="D51" s="17">
        <f>C51-B51</f>
        <v>2.5</v>
      </c>
      <c r="E51" s="13"/>
      <c r="F51" s="15">
        <v>709.24</v>
      </c>
      <c r="G51" s="16">
        <v>715.65</v>
      </c>
      <c r="H51" s="16">
        <f t="shared" si="21"/>
        <v>6.4099999999999682</v>
      </c>
      <c r="I51" s="17">
        <f t="shared" si="22"/>
        <v>8.0400000000000773</v>
      </c>
      <c r="J51" s="2">
        <f t="shared" si="23"/>
        <v>0.44359861591695143</v>
      </c>
      <c r="K51" s="2">
        <f t="shared" si="24"/>
        <v>0.55640138408304862</v>
      </c>
      <c r="L51" s="2">
        <f t="shared" si="25"/>
        <v>0.15600624024961077</v>
      </c>
      <c r="M51" s="2">
        <f t="shared" si="19"/>
        <v>6.9204152249134732E-2</v>
      </c>
      <c r="N51" s="2">
        <f t="shared" si="26"/>
        <v>14.450000000000045</v>
      </c>
      <c r="O51" s="2">
        <v>47</v>
      </c>
      <c r="P51" s="2">
        <f t="shared" si="27"/>
        <v>7.3322932917317054</v>
      </c>
    </row>
    <row r="52" spans="2:16" x14ac:dyDescent="0.35">
      <c r="B52" s="10">
        <v>724.31</v>
      </c>
      <c r="C52" s="11">
        <v>729.27</v>
      </c>
      <c r="D52" s="12">
        <f>C52-B52</f>
        <v>4.9600000000000364</v>
      </c>
      <c r="E52" s="13"/>
      <c r="F52" s="10">
        <v>723.69</v>
      </c>
      <c r="G52" s="11">
        <v>728.14</v>
      </c>
      <c r="H52" s="11">
        <f t="shared" si="21"/>
        <v>4.4499999999999318</v>
      </c>
      <c r="I52" s="12">
        <f t="shared" si="22"/>
        <v>8.1200000000000045</v>
      </c>
      <c r="J52" s="2">
        <f t="shared" si="23"/>
        <v>0.35401750198885873</v>
      </c>
      <c r="K52" s="2">
        <f t="shared" si="24"/>
        <v>0.64598249801114127</v>
      </c>
      <c r="L52" s="2">
        <f t="shared" si="25"/>
        <v>0.22471910112359894</v>
      </c>
      <c r="M52" s="2">
        <f t="shared" si="19"/>
        <v>7.9554494828958239E-2</v>
      </c>
      <c r="N52" s="2">
        <f t="shared" si="26"/>
        <v>12.569999999999936</v>
      </c>
      <c r="O52" s="2">
        <v>37</v>
      </c>
      <c r="P52" s="2">
        <f t="shared" si="27"/>
        <v>8.3146067415731615</v>
      </c>
    </row>
    <row r="53" spans="2:16" x14ac:dyDescent="0.35">
      <c r="B53" s="10">
        <v>736.95</v>
      </c>
      <c r="C53" s="11">
        <v>741.14</v>
      </c>
      <c r="D53" s="12">
        <f>C53-B53</f>
        <v>4.1899999999999409</v>
      </c>
      <c r="E53" s="13"/>
      <c r="F53" s="10">
        <v>736.26</v>
      </c>
      <c r="G53" s="11">
        <v>740.32</v>
      </c>
      <c r="H53" s="11">
        <f t="shared" si="21"/>
        <v>4.0600000000000591</v>
      </c>
      <c r="I53" s="12">
        <f t="shared" si="22"/>
        <v>8.3899999999999864</v>
      </c>
      <c r="J53" s="2">
        <f t="shared" si="23"/>
        <v>0.32610441767068626</v>
      </c>
      <c r="K53" s="2">
        <f t="shared" si="24"/>
        <v>0.67389558232931368</v>
      </c>
      <c r="L53" s="2">
        <f t="shared" si="25"/>
        <v>0.24630541871920825</v>
      </c>
      <c r="M53" s="2">
        <f t="shared" si="19"/>
        <v>8.0321285140561957E-2</v>
      </c>
      <c r="N53" s="2">
        <f t="shared" si="26"/>
        <v>12.450000000000045</v>
      </c>
      <c r="O53" s="2">
        <v>33</v>
      </c>
      <c r="P53" s="2">
        <f t="shared" si="27"/>
        <v>8.1280788177338721</v>
      </c>
    </row>
    <row r="54" spans="2:16" x14ac:dyDescent="0.35">
      <c r="B54" s="323" t="s">
        <v>21</v>
      </c>
      <c r="C54" s="323"/>
      <c r="D54" s="323"/>
      <c r="E54" s="13"/>
      <c r="F54" s="13">
        <v>748.71</v>
      </c>
      <c r="G54" s="13">
        <v>758.17</v>
      </c>
      <c r="H54" s="13">
        <f t="shared" si="21"/>
        <v>9.4599999999999227</v>
      </c>
      <c r="I54" s="13">
        <f t="shared" si="22"/>
        <v>8.3899999999999864</v>
      </c>
      <c r="J54" s="2">
        <f t="shared" si="23"/>
        <v>0.52997198879551655</v>
      </c>
      <c r="K54" s="2">
        <f t="shared" si="24"/>
        <v>0.4700280112044834</v>
      </c>
      <c r="L54" s="2">
        <f t="shared" si="25"/>
        <v>0.10570824524312983</v>
      </c>
      <c r="M54" s="2">
        <f t="shared" si="19"/>
        <v>5.6022408963585721E-2</v>
      </c>
      <c r="N54" s="2">
        <f t="shared" si="26"/>
        <v>17.849999999999909</v>
      </c>
      <c r="O54" s="2">
        <v>74</v>
      </c>
      <c r="P54" s="2">
        <f t="shared" si="27"/>
        <v>7.8224101479916071</v>
      </c>
    </row>
    <row r="55" spans="2:16" x14ac:dyDescent="0.35">
      <c r="B55" s="323" t="s">
        <v>21</v>
      </c>
      <c r="C55" s="323"/>
      <c r="D55" s="323"/>
      <c r="E55" s="13"/>
      <c r="F55" s="13">
        <v>766.56</v>
      </c>
      <c r="G55" s="13">
        <v>774.57</v>
      </c>
      <c r="H55" s="13">
        <f t="shared" si="21"/>
        <v>8.0100000000001046</v>
      </c>
      <c r="I55" s="13">
        <f t="shared" si="22"/>
        <v>8.7399999999998954</v>
      </c>
      <c r="J55" s="2">
        <f t="shared" si="23"/>
        <v>0.47820895522388684</v>
      </c>
      <c r="K55" s="2">
        <f t="shared" si="24"/>
        <v>0.52179104477611316</v>
      </c>
      <c r="L55" s="2">
        <f t="shared" si="25"/>
        <v>0.12484394506866255</v>
      </c>
      <c r="M55" s="2">
        <f t="shared" si="19"/>
        <v>5.9701492537313432E-2</v>
      </c>
      <c r="N55" s="2">
        <f t="shared" si="26"/>
        <v>16.75</v>
      </c>
      <c r="O55" s="2">
        <v>64</v>
      </c>
      <c r="P55" s="2">
        <f t="shared" si="27"/>
        <v>7.9900124843944029</v>
      </c>
    </row>
    <row r="56" spans="2:16" x14ac:dyDescent="0.35">
      <c r="B56" s="323" t="s">
        <v>21</v>
      </c>
      <c r="C56" s="323"/>
      <c r="D56" s="323"/>
      <c r="E56" s="13"/>
      <c r="F56" s="13">
        <v>783.31</v>
      </c>
      <c r="G56" s="13">
        <v>790.72</v>
      </c>
      <c r="H56" s="13">
        <f t="shared" si="21"/>
        <v>7.4100000000000819</v>
      </c>
      <c r="I56" s="13">
        <f t="shared" si="22"/>
        <v>9.2300000000000182</v>
      </c>
      <c r="J56" s="2">
        <f t="shared" si="23"/>
        <v>0.44531250000000222</v>
      </c>
      <c r="K56" s="2">
        <f t="shared" si="24"/>
        <v>0.55468749999999778</v>
      </c>
      <c r="L56" s="2">
        <f t="shared" si="25"/>
        <v>0.1349527665317124</v>
      </c>
      <c r="M56" s="2">
        <f t="shared" si="19"/>
        <v>6.0096153846153487E-2</v>
      </c>
      <c r="N56" s="2">
        <f t="shared" si="26"/>
        <v>16.6400000000001</v>
      </c>
      <c r="O56" s="2">
        <v>55</v>
      </c>
      <c r="P56" s="2">
        <f t="shared" si="27"/>
        <v>7.4224021592441822</v>
      </c>
    </row>
    <row r="57" spans="2:16" x14ac:dyDescent="0.35">
      <c r="B57" s="323" t="s">
        <v>21</v>
      </c>
      <c r="C57" s="323"/>
      <c r="D57" s="323"/>
      <c r="E57" s="13"/>
      <c r="F57" s="13">
        <v>799.95</v>
      </c>
      <c r="G57" s="13">
        <v>808.13</v>
      </c>
      <c r="H57" s="13">
        <f t="shared" si="21"/>
        <v>8.17999999999995</v>
      </c>
      <c r="I57" s="13"/>
    </row>
    <row r="58" spans="2:16" x14ac:dyDescent="0.35">
      <c r="G58" s="3" t="s">
        <v>20</v>
      </c>
      <c r="H58" s="49">
        <f>AVERAGE(H39,H40,H42,H45,H50,H52,H53)</f>
        <v>4.5199999999999978</v>
      </c>
      <c r="I58" s="49">
        <f t="shared" ref="I58:N58" si="28">AVERAGE(I39,I40,I42,I45,I50,I52,I53)</f>
        <v>8.3771428571428714</v>
      </c>
      <c r="J58" s="49">
        <f t="shared" si="28"/>
        <v>0.35125094315905153</v>
      </c>
      <c r="K58" s="49">
        <f t="shared" si="28"/>
        <v>0.64874905684094852</v>
      </c>
      <c r="L58" s="49">
        <f t="shared" si="28"/>
        <v>0.22340014983411002</v>
      </c>
      <c r="M58" s="49">
        <f t="shared" si="28"/>
        <v>7.7737275020569513E-2</v>
      </c>
      <c r="N58" s="49">
        <f t="shared" si="28"/>
        <v>12.897142857142869</v>
      </c>
      <c r="O58" s="49">
        <f>AVERAGE(O39,O40,O42,O45,O50,O52,O53)</f>
        <v>36.142857142857146</v>
      </c>
      <c r="P58" s="49">
        <f>AVERAGE(P39,P40,P42,P45,P50,P52,P53)</f>
        <v>7.9995234535361393</v>
      </c>
    </row>
    <row r="59" spans="2:16" x14ac:dyDescent="0.35">
      <c r="B59" s="13"/>
      <c r="G59" s="3" t="s">
        <v>75</v>
      </c>
      <c r="H59" s="49">
        <f>AVERAGE(H46:H49,H54:H57)</f>
        <v>8.4462500000000063</v>
      </c>
      <c r="I59" s="49">
        <f t="shared" ref="I59:N59" si="29">AVERAGE(I46:I49,I54:I57)</f>
        <v>8.2714285714285527</v>
      </c>
      <c r="J59" s="49">
        <f t="shared" si="29"/>
        <v>0.5064940369329336</v>
      </c>
      <c r="K59" s="49">
        <f t="shared" si="29"/>
        <v>0.4935059630670664</v>
      </c>
      <c r="L59" s="49">
        <f t="shared" si="29"/>
        <v>0.1187176073435775</v>
      </c>
      <c r="M59" s="49">
        <f t="shared" si="29"/>
        <v>5.9829118036422782E-2</v>
      </c>
      <c r="N59" s="49">
        <f t="shared" si="29"/>
        <v>16.75571428571428</v>
      </c>
      <c r="O59" s="49">
        <f>AVERAGE(O46:O49,O54:O57)</f>
        <v>66.714285714285708</v>
      </c>
      <c r="P59" s="49">
        <f>AVERAGE(P46:P49,P54:P57)</f>
        <v>7.8602489578385768</v>
      </c>
    </row>
    <row r="60" spans="2:16" x14ac:dyDescent="0.35">
      <c r="G60" s="102" t="s">
        <v>20</v>
      </c>
      <c r="H60" s="102">
        <f>AVERAGE(H41,H43,H44,H51)</f>
        <v>5.6424999999999841</v>
      </c>
      <c r="I60" s="102">
        <f t="shared" ref="I60:N60" si="30">AVERAGE(I41,I43,I44,I51)</f>
        <v>7.9300000000000068</v>
      </c>
      <c r="J60" s="102">
        <f t="shared" si="30"/>
        <v>0.41539779698610951</v>
      </c>
      <c r="K60" s="102">
        <f t="shared" si="30"/>
        <v>0.58460220301389043</v>
      </c>
      <c r="L60" s="102">
        <f t="shared" si="30"/>
        <v>0.17825521346699977</v>
      </c>
      <c r="M60" s="102">
        <f t="shared" si="30"/>
        <v>7.3833572446592596E-2</v>
      </c>
      <c r="N60" s="102">
        <f t="shared" si="30"/>
        <v>13.572499999999991</v>
      </c>
      <c r="O60" s="102">
        <f>AVERAGE(O41,O43,O44,O51)</f>
        <v>41.75</v>
      </c>
      <c r="P60" s="102">
        <f>AVERAGE(P41,P43,P44,P51)</f>
        <v>7.4032194591168095</v>
      </c>
    </row>
    <row r="61" spans="2:16" x14ac:dyDescent="0.35">
      <c r="H61" s="2">
        <f>_xlfn.STDEV.S(H39,H40,H42,H45,H50,H52,H53)</f>
        <v>0.49078168941667977</v>
      </c>
    </row>
    <row r="71" spans="2:21" ht="18.5" x14ac:dyDescent="0.45">
      <c r="F71" s="1" t="s">
        <v>25</v>
      </c>
      <c r="G71" s="3"/>
      <c r="H71" s="3"/>
      <c r="I71" s="3"/>
      <c r="J71" s="3"/>
      <c r="K71" s="3"/>
      <c r="L71" s="3"/>
      <c r="M71" s="3"/>
      <c r="N71" s="3"/>
      <c r="O71" s="3"/>
      <c r="P71" s="3"/>
      <c r="Q71" s="3"/>
      <c r="R71" s="3"/>
      <c r="S71" s="3"/>
      <c r="T71" s="3"/>
      <c r="U71" s="3"/>
    </row>
    <row r="72" spans="2:21" ht="16" thickBot="1" x14ac:dyDescent="0.4">
      <c r="F72" s="9" t="s">
        <v>1</v>
      </c>
      <c r="G72" s="9" t="s">
        <v>2</v>
      </c>
      <c r="H72" s="9" t="s">
        <v>3</v>
      </c>
      <c r="I72" s="9" t="s">
        <v>4</v>
      </c>
      <c r="J72" s="9" t="s">
        <v>5</v>
      </c>
      <c r="K72" s="9" t="s">
        <v>6</v>
      </c>
      <c r="L72" s="9" t="s">
        <v>7</v>
      </c>
      <c r="M72" s="9" t="s">
        <v>8</v>
      </c>
      <c r="N72" s="9" t="s">
        <v>9</v>
      </c>
      <c r="O72" s="9" t="s">
        <v>10</v>
      </c>
      <c r="P72" s="9" t="s">
        <v>297</v>
      </c>
      <c r="Q72" s="5"/>
      <c r="R72" s="9" t="s">
        <v>11</v>
      </c>
      <c r="S72" s="9" t="s">
        <v>12</v>
      </c>
      <c r="T72" s="9" t="s">
        <v>13</v>
      </c>
      <c r="U72" s="9" t="s">
        <v>14</v>
      </c>
    </row>
    <row r="73" spans="2:21" x14ac:dyDescent="0.35">
      <c r="F73" s="2">
        <v>194.69</v>
      </c>
      <c r="G73" s="2">
        <v>203.31</v>
      </c>
      <c r="H73" s="2">
        <f>G73-F73</f>
        <v>8.6200000000000045</v>
      </c>
      <c r="I73" s="2">
        <f>F74-G73</f>
        <v>5.8299999999999841</v>
      </c>
      <c r="J73" s="2">
        <f>H73/N73</f>
        <v>0.59653979238754407</v>
      </c>
      <c r="K73" s="2">
        <f>I73/N73</f>
        <v>0.40346020761245599</v>
      </c>
      <c r="L73" s="2">
        <f>1/H73</f>
        <v>0.11600928074245934</v>
      </c>
      <c r="M73" s="2">
        <f t="shared" ref="M73:M90" si="31">1/N73</f>
        <v>6.9204152249135009E-2</v>
      </c>
      <c r="N73" s="2">
        <f>F74-F73</f>
        <v>14.449999999999989</v>
      </c>
      <c r="O73" s="2">
        <v>51</v>
      </c>
      <c r="P73" s="2">
        <f>O73/H73</f>
        <v>5.9164733178654263</v>
      </c>
      <c r="R73" s="2" t="s">
        <v>23</v>
      </c>
    </row>
    <row r="74" spans="2:21" x14ac:dyDescent="0.35">
      <c r="F74" s="2">
        <v>209.14</v>
      </c>
      <c r="G74" s="2">
        <v>217.44</v>
      </c>
      <c r="H74" s="2">
        <f t="shared" ref="H74:H90" si="32">G74-F74</f>
        <v>8.3000000000000114</v>
      </c>
      <c r="I74" s="2">
        <f t="shared" ref="I74:I90" si="33">F75-G74</f>
        <v>6.2400000000000091</v>
      </c>
      <c r="J74" s="2">
        <f t="shared" ref="J74:J90" si="34">H74/N74</f>
        <v>0.5708390646492435</v>
      </c>
      <c r="K74" s="2">
        <f t="shared" ref="K74:K90" si="35">I74/N74</f>
        <v>0.42916093535075656</v>
      </c>
      <c r="L74" s="2">
        <f t="shared" ref="L74:L90" si="36">1/H74</f>
        <v>0.12048192771084321</v>
      </c>
      <c r="M74" s="2">
        <f t="shared" si="31"/>
        <v>6.8775790921595498E-2</v>
      </c>
      <c r="N74" s="2">
        <f t="shared" ref="N74:N90" si="37">F75-F74</f>
        <v>14.54000000000002</v>
      </c>
      <c r="O74" s="2">
        <v>49</v>
      </c>
      <c r="P74" s="2">
        <f t="shared" ref="P74:P90" si="38">O74/H74</f>
        <v>5.903614457831317</v>
      </c>
    </row>
    <row r="75" spans="2:21" x14ac:dyDescent="0.35">
      <c r="F75" s="2">
        <v>223.68</v>
      </c>
      <c r="G75" s="2">
        <v>230.9</v>
      </c>
      <c r="H75" s="2">
        <f t="shared" si="32"/>
        <v>7.2199999999999989</v>
      </c>
      <c r="I75" s="2">
        <f t="shared" si="33"/>
        <v>6.5600000000000023</v>
      </c>
      <c r="J75" s="2">
        <f t="shared" si="34"/>
        <v>0.52394775036284458</v>
      </c>
      <c r="K75" s="2">
        <f t="shared" si="35"/>
        <v>0.47605224963715542</v>
      </c>
      <c r="L75" s="2">
        <f t="shared" si="36"/>
        <v>0.13850415512465375</v>
      </c>
      <c r="M75" s="2">
        <f t="shared" si="31"/>
        <v>7.2568940493468792E-2</v>
      </c>
      <c r="N75" s="2">
        <f t="shared" si="37"/>
        <v>13.780000000000001</v>
      </c>
      <c r="O75" s="2">
        <v>44</v>
      </c>
      <c r="P75" s="2">
        <f t="shared" si="38"/>
        <v>6.0941828254847659</v>
      </c>
    </row>
    <row r="76" spans="2:21" x14ac:dyDescent="0.35">
      <c r="F76" s="13">
        <v>237.46</v>
      </c>
      <c r="G76" s="13">
        <v>245.04</v>
      </c>
      <c r="H76" s="2">
        <f t="shared" si="32"/>
        <v>7.5799999999999841</v>
      </c>
      <c r="I76" s="2">
        <f t="shared" si="33"/>
        <v>6.0400000000000205</v>
      </c>
      <c r="J76" s="2">
        <f t="shared" si="34"/>
        <v>0.55653450807635696</v>
      </c>
      <c r="K76" s="2">
        <f t="shared" si="35"/>
        <v>0.44346549192364304</v>
      </c>
      <c r="L76" s="2">
        <f t="shared" si="36"/>
        <v>0.13192612137203194</v>
      </c>
      <c r="M76" s="2">
        <f t="shared" si="31"/>
        <v>7.3421439060205554E-2</v>
      </c>
      <c r="N76" s="2">
        <f t="shared" si="37"/>
        <v>13.620000000000005</v>
      </c>
      <c r="O76" s="2">
        <v>47</v>
      </c>
      <c r="P76" s="2">
        <f t="shared" si="38"/>
        <v>6.2005277044855012</v>
      </c>
    </row>
    <row r="77" spans="2:21" ht="16" thickBot="1" x14ac:dyDescent="0.4">
      <c r="B77" s="9" t="s">
        <v>18</v>
      </c>
      <c r="C77" s="9" t="s">
        <v>17</v>
      </c>
      <c r="D77" s="9" t="s">
        <v>20</v>
      </c>
      <c r="E77" s="20"/>
      <c r="F77" s="19">
        <v>251.08</v>
      </c>
      <c r="G77" s="19">
        <v>258.77999999999997</v>
      </c>
      <c r="H77" s="20">
        <f t="shared" si="32"/>
        <v>7.6999999999999602</v>
      </c>
      <c r="I77" s="20">
        <f t="shared" si="33"/>
        <v>5.8800000000000523</v>
      </c>
      <c r="J77" s="2">
        <f t="shared" si="34"/>
        <v>0.56701030927834706</v>
      </c>
      <c r="K77" s="2">
        <f t="shared" si="35"/>
        <v>0.43298969072165294</v>
      </c>
      <c r="L77" s="2">
        <f t="shared" si="36"/>
        <v>0.12987012987013055</v>
      </c>
      <c r="M77" s="2">
        <f t="shared" si="31"/>
        <v>7.3637702503681818E-2</v>
      </c>
      <c r="N77" s="2">
        <f t="shared" si="37"/>
        <v>13.580000000000013</v>
      </c>
      <c r="O77" s="2">
        <v>48</v>
      </c>
      <c r="P77" s="2">
        <f t="shared" si="38"/>
        <v>6.233766233766266</v>
      </c>
    </row>
    <row r="78" spans="2:21" x14ac:dyDescent="0.35">
      <c r="B78" s="2">
        <v>265.16000000000003</v>
      </c>
      <c r="C78" s="2">
        <v>269.95999999999998</v>
      </c>
      <c r="D78" s="2">
        <f t="shared" ref="D78:D87" si="39">C78-B78</f>
        <v>4.7999999999999545</v>
      </c>
      <c r="F78" s="13">
        <v>264.66000000000003</v>
      </c>
      <c r="G78" s="13">
        <v>268.14999999999998</v>
      </c>
      <c r="H78" s="2">
        <f t="shared" si="32"/>
        <v>3.4899999999999523</v>
      </c>
      <c r="I78" s="2">
        <f t="shared" si="33"/>
        <v>6.6400000000000432</v>
      </c>
      <c r="J78" s="2">
        <f t="shared" si="34"/>
        <v>0.34452122408686614</v>
      </c>
      <c r="K78" s="2">
        <f t="shared" si="35"/>
        <v>0.65547877591313386</v>
      </c>
      <c r="L78" s="2">
        <f t="shared" si="36"/>
        <v>0.2865329512894022</v>
      </c>
      <c r="M78" s="2">
        <f t="shared" si="31"/>
        <v>9.8716683119447229E-2</v>
      </c>
      <c r="N78" s="2">
        <f t="shared" si="37"/>
        <v>10.129999999999995</v>
      </c>
      <c r="O78" s="2">
        <v>21</v>
      </c>
      <c r="P78" s="2">
        <f t="shared" si="38"/>
        <v>6.017191977077446</v>
      </c>
    </row>
    <row r="79" spans="2:21" x14ac:dyDescent="0.35">
      <c r="B79" s="15">
        <v>275.45999999999998</v>
      </c>
      <c r="C79" s="16">
        <v>278.11</v>
      </c>
      <c r="D79" s="17">
        <f t="shared" si="39"/>
        <v>2.6500000000000341</v>
      </c>
      <c r="F79" s="15">
        <v>274.79000000000002</v>
      </c>
      <c r="G79" s="16">
        <v>280.48</v>
      </c>
      <c r="H79" s="16">
        <f t="shared" si="32"/>
        <v>5.6899999999999977</v>
      </c>
      <c r="I79" s="17">
        <f t="shared" si="33"/>
        <v>5.75</v>
      </c>
      <c r="J79" s="2">
        <f t="shared" si="34"/>
        <v>0.49737762237762229</v>
      </c>
      <c r="K79" s="2">
        <f t="shared" si="35"/>
        <v>0.50262237762237771</v>
      </c>
      <c r="L79" s="2">
        <f t="shared" si="36"/>
        <v>0.17574692442882256</v>
      </c>
      <c r="M79" s="2">
        <f t="shared" si="31"/>
        <v>8.7412587412587436E-2</v>
      </c>
      <c r="N79" s="2">
        <f t="shared" si="37"/>
        <v>11.439999999999998</v>
      </c>
      <c r="O79" s="2">
        <v>34</v>
      </c>
      <c r="P79" s="2">
        <f t="shared" si="38"/>
        <v>5.975395430579967</v>
      </c>
    </row>
    <row r="80" spans="2:21" x14ac:dyDescent="0.35">
      <c r="B80" s="2">
        <v>286.67</v>
      </c>
      <c r="C80" s="2">
        <v>291.62</v>
      </c>
      <c r="D80" s="2">
        <f t="shared" si="39"/>
        <v>4.9499999999999886</v>
      </c>
      <c r="F80" s="13">
        <v>286.23</v>
      </c>
      <c r="G80" s="13">
        <v>290.63</v>
      </c>
      <c r="H80" s="2">
        <f t="shared" si="32"/>
        <v>4.3999999999999773</v>
      </c>
      <c r="I80" s="2">
        <f t="shared" si="33"/>
        <v>6.3700000000000045</v>
      </c>
      <c r="J80" s="2">
        <f t="shared" si="34"/>
        <v>0.40854224698235697</v>
      </c>
      <c r="K80" s="2">
        <f t="shared" si="35"/>
        <v>0.59145775301764303</v>
      </c>
      <c r="L80" s="2">
        <f t="shared" si="36"/>
        <v>0.22727272727272846</v>
      </c>
      <c r="M80" s="2">
        <f t="shared" si="31"/>
        <v>9.285051067780889E-2</v>
      </c>
      <c r="N80" s="2">
        <f t="shared" si="37"/>
        <v>10.769999999999982</v>
      </c>
      <c r="O80" s="2">
        <v>29</v>
      </c>
      <c r="P80" s="2">
        <f t="shared" si="38"/>
        <v>6.5909090909091246</v>
      </c>
    </row>
    <row r="81" spans="2:26" x14ac:dyDescent="0.35">
      <c r="B81" s="13">
        <v>297.66000000000003</v>
      </c>
      <c r="C81" s="13">
        <v>302.58999999999997</v>
      </c>
      <c r="D81" s="2">
        <f t="shared" si="39"/>
        <v>4.92999999999995</v>
      </c>
      <c r="F81" s="13">
        <v>297</v>
      </c>
      <c r="G81" s="13">
        <v>301.55</v>
      </c>
      <c r="H81" s="2">
        <f t="shared" si="32"/>
        <v>4.5500000000000114</v>
      </c>
      <c r="I81" s="2">
        <f t="shared" si="33"/>
        <v>5.9200000000000159</v>
      </c>
      <c r="J81" s="2">
        <f t="shared" si="34"/>
        <v>0.43457497612225399</v>
      </c>
      <c r="K81" s="2">
        <f t="shared" si="35"/>
        <v>0.56542502387774596</v>
      </c>
      <c r="L81" s="2">
        <f t="shared" si="36"/>
        <v>0.21978021978021922</v>
      </c>
      <c r="M81" s="2">
        <f t="shared" si="31"/>
        <v>9.5510983763132509E-2</v>
      </c>
      <c r="N81" s="2">
        <f t="shared" si="37"/>
        <v>10.470000000000027</v>
      </c>
      <c r="O81" s="2">
        <v>31</v>
      </c>
      <c r="P81" s="2">
        <f t="shared" si="38"/>
        <v>6.8131868131867961</v>
      </c>
    </row>
    <row r="82" spans="2:26" x14ac:dyDescent="0.35">
      <c r="B82" s="13">
        <v>308.01</v>
      </c>
      <c r="C82" s="13">
        <v>312.94</v>
      </c>
      <c r="D82" s="2">
        <f t="shared" si="39"/>
        <v>4.9300000000000068</v>
      </c>
      <c r="F82" s="13">
        <v>307.47000000000003</v>
      </c>
      <c r="G82" s="13">
        <v>311.87</v>
      </c>
      <c r="H82" s="2">
        <f t="shared" si="32"/>
        <v>4.3999999999999773</v>
      </c>
      <c r="I82" s="2">
        <f t="shared" si="33"/>
        <v>5.7199999999999704</v>
      </c>
      <c r="J82" s="2">
        <f t="shared" si="34"/>
        <v>0.43478260869565216</v>
      </c>
      <c r="K82" s="2">
        <f t="shared" si="35"/>
        <v>0.56521739130434778</v>
      </c>
      <c r="L82" s="2">
        <f t="shared" si="36"/>
        <v>0.22727272727272846</v>
      </c>
      <c r="M82" s="2">
        <f t="shared" si="31"/>
        <v>9.881422924901237E-2</v>
      </c>
      <c r="N82" s="2">
        <f t="shared" si="37"/>
        <v>10.119999999999948</v>
      </c>
      <c r="O82" s="2">
        <v>32</v>
      </c>
      <c r="P82" s="2">
        <f t="shared" si="38"/>
        <v>7.2727272727273107</v>
      </c>
    </row>
    <row r="83" spans="2:26" x14ac:dyDescent="0.35">
      <c r="B83" s="13">
        <v>318.17</v>
      </c>
      <c r="C83" s="13">
        <v>322.98</v>
      </c>
      <c r="D83" s="2">
        <f t="shared" si="39"/>
        <v>4.8100000000000023</v>
      </c>
      <c r="F83" s="13">
        <v>317.58999999999997</v>
      </c>
      <c r="G83" s="13">
        <v>322.22000000000003</v>
      </c>
      <c r="H83" s="2">
        <f t="shared" si="32"/>
        <v>4.6300000000000523</v>
      </c>
      <c r="I83" s="2">
        <f t="shared" si="33"/>
        <v>6.4599999999999795</v>
      </c>
      <c r="J83" s="2">
        <f t="shared" si="34"/>
        <v>0.41749323715058961</v>
      </c>
      <c r="K83" s="2">
        <f t="shared" si="35"/>
        <v>0.58250676284941039</v>
      </c>
      <c r="L83" s="2">
        <f t="shared" si="36"/>
        <v>0.21598272138228697</v>
      </c>
      <c r="M83" s="2">
        <f t="shared" si="31"/>
        <v>9.0171325518484863E-2</v>
      </c>
      <c r="N83" s="2">
        <f t="shared" si="37"/>
        <v>11.090000000000032</v>
      </c>
      <c r="O83" s="2">
        <v>39</v>
      </c>
      <c r="P83" s="2">
        <f t="shared" si="38"/>
        <v>8.4233261339091925</v>
      </c>
    </row>
    <row r="84" spans="2:26" x14ac:dyDescent="0.35">
      <c r="B84" s="13">
        <v>328.13</v>
      </c>
      <c r="C84" s="13">
        <v>333.03</v>
      </c>
      <c r="D84" s="2">
        <f t="shared" si="39"/>
        <v>4.8999999999999773</v>
      </c>
      <c r="F84" s="13">
        <v>328.68</v>
      </c>
      <c r="G84" s="13">
        <v>333.11</v>
      </c>
      <c r="H84" s="2">
        <f t="shared" si="32"/>
        <v>4.4300000000000068</v>
      </c>
      <c r="I84" s="2">
        <f t="shared" si="33"/>
        <v>5.5099999999999909</v>
      </c>
      <c r="J84" s="2">
        <f t="shared" si="34"/>
        <v>0.44567404426559437</v>
      </c>
      <c r="K84" s="2">
        <f t="shared" si="35"/>
        <v>0.55432595573440568</v>
      </c>
      <c r="L84" s="2">
        <f t="shared" si="36"/>
        <v>0.22573363431151205</v>
      </c>
      <c r="M84" s="2">
        <f t="shared" si="31"/>
        <v>0.10060362173038231</v>
      </c>
      <c r="N84" s="2">
        <f t="shared" si="37"/>
        <v>9.9399999999999977</v>
      </c>
      <c r="O84" s="2">
        <v>38</v>
      </c>
      <c r="P84" s="2">
        <f t="shared" si="38"/>
        <v>8.5778781038374579</v>
      </c>
    </row>
    <row r="85" spans="2:26" x14ac:dyDescent="0.35">
      <c r="B85" s="15">
        <v>339.2</v>
      </c>
      <c r="C85" s="16">
        <v>344</v>
      </c>
      <c r="D85" s="17">
        <f t="shared" si="39"/>
        <v>4.8000000000000114</v>
      </c>
      <c r="F85" s="15">
        <v>338.62</v>
      </c>
      <c r="G85" s="16">
        <v>345.55</v>
      </c>
      <c r="H85" s="16">
        <f t="shared" si="32"/>
        <v>6.9300000000000068</v>
      </c>
      <c r="I85" s="17">
        <f t="shared" si="33"/>
        <v>5.3799999999999955</v>
      </c>
      <c r="J85" s="2">
        <f t="shared" si="34"/>
        <v>0.56295694557270559</v>
      </c>
      <c r="K85" s="2">
        <f t="shared" si="35"/>
        <v>0.43704305442729441</v>
      </c>
      <c r="L85" s="2">
        <f t="shared" si="36"/>
        <v>0.14430014430014415</v>
      </c>
      <c r="M85" s="2">
        <f t="shared" si="31"/>
        <v>8.1234768480909811E-2</v>
      </c>
      <c r="N85" s="2">
        <f t="shared" si="37"/>
        <v>12.310000000000002</v>
      </c>
      <c r="O85" s="2">
        <v>56</v>
      </c>
      <c r="P85" s="2">
        <f t="shared" si="38"/>
        <v>8.0808080808080724</v>
      </c>
    </row>
    <row r="86" spans="2:26" x14ac:dyDescent="0.35">
      <c r="B86" s="13">
        <v>351.33</v>
      </c>
      <c r="C86" s="13">
        <v>358.16</v>
      </c>
      <c r="D86" s="2">
        <f t="shared" si="39"/>
        <v>6.8300000000000409</v>
      </c>
      <c r="F86" s="13">
        <v>350.93</v>
      </c>
      <c r="G86" s="13">
        <v>356.44</v>
      </c>
      <c r="H86" s="2">
        <f t="shared" si="32"/>
        <v>5.5099999999999909</v>
      </c>
      <c r="I86" s="2">
        <f t="shared" si="33"/>
        <v>6.5300000000000296</v>
      </c>
      <c r="J86" s="2">
        <f t="shared" si="34"/>
        <v>0.45764119601328751</v>
      </c>
      <c r="K86" s="2">
        <f t="shared" si="35"/>
        <v>0.54235880398671255</v>
      </c>
      <c r="L86" s="2">
        <f t="shared" si="36"/>
        <v>0.18148820326678797</v>
      </c>
      <c r="M86" s="2">
        <f t="shared" si="31"/>
        <v>8.3056478405315479E-2</v>
      </c>
      <c r="N86" s="2">
        <f t="shared" si="37"/>
        <v>12.04000000000002</v>
      </c>
      <c r="O86" s="2">
        <v>50</v>
      </c>
      <c r="P86" s="2">
        <f t="shared" si="38"/>
        <v>9.0744101633393974</v>
      </c>
      <c r="R86" s="18" t="s">
        <v>26</v>
      </c>
      <c r="S86" s="18"/>
      <c r="T86" s="18"/>
      <c r="U86" s="18"/>
      <c r="V86" s="18"/>
      <c r="W86" s="18"/>
      <c r="X86" s="18"/>
      <c r="Y86" s="18"/>
      <c r="Z86" s="18"/>
    </row>
    <row r="87" spans="2:26" ht="15.5" x14ac:dyDescent="0.35">
      <c r="B87" s="13">
        <v>363.44</v>
      </c>
      <c r="C87" s="13">
        <v>370.39</v>
      </c>
      <c r="D87" s="13">
        <f t="shared" si="39"/>
        <v>6.9499999999999886</v>
      </c>
      <c r="F87" s="13">
        <v>362.97</v>
      </c>
      <c r="G87" s="13">
        <v>369.02</v>
      </c>
      <c r="H87" s="2">
        <f t="shared" si="32"/>
        <v>6.0499999999999545</v>
      </c>
      <c r="I87" s="2">
        <f t="shared" si="33"/>
        <v>6.1800000000000068</v>
      </c>
      <c r="J87" s="2">
        <f t="shared" si="34"/>
        <v>0.49468520032706242</v>
      </c>
      <c r="K87" s="2">
        <f t="shared" si="35"/>
        <v>0.50531479967293758</v>
      </c>
      <c r="L87" s="2">
        <f t="shared" si="36"/>
        <v>0.16528925619834836</v>
      </c>
      <c r="M87" s="2">
        <f t="shared" si="31"/>
        <v>8.1766148814391107E-2</v>
      </c>
      <c r="N87" s="2">
        <f t="shared" si="37"/>
        <v>12.229999999999961</v>
      </c>
      <c r="O87" s="2">
        <v>53</v>
      </c>
      <c r="P87" s="2">
        <f t="shared" si="38"/>
        <v>8.7603305785124626</v>
      </c>
      <c r="R87" s="21" t="s">
        <v>32</v>
      </c>
    </row>
    <row r="88" spans="2:26" ht="15.5" x14ac:dyDescent="0.35">
      <c r="B88" s="320" t="s">
        <v>21</v>
      </c>
      <c r="C88" s="321"/>
      <c r="D88" s="322"/>
      <c r="F88" s="10">
        <v>375.2</v>
      </c>
      <c r="G88" s="11">
        <v>386.03</v>
      </c>
      <c r="H88" s="11">
        <f t="shared" si="32"/>
        <v>10.829999999999984</v>
      </c>
      <c r="I88" s="12">
        <f t="shared" si="33"/>
        <v>5.2700000000000387</v>
      </c>
      <c r="J88" s="2">
        <f t="shared" si="34"/>
        <v>0.67267080745341423</v>
      </c>
      <c r="K88" s="2">
        <f t="shared" si="35"/>
        <v>0.32732919254658577</v>
      </c>
      <c r="L88" s="2">
        <f t="shared" si="36"/>
        <v>9.2336103416435958E-2</v>
      </c>
      <c r="M88" s="2">
        <f t="shared" si="31"/>
        <v>6.2111801242235934E-2</v>
      </c>
      <c r="N88" s="2">
        <f t="shared" si="37"/>
        <v>16.100000000000023</v>
      </c>
      <c r="O88" s="2">
        <v>100</v>
      </c>
      <c r="P88" s="2">
        <f t="shared" si="38"/>
        <v>9.2336103416435957</v>
      </c>
      <c r="R88" s="21" t="s">
        <v>32</v>
      </c>
    </row>
    <row r="89" spans="2:26" ht="15.5" x14ac:dyDescent="0.35">
      <c r="B89" s="320" t="s">
        <v>21</v>
      </c>
      <c r="C89" s="321"/>
      <c r="D89" s="322"/>
      <c r="F89" s="10">
        <v>391.3</v>
      </c>
      <c r="G89" s="11">
        <v>400.29</v>
      </c>
      <c r="H89" s="11">
        <f t="shared" si="32"/>
        <v>8.9900000000000091</v>
      </c>
      <c r="I89" s="12">
        <f t="shared" si="33"/>
        <v>5.7999999999999545</v>
      </c>
      <c r="J89" s="2">
        <f t="shared" si="34"/>
        <v>0.60784313725490402</v>
      </c>
      <c r="K89" s="2">
        <f t="shared" si="35"/>
        <v>0.39215686274509592</v>
      </c>
      <c r="L89" s="2">
        <f t="shared" si="36"/>
        <v>0.11123470522803103</v>
      </c>
      <c r="M89" s="2">
        <f t="shared" si="31"/>
        <v>6.7613252197430862E-2</v>
      </c>
      <c r="N89" s="2">
        <f t="shared" si="37"/>
        <v>14.789999999999964</v>
      </c>
      <c r="O89" s="2">
        <v>82</v>
      </c>
      <c r="P89" s="2">
        <f t="shared" si="38"/>
        <v>9.1212458286985445</v>
      </c>
      <c r="R89" s="21" t="s">
        <v>32</v>
      </c>
    </row>
    <row r="90" spans="2:26" ht="15.5" x14ac:dyDescent="0.35">
      <c r="B90" s="320" t="s">
        <v>21</v>
      </c>
      <c r="C90" s="321"/>
      <c r="D90" s="322"/>
      <c r="F90" s="10">
        <v>406.09</v>
      </c>
      <c r="G90" s="11">
        <v>414.06</v>
      </c>
      <c r="H90" s="11">
        <f t="shared" si="32"/>
        <v>7.9700000000000273</v>
      </c>
      <c r="I90" s="12">
        <f t="shared" si="33"/>
        <v>5.6999999999999886</v>
      </c>
      <c r="J90" s="2">
        <f t="shared" si="34"/>
        <v>0.58302852962692153</v>
      </c>
      <c r="K90" s="2">
        <f t="shared" si="35"/>
        <v>0.41697147037307841</v>
      </c>
      <c r="L90" s="2">
        <f t="shared" si="36"/>
        <v>0.12547051442910873</v>
      </c>
      <c r="M90" s="2">
        <f t="shared" si="31"/>
        <v>7.3152889539136706E-2</v>
      </c>
      <c r="N90" s="2">
        <f t="shared" si="37"/>
        <v>13.670000000000016</v>
      </c>
      <c r="O90" s="2">
        <v>78</v>
      </c>
      <c r="P90" s="2">
        <f t="shared" si="38"/>
        <v>9.7867001254704817</v>
      </c>
      <c r="R90" s="21" t="s">
        <v>32</v>
      </c>
    </row>
    <row r="91" spans="2:26" ht="15.5" x14ac:dyDescent="0.35">
      <c r="F91" s="13">
        <v>419.76</v>
      </c>
      <c r="R91" s="21" t="s">
        <v>32</v>
      </c>
    </row>
    <row r="92" spans="2:26" ht="15.5" x14ac:dyDescent="0.35">
      <c r="F92" s="5" t="s">
        <v>28</v>
      </c>
      <c r="R92" s="21" t="s">
        <v>32</v>
      </c>
    </row>
    <row r="93" spans="2:26" ht="15.5" x14ac:dyDescent="0.35">
      <c r="R93" s="21" t="s">
        <v>32</v>
      </c>
    </row>
    <row r="94" spans="2:26" ht="15.5" x14ac:dyDescent="0.35">
      <c r="B94" s="2">
        <v>480.93</v>
      </c>
      <c r="C94" s="2">
        <v>488.01</v>
      </c>
      <c r="D94" s="13">
        <f t="shared" ref="D94:D102" si="40">C94-B94</f>
        <v>7.0799999999999841</v>
      </c>
      <c r="F94" s="2">
        <v>480.32</v>
      </c>
      <c r="G94" s="2">
        <v>486.33</v>
      </c>
      <c r="H94" s="2">
        <f t="shared" ref="H94:H118" si="41">G94-F94</f>
        <v>6.0099999999999909</v>
      </c>
      <c r="I94" s="2">
        <f t="shared" ref="I94:I104" si="42">F95-G94</f>
        <v>9.0400000000000205</v>
      </c>
      <c r="J94" s="2">
        <f>H94/N94</f>
        <v>0.39933554817275657</v>
      </c>
      <c r="K94" s="2">
        <f>I94/N94</f>
        <v>0.60066445182724348</v>
      </c>
      <c r="L94" s="2">
        <f>1/H94</f>
        <v>0.16638935108153102</v>
      </c>
      <c r="M94" s="2">
        <f t="shared" ref="M94:M118" si="43">1/N94</f>
        <v>6.6445182724252441E-2</v>
      </c>
      <c r="N94" s="2">
        <f>F95-F94</f>
        <v>15.050000000000011</v>
      </c>
      <c r="R94" s="21" t="s">
        <v>32</v>
      </c>
    </row>
    <row r="95" spans="2:26" ht="15.5" x14ac:dyDescent="0.35">
      <c r="B95" s="2">
        <v>495.93</v>
      </c>
      <c r="C95" s="2">
        <v>502.6</v>
      </c>
      <c r="D95" s="13">
        <f t="shared" si="40"/>
        <v>6.6700000000000159</v>
      </c>
      <c r="F95" s="13">
        <v>495.37</v>
      </c>
      <c r="G95" s="2">
        <v>501.52</v>
      </c>
      <c r="H95" s="2">
        <f t="shared" si="41"/>
        <v>6.1499999999999773</v>
      </c>
      <c r="I95" s="2">
        <f t="shared" si="42"/>
        <v>8.8300000000000409</v>
      </c>
      <c r="J95" s="2">
        <f t="shared" ref="J95:J118" si="44">H95/N95</f>
        <v>0.41054739652870292</v>
      </c>
      <c r="K95" s="2">
        <f t="shared" ref="K95:K118" si="45">I95/N95</f>
        <v>0.58945260347129713</v>
      </c>
      <c r="L95" s="2">
        <f t="shared" ref="L95:L118" si="46">1/H95</f>
        <v>0.16260162601626077</v>
      </c>
      <c r="M95" s="2">
        <f t="shared" si="43"/>
        <v>6.6755674232309659E-2</v>
      </c>
      <c r="N95" s="2">
        <f t="shared" ref="N95:N118" si="47">F96-F95</f>
        <v>14.980000000000018</v>
      </c>
      <c r="R95" s="21" t="s">
        <v>32</v>
      </c>
    </row>
    <row r="96" spans="2:26" ht="15.5" x14ac:dyDescent="0.35">
      <c r="B96" s="15">
        <v>509.68</v>
      </c>
      <c r="C96" s="16">
        <v>513.02</v>
      </c>
      <c r="D96" s="17">
        <f t="shared" si="40"/>
        <v>3.339999999999975</v>
      </c>
      <c r="F96" s="15">
        <v>510.35</v>
      </c>
      <c r="G96" s="16">
        <v>519.37</v>
      </c>
      <c r="H96" s="16">
        <f t="shared" si="41"/>
        <v>9.0199999999999818</v>
      </c>
      <c r="I96" s="17">
        <f t="shared" si="42"/>
        <v>7.5599999999999454</v>
      </c>
      <c r="J96" s="2">
        <f t="shared" si="44"/>
        <v>0.54402895054282396</v>
      </c>
      <c r="K96" s="2">
        <f t="shared" si="45"/>
        <v>0.45597104945717604</v>
      </c>
      <c r="L96" s="2">
        <f t="shared" si="46"/>
        <v>0.1108647450110867</v>
      </c>
      <c r="M96" s="2">
        <f t="shared" si="43"/>
        <v>6.0313630880579276E-2</v>
      </c>
      <c r="N96" s="2">
        <f t="shared" si="47"/>
        <v>16.579999999999927</v>
      </c>
      <c r="R96" s="21" t="s">
        <v>32</v>
      </c>
    </row>
    <row r="97" spans="1:18" ht="15.5" x14ac:dyDescent="0.35">
      <c r="B97" s="13">
        <v>527.39</v>
      </c>
      <c r="C97" s="13">
        <v>534.05999999999995</v>
      </c>
      <c r="D97" s="13">
        <f t="shared" si="40"/>
        <v>6.6699999999999591</v>
      </c>
      <c r="F97" s="13">
        <v>526.92999999999995</v>
      </c>
      <c r="G97" s="13">
        <v>532.98</v>
      </c>
      <c r="H97" s="2">
        <f t="shared" si="41"/>
        <v>6.0500000000000682</v>
      </c>
      <c r="I97" s="2">
        <f t="shared" si="42"/>
        <v>9.1699999999999591</v>
      </c>
      <c r="J97" s="2">
        <f t="shared" si="44"/>
        <v>0.39750328515112071</v>
      </c>
      <c r="K97" s="2">
        <f t="shared" si="45"/>
        <v>0.60249671484887923</v>
      </c>
      <c r="L97" s="2">
        <f t="shared" si="46"/>
        <v>0.16528925619834525</v>
      </c>
      <c r="M97" s="2">
        <f t="shared" si="43"/>
        <v>6.5703022339027473E-2</v>
      </c>
      <c r="N97" s="2">
        <f t="shared" si="47"/>
        <v>15.220000000000027</v>
      </c>
      <c r="R97" s="21" t="s">
        <v>32</v>
      </c>
    </row>
    <row r="98" spans="1:18" ht="15.5" x14ac:dyDescent="0.35">
      <c r="B98" s="13">
        <v>542.92999999999995</v>
      </c>
      <c r="C98" s="13">
        <v>549.15</v>
      </c>
      <c r="D98" s="13">
        <f t="shared" si="40"/>
        <v>6.2200000000000273</v>
      </c>
      <c r="F98" s="13">
        <v>542.15</v>
      </c>
      <c r="G98" s="13">
        <v>548.22</v>
      </c>
      <c r="H98" s="2">
        <f t="shared" si="41"/>
        <v>6.07000000000005</v>
      </c>
      <c r="I98" s="2">
        <f t="shared" si="42"/>
        <v>9.0399999999999636</v>
      </c>
      <c r="J98" s="2">
        <f t="shared" si="44"/>
        <v>0.40172071475844107</v>
      </c>
      <c r="K98" s="2">
        <f t="shared" si="45"/>
        <v>0.59827928524155893</v>
      </c>
      <c r="L98" s="2">
        <f t="shared" si="46"/>
        <v>0.16474464579901019</v>
      </c>
      <c r="M98" s="2">
        <f t="shared" si="43"/>
        <v>6.6181336863004578E-2</v>
      </c>
      <c r="N98" s="2">
        <f t="shared" si="47"/>
        <v>15.110000000000014</v>
      </c>
      <c r="R98" s="21" t="s">
        <v>32</v>
      </c>
    </row>
    <row r="99" spans="1:18" ht="15.5" x14ac:dyDescent="0.35">
      <c r="B99" s="13">
        <v>557.66</v>
      </c>
      <c r="C99" s="13">
        <v>563.64</v>
      </c>
      <c r="D99" s="13">
        <f t="shared" si="40"/>
        <v>5.9800000000000182</v>
      </c>
      <c r="F99" s="13">
        <v>557.26</v>
      </c>
      <c r="G99" s="13">
        <v>563.39</v>
      </c>
      <c r="H99" s="2">
        <f t="shared" si="41"/>
        <v>6.1299999999999955</v>
      </c>
      <c r="I99" s="2">
        <f t="shared" si="42"/>
        <v>7.8600000000000136</v>
      </c>
      <c r="J99" s="2">
        <f t="shared" si="44"/>
        <v>0.43817012151536749</v>
      </c>
      <c r="K99" s="2">
        <f t="shared" si="45"/>
        <v>0.56182987848463251</v>
      </c>
      <c r="L99" s="2">
        <f t="shared" si="46"/>
        <v>0.16313213703099522</v>
      </c>
      <c r="M99" s="2">
        <f t="shared" si="43"/>
        <v>7.1479628305932769E-2</v>
      </c>
      <c r="N99" s="2">
        <f t="shared" si="47"/>
        <v>13.990000000000009</v>
      </c>
      <c r="R99" s="21" t="s">
        <v>32</v>
      </c>
    </row>
    <row r="100" spans="1:18" ht="15.5" x14ac:dyDescent="0.35">
      <c r="B100" s="13">
        <v>571.74</v>
      </c>
      <c r="C100" s="13">
        <v>579.85</v>
      </c>
      <c r="D100" s="13">
        <f t="shared" si="40"/>
        <v>8.1100000000000136</v>
      </c>
      <c r="F100" s="13">
        <v>571.25</v>
      </c>
      <c r="G100" s="13">
        <v>577.42999999999995</v>
      </c>
      <c r="H100" s="2">
        <f t="shared" si="41"/>
        <v>6.17999999999995</v>
      </c>
      <c r="I100" s="2">
        <f t="shared" si="42"/>
        <v>9.9600000000000364</v>
      </c>
      <c r="J100" s="2">
        <f t="shared" si="44"/>
        <v>0.38289962825278534</v>
      </c>
      <c r="K100" s="2">
        <f t="shared" si="45"/>
        <v>0.61710037174721466</v>
      </c>
      <c r="L100" s="2">
        <f t="shared" si="46"/>
        <v>0.16181229773462913</v>
      </c>
      <c r="M100" s="2">
        <f t="shared" si="43"/>
        <v>6.1957868649318515E-2</v>
      </c>
      <c r="N100" s="2">
        <f t="shared" si="47"/>
        <v>16.139999999999986</v>
      </c>
      <c r="R100" s="21" t="s">
        <v>32</v>
      </c>
    </row>
    <row r="101" spans="1:18" ht="15.5" x14ac:dyDescent="0.35">
      <c r="B101" s="13">
        <v>587.65</v>
      </c>
      <c r="C101" s="13">
        <v>594.48</v>
      </c>
      <c r="D101" s="13">
        <f t="shared" si="40"/>
        <v>6.8300000000000409</v>
      </c>
      <c r="F101" s="13">
        <v>587.39</v>
      </c>
      <c r="G101" s="13">
        <v>593.36</v>
      </c>
      <c r="H101" s="2">
        <f t="shared" si="41"/>
        <v>5.9700000000000273</v>
      </c>
      <c r="I101" s="2">
        <f t="shared" si="42"/>
        <v>11.769999999999982</v>
      </c>
      <c r="J101" s="2">
        <f t="shared" si="44"/>
        <v>0.33652762119504082</v>
      </c>
      <c r="K101" s="2">
        <f t="shared" si="45"/>
        <v>0.66347237880495913</v>
      </c>
      <c r="L101" s="2">
        <f t="shared" si="46"/>
        <v>0.16750418760468935</v>
      </c>
      <c r="M101" s="2">
        <f t="shared" si="43"/>
        <v>5.6369785794813949E-2</v>
      </c>
      <c r="N101" s="2">
        <f t="shared" si="47"/>
        <v>17.740000000000009</v>
      </c>
      <c r="R101" s="21" t="s">
        <v>32</v>
      </c>
    </row>
    <row r="102" spans="1:18" ht="15.5" x14ac:dyDescent="0.35">
      <c r="B102" s="15">
        <v>604.48</v>
      </c>
      <c r="C102" s="16">
        <v>605.65</v>
      </c>
      <c r="D102" s="17">
        <f t="shared" si="40"/>
        <v>1.1699999999999591</v>
      </c>
      <c r="F102" s="23">
        <v>605.13</v>
      </c>
      <c r="G102" s="24">
        <v>615.70000000000005</v>
      </c>
      <c r="H102" s="24">
        <f t="shared" si="41"/>
        <v>10.57000000000005</v>
      </c>
      <c r="I102" s="22">
        <f t="shared" si="42"/>
        <v>7.7099999999999227</v>
      </c>
      <c r="J102" s="2">
        <f t="shared" si="44"/>
        <v>0.57822757111597733</v>
      </c>
      <c r="K102" s="2">
        <f t="shared" si="45"/>
        <v>0.42177242888402267</v>
      </c>
      <c r="L102" s="2">
        <f t="shared" si="46"/>
        <v>9.4607379375590842E-2</v>
      </c>
      <c r="M102" s="2">
        <f t="shared" si="43"/>
        <v>5.4704595185995707E-2</v>
      </c>
      <c r="N102" s="2">
        <f t="shared" si="47"/>
        <v>18.279999999999973</v>
      </c>
      <c r="R102" s="21" t="s">
        <v>32</v>
      </c>
    </row>
    <row r="103" spans="1:18" ht="15.5" x14ac:dyDescent="0.35">
      <c r="B103" s="320" t="s">
        <v>21</v>
      </c>
      <c r="C103" s="321"/>
      <c r="D103" s="322"/>
      <c r="F103" s="10">
        <v>623.41</v>
      </c>
      <c r="G103" s="11">
        <v>633.86</v>
      </c>
      <c r="H103" s="11">
        <f t="shared" si="41"/>
        <v>10.450000000000045</v>
      </c>
      <c r="I103" s="12">
        <f t="shared" si="42"/>
        <v>7.9600000000000364</v>
      </c>
      <c r="J103" s="2">
        <f t="shared" si="44"/>
        <v>0.56762629005975007</v>
      </c>
      <c r="K103" s="2">
        <f t="shared" si="45"/>
        <v>0.43237370994024993</v>
      </c>
      <c r="L103" s="2">
        <f t="shared" si="46"/>
        <v>9.5693779904305803E-2</v>
      </c>
      <c r="M103" s="2">
        <f t="shared" si="43"/>
        <v>5.4318305268875371E-2</v>
      </c>
      <c r="N103" s="2">
        <f t="shared" si="47"/>
        <v>18.410000000000082</v>
      </c>
      <c r="R103" s="21" t="s">
        <v>32</v>
      </c>
    </row>
    <row r="104" spans="1:18" ht="15.5" x14ac:dyDescent="0.35">
      <c r="A104" s="26" t="s">
        <v>30</v>
      </c>
      <c r="B104" s="320" t="s">
        <v>21</v>
      </c>
      <c r="C104" s="321"/>
      <c r="D104" s="322"/>
      <c r="E104" s="25"/>
      <c r="F104" s="10">
        <v>641.82000000000005</v>
      </c>
      <c r="G104" s="11">
        <v>652.29</v>
      </c>
      <c r="H104" s="11">
        <f t="shared" si="41"/>
        <v>10.469999999999914</v>
      </c>
      <c r="I104" s="12">
        <f t="shared" si="42"/>
        <v>7.7699999999999818</v>
      </c>
      <c r="J104" s="2">
        <f t="shared" si="44"/>
        <v>0.57401315789473539</v>
      </c>
      <c r="K104" s="2">
        <f t="shared" si="45"/>
        <v>0.42598684210526461</v>
      </c>
      <c r="L104" s="2">
        <f t="shared" si="46"/>
        <v>9.551098376313355E-2</v>
      </c>
      <c r="M104" s="2">
        <f t="shared" si="43"/>
        <v>5.4824561403509088E-2</v>
      </c>
      <c r="N104" s="2">
        <f t="shared" si="47"/>
        <v>18.239999999999895</v>
      </c>
      <c r="R104" s="21" t="s">
        <v>32</v>
      </c>
    </row>
    <row r="105" spans="1:18" ht="15.5" x14ac:dyDescent="0.35">
      <c r="A105" s="26" t="s">
        <v>31</v>
      </c>
      <c r="B105" s="320" t="s">
        <v>21</v>
      </c>
      <c r="C105" s="321"/>
      <c r="D105" s="322"/>
      <c r="E105" s="25"/>
      <c r="F105" s="10">
        <v>660.06</v>
      </c>
      <c r="G105" s="11">
        <v>664.79</v>
      </c>
      <c r="H105" s="11">
        <f t="shared" si="41"/>
        <v>4.7300000000000182</v>
      </c>
      <c r="I105" s="12">
        <f t="shared" ref="I105:I118" si="48">F106-G105</f>
        <v>15.129999999999995</v>
      </c>
      <c r="J105" s="2">
        <f t="shared" si="44"/>
        <v>0.23816717019134012</v>
      </c>
      <c r="K105" s="2">
        <f t="shared" si="45"/>
        <v>0.76183282980865985</v>
      </c>
      <c r="L105" s="2">
        <f t="shared" si="46"/>
        <v>0.2114164904862571</v>
      </c>
      <c r="M105" s="2">
        <f t="shared" si="43"/>
        <v>5.0352467270896241E-2</v>
      </c>
      <c r="N105" s="2">
        <f t="shared" si="47"/>
        <v>19.860000000000014</v>
      </c>
      <c r="R105" s="21" t="s">
        <v>32</v>
      </c>
    </row>
    <row r="106" spans="1:18" ht="15.5" x14ac:dyDescent="0.35">
      <c r="B106" s="320" t="s">
        <v>21</v>
      </c>
      <c r="C106" s="321"/>
      <c r="D106" s="322"/>
      <c r="F106" s="10">
        <v>679.92</v>
      </c>
      <c r="G106" s="11">
        <v>684.84</v>
      </c>
      <c r="H106" s="11">
        <f t="shared" si="41"/>
        <v>4.9200000000000728</v>
      </c>
      <c r="I106" s="12">
        <f t="shared" si="48"/>
        <v>7.4800000000000182</v>
      </c>
      <c r="J106" s="2">
        <f t="shared" si="44"/>
        <v>0.39677419354839005</v>
      </c>
      <c r="K106" s="2">
        <f t="shared" si="45"/>
        <v>0.60322580645160995</v>
      </c>
      <c r="L106" s="2">
        <f t="shared" si="46"/>
        <v>0.2032520325203222</v>
      </c>
      <c r="M106" s="2">
        <f t="shared" si="43"/>
        <v>8.0645161290321996E-2</v>
      </c>
      <c r="N106" s="2">
        <f t="shared" si="47"/>
        <v>12.400000000000091</v>
      </c>
      <c r="R106" s="21" t="s">
        <v>32</v>
      </c>
    </row>
    <row r="107" spans="1:18" ht="15.5" x14ac:dyDescent="0.35">
      <c r="B107" s="320" t="s">
        <v>21</v>
      </c>
      <c r="C107" s="321"/>
      <c r="D107" s="322"/>
      <c r="F107" s="10">
        <v>692.32</v>
      </c>
      <c r="G107" s="11">
        <v>703.56</v>
      </c>
      <c r="H107" s="11">
        <f t="shared" si="41"/>
        <v>11.239999999999895</v>
      </c>
      <c r="I107" s="12">
        <f t="shared" si="48"/>
        <v>7.4900000000000091</v>
      </c>
      <c r="J107" s="2">
        <f t="shared" si="44"/>
        <v>0.60010678056593447</v>
      </c>
      <c r="K107" s="2">
        <f t="shared" si="45"/>
        <v>0.39989321943406553</v>
      </c>
      <c r="L107" s="2">
        <f t="shared" si="46"/>
        <v>8.8967971530249934E-2</v>
      </c>
      <c r="M107" s="2">
        <f t="shared" si="43"/>
        <v>5.3390282968500007E-2</v>
      </c>
      <c r="N107" s="2">
        <f t="shared" si="47"/>
        <v>18.729999999999905</v>
      </c>
      <c r="R107" s="21" t="s">
        <v>32</v>
      </c>
    </row>
    <row r="108" spans="1:18" ht="15.5" x14ac:dyDescent="0.35">
      <c r="B108" s="2">
        <v>711.65</v>
      </c>
      <c r="C108" s="2">
        <v>717.16</v>
      </c>
      <c r="D108" s="13">
        <f>C108-B108</f>
        <v>5.5099999999999909</v>
      </c>
      <c r="F108" s="13">
        <v>711.05</v>
      </c>
      <c r="G108" s="13">
        <v>716.22</v>
      </c>
      <c r="H108" s="13">
        <f t="shared" si="41"/>
        <v>5.1700000000000728</v>
      </c>
      <c r="I108" s="13">
        <f t="shared" si="48"/>
        <v>10.709999999999923</v>
      </c>
      <c r="J108" s="2">
        <f t="shared" si="44"/>
        <v>0.32556675062972762</v>
      </c>
      <c r="K108" s="2">
        <f t="shared" si="45"/>
        <v>0.67443324937027238</v>
      </c>
      <c r="L108" s="2">
        <f t="shared" si="46"/>
        <v>0.19342359767891409</v>
      </c>
      <c r="M108" s="2">
        <f t="shared" si="43"/>
        <v>6.2972292191435783E-2</v>
      </c>
      <c r="N108" s="2">
        <f t="shared" si="47"/>
        <v>15.879999999999995</v>
      </c>
      <c r="R108" s="21" t="s">
        <v>32</v>
      </c>
    </row>
    <row r="109" spans="1:18" ht="15.5" x14ac:dyDescent="0.35">
      <c r="B109" s="2">
        <v>727.35</v>
      </c>
      <c r="C109" s="2">
        <v>732.31</v>
      </c>
      <c r="D109" s="13">
        <f>C109-B109</f>
        <v>4.9599999999999227</v>
      </c>
      <c r="F109" s="13">
        <v>726.93</v>
      </c>
      <c r="G109" s="13">
        <v>731.62</v>
      </c>
      <c r="H109" s="13">
        <f t="shared" si="41"/>
        <v>4.6900000000000546</v>
      </c>
      <c r="I109" s="13">
        <f t="shared" si="48"/>
        <v>10.019999999999982</v>
      </c>
      <c r="J109" s="2">
        <f t="shared" si="44"/>
        <v>0.31883072739633195</v>
      </c>
      <c r="K109" s="2">
        <f t="shared" si="45"/>
        <v>0.681169272603668</v>
      </c>
      <c r="L109" s="2">
        <f t="shared" si="46"/>
        <v>0.21321961620468835</v>
      </c>
      <c r="M109" s="2">
        <f t="shared" si="43"/>
        <v>6.7980965329707516E-2</v>
      </c>
      <c r="N109" s="2">
        <f t="shared" si="47"/>
        <v>14.710000000000036</v>
      </c>
      <c r="R109" s="21" t="s">
        <v>32</v>
      </c>
    </row>
    <row r="110" spans="1:18" ht="15.5" x14ac:dyDescent="0.35">
      <c r="B110" s="2">
        <v>742.42</v>
      </c>
      <c r="C110" s="2">
        <v>749.21</v>
      </c>
      <c r="D110" s="13">
        <f>C110-B110</f>
        <v>6.7900000000000773</v>
      </c>
      <c r="F110" s="13">
        <v>741.64</v>
      </c>
      <c r="G110" s="13">
        <v>747.86</v>
      </c>
      <c r="H110" s="13">
        <f t="shared" si="41"/>
        <v>6.2200000000000273</v>
      </c>
      <c r="I110" s="13">
        <f t="shared" si="48"/>
        <v>9.9700000000000273</v>
      </c>
      <c r="J110" s="2">
        <f t="shared" si="44"/>
        <v>0.38418777022853651</v>
      </c>
      <c r="K110" s="2">
        <f t="shared" si="45"/>
        <v>0.61581222977146344</v>
      </c>
      <c r="L110" s="2">
        <f t="shared" si="46"/>
        <v>0.16077170418006359</v>
      </c>
      <c r="M110" s="2">
        <f t="shared" si="43"/>
        <v>6.1766522544780524E-2</v>
      </c>
      <c r="N110" s="2">
        <f t="shared" si="47"/>
        <v>16.190000000000055</v>
      </c>
      <c r="R110" s="21" t="s">
        <v>32</v>
      </c>
    </row>
    <row r="111" spans="1:18" ht="15.5" x14ac:dyDescent="0.35">
      <c r="B111" s="13">
        <v>758.94</v>
      </c>
      <c r="C111" s="13">
        <v>765.01</v>
      </c>
      <c r="D111" s="13">
        <f>C111-B111</f>
        <v>6.0699999999999363</v>
      </c>
      <c r="F111" s="13">
        <v>757.83</v>
      </c>
      <c r="G111" s="13">
        <v>762.91</v>
      </c>
      <c r="H111" s="13">
        <f t="shared" si="41"/>
        <v>5.0799999999999272</v>
      </c>
      <c r="I111" s="13">
        <f t="shared" si="48"/>
        <v>12.420000000000073</v>
      </c>
      <c r="J111" s="2">
        <f t="shared" si="44"/>
        <v>0.29028571428571015</v>
      </c>
      <c r="K111" s="2">
        <f t="shared" si="45"/>
        <v>0.70971428571428985</v>
      </c>
      <c r="L111" s="2">
        <f t="shared" si="46"/>
        <v>0.19685039370079022</v>
      </c>
      <c r="M111" s="2">
        <f t="shared" si="43"/>
        <v>5.7142857142857141E-2</v>
      </c>
      <c r="N111" s="2">
        <f t="shared" si="47"/>
        <v>17.5</v>
      </c>
      <c r="R111" s="21" t="s">
        <v>32</v>
      </c>
    </row>
    <row r="112" spans="1:18" ht="15.5" x14ac:dyDescent="0.35">
      <c r="B112" s="320" t="s">
        <v>21</v>
      </c>
      <c r="C112" s="321"/>
      <c r="D112" s="322"/>
      <c r="F112" s="10">
        <v>775.33</v>
      </c>
      <c r="G112" s="11">
        <v>784.83</v>
      </c>
      <c r="H112" s="11">
        <f t="shared" si="41"/>
        <v>9.5</v>
      </c>
      <c r="I112" s="12">
        <f t="shared" si="48"/>
        <v>8.1899999999999409</v>
      </c>
      <c r="J112" s="2">
        <f t="shared" si="44"/>
        <v>0.53702656868287346</v>
      </c>
      <c r="K112" s="2">
        <f t="shared" si="45"/>
        <v>0.46297343131712654</v>
      </c>
      <c r="L112" s="2">
        <f t="shared" si="46"/>
        <v>0.10526315789473684</v>
      </c>
      <c r="M112" s="2">
        <f t="shared" si="43"/>
        <v>5.6529112492934047E-2</v>
      </c>
      <c r="N112" s="2">
        <f t="shared" si="47"/>
        <v>17.689999999999941</v>
      </c>
      <c r="R112" s="21" t="s">
        <v>32</v>
      </c>
    </row>
    <row r="113" spans="2:18" ht="15.5" x14ac:dyDescent="0.35">
      <c r="B113" s="320" t="s">
        <v>21</v>
      </c>
      <c r="C113" s="321"/>
      <c r="D113" s="322"/>
      <c r="F113" s="10">
        <v>793.02</v>
      </c>
      <c r="G113" s="11">
        <v>803.26</v>
      </c>
      <c r="H113" s="11">
        <f t="shared" si="41"/>
        <v>10.240000000000009</v>
      </c>
      <c r="I113" s="12">
        <f t="shared" si="48"/>
        <v>9.0399999999999636</v>
      </c>
      <c r="J113" s="2">
        <f t="shared" si="44"/>
        <v>0.53112033195020869</v>
      </c>
      <c r="K113" s="2">
        <f t="shared" si="45"/>
        <v>0.46887966804979131</v>
      </c>
      <c r="L113" s="2">
        <f t="shared" si="46"/>
        <v>9.7656249999999917E-2</v>
      </c>
      <c r="M113" s="2">
        <f t="shared" si="43"/>
        <v>5.1867219917012521E-2</v>
      </c>
      <c r="N113" s="2">
        <f t="shared" si="47"/>
        <v>19.279999999999973</v>
      </c>
      <c r="R113" s="21" t="s">
        <v>32</v>
      </c>
    </row>
    <row r="114" spans="2:18" ht="15.5" x14ac:dyDescent="0.35">
      <c r="B114" s="320" t="s">
        <v>21</v>
      </c>
      <c r="C114" s="321"/>
      <c r="D114" s="322"/>
      <c r="F114" s="10">
        <v>812.3</v>
      </c>
      <c r="G114" s="11">
        <v>822</v>
      </c>
      <c r="H114" s="11">
        <f t="shared" si="41"/>
        <v>9.7000000000000455</v>
      </c>
      <c r="I114" s="12">
        <f t="shared" si="48"/>
        <v>8.9400000000000546</v>
      </c>
      <c r="J114" s="2">
        <f t="shared" si="44"/>
        <v>0.52038626609442029</v>
      </c>
      <c r="K114" s="2">
        <f t="shared" si="45"/>
        <v>0.47961373390557976</v>
      </c>
      <c r="L114" s="2">
        <f t="shared" si="46"/>
        <v>0.10309278350515416</v>
      </c>
      <c r="M114" s="2">
        <f t="shared" si="43"/>
        <v>5.3648068669527607E-2</v>
      </c>
      <c r="N114" s="2">
        <f t="shared" si="47"/>
        <v>18.6400000000001</v>
      </c>
      <c r="R114" s="21" t="s">
        <v>32</v>
      </c>
    </row>
    <row r="115" spans="2:18" ht="15.5" x14ac:dyDescent="0.35">
      <c r="B115" s="320" t="s">
        <v>21</v>
      </c>
      <c r="C115" s="321"/>
      <c r="D115" s="322"/>
      <c r="F115" s="10">
        <v>830.94</v>
      </c>
      <c r="G115" s="11">
        <v>840.9</v>
      </c>
      <c r="H115" s="11">
        <f t="shared" si="41"/>
        <v>9.9599999999999227</v>
      </c>
      <c r="I115" s="12">
        <f t="shared" si="48"/>
        <v>8.7000000000000455</v>
      </c>
      <c r="J115" s="2">
        <f t="shared" si="44"/>
        <v>0.53376205787781028</v>
      </c>
      <c r="K115" s="2">
        <f t="shared" si="45"/>
        <v>0.46623794212218972</v>
      </c>
      <c r="L115" s="2">
        <f t="shared" si="46"/>
        <v>0.10040160642570359</v>
      </c>
      <c r="M115" s="2">
        <f t="shared" si="43"/>
        <v>5.3590568060021528E-2</v>
      </c>
      <c r="N115" s="2">
        <f t="shared" si="47"/>
        <v>18.659999999999968</v>
      </c>
      <c r="R115" s="21" t="s">
        <v>32</v>
      </c>
    </row>
    <row r="116" spans="2:18" ht="15.5" x14ac:dyDescent="0.35">
      <c r="B116" s="320" t="s">
        <v>21</v>
      </c>
      <c r="C116" s="321"/>
      <c r="D116" s="322"/>
      <c r="F116" s="10">
        <v>849.6</v>
      </c>
      <c r="G116" s="11">
        <v>858.38</v>
      </c>
      <c r="H116" s="11">
        <f t="shared" si="41"/>
        <v>8.7799999999999727</v>
      </c>
      <c r="I116" s="12">
        <f t="shared" si="48"/>
        <v>10.07000000000005</v>
      </c>
      <c r="J116" s="2">
        <f t="shared" si="44"/>
        <v>0.46578249336869826</v>
      </c>
      <c r="K116" s="2">
        <f t="shared" si="45"/>
        <v>0.53421750663130174</v>
      </c>
      <c r="L116" s="2">
        <f t="shared" si="46"/>
        <v>0.11389521640091152</v>
      </c>
      <c r="M116" s="2">
        <f t="shared" si="43"/>
        <v>5.3050397877984018E-2</v>
      </c>
      <c r="N116" s="2">
        <f t="shared" si="47"/>
        <v>18.850000000000023</v>
      </c>
      <c r="R116" s="21" t="s">
        <v>32</v>
      </c>
    </row>
    <row r="117" spans="2:18" ht="15.5" x14ac:dyDescent="0.35">
      <c r="B117" s="320" t="s">
        <v>21</v>
      </c>
      <c r="C117" s="321"/>
      <c r="D117" s="322"/>
      <c r="F117" s="10">
        <v>868.45</v>
      </c>
      <c r="G117" s="11">
        <v>877.48</v>
      </c>
      <c r="H117" s="11">
        <f t="shared" si="41"/>
        <v>9.0299999999999727</v>
      </c>
      <c r="I117" s="12">
        <f t="shared" si="48"/>
        <v>9.9900000000000091</v>
      </c>
      <c r="J117" s="2">
        <f t="shared" si="44"/>
        <v>0.47476340694006214</v>
      </c>
      <c r="K117" s="2">
        <f t="shared" si="45"/>
        <v>0.52523659305993786</v>
      </c>
      <c r="L117" s="2">
        <f t="shared" si="46"/>
        <v>0.11074197120708783</v>
      </c>
      <c r="M117" s="2">
        <f t="shared" si="43"/>
        <v>5.2576235541535274E-2</v>
      </c>
      <c r="N117" s="2">
        <f t="shared" si="47"/>
        <v>19.019999999999982</v>
      </c>
      <c r="R117" s="21" t="s">
        <v>32</v>
      </c>
    </row>
    <row r="118" spans="2:18" ht="15.5" x14ac:dyDescent="0.35">
      <c r="B118" s="320" t="s">
        <v>21</v>
      </c>
      <c r="C118" s="321"/>
      <c r="D118" s="322"/>
      <c r="F118" s="10">
        <v>887.47</v>
      </c>
      <c r="G118" s="11">
        <v>896.19</v>
      </c>
      <c r="H118" s="11">
        <f t="shared" si="41"/>
        <v>8.7200000000000273</v>
      </c>
      <c r="I118" s="12">
        <f t="shared" si="48"/>
        <v>8.7799999999999727</v>
      </c>
      <c r="J118" s="2">
        <f t="shared" si="44"/>
        <v>0.49828571428571583</v>
      </c>
      <c r="K118" s="2">
        <f t="shared" si="45"/>
        <v>0.50171428571428411</v>
      </c>
      <c r="L118" s="2">
        <f t="shared" si="46"/>
        <v>0.11467889908256845</v>
      </c>
      <c r="M118" s="2">
        <f t="shared" si="43"/>
        <v>5.7142857142857141E-2</v>
      </c>
      <c r="N118" s="2">
        <f t="shared" si="47"/>
        <v>17.5</v>
      </c>
      <c r="R118" s="21" t="s">
        <v>32</v>
      </c>
    </row>
    <row r="119" spans="2:18" ht="15.5" x14ac:dyDescent="0.35">
      <c r="F119" s="13">
        <v>904.97</v>
      </c>
      <c r="H119" s="13"/>
      <c r="I119" s="13"/>
      <c r="R119" s="21" t="s">
        <v>32</v>
      </c>
    </row>
    <row r="120" spans="2:18" ht="15.5" x14ac:dyDescent="0.35">
      <c r="G120" s="101" t="s">
        <v>76</v>
      </c>
      <c r="H120" s="49">
        <f>AVERAGE(H73:H77)</f>
        <v>7.8839999999999915</v>
      </c>
      <c r="I120" s="49">
        <f t="shared" ref="I120:P120" si="49">AVERAGE(I73:I77)</f>
        <v>6.1100000000000136</v>
      </c>
      <c r="J120" s="49">
        <f t="shared" si="49"/>
        <v>0.56297428495086721</v>
      </c>
      <c r="K120" s="49">
        <f t="shared" si="49"/>
        <v>0.43702571504913273</v>
      </c>
      <c r="L120" s="49">
        <f t="shared" si="49"/>
        <v>0.12735832296402377</v>
      </c>
      <c r="M120" s="49">
        <f t="shared" si="49"/>
        <v>7.1521605045617331E-2</v>
      </c>
      <c r="N120" s="49">
        <f t="shared" si="49"/>
        <v>13.994000000000005</v>
      </c>
      <c r="O120" s="49">
        <f t="shared" si="49"/>
        <v>47.8</v>
      </c>
      <c r="P120" s="49">
        <f t="shared" si="49"/>
        <v>6.0697129078866556</v>
      </c>
      <c r="R120" s="21" t="s">
        <v>32</v>
      </c>
    </row>
    <row r="121" spans="2:18" ht="15.5" x14ac:dyDescent="0.35">
      <c r="G121" s="101" t="s">
        <v>20</v>
      </c>
      <c r="H121" s="49">
        <f>AVERAGE(H78,H80:H84,H86:H87,H94:H95,H97:H101,H108:H111)</f>
        <v>5.3252631578947405</v>
      </c>
      <c r="I121" s="49">
        <f t="shared" ref="I121:N121" si="50">AVERAGE(I78,I80:I84,I86:I87,I94:I95,I97:I101,I108:I111)</f>
        <v>8.3221052631578978</v>
      </c>
      <c r="J121" s="49">
        <f t="shared" si="50"/>
        <v>0.39597315851358861</v>
      </c>
      <c r="K121" s="49">
        <f t="shared" si="50"/>
        <v>0.60402684148641139</v>
      </c>
      <c r="L121" s="49">
        <f t="shared" si="50"/>
        <v>0.19289953968441739</v>
      </c>
      <c r="M121" s="49">
        <f t="shared" si="50"/>
        <v>7.6118164073442893E-2</v>
      </c>
      <c r="N121" s="49">
        <f t="shared" si="50"/>
        <v>13.647368421052638</v>
      </c>
      <c r="R121" s="21" t="s">
        <v>32</v>
      </c>
    </row>
    <row r="122" spans="2:18" ht="15.5" x14ac:dyDescent="0.35">
      <c r="G122" s="101" t="s">
        <v>78</v>
      </c>
      <c r="H122" s="49">
        <f>AVERAGE(H88:H90,H103:H107,H112:H118)</f>
        <v>9.0353333333333286</v>
      </c>
      <c r="I122" s="49">
        <f t="shared" ref="I122:N122" si="51">AVERAGE(I88:I90,I103:I107,I112:I118)</f>
        <v>8.420666666666671</v>
      </c>
      <c r="J122" s="49">
        <f t="shared" si="51"/>
        <v>0.52009046038634532</v>
      </c>
      <c r="K122" s="49">
        <f t="shared" si="51"/>
        <v>0.47990953961365462</v>
      </c>
      <c r="L122" s="49">
        <f t="shared" si="51"/>
        <v>0.11797416438626712</v>
      </c>
      <c r="M122" s="49">
        <f t="shared" si="51"/>
        <v>5.8320878725518562E-2</v>
      </c>
      <c r="N122" s="49">
        <f t="shared" si="51"/>
        <v>17.456</v>
      </c>
      <c r="R122" s="21" t="s">
        <v>32</v>
      </c>
    </row>
    <row r="123" spans="2:18" ht="15.5" x14ac:dyDescent="0.35">
      <c r="G123" s="103" t="s">
        <v>278</v>
      </c>
      <c r="H123" s="13">
        <f>AVERAGE(H79,H85,H88,H96,H102,H112)</f>
        <v>8.7566666666666695</v>
      </c>
      <c r="I123" s="13">
        <f t="shared" ref="I123:N123" si="52">AVERAGE(I79,I85,I88,I96,I102,I112)</f>
        <v>6.6433333333333069</v>
      </c>
      <c r="J123" s="13">
        <f t="shared" si="52"/>
        <v>0.56538141095756955</v>
      </c>
      <c r="K123" s="13">
        <f t="shared" si="52"/>
        <v>0.4346185890424305</v>
      </c>
      <c r="L123" s="13">
        <f t="shared" si="52"/>
        <v>0.1205197424044695</v>
      </c>
      <c r="M123" s="13">
        <f t="shared" si="52"/>
        <v>6.7051082615873711E-2</v>
      </c>
      <c r="N123" s="13">
        <f t="shared" si="52"/>
        <v>15.399999999999977</v>
      </c>
      <c r="R123" s="21" t="s">
        <v>32</v>
      </c>
    </row>
    <row r="124" spans="2:18" ht="15.5" x14ac:dyDescent="0.35">
      <c r="R124" s="21" t="s">
        <v>32</v>
      </c>
    </row>
    <row r="125" spans="2:18" ht="15.5" x14ac:dyDescent="0.35">
      <c r="R125" s="21" t="s">
        <v>32</v>
      </c>
    </row>
    <row r="126" spans="2:18" ht="18.5" x14ac:dyDescent="0.45">
      <c r="F126" s="1" t="s">
        <v>27</v>
      </c>
      <c r="R126" s="21" t="s">
        <v>32</v>
      </c>
    </row>
    <row r="127" spans="2:18" ht="16" thickBot="1" x14ac:dyDescent="0.4">
      <c r="B127" s="9" t="s">
        <v>18</v>
      </c>
      <c r="C127" s="9" t="s">
        <v>17</v>
      </c>
      <c r="D127" s="9" t="s">
        <v>20</v>
      </c>
      <c r="F127" s="9" t="s">
        <v>1</v>
      </c>
      <c r="G127" s="9" t="s">
        <v>2</v>
      </c>
      <c r="H127" s="9" t="s">
        <v>3</v>
      </c>
      <c r="I127" s="9" t="s">
        <v>4</v>
      </c>
      <c r="J127" s="9" t="s">
        <v>5</v>
      </c>
      <c r="K127" s="9" t="s">
        <v>6</v>
      </c>
      <c r="L127" s="9" t="s">
        <v>7</v>
      </c>
      <c r="M127" s="9" t="s">
        <v>8</v>
      </c>
      <c r="N127" s="9" t="s">
        <v>9</v>
      </c>
      <c r="O127" s="9" t="s">
        <v>10</v>
      </c>
      <c r="P127" s="9" t="s">
        <v>297</v>
      </c>
      <c r="R127" s="21" t="s">
        <v>32</v>
      </c>
    </row>
    <row r="128" spans="2:18" ht="15.5" x14ac:dyDescent="0.35">
      <c r="B128" s="2">
        <v>427.83</v>
      </c>
      <c r="C128" s="2">
        <v>437.39</v>
      </c>
      <c r="D128" s="2">
        <f>C128-B128</f>
        <v>9.5600000000000023</v>
      </c>
      <c r="F128" s="2">
        <v>419.76</v>
      </c>
      <c r="G128" s="2">
        <v>428.43</v>
      </c>
      <c r="H128" s="2">
        <f>G128-F128</f>
        <v>8.6700000000000159</v>
      </c>
      <c r="I128" s="2">
        <f>F129-G128</f>
        <v>11.20999999999998</v>
      </c>
      <c r="J128" s="2">
        <f>H128/N128</f>
        <v>0.43611670020120813</v>
      </c>
      <c r="K128" s="2">
        <f>I128/N128</f>
        <v>0.56388329979879181</v>
      </c>
      <c r="L128" s="2">
        <f>1/H128</f>
        <v>0.11534025374855804</v>
      </c>
      <c r="M128" s="2">
        <f>1/N128</f>
        <v>5.0301810865191157E-2</v>
      </c>
      <c r="N128" s="2">
        <f>F129-F128</f>
        <v>19.879999999999995</v>
      </c>
      <c r="R128" s="21" t="s">
        <v>32</v>
      </c>
    </row>
    <row r="129" spans="2:20" ht="16" thickBot="1" x14ac:dyDescent="0.4">
      <c r="B129" s="2">
        <v>449.55</v>
      </c>
      <c r="C129" s="2">
        <v>459.54</v>
      </c>
      <c r="D129" s="2">
        <f>C129-B129</f>
        <v>9.9900000000000091</v>
      </c>
      <c r="F129" s="2">
        <v>439.64</v>
      </c>
      <c r="G129" s="2">
        <v>448.5</v>
      </c>
      <c r="H129" s="2">
        <f>G129-F129</f>
        <v>8.8600000000000136</v>
      </c>
      <c r="I129" s="2">
        <f>F130-G129</f>
        <v>13.939999999999998</v>
      </c>
      <c r="J129" s="2">
        <f>H129/N129</f>
        <v>0.38859649122807061</v>
      </c>
      <c r="K129" s="2">
        <f>I129/N129</f>
        <v>0.61140350877192939</v>
      </c>
      <c r="L129" s="2">
        <f>1/H129</f>
        <v>0.11286681715575603</v>
      </c>
      <c r="M129" s="2">
        <f>1/N129</f>
        <v>4.3859649122806994E-2</v>
      </c>
      <c r="N129" s="2">
        <f>F130-F129</f>
        <v>22.800000000000011</v>
      </c>
      <c r="R129" s="27" t="s">
        <v>29</v>
      </c>
    </row>
    <row r="130" spans="2:20" x14ac:dyDescent="0.35">
      <c r="B130" s="320" t="s">
        <v>21</v>
      </c>
      <c r="C130" s="321"/>
      <c r="D130" s="322"/>
      <c r="F130" s="2">
        <v>462.44</v>
      </c>
      <c r="G130" s="2">
        <v>473.85</v>
      </c>
      <c r="H130" s="2">
        <f>G130-F130</f>
        <v>11.410000000000025</v>
      </c>
      <c r="I130" s="2">
        <f>F131-G130</f>
        <v>6.4699999999999704</v>
      </c>
      <c r="J130" s="2">
        <f>H130/N130</f>
        <v>0.63814317673378229</v>
      </c>
      <c r="K130" s="2">
        <f>I130/N130</f>
        <v>0.36185682326621765</v>
      </c>
      <c r="L130" s="2">
        <f>1/H130</f>
        <v>8.76424189307623E-2</v>
      </c>
      <c r="M130" s="2">
        <f>1/N130</f>
        <v>5.5928411633109631E-2</v>
      </c>
      <c r="N130" s="2">
        <f>F131-F130</f>
        <v>17.879999999999995</v>
      </c>
    </row>
    <row r="131" spans="2:20" x14ac:dyDescent="0.35">
      <c r="F131" s="13">
        <v>480.32</v>
      </c>
      <c r="M131" s="101"/>
    </row>
    <row r="132" spans="2:20" x14ac:dyDescent="0.35">
      <c r="G132" s="101" t="s">
        <v>20</v>
      </c>
      <c r="H132" s="3">
        <f>AVERAGE(H128:H129)</f>
        <v>8.7650000000000148</v>
      </c>
      <c r="I132" s="3">
        <f t="shared" ref="I132:N132" si="53">AVERAGE(I128:I129)</f>
        <v>12.574999999999989</v>
      </c>
      <c r="J132" s="3">
        <f t="shared" si="53"/>
        <v>0.41235659571463934</v>
      </c>
      <c r="K132" s="3">
        <f t="shared" si="53"/>
        <v>0.58764340428536066</v>
      </c>
      <c r="L132" s="3">
        <f t="shared" si="53"/>
        <v>0.11410353545215704</v>
      </c>
      <c r="M132" s="3">
        <f t="shared" si="53"/>
        <v>4.7080729993999079E-2</v>
      </c>
      <c r="N132" s="3">
        <f t="shared" si="53"/>
        <v>21.340000000000003</v>
      </c>
    </row>
    <row r="140" spans="2:20" ht="18.5" x14ac:dyDescent="0.45">
      <c r="F140" s="1" t="s">
        <v>34</v>
      </c>
    </row>
    <row r="141" spans="2:20" ht="16" thickBot="1" x14ac:dyDescent="0.4">
      <c r="F141" s="9" t="s">
        <v>1</v>
      </c>
      <c r="G141" s="9" t="s">
        <v>2</v>
      </c>
      <c r="H141" s="9" t="s">
        <v>3</v>
      </c>
      <c r="I141" s="9" t="s">
        <v>4</v>
      </c>
      <c r="J141" s="9" t="s">
        <v>5</v>
      </c>
      <c r="K141" s="9" t="s">
        <v>6</v>
      </c>
      <c r="L141" s="9" t="s">
        <v>7</v>
      </c>
      <c r="M141" s="9" t="s">
        <v>8</v>
      </c>
      <c r="N141" s="9" t="s">
        <v>9</v>
      </c>
      <c r="O141" s="9" t="s">
        <v>10</v>
      </c>
      <c r="P141" s="9" t="s">
        <v>297</v>
      </c>
    </row>
    <row r="142" spans="2:20" x14ac:dyDescent="0.35">
      <c r="F142" s="2">
        <v>229.68</v>
      </c>
      <c r="G142" s="2">
        <v>238.21</v>
      </c>
      <c r="H142" s="2">
        <f>G142-F142</f>
        <v>8.5300000000000011</v>
      </c>
      <c r="I142" s="2">
        <f>F143-G142</f>
        <v>4.1799999999999784</v>
      </c>
      <c r="J142" s="2">
        <f>H142/N142</f>
        <v>0.6711250983477588</v>
      </c>
      <c r="K142" s="2">
        <f>I142/N142</f>
        <v>0.32887490165224115</v>
      </c>
      <c r="L142" s="2">
        <f>1/H142</f>
        <v>0.11723329425556857</v>
      </c>
      <c r="M142" s="2">
        <f>1/N142</f>
        <v>7.86782061369002E-2</v>
      </c>
      <c r="N142" s="2">
        <f>F143-F142</f>
        <v>12.70999999999998</v>
      </c>
      <c r="R142" s="18" t="s">
        <v>39</v>
      </c>
      <c r="S142" s="18"/>
      <c r="T142" s="18"/>
    </row>
    <row r="143" spans="2:20" x14ac:dyDescent="0.35">
      <c r="F143" s="2">
        <v>242.39</v>
      </c>
      <c r="G143" s="2">
        <v>250.83</v>
      </c>
      <c r="H143" s="2">
        <f>G143-F143</f>
        <v>8.4400000000000261</v>
      </c>
      <c r="I143" s="2">
        <f>F144-G143</f>
        <v>4.1199999999999761</v>
      </c>
      <c r="J143" s="2">
        <f>H143/N143</f>
        <v>0.67197452229299559</v>
      </c>
      <c r="K143" s="2">
        <f>I143/N143</f>
        <v>0.32802547770700441</v>
      </c>
      <c r="L143" s="2">
        <f>1/H143</f>
        <v>0.11848341232227451</v>
      </c>
      <c r="M143" s="2">
        <f>1/N143</f>
        <v>7.9617834394904441E-2</v>
      </c>
      <c r="N143" s="2">
        <f>F144-F143</f>
        <v>12.560000000000002</v>
      </c>
    </row>
    <row r="144" spans="2:20" x14ac:dyDescent="0.35">
      <c r="F144" s="2">
        <v>254.95</v>
      </c>
      <c r="G144" s="2">
        <v>263.67</v>
      </c>
      <c r="H144" s="2">
        <f>G144-F144</f>
        <v>8.7200000000000273</v>
      </c>
      <c r="I144" s="2">
        <f>F145-G144</f>
        <v>3.8899999999999864</v>
      </c>
      <c r="J144" s="2">
        <f>H144/N144</f>
        <v>0.69151467089611562</v>
      </c>
      <c r="K144" s="2">
        <f>I144/N144</f>
        <v>0.30848532910388438</v>
      </c>
      <c r="L144" s="2">
        <f>1/H144</f>
        <v>0.11467889908256845</v>
      </c>
      <c r="M144" s="2">
        <f>1/N144</f>
        <v>7.9302141157811173E-2</v>
      </c>
      <c r="N144" s="2">
        <f>F145-F144</f>
        <v>12.610000000000014</v>
      </c>
    </row>
    <row r="145" spans="1:14" x14ac:dyDescent="0.35">
      <c r="F145" s="13">
        <v>267.56</v>
      </c>
      <c r="G145" s="13">
        <v>276.22000000000003</v>
      </c>
      <c r="H145" s="2">
        <f>G145-F145</f>
        <v>8.660000000000025</v>
      </c>
      <c r="I145" s="2">
        <f>F146-G145</f>
        <v>4.0299999999999727</v>
      </c>
      <c r="J145" s="2">
        <f>H145/N145</f>
        <v>0.68242710795902495</v>
      </c>
      <c r="K145" s="2">
        <f>I145/N145</f>
        <v>0.31757289204097505</v>
      </c>
      <c r="L145" s="2">
        <f>1/H145</f>
        <v>0.1154734411085447</v>
      </c>
      <c r="M145" s="2">
        <f>1/N145</f>
        <v>7.8802206461780946E-2</v>
      </c>
      <c r="N145" s="2">
        <f>F146-F145</f>
        <v>12.689999999999998</v>
      </c>
    </row>
    <row r="146" spans="1:14" x14ac:dyDescent="0.35">
      <c r="F146" s="13">
        <v>280.25</v>
      </c>
      <c r="G146" s="13">
        <v>287.14999999999998</v>
      </c>
      <c r="H146" s="2">
        <f>G146-F146</f>
        <v>6.8999999999999773</v>
      </c>
      <c r="I146" s="2">
        <f>F147-G146</f>
        <v>4.25</v>
      </c>
      <c r="J146" s="2">
        <f>H146/N146</f>
        <v>0.61883408071748802</v>
      </c>
      <c r="K146" s="2">
        <f>I146/N146</f>
        <v>0.38116591928251198</v>
      </c>
      <c r="L146" s="2">
        <f>1/H146</f>
        <v>0.14492753623188454</v>
      </c>
      <c r="M146" s="2">
        <f>1/N146</f>
        <v>8.968609865470871E-2</v>
      </c>
      <c r="N146" s="2">
        <f>F147-F146</f>
        <v>11.149999999999977</v>
      </c>
    </row>
    <row r="147" spans="1:14" x14ac:dyDescent="0.35">
      <c r="F147" s="13">
        <v>291.39999999999998</v>
      </c>
    </row>
    <row r="148" spans="1:14" x14ac:dyDescent="0.35">
      <c r="F148" s="25" t="s">
        <v>35</v>
      </c>
      <c r="G148" s="25"/>
      <c r="H148" s="25"/>
      <c r="I148" s="25"/>
      <c r="J148" s="25"/>
    </row>
    <row r="149" spans="1:14" x14ac:dyDescent="0.35">
      <c r="F149" s="13">
        <v>318.10000000000002</v>
      </c>
      <c r="G149" s="13">
        <v>326.69</v>
      </c>
      <c r="H149" s="2">
        <f t="shared" ref="H149:H163" si="54">G149-F149</f>
        <v>8.589999999999975</v>
      </c>
      <c r="I149" s="2">
        <f t="shared" ref="I149:I162" si="55">F150-G149</f>
        <v>5.2300000000000182</v>
      </c>
      <c r="J149" s="2">
        <f>H149/N149</f>
        <v>0.62156295224312441</v>
      </c>
      <c r="K149" s="2">
        <f>I149/N149</f>
        <v>0.37843704775687559</v>
      </c>
      <c r="L149" s="2">
        <f>1/H149</f>
        <v>0.11641443538998869</v>
      </c>
      <c r="M149" s="2">
        <f t="shared" ref="M149:M162" si="56">1/N149</f>
        <v>7.2358900144717839E-2</v>
      </c>
      <c r="N149" s="2">
        <f>F150-F149</f>
        <v>13.819999999999993</v>
      </c>
    </row>
    <row r="150" spans="1:14" ht="16" thickBot="1" x14ac:dyDescent="0.4">
      <c r="B150" s="9" t="s">
        <v>18</v>
      </c>
      <c r="C150" s="9" t="s">
        <v>17</v>
      </c>
      <c r="D150" s="9" t="s">
        <v>20</v>
      </c>
      <c r="F150" s="13">
        <v>331.92</v>
      </c>
      <c r="G150" s="13">
        <v>340.09</v>
      </c>
      <c r="H150" s="2">
        <f t="shared" si="54"/>
        <v>8.1699999999999591</v>
      </c>
      <c r="I150" s="2">
        <f t="shared" si="55"/>
        <v>5.0300000000000296</v>
      </c>
      <c r="J150" s="2">
        <f t="shared" ref="J150:J162" si="57">H150/N150</f>
        <v>0.61893939393939135</v>
      </c>
      <c r="K150" s="2">
        <f t="shared" ref="K150:K162" si="58">I150/N150</f>
        <v>0.38106060606060865</v>
      </c>
      <c r="L150" s="2">
        <f t="shared" ref="L150:L162" si="59">1/H150</f>
        <v>0.12239902080783414</v>
      </c>
      <c r="M150" s="2">
        <f t="shared" si="56"/>
        <v>7.5757575757575829E-2</v>
      </c>
      <c r="N150" s="2">
        <f t="shared" ref="N150:N162" si="60">F151-F150</f>
        <v>13.199999999999989</v>
      </c>
    </row>
    <row r="151" spans="1:14" x14ac:dyDescent="0.35">
      <c r="B151" s="2">
        <v>344.73</v>
      </c>
      <c r="C151" s="2">
        <v>350.18</v>
      </c>
      <c r="D151" s="2">
        <f>C151-B151</f>
        <v>5.4499999999999886</v>
      </c>
      <c r="F151" s="13">
        <v>345.12</v>
      </c>
      <c r="G151" s="13">
        <v>349.04</v>
      </c>
      <c r="H151" s="2">
        <f t="shared" si="54"/>
        <v>3.9200000000000159</v>
      </c>
      <c r="I151" s="2">
        <f t="shared" si="55"/>
        <v>6.9099999999999682</v>
      </c>
      <c r="J151" s="2">
        <f t="shared" si="57"/>
        <v>0.36195752539243042</v>
      </c>
      <c r="K151" s="2">
        <f t="shared" si="58"/>
        <v>0.63804247460756958</v>
      </c>
      <c r="L151" s="2">
        <f t="shared" si="59"/>
        <v>0.25510204081632548</v>
      </c>
      <c r="M151" s="2">
        <f t="shared" si="56"/>
        <v>9.2336103416435958E-2</v>
      </c>
      <c r="N151" s="2">
        <f t="shared" si="60"/>
        <v>10.829999999999984</v>
      </c>
    </row>
    <row r="152" spans="1:14" x14ac:dyDescent="0.35">
      <c r="B152" s="2">
        <v>356.73</v>
      </c>
      <c r="C152" s="2">
        <v>361.89</v>
      </c>
      <c r="D152" s="2">
        <f t="shared" ref="D152:D163" si="61">C152-B152</f>
        <v>5.1599999999999682</v>
      </c>
      <c r="F152" s="13">
        <v>355.95</v>
      </c>
      <c r="G152" s="13">
        <v>361.69</v>
      </c>
      <c r="H152" s="2">
        <f t="shared" si="54"/>
        <v>5.7400000000000091</v>
      </c>
      <c r="I152" s="2">
        <f t="shared" si="55"/>
        <v>6.589999999999975</v>
      </c>
      <c r="J152" s="2">
        <f t="shared" si="57"/>
        <v>0.4655312246553136</v>
      </c>
      <c r="K152" s="2">
        <f t="shared" si="58"/>
        <v>0.5344687753446864</v>
      </c>
      <c r="L152" s="2">
        <f t="shared" si="59"/>
        <v>0.17421602787456419</v>
      </c>
      <c r="M152" s="2">
        <f t="shared" si="56"/>
        <v>8.1103000811030113E-2</v>
      </c>
      <c r="N152" s="2">
        <f t="shared" si="60"/>
        <v>12.329999999999984</v>
      </c>
    </row>
    <row r="153" spans="1:14" x14ac:dyDescent="0.35">
      <c r="B153" s="2">
        <v>369.25</v>
      </c>
      <c r="C153" s="2">
        <v>374.34</v>
      </c>
      <c r="D153" s="2">
        <f t="shared" si="61"/>
        <v>5.089999999999975</v>
      </c>
      <c r="F153" s="13">
        <v>368.28</v>
      </c>
      <c r="G153" s="13">
        <v>374.02</v>
      </c>
      <c r="H153" s="2">
        <f t="shared" si="54"/>
        <v>5.7400000000000091</v>
      </c>
      <c r="I153" s="2">
        <f t="shared" si="55"/>
        <v>5.410000000000025</v>
      </c>
      <c r="J153" s="2">
        <f t="shared" si="57"/>
        <v>0.51479820627802619</v>
      </c>
      <c r="K153" s="2">
        <f t="shared" si="58"/>
        <v>0.48520179372197386</v>
      </c>
      <c r="L153" s="2">
        <f t="shared" si="59"/>
        <v>0.17421602787456419</v>
      </c>
      <c r="M153" s="2">
        <f t="shared" si="56"/>
        <v>8.9686098654708252E-2</v>
      </c>
      <c r="N153" s="2">
        <f t="shared" si="60"/>
        <v>11.150000000000034</v>
      </c>
    </row>
    <row r="154" spans="1:14" x14ac:dyDescent="0.35">
      <c r="B154" s="320" t="s">
        <v>21</v>
      </c>
      <c r="C154" s="321"/>
      <c r="D154" s="322"/>
      <c r="F154" s="13">
        <v>379.43</v>
      </c>
      <c r="G154" s="13">
        <v>388.55</v>
      </c>
      <c r="H154" s="2">
        <f t="shared" si="54"/>
        <v>9.1200000000000045</v>
      </c>
      <c r="I154" s="2">
        <f t="shared" si="55"/>
        <v>4.3899999999999864</v>
      </c>
      <c r="J154" s="2">
        <f t="shared" si="57"/>
        <v>0.67505551443375356</v>
      </c>
      <c r="K154" s="2">
        <f t="shared" si="58"/>
        <v>0.32494448556624644</v>
      </c>
      <c r="L154" s="2">
        <f t="shared" si="59"/>
        <v>0.10964912280701748</v>
      </c>
      <c r="M154" s="2">
        <f t="shared" si="56"/>
        <v>7.4019245003701009E-2</v>
      </c>
      <c r="N154" s="2">
        <f t="shared" si="60"/>
        <v>13.509999999999991</v>
      </c>
    </row>
    <row r="155" spans="1:14" x14ac:dyDescent="0.35">
      <c r="A155" s="32" t="s">
        <v>36</v>
      </c>
      <c r="B155" s="320" t="s">
        <v>21</v>
      </c>
      <c r="C155" s="321"/>
      <c r="D155" s="322"/>
      <c r="F155" s="13">
        <v>392.94</v>
      </c>
      <c r="G155" s="13">
        <v>403.94</v>
      </c>
      <c r="H155" s="2">
        <f t="shared" si="54"/>
        <v>11</v>
      </c>
      <c r="J155" s="2">
        <f t="shared" si="57"/>
        <v>0.10015478466721298</v>
      </c>
      <c r="K155" s="2">
        <f t="shared" si="58"/>
        <v>0</v>
      </c>
      <c r="L155" s="2">
        <f t="shared" si="59"/>
        <v>9.0909090909090912E-2</v>
      </c>
      <c r="M155" s="2">
        <f t="shared" si="56"/>
        <v>9.1049804242920897E-3</v>
      </c>
      <c r="N155" s="2">
        <f t="shared" si="60"/>
        <v>109.82999999999998</v>
      </c>
    </row>
    <row r="156" spans="1:14" x14ac:dyDescent="0.35">
      <c r="B156" s="320" t="s">
        <v>21</v>
      </c>
      <c r="C156" s="321"/>
      <c r="D156" s="322"/>
      <c r="F156" s="13">
        <v>502.77</v>
      </c>
      <c r="G156" s="13">
        <v>512.6</v>
      </c>
      <c r="H156" s="13">
        <f t="shared" si="54"/>
        <v>9.8300000000000409</v>
      </c>
      <c r="I156" s="2">
        <f t="shared" si="55"/>
        <v>4.2200000000000273</v>
      </c>
      <c r="J156" s="2">
        <f t="shared" si="57"/>
        <v>0.69964412811387855</v>
      </c>
      <c r="K156" s="2">
        <f t="shared" si="58"/>
        <v>0.30035587188612151</v>
      </c>
      <c r="L156" s="2">
        <f t="shared" si="59"/>
        <v>0.10172939979654078</v>
      </c>
      <c r="M156" s="2">
        <f t="shared" si="56"/>
        <v>7.1174377224198948E-2</v>
      </c>
      <c r="N156" s="2">
        <f t="shared" si="60"/>
        <v>14.050000000000068</v>
      </c>
    </row>
    <row r="157" spans="1:14" x14ac:dyDescent="0.35">
      <c r="B157" s="320" t="s">
        <v>21</v>
      </c>
      <c r="C157" s="321"/>
      <c r="D157" s="322"/>
      <c r="F157" s="13">
        <v>516.82000000000005</v>
      </c>
      <c r="G157" s="13">
        <v>525.25</v>
      </c>
      <c r="H157" s="13">
        <f t="shared" si="54"/>
        <v>8.42999999999995</v>
      </c>
      <c r="I157" s="2">
        <f t="shared" si="55"/>
        <v>3.8999999999999773</v>
      </c>
      <c r="J157" s="2">
        <f t="shared" si="57"/>
        <v>0.68369829683698291</v>
      </c>
      <c r="K157" s="2">
        <f t="shared" si="58"/>
        <v>0.31630170316301703</v>
      </c>
      <c r="L157" s="2">
        <f t="shared" si="59"/>
        <v>0.11862396204033285</v>
      </c>
      <c r="M157" s="2">
        <f t="shared" si="56"/>
        <v>8.1103000811030487E-2</v>
      </c>
      <c r="N157" s="2">
        <f t="shared" si="60"/>
        <v>12.329999999999927</v>
      </c>
    </row>
    <row r="158" spans="1:14" x14ac:dyDescent="0.35">
      <c r="B158" s="2">
        <v>529.79</v>
      </c>
      <c r="C158" s="2">
        <v>535.41</v>
      </c>
      <c r="D158" s="2">
        <f t="shared" si="61"/>
        <v>5.6200000000000045</v>
      </c>
      <c r="F158" s="13">
        <v>529.15</v>
      </c>
      <c r="G158" s="13">
        <v>535.44000000000005</v>
      </c>
      <c r="H158" s="13">
        <f t="shared" si="54"/>
        <v>6.2900000000000773</v>
      </c>
      <c r="I158" s="2">
        <f t="shared" si="55"/>
        <v>5.7399999999998954</v>
      </c>
      <c r="J158" s="2">
        <f t="shared" si="57"/>
        <v>0.52285951787199436</v>
      </c>
      <c r="K158" s="2">
        <f t="shared" si="58"/>
        <v>0.47714048212800569</v>
      </c>
      <c r="L158" s="2">
        <f t="shared" si="59"/>
        <v>0.15898251192368645</v>
      </c>
      <c r="M158" s="2">
        <f t="shared" si="56"/>
        <v>8.3125519534497275E-2</v>
      </c>
      <c r="N158" s="2">
        <f t="shared" si="60"/>
        <v>12.029999999999973</v>
      </c>
    </row>
    <row r="159" spans="1:14" x14ac:dyDescent="0.35">
      <c r="B159" s="15">
        <v>540.95000000000005</v>
      </c>
      <c r="C159" s="16">
        <v>545.4</v>
      </c>
      <c r="D159" s="17">
        <f t="shared" si="61"/>
        <v>4.4499999999999318</v>
      </c>
      <c r="F159" s="15">
        <v>541.17999999999995</v>
      </c>
      <c r="G159" s="16">
        <v>547.57000000000005</v>
      </c>
      <c r="H159" s="16">
        <f t="shared" si="54"/>
        <v>6.3900000000001</v>
      </c>
      <c r="I159" s="17">
        <f t="shared" si="55"/>
        <v>5.0599999999999454</v>
      </c>
      <c r="J159" s="2">
        <f t="shared" si="57"/>
        <v>0.5580786026200939</v>
      </c>
      <c r="K159" s="2">
        <f t="shared" si="58"/>
        <v>0.44192139737990616</v>
      </c>
      <c r="L159" s="2">
        <f t="shared" si="59"/>
        <v>0.15649452269170333</v>
      </c>
      <c r="M159" s="2">
        <f t="shared" si="56"/>
        <v>8.7336244541484365E-2</v>
      </c>
      <c r="N159" s="2">
        <f t="shared" si="60"/>
        <v>11.450000000000045</v>
      </c>
    </row>
    <row r="160" spans="1:14" x14ac:dyDescent="0.35">
      <c r="B160" s="2">
        <v>554.15</v>
      </c>
      <c r="C160" s="2">
        <v>560.61</v>
      </c>
      <c r="D160" s="2">
        <f t="shared" si="61"/>
        <v>6.4600000000000364</v>
      </c>
      <c r="F160" s="13">
        <v>552.63</v>
      </c>
      <c r="G160" s="13">
        <v>559.44000000000005</v>
      </c>
      <c r="H160" s="13">
        <f t="shared" si="54"/>
        <v>6.8100000000000591</v>
      </c>
      <c r="I160" s="2">
        <f t="shared" si="55"/>
        <v>5.5199999999999818</v>
      </c>
      <c r="J160" s="2">
        <f t="shared" si="57"/>
        <v>0.55231143552311734</v>
      </c>
      <c r="K160" s="2">
        <f t="shared" si="58"/>
        <v>0.44768856447688271</v>
      </c>
      <c r="L160" s="2">
        <f t="shared" si="59"/>
        <v>0.14684287812040989</v>
      </c>
      <c r="M160" s="2">
        <f t="shared" si="56"/>
        <v>8.1103000811029738E-2</v>
      </c>
      <c r="N160" s="2">
        <f t="shared" si="60"/>
        <v>12.330000000000041</v>
      </c>
    </row>
    <row r="161" spans="2:20" x14ac:dyDescent="0.35">
      <c r="B161" s="2">
        <v>565.48</v>
      </c>
      <c r="C161" s="2">
        <v>572.41999999999996</v>
      </c>
      <c r="D161" s="2">
        <f t="shared" si="61"/>
        <v>6.9399999999999409</v>
      </c>
      <c r="F161" s="13">
        <v>564.96</v>
      </c>
      <c r="G161" s="13">
        <v>570.70000000000005</v>
      </c>
      <c r="H161" s="13">
        <f t="shared" si="54"/>
        <v>5.7400000000000091</v>
      </c>
      <c r="I161" s="2">
        <f t="shared" si="55"/>
        <v>6.2599999999999909</v>
      </c>
      <c r="J161" s="2">
        <f t="shared" si="57"/>
        <v>0.47833333333333411</v>
      </c>
      <c r="K161" s="2">
        <f t="shared" si="58"/>
        <v>0.52166666666666595</v>
      </c>
      <c r="L161" s="2">
        <f t="shared" si="59"/>
        <v>0.17421602787456419</v>
      </c>
      <c r="M161" s="2">
        <f t="shared" si="56"/>
        <v>8.3333333333333329E-2</v>
      </c>
      <c r="N161" s="2">
        <f t="shared" si="60"/>
        <v>12</v>
      </c>
    </row>
    <row r="162" spans="2:20" x14ac:dyDescent="0.35">
      <c r="B162" s="15">
        <v>577.70000000000005</v>
      </c>
      <c r="C162" s="16">
        <v>582.96</v>
      </c>
      <c r="D162" s="17">
        <f t="shared" si="61"/>
        <v>5.2599999999999909</v>
      </c>
      <c r="F162" s="15">
        <v>576.96</v>
      </c>
      <c r="G162" s="16">
        <v>583.77</v>
      </c>
      <c r="H162" s="16">
        <f t="shared" si="54"/>
        <v>6.8099999999999454</v>
      </c>
      <c r="I162" s="17">
        <f t="shared" si="55"/>
        <v>5.1900000000000546</v>
      </c>
      <c r="J162" s="2">
        <f t="shared" si="57"/>
        <v>0.56749999999999545</v>
      </c>
      <c r="K162" s="2">
        <f t="shared" si="58"/>
        <v>0.43250000000000455</v>
      </c>
      <c r="L162" s="2">
        <f t="shared" si="59"/>
        <v>0.14684287812041233</v>
      </c>
      <c r="M162" s="2">
        <f t="shared" si="56"/>
        <v>8.3333333333333329E-2</v>
      </c>
      <c r="N162" s="2">
        <f t="shared" si="60"/>
        <v>12</v>
      </c>
    </row>
    <row r="163" spans="2:20" x14ac:dyDescent="0.35">
      <c r="B163" s="13">
        <v>589.74</v>
      </c>
      <c r="C163" s="13">
        <v>595.87</v>
      </c>
      <c r="D163" s="2">
        <f t="shared" si="61"/>
        <v>6.1299999999999955</v>
      </c>
      <c r="F163" s="13">
        <v>588.96</v>
      </c>
      <c r="G163" s="13">
        <v>594.57000000000005</v>
      </c>
      <c r="H163" s="13">
        <f t="shared" si="54"/>
        <v>5.6100000000000136</v>
      </c>
    </row>
    <row r="165" spans="2:20" x14ac:dyDescent="0.35">
      <c r="G165" s="101" t="s">
        <v>76</v>
      </c>
      <c r="H165" s="49">
        <f>AVERAGE(H142:H146,H149:H150)</f>
        <v>8.2871428571428556</v>
      </c>
      <c r="I165" s="49">
        <f t="shared" ref="I165:N165" si="62">AVERAGE(I142:I146,I149:I150)</f>
        <v>4.3899999999999944</v>
      </c>
      <c r="J165" s="49">
        <f t="shared" si="62"/>
        <v>0.65376826091369977</v>
      </c>
      <c r="K165" s="49">
        <f t="shared" si="62"/>
        <v>0.34623173908630017</v>
      </c>
      <c r="L165" s="49">
        <f t="shared" si="62"/>
        <v>0.12137286274266622</v>
      </c>
      <c r="M165" s="49">
        <f t="shared" si="62"/>
        <v>7.9171851815485597E-2</v>
      </c>
      <c r="N165" s="49">
        <f t="shared" si="62"/>
        <v>12.677142857142851</v>
      </c>
    </row>
    <row r="166" spans="2:20" x14ac:dyDescent="0.35">
      <c r="G166" s="101" t="s">
        <v>20</v>
      </c>
      <c r="H166" s="3">
        <f>AVERAGE(H151:H153,H158,H160:H161,H163)</f>
        <v>5.6928571428571706</v>
      </c>
      <c r="I166" s="3">
        <f t="shared" ref="I166:N166" si="63">AVERAGE(I151:I153,I158,I160:I161,I163)</f>
        <v>6.0716666666666397</v>
      </c>
      <c r="J166" s="3">
        <f t="shared" si="63"/>
        <v>0.48263187384236933</v>
      </c>
      <c r="K166" s="3">
        <f t="shared" si="63"/>
        <v>0.51736812615763073</v>
      </c>
      <c r="L166" s="3">
        <f t="shared" si="63"/>
        <v>0.18059591908068573</v>
      </c>
      <c r="M166" s="3">
        <f t="shared" si="63"/>
        <v>8.5114509426839111E-2</v>
      </c>
      <c r="N166" s="3">
        <f t="shared" si="63"/>
        <v>11.778333333333336</v>
      </c>
    </row>
    <row r="167" spans="2:20" x14ac:dyDescent="0.35">
      <c r="G167" s="101" t="s">
        <v>78</v>
      </c>
      <c r="H167" s="3">
        <f>AVERAGE(H154:H157)</f>
        <v>9.5949999999999989</v>
      </c>
      <c r="I167" s="3">
        <f t="shared" ref="I167:N167" si="64">AVERAGE(I154:I157)</f>
        <v>4.1699999999999973</v>
      </c>
      <c r="J167" s="3">
        <f t="shared" si="64"/>
        <v>0.53963818101295691</v>
      </c>
      <c r="K167" s="3">
        <f t="shared" si="64"/>
        <v>0.23540051515384625</v>
      </c>
      <c r="L167" s="3">
        <f t="shared" si="64"/>
        <v>0.10522789388824549</v>
      </c>
      <c r="M167" s="3">
        <f t="shared" si="64"/>
        <v>5.8850400865805633E-2</v>
      </c>
      <c r="N167" s="3">
        <f t="shared" si="64"/>
        <v>37.429999999999993</v>
      </c>
    </row>
    <row r="168" spans="2:20" x14ac:dyDescent="0.35">
      <c r="H168" s="2">
        <f>_xlfn.STDEV.S(H142:H146,H149:H150)</f>
        <v>0.63748762826465444</v>
      </c>
    </row>
    <row r="169" spans="2:20" x14ac:dyDescent="0.35">
      <c r="H169" s="2">
        <f>_xlfn.STDEV.S(H151:H153,H158,H160:H161,H163)</f>
        <v>0.89079953385923927</v>
      </c>
    </row>
    <row r="170" spans="2:20" ht="18.5" x14ac:dyDescent="0.45">
      <c r="F170" s="1" t="s">
        <v>37</v>
      </c>
    </row>
    <row r="171" spans="2:20" ht="16" thickBot="1" x14ac:dyDescent="0.4">
      <c r="B171" s="5"/>
      <c r="C171" s="5"/>
      <c r="D171" s="5"/>
      <c r="F171" s="9" t="s">
        <v>1</v>
      </c>
      <c r="G171" s="9" t="s">
        <v>2</v>
      </c>
      <c r="H171" s="9" t="s">
        <v>3</v>
      </c>
      <c r="I171" s="9" t="s">
        <v>4</v>
      </c>
      <c r="J171" s="9" t="s">
        <v>5</v>
      </c>
      <c r="K171" s="9" t="s">
        <v>6</v>
      </c>
      <c r="L171" s="9" t="s">
        <v>7</v>
      </c>
      <c r="M171" s="9" t="s">
        <v>8</v>
      </c>
      <c r="N171" s="9" t="s">
        <v>9</v>
      </c>
      <c r="O171" s="9" t="s">
        <v>10</v>
      </c>
      <c r="P171" s="5"/>
    </row>
    <row r="172" spans="2:20" x14ac:dyDescent="0.35">
      <c r="F172" s="2">
        <v>329.96</v>
      </c>
      <c r="G172" s="2">
        <v>341.83</v>
      </c>
      <c r="H172" s="2">
        <f>G172-F172</f>
        <v>11.870000000000005</v>
      </c>
      <c r="I172" s="2">
        <f>F173-G172</f>
        <v>3.0200000000000387</v>
      </c>
      <c r="J172" s="2">
        <f>H172/N172</f>
        <v>0.7971793149764923</v>
      </c>
      <c r="K172" s="2">
        <f>I172/N172</f>
        <v>0.20282068502350772</v>
      </c>
      <c r="L172" s="2">
        <f>1/H172</f>
        <v>8.4245998315080006E-2</v>
      </c>
      <c r="M172" s="2">
        <f t="shared" ref="M172:M187" si="65">1/N172</f>
        <v>6.71591672263262E-2</v>
      </c>
      <c r="N172" s="2">
        <f>F173-F172</f>
        <v>14.890000000000043</v>
      </c>
      <c r="R172" s="18" t="s">
        <v>38</v>
      </c>
      <c r="S172" s="18"/>
      <c r="T172" s="18"/>
    </row>
    <row r="173" spans="2:20" x14ac:dyDescent="0.35">
      <c r="F173" s="2">
        <v>344.85</v>
      </c>
      <c r="G173" s="2">
        <v>358.03</v>
      </c>
      <c r="H173" s="2">
        <f>G173-F173</f>
        <v>13.17999999999995</v>
      </c>
      <c r="I173" s="2">
        <f>F174-G173</f>
        <v>3.9000000000000341</v>
      </c>
      <c r="J173" s="2">
        <f t="shared" ref="J173:J187" si="66">H173/N173</f>
        <v>0.7716627634660399</v>
      </c>
      <c r="K173" s="2">
        <f t="shared" ref="K173:K187" si="67">I173/N173</f>
        <v>0.22833723653396004</v>
      </c>
      <c r="L173" s="2">
        <f t="shared" ref="L173:L187" si="68">1/H173</f>
        <v>7.5872534142640655E-2</v>
      </c>
      <c r="M173" s="2">
        <f t="shared" si="65"/>
        <v>5.854800936768155E-2</v>
      </c>
      <c r="N173" s="2">
        <f t="shared" ref="N173:N187" si="69">F174-F173</f>
        <v>17.079999999999984</v>
      </c>
    </row>
    <row r="174" spans="2:20" x14ac:dyDescent="0.35">
      <c r="F174" s="2">
        <v>361.93</v>
      </c>
      <c r="G174" s="2">
        <v>375.74</v>
      </c>
      <c r="H174" s="2">
        <f t="shared" ref="H174:H180" si="70">G174-F174</f>
        <v>13.810000000000002</v>
      </c>
      <c r="I174" s="2">
        <f t="shared" ref="I174:I180" si="71">F175-G174</f>
        <v>3.0399999999999636</v>
      </c>
      <c r="J174" s="2">
        <f t="shared" si="66"/>
        <v>0.81958456973293947</v>
      </c>
      <c r="K174" s="2">
        <f t="shared" si="67"/>
        <v>0.18041543026706053</v>
      </c>
      <c r="L174" s="2">
        <f t="shared" si="68"/>
        <v>7.2411296162201294E-2</v>
      </c>
      <c r="M174" s="2">
        <f t="shared" si="65"/>
        <v>5.9347181008902197E-2</v>
      </c>
      <c r="N174" s="2">
        <f t="shared" si="69"/>
        <v>16.849999999999966</v>
      </c>
    </row>
    <row r="175" spans="2:20" ht="16" thickBot="1" x14ac:dyDescent="0.4">
      <c r="B175" s="9" t="s">
        <v>18</v>
      </c>
      <c r="C175" s="9" t="s">
        <v>17</v>
      </c>
      <c r="D175" s="9" t="s">
        <v>20</v>
      </c>
      <c r="F175" s="13">
        <v>378.78</v>
      </c>
      <c r="G175" s="13">
        <v>392.52</v>
      </c>
      <c r="H175" s="2">
        <f t="shared" si="70"/>
        <v>13.740000000000009</v>
      </c>
      <c r="I175" s="2">
        <f t="shared" si="71"/>
        <v>3.6200000000000045</v>
      </c>
      <c r="J175" s="2">
        <f t="shared" si="66"/>
        <v>0.79147465437788012</v>
      </c>
      <c r="K175" s="2">
        <f t="shared" si="67"/>
        <v>0.20852534562211991</v>
      </c>
      <c r="L175" s="2">
        <f t="shared" si="68"/>
        <v>7.2780203784570549E-2</v>
      </c>
      <c r="M175" s="2">
        <f t="shared" si="65"/>
        <v>5.7603686635944652E-2</v>
      </c>
      <c r="N175" s="2">
        <f t="shared" si="69"/>
        <v>17.360000000000014</v>
      </c>
    </row>
    <row r="176" spans="2:20" x14ac:dyDescent="0.35">
      <c r="B176" s="2">
        <v>396.73</v>
      </c>
      <c r="C176" s="2">
        <v>405.7</v>
      </c>
      <c r="D176" s="2">
        <f>C176-B176</f>
        <v>8.9699999999999704</v>
      </c>
      <c r="F176" s="13">
        <v>396.14</v>
      </c>
      <c r="G176" s="13">
        <v>402.87</v>
      </c>
      <c r="H176" s="2">
        <f t="shared" si="70"/>
        <v>6.7300000000000182</v>
      </c>
      <c r="I176" s="2">
        <f t="shared" si="71"/>
        <v>4.8799999999999955</v>
      </c>
      <c r="J176" s="2">
        <f t="shared" si="66"/>
        <v>0.57967269595176663</v>
      </c>
      <c r="K176" s="2">
        <f t="shared" si="67"/>
        <v>0.42032730404823337</v>
      </c>
      <c r="L176" s="2">
        <f t="shared" si="68"/>
        <v>0.1485884101040115</v>
      </c>
      <c r="M176" s="2">
        <f t="shared" si="65"/>
        <v>8.6132644272179051E-2</v>
      </c>
      <c r="N176" s="2">
        <f t="shared" si="69"/>
        <v>11.610000000000014</v>
      </c>
    </row>
    <row r="177" spans="2:14" x14ac:dyDescent="0.35">
      <c r="B177" s="15">
        <v>408.85</v>
      </c>
      <c r="C177" s="16">
        <v>413.57</v>
      </c>
      <c r="D177" s="17">
        <f t="shared" ref="D177:D184" si="72">C177-B177</f>
        <v>4.7199999999999704</v>
      </c>
      <c r="F177" s="15">
        <v>407.75</v>
      </c>
      <c r="G177" s="16">
        <v>415.85</v>
      </c>
      <c r="H177" s="16">
        <f t="shared" si="70"/>
        <v>8.1000000000000227</v>
      </c>
      <c r="I177" s="17">
        <f t="shared" si="71"/>
        <v>3.6599999999999682</v>
      </c>
      <c r="J177" s="2">
        <f t="shared" si="66"/>
        <v>0.68877551020408412</v>
      </c>
      <c r="K177" s="2">
        <f t="shared" si="67"/>
        <v>0.31122448979591588</v>
      </c>
      <c r="L177" s="2">
        <f t="shared" si="68"/>
        <v>0.12345679012345645</v>
      </c>
      <c r="M177" s="2">
        <f t="shared" si="65"/>
        <v>8.5034013605442244E-2</v>
      </c>
      <c r="N177" s="2">
        <f t="shared" si="69"/>
        <v>11.759999999999991</v>
      </c>
    </row>
    <row r="178" spans="2:14" x14ac:dyDescent="0.35">
      <c r="B178" s="2">
        <v>420.34</v>
      </c>
      <c r="C178" s="2">
        <v>427.96</v>
      </c>
      <c r="D178" s="2">
        <f t="shared" si="72"/>
        <v>7.6200000000000045</v>
      </c>
      <c r="F178" s="13">
        <v>419.51</v>
      </c>
      <c r="G178" s="13">
        <v>426.48</v>
      </c>
      <c r="H178" s="2">
        <f t="shared" si="70"/>
        <v>6.9700000000000273</v>
      </c>
      <c r="I178" s="2">
        <f t="shared" si="71"/>
        <v>4.9099999999999682</v>
      </c>
      <c r="J178" s="2">
        <f t="shared" si="66"/>
        <v>0.58670033670033928</v>
      </c>
      <c r="K178" s="2">
        <f t="shared" si="67"/>
        <v>0.41329966329966078</v>
      </c>
      <c r="L178" s="2">
        <f t="shared" si="68"/>
        <v>0.14347202295552311</v>
      </c>
      <c r="M178" s="2">
        <f t="shared" si="65"/>
        <v>8.4175084175084208E-2</v>
      </c>
      <c r="N178" s="2">
        <f t="shared" si="69"/>
        <v>11.879999999999995</v>
      </c>
    </row>
    <row r="179" spans="2:14" x14ac:dyDescent="0.35">
      <c r="B179" s="13">
        <v>431.87</v>
      </c>
      <c r="C179" s="13">
        <v>437.62</v>
      </c>
      <c r="D179" s="2">
        <f t="shared" si="72"/>
        <v>5.75</v>
      </c>
      <c r="F179" s="13">
        <v>431.39</v>
      </c>
      <c r="G179" s="13">
        <v>437.46</v>
      </c>
      <c r="H179" s="2">
        <f t="shared" si="70"/>
        <v>6.0699999999999932</v>
      </c>
      <c r="I179" s="2">
        <f t="shared" si="71"/>
        <v>4.1000000000000227</v>
      </c>
      <c r="J179" s="2">
        <f t="shared" si="66"/>
        <v>0.59685349065879878</v>
      </c>
      <c r="K179" s="2">
        <f t="shared" si="67"/>
        <v>0.40314650934120122</v>
      </c>
      <c r="L179" s="2">
        <f t="shared" si="68"/>
        <v>0.16474464579901171</v>
      </c>
      <c r="M179" s="2">
        <f t="shared" si="65"/>
        <v>9.832841691248756E-2</v>
      </c>
      <c r="N179" s="2">
        <f t="shared" si="69"/>
        <v>10.170000000000016</v>
      </c>
    </row>
    <row r="180" spans="2:14" x14ac:dyDescent="0.35">
      <c r="B180" s="15">
        <v>441.58</v>
      </c>
      <c r="C180" s="16">
        <v>447.06</v>
      </c>
      <c r="D180" s="17">
        <f t="shared" si="72"/>
        <v>5.4800000000000182</v>
      </c>
      <c r="F180" s="15">
        <v>441.56</v>
      </c>
      <c r="G180" s="16">
        <v>448.8</v>
      </c>
      <c r="H180" s="16">
        <f t="shared" si="70"/>
        <v>7.2400000000000091</v>
      </c>
      <c r="I180" s="17">
        <f t="shared" si="71"/>
        <v>4.0399999999999636</v>
      </c>
      <c r="J180" s="2">
        <f t="shared" si="66"/>
        <v>0.64184397163120799</v>
      </c>
      <c r="K180" s="2">
        <f t="shared" si="67"/>
        <v>0.35815602836879196</v>
      </c>
      <c r="L180" s="2">
        <f t="shared" si="68"/>
        <v>0.13812154696132578</v>
      </c>
      <c r="M180" s="2">
        <f t="shared" si="65"/>
        <v>8.8652482269503757E-2</v>
      </c>
      <c r="N180" s="2">
        <f t="shared" si="69"/>
        <v>11.279999999999973</v>
      </c>
    </row>
    <row r="181" spans="2:14" x14ac:dyDescent="0.35">
      <c r="B181" s="13">
        <v>453.34</v>
      </c>
      <c r="C181" s="13">
        <v>460.68</v>
      </c>
      <c r="D181" s="2">
        <f t="shared" si="72"/>
        <v>7.3400000000000318</v>
      </c>
      <c r="F181" s="13">
        <v>452.84</v>
      </c>
      <c r="G181" s="13">
        <v>459.26</v>
      </c>
      <c r="H181" s="2">
        <f t="shared" ref="H181:H187" si="73">G181-F181</f>
        <v>6.4200000000000159</v>
      </c>
      <c r="I181" s="2">
        <f t="shared" ref="I181:I187" si="74">F182-G181</f>
        <v>5.0500000000000114</v>
      </c>
      <c r="J181" s="2">
        <f t="shared" si="66"/>
        <v>0.55972101133391461</v>
      </c>
      <c r="K181" s="2">
        <f t="shared" si="67"/>
        <v>0.44027898866608539</v>
      </c>
      <c r="L181" s="2">
        <f t="shared" si="68"/>
        <v>0.15576323987538901</v>
      </c>
      <c r="M181" s="2">
        <f t="shared" si="65"/>
        <v>8.7183958151699881E-2</v>
      </c>
      <c r="N181" s="2">
        <f t="shared" si="69"/>
        <v>11.470000000000027</v>
      </c>
    </row>
    <row r="182" spans="2:14" x14ac:dyDescent="0.35">
      <c r="B182" s="13">
        <v>465.25</v>
      </c>
      <c r="C182" s="13">
        <v>473.21</v>
      </c>
      <c r="D182" s="2">
        <f t="shared" si="72"/>
        <v>7.9599999999999795</v>
      </c>
      <c r="F182" s="13">
        <v>464.31</v>
      </c>
      <c r="G182" s="13">
        <v>472.27</v>
      </c>
      <c r="H182" s="2">
        <f t="shared" si="73"/>
        <v>7.9599999999999795</v>
      </c>
      <c r="I182" s="2">
        <f t="shared" si="74"/>
        <v>4.7400000000000091</v>
      </c>
      <c r="J182" s="2">
        <f t="shared" si="66"/>
        <v>0.626771653543306</v>
      </c>
      <c r="K182" s="2">
        <f t="shared" si="67"/>
        <v>0.37322834645669395</v>
      </c>
      <c r="L182" s="2">
        <f t="shared" si="68"/>
        <v>0.12562814070351791</v>
      </c>
      <c r="M182" s="2">
        <f t="shared" si="65"/>
        <v>7.8740157480315029E-2</v>
      </c>
      <c r="N182" s="2">
        <f t="shared" si="69"/>
        <v>12.699999999999989</v>
      </c>
    </row>
    <row r="183" spans="2:14" x14ac:dyDescent="0.35">
      <c r="B183" s="13">
        <v>478.11</v>
      </c>
      <c r="C183" s="13">
        <v>484.56</v>
      </c>
      <c r="D183" s="2">
        <f t="shared" si="72"/>
        <v>6.4499999999999886</v>
      </c>
      <c r="F183" s="13">
        <v>477.01</v>
      </c>
      <c r="G183" s="13">
        <v>482.46</v>
      </c>
      <c r="H183" s="2">
        <f t="shared" si="73"/>
        <v>5.4499999999999886</v>
      </c>
      <c r="I183" s="2">
        <f t="shared" si="74"/>
        <v>5.8900000000000432</v>
      </c>
      <c r="J183" s="2">
        <f t="shared" si="66"/>
        <v>0.4805996472663116</v>
      </c>
      <c r="K183" s="2">
        <f t="shared" si="67"/>
        <v>0.51940035273368845</v>
      </c>
      <c r="L183" s="2">
        <f t="shared" si="68"/>
        <v>0.18348623853211046</v>
      </c>
      <c r="M183" s="2">
        <f t="shared" si="65"/>
        <v>8.8183421516754609E-2</v>
      </c>
      <c r="N183" s="2">
        <f t="shared" si="69"/>
        <v>11.340000000000032</v>
      </c>
    </row>
    <row r="184" spans="2:14" x14ac:dyDescent="0.35">
      <c r="B184" s="13">
        <v>488.83</v>
      </c>
      <c r="C184" s="13">
        <v>495.46</v>
      </c>
      <c r="D184" s="2">
        <f t="shared" si="72"/>
        <v>6.6299999999999955</v>
      </c>
      <c r="F184" s="13">
        <v>488.35</v>
      </c>
      <c r="G184" s="13">
        <v>494.74</v>
      </c>
      <c r="H184" s="13">
        <f t="shared" si="73"/>
        <v>6.3899999999999864</v>
      </c>
      <c r="I184" s="2">
        <f t="shared" si="74"/>
        <v>4.9200000000000159</v>
      </c>
      <c r="J184" s="2">
        <f t="shared" si="66"/>
        <v>0.56498673740052918</v>
      </c>
      <c r="K184" s="2">
        <f t="shared" si="67"/>
        <v>0.43501326259947082</v>
      </c>
      <c r="L184" s="2">
        <f t="shared" si="68"/>
        <v>0.15649452269170613</v>
      </c>
      <c r="M184" s="2">
        <f t="shared" si="65"/>
        <v>8.8417329796640118E-2</v>
      </c>
      <c r="N184" s="2">
        <f t="shared" si="69"/>
        <v>11.310000000000002</v>
      </c>
    </row>
    <row r="185" spans="2:14" x14ac:dyDescent="0.35">
      <c r="B185" s="320" t="s">
        <v>21</v>
      </c>
      <c r="C185" s="321"/>
      <c r="D185" s="322"/>
      <c r="F185" s="10">
        <v>499.66</v>
      </c>
      <c r="G185" s="11">
        <v>518.94000000000005</v>
      </c>
      <c r="H185" s="11">
        <f t="shared" si="73"/>
        <v>19.28000000000003</v>
      </c>
      <c r="I185" s="12">
        <f t="shared" si="74"/>
        <v>2.9899999999998954</v>
      </c>
      <c r="J185" s="2">
        <f t="shared" si="66"/>
        <v>0.8657386618769688</v>
      </c>
      <c r="K185" s="2">
        <f t="shared" si="67"/>
        <v>0.13426133812303123</v>
      </c>
      <c r="L185" s="2">
        <f t="shared" si="68"/>
        <v>5.1867219917012368E-2</v>
      </c>
      <c r="M185" s="2">
        <f t="shared" si="65"/>
        <v>4.4903457566232749E-2</v>
      </c>
      <c r="N185" s="2">
        <f t="shared" si="69"/>
        <v>22.269999999999925</v>
      </c>
    </row>
    <row r="186" spans="2:14" x14ac:dyDescent="0.35">
      <c r="B186" s="320" t="s">
        <v>21</v>
      </c>
      <c r="C186" s="321"/>
      <c r="D186" s="322"/>
      <c r="F186" s="10">
        <v>521.92999999999995</v>
      </c>
      <c r="G186" s="11">
        <v>532.94000000000005</v>
      </c>
      <c r="H186" s="11">
        <f t="shared" si="73"/>
        <v>11.010000000000105</v>
      </c>
      <c r="I186" s="12">
        <f t="shared" si="74"/>
        <v>3.8999999999999773</v>
      </c>
      <c r="J186" s="2">
        <f t="shared" si="66"/>
        <v>0.73843058350100899</v>
      </c>
      <c r="K186" s="2">
        <f t="shared" si="67"/>
        <v>0.26156941649899101</v>
      </c>
      <c r="L186" s="2">
        <f t="shared" si="68"/>
        <v>9.082652134423165E-2</v>
      </c>
      <c r="M186" s="2">
        <f t="shared" si="65"/>
        <v>6.7069081153587826E-2</v>
      </c>
      <c r="N186" s="2">
        <f t="shared" si="69"/>
        <v>14.910000000000082</v>
      </c>
    </row>
    <row r="187" spans="2:14" x14ac:dyDescent="0.35">
      <c r="B187" s="320" t="s">
        <v>21</v>
      </c>
      <c r="C187" s="321"/>
      <c r="D187" s="322"/>
      <c r="F187" s="10">
        <v>536.84</v>
      </c>
      <c r="G187" s="11">
        <v>550.85</v>
      </c>
      <c r="H187" s="11">
        <f t="shared" si="73"/>
        <v>14.009999999999991</v>
      </c>
      <c r="I187" s="12">
        <f t="shared" si="74"/>
        <v>3.7200000000000273</v>
      </c>
      <c r="J187" s="2">
        <f t="shared" si="66"/>
        <v>0.79018612521150455</v>
      </c>
      <c r="K187" s="2">
        <f t="shared" si="67"/>
        <v>0.20981387478849539</v>
      </c>
      <c r="L187" s="2">
        <f t="shared" si="68"/>
        <v>7.137758743754466E-2</v>
      </c>
      <c r="M187" s="2">
        <f t="shared" si="65"/>
        <v>5.6401579244218777E-2</v>
      </c>
      <c r="N187" s="2">
        <f t="shared" si="69"/>
        <v>17.730000000000018</v>
      </c>
    </row>
    <row r="188" spans="2:14" x14ac:dyDescent="0.35">
      <c r="F188" s="13">
        <v>554.57000000000005</v>
      </c>
    </row>
    <row r="190" spans="2:14" x14ac:dyDescent="0.35">
      <c r="G190" s="101" t="s">
        <v>76</v>
      </c>
      <c r="H190" s="3">
        <f>AVERAGE(H172:H175)</f>
        <v>13.149999999999991</v>
      </c>
      <c r="I190" s="3">
        <f t="shared" ref="I190:N190" si="75">AVERAGE(I172:I175)</f>
        <v>3.3950000000000102</v>
      </c>
      <c r="J190" s="3">
        <f t="shared" si="75"/>
        <v>0.79497532563833784</v>
      </c>
      <c r="K190" s="3">
        <f t="shared" si="75"/>
        <v>0.20502467436166205</v>
      </c>
      <c r="L190" s="3">
        <f t="shared" si="75"/>
        <v>7.6327508101123126E-2</v>
      </c>
      <c r="M190" s="3">
        <f t="shared" si="75"/>
        <v>6.0664511059713648E-2</v>
      </c>
      <c r="N190" s="3">
        <f t="shared" si="75"/>
        <v>16.545000000000002</v>
      </c>
    </row>
    <row r="191" spans="2:14" x14ac:dyDescent="0.35">
      <c r="G191" s="101" t="s">
        <v>20</v>
      </c>
      <c r="H191" s="3">
        <f>AVERAGE(H176,H178:H179,H181:H184)</f>
        <v>6.5700000000000012</v>
      </c>
      <c r="I191" s="3">
        <f t="shared" ref="I191:N191" si="76">AVERAGE(I176,I178:I179,I181:I184)</f>
        <v>4.9271428571428668</v>
      </c>
      <c r="J191" s="3">
        <f t="shared" si="76"/>
        <v>0.57075793897928084</v>
      </c>
      <c r="K191" s="3">
        <f t="shared" si="76"/>
        <v>0.42924206102071916</v>
      </c>
      <c r="L191" s="3">
        <f t="shared" si="76"/>
        <v>0.15402531723732427</v>
      </c>
      <c r="M191" s="3">
        <f t="shared" si="76"/>
        <v>8.7308716043594345E-2</v>
      </c>
      <c r="N191" s="3">
        <f t="shared" si="76"/>
        <v>11.497142857142867</v>
      </c>
    </row>
    <row r="192" spans="2:14" x14ac:dyDescent="0.35">
      <c r="G192" s="101" t="s">
        <v>78</v>
      </c>
      <c r="H192" s="3">
        <f>AVERAGE(H185:H187)</f>
        <v>14.766666666666708</v>
      </c>
      <c r="I192" s="3">
        <f t="shared" ref="I192:N192" si="77">AVERAGE(I185:I187)</f>
        <v>3.5366666666666333</v>
      </c>
      <c r="J192" s="3">
        <f t="shared" si="77"/>
        <v>0.79811845686316074</v>
      </c>
      <c r="K192" s="3">
        <f t="shared" si="77"/>
        <v>0.20188154313683918</v>
      </c>
      <c r="L192" s="3">
        <f t="shared" si="77"/>
        <v>7.1357109566262886E-2</v>
      </c>
      <c r="M192" s="3">
        <f t="shared" si="77"/>
        <v>5.6124705988013113E-2</v>
      </c>
      <c r="N192" s="3">
        <f t="shared" si="77"/>
        <v>18.303333333333342</v>
      </c>
    </row>
  </sheetData>
  <mergeCells count="34">
    <mergeCell ref="B187:D187"/>
    <mergeCell ref="B25:D25"/>
    <mergeCell ref="B29:D29"/>
    <mergeCell ref="B157:D157"/>
    <mergeCell ref="B185:D185"/>
    <mergeCell ref="B186:D186"/>
    <mergeCell ref="B89:D89"/>
    <mergeCell ref="B31:D31"/>
    <mergeCell ref="B46:D46"/>
    <mergeCell ref="B47:D47"/>
    <mergeCell ref="B48:D48"/>
    <mergeCell ref="B49:D49"/>
    <mergeCell ref="B54:D54"/>
    <mergeCell ref="B55:D55"/>
    <mergeCell ref="B56:D56"/>
    <mergeCell ref="B57:D57"/>
    <mergeCell ref="B88:D88"/>
    <mergeCell ref="B90:D90"/>
    <mergeCell ref="B130:D130"/>
    <mergeCell ref="B103:D103"/>
    <mergeCell ref="B104:D104"/>
    <mergeCell ref="B105:D105"/>
    <mergeCell ref="B106:D106"/>
    <mergeCell ref="B107:D107"/>
    <mergeCell ref="B112:D112"/>
    <mergeCell ref="B113:D113"/>
    <mergeCell ref="B114:D114"/>
    <mergeCell ref="B156:D156"/>
    <mergeCell ref="B115:D115"/>
    <mergeCell ref="B116:D116"/>
    <mergeCell ref="B117:D117"/>
    <mergeCell ref="B118:D118"/>
    <mergeCell ref="B154:D154"/>
    <mergeCell ref="B155:D15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25"/>
  <sheetViews>
    <sheetView topLeftCell="A19" workbookViewId="0">
      <selection activeCell="O20" sqref="O20:P20"/>
    </sheetView>
  </sheetViews>
  <sheetFormatPr defaultColWidth="9.1796875" defaultRowHeight="14.5" x14ac:dyDescent="0.35"/>
  <cols>
    <col min="1" max="1" width="9.1796875" style="2"/>
    <col min="2" max="2" width="11.81640625" style="2" customWidth="1"/>
    <col min="3" max="3" width="10.54296875" style="2" customWidth="1"/>
    <col min="4" max="7" width="9.1796875" style="2"/>
    <col min="8" max="8" width="10.453125" style="2" customWidth="1"/>
    <col min="9" max="9" width="9.81640625" style="2" customWidth="1"/>
    <col min="10" max="12" width="9.1796875" style="2"/>
    <col min="13" max="13" width="11.26953125" style="2" customWidth="1"/>
    <col min="14" max="19" width="9.1796875" style="2"/>
    <col min="20" max="20" width="11.7265625" style="2" customWidth="1"/>
    <col min="21" max="16384" width="9.1796875" style="2"/>
  </cols>
  <sheetData>
    <row r="1" spans="3:23" ht="15.5" x14ac:dyDescent="0.35">
      <c r="C1" s="4" t="s">
        <v>16</v>
      </c>
    </row>
    <row r="3" spans="3:23" ht="18.5" x14ac:dyDescent="0.45">
      <c r="C3" s="1" t="s">
        <v>33</v>
      </c>
    </row>
    <row r="4" spans="3:23" ht="19" thickBot="1" x14ac:dyDescent="0.5">
      <c r="F4" s="1" t="s">
        <v>0</v>
      </c>
      <c r="G4" s="3"/>
      <c r="H4" s="3"/>
      <c r="I4" s="3"/>
      <c r="J4" s="3"/>
      <c r="K4" s="3"/>
      <c r="L4" s="3"/>
      <c r="M4" s="3"/>
      <c r="N4" s="3"/>
      <c r="O4" s="3"/>
      <c r="P4" s="3"/>
      <c r="Q4" s="3"/>
      <c r="R4" s="9" t="s">
        <v>11</v>
      </c>
      <c r="S4" s="9" t="s">
        <v>12</v>
      </c>
      <c r="T4" s="9" t="s">
        <v>13</v>
      </c>
      <c r="U4" s="9" t="s">
        <v>14</v>
      </c>
      <c r="W4" s="14" t="s">
        <v>51</v>
      </c>
    </row>
    <row r="5" spans="3:23" s="4" customFormat="1" ht="16" thickBot="1" x14ac:dyDescent="0.4">
      <c r="F5" s="9" t="s">
        <v>1</v>
      </c>
      <c r="G5" s="9" t="s">
        <v>2</v>
      </c>
      <c r="H5" s="9" t="s">
        <v>3</v>
      </c>
      <c r="I5" s="9" t="s">
        <v>4</v>
      </c>
      <c r="J5" s="9" t="s">
        <v>5</v>
      </c>
      <c r="K5" s="9" t="s">
        <v>6</v>
      </c>
      <c r="L5" s="9" t="s">
        <v>7</v>
      </c>
      <c r="M5" s="9" t="s">
        <v>8</v>
      </c>
      <c r="N5" s="9" t="s">
        <v>9</v>
      </c>
      <c r="O5" s="9" t="s">
        <v>10</v>
      </c>
      <c r="P5" s="5" t="s">
        <v>297</v>
      </c>
      <c r="Q5" s="5"/>
      <c r="R5" s="2">
        <v>6.33</v>
      </c>
      <c r="S5" s="2">
        <v>18.690000000000001</v>
      </c>
      <c r="T5" s="2">
        <f>S5-R5</f>
        <v>12.360000000000001</v>
      </c>
      <c r="U5" s="2">
        <f>R6-S5</f>
        <v>12.049999999999997</v>
      </c>
    </row>
    <row r="6" spans="3:23" x14ac:dyDescent="0.35">
      <c r="F6" s="2">
        <v>36.18</v>
      </c>
      <c r="G6" s="2">
        <v>44.51</v>
      </c>
      <c r="H6" s="2">
        <f>G6-F6</f>
        <v>8.3299999999999983</v>
      </c>
      <c r="I6" s="2">
        <f>F7-G6</f>
        <v>3.3800000000000026</v>
      </c>
      <c r="J6" s="2">
        <f>H6/N6</f>
        <v>0.71135781383432939</v>
      </c>
      <c r="K6" s="2">
        <f>I6/N6</f>
        <v>0.28864218616567056</v>
      </c>
      <c r="L6" s="2">
        <f>1/H6</f>
        <v>0.1200480192076831</v>
      </c>
      <c r="M6" s="2">
        <f>1/N6</f>
        <v>8.5397096498719044E-2</v>
      </c>
      <c r="N6" s="2">
        <f>H6+I6</f>
        <v>11.71</v>
      </c>
      <c r="O6" s="2">
        <v>46</v>
      </c>
      <c r="P6" s="2">
        <f>O6/H6</f>
        <v>5.5222088835534224</v>
      </c>
      <c r="R6" s="2">
        <v>30.74</v>
      </c>
      <c r="S6" s="2">
        <v>44.56</v>
      </c>
      <c r="T6" s="2">
        <f>S6-R6</f>
        <v>13.820000000000004</v>
      </c>
      <c r="U6" s="2">
        <f>R7-S6</f>
        <v>2.9499999999999957</v>
      </c>
    </row>
    <row r="7" spans="3:23" x14ac:dyDescent="0.35">
      <c r="F7" s="2">
        <v>47.89</v>
      </c>
      <c r="G7" s="2">
        <v>54.76</v>
      </c>
      <c r="H7" s="2">
        <f t="shared" ref="H7:H19" si="0">G7-F7</f>
        <v>6.8699999999999974</v>
      </c>
      <c r="I7" s="2">
        <f t="shared" ref="I7:I18" si="1">F8-G7</f>
        <v>3.0200000000000031</v>
      </c>
      <c r="J7" s="2">
        <f t="shared" ref="J7:J18" si="2">H7/N7</f>
        <v>0.69464105156723932</v>
      </c>
      <c r="K7" s="2">
        <f t="shared" ref="K7:K18" si="3">I7/N7</f>
        <v>0.30535894843276068</v>
      </c>
      <c r="L7" s="2">
        <f t="shared" ref="L7:L18" si="4">1/H7</f>
        <v>0.14556040756914124</v>
      </c>
      <c r="M7" s="2">
        <f t="shared" ref="M7:M18" si="5">1/N7</f>
        <v>0.10111223458038422</v>
      </c>
      <c r="N7" s="2">
        <f t="shared" ref="N7:N18" si="6">H7+I7</f>
        <v>9.89</v>
      </c>
      <c r="O7" s="2">
        <v>38</v>
      </c>
      <c r="P7" s="2">
        <f t="shared" ref="P7:P18" si="7">O7/H7</f>
        <v>5.531295487627367</v>
      </c>
      <c r="R7" s="2">
        <v>47.51</v>
      </c>
      <c r="S7" s="2">
        <v>73.489999999999995</v>
      </c>
      <c r="T7" s="2">
        <f>S7-R7</f>
        <v>25.979999999999997</v>
      </c>
      <c r="U7" s="2">
        <f>R11-S7</f>
        <v>9.0400000000000063</v>
      </c>
    </row>
    <row r="8" spans="3:23" x14ac:dyDescent="0.35">
      <c r="F8" s="2">
        <v>57.78</v>
      </c>
      <c r="G8" s="2">
        <v>64.05</v>
      </c>
      <c r="H8" s="2">
        <f t="shared" si="0"/>
        <v>6.269999999999996</v>
      </c>
      <c r="I8" s="2">
        <f t="shared" si="1"/>
        <v>3.6899999999999977</v>
      </c>
      <c r="J8" s="2">
        <f t="shared" si="2"/>
        <v>0.62951807228915657</v>
      </c>
      <c r="K8" s="2">
        <f t="shared" si="3"/>
        <v>0.37048192771084337</v>
      </c>
      <c r="L8" s="2">
        <f t="shared" si="4"/>
        <v>0.15948963317384379</v>
      </c>
      <c r="M8" s="2">
        <f t="shared" si="5"/>
        <v>0.10040160642570288</v>
      </c>
      <c r="N8" s="2">
        <f t="shared" si="6"/>
        <v>9.9599999999999937</v>
      </c>
      <c r="O8" s="2">
        <v>29</v>
      </c>
      <c r="P8" s="2">
        <f t="shared" si="7"/>
        <v>4.62519936204147</v>
      </c>
    </row>
    <row r="9" spans="3:23" x14ac:dyDescent="0.35">
      <c r="F9" s="13">
        <v>67.739999999999995</v>
      </c>
      <c r="G9" s="13">
        <v>72.900000000000006</v>
      </c>
      <c r="H9" s="2">
        <f t="shared" si="0"/>
        <v>5.1600000000000108</v>
      </c>
      <c r="I9" s="2">
        <f t="shared" si="1"/>
        <v>2.7999999999999972</v>
      </c>
      <c r="J9" s="2">
        <f t="shared" si="2"/>
        <v>0.64824120603015145</v>
      </c>
      <c r="K9" s="2">
        <f t="shared" si="3"/>
        <v>0.35175879396984855</v>
      </c>
      <c r="L9" s="2">
        <f t="shared" si="4"/>
        <v>0.1937984496124027</v>
      </c>
      <c r="M9" s="2">
        <f t="shared" si="5"/>
        <v>0.12562814070351747</v>
      </c>
      <c r="N9" s="2">
        <f t="shared" si="6"/>
        <v>7.960000000000008</v>
      </c>
      <c r="O9" s="2">
        <v>61</v>
      </c>
      <c r="P9" s="2">
        <f t="shared" si="7"/>
        <v>11.821705426356564</v>
      </c>
    </row>
    <row r="10" spans="3:23" x14ac:dyDescent="0.35">
      <c r="F10" s="13">
        <v>75.7</v>
      </c>
      <c r="G10" s="13">
        <v>80.010000000000005</v>
      </c>
      <c r="H10" s="13">
        <f t="shared" si="0"/>
        <v>4.3100000000000023</v>
      </c>
      <c r="I10" s="2">
        <f t="shared" si="1"/>
        <v>5.519999999999996</v>
      </c>
      <c r="J10" s="2">
        <f t="shared" si="2"/>
        <v>0.43845371312309289</v>
      </c>
      <c r="K10" s="2">
        <f t="shared" si="3"/>
        <v>0.56154628687690711</v>
      </c>
      <c r="L10" s="2">
        <f t="shared" si="4"/>
        <v>0.23201856148491867</v>
      </c>
      <c r="M10" s="2">
        <f t="shared" si="5"/>
        <v>0.10172939979654122</v>
      </c>
      <c r="N10" s="2">
        <f t="shared" si="6"/>
        <v>9.8299999999999983</v>
      </c>
      <c r="O10" s="2">
        <v>42</v>
      </c>
      <c r="P10" s="2">
        <f t="shared" si="7"/>
        <v>9.7447795823665846</v>
      </c>
    </row>
    <row r="11" spans="3:23" x14ac:dyDescent="0.35">
      <c r="F11" s="13">
        <v>85.53</v>
      </c>
      <c r="G11" s="13">
        <v>92.32</v>
      </c>
      <c r="H11" s="2">
        <f t="shared" si="0"/>
        <v>6.789999999999992</v>
      </c>
      <c r="I11" s="2">
        <f t="shared" si="1"/>
        <v>5.0100000000000051</v>
      </c>
      <c r="J11" s="2">
        <f t="shared" si="2"/>
        <v>0.57542372881355874</v>
      </c>
      <c r="K11" s="2">
        <f t="shared" si="3"/>
        <v>0.4245762711864412</v>
      </c>
      <c r="L11" s="2">
        <f t="shared" si="4"/>
        <v>0.14727540500736394</v>
      </c>
      <c r="M11" s="2">
        <f t="shared" si="5"/>
        <v>8.4745762711864431E-2</v>
      </c>
      <c r="N11" s="2">
        <f t="shared" si="6"/>
        <v>11.799999999999997</v>
      </c>
      <c r="O11" s="2">
        <v>38</v>
      </c>
      <c r="P11" s="2">
        <f t="shared" si="7"/>
        <v>5.59646539027983</v>
      </c>
      <c r="R11" s="2">
        <v>82.53</v>
      </c>
      <c r="S11" s="2">
        <v>103.58</v>
      </c>
      <c r="T11" s="2">
        <f>S11-R11</f>
        <v>21.049999999999997</v>
      </c>
      <c r="U11" s="2">
        <f>R13-S11</f>
        <v>3.7600000000000051</v>
      </c>
    </row>
    <row r="12" spans="3:23" x14ac:dyDescent="0.35">
      <c r="F12" s="13">
        <v>97.33</v>
      </c>
      <c r="G12" s="13">
        <v>103.84</v>
      </c>
      <c r="H12" s="2">
        <f t="shared" si="0"/>
        <v>6.5100000000000051</v>
      </c>
      <c r="I12" s="2">
        <f t="shared" si="1"/>
        <v>3.4200000000000017</v>
      </c>
      <c r="J12" s="2">
        <f t="shared" si="2"/>
        <v>0.65558912386706958</v>
      </c>
      <c r="K12" s="2">
        <f t="shared" si="3"/>
        <v>0.34441087613293042</v>
      </c>
      <c r="L12" s="2">
        <f t="shared" si="4"/>
        <v>0.15360983102918574</v>
      </c>
      <c r="M12" s="2">
        <f t="shared" si="5"/>
        <v>0.10070493454179248</v>
      </c>
      <c r="N12" s="2">
        <f t="shared" si="6"/>
        <v>9.9300000000000068</v>
      </c>
      <c r="O12" s="2">
        <v>27</v>
      </c>
      <c r="P12" s="2">
        <f t="shared" si="7"/>
        <v>4.1474654377880151</v>
      </c>
    </row>
    <row r="13" spans="3:23" x14ac:dyDescent="0.35">
      <c r="F13" s="13">
        <v>107.26</v>
      </c>
      <c r="G13" s="13">
        <v>112.34</v>
      </c>
      <c r="H13" s="2">
        <f t="shared" si="0"/>
        <v>5.0799999999999983</v>
      </c>
      <c r="I13" s="2">
        <f t="shared" si="1"/>
        <v>5.6400000000000006</v>
      </c>
      <c r="J13" s="2">
        <f t="shared" si="2"/>
        <v>0.47388059701492524</v>
      </c>
      <c r="K13" s="2">
        <f t="shared" si="3"/>
        <v>0.52611940298507476</v>
      </c>
      <c r="L13" s="2">
        <f t="shared" si="4"/>
        <v>0.19685039370078747</v>
      </c>
      <c r="M13" s="2">
        <f t="shared" si="5"/>
        <v>9.3283582089552244E-2</v>
      </c>
      <c r="N13" s="2">
        <f t="shared" si="6"/>
        <v>10.719999999999999</v>
      </c>
      <c r="O13" s="2">
        <v>33</v>
      </c>
      <c r="P13" s="2">
        <f t="shared" si="7"/>
        <v>6.496062992125986</v>
      </c>
      <c r="R13" s="13">
        <v>107.34</v>
      </c>
      <c r="S13" s="13">
        <v>122.33</v>
      </c>
      <c r="T13" s="2">
        <f>S13-R13</f>
        <v>14.989999999999995</v>
      </c>
      <c r="U13" s="2">
        <f>R15-S13</f>
        <v>5.2199999999999989</v>
      </c>
    </row>
    <row r="14" spans="3:23" x14ac:dyDescent="0.35">
      <c r="F14" s="13">
        <v>117.98</v>
      </c>
      <c r="G14" s="13">
        <v>124.13</v>
      </c>
      <c r="H14" s="2">
        <f t="shared" si="0"/>
        <v>6.1499999999999915</v>
      </c>
      <c r="I14" s="2">
        <f t="shared" si="1"/>
        <v>3.6400000000000006</v>
      </c>
      <c r="J14" s="2">
        <f t="shared" si="2"/>
        <v>0.62819203268641433</v>
      </c>
      <c r="K14" s="2">
        <f t="shared" si="3"/>
        <v>0.37180796731358567</v>
      </c>
      <c r="L14" s="2">
        <f t="shared" si="4"/>
        <v>0.16260162601626038</v>
      </c>
      <c r="M14" s="2">
        <f t="shared" si="5"/>
        <v>0.10214504596527077</v>
      </c>
      <c r="N14" s="2">
        <f t="shared" si="6"/>
        <v>9.789999999999992</v>
      </c>
      <c r="O14" s="2">
        <v>38</v>
      </c>
      <c r="P14" s="2">
        <f t="shared" si="7"/>
        <v>6.1788617886178949</v>
      </c>
    </row>
    <row r="15" spans="3:23" x14ac:dyDescent="0.35">
      <c r="F15" s="13">
        <v>127.77</v>
      </c>
      <c r="G15" s="13">
        <v>134.13</v>
      </c>
      <c r="H15" s="2">
        <f t="shared" si="0"/>
        <v>6.3599999999999994</v>
      </c>
      <c r="I15" s="2">
        <f t="shared" si="1"/>
        <v>3.2599999999999909</v>
      </c>
      <c r="J15" s="2">
        <f t="shared" si="2"/>
        <v>0.66112266112266171</v>
      </c>
      <c r="K15" s="2">
        <f t="shared" si="3"/>
        <v>0.33887733887733829</v>
      </c>
      <c r="L15" s="2">
        <f t="shared" si="4"/>
        <v>0.15723270440251574</v>
      </c>
      <c r="M15" s="2">
        <f t="shared" si="5"/>
        <v>0.10395010395010405</v>
      </c>
      <c r="N15" s="2">
        <f t="shared" si="6"/>
        <v>9.6199999999999903</v>
      </c>
      <c r="O15" s="2">
        <v>36</v>
      </c>
      <c r="P15" s="2">
        <f t="shared" si="7"/>
        <v>5.6603773584905666</v>
      </c>
      <c r="R15" s="13">
        <v>127.55</v>
      </c>
      <c r="S15" s="13">
        <v>140.81</v>
      </c>
      <c r="T15" s="2">
        <f>S15-R15</f>
        <v>13.260000000000005</v>
      </c>
      <c r="U15" s="2">
        <f>R17-S15</f>
        <v>6.1200000000000045</v>
      </c>
    </row>
    <row r="16" spans="3:23" x14ac:dyDescent="0.35">
      <c r="F16" s="13">
        <v>137.38999999999999</v>
      </c>
      <c r="G16" s="13">
        <v>143.69999999999999</v>
      </c>
      <c r="H16" s="2">
        <f t="shared" si="0"/>
        <v>6.3100000000000023</v>
      </c>
      <c r="I16" s="2">
        <f t="shared" si="1"/>
        <v>5.0300000000000011</v>
      </c>
      <c r="J16" s="2">
        <f t="shared" si="2"/>
        <v>0.5564373897707231</v>
      </c>
      <c r="K16" s="2">
        <f t="shared" si="3"/>
        <v>0.44356261022927684</v>
      </c>
      <c r="L16" s="2">
        <f t="shared" si="4"/>
        <v>0.15847860538827252</v>
      </c>
      <c r="M16" s="2">
        <f t="shared" si="5"/>
        <v>8.8183421516754817E-2</v>
      </c>
      <c r="N16" s="2">
        <f t="shared" si="6"/>
        <v>11.340000000000003</v>
      </c>
      <c r="O16" s="2">
        <v>53</v>
      </c>
      <c r="P16" s="2">
        <f t="shared" si="7"/>
        <v>8.3993660855784444</v>
      </c>
    </row>
    <row r="17" spans="2:24" x14ac:dyDescent="0.35">
      <c r="F17" s="13">
        <v>148.72999999999999</v>
      </c>
      <c r="G17" s="13">
        <v>157.41999999999999</v>
      </c>
      <c r="H17" s="13">
        <f t="shared" si="0"/>
        <v>8.6899999999999977</v>
      </c>
      <c r="I17" s="2">
        <f t="shared" si="1"/>
        <v>2.8900000000000148</v>
      </c>
      <c r="J17" s="2">
        <f t="shared" si="2"/>
        <v>0.75043177892918722</v>
      </c>
      <c r="K17" s="2">
        <f t="shared" si="3"/>
        <v>0.24956822107081275</v>
      </c>
      <c r="L17" s="2">
        <f t="shared" si="4"/>
        <v>0.11507479861910244</v>
      </c>
      <c r="M17" s="2">
        <f t="shared" si="5"/>
        <v>8.6355785837651036E-2</v>
      </c>
      <c r="N17" s="2">
        <f t="shared" si="6"/>
        <v>11.580000000000013</v>
      </c>
      <c r="O17" s="2">
        <v>36</v>
      </c>
      <c r="P17" s="2">
        <f t="shared" si="7"/>
        <v>4.1426927502876882</v>
      </c>
      <c r="R17" s="13">
        <v>146.93</v>
      </c>
      <c r="S17" s="13">
        <v>155.53</v>
      </c>
      <c r="T17" s="2">
        <f>S17-R17</f>
        <v>8.5999999999999943</v>
      </c>
      <c r="U17" s="2">
        <f>R19-S17</f>
        <v>12.259999999999991</v>
      </c>
    </row>
    <row r="18" spans="2:24" x14ac:dyDescent="0.35">
      <c r="F18" s="13">
        <v>160.31</v>
      </c>
      <c r="G18" s="13">
        <v>166.11</v>
      </c>
      <c r="H18" s="13">
        <f t="shared" si="0"/>
        <v>5.8000000000000114</v>
      </c>
      <c r="I18" s="2">
        <f t="shared" si="1"/>
        <v>3.6099999999999852</v>
      </c>
      <c r="J18" s="2">
        <f t="shared" si="2"/>
        <v>0.6163655685441034</v>
      </c>
      <c r="K18" s="2">
        <f t="shared" si="3"/>
        <v>0.38363443145589654</v>
      </c>
      <c r="L18" s="2">
        <f t="shared" si="4"/>
        <v>0.17241379310344793</v>
      </c>
      <c r="M18" s="2">
        <f t="shared" si="5"/>
        <v>0.10626992561105211</v>
      </c>
      <c r="N18" s="2">
        <f t="shared" si="6"/>
        <v>9.4099999999999966</v>
      </c>
      <c r="O18" s="2">
        <v>61</v>
      </c>
      <c r="P18" s="2">
        <f t="shared" si="7"/>
        <v>10.517241379310324</v>
      </c>
    </row>
    <row r="19" spans="2:24" x14ac:dyDescent="0.35">
      <c r="F19" s="13">
        <v>169.72</v>
      </c>
      <c r="G19" s="13">
        <v>176.17</v>
      </c>
      <c r="H19" s="13">
        <f t="shared" si="0"/>
        <v>6.4499999999999886</v>
      </c>
      <c r="R19" s="13">
        <v>167.79</v>
      </c>
      <c r="S19" s="13">
        <v>176.3</v>
      </c>
      <c r="T19" s="2">
        <f>S19-R19</f>
        <v>8.5100000000000193</v>
      </c>
    </row>
    <row r="20" spans="2:24" x14ac:dyDescent="0.35">
      <c r="F20" s="13"/>
      <c r="G20" s="49" t="s">
        <v>77</v>
      </c>
      <c r="H20" s="49">
        <f>AVERAGE(H6:H18)</f>
        <v>6.3561538461538456</v>
      </c>
      <c r="I20" s="49">
        <f t="shared" ref="I20:P20" si="8">AVERAGE(I6:I18)</f>
        <v>3.9161538461538461</v>
      </c>
      <c r="J20" s="49">
        <f t="shared" si="8"/>
        <v>0.61843497981481643</v>
      </c>
      <c r="K20" s="49">
        <f t="shared" si="8"/>
        <v>0.38156502018518357</v>
      </c>
      <c r="L20" s="49">
        <f t="shared" si="8"/>
        <v>0.16265017140884044</v>
      </c>
      <c r="M20" s="49">
        <f t="shared" si="8"/>
        <v>9.8454387709915922E-2</v>
      </c>
      <c r="N20" s="49">
        <f t="shared" si="8"/>
        <v>10.272307692307693</v>
      </c>
      <c r="O20" s="49">
        <f t="shared" si="8"/>
        <v>41.384615384615387</v>
      </c>
      <c r="P20" s="49">
        <f t="shared" si="8"/>
        <v>6.7987478403403205</v>
      </c>
      <c r="Q20" s="13"/>
      <c r="R20" s="13"/>
      <c r="S20" s="13"/>
      <c r="T20" s="49">
        <f>AVERAGE(T5:T19)</f>
        <v>14.821250000000003</v>
      </c>
      <c r="U20" s="49">
        <f>AVERAGE(U5:U19)</f>
        <v>7.3428571428571425</v>
      </c>
    </row>
    <row r="21" spans="2:24" x14ac:dyDescent="0.35">
      <c r="F21" s="13"/>
      <c r="G21" s="49" t="s">
        <v>79</v>
      </c>
      <c r="H21" s="49">
        <f>AVERAGE(H6:H7,H11,H13,H15,H17)</f>
        <v>7.0199999999999969</v>
      </c>
      <c r="I21" s="49">
        <f t="shared" ref="I21:P21" si="9">AVERAGE(I6:I7,I11,I13,I15,I17)</f>
        <v>3.8666666666666694</v>
      </c>
      <c r="J21" s="49">
        <f t="shared" si="9"/>
        <v>0.64447627188031698</v>
      </c>
      <c r="K21" s="49">
        <f t="shared" si="9"/>
        <v>0.35552372811968302</v>
      </c>
      <c r="L21" s="49">
        <f t="shared" si="9"/>
        <v>0.14700695475109898</v>
      </c>
      <c r="M21" s="49">
        <f t="shared" si="9"/>
        <v>9.2474094278045829E-2</v>
      </c>
      <c r="N21" s="49">
        <f t="shared" si="9"/>
        <v>10.886666666666665</v>
      </c>
      <c r="O21" s="49">
        <f t="shared" si="9"/>
        <v>37.833333333333336</v>
      </c>
      <c r="P21" s="49">
        <f t="shared" si="9"/>
        <v>5.491517143727477</v>
      </c>
      <c r="R21" s="13"/>
      <c r="S21" s="13"/>
    </row>
    <row r="22" spans="2:24" x14ac:dyDescent="0.35">
      <c r="F22" s="13"/>
      <c r="G22" s="49" t="s">
        <v>80</v>
      </c>
      <c r="H22" s="49">
        <f>AVERAGE(H8:H10,H12,H14,H16,H18)</f>
        <v>5.78714285714286</v>
      </c>
      <c r="I22" s="49">
        <f t="shared" ref="I22:P22" si="10">AVERAGE(I8:I10,I12,I14,I16,I18)</f>
        <v>3.9585714285714255</v>
      </c>
      <c r="J22" s="49">
        <f t="shared" si="10"/>
        <v>0.5961138723301016</v>
      </c>
      <c r="K22" s="49">
        <f t="shared" si="10"/>
        <v>0.40388612766989834</v>
      </c>
      <c r="L22" s="49">
        <f t="shared" si="10"/>
        <v>0.17605864282976169</v>
      </c>
      <c r="M22" s="49">
        <f t="shared" si="10"/>
        <v>0.10358035350866168</v>
      </c>
      <c r="N22" s="49">
        <f t="shared" si="10"/>
        <v>9.7457142857142856</v>
      </c>
      <c r="O22" s="49">
        <f t="shared" si="10"/>
        <v>44.428571428571431</v>
      </c>
      <c r="P22" s="49">
        <f t="shared" si="10"/>
        <v>7.9192312945798999</v>
      </c>
    </row>
    <row r="23" spans="2:24" x14ac:dyDescent="0.35">
      <c r="F23" s="13"/>
      <c r="G23" s="13"/>
      <c r="H23" s="13"/>
    </row>
    <row r="24" spans="2:24" x14ac:dyDescent="0.35">
      <c r="B24" s="8"/>
      <c r="C24" s="6" t="s">
        <v>323</v>
      </c>
      <c r="F24" s="13"/>
      <c r="G24" s="13"/>
      <c r="H24" s="13"/>
    </row>
    <row r="25" spans="2:24" x14ac:dyDescent="0.35">
      <c r="B25" s="36"/>
      <c r="C25" s="6" t="s">
        <v>324</v>
      </c>
    </row>
    <row r="27" spans="2:24" ht="18.5" x14ac:dyDescent="0.45">
      <c r="F27" s="1" t="s">
        <v>322</v>
      </c>
    </row>
    <row r="28" spans="2:24" ht="16" thickBot="1" x14ac:dyDescent="0.4">
      <c r="B28" s="9" t="s">
        <v>18</v>
      </c>
      <c r="C28" s="9" t="s">
        <v>17</v>
      </c>
      <c r="D28" s="9" t="s">
        <v>20</v>
      </c>
      <c r="E28" s="5"/>
      <c r="F28" s="9" t="s">
        <v>1</v>
      </c>
      <c r="G28" s="9" t="s">
        <v>2</v>
      </c>
      <c r="H28" s="9" t="s">
        <v>3</v>
      </c>
      <c r="I28" s="9" t="s">
        <v>4</v>
      </c>
      <c r="J28" s="9" t="s">
        <v>5</v>
      </c>
      <c r="K28" s="9" t="s">
        <v>6</v>
      </c>
      <c r="L28" s="9" t="s">
        <v>7</v>
      </c>
      <c r="M28" s="9" t="s">
        <v>8</v>
      </c>
      <c r="N28" s="9" t="s">
        <v>9</v>
      </c>
      <c r="O28" s="9" t="s">
        <v>10</v>
      </c>
      <c r="P28" s="5" t="s">
        <v>297</v>
      </c>
      <c r="Q28" s="5"/>
      <c r="R28" s="9" t="s">
        <v>11</v>
      </c>
      <c r="S28" s="9" t="s">
        <v>12</v>
      </c>
      <c r="T28" s="9" t="s">
        <v>13</v>
      </c>
      <c r="U28" s="9" t="s">
        <v>14</v>
      </c>
      <c r="W28" s="44" t="s">
        <v>42</v>
      </c>
    </row>
    <row r="29" spans="2:24" x14ac:dyDescent="0.35">
      <c r="F29" s="2">
        <v>1.0560099999999999</v>
      </c>
      <c r="G29" s="2">
        <v>6.82097</v>
      </c>
      <c r="H29" s="2">
        <f t="shared" ref="H29:H34" si="11">G29-F29</f>
        <v>5.7649600000000003</v>
      </c>
      <c r="I29" s="2">
        <f t="shared" ref="I29:I34" si="12">F30-G29</f>
        <v>4.5335299999999998</v>
      </c>
      <c r="J29" s="2">
        <f t="shared" ref="J29:J34" si="13">H29/N29</f>
        <v>0.55978692021840093</v>
      </c>
      <c r="K29" s="2">
        <f t="shared" ref="K29:K34" si="14">I29/N29</f>
        <v>0.44021307978159901</v>
      </c>
      <c r="L29" s="2">
        <f t="shared" ref="L29:L34" si="15">1/H29</f>
        <v>0.17346174127834363</v>
      </c>
      <c r="M29" s="2">
        <f t="shared" ref="M29:M53" si="16">1/N29</f>
        <v>9.7101613925925048E-2</v>
      </c>
      <c r="N29" s="2">
        <f t="shared" ref="N29:N34" si="17">H29+I29</f>
        <v>10.298490000000001</v>
      </c>
      <c r="O29" s="2">
        <v>33</v>
      </c>
      <c r="P29" s="2">
        <f>O29/H29</f>
        <v>5.7242374621853402</v>
      </c>
      <c r="R29" s="2">
        <v>0.72</v>
      </c>
      <c r="S29" s="2">
        <v>14.78</v>
      </c>
      <c r="T29" s="2">
        <f>S29-R29</f>
        <v>14.059999999999999</v>
      </c>
      <c r="U29" s="2">
        <f>R30-S29</f>
        <v>6.3200000000000021</v>
      </c>
      <c r="W29" s="2">
        <v>0</v>
      </c>
    </row>
    <row r="30" spans="2:24" x14ac:dyDescent="0.35">
      <c r="F30" s="2">
        <v>11.3545</v>
      </c>
      <c r="G30" s="2">
        <v>16.927199999999999</v>
      </c>
      <c r="H30" s="2">
        <f t="shared" si="11"/>
        <v>5.5726999999999993</v>
      </c>
      <c r="I30" s="2">
        <f t="shared" si="12"/>
        <v>4.4868400000000008</v>
      </c>
      <c r="J30" s="2">
        <f t="shared" si="13"/>
        <v>0.55397165277935168</v>
      </c>
      <c r="K30" s="2">
        <f t="shared" si="14"/>
        <v>0.44602834722064832</v>
      </c>
      <c r="L30" s="2">
        <f t="shared" si="15"/>
        <v>0.1794462289374989</v>
      </c>
      <c r="M30" s="2">
        <f t="shared" si="16"/>
        <v>9.9408124029528186E-2</v>
      </c>
      <c r="N30" s="2">
        <f t="shared" si="17"/>
        <v>10.05954</v>
      </c>
      <c r="O30" s="2">
        <v>37</v>
      </c>
      <c r="P30" s="2">
        <f t="shared" ref="P30:P53" si="18">O30/H30</f>
        <v>6.6395104706874593</v>
      </c>
      <c r="Q30" s="13"/>
      <c r="R30" s="2">
        <v>21.1</v>
      </c>
      <c r="S30" s="2">
        <v>63.16</v>
      </c>
      <c r="T30" s="2">
        <f>S30-R30</f>
        <v>42.059999999999995</v>
      </c>
      <c r="U30" s="2">
        <f>R35-S30</f>
        <v>9.2199999999999989</v>
      </c>
      <c r="W30" s="2">
        <v>4</v>
      </c>
      <c r="X30" s="2" t="s">
        <v>43</v>
      </c>
    </row>
    <row r="31" spans="2:24" x14ac:dyDescent="0.35">
      <c r="B31" s="132">
        <v>21.855789999999999</v>
      </c>
      <c r="C31" s="132">
        <v>27.7819</v>
      </c>
      <c r="D31" s="132"/>
      <c r="E31" s="132"/>
      <c r="F31" s="132">
        <v>21.41404</v>
      </c>
      <c r="G31" s="132">
        <v>26.417359999999999</v>
      </c>
      <c r="H31" s="132">
        <f t="shared" si="11"/>
        <v>5.0033199999999987</v>
      </c>
      <c r="I31" s="132">
        <f t="shared" si="12"/>
        <v>5.0802000000000014</v>
      </c>
      <c r="J31" s="132">
        <f t="shared" si="13"/>
        <v>0.49618783916727477</v>
      </c>
      <c r="K31" s="132">
        <f t="shared" si="14"/>
        <v>0.50381216083272518</v>
      </c>
      <c r="L31" s="132">
        <f t="shared" si="15"/>
        <v>0.19986728812068791</v>
      </c>
      <c r="M31" s="132">
        <f t="shared" si="16"/>
        <v>9.917171781282727E-2</v>
      </c>
      <c r="N31" s="132">
        <f t="shared" si="17"/>
        <v>10.08352</v>
      </c>
      <c r="O31" s="2">
        <v>27</v>
      </c>
      <c r="P31" s="2">
        <f t="shared" si="18"/>
        <v>5.3964167792585735</v>
      </c>
      <c r="Q31" s="13"/>
    </row>
    <row r="32" spans="2:24" x14ac:dyDescent="0.35">
      <c r="B32" s="132">
        <v>32.160499999999999</v>
      </c>
      <c r="C32" s="132">
        <v>35.885420000000003</v>
      </c>
      <c r="D32" s="132"/>
      <c r="E32" s="132"/>
      <c r="F32" s="132">
        <v>31.49756</v>
      </c>
      <c r="G32" s="132">
        <v>35.506689999999999</v>
      </c>
      <c r="H32" s="132">
        <f t="shared" si="11"/>
        <v>4.009129999999999</v>
      </c>
      <c r="I32" s="132">
        <f t="shared" si="12"/>
        <v>5.9556100000000001</v>
      </c>
      <c r="J32" s="132">
        <f t="shared" si="13"/>
        <v>0.40233162129669209</v>
      </c>
      <c r="K32" s="132">
        <f t="shared" si="14"/>
        <v>0.59766837870330791</v>
      </c>
      <c r="L32" s="132">
        <f t="shared" si="15"/>
        <v>0.24943067448548695</v>
      </c>
      <c r="M32" s="132">
        <f t="shared" si="16"/>
        <v>0.1003538476668734</v>
      </c>
      <c r="N32" s="132">
        <f t="shared" si="17"/>
        <v>9.964739999999999</v>
      </c>
      <c r="O32" s="2">
        <v>29</v>
      </c>
      <c r="P32" s="2">
        <f t="shared" si="18"/>
        <v>7.2334895600791214</v>
      </c>
      <c r="Q32" s="13"/>
    </row>
    <row r="33" spans="2:24" x14ac:dyDescent="0.35">
      <c r="B33" s="132">
        <v>41.999639999999999</v>
      </c>
      <c r="C33" s="132">
        <v>46.571260000000002</v>
      </c>
      <c r="D33" s="132"/>
      <c r="E33" s="132"/>
      <c r="F33" s="132">
        <v>41.462299999999999</v>
      </c>
      <c r="G33" s="132">
        <v>46.469639999999998</v>
      </c>
      <c r="H33" s="132">
        <f t="shared" si="11"/>
        <v>5.0073399999999992</v>
      </c>
      <c r="I33" s="132">
        <f t="shared" si="12"/>
        <v>4.8874400000000051</v>
      </c>
      <c r="J33" s="132">
        <f t="shared" si="13"/>
        <v>0.50605875016928092</v>
      </c>
      <c r="K33" s="132">
        <f t="shared" si="14"/>
        <v>0.49394124983071913</v>
      </c>
      <c r="L33" s="132">
        <f t="shared" si="15"/>
        <v>0.19970683037301246</v>
      </c>
      <c r="M33" s="132">
        <f t="shared" si="16"/>
        <v>0.10106338897883527</v>
      </c>
      <c r="N33" s="132">
        <f t="shared" si="17"/>
        <v>9.8947800000000043</v>
      </c>
      <c r="O33" s="2">
        <v>32</v>
      </c>
      <c r="P33" s="2">
        <f t="shared" si="18"/>
        <v>6.3906185719363986</v>
      </c>
      <c r="Q33" s="13"/>
    </row>
    <row r="34" spans="2:24" x14ac:dyDescent="0.35">
      <c r="B34" s="132">
        <v>51.8628</v>
      </c>
      <c r="C34" s="132">
        <v>56.095709999999997</v>
      </c>
      <c r="D34" s="132"/>
      <c r="E34" s="132"/>
      <c r="F34" s="132">
        <v>51.357080000000003</v>
      </c>
      <c r="G34" s="132">
        <v>56.615479999999998</v>
      </c>
      <c r="H34" s="132">
        <f t="shared" si="11"/>
        <v>5.2583999999999946</v>
      </c>
      <c r="I34" s="132">
        <f t="shared" si="12"/>
        <v>4.4198799999999991</v>
      </c>
      <c r="J34" s="132">
        <f t="shared" si="13"/>
        <v>0.54331968076972337</v>
      </c>
      <c r="K34" s="132">
        <f t="shared" si="14"/>
        <v>0.45668031923027663</v>
      </c>
      <c r="L34" s="132">
        <f t="shared" si="15"/>
        <v>0.19017191541153222</v>
      </c>
      <c r="M34" s="132">
        <f t="shared" si="16"/>
        <v>0.10332414437276051</v>
      </c>
      <c r="N34" s="132">
        <f t="shared" si="17"/>
        <v>9.6782799999999938</v>
      </c>
      <c r="O34" s="2">
        <v>36</v>
      </c>
      <c r="P34" s="2">
        <f t="shared" si="18"/>
        <v>6.84618895481516</v>
      </c>
      <c r="Q34" s="13"/>
    </row>
    <row r="35" spans="2:24" x14ac:dyDescent="0.35">
      <c r="F35" s="2">
        <v>61.035359999999997</v>
      </c>
      <c r="G35" s="2">
        <v>69.004909999999995</v>
      </c>
      <c r="H35" s="2">
        <f t="shared" ref="H35:H54" si="19">G35-F35</f>
        <v>7.9695499999999981</v>
      </c>
      <c r="I35" s="2">
        <f t="shared" ref="I35:I53" si="20">F36-G35</f>
        <v>3.0903100000000023</v>
      </c>
      <c r="J35" s="2">
        <f t="shared" ref="J35:J53" si="21">H35/N35</f>
        <v>0.72058326235594283</v>
      </c>
      <c r="K35" s="2">
        <f t="shared" ref="K35:K53" si="22">I35/N35</f>
        <v>0.27941673764405717</v>
      </c>
      <c r="L35" s="2">
        <f t="shared" ref="L35:L53" si="23">1/H35</f>
        <v>0.12547759911161863</v>
      </c>
      <c r="M35" s="2">
        <f t="shared" si="16"/>
        <v>9.0417057720441299E-2</v>
      </c>
      <c r="N35" s="2">
        <f t="shared" ref="N35:N53" si="24">H35+I35</f>
        <v>11.05986</v>
      </c>
      <c r="O35" s="2">
        <v>51</v>
      </c>
      <c r="P35" s="2">
        <f t="shared" si="18"/>
        <v>6.3993575546925499</v>
      </c>
      <c r="Q35" s="13"/>
      <c r="R35" s="13">
        <v>72.38</v>
      </c>
      <c r="S35" s="2">
        <v>96.66</v>
      </c>
      <c r="T35" s="2">
        <f>S35-R35</f>
        <v>24.28</v>
      </c>
      <c r="U35" s="2">
        <f>R38-S35</f>
        <v>8.230000000000004</v>
      </c>
      <c r="W35" s="2">
        <v>1</v>
      </c>
      <c r="X35" s="6" t="s">
        <v>44</v>
      </c>
    </row>
    <row r="36" spans="2:24" x14ac:dyDescent="0.35">
      <c r="F36" s="2">
        <v>72.095219999999998</v>
      </c>
      <c r="G36" s="2">
        <v>80.087969999999999</v>
      </c>
      <c r="H36" s="2">
        <f t="shared" si="19"/>
        <v>7.9927500000000009</v>
      </c>
      <c r="I36" s="2">
        <f t="shared" si="20"/>
        <v>4.6643499999999989</v>
      </c>
      <c r="J36" s="2">
        <f t="shared" si="21"/>
        <v>0.63148351518120271</v>
      </c>
      <c r="K36" s="2">
        <f t="shared" si="22"/>
        <v>0.36851648481879729</v>
      </c>
      <c r="L36" s="2">
        <f t="shared" si="23"/>
        <v>0.12511338400425384</v>
      </c>
      <c r="M36" s="2">
        <f t="shared" si="16"/>
        <v>7.9007039527221878E-2</v>
      </c>
      <c r="N36" s="2">
        <f t="shared" si="24"/>
        <v>12.6571</v>
      </c>
      <c r="O36" s="2">
        <v>41</v>
      </c>
      <c r="P36" s="2">
        <f t="shared" si="18"/>
        <v>5.1296487441744079</v>
      </c>
      <c r="Q36" s="13"/>
    </row>
    <row r="37" spans="2:24" x14ac:dyDescent="0.35">
      <c r="B37" s="132">
        <v>85.333269999999999</v>
      </c>
      <c r="C37" s="132">
        <v>88.719539999999995</v>
      </c>
      <c r="D37" s="132"/>
      <c r="E37" s="132"/>
      <c r="F37" s="132">
        <v>84.752319999999997</v>
      </c>
      <c r="G37" s="132">
        <v>89.614329999999995</v>
      </c>
      <c r="H37" s="132">
        <f t="shared" si="19"/>
        <v>4.8620099999999979</v>
      </c>
      <c r="I37" s="132">
        <f t="shared" si="20"/>
        <v>4.645780000000002</v>
      </c>
      <c r="J37" s="132">
        <f t="shared" si="21"/>
        <v>0.51137120193020646</v>
      </c>
      <c r="K37" s="132">
        <f t="shared" si="22"/>
        <v>0.48862879806979354</v>
      </c>
      <c r="L37" s="132">
        <f t="shared" si="23"/>
        <v>0.20567625323683011</v>
      </c>
      <c r="M37" s="132">
        <f t="shared" si="16"/>
        <v>0.10517691282621934</v>
      </c>
      <c r="N37" s="132">
        <f t="shared" si="24"/>
        <v>9.50779</v>
      </c>
      <c r="O37" s="2">
        <v>32</v>
      </c>
      <c r="P37" s="2">
        <f t="shared" si="18"/>
        <v>6.5816401035785637</v>
      </c>
      <c r="Q37" s="13"/>
    </row>
    <row r="38" spans="2:24" x14ac:dyDescent="0.35">
      <c r="F38" s="2">
        <v>94.260109999999997</v>
      </c>
      <c r="G38" s="2">
        <v>101.86223</v>
      </c>
      <c r="H38" s="2">
        <f t="shared" si="19"/>
        <v>7.6021199999999993</v>
      </c>
      <c r="I38" s="2">
        <f t="shared" si="20"/>
        <v>4.8515200000000078</v>
      </c>
      <c r="J38" s="2">
        <f t="shared" si="21"/>
        <v>0.61043357604684212</v>
      </c>
      <c r="K38" s="2">
        <f t="shared" si="22"/>
        <v>0.38956642395315788</v>
      </c>
      <c r="L38" s="2">
        <f t="shared" si="23"/>
        <v>0.13154225400283079</v>
      </c>
      <c r="M38" s="2">
        <f t="shared" si="16"/>
        <v>8.0297808512210037E-2</v>
      </c>
      <c r="N38" s="2">
        <f t="shared" si="24"/>
        <v>12.453640000000007</v>
      </c>
      <c r="O38" s="2">
        <v>48</v>
      </c>
      <c r="P38" s="2">
        <f t="shared" si="18"/>
        <v>6.3140281921358783</v>
      </c>
      <c r="Q38" s="13"/>
      <c r="R38" s="13">
        <v>104.89</v>
      </c>
      <c r="S38" s="13">
        <v>116.63</v>
      </c>
      <c r="T38" s="2">
        <f>S38-R38</f>
        <v>11.739999999999995</v>
      </c>
      <c r="U38" s="2">
        <f>R70-S38</f>
        <v>-116.63</v>
      </c>
      <c r="W38" s="13">
        <v>1</v>
      </c>
      <c r="X38" s="6" t="s">
        <v>45</v>
      </c>
    </row>
    <row r="39" spans="2:24" x14ac:dyDescent="0.35">
      <c r="B39" s="132">
        <v>107.27309</v>
      </c>
      <c r="C39" s="132">
        <v>111.33663</v>
      </c>
      <c r="D39" s="132"/>
      <c r="E39" s="132"/>
      <c r="F39" s="132">
        <v>106.71375</v>
      </c>
      <c r="G39" s="132">
        <v>110.33977</v>
      </c>
      <c r="H39" s="132">
        <f t="shared" si="19"/>
        <v>3.6260199999999969</v>
      </c>
      <c r="I39" s="132">
        <f t="shared" si="20"/>
        <v>4.4896499999999975</v>
      </c>
      <c r="J39" s="132">
        <f t="shared" si="21"/>
        <v>0.44679243981088429</v>
      </c>
      <c r="K39" s="132">
        <f t="shared" si="22"/>
        <v>0.55320756018911565</v>
      </c>
      <c r="L39" s="132">
        <f t="shared" si="23"/>
        <v>0.27578446892184844</v>
      </c>
      <c r="M39" s="132">
        <f t="shared" si="16"/>
        <v>0.12321841573154166</v>
      </c>
      <c r="N39" s="132">
        <f t="shared" si="24"/>
        <v>8.1156699999999944</v>
      </c>
      <c r="O39" s="2">
        <v>27</v>
      </c>
      <c r="P39" s="2">
        <f t="shared" si="18"/>
        <v>7.4461806608899073</v>
      </c>
      <c r="Q39" s="13"/>
      <c r="R39" s="13">
        <v>126.67</v>
      </c>
      <c r="S39" s="13">
        <v>135.88999999999999</v>
      </c>
      <c r="T39" s="2">
        <f>S39-R39</f>
        <v>9.2199999999999847</v>
      </c>
      <c r="U39" s="2">
        <f>R20-S39</f>
        <v>-135.88999999999999</v>
      </c>
      <c r="W39" s="13">
        <v>1</v>
      </c>
    </row>
    <row r="40" spans="2:24" x14ac:dyDescent="0.35">
      <c r="F40" s="2">
        <v>114.82942</v>
      </c>
      <c r="G40" s="2">
        <v>122.94077</v>
      </c>
      <c r="H40" s="2">
        <f t="shared" si="19"/>
        <v>8.1113500000000016</v>
      </c>
      <c r="I40" s="2">
        <f t="shared" si="20"/>
        <v>6.0848899999999873</v>
      </c>
      <c r="J40" s="2">
        <f t="shared" si="21"/>
        <v>0.57137312415118424</v>
      </c>
      <c r="K40" s="2">
        <f t="shared" si="22"/>
        <v>0.42862687584881576</v>
      </c>
      <c r="L40" s="2">
        <f t="shared" si="23"/>
        <v>0.12328404026456753</v>
      </c>
      <c r="M40" s="2">
        <f t="shared" si="16"/>
        <v>7.0441187243946338E-2</v>
      </c>
      <c r="N40" s="2">
        <f t="shared" si="24"/>
        <v>14.196239999999989</v>
      </c>
      <c r="O40" s="2">
        <v>51</v>
      </c>
      <c r="P40" s="2">
        <f t="shared" si="18"/>
        <v>6.2874860534929438</v>
      </c>
      <c r="X40" s="28" t="s">
        <v>46</v>
      </c>
    </row>
    <row r="41" spans="2:24" x14ac:dyDescent="0.35">
      <c r="F41" s="2">
        <v>129.02565999999999</v>
      </c>
      <c r="G41" s="2">
        <v>137.40661</v>
      </c>
      <c r="H41" s="2">
        <f t="shared" si="19"/>
        <v>8.3809500000000128</v>
      </c>
      <c r="I41" s="2">
        <f t="shared" si="20"/>
        <v>5.8162900000000093</v>
      </c>
      <c r="J41" s="2">
        <f t="shared" si="21"/>
        <v>0.59032248521543618</v>
      </c>
      <c r="K41" s="2">
        <f t="shared" si="22"/>
        <v>0.40967751478456377</v>
      </c>
      <c r="L41" s="2">
        <f t="shared" si="23"/>
        <v>0.11931821571540201</v>
      </c>
      <c r="M41" s="2">
        <f t="shared" si="16"/>
        <v>7.0436225632587626E-2</v>
      </c>
      <c r="N41" s="2">
        <f t="shared" si="24"/>
        <v>14.197240000000022</v>
      </c>
      <c r="O41" s="2">
        <v>54</v>
      </c>
      <c r="P41" s="2">
        <f t="shared" si="18"/>
        <v>6.4431836486317087</v>
      </c>
    </row>
    <row r="42" spans="2:24" x14ac:dyDescent="0.35">
      <c r="B42" s="132">
        <v>143.83685</v>
      </c>
      <c r="C42" s="132">
        <v>147.22309000000001</v>
      </c>
      <c r="D42" s="132"/>
      <c r="E42" s="132"/>
      <c r="F42" s="132">
        <v>143.22290000000001</v>
      </c>
      <c r="G42" s="132">
        <v>146.81831</v>
      </c>
      <c r="H42" s="132">
        <f t="shared" si="19"/>
        <v>3.5954099999999869</v>
      </c>
      <c r="I42" s="132">
        <f t="shared" si="20"/>
        <v>5.8285600000000102</v>
      </c>
      <c r="J42" s="132">
        <f t="shared" si="21"/>
        <v>0.38151755576471358</v>
      </c>
      <c r="K42" s="132">
        <f t="shared" si="22"/>
        <v>0.61848244423528642</v>
      </c>
      <c r="L42" s="132">
        <f t="shared" si="23"/>
        <v>0.27813239658342265</v>
      </c>
      <c r="M42" s="132">
        <f t="shared" si="16"/>
        <v>0.10611239212348939</v>
      </c>
      <c r="N42" s="132">
        <f t="shared" si="24"/>
        <v>9.4239699999999971</v>
      </c>
      <c r="O42" s="2">
        <v>27</v>
      </c>
      <c r="P42" s="2">
        <f t="shared" si="18"/>
        <v>7.509574707752412</v>
      </c>
      <c r="R42" s="13">
        <v>143.19999999999999</v>
      </c>
      <c r="S42" s="13">
        <v>154.72999999999999</v>
      </c>
      <c r="T42" s="2">
        <f>S42-R42</f>
        <v>11.530000000000001</v>
      </c>
      <c r="U42" s="2">
        <f>R43-S42</f>
        <v>9.7700000000000102</v>
      </c>
      <c r="W42" s="13">
        <v>1</v>
      </c>
      <c r="X42" s="28" t="s">
        <v>47</v>
      </c>
    </row>
    <row r="43" spans="2:24" x14ac:dyDescent="0.35">
      <c r="F43" s="2">
        <v>152.64687000000001</v>
      </c>
      <c r="G43" s="2">
        <v>160.76947999999999</v>
      </c>
      <c r="H43" s="2">
        <f t="shared" si="19"/>
        <v>8.1226099999999803</v>
      </c>
      <c r="I43" s="2">
        <f t="shared" si="20"/>
        <v>5.7742200000000139</v>
      </c>
      <c r="J43" s="2">
        <f t="shared" si="21"/>
        <v>0.58449372986501125</v>
      </c>
      <c r="K43" s="2">
        <f t="shared" si="22"/>
        <v>0.41550627013498881</v>
      </c>
      <c r="L43" s="2">
        <f t="shared" si="23"/>
        <v>0.12311313727976629</v>
      </c>
      <c r="M43" s="2">
        <f t="shared" si="16"/>
        <v>7.1958856804033758E-2</v>
      </c>
      <c r="N43" s="2">
        <f t="shared" si="24"/>
        <v>13.896829999999994</v>
      </c>
      <c r="O43" s="2">
        <v>54</v>
      </c>
      <c r="P43" s="2">
        <f t="shared" si="18"/>
        <v>6.6481094131073792</v>
      </c>
      <c r="R43" s="13">
        <v>164.5</v>
      </c>
      <c r="S43" s="13">
        <v>199.09</v>
      </c>
      <c r="T43" s="2">
        <f>S43-R43</f>
        <v>34.590000000000003</v>
      </c>
      <c r="U43" s="2">
        <f>R47-S43</f>
        <v>6.3799999999999955</v>
      </c>
      <c r="W43" s="13">
        <v>4</v>
      </c>
    </row>
    <row r="44" spans="2:24" x14ac:dyDescent="0.35">
      <c r="B44" s="132">
        <v>167.13836000000001</v>
      </c>
      <c r="C44" s="132">
        <v>171.03252000000001</v>
      </c>
      <c r="D44" s="132"/>
      <c r="E44" s="132"/>
      <c r="F44" s="132">
        <v>166.5437</v>
      </c>
      <c r="G44" s="132">
        <v>171.44754</v>
      </c>
      <c r="H44" s="132">
        <f t="shared" si="19"/>
        <v>4.9038400000000024</v>
      </c>
      <c r="I44" s="132">
        <f t="shared" si="20"/>
        <v>4.4807999999999879</v>
      </c>
      <c r="J44" s="132">
        <f t="shared" si="21"/>
        <v>0.52253895727486699</v>
      </c>
      <c r="K44" s="132">
        <f t="shared" si="22"/>
        <v>0.47746104272513301</v>
      </c>
      <c r="L44" s="132">
        <f t="shared" si="23"/>
        <v>0.20392182452934832</v>
      </c>
      <c r="M44" s="132">
        <f t="shared" si="16"/>
        <v>0.10655709755515407</v>
      </c>
      <c r="N44" s="132">
        <f t="shared" si="24"/>
        <v>9.3846399999999903</v>
      </c>
      <c r="O44" s="2">
        <v>31</v>
      </c>
      <c r="P44" s="2">
        <f t="shared" si="18"/>
        <v>6.321576560409798</v>
      </c>
    </row>
    <row r="45" spans="2:24" x14ac:dyDescent="0.35">
      <c r="B45" s="132">
        <v>176.46569</v>
      </c>
      <c r="C45" s="132">
        <v>180.19055</v>
      </c>
      <c r="D45" s="132"/>
      <c r="E45" s="132"/>
      <c r="F45" s="132">
        <v>175.92833999999999</v>
      </c>
      <c r="G45" s="132">
        <v>181.02588</v>
      </c>
      <c r="H45" s="132">
        <f t="shared" si="19"/>
        <v>5.0975400000000093</v>
      </c>
      <c r="I45" s="132">
        <f t="shared" si="20"/>
        <v>4.2581700000000069</v>
      </c>
      <c r="J45" s="132">
        <f t="shared" si="21"/>
        <v>0.54485870126372027</v>
      </c>
      <c r="K45" s="132">
        <f t="shared" si="22"/>
        <v>0.45514129873627973</v>
      </c>
      <c r="L45" s="132">
        <f t="shared" si="23"/>
        <v>0.19617305602310098</v>
      </c>
      <c r="M45" s="132">
        <f t="shared" si="16"/>
        <v>0.10688659652768184</v>
      </c>
      <c r="N45" s="132">
        <f t="shared" si="24"/>
        <v>9.3557100000000162</v>
      </c>
      <c r="O45" s="2">
        <v>32</v>
      </c>
      <c r="P45" s="2">
        <f t="shared" si="18"/>
        <v>6.2775377927392313</v>
      </c>
      <c r="X45" s="13" t="s">
        <v>48</v>
      </c>
    </row>
    <row r="46" spans="2:24" x14ac:dyDescent="0.35">
      <c r="B46" s="132">
        <v>185.91398000000001</v>
      </c>
      <c r="C46" s="132">
        <v>189.97756999999999</v>
      </c>
      <c r="D46" s="132"/>
      <c r="E46" s="132"/>
      <c r="F46" s="132">
        <v>185.28405000000001</v>
      </c>
      <c r="G46" s="132">
        <v>191.45033000000001</v>
      </c>
      <c r="H46" s="132">
        <f t="shared" si="19"/>
        <v>6.1662800000000004</v>
      </c>
      <c r="I46" s="132">
        <f t="shared" si="20"/>
        <v>4.4807999999999879</v>
      </c>
      <c r="J46" s="132">
        <f t="shared" si="21"/>
        <v>0.579152218260782</v>
      </c>
      <c r="K46" s="132">
        <f t="shared" si="22"/>
        <v>0.42084778173921794</v>
      </c>
      <c r="L46" s="132">
        <f t="shared" si="23"/>
        <v>0.16217233080560725</v>
      </c>
      <c r="M46" s="132">
        <f t="shared" si="16"/>
        <v>9.3922465126588806E-2</v>
      </c>
      <c r="N46" s="132">
        <f t="shared" si="24"/>
        <v>10.647079999999988</v>
      </c>
      <c r="O46" s="2">
        <v>41</v>
      </c>
      <c r="P46" s="2">
        <f t="shared" si="18"/>
        <v>6.6490655630298976</v>
      </c>
    </row>
    <row r="47" spans="2:24" x14ac:dyDescent="0.35">
      <c r="B47" s="91">
        <v>203.41739999999999</v>
      </c>
      <c r="C47" s="91">
        <v>211.37522999999999</v>
      </c>
      <c r="D47" s="91"/>
      <c r="E47" s="91"/>
      <c r="F47" s="91">
        <v>195.93113</v>
      </c>
      <c r="G47" s="91">
        <v>203.53878</v>
      </c>
      <c r="H47" s="91">
        <f t="shared" si="19"/>
        <v>7.6076500000000067</v>
      </c>
      <c r="I47" s="91">
        <f t="shared" si="20"/>
        <v>6.2799599999999884</v>
      </c>
      <c r="J47" s="91">
        <f t="shared" si="21"/>
        <v>0.54780124153832155</v>
      </c>
      <c r="K47" s="91">
        <f t="shared" si="22"/>
        <v>0.45219875846167845</v>
      </c>
      <c r="L47" s="91">
        <f t="shared" si="23"/>
        <v>0.13144663595196929</v>
      </c>
      <c r="M47" s="91">
        <f t="shared" si="16"/>
        <v>7.2006630370524544E-2</v>
      </c>
      <c r="N47" s="91">
        <f t="shared" si="24"/>
        <v>13.887609999999995</v>
      </c>
      <c r="O47" s="2">
        <v>48</v>
      </c>
      <c r="P47" s="2">
        <f t="shared" si="18"/>
        <v>6.3094385256945253</v>
      </c>
      <c r="R47" s="13">
        <v>205.47</v>
      </c>
      <c r="S47" s="13">
        <v>214.22</v>
      </c>
      <c r="T47" s="2">
        <f>S47-R47</f>
        <v>8.75</v>
      </c>
      <c r="U47" s="2">
        <f>R49-S47</f>
        <v>9.3000000000000114</v>
      </c>
      <c r="W47" s="13">
        <v>1</v>
      </c>
    </row>
    <row r="48" spans="2:24" x14ac:dyDescent="0.35">
      <c r="F48" s="2">
        <v>209.81873999999999</v>
      </c>
      <c r="G48" s="2">
        <v>219.2739</v>
      </c>
      <c r="H48" s="2">
        <f t="shared" si="19"/>
        <v>9.4551600000000064</v>
      </c>
      <c r="I48" s="2">
        <f t="shared" si="20"/>
        <v>4.2235000000000014</v>
      </c>
      <c r="J48" s="2">
        <f t="shared" si="21"/>
        <v>0.6912343752969955</v>
      </c>
      <c r="K48" s="2">
        <f t="shared" si="22"/>
        <v>0.30876562470300445</v>
      </c>
      <c r="L48" s="2">
        <f t="shared" si="23"/>
        <v>0.10576235621607666</v>
      </c>
      <c r="M48" s="2">
        <f t="shared" si="16"/>
        <v>7.3106576228958053E-2</v>
      </c>
      <c r="N48" s="2">
        <f t="shared" si="24"/>
        <v>13.678660000000008</v>
      </c>
      <c r="O48" s="2">
        <v>58</v>
      </c>
      <c r="P48" s="2">
        <f t="shared" si="18"/>
        <v>6.134216660532446</v>
      </c>
      <c r="X48" s="28" t="s">
        <v>49</v>
      </c>
    </row>
    <row r="49" spans="2:24" x14ac:dyDescent="0.35">
      <c r="B49" s="132">
        <v>224.89809</v>
      </c>
      <c r="C49" s="132">
        <v>228.11510999999999</v>
      </c>
      <c r="D49" s="132"/>
      <c r="E49" s="132"/>
      <c r="F49" s="132">
        <v>223.4974</v>
      </c>
      <c r="G49" s="132">
        <v>227.06525999999999</v>
      </c>
      <c r="H49" s="132">
        <f t="shared" si="19"/>
        <v>3.567859999999996</v>
      </c>
      <c r="I49" s="132">
        <f t="shared" si="20"/>
        <v>7.1446500000000128</v>
      </c>
      <c r="J49" s="132">
        <f t="shared" si="21"/>
        <v>0.33305546505907513</v>
      </c>
      <c r="K49" s="132">
        <f t="shared" si="22"/>
        <v>0.66694453494092487</v>
      </c>
      <c r="L49" s="132">
        <f t="shared" si="23"/>
        <v>0.28028005583178744</v>
      </c>
      <c r="M49" s="132">
        <f t="shared" si="16"/>
        <v>9.3348804341839509E-2</v>
      </c>
      <c r="N49" s="132">
        <f t="shared" si="24"/>
        <v>10.712510000000009</v>
      </c>
      <c r="O49" s="2">
        <v>29</v>
      </c>
      <c r="P49" s="2">
        <f t="shared" si="18"/>
        <v>8.1281216191218348</v>
      </c>
      <c r="R49" s="13">
        <v>223.52</v>
      </c>
      <c r="S49" s="13">
        <v>246.82</v>
      </c>
      <c r="T49" s="2">
        <f>S49-R49</f>
        <v>23.299999999999983</v>
      </c>
      <c r="U49" s="2">
        <f>R51-S49</f>
        <v>8.5300000000000011</v>
      </c>
      <c r="W49" s="13">
        <v>2</v>
      </c>
      <c r="X49" s="28"/>
    </row>
    <row r="50" spans="2:24" x14ac:dyDescent="0.35">
      <c r="B50" s="132">
        <v>234.81954999999999</v>
      </c>
      <c r="C50" s="132">
        <v>238.54462000000001</v>
      </c>
      <c r="D50" s="132"/>
      <c r="E50" s="132"/>
      <c r="F50" s="132">
        <v>234.20991000000001</v>
      </c>
      <c r="G50" s="132">
        <v>237.74780000000001</v>
      </c>
      <c r="H50" s="132">
        <f t="shared" si="19"/>
        <v>3.5378900000000044</v>
      </c>
      <c r="I50" s="132">
        <f t="shared" si="20"/>
        <v>6.9040099999999995</v>
      </c>
      <c r="J50" s="132">
        <f t="shared" si="21"/>
        <v>0.33881669044905649</v>
      </c>
      <c r="K50" s="132">
        <f t="shared" si="22"/>
        <v>0.66118330955094351</v>
      </c>
      <c r="L50" s="132">
        <f t="shared" si="23"/>
        <v>0.28265435047443499</v>
      </c>
      <c r="M50" s="132">
        <f t="shared" si="16"/>
        <v>9.5768011568775763E-2</v>
      </c>
      <c r="N50" s="132">
        <f t="shared" si="24"/>
        <v>10.441900000000004</v>
      </c>
      <c r="O50" s="2">
        <v>32</v>
      </c>
      <c r="P50" s="2">
        <f t="shared" si="18"/>
        <v>9.0449392151819197</v>
      </c>
      <c r="R50" s="13"/>
      <c r="S50" s="13"/>
      <c r="W50" s="13"/>
      <c r="X50" s="28"/>
    </row>
    <row r="51" spans="2:24" x14ac:dyDescent="0.35">
      <c r="B51" s="91">
        <v>253.61866000000001</v>
      </c>
      <c r="C51" s="91">
        <v>263.43864000000002</v>
      </c>
      <c r="D51" s="91"/>
      <c r="E51" s="91"/>
      <c r="F51" s="91">
        <v>244.65181000000001</v>
      </c>
      <c r="G51" s="91">
        <v>253.74995999999999</v>
      </c>
      <c r="H51" s="91">
        <f t="shared" si="19"/>
        <v>9.0981499999999755</v>
      </c>
      <c r="I51" s="91">
        <f t="shared" si="20"/>
        <v>12.996140000000025</v>
      </c>
      <c r="J51" s="91">
        <f t="shared" si="21"/>
        <v>0.41178738941147125</v>
      </c>
      <c r="K51" s="91">
        <f t="shared" si="22"/>
        <v>0.58821261058852869</v>
      </c>
      <c r="L51" s="91">
        <f t="shared" si="23"/>
        <v>0.109912454729808</v>
      </c>
      <c r="M51" s="91">
        <f t="shared" si="16"/>
        <v>4.5260562796994155E-2</v>
      </c>
      <c r="N51" s="91">
        <f t="shared" si="24"/>
        <v>22.094290000000001</v>
      </c>
      <c r="O51" s="2">
        <v>62</v>
      </c>
      <c r="P51" s="2">
        <f t="shared" si="18"/>
        <v>6.8145721932480958</v>
      </c>
      <c r="R51" s="13">
        <v>255.35</v>
      </c>
      <c r="S51" s="13">
        <v>270.58999999999997</v>
      </c>
      <c r="T51" s="2">
        <f>S51-R51</f>
        <v>15.239999999999981</v>
      </c>
      <c r="U51" s="2">
        <f>R52-S51</f>
        <v>8.8800000000000523</v>
      </c>
      <c r="W51" s="13">
        <v>1</v>
      </c>
      <c r="X51" s="28"/>
    </row>
    <row r="52" spans="2:24" x14ac:dyDescent="0.35">
      <c r="F52" s="2">
        <v>266.74610000000001</v>
      </c>
      <c r="G52" s="2">
        <v>276.66968000000003</v>
      </c>
      <c r="H52" s="2">
        <f t="shared" si="19"/>
        <v>9.9235800000000154</v>
      </c>
      <c r="I52" s="2">
        <f t="shared" si="20"/>
        <v>5.6274999999999977</v>
      </c>
      <c r="J52" s="2">
        <f t="shared" si="21"/>
        <v>0.63812802712094641</v>
      </c>
      <c r="K52" s="2">
        <f t="shared" si="22"/>
        <v>0.36187197287905359</v>
      </c>
      <c r="L52" s="2">
        <f t="shared" si="23"/>
        <v>0.10077008498948953</v>
      </c>
      <c r="M52" s="2">
        <f t="shared" si="16"/>
        <v>6.4304215527153041E-2</v>
      </c>
      <c r="N52" s="2">
        <f t="shared" si="24"/>
        <v>15.551080000000013</v>
      </c>
      <c r="O52" s="2">
        <v>67</v>
      </c>
      <c r="P52" s="2">
        <f t="shared" si="18"/>
        <v>6.7515956942957978</v>
      </c>
      <c r="R52" s="13">
        <v>279.47000000000003</v>
      </c>
      <c r="S52" s="13">
        <v>288.52999999999997</v>
      </c>
      <c r="T52" s="13">
        <f>S52-R52</f>
        <v>9.0599999999999454</v>
      </c>
      <c r="W52" s="13">
        <v>0</v>
      </c>
      <c r="X52" s="28"/>
    </row>
    <row r="53" spans="2:24" x14ac:dyDescent="0.35">
      <c r="F53" s="2">
        <v>282.29718000000003</v>
      </c>
      <c r="G53" s="2">
        <v>291.17514999999997</v>
      </c>
      <c r="H53" s="2">
        <f t="shared" si="19"/>
        <v>8.877969999999948</v>
      </c>
      <c r="I53" s="2">
        <f t="shared" si="20"/>
        <v>4.0570800000000418</v>
      </c>
      <c r="J53" s="2">
        <f t="shared" si="21"/>
        <v>0.68634987881762766</v>
      </c>
      <c r="K53" s="2">
        <f t="shared" si="22"/>
        <v>0.31365012118237229</v>
      </c>
      <c r="L53" s="2">
        <f t="shared" si="23"/>
        <v>0.11263836214810434</v>
      </c>
      <c r="M53" s="2">
        <f t="shared" si="16"/>
        <v>7.7309326210567478E-2</v>
      </c>
      <c r="N53" s="2">
        <f t="shared" si="24"/>
        <v>12.93504999999999</v>
      </c>
      <c r="O53" s="2">
        <v>59</v>
      </c>
      <c r="P53" s="2">
        <f t="shared" si="18"/>
        <v>6.6456633667381562</v>
      </c>
      <c r="R53" s="13"/>
      <c r="S53" s="13"/>
      <c r="W53" s="13"/>
      <c r="X53" s="28"/>
    </row>
    <row r="54" spans="2:24" x14ac:dyDescent="0.35">
      <c r="F54" s="2">
        <v>295.23223000000002</v>
      </c>
      <c r="G54" s="2">
        <v>299.92725000000002</v>
      </c>
      <c r="H54" s="2">
        <f t="shared" si="19"/>
        <v>4.6950199999999995</v>
      </c>
    </row>
    <row r="55" spans="2:24" x14ac:dyDescent="0.35">
      <c r="D55" s="13"/>
      <c r="E55" s="13"/>
      <c r="F55" s="13"/>
      <c r="G55" s="13"/>
      <c r="H55" s="13"/>
      <c r="I55" s="13"/>
      <c r="J55" s="13"/>
      <c r="K55" s="13"/>
      <c r="L55" s="13"/>
      <c r="M55" s="13"/>
      <c r="N55" s="13"/>
      <c r="O55" s="13"/>
      <c r="P55" s="13"/>
    </row>
    <row r="56" spans="2:24" ht="16" thickBot="1" x14ac:dyDescent="0.4">
      <c r="D56" s="13"/>
      <c r="E56" s="49" t="s">
        <v>325</v>
      </c>
      <c r="F56" s="13"/>
      <c r="G56" s="13"/>
      <c r="H56" s="9" t="s">
        <v>3</v>
      </c>
      <c r="I56" s="9" t="s">
        <v>4</v>
      </c>
      <c r="J56" s="9" t="s">
        <v>5</v>
      </c>
      <c r="K56" s="9" t="s">
        <v>6</v>
      </c>
      <c r="L56" s="9" t="s">
        <v>7</v>
      </c>
      <c r="M56" s="9" t="s">
        <v>8</v>
      </c>
      <c r="N56" s="9" t="s">
        <v>9</v>
      </c>
      <c r="O56" s="9" t="s">
        <v>10</v>
      </c>
      <c r="P56" s="44" t="s">
        <v>139</v>
      </c>
      <c r="Q56" s="44"/>
    </row>
    <row r="57" spans="2:24" x14ac:dyDescent="0.35">
      <c r="D57" s="13"/>
      <c r="E57" s="49"/>
      <c r="F57" s="13"/>
      <c r="G57" s="49" t="s">
        <v>77</v>
      </c>
      <c r="H57" s="13">
        <f>AVERAGE(H31:H34,H37,H39,H42,H44:H46,H49:H50)</f>
        <v>4.5529199999999994</v>
      </c>
      <c r="I57" s="13">
        <f t="shared" ref="I57:O57" si="25">AVERAGE(I31:I34,I37,I39,I42,I44:I46,I49:I50)</f>
        <v>5.2146291666666675</v>
      </c>
      <c r="J57" s="13">
        <f t="shared" si="25"/>
        <v>0.46716676010135633</v>
      </c>
      <c r="K57" s="13">
        <f t="shared" si="25"/>
        <v>0.53283323989864351</v>
      </c>
      <c r="L57" s="13">
        <f t="shared" si="25"/>
        <v>0.22699762039975835</v>
      </c>
      <c r="M57" s="13">
        <f t="shared" si="25"/>
        <v>0.10290864955271557</v>
      </c>
      <c r="N57" s="13">
        <f t="shared" si="25"/>
        <v>9.7675491666666669</v>
      </c>
      <c r="O57" s="13">
        <f t="shared" si="25"/>
        <v>31.25</v>
      </c>
      <c r="P57" s="13">
        <f>AVERAGE(P31:P34,P37,P39,P42,P44:P46,P49:P50)</f>
        <v>6.9854458407327344</v>
      </c>
      <c r="Q57" s="13"/>
    </row>
    <row r="58" spans="2:24" x14ac:dyDescent="0.35">
      <c r="D58" s="13"/>
      <c r="E58" s="49"/>
      <c r="F58" s="13"/>
      <c r="G58" s="49" t="s">
        <v>94</v>
      </c>
      <c r="H58" s="2">
        <f>_xlfn.STDEV.S(H31:H34,H37,H39,H42,H44:H46,H49:H50)</f>
        <v>0.85798857345644264</v>
      </c>
      <c r="I58" s="2">
        <f t="shared" ref="I58:O58" si="26">_xlfn.STDEV.S(I31:I34,I37,I39,I42,I44:I46,I49:I50)</f>
        <v>1.0046578189925606</v>
      </c>
      <c r="J58" s="2">
        <f t="shared" si="26"/>
        <v>8.4296578652764464E-2</v>
      </c>
      <c r="K58" s="2">
        <f t="shared" si="26"/>
        <v>8.429657865276495E-2</v>
      </c>
      <c r="L58" s="2">
        <f t="shared" si="26"/>
        <v>4.3076457457873273E-2</v>
      </c>
      <c r="M58" s="2">
        <f t="shared" si="26"/>
        <v>8.0013122661671682E-3</v>
      </c>
      <c r="N58" s="2">
        <f t="shared" si="26"/>
        <v>0.70804533431461758</v>
      </c>
      <c r="O58" s="2">
        <f t="shared" si="26"/>
        <v>4.0926763859362252</v>
      </c>
      <c r="P58" s="2">
        <f>_xlfn.STDEV.S(P31:P34,P37,P39,P42,P44:P46,P49:P50)</f>
        <v>0.96351753925245787</v>
      </c>
    </row>
    <row r="59" spans="2:24" x14ac:dyDescent="0.35">
      <c r="D59" s="13"/>
      <c r="E59" s="49"/>
      <c r="F59" s="13"/>
      <c r="G59" s="49" t="s">
        <v>95</v>
      </c>
      <c r="H59" s="2">
        <f>H58/(SQRT(13))</f>
        <v>0.23796321502764659</v>
      </c>
      <c r="I59" s="2">
        <f t="shared" ref="I59:O59" si="27">I58/(SQRT(13))</f>
        <v>0.27864194466719205</v>
      </c>
      <c r="J59" s="2">
        <f t="shared" si="27"/>
        <v>2.3379664359901957E-2</v>
      </c>
      <c r="K59" s="2">
        <f t="shared" si="27"/>
        <v>2.3379664359902089E-2</v>
      </c>
      <c r="L59" s="2">
        <f t="shared" si="27"/>
        <v>1.194725970228502E-2</v>
      </c>
      <c r="M59" s="2">
        <f t="shared" si="27"/>
        <v>2.2191647420511306E-3</v>
      </c>
      <c r="N59" s="2">
        <f t="shared" si="27"/>
        <v>0.19637644294033818</v>
      </c>
      <c r="O59" s="2">
        <f t="shared" si="27"/>
        <v>1.1351041971825928</v>
      </c>
      <c r="P59" s="2">
        <f>P58/(SQRT(13))</f>
        <v>0.26723168404489417</v>
      </c>
    </row>
    <row r="60" spans="2:24" x14ac:dyDescent="0.35">
      <c r="D60" s="13"/>
      <c r="E60" s="49"/>
      <c r="F60" s="13"/>
      <c r="G60" s="13"/>
      <c r="H60" s="13"/>
      <c r="I60" s="13"/>
      <c r="J60" s="13"/>
      <c r="K60" s="13"/>
      <c r="L60" s="13"/>
      <c r="M60" s="13"/>
      <c r="N60" s="13"/>
      <c r="O60" s="13"/>
      <c r="P60" s="13"/>
      <c r="Q60" s="13"/>
    </row>
    <row r="61" spans="2:24" ht="16" thickBot="1" x14ac:dyDescent="0.4">
      <c r="D61" s="13"/>
      <c r="E61" s="49" t="s">
        <v>301</v>
      </c>
      <c r="F61" s="13"/>
      <c r="G61" s="13"/>
      <c r="H61" s="9" t="s">
        <v>3</v>
      </c>
      <c r="I61" s="9" t="s">
        <v>4</v>
      </c>
      <c r="J61" s="9" t="s">
        <v>5</v>
      </c>
      <c r="K61" s="9" t="s">
        <v>6</v>
      </c>
      <c r="L61" s="9" t="s">
        <v>7</v>
      </c>
      <c r="M61" s="9" t="s">
        <v>8</v>
      </c>
      <c r="N61" s="9" t="s">
        <v>9</v>
      </c>
      <c r="O61" s="9" t="s">
        <v>10</v>
      </c>
      <c r="P61" s="44" t="s">
        <v>139</v>
      </c>
      <c r="Q61" s="44"/>
    </row>
    <row r="62" spans="2:24" x14ac:dyDescent="0.35">
      <c r="D62" s="13"/>
      <c r="E62" s="13"/>
      <c r="F62" s="13"/>
      <c r="G62" s="49" t="s">
        <v>77</v>
      </c>
      <c r="H62" s="13">
        <f>AVERAGE(H35,H38,H40,H43)</f>
        <v>7.9514074999999949</v>
      </c>
      <c r="I62" s="13">
        <f t="shared" ref="I62:O62" si="28">AVERAGE(I35,I38,I40,I43)</f>
        <v>4.9502350000000028</v>
      </c>
      <c r="J62" s="13">
        <f t="shared" si="28"/>
        <v>0.62172092310474514</v>
      </c>
      <c r="K62" s="13">
        <f t="shared" si="28"/>
        <v>0.37827907689525486</v>
      </c>
      <c r="L62" s="13">
        <f t="shared" si="28"/>
        <v>0.1258542576646958</v>
      </c>
      <c r="M62" s="13">
        <f t="shared" si="28"/>
        <v>7.8278727570157858E-2</v>
      </c>
      <c r="N62" s="13">
        <f t="shared" si="28"/>
        <v>12.901642499999998</v>
      </c>
      <c r="O62" s="13">
        <f t="shared" si="28"/>
        <v>51</v>
      </c>
      <c r="P62" s="13">
        <f>AVERAGE(P35,P38,P40,P43)</f>
        <v>6.4122453033571887</v>
      </c>
      <c r="Q62" s="13"/>
    </row>
    <row r="63" spans="2:24" x14ac:dyDescent="0.35">
      <c r="D63" s="13"/>
      <c r="E63" s="13"/>
      <c r="F63" s="13"/>
      <c r="G63" s="49" t="s">
        <v>94</v>
      </c>
      <c r="H63" s="2">
        <f>_xlfn.STDEV.S(H35,H38,H40,H43)</f>
        <v>0.24305198845445541</v>
      </c>
      <c r="I63" s="2">
        <f t="shared" ref="I63:O63" si="29">_xlfn.STDEV.S(I35,I38,I40,I43)</f>
        <v>1.3460384969853798</v>
      </c>
      <c r="J63" s="2">
        <f t="shared" si="29"/>
        <v>6.7877171179027807E-2</v>
      </c>
      <c r="K63" s="2">
        <f t="shared" si="29"/>
        <v>6.7877171179028223E-2</v>
      </c>
      <c r="L63" s="2">
        <f t="shared" si="29"/>
        <v>3.9418664131280687E-3</v>
      </c>
      <c r="M63" s="2">
        <f t="shared" si="29"/>
        <v>9.179389078316353E-3</v>
      </c>
      <c r="N63" s="2">
        <f t="shared" si="29"/>
        <v>1.4444433604304636</v>
      </c>
      <c r="O63" s="2">
        <f t="shared" si="29"/>
        <v>2.4494897427831779</v>
      </c>
      <c r="P63" s="2">
        <f>_xlfn.STDEV.S(P35,P38,P40,P43)</f>
        <v>0.16432634572423377</v>
      </c>
    </row>
    <row r="64" spans="2:24" x14ac:dyDescent="0.35">
      <c r="D64" s="13"/>
      <c r="E64" s="13"/>
      <c r="F64" s="13"/>
      <c r="G64" s="49" t="s">
        <v>95</v>
      </c>
      <c r="H64" s="2">
        <f>H63/(SQRT(4))</f>
        <v>0.12152599422722771</v>
      </c>
      <c r="I64" s="2">
        <f t="shared" ref="I64:O64" si="30">I63/(SQRT(4))</f>
        <v>0.6730192484926899</v>
      </c>
      <c r="J64" s="2">
        <f t="shared" si="30"/>
        <v>3.3938585589513903E-2</v>
      </c>
      <c r="K64" s="2">
        <f t="shared" si="30"/>
        <v>3.3938585589514111E-2</v>
      </c>
      <c r="L64" s="2">
        <f t="shared" si="30"/>
        <v>1.9709332065640343E-3</v>
      </c>
      <c r="M64" s="2">
        <f t="shared" si="30"/>
        <v>4.5896945391581765E-3</v>
      </c>
      <c r="N64" s="2">
        <f t="shared" si="30"/>
        <v>0.72222168021523181</v>
      </c>
      <c r="O64" s="2">
        <f t="shared" si="30"/>
        <v>1.2247448713915889</v>
      </c>
      <c r="P64" s="2">
        <f>P63/(SQRT(4))</f>
        <v>8.2163172862116884E-2</v>
      </c>
    </row>
    <row r="65" spans="1:24" x14ac:dyDescent="0.35">
      <c r="D65" s="13"/>
      <c r="E65" s="13"/>
      <c r="F65" s="13"/>
      <c r="G65" s="13"/>
      <c r="H65" s="13"/>
      <c r="I65" s="13"/>
      <c r="J65" s="13"/>
      <c r="K65" s="13"/>
      <c r="L65" s="13"/>
      <c r="M65" s="13"/>
      <c r="N65" s="13"/>
      <c r="O65" s="13"/>
      <c r="P65" s="13"/>
      <c r="Q65" s="13"/>
    </row>
    <row r="66" spans="1:24" ht="16" thickBot="1" x14ac:dyDescent="0.4">
      <c r="D66" s="13"/>
      <c r="E66" s="13" t="s">
        <v>273</v>
      </c>
      <c r="F66" s="13"/>
      <c r="G66" s="13"/>
      <c r="H66" s="9" t="s">
        <v>3</v>
      </c>
      <c r="I66" s="9" t="s">
        <v>4</v>
      </c>
      <c r="J66" s="9" t="s">
        <v>5</v>
      </c>
      <c r="K66" s="9" t="s">
        <v>6</v>
      </c>
      <c r="L66" s="9" t="s">
        <v>7</v>
      </c>
      <c r="M66" s="9" t="s">
        <v>8</v>
      </c>
      <c r="N66" s="9" t="s">
        <v>9</v>
      </c>
      <c r="O66" s="9" t="s">
        <v>10</v>
      </c>
      <c r="P66" s="44" t="s">
        <v>139</v>
      </c>
      <c r="Q66" s="44"/>
    </row>
    <row r="67" spans="1:24" x14ac:dyDescent="0.35">
      <c r="D67" s="13"/>
      <c r="E67" s="13"/>
      <c r="F67" s="13"/>
      <c r="G67" s="49" t="s">
        <v>77</v>
      </c>
      <c r="H67" s="13">
        <f>AVERAGE(H29:H30,H35:H36,H38,H40:H41,H43,H48,H52:H53)</f>
        <v>7.9794272727272695</v>
      </c>
      <c r="I67" s="13">
        <f t="shared" ref="I67:O67" si="31">AVERAGE(I29:I30,I35:I36,I38,I40:I41,I43,I48,I52:I53)</f>
        <v>4.8372754545454599</v>
      </c>
      <c r="J67" s="13">
        <f t="shared" si="31"/>
        <v>0.62165095882263099</v>
      </c>
      <c r="K67" s="13">
        <f t="shared" si="31"/>
        <v>0.37834904117736895</v>
      </c>
      <c r="L67" s="13">
        <f t="shared" si="31"/>
        <v>0.12908430944981386</v>
      </c>
      <c r="M67" s="13">
        <f t="shared" si="31"/>
        <v>7.9435275578415718E-2</v>
      </c>
      <c r="N67" s="13">
        <f t="shared" si="31"/>
        <v>12.81670272727273</v>
      </c>
      <c r="O67" s="13">
        <f t="shared" si="31"/>
        <v>50.272727272727273</v>
      </c>
      <c r="P67" s="13">
        <f>AVERAGE(P29:P30,P35:P36,P38,P40:P41,P43,P48,P52:P53)</f>
        <v>6.2833670236976422</v>
      </c>
      <c r="Q67" s="13"/>
    </row>
    <row r="68" spans="1:24" x14ac:dyDescent="0.35">
      <c r="D68" s="13"/>
      <c r="E68" s="13"/>
      <c r="F68" s="13"/>
      <c r="G68" s="49" t="s">
        <v>94</v>
      </c>
      <c r="H68" s="2">
        <f>_xlfn.STDEV.S(H29:H30,H35:H36,H38,H40:H41,H43,H48,H52:H53)</f>
        <v>1.334273534280668</v>
      </c>
      <c r="I68" s="2">
        <f t="shared" ref="I68:O68" si="32">_xlfn.STDEV.S(I29:I30,I35:I36,I38,I40:I41,I43,I48,I52:I53)</f>
        <v>0.91103333813163634</v>
      </c>
      <c r="J68" s="2">
        <f t="shared" si="32"/>
        <v>5.7102580257202155E-2</v>
      </c>
      <c r="K68" s="2">
        <f t="shared" si="32"/>
        <v>5.710258025720176E-2</v>
      </c>
      <c r="L68" s="2">
        <f t="shared" si="32"/>
        <v>2.5142096349698509E-2</v>
      </c>
      <c r="M68" s="2">
        <f t="shared" si="32"/>
        <v>1.1505805104742438E-2</v>
      </c>
      <c r="N68" s="2">
        <f t="shared" si="32"/>
        <v>1.7434621374557531</v>
      </c>
      <c r="O68" s="2">
        <f t="shared" si="32"/>
        <v>10.050780159678252</v>
      </c>
      <c r="P68" s="2">
        <f>_xlfn.STDEV.S(P29:P30,P35:P36,P38,P40:P41,P43,P48,P52:P53)</f>
        <v>0.4812755645214401</v>
      </c>
    </row>
    <row r="69" spans="1:24" ht="15.5" x14ac:dyDescent="0.35">
      <c r="D69" s="14"/>
      <c r="E69" s="13"/>
      <c r="F69" s="13"/>
      <c r="G69" s="49" t="s">
        <v>95</v>
      </c>
      <c r="H69" s="2">
        <f>H68/(SQRT(11))</f>
        <v>0.402298607355489</v>
      </c>
      <c r="I69" s="2">
        <f t="shared" ref="I69:O69" si="33">I68/(SQRT(11))</f>
        <v>0.27468688673523806</v>
      </c>
      <c r="J69" s="2">
        <f t="shared" si="33"/>
        <v>1.7217075752208683E-2</v>
      </c>
      <c r="K69" s="2">
        <f t="shared" si="33"/>
        <v>1.7217075752208561E-2</v>
      </c>
      <c r="L69" s="2">
        <f t="shared" si="33"/>
        <v>7.5806272759012805E-3</v>
      </c>
      <c r="M69" s="2">
        <f t="shared" si="33"/>
        <v>3.4691307675805889E-3</v>
      </c>
      <c r="N69" s="2">
        <f t="shared" si="33"/>
        <v>0.52567361328470585</v>
      </c>
      <c r="O69" s="2">
        <f t="shared" si="33"/>
        <v>3.0304242400000998</v>
      </c>
      <c r="P69" s="2">
        <f>P68/(SQRT(11))</f>
        <v>0.14511004257128163</v>
      </c>
      <c r="R69" s="5"/>
      <c r="S69" s="5"/>
      <c r="T69" s="5"/>
      <c r="U69" s="5"/>
    </row>
    <row r="70" spans="1:24" x14ac:dyDescent="0.35">
      <c r="D70" s="13"/>
      <c r="E70" s="13"/>
      <c r="F70" s="13"/>
      <c r="G70" s="13"/>
      <c r="H70" s="13"/>
      <c r="I70" s="13"/>
      <c r="J70" s="13"/>
      <c r="K70" s="13"/>
      <c r="L70" s="13"/>
      <c r="M70" s="13"/>
      <c r="N70" s="13"/>
      <c r="O70" s="13"/>
      <c r="P70" s="13"/>
      <c r="Q70" s="13"/>
      <c r="R70" s="13"/>
      <c r="S70" s="13"/>
      <c r="W70" s="13"/>
      <c r="X70" s="28"/>
    </row>
    <row r="71" spans="1:24" x14ac:dyDescent="0.35">
      <c r="D71" s="13"/>
      <c r="E71" s="13"/>
      <c r="F71" s="13"/>
      <c r="G71" s="13"/>
      <c r="H71" s="13"/>
      <c r="I71" s="13"/>
      <c r="J71" s="13"/>
      <c r="K71" s="13"/>
      <c r="L71" s="13"/>
      <c r="M71" s="13"/>
      <c r="N71" s="13"/>
      <c r="O71" s="13"/>
      <c r="P71" s="13"/>
      <c r="Q71" s="13"/>
      <c r="R71" s="13"/>
      <c r="S71" s="13"/>
      <c r="W71" s="13"/>
      <c r="X71" s="28"/>
    </row>
    <row r="72" spans="1:24" ht="16" thickBot="1" x14ac:dyDescent="0.4">
      <c r="D72" s="13"/>
      <c r="E72" s="49" t="s">
        <v>320</v>
      </c>
      <c r="F72" s="13"/>
      <c r="G72" s="13"/>
      <c r="H72" s="9" t="s">
        <v>3</v>
      </c>
      <c r="I72" s="9" t="s">
        <v>4</v>
      </c>
      <c r="J72" s="9" t="s">
        <v>5</v>
      </c>
      <c r="K72" s="9" t="s">
        <v>6</v>
      </c>
      <c r="L72" s="9" t="s">
        <v>7</v>
      </c>
      <c r="M72" s="9" t="s">
        <v>8</v>
      </c>
      <c r="N72" s="9" t="s">
        <v>9</v>
      </c>
      <c r="O72" s="9" t="s">
        <v>10</v>
      </c>
      <c r="P72" s="44" t="s">
        <v>139</v>
      </c>
      <c r="Q72" s="44"/>
      <c r="R72" s="13"/>
      <c r="S72" s="13"/>
      <c r="W72" s="13"/>
      <c r="X72" s="28"/>
    </row>
    <row r="73" spans="1:24" x14ac:dyDescent="0.35">
      <c r="D73" s="13"/>
      <c r="E73" s="49"/>
      <c r="F73" s="13"/>
      <c r="G73" s="49" t="s">
        <v>77</v>
      </c>
      <c r="H73" s="13">
        <f>AVERAGE(H47,H51)</f>
        <v>8.3528999999999911</v>
      </c>
      <c r="I73" s="13">
        <f t="shared" ref="I73:O73" si="34">AVERAGE(I47,I51)</f>
        <v>9.6380500000000069</v>
      </c>
      <c r="J73" s="13">
        <f t="shared" si="34"/>
        <v>0.47979431547489637</v>
      </c>
      <c r="K73" s="13">
        <f t="shared" si="34"/>
        <v>0.52020568452510352</v>
      </c>
      <c r="L73" s="13">
        <f t="shared" si="34"/>
        <v>0.12067954534088865</v>
      </c>
      <c r="M73" s="13">
        <f t="shared" si="34"/>
        <v>5.863359658375935E-2</v>
      </c>
      <c r="N73" s="13">
        <f t="shared" si="34"/>
        <v>17.990949999999998</v>
      </c>
      <c r="O73" s="13">
        <f t="shared" si="34"/>
        <v>55</v>
      </c>
      <c r="P73" s="13">
        <f>AVERAGE(P47,P51)</f>
        <v>6.5620053594713106</v>
      </c>
      <c r="Q73" s="13"/>
      <c r="R73" s="13"/>
      <c r="S73" s="13"/>
      <c r="W73" s="13"/>
      <c r="X73" s="28"/>
    </row>
    <row r="74" spans="1:24" x14ac:dyDescent="0.35">
      <c r="D74" s="13"/>
      <c r="E74" s="49"/>
      <c r="F74" s="13"/>
      <c r="G74" s="49" t="s">
        <v>94</v>
      </c>
      <c r="H74" s="2">
        <f>_xlfn.STDEV.S(H47,H51)</f>
        <v>1.0539426573585271</v>
      </c>
      <c r="I74" s="2">
        <f t="shared" ref="I74:O74" si="35">_xlfn.STDEV.S(I47,I51)</f>
        <v>4.7490564216694908</v>
      </c>
      <c r="J74" s="2">
        <f t="shared" si="35"/>
        <v>9.617631717420036E-2</v>
      </c>
      <c r="K74" s="2">
        <f t="shared" si="35"/>
        <v>9.617631717420122E-2</v>
      </c>
      <c r="L74" s="2">
        <f t="shared" si="35"/>
        <v>1.5226965569490263E-2</v>
      </c>
      <c r="M74" s="2">
        <f t="shared" si="35"/>
        <v>1.8912325751316975E-2</v>
      </c>
      <c r="N74" s="2">
        <f t="shared" si="35"/>
        <v>5.802999079028015</v>
      </c>
      <c r="O74" s="2">
        <f t="shared" si="35"/>
        <v>9.8994949366116654</v>
      </c>
      <c r="P74" s="2">
        <f>_xlfn.STDEV.S(P47,P51)</f>
        <v>0.35718344173276079</v>
      </c>
      <c r="R74" s="13"/>
      <c r="S74" s="13"/>
      <c r="W74" s="13"/>
      <c r="X74" s="28"/>
    </row>
    <row r="75" spans="1:24" x14ac:dyDescent="0.35">
      <c r="D75" s="13"/>
      <c r="E75" s="49"/>
      <c r="F75" s="13"/>
      <c r="G75" s="49" t="s">
        <v>95</v>
      </c>
      <c r="H75" s="2">
        <f>H74/(SQRT(2))</f>
        <v>0.74524999999998442</v>
      </c>
      <c r="I75" s="2">
        <f t="shared" ref="I75:O75" si="36">I74/(SQRT(2))</f>
        <v>3.3580900000000167</v>
      </c>
      <c r="J75" s="2">
        <f t="shared" si="36"/>
        <v>6.8006926063425288E-2</v>
      </c>
      <c r="K75" s="2">
        <f t="shared" si="36"/>
        <v>6.8006926063425885E-2</v>
      </c>
      <c r="L75" s="2">
        <f t="shared" si="36"/>
        <v>1.0767090611080643E-2</v>
      </c>
      <c r="M75" s="2">
        <f t="shared" si="36"/>
        <v>1.3373033786765199E-2</v>
      </c>
      <c r="N75" s="2">
        <f t="shared" si="36"/>
        <v>4.1033399999999993</v>
      </c>
      <c r="O75" s="2">
        <f t="shared" si="36"/>
        <v>6.9999999999999991</v>
      </c>
      <c r="P75" s="2">
        <f>P74/(SQRT(2))</f>
        <v>0.25256683377678524</v>
      </c>
      <c r="R75" s="13"/>
      <c r="S75" s="13"/>
      <c r="W75" s="13"/>
      <c r="X75" s="28"/>
    </row>
    <row r="76" spans="1:24" x14ac:dyDescent="0.35">
      <c r="D76" s="13"/>
      <c r="E76" s="49"/>
      <c r="F76" s="13"/>
      <c r="G76" s="13"/>
      <c r="H76" s="13"/>
      <c r="I76" s="13"/>
      <c r="J76" s="13"/>
      <c r="K76" s="13"/>
      <c r="L76" s="13"/>
      <c r="M76" s="13"/>
      <c r="N76" s="13"/>
      <c r="O76" s="13"/>
      <c r="P76" s="13"/>
      <c r="Q76" s="13"/>
      <c r="R76" s="13"/>
      <c r="S76" s="13"/>
      <c r="W76" s="13"/>
      <c r="X76" s="28"/>
    </row>
    <row r="77" spans="1:24" ht="16" thickBot="1" x14ac:dyDescent="0.4">
      <c r="D77" s="13"/>
      <c r="E77" s="49" t="s">
        <v>301</v>
      </c>
      <c r="F77" s="13"/>
      <c r="G77" s="13"/>
      <c r="H77" s="9" t="s">
        <v>3</v>
      </c>
      <c r="I77" s="9" t="s">
        <v>4</v>
      </c>
      <c r="J77" s="9" t="s">
        <v>5</v>
      </c>
      <c r="K77" s="9" t="s">
        <v>6</v>
      </c>
      <c r="L77" s="9" t="s">
        <v>7</v>
      </c>
      <c r="M77" s="9" t="s">
        <v>8</v>
      </c>
      <c r="N77" s="9" t="s">
        <v>9</v>
      </c>
      <c r="O77" s="9" t="s">
        <v>10</v>
      </c>
      <c r="P77" s="44" t="s">
        <v>139</v>
      </c>
      <c r="Q77" s="44"/>
      <c r="R77" s="13"/>
      <c r="S77" s="13"/>
      <c r="W77" s="13"/>
      <c r="X77" s="28"/>
    </row>
    <row r="78" spans="1:24" x14ac:dyDescent="0.35">
      <c r="D78" s="13"/>
      <c r="E78" s="13"/>
      <c r="F78" s="13"/>
      <c r="G78" s="49" t="s">
        <v>77</v>
      </c>
      <c r="H78" s="13">
        <f>AVERAGE(H48,H52)</f>
        <v>9.6893700000000109</v>
      </c>
      <c r="I78" s="13">
        <f t="shared" ref="I78:O78" si="37">AVERAGE(I48,I52)</f>
        <v>4.9254999999999995</v>
      </c>
      <c r="J78" s="13">
        <f t="shared" si="37"/>
        <v>0.6646812012089709</v>
      </c>
      <c r="K78" s="13">
        <f t="shared" si="37"/>
        <v>0.33531879879102899</v>
      </c>
      <c r="L78" s="13">
        <f t="shared" si="37"/>
        <v>0.10326622060278309</v>
      </c>
      <c r="M78" s="13">
        <f t="shared" si="37"/>
        <v>6.8705395878055547E-2</v>
      </c>
      <c r="N78" s="13">
        <f t="shared" si="37"/>
        <v>14.61487000000001</v>
      </c>
      <c r="O78" s="13">
        <f t="shared" si="37"/>
        <v>62.5</v>
      </c>
      <c r="P78" s="13">
        <f>AVERAGE(P48,P52)</f>
        <v>6.4429061774141214</v>
      </c>
      <c r="Q78" s="13"/>
      <c r="R78" s="13"/>
      <c r="S78" s="13"/>
      <c r="W78" s="13"/>
      <c r="X78" s="28"/>
    </row>
    <row r="79" spans="1:24" x14ac:dyDescent="0.35">
      <c r="D79" s="13"/>
      <c r="E79" s="13"/>
      <c r="F79" s="13"/>
      <c r="G79" s="49" t="s">
        <v>94</v>
      </c>
      <c r="H79" s="2">
        <f>_xlfn.STDEV.S(H48,H52)</f>
        <v>0.33122295844340893</v>
      </c>
      <c r="I79" s="2">
        <f t="shared" ref="I79:O79" si="38">_xlfn.STDEV.S(I48,I52)</f>
        <v>0.99277792078591232</v>
      </c>
      <c r="J79" s="2">
        <f t="shared" si="38"/>
        <v>3.7551858919338148E-2</v>
      </c>
      <c r="K79" s="2">
        <f t="shared" si="38"/>
        <v>3.7551858919338189E-2</v>
      </c>
      <c r="L79" s="2">
        <f t="shared" si="38"/>
        <v>3.5300688378422434E-3</v>
      </c>
      <c r="M79" s="2">
        <f t="shared" si="38"/>
        <v>6.2242089426963014E-3</v>
      </c>
      <c r="N79" s="2">
        <f t="shared" si="38"/>
        <v>1.3240008792293192</v>
      </c>
      <c r="O79" s="2">
        <f t="shared" si="38"/>
        <v>6.3639610306789276</v>
      </c>
      <c r="P79" s="2">
        <f>_xlfn.STDEV.S(P48,P52)</f>
        <v>0.43655290133646452</v>
      </c>
      <c r="R79" s="13"/>
      <c r="S79" s="13"/>
      <c r="W79" s="13"/>
      <c r="X79" s="28"/>
    </row>
    <row r="80" spans="1:24" x14ac:dyDescent="0.35">
      <c r="A80" s="13"/>
      <c r="D80" s="13"/>
      <c r="E80" s="13"/>
      <c r="F80" s="13"/>
      <c r="G80" s="49" t="s">
        <v>95</v>
      </c>
      <c r="H80" s="2">
        <f>H79/(SQRT(2))</f>
        <v>0.23421000000000447</v>
      </c>
      <c r="I80" s="2">
        <f t="shared" ref="I80:O80" si="39">I79/(SQRT(2))</f>
        <v>0.70199999999999962</v>
      </c>
      <c r="J80" s="2">
        <f t="shared" si="39"/>
        <v>2.6553174088024541E-2</v>
      </c>
      <c r="K80" s="2">
        <f t="shared" si="39"/>
        <v>2.6553174088024569E-2</v>
      </c>
      <c r="L80" s="2">
        <f t="shared" si="39"/>
        <v>2.4961356132935653E-3</v>
      </c>
      <c r="M80" s="2">
        <f t="shared" si="39"/>
        <v>4.401180350902506E-3</v>
      </c>
      <c r="N80" s="2">
        <f t="shared" si="39"/>
        <v>0.93621000000000265</v>
      </c>
      <c r="O80" s="2">
        <f t="shared" si="39"/>
        <v>4.5</v>
      </c>
      <c r="P80" s="2">
        <f>P79/(SQRT(2))</f>
        <v>0.30868951688167584</v>
      </c>
    </row>
    <row r="81" spans="1:24" x14ac:dyDescent="0.35">
      <c r="A81" s="13"/>
      <c r="D81" s="13"/>
      <c r="E81" s="13"/>
      <c r="F81" s="13"/>
      <c r="G81" s="13"/>
      <c r="H81" s="13"/>
      <c r="I81" s="13"/>
      <c r="J81" s="13"/>
      <c r="K81" s="13"/>
      <c r="L81" s="13"/>
      <c r="M81" s="13"/>
      <c r="N81" s="13"/>
      <c r="O81" s="13"/>
      <c r="P81" s="13"/>
      <c r="X81" s="28"/>
    </row>
    <row r="82" spans="1:24" x14ac:dyDescent="0.35">
      <c r="A82" s="13"/>
      <c r="D82" s="13"/>
      <c r="E82" s="13"/>
      <c r="F82" s="13"/>
      <c r="G82" s="13"/>
      <c r="H82" s="13"/>
      <c r="I82" s="13"/>
      <c r="J82" s="13"/>
      <c r="K82" s="13"/>
      <c r="L82" s="13"/>
      <c r="M82" s="13"/>
      <c r="N82" s="13"/>
      <c r="O82" s="13"/>
      <c r="P82" s="13"/>
    </row>
    <row r="83" spans="1:24" x14ac:dyDescent="0.35">
      <c r="A83" s="13"/>
      <c r="D83" s="168"/>
      <c r="E83" s="13"/>
      <c r="F83" s="13"/>
      <c r="G83" s="13"/>
      <c r="H83" s="13"/>
      <c r="I83" s="13"/>
      <c r="J83" s="13"/>
      <c r="K83" s="13"/>
      <c r="L83" s="13"/>
      <c r="M83" s="13"/>
      <c r="N83" s="13"/>
      <c r="O83" s="13"/>
      <c r="P83" s="13"/>
      <c r="R83" s="13"/>
    </row>
    <row r="84" spans="1:24" x14ac:dyDescent="0.35">
      <c r="A84" s="13"/>
      <c r="D84" s="168"/>
      <c r="E84" s="13"/>
      <c r="F84" s="13"/>
      <c r="G84" s="49"/>
      <c r="H84" s="49"/>
      <c r="I84" s="49"/>
      <c r="J84" s="49"/>
      <c r="K84" s="49"/>
      <c r="L84" s="49"/>
      <c r="M84" s="49"/>
      <c r="N84" s="49"/>
      <c r="O84" s="13"/>
      <c r="P84" s="13"/>
    </row>
    <row r="85" spans="1:24" x14ac:dyDescent="0.35">
      <c r="A85" s="13"/>
      <c r="B85" s="13"/>
      <c r="C85" s="13"/>
      <c r="D85" s="13"/>
      <c r="E85" s="13"/>
      <c r="F85" s="13"/>
      <c r="G85" s="13"/>
      <c r="H85" s="13"/>
      <c r="I85" s="13"/>
      <c r="J85" s="13"/>
      <c r="K85" s="13"/>
      <c r="L85" s="13"/>
    </row>
    <row r="86" spans="1:24" x14ac:dyDescent="0.35">
      <c r="A86" s="13"/>
      <c r="B86" s="29"/>
      <c r="C86" s="29"/>
      <c r="D86" s="29"/>
      <c r="E86" s="13"/>
      <c r="F86" s="13"/>
      <c r="G86" s="13"/>
      <c r="H86" s="13"/>
      <c r="I86" s="13"/>
      <c r="J86" s="13"/>
      <c r="K86" s="13"/>
      <c r="L86" s="13"/>
    </row>
    <row r="87" spans="1:24" x14ac:dyDescent="0.35">
      <c r="A87" s="13"/>
      <c r="B87" s="29"/>
      <c r="C87" s="29"/>
      <c r="D87" s="29"/>
      <c r="E87" s="13"/>
      <c r="F87" s="13"/>
      <c r="G87" s="13"/>
      <c r="H87" s="13"/>
      <c r="I87" s="13"/>
      <c r="J87" s="13"/>
      <c r="K87" s="13"/>
      <c r="L87" s="13"/>
    </row>
    <row r="88" spans="1:24" x14ac:dyDescent="0.35">
      <c r="A88" s="13"/>
      <c r="B88" s="29"/>
      <c r="C88" s="29"/>
      <c r="D88" s="29"/>
      <c r="E88" s="13"/>
      <c r="F88" s="13"/>
      <c r="G88" s="13"/>
      <c r="H88" s="13"/>
      <c r="I88" s="13"/>
      <c r="J88" s="13"/>
      <c r="K88" s="13"/>
      <c r="L88" s="13"/>
    </row>
    <row r="89" spans="1:24" ht="18.5" x14ac:dyDescent="0.45">
      <c r="A89" s="13"/>
      <c r="B89" s="29"/>
      <c r="C89" s="29"/>
      <c r="D89" s="29"/>
      <c r="E89" s="13"/>
      <c r="F89" s="1" t="s">
        <v>50</v>
      </c>
      <c r="G89" s="3"/>
      <c r="H89" s="3"/>
      <c r="I89" s="3"/>
      <c r="J89" s="3"/>
      <c r="K89" s="3"/>
      <c r="L89" s="3"/>
      <c r="M89" s="3"/>
      <c r="N89" s="3"/>
      <c r="O89" s="3"/>
      <c r="P89" s="3"/>
      <c r="Q89" s="3"/>
      <c r="R89" s="3"/>
      <c r="S89" s="3"/>
      <c r="T89" s="3"/>
      <c r="U89" s="3"/>
    </row>
    <row r="90" spans="1:24" ht="16" thickBot="1" x14ac:dyDescent="0.4">
      <c r="A90" s="13"/>
      <c r="B90" s="13"/>
      <c r="C90" s="13"/>
      <c r="D90" s="13"/>
      <c r="E90" s="13"/>
      <c r="F90" s="9" t="s">
        <v>1</v>
      </c>
      <c r="G90" s="9" t="s">
        <v>2</v>
      </c>
      <c r="H90" s="9" t="s">
        <v>3</v>
      </c>
      <c r="I90" s="9" t="s">
        <v>4</v>
      </c>
      <c r="J90" s="9" t="s">
        <v>5</v>
      </c>
      <c r="K90" s="9" t="s">
        <v>6</v>
      </c>
      <c r="L90" s="9" t="s">
        <v>7</v>
      </c>
      <c r="M90" s="9" t="s">
        <v>8</v>
      </c>
      <c r="N90" s="9" t="s">
        <v>9</v>
      </c>
      <c r="O90" s="9" t="s">
        <v>10</v>
      </c>
      <c r="P90" s="5"/>
      <c r="Q90" s="5"/>
      <c r="R90" s="9" t="s">
        <v>11</v>
      </c>
      <c r="S90" s="9" t="s">
        <v>12</v>
      </c>
      <c r="T90" s="9" t="s">
        <v>13</v>
      </c>
      <c r="U90" s="9" t="s">
        <v>14</v>
      </c>
    </row>
    <row r="91" spans="1:24" x14ac:dyDescent="0.35">
      <c r="A91" s="13"/>
      <c r="B91" s="13"/>
      <c r="C91" s="13"/>
      <c r="D91" s="13"/>
      <c r="E91" s="13"/>
      <c r="F91" s="13">
        <v>4.92</v>
      </c>
      <c r="G91" s="13">
        <v>14.53</v>
      </c>
      <c r="H91" s="13">
        <f>G91-F91</f>
        <v>9.61</v>
      </c>
      <c r="I91" s="13">
        <f>F92-G91</f>
        <v>5.6400000000000023</v>
      </c>
      <c r="J91" s="13">
        <f>H91/N91</f>
        <v>0.63016393442622942</v>
      </c>
      <c r="K91" s="13">
        <f>I91/N91</f>
        <v>0.36983606557377058</v>
      </c>
      <c r="L91" s="13">
        <f>1/H91</f>
        <v>0.10405827263267431</v>
      </c>
      <c r="M91" s="13">
        <f t="shared" ref="M91:M99" si="40">1/N91</f>
        <v>6.5573770491803268E-2</v>
      </c>
      <c r="N91" s="13">
        <f>H91+I91</f>
        <v>15.250000000000002</v>
      </c>
      <c r="O91" s="13"/>
      <c r="P91" s="13"/>
      <c r="Q91" s="13"/>
      <c r="R91" s="13">
        <v>2.34</v>
      </c>
      <c r="S91" s="13">
        <v>11.08</v>
      </c>
      <c r="T91" s="13">
        <f>S91-R91</f>
        <v>8.74</v>
      </c>
      <c r="U91" s="13">
        <f>R92-S91</f>
        <v>8.4999999999999982</v>
      </c>
    </row>
    <row r="92" spans="1:24" x14ac:dyDescent="0.35">
      <c r="A92" s="13"/>
      <c r="B92" s="13"/>
      <c r="C92" s="13"/>
      <c r="D92" s="13"/>
      <c r="E92" s="13"/>
      <c r="F92" s="13">
        <v>20.170000000000002</v>
      </c>
      <c r="G92" s="13">
        <v>29.74</v>
      </c>
      <c r="H92" s="13">
        <f t="shared" ref="H92:H100" si="41">G92-F92</f>
        <v>9.5699999999999967</v>
      </c>
      <c r="I92" s="13">
        <f t="shared" ref="I92:I99" si="42">F93-G92</f>
        <v>4.4899999999999984</v>
      </c>
      <c r="J92" s="13">
        <f t="shared" ref="J92:J99" si="43">H92/N92</f>
        <v>0.68065433854907542</v>
      </c>
      <c r="K92" s="13">
        <f t="shared" ref="K92:K99" si="44">I92/N92</f>
        <v>0.31934566145092463</v>
      </c>
      <c r="L92" s="13">
        <f t="shared" ref="L92:L99" si="45">1/H92</f>
        <v>0.10449320794148384</v>
      </c>
      <c r="M92" s="13">
        <f t="shared" si="40"/>
        <v>7.1123755334281669E-2</v>
      </c>
      <c r="N92" s="13">
        <f t="shared" ref="N92:N99" si="46">H92+I92</f>
        <v>14.059999999999995</v>
      </c>
      <c r="O92" s="13"/>
      <c r="P92" s="13"/>
      <c r="Q92" s="13"/>
      <c r="R92" s="13">
        <v>19.579999999999998</v>
      </c>
      <c r="S92" s="13">
        <v>27.28</v>
      </c>
      <c r="T92" s="13">
        <f>S92-R92</f>
        <v>7.7000000000000028</v>
      </c>
      <c r="U92" s="13">
        <f>R94-S92</f>
        <v>16.68</v>
      </c>
    </row>
    <row r="93" spans="1:24" x14ac:dyDescent="0.35">
      <c r="A93" s="13"/>
      <c r="B93" s="13"/>
      <c r="C93" s="13"/>
      <c r="D93" s="13"/>
      <c r="E93" s="13"/>
      <c r="F93" s="13">
        <v>34.229999999999997</v>
      </c>
      <c r="G93" s="13">
        <v>40.9</v>
      </c>
      <c r="H93" s="13">
        <f t="shared" si="41"/>
        <v>6.6700000000000017</v>
      </c>
      <c r="I93" s="13">
        <f t="shared" si="42"/>
        <v>6</v>
      </c>
      <c r="J93" s="13">
        <f t="shared" si="43"/>
        <v>0.52644041041831102</v>
      </c>
      <c r="K93" s="13">
        <f t="shared" si="44"/>
        <v>0.47355958958168898</v>
      </c>
      <c r="L93" s="13">
        <f t="shared" si="45"/>
        <v>0.14992503748125932</v>
      </c>
      <c r="M93" s="13">
        <f t="shared" si="40"/>
        <v>7.8926598263614825E-2</v>
      </c>
      <c r="N93" s="13">
        <f t="shared" si="46"/>
        <v>12.670000000000002</v>
      </c>
      <c r="O93" s="13"/>
      <c r="P93" s="13"/>
      <c r="Q93" s="13"/>
      <c r="R93" s="13"/>
      <c r="S93" s="13"/>
      <c r="T93" s="13"/>
      <c r="U93" s="13"/>
    </row>
    <row r="94" spans="1:24" x14ac:dyDescent="0.35">
      <c r="A94" s="13"/>
      <c r="B94" s="29"/>
      <c r="C94" s="29"/>
      <c r="D94" s="29"/>
      <c r="E94" s="13"/>
      <c r="F94" s="13">
        <v>46.9</v>
      </c>
      <c r="G94" s="13">
        <v>55.24</v>
      </c>
      <c r="H94" s="13">
        <f t="shared" si="41"/>
        <v>8.3400000000000034</v>
      </c>
      <c r="I94" s="13">
        <f t="shared" si="42"/>
        <v>5.9099999999999966</v>
      </c>
      <c r="J94" s="13">
        <f t="shared" si="43"/>
        <v>0.58526315789473704</v>
      </c>
      <c r="K94" s="13">
        <f t="shared" si="44"/>
        <v>0.4147368421052629</v>
      </c>
      <c r="L94" s="13">
        <f t="shared" si="45"/>
        <v>0.11990407673860906</v>
      </c>
      <c r="M94" s="13">
        <f t="shared" si="40"/>
        <v>7.0175438596491224E-2</v>
      </c>
      <c r="N94" s="13">
        <f t="shared" si="46"/>
        <v>14.25</v>
      </c>
      <c r="O94" s="13"/>
      <c r="P94" s="13"/>
      <c r="Q94" s="13"/>
      <c r="R94" s="13">
        <v>43.96</v>
      </c>
      <c r="S94" s="13">
        <v>55.52</v>
      </c>
      <c r="T94" s="13">
        <f t="shared" ref="T94:T99" si="47">S94-R94</f>
        <v>11.560000000000002</v>
      </c>
      <c r="U94" s="13">
        <f>R96-S94</f>
        <v>15.79999999999999</v>
      </c>
    </row>
    <row r="95" spans="1:24" x14ac:dyDescent="0.35">
      <c r="A95" s="13"/>
      <c r="B95" s="29"/>
      <c r="C95" s="29"/>
      <c r="D95" s="29"/>
      <c r="E95" s="13"/>
      <c r="F95" s="13">
        <v>61.15</v>
      </c>
      <c r="G95" s="13">
        <v>69.22</v>
      </c>
      <c r="H95" s="13">
        <f t="shared" si="41"/>
        <v>8.07</v>
      </c>
      <c r="I95" s="13">
        <f t="shared" si="42"/>
        <v>4.6800000000000068</v>
      </c>
      <c r="J95" s="13">
        <f t="shared" si="43"/>
        <v>0.6329411764705879</v>
      </c>
      <c r="K95" s="13">
        <f t="shared" si="44"/>
        <v>0.3670588235294121</v>
      </c>
      <c r="L95" s="13">
        <f t="shared" si="45"/>
        <v>0.12391573729863692</v>
      </c>
      <c r="M95" s="13">
        <f t="shared" si="40"/>
        <v>7.8431372549019565E-2</v>
      </c>
      <c r="N95" s="13">
        <f t="shared" si="46"/>
        <v>12.750000000000007</v>
      </c>
      <c r="O95" s="13"/>
      <c r="P95" s="13"/>
      <c r="Q95" s="13"/>
      <c r="R95" s="13"/>
      <c r="S95" s="13"/>
      <c r="T95" s="13"/>
      <c r="U95" s="13"/>
    </row>
    <row r="96" spans="1:24" x14ac:dyDescent="0.35">
      <c r="A96" s="13"/>
      <c r="B96" s="29"/>
      <c r="C96" s="29"/>
      <c r="D96" s="29"/>
      <c r="E96" s="13"/>
      <c r="F96" s="13">
        <v>73.900000000000006</v>
      </c>
      <c r="G96" s="13">
        <v>82.56</v>
      </c>
      <c r="H96" s="13">
        <f t="shared" si="41"/>
        <v>8.6599999999999966</v>
      </c>
      <c r="I96" s="13">
        <f t="shared" si="42"/>
        <v>5.9200000000000017</v>
      </c>
      <c r="J96" s="13">
        <f t="shared" si="43"/>
        <v>0.59396433470507526</v>
      </c>
      <c r="K96" s="13">
        <f t="shared" si="44"/>
        <v>0.40603566529492474</v>
      </c>
      <c r="L96" s="13">
        <f t="shared" si="45"/>
        <v>0.11547344110854509</v>
      </c>
      <c r="M96" s="13">
        <f t="shared" si="40"/>
        <v>6.8587105624142664E-2</v>
      </c>
      <c r="N96" s="13">
        <f t="shared" si="46"/>
        <v>14.579999999999998</v>
      </c>
      <c r="O96" s="13"/>
      <c r="P96" s="13"/>
      <c r="Q96" s="13"/>
      <c r="R96" s="13">
        <v>71.319999999999993</v>
      </c>
      <c r="S96" s="13">
        <v>82.56</v>
      </c>
      <c r="T96" s="13">
        <f t="shared" si="47"/>
        <v>11.240000000000009</v>
      </c>
      <c r="U96" s="13">
        <f>R98-S96</f>
        <v>15.719999999999999</v>
      </c>
    </row>
    <row r="97" spans="1:21" x14ac:dyDescent="0.35">
      <c r="A97" s="13"/>
      <c r="B97" s="29"/>
      <c r="C97" s="29"/>
      <c r="D97" s="29"/>
      <c r="E97" s="13"/>
      <c r="F97" s="13">
        <v>88.48</v>
      </c>
      <c r="G97" s="13">
        <v>95.54</v>
      </c>
      <c r="H97" s="13">
        <f t="shared" si="41"/>
        <v>7.0600000000000023</v>
      </c>
      <c r="I97" s="13">
        <f t="shared" si="42"/>
        <v>6</v>
      </c>
      <c r="J97" s="13">
        <f t="shared" si="43"/>
        <v>0.5405819295558959</v>
      </c>
      <c r="K97" s="13">
        <f t="shared" si="44"/>
        <v>0.45941807044410404</v>
      </c>
      <c r="L97" s="13">
        <f t="shared" si="45"/>
        <v>0.14164305949008493</v>
      </c>
      <c r="M97" s="13">
        <f t="shared" si="40"/>
        <v>7.6569678407350669E-2</v>
      </c>
      <c r="N97" s="13">
        <f t="shared" si="46"/>
        <v>13.060000000000002</v>
      </c>
      <c r="O97" s="13"/>
      <c r="P97" s="13"/>
      <c r="Q97" s="13"/>
      <c r="R97" s="13"/>
      <c r="S97" s="13"/>
      <c r="T97" s="13"/>
      <c r="U97" s="13"/>
    </row>
    <row r="98" spans="1:21" x14ac:dyDescent="0.35">
      <c r="A98" s="13"/>
      <c r="B98" s="13"/>
      <c r="C98" s="13"/>
      <c r="D98" s="13"/>
      <c r="E98" s="13"/>
      <c r="F98" s="13">
        <v>101.54</v>
      </c>
      <c r="G98" s="13">
        <v>111.27</v>
      </c>
      <c r="H98" s="13">
        <f t="shared" si="41"/>
        <v>9.7299999999999898</v>
      </c>
      <c r="I98" s="13">
        <f t="shared" si="42"/>
        <v>4.6500000000000057</v>
      </c>
      <c r="J98" s="13">
        <f t="shared" si="43"/>
        <v>0.67663421418636949</v>
      </c>
      <c r="K98" s="13">
        <f t="shared" si="44"/>
        <v>0.32336578581363051</v>
      </c>
      <c r="L98" s="13">
        <f t="shared" si="45"/>
        <v>0.10277492291880792</v>
      </c>
      <c r="M98" s="13">
        <f t="shared" si="40"/>
        <v>6.9541029207232291E-2</v>
      </c>
      <c r="N98" s="13">
        <f t="shared" si="46"/>
        <v>14.379999999999995</v>
      </c>
      <c r="O98" s="13"/>
      <c r="P98" s="13"/>
      <c r="Q98" s="13"/>
      <c r="R98" s="13">
        <v>98.28</v>
      </c>
      <c r="S98" s="13">
        <v>108.53</v>
      </c>
      <c r="T98" s="13">
        <f t="shared" si="47"/>
        <v>10.25</v>
      </c>
      <c r="U98" s="13">
        <f>R98-S96</f>
        <v>15.719999999999999</v>
      </c>
    </row>
    <row r="99" spans="1:21" x14ac:dyDescent="0.35">
      <c r="A99" s="13"/>
      <c r="B99" s="13"/>
      <c r="C99" s="13"/>
      <c r="D99" s="28"/>
      <c r="F99" s="13">
        <v>115.92</v>
      </c>
      <c r="G99" s="13">
        <v>124.37</v>
      </c>
      <c r="H99" s="13">
        <f t="shared" si="41"/>
        <v>8.4500000000000028</v>
      </c>
      <c r="I99" s="13">
        <f t="shared" si="42"/>
        <v>4.3299999999999841</v>
      </c>
      <c r="J99" s="13">
        <f t="shared" si="43"/>
        <v>0.66118935837245785</v>
      </c>
      <c r="K99" s="13">
        <f t="shared" si="44"/>
        <v>0.33881064162754215</v>
      </c>
      <c r="L99" s="13">
        <f t="shared" si="45"/>
        <v>0.11834319526627216</v>
      </c>
      <c r="M99" s="13">
        <f t="shared" si="40"/>
        <v>7.824726134585297E-2</v>
      </c>
      <c r="N99" s="13">
        <f t="shared" si="46"/>
        <v>12.779999999999987</v>
      </c>
      <c r="O99" s="13"/>
      <c r="P99" s="13"/>
      <c r="Q99" s="13"/>
      <c r="R99" s="13">
        <v>116.99</v>
      </c>
      <c r="S99" s="13">
        <v>131.08000000000001</v>
      </c>
      <c r="T99" s="13">
        <f t="shared" si="47"/>
        <v>14.090000000000018</v>
      </c>
      <c r="U99" s="13"/>
    </row>
    <row r="100" spans="1:21" x14ac:dyDescent="0.35">
      <c r="A100" s="13"/>
      <c r="B100" s="13"/>
      <c r="C100" s="13"/>
      <c r="D100" s="28"/>
      <c r="F100" s="13">
        <v>128.69999999999999</v>
      </c>
      <c r="G100" s="13">
        <v>137.44</v>
      </c>
      <c r="H100" s="2">
        <f t="shared" si="41"/>
        <v>8.7400000000000091</v>
      </c>
    </row>
    <row r="101" spans="1:21" x14ac:dyDescent="0.35">
      <c r="A101" s="13"/>
      <c r="B101" s="13"/>
      <c r="C101" s="13"/>
      <c r="D101" s="13"/>
      <c r="F101" s="13"/>
      <c r="G101" s="49" t="s">
        <v>77</v>
      </c>
      <c r="H101" s="49">
        <f>AVERAGE(H91:H99)</f>
        <v>8.4622222222222199</v>
      </c>
      <c r="I101" s="49">
        <f t="shared" ref="I101:N101" si="48">AVERAGE(I91:I99)</f>
        <v>5.2911111111111104</v>
      </c>
      <c r="J101" s="49">
        <f t="shared" si="48"/>
        <v>0.61420365050874881</v>
      </c>
      <c r="K101" s="49">
        <f t="shared" si="48"/>
        <v>0.38579634949125124</v>
      </c>
      <c r="L101" s="49">
        <f t="shared" si="48"/>
        <v>0.12005899454181929</v>
      </c>
      <c r="M101" s="49">
        <f t="shared" si="48"/>
        <v>7.3019556646643238E-2</v>
      </c>
      <c r="N101" s="49">
        <f t="shared" si="48"/>
        <v>13.753333333333332</v>
      </c>
    </row>
    <row r="102" spans="1:21" x14ac:dyDescent="0.35">
      <c r="A102" s="13"/>
      <c r="B102" s="13"/>
      <c r="C102" s="13"/>
      <c r="D102" s="13"/>
      <c r="F102" s="13"/>
      <c r="G102" s="49" t="s">
        <v>81</v>
      </c>
      <c r="H102" s="49">
        <f>AVERAGE(H91:H92,H94,H96,H98:H99)</f>
        <v>9.0599999999999969</v>
      </c>
      <c r="I102" s="49">
        <f t="shared" ref="I102:N102" si="49">AVERAGE(I91:I92,I94,I96,I98:I99)</f>
        <v>5.1566666666666654</v>
      </c>
      <c r="J102" s="49">
        <f t="shared" si="49"/>
        <v>0.6379782230223241</v>
      </c>
      <c r="K102" s="49">
        <f t="shared" si="49"/>
        <v>0.3620217769776759</v>
      </c>
      <c r="L102" s="49">
        <f t="shared" si="49"/>
        <v>0.1108411861010654</v>
      </c>
      <c r="M102" s="49">
        <f t="shared" si="49"/>
        <v>7.0541393433300667E-2</v>
      </c>
      <c r="N102" s="49">
        <f t="shared" si="49"/>
        <v>14.216666666666661</v>
      </c>
    </row>
    <row r="103" spans="1:21" x14ac:dyDescent="0.35">
      <c r="A103" s="13"/>
      <c r="B103" s="13"/>
      <c r="C103" s="13"/>
      <c r="D103" s="13"/>
      <c r="F103" s="13"/>
      <c r="G103" s="49" t="s">
        <v>82</v>
      </c>
      <c r="H103" s="49">
        <f>AVERAGE(H93,H95,H97)</f>
        <v>7.2666666666666684</v>
      </c>
      <c r="I103" s="49">
        <f t="shared" ref="I103:N103" si="50">AVERAGE(I93,I95,I97)</f>
        <v>5.5600000000000023</v>
      </c>
      <c r="J103" s="49">
        <f t="shared" si="50"/>
        <v>0.56665450548159824</v>
      </c>
      <c r="K103" s="49">
        <f t="shared" si="50"/>
        <v>0.43334549451840171</v>
      </c>
      <c r="L103" s="49">
        <f t="shared" si="50"/>
        <v>0.13849461142332706</v>
      </c>
      <c r="M103" s="49">
        <f t="shared" si="50"/>
        <v>7.7975883073328353E-2</v>
      </c>
      <c r="N103" s="49">
        <f t="shared" si="50"/>
        <v>12.82666666666667</v>
      </c>
    </row>
    <row r="104" spans="1:21" x14ac:dyDescent="0.35">
      <c r="A104" s="13"/>
      <c r="B104" s="13"/>
      <c r="C104" s="13"/>
      <c r="D104" s="13"/>
      <c r="F104" s="13"/>
      <c r="G104" s="13"/>
      <c r="H104" s="13"/>
    </row>
    <row r="105" spans="1:21" x14ac:dyDescent="0.35">
      <c r="A105" s="13"/>
      <c r="B105" s="13"/>
      <c r="C105" s="13"/>
      <c r="D105" s="13"/>
    </row>
    <row r="111" spans="1:21" ht="18.5" x14ac:dyDescent="0.45">
      <c r="F111" s="1" t="s">
        <v>52</v>
      </c>
      <c r="G111" s="3"/>
      <c r="H111" s="83" t="s">
        <v>56</v>
      </c>
      <c r="I111" s="83"/>
      <c r="J111" s="83"/>
      <c r="K111" s="83"/>
      <c r="L111" s="83"/>
      <c r="M111" s="3"/>
      <c r="N111" s="3"/>
      <c r="O111" s="3"/>
      <c r="P111" s="3"/>
      <c r="Q111" s="3"/>
      <c r="R111" s="3"/>
      <c r="S111" s="3"/>
      <c r="T111" s="3"/>
      <c r="U111" s="3"/>
    </row>
    <row r="112" spans="1:21" ht="16" thickBot="1" x14ac:dyDescent="0.4">
      <c r="F112" s="9" t="s">
        <v>1</v>
      </c>
      <c r="G112" s="9" t="s">
        <v>2</v>
      </c>
      <c r="H112" s="9" t="s">
        <v>3</v>
      </c>
      <c r="I112" s="9" t="s">
        <v>4</v>
      </c>
      <c r="J112" s="9" t="s">
        <v>5</v>
      </c>
      <c r="K112" s="9" t="s">
        <v>6</v>
      </c>
      <c r="L112" s="9" t="s">
        <v>7</v>
      </c>
      <c r="M112" s="9" t="s">
        <v>8</v>
      </c>
      <c r="N112" s="9" t="s">
        <v>9</v>
      </c>
      <c r="O112" s="9" t="s">
        <v>10</v>
      </c>
      <c r="P112" s="5"/>
      <c r="Q112" s="5"/>
      <c r="R112" s="9" t="s">
        <v>11</v>
      </c>
      <c r="S112" s="9" t="s">
        <v>12</v>
      </c>
      <c r="T112" s="9" t="s">
        <v>13</v>
      </c>
      <c r="U112" s="9" t="s">
        <v>14</v>
      </c>
    </row>
    <row r="113" spans="1:28" x14ac:dyDescent="0.35">
      <c r="F113" s="2">
        <v>1.67</v>
      </c>
      <c r="G113" s="2">
        <v>4.41</v>
      </c>
      <c r="H113" s="2">
        <f t="shared" ref="H113:H132" si="51">G113-F113</f>
        <v>2.74</v>
      </c>
      <c r="I113" s="13">
        <f>F114-G113</f>
        <v>0.91000000000000014</v>
      </c>
      <c r="J113" s="2">
        <f>H113/N113</f>
        <v>0.75068493150684934</v>
      </c>
      <c r="K113" s="2">
        <f>I113/N113</f>
        <v>0.24931506849315069</v>
      </c>
      <c r="L113" s="2">
        <f>1/H113</f>
        <v>0.36496350364963503</v>
      </c>
      <c r="M113" s="2">
        <f t="shared" ref="M113:M132" si="52">1/N113</f>
        <v>0.27397260273972601</v>
      </c>
      <c r="N113" s="2">
        <f>H113+I113</f>
        <v>3.6500000000000004</v>
      </c>
      <c r="R113" s="2" t="s">
        <v>23</v>
      </c>
    </row>
    <row r="114" spans="1:28" x14ac:dyDescent="0.35">
      <c r="F114" s="2">
        <v>5.32</v>
      </c>
      <c r="G114" s="2">
        <v>9.49</v>
      </c>
      <c r="H114" s="2">
        <f t="shared" si="51"/>
        <v>4.17</v>
      </c>
      <c r="I114" s="13">
        <f t="shared" ref="I114:I132" si="53">F115-G114</f>
        <v>1.4700000000000006</v>
      </c>
      <c r="J114" s="2">
        <f t="shared" ref="J114:J132" si="54">H114/N114</f>
        <v>0.7393617021276595</v>
      </c>
      <c r="K114" s="2">
        <f t="shared" ref="K114:K132" si="55">I114/N114</f>
        <v>0.2606382978723405</v>
      </c>
      <c r="L114" s="2">
        <f t="shared" ref="L114:L132" si="56">1/H114</f>
        <v>0.23980815347721823</v>
      </c>
      <c r="M114" s="2">
        <f t="shared" si="52"/>
        <v>0.17730496453900707</v>
      </c>
      <c r="N114" s="2">
        <f t="shared" ref="N114:N132" si="57">H114+I114</f>
        <v>5.6400000000000006</v>
      </c>
    </row>
    <row r="115" spans="1:28" x14ac:dyDescent="0.35">
      <c r="F115" s="2">
        <v>10.96</v>
      </c>
      <c r="G115" s="2">
        <v>17.989999999999998</v>
      </c>
      <c r="H115" s="2">
        <f t="shared" si="51"/>
        <v>7.0299999999999976</v>
      </c>
      <c r="I115" s="13">
        <f t="shared" si="53"/>
        <v>0.7900000000000027</v>
      </c>
      <c r="J115" s="2">
        <f t="shared" si="54"/>
        <v>0.89897698209718635</v>
      </c>
      <c r="K115" s="2">
        <f t="shared" si="55"/>
        <v>0.10102301790281364</v>
      </c>
      <c r="L115" s="2">
        <f t="shared" si="56"/>
        <v>0.14224751066856334</v>
      </c>
      <c r="M115" s="2">
        <f t="shared" si="52"/>
        <v>0.12787723785166241</v>
      </c>
      <c r="N115" s="2">
        <f t="shared" si="57"/>
        <v>7.82</v>
      </c>
    </row>
    <row r="116" spans="1:28" x14ac:dyDescent="0.35">
      <c r="A116" s="13"/>
      <c r="B116" s="13"/>
      <c r="C116" s="13"/>
      <c r="D116" s="13"/>
      <c r="E116" s="13"/>
      <c r="F116" s="13">
        <v>18.78</v>
      </c>
      <c r="G116" s="13">
        <v>21.6</v>
      </c>
      <c r="H116" s="2">
        <f t="shared" si="51"/>
        <v>2.8200000000000003</v>
      </c>
      <c r="I116" s="13">
        <f t="shared" si="53"/>
        <v>1.0799999999999983</v>
      </c>
      <c r="J116" s="2">
        <f t="shared" si="54"/>
        <v>0.72307692307692339</v>
      </c>
      <c r="K116" s="2">
        <f t="shared" si="55"/>
        <v>0.27692307692307661</v>
      </c>
      <c r="L116" s="2">
        <f t="shared" si="56"/>
        <v>0.35460992907801414</v>
      </c>
      <c r="M116" s="2">
        <f t="shared" si="52"/>
        <v>0.2564102564102565</v>
      </c>
      <c r="N116" s="2">
        <f t="shared" si="57"/>
        <v>3.8999999999999986</v>
      </c>
    </row>
    <row r="117" spans="1:28" ht="15.5" x14ac:dyDescent="0.35">
      <c r="A117" s="13"/>
      <c r="B117" s="14"/>
      <c r="C117" s="14"/>
      <c r="D117" s="14"/>
      <c r="E117" s="13"/>
      <c r="F117" s="13">
        <v>22.68</v>
      </c>
      <c r="G117" s="13">
        <v>25.61</v>
      </c>
      <c r="H117" s="2">
        <f t="shared" si="51"/>
        <v>2.9299999999999997</v>
      </c>
      <c r="I117" s="13">
        <f t="shared" si="53"/>
        <v>1.0399999999999991</v>
      </c>
      <c r="J117" s="2">
        <f t="shared" si="54"/>
        <v>0.73803526448362733</v>
      </c>
      <c r="K117" s="2">
        <f t="shared" si="55"/>
        <v>0.26196473551637267</v>
      </c>
      <c r="L117" s="2">
        <f t="shared" si="56"/>
        <v>0.34129692832764508</v>
      </c>
      <c r="M117" s="2">
        <f t="shared" si="52"/>
        <v>0.25188916876574313</v>
      </c>
      <c r="N117" s="2">
        <f t="shared" si="57"/>
        <v>3.9699999999999989</v>
      </c>
    </row>
    <row r="118" spans="1:28" x14ac:dyDescent="0.35">
      <c r="A118" s="13"/>
      <c r="B118" s="13"/>
      <c r="C118" s="13"/>
      <c r="D118" s="13"/>
      <c r="E118" s="13"/>
      <c r="F118" s="13">
        <v>26.65</v>
      </c>
      <c r="G118" s="13">
        <v>29.51</v>
      </c>
      <c r="H118" s="2">
        <f t="shared" si="51"/>
        <v>2.860000000000003</v>
      </c>
      <c r="I118" s="13">
        <f t="shared" si="53"/>
        <v>1.0299999999999976</v>
      </c>
      <c r="J118" s="2">
        <f t="shared" si="54"/>
        <v>0.73521850899743002</v>
      </c>
      <c r="K118" s="2">
        <f t="shared" si="55"/>
        <v>0.26478149100257004</v>
      </c>
      <c r="L118" s="2">
        <f t="shared" si="56"/>
        <v>0.3496503496503493</v>
      </c>
      <c r="M118" s="2">
        <f t="shared" si="52"/>
        <v>0.25706940874035988</v>
      </c>
      <c r="N118" s="2">
        <f t="shared" si="57"/>
        <v>3.8900000000000006</v>
      </c>
    </row>
    <row r="119" spans="1:28" x14ac:dyDescent="0.35">
      <c r="A119" s="13"/>
      <c r="B119" s="13"/>
      <c r="C119" s="13"/>
      <c r="D119" s="13"/>
      <c r="E119" s="13"/>
      <c r="F119" s="13">
        <v>30.54</v>
      </c>
      <c r="G119" s="13">
        <v>33.159999999999997</v>
      </c>
      <c r="H119" s="2">
        <f t="shared" si="51"/>
        <v>2.6199999999999974</v>
      </c>
      <c r="I119" s="13">
        <f t="shared" si="53"/>
        <v>1.1100000000000065</v>
      </c>
      <c r="J119" s="2">
        <f t="shared" si="54"/>
        <v>0.70241286863270636</v>
      </c>
      <c r="K119" s="2">
        <f t="shared" si="55"/>
        <v>0.29758713136729364</v>
      </c>
      <c r="L119" s="2">
        <f t="shared" si="56"/>
        <v>0.38167938931297746</v>
      </c>
      <c r="M119" s="2">
        <f t="shared" si="52"/>
        <v>0.26809651474530805</v>
      </c>
      <c r="N119" s="2">
        <f t="shared" si="57"/>
        <v>3.730000000000004</v>
      </c>
    </row>
    <row r="120" spans="1:28" x14ac:dyDescent="0.35">
      <c r="A120" s="13"/>
      <c r="B120" s="13"/>
      <c r="C120" s="13"/>
      <c r="D120" s="13"/>
      <c r="E120" s="13"/>
      <c r="F120" s="13">
        <v>34.270000000000003</v>
      </c>
      <c r="G120" s="13">
        <v>36.93</v>
      </c>
      <c r="H120" s="2">
        <f t="shared" si="51"/>
        <v>2.6599999999999966</v>
      </c>
      <c r="I120" s="13">
        <f t="shared" si="53"/>
        <v>1.1099999999999994</v>
      </c>
      <c r="J120" s="2">
        <f t="shared" si="54"/>
        <v>0.70557029177718822</v>
      </c>
      <c r="K120" s="2">
        <f t="shared" si="55"/>
        <v>0.29442970822281184</v>
      </c>
      <c r="L120" s="2">
        <f t="shared" si="56"/>
        <v>0.37593984962406063</v>
      </c>
      <c r="M120" s="2">
        <f t="shared" si="52"/>
        <v>0.26525198938992073</v>
      </c>
      <c r="N120" s="2">
        <f t="shared" si="57"/>
        <v>3.769999999999996</v>
      </c>
      <c r="T120" s="13"/>
      <c r="U120" s="13"/>
      <c r="V120" s="13"/>
      <c r="W120" s="13"/>
      <c r="X120" s="13"/>
      <c r="Y120" s="13"/>
      <c r="Z120" s="13"/>
      <c r="AA120" s="13"/>
      <c r="AB120" s="13"/>
    </row>
    <row r="121" spans="1:28" x14ac:dyDescent="0.35">
      <c r="A121" s="13"/>
      <c r="B121" s="13"/>
      <c r="C121" s="13"/>
      <c r="D121" s="13"/>
      <c r="E121" s="13"/>
      <c r="F121" s="13">
        <v>38.04</v>
      </c>
      <c r="G121" s="13">
        <v>42.13</v>
      </c>
      <c r="H121" s="2">
        <f t="shared" si="51"/>
        <v>4.0900000000000034</v>
      </c>
      <c r="I121" s="13">
        <f t="shared" si="53"/>
        <v>1.4699999999999989</v>
      </c>
      <c r="J121" s="2">
        <f t="shared" si="54"/>
        <v>0.73561151079136722</v>
      </c>
      <c r="K121" s="2">
        <f t="shared" si="55"/>
        <v>0.26438848920863278</v>
      </c>
      <c r="L121" s="2">
        <f t="shared" si="56"/>
        <v>0.24449877750611226</v>
      </c>
      <c r="M121" s="2">
        <f t="shared" si="52"/>
        <v>0.17985611510791361</v>
      </c>
      <c r="N121" s="2">
        <f t="shared" si="57"/>
        <v>5.5600000000000023</v>
      </c>
      <c r="T121" s="13"/>
      <c r="U121" s="13"/>
      <c r="V121" s="13"/>
      <c r="W121" s="13"/>
      <c r="X121" s="13"/>
      <c r="Y121" s="13"/>
      <c r="Z121" s="13"/>
      <c r="AA121" s="13"/>
      <c r="AB121" s="13"/>
    </row>
    <row r="122" spans="1:28" x14ac:dyDescent="0.35">
      <c r="A122" s="13"/>
      <c r="B122" s="13"/>
      <c r="C122" s="13"/>
      <c r="D122" s="13"/>
      <c r="E122" s="13"/>
      <c r="F122" s="13">
        <v>43.6</v>
      </c>
      <c r="G122" s="13">
        <v>46.34</v>
      </c>
      <c r="H122" s="2">
        <f t="shared" si="51"/>
        <v>2.740000000000002</v>
      </c>
      <c r="I122" s="13">
        <f t="shared" si="53"/>
        <v>1.0399999999999991</v>
      </c>
      <c r="J122" s="2">
        <f t="shared" si="54"/>
        <v>0.72486772486772522</v>
      </c>
      <c r="K122" s="2">
        <f t="shared" si="55"/>
        <v>0.27513227513227484</v>
      </c>
      <c r="L122" s="2">
        <f t="shared" si="56"/>
        <v>0.36496350364963476</v>
      </c>
      <c r="M122" s="2">
        <f t="shared" si="52"/>
        <v>0.26455026455026448</v>
      </c>
      <c r="N122" s="2">
        <f t="shared" si="57"/>
        <v>3.7800000000000011</v>
      </c>
      <c r="T122" s="13"/>
      <c r="U122" s="13"/>
      <c r="V122" s="13"/>
      <c r="W122" s="13"/>
      <c r="X122" s="13"/>
      <c r="Y122" s="13"/>
      <c r="Z122" s="13"/>
      <c r="AA122" s="13"/>
      <c r="AB122" s="13"/>
    </row>
    <row r="123" spans="1:28" x14ac:dyDescent="0.35">
      <c r="A123" s="13"/>
      <c r="B123" s="13"/>
      <c r="C123" s="13"/>
      <c r="D123" s="13"/>
      <c r="E123" s="13"/>
      <c r="F123" s="13">
        <v>47.38</v>
      </c>
      <c r="G123" s="13">
        <v>49.8</v>
      </c>
      <c r="H123" s="2">
        <f t="shared" si="51"/>
        <v>2.4199999999999946</v>
      </c>
      <c r="I123" s="13">
        <f t="shared" si="53"/>
        <v>1.230000000000004</v>
      </c>
      <c r="J123" s="2">
        <f t="shared" si="54"/>
        <v>0.66301369863013582</v>
      </c>
      <c r="K123" s="2">
        <f t="shared" si="55"/>
        <v>0.33698630136986424</v>
      </c>
      <c r="L123" s="2">
        <f t="shared" si="56"/>
        <v>0.41322314049586867</v>
      </c>
      <c r="M123" s="2">
        <f t="shared" si="52"/>
        <v>0.27397260273972612</v>
      </c>
      <c r="N123" s="2">
        <f t="shared" si="57"/>
        <v>3.6499999999999986</v>
      </c>
      <c r="T123" s="13"/>
      <c r="U123" s="13"/>
      <c r="V123" s="13"/>
      <c r="W123" s="13"/>
      <c r="X123" s="13"/>
      <c r="Y123" s="13"/>
      <c r="Z123" s="13"/>
      <c r="AA123" s="13"/>
      <c r="AB123" s="13"/>
    </row>
    <row r="124" spans="1:28" x14ac:dyDescent="0.35">
      <c r="A124" s="13"/>
      <c r="B124" s="13"/>
      <c r="C124" s="13"/>
      <c r="D124" s="13"/>
      <c r="E124" s="13"/>
      <c r="F124" s="13">
        <v>51.03</v>
      </c>
      <c r="G124" s="13">
        <v>53.1</v>
      </c>
      <c r="H124" s="2">
        <f t="shared" si="51"/>
        <v>2.0700000000000003</v>
      </c>
      <c r="I124" s="13">
        <f t="shared" si="53"/>
        <v>1.5399999999999991</v>
      </c>
      <c r="J124" s="2">
        <f t="shared" si="54"/>
        <v>0.57340720221606667</v>
      </c>
      <c r="K124" s="2">
        <f t="shared" si="55"/>
        <v>0.42659279778393333</v>
      </c>
      <c r="L124" s="2">
        <f t="shared" si="56"/>
        <v>0.48309178743961345</v>
      </c>
      <c r="M124" s="2">
        <f t="shared" si="52"/>
        <v>0.2770083102493075</v>
      </c>
      <c r="N124" s="2">
        <f t="shared" si="57"/>
        <v>3.6099999999999994</v>
      </c>
      <c r="Q124" s="13"/>
      <c r="R124" s="13"/>
      <c r="S124" s="13"/>
      <c r="T124" s="13"/>
      <c r="U124" s="13"/>
      <c r="V124" s="13"/>
      <c r="W124" s="13"/>
      <c r="X124" s="13"/>
      <c r="Y124" s="13"/>
      <c r="Z124" s="13"/>
      <c r="AA124" s="13"/>
      <c r="AB124" s="13"/>
    </row>
    <row r="125" spans="1:28" x14ac:dyDescent="0.35">
      <c r="A125" s="13"/>
      <c r="B125" s="13"/>
      <c r="C125" s="13"/>
      <c r="D125" s="13"/>
      <c r="E125" s="13"/>
      <c r="F125" s="13">
        <v>54.64</v>
      </c>
      <c r="G125" s="13">
        <v>57.07</v>
      </c>
      <c r="H125" s="2">
        <f t="shared" si="51"/>
        <v>2.4299999999999997</v>
      </c>
      <c r="I125" s="13">
        <f t="shared" si="53"/>
        <v>1.2299999999999969</v>
      </c>
      <c r="J125" s="2">
        <f t="shared" si="54"/>
        <v>0.66393442622950871</v>
      </c>
      <c r="K125" s="2">
        <f t="shared" si="55"/>
        <v>0.33606557377049129</v>
      </c>
      <c r="L125" s="2">
        <f t="shared" si="56"/>
        <v>0.41152263374485604</v>
      </c>
      <c r="M125" s="2">
        <f t="shared" si="52"/>
        <v>0.27322404371584724</v>
      </c>
      <c r="N125" s="2">
        <f t="shared" si="57"/>
        <v>3.6599999999999966</v>
      </c>
      <c r="Q125" s="13"/>
      <c r="R125" s="13"/>
      <c r="S125" s="13"/>
      <c r="T125" s="13"/>
      <c r="U125" s="13"/>
      <c r="V125" s="13"/>
      <c r="W125" s="13"/>
      <c r="X125" s="13"/>
      <c r="Y125" s="13"/>
      <c r="Z125" s="13"/>
      <c r="AA125" s="13"/>
      <c r="AB125" s="13"/>
    </row>
    <row r="126" spans="1:28" x14ac:dyDescent="0.35">
      <c r="A126" s="13"/>
      <c r="B126" s="13"/>
      <c r="C126" s="13"/>
      <c r="D126" s="13"/>
      <c r="E126" s="13"/>
      <c r="F126" s="13">
        <v>58.3</v>
      </c>
      <c r="G126" s="13">
        <v>60.72</v>
      </c>
      <c r="H126" s="2">
        <f t="shared" si="51"/>
        <v>2.4200000000000017</v>
      </c>
      <c r="I126" s="13">
        <f t="shared" si="53"/>
        <v>1.3100000000000023</v>
      </c>
      <c r="J126" s="2">
        <f t="shared" si="54"/>
        <v>0.64879356568364588</v>
      </c>
      <c r="K126" s="2">
        <f t="shared" si="55"/>
        <v>0.35120643431635412</v>
      </c>
      <c r="L126" s="2">
        <f t="shared" si="56"/>
        <v>0.4132231404958675</v>
      </c>
      <c r="M126" s="2">
        <f t="shared" si="52"/>
        <v>0.26809651474530805</v>
      </c>
      <c r="N126" s="2">
        <f t="shared" si="57"/>
        <v>3.730000000000004</v>
      </c>
      <c r="Q126" s="13"/>
      <c r="R126" s="13"/>
      <c r="S126" s="13"/>
      <c r="T126" s="13"/>
      <c r="U126" s="13"/>
      <c r="V126" s="13"/>
      <c r="W126" s="13"/>
      <c r="X126" s="13"/>
      <c r="Y126" s="13"/>
      <c r="Z126" s="13"/>
      <c r="AA126" s="13"/>
      <c r="AB126" s="13"/>
    </row>
    <row r="127" spans="1:28" ht="15.5" x14ac:dyDescent="0.35">
      <c r="A127" s="13"/>
      <c r="B127" s="13"/>
      <c r="C127" s="13"/>
      <c r="D127" s="13"/>
      <c r="E127" s="13"/>
      <c r="F127" s="13">
        <v>62.03</v>
      </c>
      <c r="G127" s="13">
        <v>64.53</v>
      </c>
      <c r="H127" s="13">
        <f t="shared" si="51"/>
        <v>2.5</v>
      </c>
      <c r="I127" s="13">
        <f t="shared" si="53"/>
        <v>1.1500000000000057</v>
      </c>
      <c r="J127" s="2">
        <f t="shared" si="54"/>
        <v>0.68493150684931403</v>
      </c>
      <c r="K127" s="2">
        <f t="shared" si="55"/>
        <v>0.31506849315068602</v>
      </c>
      <c r="L127" s="2">
        <f t="shared" si="56"/>
        <v>0.4</v>
      </c>
      <c r="M127" s="2">
        <f t="shared" si="52"/>
        <v>0.27397260273972562</v>
      </c>
      <c r="N127" s="2">
        <f t="shared" si="57"/>
        <v>3.6500000000000057</v>
      </c>
      <c r="Q127" s="13"/>
      <c r="R127" s="31"/>
      <c r="S127" s="13"/>
      <c r="T127" s="13"/>
      <c r="U127" s="13"/>
      <c r="V127" s="13"/>
      <c r="W127" s="13"/>
      <c r="X127" s="13"/>
      <c r="Y127" s="13"/>
      <c r="Z127" s="13"/>
      <c r="AA127" s="13"/>
      <c r="AB127" s="13"/>
    </row>
    <row r="128" spans="1:28" ht="15.5" x14ac:dyDescent="0.35">
      <c r="A128" s="13"/>
      <c r="B128" s="29"/>
      <c r="C128" s="29"/>
      <c r="D128" s="29"/>
      <c r="E128" s="13"/>
      <c r="F128" s="13">
        <v>65.680000000000007</v>
      </c>
      <c r="G128" s="13">
        <v>68.42</v>
      </c>
      <c r="H128" s="13">
        <f t="shared" si="51"/>
        <v>2.7399999999999949</v>
      </c>
      <c r="I128" s="13">
        <f t="shared" si="53"/>
        <v>0.87999999999999545</v>
      </c>
      <c r="J128" s="2">
        <f t="shared" si="54"/>
        <v>0.75690607734806692</v>
      </c>
      <c r="K128" s="2">
        <f t="shared" si="55"/>
        <v>0.24309392265193308</v>
      </c>
      <c r="L128" s="2">
        <f t="shared" si="56"/>
        <v>0.3649635036496357</v>
      </c>
      <c r="M128" s="2">
        <f t="shared" si="52"/>
        <v>0.27624309392265267</v>
      </c>
      <c r="N128" s="2">
        <f t="shared" si="57"/>
        <v>3.6199999999999903</v>
      </c>
      <c r="Q128" s="13"/>
      <c r="R128" s="31"/>
      <c r="S128" s="13"/>
      <c r="T128" s="13"/>
      <c r="U128" s="13"/>
      <c r="V128" s="13"/>
      <c r="W128" s="13"/>
      <c r="X128" s="13"/>
      <c r="Y128" s="13"/>
      <c r="Z128" s="13"/>
      <c r="AA128" s="13"/>
      <c r="AB128" s="13"/>
    </row>
    <row r="129" spans="1:28" ht="15.5" x14ac:dyDescent="0.35">
      <c r="A129" s="13"/>
      <c r="B129" s="29"/>
      <c r="C129" s="29"/>
      <c r="D129" s="29"/>
      <c r="E129" s="13"/>
      <c r="F129" s="13">
        <v>69.3</v>
      </c>
      <c r="G129" s="13">
        <v>71.400000000000006</v>
      </c>
      <c r="H129" s="13">
        <f t="shared" si="51"/>
        <v>2.1000000000000085</v>
      </c>
      <c r="I129" s="13">
        <f t="shared" si="53"/>
        <v>1.5099999999999909</v>
      </c>
      <c r="J129" s="2">
        <f t="shared" si="54"/>
        <v>0.58171745152354815</v>
      </c>
      <c r="K129" s="2">
        <f t="shared" si="55"/>
        <v>0.41828254847645185</v>
      </c>
      <c r="L129" s="2">
        <f t="shared" si="56"/>
        <v>0.47619047619047428</v>
      </c>
      <c r="M129" s="2">
        <f t="shared" si="52"/>
        <v>0.2770083102493075</v>
      </c>
      <c r="N129" s="2">
        <f t="shared" si="57"/>
        <v>3.6099999999999994</v>
      </c>
      <c r="Q129" s="13"/>
      <c r="R129" s="31"/>
      <c r="S129" s="13"/>
      <c r="T129" s="13"/>
      <c r="U129" s="13"/>
      <c r="V129" s="13"/>
      <c r="W129" s="13"/>
      <c r="X129" s="13"/>
      <c r="Y129" s="13"/>
      <c r="Z129" s="13"/>
      <c r="AA129" s="13"/>
      <c r="AB129" s="13"/>
    </row>
    <row r="130" spans="1:28" ht="15.5" x14ac:dyDescent="0.35">
      <c r="A130" s="13"/>
      <c r="B130" s="29"/>
      <c r="C130" s="29"/>
      <c r="D130" s="29"/>
      <c r="E130" s="13"/>
      <c r="F130" s="13">
        <v>72.91</v>
      </c>
      <c r="G130" s="13">
        <v>75.25</v>
      </c>
      <c r="H130" s="13">
        <f t="shared" si="51"/>
        <v>2.3400000000000034</v>
      </c>
      <c r="I130" s="13">
        <f t="shared" si="53"/>
        <v>1.2000000000000028</v>
      </c>
      <c r="J130" s="2">
        <f t="shared" si="54"/>
        <v>0.66101694915254217</v>
      </c>
      <c r="K130" s="2">
        <f t="shared" si="55"/>
        <v>0.33898305084745783</v>
      </c>
      <c r="L130" s="2">
        <f t="shared" si="56"/>
        <v>0.42735042735042672</v>
      </c>
      <c r="M130" s="2">
        <f t="shared" si="52"/>
        <v>0.2824858757062142</v>
      </c>
      <c r="N130" s="2">
        <f t="shared" si="57"/>
        <v>3.5400000000000063</v>
      </c>
      <c r="Q130" s="13"/>
      <c r="R130" s="31"/>
      <c r="S130" s="13"/>
      <c r="T130" s="13"/>
      <c r="U130" s="13"/>
      <c r="V130" s="13"/>
      <c r="W130" s="13"/>
      <c r="X130" s="13"/>
      <c r="Y130" s="13"/>
      <c r="Z130" s="13"/>
      <c r="AA130" s="13"/>
      <c r="AB130" s="13"/>
    </row>
    <row r="131" spans="1:28" ht="15.5" x14ac:dyDescent="0.35">
      <c r="A131" s="13"/>
      <c r="B131" s="13"/>
      <c r="C131" s="13"/>
      <c r="D131" s="13"/>
      <c r="E131" s="13"/>
      <c r="F131" s="13">
        <v>76.45</v>
      </c>
      <c r="G131" s="13">
        <v>80.739999999999995</v>
      </c>
      <c r="H131" s="13">
        <f t="shared" si="51"/>
        <v>4.289999999999992</v>
      </c>
      <c r="I131" s="13">
        <f t="shared" si="53"/>
        <v>1.2700000000000102</v>
      </c>
      <c r="J131" s="2">
        <f t="shared" si="54"/>
        <v>0.77158273381294784</v>
      </c>
      <c r="K131" s="2">
        <f t="shared" si="55"/>
        <v>0.2284172661870521</v>
      </c>
      <c r="L131" s="2">
        <f t="shared" si="56"/>
        <v>0.23310023310023353</v>
      </c>
      <c r="M131" s="2">
        <f t="shared" si="52"/>
        <v>0.17985611510791361</v>
      </c>
      <c r="N131" s="2">
        <f t="shared" si="57"/>
        <v>5.5600000000000023</v>
      </c>
      <c r="Q131" s="13"/>
      <c r="R131" s="31"/>
      <c r="S131" s="13"/>
      <c r="T131" s="13"/>
      <c r="U131" s="13"/>
      <c r="V131" s="13"/>
      <c r="W131" s="13"/>
      <c r="X131" s="13"/>
      <c r="Y131" s="13"/>
      <c r="Z131" s="13"/>
      <c r="AA131" s="13"/>
      <c r="AB131" s="13"/>
    </row>
    <row r="132" spans="1:28" ht="15.5" x14ac:dyDescent="0.35">
      <c r="A132" s="13"/>
      <c r="B132" s="13"/>
      <c r="C132" s="13"/>
      <c r="D132" s="13"/>
      <c r="E132" s="13"/>
      <c r="F132" s="45">
        <v>82.01</v>
      </c>
      <c r="G132" s="13">
        <v>84.51</v>
      </c>
      <c r="H132" s="13">
        <f t="shared" si="51"/>
        <v>2.5</v>
      </c>
      <c r="I132" s="13">
        <f t="shared" si="53"/>
        <v>1.1099999999999994</v>
      </c>
      <c r="J132" s="2">
        <f t="shared" si="54"/>
        <v>0.69252077562326886</v>
      </c>
      <c r="K132" s="2">
        <f t="shared" si="55"/>
        <v>0.3074792243767312</v>
      </c>
      <c r="L132" s="2">
        <f t="shared" si="56"/>
        <v>0.4</v>
      </c>
      <c r="M132" s="2">
        <f t="shared" si="52"/>
        <v>0.2770083102493075</v>
      </c>
      <c r="N132" s="2">
        <f t="shared" si="57"/>
        <v>3.6099999999999994</v>
      </c>
      <c r="Q132" s="13"/>
      <c r="R132" s="31"/>
      <c r="S132" s="13"/>
      <c r="T132" s="13"/>
      <c r="U132" s="13"/>
      <c r="V132" s="13"/>
      <c r="W132" s="13"/>
      <c r="X132" s="13"/>
      <c r="Y132" s="13"/>
      <c r="Z132" s="13"/>
      <c r="AA132" s="13"/>
      <c r="AB132" s="13"/>
    </row>
    <row r="133" spans="1:28" ht="15.5" x14ac:dyDescent="0.35">
      <c r="A133" s="13"/>
      <c r="B133" s="13"/>
      <c r="C133" s="13"/>
      <c r="D133" s="13"/>
      <c r="E133" s="13"/>
      <c r="F133" s="45">
        <v>85.62</v>
      </c>
      <c r="G133" s="13"/>
      <c r="H133" s="13"/>
      <c r="I133" s="13"/>
      <c r="J133" s="13"/>
      <c r="Q133" s="13"/>
      <c r="R133" s="31"/>
      <c r="S133" s="13"/>
    </row>
    <row r="134" spans="1:28" ht="15.5" x14ac:dyDescent="0.35">
      <c r="A134" s="13"/>
      <c r="B134" s="13"/>
      <c r="C134" s="13"/>
      <c r="D134" s="13"/>
      <c r="E134" s="13"/>
      <c r="F134" s="13"/>
      <c r="G134" s="13"/>
      <c r="H134" s="13"/>
      <c r="I134" s="13"/>
      <c r="J134" s="13"/>
      <c r="Q134" s="13"/>
      <c r="R134" s="31"/>
      <c r="S134" s="13"/>
    </row>
    <row r="135" spans="1:28" ht="15.5" x14ac:dyDescent="0.35">
      <c r="A135" s="13"/>
      <c r="B135" s="13"/>
      <c r="C135" s="13"/>
      <c r="D135" s="13"/>
      <c r="E135" s="13"/>
      <c r="F135" s="13"/>
      <c r="G135" s="13"/>
      <c r="H135" s="13"/>
      <c r="I135" s="13"/>
      <c r="J135" s="13"/>
      <c r="Q135" s="13"/>
      <c r="R135" s="31"/>
      <c r="S135" s="13"/>
    </row>
    <row r="136" spans="1:28" ht="15.5" x14ac:dyDescent="0.35">
      <c r="A136" s="13"/>
      <c r="B136" s="13"/>
      <c r="C136" s="13"/>
      <c r="D136" s="13"/>
      <c r="E136" s="13"/>
      <c r="F136" s="13"/>
      <c r="G136" s="13"/>
      <c r="H136" s="13"/>
      <c r="I136" s="13"/>
      <c r="J136" s="13"/>
      <c r="Q136" s="13"/>
      <c r="R136" s="31"/>
      <c r="S136" s="13"/>
    </row>
    <row r="137" spans="1:28" ht="18.5" x14ac:dyDescent="0.45">
      <c r="A137" s="13"/>
      <c r="B137" s="13"/>
      <c r="C137" s="13"/>
      <c r="D137" s="13"/>
      <c r="E137" s="13"/>
      <c r="F137" s="1" t="s">
        <v>25</v>
      </c>
      <c r="G137" s="3"/>
      <c r="H137" s="3"/>
      <c r="I137" s="3"/>
      <c r="J137" s="3"/>
      <c r="K137" s="3"/>
      <c r="L137" s="3"/>
      <c r="M137" s="3"/>
      <c r="N137" s="3"/>
      <c r="O137" s="3"/>
      <c r="P137" s="3"/>
      <c r="Q137" s="3"/>
      <c r="R137" s="3"/>
      <c r="S137" s="3"/>
      <c r="T137" s="3"/>
      <c r="U137" s="3"/>
    </row>
    <row r="138" spans="1:28" ht="16" thickBot="1" x14ac:dyDescent="0.4">
      <c r="A138" s="13"/>
      <c r="B138" s="9" t="s">
        <v>18</v>
      </c>
      <c r="C138" s="9" t="s">
        <v>17</v>
      </c>
      <c r="D138" s="9" t="s">
        <v>20</v>
      </c>
      <c r="E138" s="13"/>
      <c r="F138" s="9" t="s">
        <v>1</v>
      </c>
      <c r="G138" s="9" t="s">
        <v>2</v>
      </c>
      <c r="H138" s="9" t="s">
        <v>3</v>
      </c>
      <c r="I138" s="9" t="s">
        <v>4</v>
      </c>
      <c r="J138" s="9" t="s">
        <v>5</v>
      </c>
      <c r="K138" s="9" t="s">
        <v>6</v>
      </c>
      <c r="L138" s="9" t="s">
        <v>7</v>
      </c>
      <c r="M138" s="9" t="s">
        <v>8</v>
      </c>
      <c r="N138" s="9" t="s">
        <v>9</v>
      </c>
      <c r="O138" s="9" t="s">
        <v>10</v>
      </c>
      <c r="P138" s="5"/>
      <c r="Q138" s="5"/>
      <c r="R138" s="9" t="s">
        <v>11</v>
      </c>
      <c r="S138" s="9" t="s">
        <v>12</v>
      </c>
      <c r="T138" s="9" t="s">
        <v>13</v>
      </c>
      <c r="U138" s="9" t="s">
        <v>14</v>
      </c>
    </row>
    <row r="139" spans="1:28" ht="15.5" x14ac:dyDescent="0.35">
      <c r="A139" s="13"/>
      <c r="B139" s="13">
        <v>140.08000000000001</v>
      </c>
      <c r="C139" s="13">
        <v>143.1</v>
      </c>
      <c r="D139" s="13">
        <f>C139-B139</f>
        <v>3.0199999999999818</v>
      </c>
      <c r="E139" s="13"/>
      <c r="F139" s="13">
        <v>139.49</v>
      </c>
      <c r="G139" s="13">
        <v>141.55000000000001</v>
      </c>
      <c r="H139" s="13">
        <f>G139-F139</f>
        <v>2.0600000000000023</v>
      </c>
      <c r="I139" s="13">
        <f>F140-G139</f>
        <v>6.0799999999999841</v>
      </c>
      <c r="J139" s="2">
        <f t="shared" ref="J139:J144" si="58">H139/N139</f>
        <v>0.25307125307125378</v>
      </c>
      <c r="K139" s="2">
        <f t="shared" ref="K139:K144" si="59">I139/N139</f>
        <v>0.74692874692874622</v>
      </c>
      <c r="L139" s="2">
        <f t="shared" ref="L139:L144" si="60">1/H139</f>
        <v>0.48543689320388295</v>
      </c>
      <c r="M139" s="2">
        <f t="shared" ref="M139:M160" si="61">1/N139</f>
        <v>0.12285012285012306</v>
      </c>
      <c r="N139" s="2">
        <f t="shared" ref="N139:N144" si="62">H139+I139</f>
        <v>8.1399999999999864</v>
      </c>
      <c r="Q139" s="13"/>
      <c r="R139" s="31"/>
      <c r="S139" s="13"/>
    </row>
    <row r="140" spans="1:28" ht="15.5" x14ac:dyDescent="0.35">
      <c r="A140" s="13"/>
      <c r="B140" s="325" t="s">
        <v>21</v>
      </c>
      <c r="C140" s="326"/>
      <c r="D140" s="327"/>
      <c r="E140" s="13"/>
      <c r="F140" s="69">
        <v>147.63</v>
      </c>
      <c r="G140" s="62">
        <v>152.94999999999999</v>
      </c>
      <c r="H140" s="62">
        <f>G140-F140</f>
        <v>5.3199999999999932</v>
      </c>
      <c r="I140" s="64">
        <f t="shared" ref="I140:I160" si="63">F141-G140</f>
        <v>1.2300000000000182</v>
      </c>
      <c r="J140" s="2">
        <f t="shared" si="58"/>
        <v>0.81221374045801287</v>
      </c>
      <c r="K140" s="2">
        <f t="shared" si="59"/>
        <v>0.18778625954198719</v>
      </c>
      <c r="L140" s="2">
        <f t="shared" si="60"/>
        <v>0.18796992481203031</v>
      </c>
      <c r="M140" s="2">
        <f t="shared" si="61"/>
        <v>0.15267175572519057</v>
      </c>
      <c r="N140" s="2">
        <f t="shared" si="62"/>
        <v>6.5500000000000114</v>
      </c>
      <c r="Q140" s="13"/>
      <c r="R140" s="31"/>
      <c r="S140" s="13"/>
    </row>
    <row r="141" spans="1:28" ht="15.5" x14ac:dyDescent="0.35">
      <c r="A141" s="13"/>
      <c r="B141" s="325" t="s">
        <v>21</v>
      </c>
      <c r="C141" s="326"/>
      <c r="D141" s="327"/>
      <c r="E141" s="13"/>
      <c r="F141" s="70">
        <v>154.18</v>
      </c>
      <c r="G141" s="40">
        <v>157.79</v>
      </c>
      <c r="H141" s="40">
        <f t="shared" ref="H141:H160" si="64">G141-F141</f>
        <v>3.6099999999999852</v>
      </c>
      <c r="I141" s="71">
        <f>F142-G165</f>
        <v>1.3500000000000227</v>
      </c>
      <c r="J141" s="2">
        <f t="shared" si="58"/>
        <v>0.72782258064515715</v>
      </c>
      <c r="K141" s="2">
        <f t="shared" si="59"/>
        <v>0.27217741935484285</v>
      </c>
      <c r="L141" s="2">
        <f t="shared" si="60"/>
        <v>0.27700831024930861</v>
      </c>
      <c r="M141" s="2">
        <f t="shared" si="61"/>
        <v>0.20161290322580613</v>
      </c>
      <c r="N141" s="2">
        <f t="shared" si="62"/>
        <v>4.960000000000008</v>
      </c>
      <c r="Q141" s="13"/>
      <c r="R141" s="31"/>
      <c r="S141" s="13"/>
    </row>
    <row r="142" spans="1:28" ht="15.5" x14ac:dyDescent="0.35">
      <c r="A142" s="13"/>
      <c r="B142" s="325" t="s">
        <v>21</v>
      </c>
      <c r="C142" s="326"/>
      <c r="D142" s="327"/>
      <c r="E142" s="13"/>
      <c r="F142" s="70">
        <v>169.11</v>
      </c>
      <c r="G142" s="40">
        <v>174.82</v>
      </c>
      <c r="H142" s="40">
        <f t="shared" si="64"/>
        <v>5.7099999999999795</v>
      </c>
      <c r="I142" s="71">
        <f t="shared" si="63"/>
        <v>4.2900000000000205</v>
      </c>
      <c r="J142" s="2">
        <f t="shared" si="58"/>
        <v>0.57099999999999795</v>
      </c>
      <c r="K142" s="2">
        <f t="shared" si="59"/>
        <v>0.42900000000000205</v>
      </c>
      <c r="L142" s="2">
        <f t="shared" si="60"/>
        <v>0.17513134851138418</v>
      </c>
      <c r="M142" s="2">
        <f t="shared" si="61"/>
        <v>0.1</v>
      </c>
      <c r="N142" s="2">
        <f t="shared" si="62"/>
        <v>10</v>
      </c>
      <c r="Q142" s="13"/>
      <c r="R142" s="31"/>
      <c r="S142" s="13"/>
    </row>
    <row r="143" spans="1:28" ht="15.5" x14ac:dyDescent="0.35">
      <c r="A143" s="13"/>
      <c r="B143" s="325" t="s">
        <v>21</v>
      </c>
      <c r="C143" s="326"/>
      <c r="D143" s="327"/>
      <c r="E143" s="13"/>
      <c r="F143" s="70">
        <v>179.11</v>
      </c>
      <c r="G143" s="40">
        <v>184.87</v>
      </c>
      <c r="H143" s="40">
        <f t="shared" si="64"/>
        <v>5.7599999999999909</v>
      </c>
      <c r="I143" s="71">
        <f t="shared" si="63"/>
        <v>4.3700000000000045</v>
      </c>
      <c r="J143" s="2">
        <f t="shared" si="58"/>
        <v>0.5686080947680151</v>
      </c>
      <c r="K143" s="2">
        <f t="shared" si="59"/>
        <v>0.43139190523198484</v>
      </c>
      <c r="L143" s="2">
        <f t="shared" si="60"/>
        <v>0.17361111111111138</v>
      </c>
      <c r="M143" s="2">
        <f t="shared" si="61"/>
        <v>9.8716683119447229E-2</v>
      </c>
      <c r="N143" s="2">
        <f t="shared" si="62"/>
        <v>10.129999999999995</v>
      </c>
      <c r="Q143" s="13"/>
      <c r="R143" s="31"/>
      <c r="S143" s="13"/>
    </row>
    <row r="144" spans="1:28" ht="15.5" x14ac:dyDescent="0.35">
      <c r="A144" s="30"/>
      <c r="B144" s="325" t="s">
        <v>21</v>
      </c>
      <c r="C144" s="326"/>
      <c r="D144" s="327"/>
      <c r="E144" s="13"/>
      <c r="F144" s="72">
        <v>189.24</v>
      </c>
      <c r="G144" s="66">
        <v>195.27</v>
      </c>
      <c r="H144" s="66">
        <f t="shared" si="64"/>
        <v>6.0300000000000011</v>
      </c>
      <c r="I144" s="68">
        <f t="shared" si="63"/>
        <v>0.87999999999999545</v>
      </c>
      <c r="J144" s="2">
        <f t="shared" si="58"/>
        <v>0.87264833574529732</v>
      </c>
      <c r="K144" s="2">
        <f t="shared" si="59"/>
        <v>0.12735166425470273</v>
      </c>
      <c r="L144" s="2">
        <f t="shared" si="60"/>
        <v>0.16583747927031506</v>
      </c>
      <c r="M144" s="2">
        <f t="shared" si="61"/>
        <v>0.14471780028943568</v>
      </c>
      <c r="N144" s="2">
        <f t="shared" si="62"/>
        <v>6.9099999999999966</v>
      </c>
      <c r="Q144" s="13"/>
      <c r="R144" s="31"/>
      <c r="S144" s="13"/>
    </row>
    <row r="145" spans="1:30" ht="15.5" x14ac:dyDescent="0.35">
      <c r="A145" s="30"/>
      <c r="B145" s="325" t="s">
        <v>21</v>
      </c>
      <c r="C145" s="326"/>
      <c r="D145" s="327"/>
      <c r="E145" s="13"/>
      <c r="F145" s="41">
        <v>196.15</v>
      </c>
      <c r="G145" s="42">
        <v>202.26</v>
      </c>
      <c r="H145" s="42">
        <f t="shared" si="64"/>
        <v>6.1099999999999852</v>
      </c>
      <c r="I145" s="42">
        <f t="shared" si="63"/>
        <v>2.7000000000000171</v>
      </c>
      <c r="J145" s="42"/>
      <c r="K145" s="42" t="s">
        <v>53</v>
      </c>
      <c r="L145" s="42"/>
      <c r="M145" s="43"/>
      <c r="Q145" s="13"/>
      <c r="R145" s="31"/>
      <c r="S145" s="13"/>
    </row>
    <row r="146" spans="1:30" ht="15.5" x14ac:dyDescent="0.35">
      <c r="A146" s="13"/>
      <c r="B146" s="325" t="s">
        <v>21</v>
      </c>
      <c r="C146" s="326"/>
      <c r="D146" s="327"/>
      <c r="E146" s="13"/>
      <c r="F146" s="37">
        <v>204.96</v>
      </c>
      <c r="G146" s="38">
        <v>207.46</v>
      </c>
      <c r="H146" s="38">
        <f t="shared" si="64"/>
        <v>2.5</v>
      </c>
      <c r="I146" s="39">
        <f t="shared" si="63"/>
        <v>8.3100000000000023</v>
      </c>
      <c r="J146" s="2">
        <f>H146/N146</f>
        <v>0.23126734505087876</v>
      </c>
      <c r="K146" s="2">
        <f>I146/N146</f>
        <v>0.76873265494912124</v>
      </c>
      <c r="L146" s="2">
        <f>1/H146</f>
        <v>0.4</v>
      </c>
      <c r="M146" s="2">
        <f t="shared" si="61"/>
        <v>9.2506938020351509E-2</v>
      </c>
      <c r="N146" s="2">
        <f>H146+I146</f>
        <v>10.810000000000002</v>
      </c>
      <c r="Q146" s="13"/>
      <c r="R146" s="31"/>
      <c r="S146" s="13"/>
    </row>
    <row r="147" spans="1:30" ht="15.5" x14ac:dyDescent="0.35">
      <c r="A147" s="13"/>
      <c r="B147" s="33">
        <v>216.4</v>
      </c>
      <c r="C147" s="34">
        <v>217.27</v>
      </c>
      <c r="D147" s="35">
        <f>C147-B147</f>
        <v>0.87000000000000455</v>
      </c>
      <c r="E147" s="13"/>
      <c r="F147" s="15">
        <v>215.77</v>
      </c>
      <c r="G147" s="16">
        <v>218.43</v>
      </c>
      <c r="H147" s="16">
        <f t="shared" si="64"/>
        <v>2.6599999999999966</v>
      </c>
      <c r="I147" s="17">
        <f t="shared" si="63"/>
        <v>2.8899999999999864</v>
      </c>
      <c r="J147" s="2">
        <f t="shared" ref="J147:J160" si="65">H147/N147</f>
        <v>0.47927927927928016</v>
      </c>
      <c r="K147" s="2">
        <f t="shared" ref="K147:K160" si="66">I147/N147</f>
        <v>0.52072072072071984</v>
      </c>
      <c r="L147" s="2">
        <f t="shared" ref="L147:L160" si="67">1/H147</f>
        <v>0.37593984962406063</v>
      </c>
      <c r="M147" s="2">
        <f t="shared" si="61"/>
        <v>0.18018018018018073</v>
      </c>
      <c r="N147" s="2">
        <f t="shared" ref="N147:N160" si="68">H147+I147</f>
        <v>5.5499999999999829</v>
      </c>
      <c r="Q147" s="13"/>
      <c r="R147" s="31"/>
      <c r="S147" s="13"/>
    </row>
    <row r="148" spans="1:30" ht="15.5" x14ac:dyDescent="0.35">
      <c r="A148" s="13"/>
      <c r="B148" s="13">
        <v>220.48</v>
      </c>
      <c r="C148" s="13">
        <v>221.35</v>
      </c>
      <c r="D148" s="13">
        <f>C148-B148</f>
        <v>0.87000000000000455</v>
      </c>
      <c r="E148" s="13"/>
      <c r="F148" s="13">
        <v>221.32</v>
      </c>
      <c r="G148" s="13">
        <v>221.82</v>
      </c>
      <c r="H148" s="13">
        <f t="shared" si="64"/>
        <v>0.5</v>
      </c>
      <c r="I148" s="13">
        <f t="shared" si="63"/>
        <v>1.3700000000000045</v>
      </c>
      <c r="J148" s="2">
        <f t="shared" si="65"/>
        <v>0.26737967914438437</v>
      </c>
      <c r="K148" s="2">
        <f t="shared" si="66"/>
        <v>0.73262032085561557</v>
      </c>
      <c r="L148" s="2">
        <f t="shared" si="67"/>
        <v>2</v>
      </c>
      <c r="M148" s="2">
        <f t="shared" si="61"/>
        <v>0.53475935828876875</v>
      </c>
      <c r="N148" s="2">
        <f t="shared" si="68"/>
        <v>1.8700000000000045</v>
      </c>
      <c r="Q148" s="13"/>
      <c r="R148" s="31"/>
      <c r="S148" s="13"/>
    </row>
    <row r="149" spans="1:30" ht="15.5" x14ac:dyDescent="0.35">
      <c r="A149" s="13"/>
      <c r="B149" s="325" t="s">
        <v>21</v>
      </c>
      <c r="C149" s="326"/>
      <c r="D149" s="327"/>
      <c r="E149" s="13"/>
      <c r="F149" s="69">
        <v>223.19</v>
      </c>
      <c r="G149" s="62">
        <v>227.45</v>
      </c>
      <c r="H149" s="62">
        <f t="shared" si="64"/>
        <v>4.2599999999999909</v>
      </c>
      <c r="I149" s="64">
        <f t="shared" si="63"/>
        <v>4.5500000000000114</v>
      </c>
      <c r="J149" s="2">
        <f t="shared" si="65"/>
        <v>0.48354143019296136</v>
      </c>
      <c r="K149" s="2">
        <f t="shared" si="66"/>
        <v>0.51645856980703864</v>
      </c>
      <c r="L149" s="2">
        <f t="shared" si="67"/>
        <v>0.23474178403755919</v>
      </c>
      <c r="M149" s="2">
        <f t="shared" si="61"/>
        <v>0.11350737797956864</v>
      </c>
      <c r="N149" s="2">
        <f t="shared" si="68"/>
        <v>8.8100000000000023</v>
      </c>
      <c r="Q149" s="13"/>
      <c r="R149" s="31"/>
      <c r="S149" s="13"/>
    </row>
    <row r="150" spans="1:30" ht="15.5" x14ac:dyDescent="0.35">
      <c r="A150" s="13"/>
      <c r="B150" s="325" t="s">
        <v>21</v>
      </c>
      <c r="C150" s="326"/>
      <c r="D150" s="327"/>
      <c r="E150" s="13"/>
      <c r="F150" s="70">
        <v>232</v>
      </c>
      <c r="G150" s="40">
        <v>234.52</v>
      </c>
      <c r="H150" s="40">
        <f t="shared" si="64"/>
        <v>2.5200000000000102</v>
      </c>
      <c r="I150" s="71">
        <f t="shared" si="63"/>
        <v>1.1599999999999966</v>
      </c>
      <c r="J150" s="2">
        <f t="shared" si="65"/>
        <v>0.68478260869565366</v>
      </c>
      <c r="K150" s="2">
        <f t="shared" si="66"/>
        <v>0.31521739130434634</v>
      </c>
      <c r="L150" s="2">
        <f t="shared" si="67"/>
        <v>0.39682539682539519</v>
      </c>
      <c r="M150" s="2">
        <f t="shared" si="61"/>
        <v>0.27173913043478209</v>
      </c>
      <c r="N150" s="2">
        <f t="shared" si="68"/>
        <v>3.6800000000000068</v>
      </c>
      <c r="Q150" s="13"/>
      <c r="R150" s="31"/>
      <c r="S150" s="13"/>
    </row>
    <row r="151" spans="1:30" ht="15.5" x14ac:dyDescent="0.35">
      <c r="A151" s="13"/>
      <c r="B151" s="325" t="s">
        <v>21</v>
      </c>
      <c r="C151" s="326"/>
      <c r="D151" s="327"/>
      <c r="E151" s="13"/>
      <c r="F151" s="70">
        <v>235.68</v>
      </c>
      <c r="G151" s="40">
        <v>238.23</v>
      </c>
      <c r="H151" s="40">
        <f t="shared" si="64"/>
        <v>2.5499999999999829</v>
      </c>
      <c r="I151" s="71">
        <f t="shared" si="63"/>
        <v>1.2400000000000091</v>
      </c>
      <c r="J151" s="2">
        <f t="shared" si="65"/>
        <v>0.67282321899735842</v>
      </c>
      <c r="K151" s="2">
        <f t="shared" si="66"/>
        <v>0.32717678100264164</v>
      </c>
      <c r="L151" s="2">
        <f t="shared" si="67"/>
        <v>0.39215686274510064</v>
      </c>
      <c r="M151" s="2">
        <f t="shared" si="61"/>
        <v>0.26385224274406388</v>
      </c>
      <c r="N151" s="2">
        <f t="shared" si="68"/>
        <v>3.789999999999992</v>
      </c>
      <c r="Q151" s="13"/>
      <c r="R151" s="31"/>
      <c r="S151" s="13"/>
    </row>
    <row r="152" spans="1:30" ht="15.5" x14ac:dyDescent="0.35">
      <c r="A152" s="13"/>
      <c r="B152" s="325" t="s">
        <v>21</v>
      </c>
      <c r="C152" s="326"/>
      <c r="D152" s="327"/>
      <c r="E152" s="13"/>
      <c r="F152" s="72">
        <v>239.47</v>
      </c>
      <c r="G152" s="66">
        <v>242.17</v>
      </c>
      <c r="H152" s="66">
        <f t="shared" si="64"/>
        <v>2.6999999999999886</v>
      </c>
      <c r="I152" s="68">
        <f t="shared" si="63"/>
        <v>1.0300000000000011</v>
      </c>
      <c r="J152" s="2">
        <f t="shared" si="65"/>
        <v>0.72386058981233137</v>
      </c>
      <c r="K152" s="2">
        <f t="shared" si="66"/>
        <v>0.27613941018766863</v>
      </c>
      <c r="L152" s="2">
        <f t="shared" si="67"/>
        <v>0.3703703703703719</v>
      </c>
      <c r="M152" s="2">
        <f t="shared" si="61"/>
        <v>0.26809651474530904</v>
      </c>
      <c r="N152" s="2">
        <f t="shared" si="68"/>
        <v>3.7299999999999898</v>
      </c>
      <c r="Q152" s="13"/>
      <c r="R152" s="31"/>
      <c r="S152" s="13"/>
    </row>
    <row r="153" spans="1:30" ht="15.5" x14ac:dyDescent="0.35">
      <c r="A153" s="13"/>
      <c r="B153" s="13">
        <v>243.86</v>
      </c>
      <c r="C153" s="13">
        <v>245.2</v>
      </c>
      <c r="D153" s="13">
        <f>C153-B153</f>
        <v>1.339999999999975</v>
      </c>
      <c r="E153" s="13"/>
      <c r="F153" s="13">
        <v>243.2</v>
      </c>
      <c r="G153" s="13">
        <v>245.25</v>
      </c>
      <c r="H153" s="13">
        <f t="shared" si="64"/>
        <v>2.0500000000000114</v>
      </c>
      <c r="I153" s="13">
        <f t="shared" si="63"/>
        <v>1.8899999999999864</v>
      </c>
      <c r="J153" s="2">
        <f t="shared" si="65"/>
        <v>0.52030456852792195</v>
      </c>
      <c r="K153" s="2">
        <f t="shared" si="66"/>
        <v>0.47969543147207805</v>
      </c>
      <c r="L153" s="2">
        <f t="shared" si="67"/>
        <v>0.48780487804877776</v>
      </c>
      <c r="M153" s="2">
        <f t="shared" si="61"/>
        <v>0.25380710659898492</v>
      </c>
      <c r="N153" s="2">
        <f t="shared" si="68"/>
        <v>3.9399999999999977</v>
      </c>
      <c r="Q153" s="13"/>
      <c r="R153" s="31"/>
      <c r="S153" s="13"/>
    </row>
    <row r="154" spans="1:30" ht="15.5" x14ac:dyDescent="0.35">
      <c r="A154" s="13"/>
      <c r="B154" s="325" t="s">
        <v>21</v>
      </c>
      <c r="C154" s="326"/>
      <c r="D154" s="327"/>
      <c r="E154" s="13"/>
      <c r="F154" s="37">
        <v>247.14</v>
      </c>
      <c r="G154" s="38">
        <v>250.8</v>
      </c>
      <c r="H154" s="38">
        <f t="shared" si="64"/>
        <v>3.660000000000025</v>
      </c>
      <c r="I154" s="39">
        <f t="shared" si="63"/>
        <v>0.6799999999999784</v>
      </c>
      <c r="J154" s="2">
        <f t="shared" si="65"/>
        <v>0.84331797235023553</v>
      </c>
      <c r="K154" s="2">
        <f t="shared" si="66"/>
        <v>0.15668202764976449</v>
      </c>
      <c r="L154" s="2">
        <f t="shared" si="67"/>
        <v>0.27322404371584513</v>
      </c>
      <c r="M154" s="2">
        <f t="shared" si="61"/>
        <v>0.23041474654377861</v>
      </c>
      <c r="N154" s="2">
        <f t="shared" si="68"/>
        <v>4.3400000000000034</v>
      </c>
      <c r="Q154" s="13"/>
      <c r="R154" s="31"/>
      <c r="S154" s="13"/>
    </row>
    <row r="155" spans="1:30" ht="15.5" x14ac:dyDescent="0.35">
      <c r="A155" s="13"/>
      <c r="B155" s="13">
        <v>252.19</v>
      </c>
      <c r="C155" s="13">
        <v>253.88</v>
      </c>
      <c r="D155" s="13">
        <f t="shared" ref="D155:D160" si="69">C155-B155</f>
        <v>1.6899999999999977</v>
      </c>
      <c r="E155" s="13"/>
      <c r="F155" s="13">
        <v>251.48</v>
      </c>
      <c r="G155" s="13">
        <v>252.48</v>
      </c>
      <c r="H155" s="13">
        <f t="shared" si="64"/>
        <v>1</v>
      </c>
      <c r="I155" s="13">
        <f t="shared" si="63"/>
        <v>5.1800000000000352</v>
      </c>
      <c r="J155" s="2">
        <f t="shared" si="65"/>
        <v>0.16181229773462691</v>
      </c>
      <c r="K155" s="2">
        <f t="shared" si="66"/>
        <v>0.83818770226537309</v>
      </c>
      <c r="L155" s="2">
        <f t="shared" si="67"/>
        <v>1</v>
      </c>
      <c r="M155" s="2">
        <f t="shared" si="61"/>
        <v>0.16181229773462691</v>
      </c>
      <c r="N155" s="2">
        <f t="shared" si="68"/>
        <v>6.1800000000000352</v>
      </c>
      <c r="Q155" s="13"/>
      <c r="R155" s="31"/>
      <c r="S155" s="13"/>
    </row>
    <row r="156" spans="1:30" ht="15.5" x14ac:dyDescent="0.35">
      <c r="A156" s="13"/>
      <c r="B156" s="13">
        <v>258.24</v>
      </c>
      <c r="C156" s="13">
        <v>261.11</v>
      </c>
      <c r="D156" s="13">
        <f t="shared" si="69"/>
        <v>2.8700000000000045</v>
      </c>
      <c r="E156" s="13"/>
      <c r="F156" s="13">
        <v>257.66000000000003</v>
      </c>
      <c r="G156" s="13">
        <v>260.5</v>
      </c>
      <c r="H156" s="13">
        <f t="shared" si="64"/>
        <v>2.839999999999975</v>
      </c>
      <c r="I156" s="13">
        <f t="shared" si="63"/>
        <v>6</v>
      </c>
      <c r="J156" s="2">
        <f t="shared" si="65"/>
        <v>0.32126696832578994</v>
      </c>
      <c r="K156" s="2">
        <f t="shared" si="66"/>
        <v>0.67873303167421006</v>
      </c>
      <c r="L156" s="2">
        <f t="shared" si="67"/>
        <v>0.35211267605634111</v>
      </c>
      <c r="M156" s="2">
        <f t="shared" si="61"/>
        <v>0.11312217194570168</v>
      </c>
      <c r="N156" s="2">
        <f t="shared" si="68"/>
        <v>8.839999999999975</v>
      </c>
      <c r="Q156" s="13"/>
      <c r="R156" s="31"/>
      <c r="S156" s="13"/>
    </row>
    <row r="157" spans="1:30" ht="15.5" x14ac:dyDescent="0.35">
      <c r="A157" s="13"/>
      <c r="B157" s="15">
        <v>267.08</v>
      </c>
      <c r="C157" s="16">
        <v>270.44</v>
      </c>
      <c r="D157" s="17">
        <f t="shared" si="69"/>
        <v>3.3600000000000136</v>
      </c>
      <c r="E157" s="13"/>
      <c r="F157" s="15">
        <v>266.5</v>
      </c>
      <c r="G157" s="16">
        <v>270.68</v>
      </c>
      <c r="H157" s="16">
        <f t="shared" si="64"/>
        <v>4.1800000000000068</v>
      </c>
      <c r="I157" s="17">
        <f t="shared" si="63"/>
        <v>5.839999999999975</v>
      </c>
      <c r="J157" s="2">
        <f t="shared" si="65"/>
        <v>0.41716566866267607</v>
      </c>
      <c r="K157" s="2">
        <f t="shared" si="66"/>
        <v>0.58283433133732387</v>
      </c>
      <c r="L157" s="2">
        <f t="shared" si="67"/>
        <v>0.23923444976076516</v>
      </c>
      <c r="M157" s="2">
        <f t="shared" si="61"/>
        <v>9.9800399201596987E-2</v>
      </c>
      <c r="N157" s="2">
        <f t="shared" si="68"/>
        <v>10.019999999999982</v>
      </c>
      <c r="Q157" s="13"/>
      <c r="R157" s="31"/>
      <c r="S157" s="13"/>
      <c r="W157" s="18" t="s">
        <v>54</v>
      </c>
      <c r="X157" s="18"/>
      <c r="Y157" s="18"/>
      <c r="Z157" s="18"/>
      <c r="AA157" s="18"/>
      <c r="AB157" s="18"/>
      <c r="AC157" s="18"/>
      <c r="AD157" s="18"/>
    </row>
    <row r="158" spans="1:30" ht="15.5" x14ac:dyDescent="0.35">
      <c r="A158" s="13"/>
      <c r="B158" s="13">
        <v>277.12</v>
      </c>
      <c r="C158" s="13">
        <v>281.38</v>
      </c>
      <c r="D158" s="13">
        <f t="shared" si="69"/>
        <v>4.2599999999999909</v>
      </c>
      <c r="E158" s="13"/>
      <c r="F158" s="13">
        <v>276.52</v>
      </c>
      <c r="G158" s="13">
        <v>280.60000000000002</v>
      </c>
      <c r="H158" s="13">
        <f t="shared" si="64"/>
        <v>4.0800000000000409</v>
      </c>
      <c r="I158" s="13">
        <f t="shared" si="63"/>
        <v>8.6999999999999886</v>
      </c>
      <c r="J158" s="2">
        <f t="shared" si="65"/>
        <v>0.31924882629108225</v>
      </c>
      <c r="K158" s="2">
        <f t="shared" si="66"/>
        <v>0.68075117370891769</v>
      </c>
      <c r="L158" s="2">
        <f t="shared" si="67"/>
        <v>0.24509803921568382</v>
      </c>
      <c r="M158" s="2">
        <f t="shared" si="61"/>
        <v>7.824726134585272E-2</v>
      </c>
      <c r="N158" s="2">
        <f t="shared" si="68"/>
        <v>12.78000000000003</v>
      </c>
      <c r="Q158" s="13"/>
      <c r="R158" s="31"/>
      <c r="S158" s="13"/>
    </row>
    <row r="159" spans="1:30" ht="15.5" x14ac:dyDescent="0.35">
      <c r="A159" s="13"/>
      <c r="B159" s="15">
        <v>289.83</v>
      </c>
      <c r="C159" s="16">
        <v>293.77</v>
      </c>
      <c r="D159" s="17">
        <f t="shared" si="69"/>
        <v>3.9399999999999977</v>
      </c>
      <c r="E159" s="13"/>
      <c r="F159" s="15">
        <v>289.3</v>
      </c>
      <c r="G159" s="16">
        <v>294.01</v>
      </c>
      <c r="H159" s="16">
        <f t="shared" si="64"/>
        <v>4.7099999999999795</v>
      </c>
      <c r="I159" s="17">
        <f t="shared" si="63"/>
        <v>9.2800000000000296</v>
      </c>
      <c r="J159" s="2">
        <f t="shared" si="65"/>
        <v>0.33666904932094183</v>
      </c>
      <c r="K159" s="2">
        <f t="shared" si="66"/>
        <v>0.66333095067905812</v>
      </c>
      <c r="L159" s="2">
        <f t="shared" si="67"/>
        <v>0.21231422505307948</v>
      </c>
      <c r="M159" s="2">
        <f t="shared" si="61"/>
        <v>7.1479628305932769E-2</v>
      </c>
      <c r="N159" s="2">
        <f t="shared" si="68"/>
        <v>13.990000000000009</v>
      </c>
      <c r="Q159" s="13"/>
      <c r="R159" s="31"/>
      <c r="S159" s="13"/>
    </row>
    <row r="160" spans="1:30" ht="15.5" x14ac:dyDescent="0.35">
      <c r="A160" s="13"/>
      <c r="B160" s="13">
        <v>303.87</v>
      </c>
      <c r="C160" s="13">
        <v>309.86</v>
      </c>
      <c r="D160" s="13">
        <f t="shared" si="69"/>
        <v>5.9900000000000091</v>
      </c>
      <c r="E160" s="13"/>
      <c r="F160" s="13">
        <v>303.29000000000002</v>
      </c>
      <c r="G160" s="13">
        <v>309.02</v>
      </c>
      <c r="H160" s="13">
        <f t="shared" si="64"/>
        <v>5.7299999999999613</v>
      </c>
      <c r="I160" s="13">
        <f t="shared" si="63"/>
        <v>-309.02</v>
      </c>
      <c r="J160" s="2">
        <f t="shared" si="65"/>
        <v>-1.8892808862804446E-2</v>
      </c>
      <c r="K160" s="2">
        <f t="shared" si="66"/>
        <v>1.0188928088628044</v>
      </c>
      <c r="L160" s="2">
        <f t="shared" si="67"/>
        <v>0.17452006980802909</v>
      </c>
      <c r="M160" s="2">
        <f t="shared" si="61"/>
        <v>-3.297174321606383E-3</v>
      </c>
      <c r="N160" s="2">
        <f t="shared" si="68"/>
        <v>-303.29000000000002</v>
      </c>
      <c r="Q160" s="13"/>
      <c r="R160" s="31"/>
      <c r="S160" s="13"/>
    </row>
    <row r="161" spans="1:21" ht="15.5" x14ac:dyDescent="0.35">
      <c r="A161" s="13"/>
      <c r="B161" s="13"/>
      <c r="C161" s="13"/>
      <c r="D161" s="13"/>
      <c r="E161" s="13"/>
      <c r="F161" s="13"/>
      <c r="G161" s="13"/>
      <c r="H161" s="13"/>
      <c r="I161" s="13"/>
      <c r="J161" s="13"/>
      <c r="Q161" s="13"/>
      <c r="R161" s="31"/>
      <c r="S161" s="13"/>
    </row>
    <row r="162" spans="1:21" ht="15.5" x14ac:dyDescent="0.35">
      <c r="A162" s="13"/>
      <c r="B162" s="29"/>
      <c r="C162" s="29"/>
      <c r="D162" s="29"/>
      <c r="E162" s="13"/>
      <c r="F162" s="13"/>
      <c r="G162" s="13"/>
      <c r="H162" s="13"/>
      <c r="I162" s="13"/>
      <c r="J162" s="13"/>
      <c r="Q162" s="13"/>
      <c r="R162" s="31"/>
      <c r="S162" s="13"/>
    </row>
    <row r="163" spans="1:21" ht="18.5" x14ac:dyDescent="0.45">
      <c r="A163" s="13"/>
      <c r="B163" s="29"/>
      <c r="C163" s="29"/>
      <c r="D163" s="29"/>
      <c r="E163" s="13"/>
      <c r="F163" s="1" t="s">
        <v>27</v>
      </c>
      <c r="G163" s="3"/>
      <c r="H163" s="3"/>
      <c r="I163" s="3"/>
      <c r="J163" s="3"/>
      <c r="K163" s="3"/>
      <c r="L163" s="3"/>
      <c r="M163" s="3"/>
      <c r="N163" s="3"/>
      <c r="O163" s="3"/>
      <c r="P163" s="3"/>
      <c r="Q163" s="13"/>
      <c r="R163" s="31"/>
      <c r="S163" s="13"/>
    </row>
    <row r="164" spans="1:21" ht="16" thickBot="1" x14ac:dyDescent="0.4">
      <c r="A164" s="13"/>
      <c r="B164" s="9" t="s">
        <v>18</v>
      </c>
      <c r="C164" s="9" t="s">
        <v>17</v>
      </c>
      <c r="D164" s="9" t="s">
        <v>20</v>
      </c>
      <c r="E164" s="13"/>
      <c r="F164" s="9" t="s">
        <v>1</v>
      </c>
      <c r="G164" s="9" t="s">
        <v>2</v>
      </c>
      <c r="H164" s="9" t="s">
        <v>3</v>
      </c>
      <c r="I164" s="9" t="s">
        <v>4</v>
      </c>
      <c r="J164" s="9" t="s">
        <v>5</v>
      </c>
      <c r="K164" s="9" t="s">
        <v>6</v>
      </c>
      <c r="L164" s="9" t="s">
        <v>7</v>
      </c>
      <c r="M164" s="9" t="s">
        <v>8</v>
      </c>
      <c r="N164" s="9" t="s">
        <v>9</v>
      </c>
      <c r="O164" s="9" t="s">
        <v>10</v>
      </c>
      <c r="P164" s="5"/>
      <c r="Q164" s="13"/>
      <c r="R164" s="31"/>
      <c r="S164" s="13"/>
    </row>
    <row r="165" spans="1:21" ht="15.5" x14ac:dyDescent="0.35">
      <c r="A165" s="13"/>
      <c r="B165" s="51">
        <v>157.94999999999999</v>
      </c>
      <c r="C165" s="51">
        <v>164.58</v>
      </c>
      <c r="D165" s="51">
        <f>C165-B165</f>
        <v>6.6300000000000239</v>
      </c>
      <c r="E165" s="13"/>
      <c r="F165" s="13">
        <v>163.79</v>
      </c>
      <c r="G165" s="13">
        <v>167.76</v>
      </c>
      <c r="H165" s="13">
        <f>G165-F165</f>
        <v>3.9699999999999989</v>
      </c>
      <c r="I165" s="13">
        <f>F165-G141</f>
        <v>6</v>
      </c>
      <c r="J165" s="2">
        <f>H165/N165</f>
        <v>0.39819458375125372</v>
      </c>
      <c r="K165" s="2">
        <f>I165/N165</f>
        <v>0.60180541624874628</v>
      </c>
      <c r="L165" s="2">
        <f>1/H165</f>
        <v>0.25188916876574313</v>
      </c>
      <c r="M165" s="2">
        <f>1/N165</f>
        <v>0.10030090270812439</v>
      </c>
      <c r="N165" s="2">
        <f>H165+I165</f>
        <v>9.9699999999999989</v>
      </c>
      <c r="Q165" s="13"/>
      <c r="R165" s="31"/>
      <c r="S165" s="13"/>
    </row>
    <row r="166" spans="1:21" ht="15.5" x14ac:dyDescent="0.35">
      <c r="A166" s="13"/>
      <c r="B166" s="51">
        <v>211.3</v>
      </c>
      <c r="C166" s="51">
        <v>212.67</v>
      </c>
      <c r="D166" s="51">
        <f>C166-B166</f>
        <v>1.3699999999999761</v>
      </c>
      <c r="E166" s="13"/>
      <c r="F166" s="13">
        <v>212.35</v>
      </c>
      <c r="G166" s="13">
        <v>214.89</v>
      </c>
      <c r="H166" s="13">
        <f>G166-F166</f>
        <v>2.539999999999992</v>
      </c>
      <c r="I166" s="13">
        <f>F166-G146</f>
        <v>4.8899999999999864</v>
      </c>
      <c r="J166" s="2">
        <f>H166/N166</f>
        <v>0.34185733512785993</v>
      </c>
      <c r="K166" s="2">
        <f>I166/N166</f>
        <v>0.65814266487214002</v>
      </c>
      <c r="L166" s="2">
        <f>1/H166</f>
        <v>0.39370078740157605</v>
      </c>
      <c r="M166" s="2">
        <f>1/N166</f>
        <v>0.13458950201884293</v>
      </c>
      <c r="N166" s="2">
        <f>H166+I166</f>
        <v>7.4299999999999784</v>
      </c>
      <c r="Q166" s="13"/>
      <c r="R166" s="31"/>
      <c r="S166" s="13"/>
    </row>
    <row r="167" spans="1:21" ht="15.5" x14ac:dyDescent="0.35">
      <c r="A167" s="13"/>
      <c r="B167" s="29"/>
      <c r="C167" s="29"/>
      <c r="D167" s="29"/>
      <c r="E167" s="13"/>
      <c r="F167" s="13"/>
      <c r="G167" s="13"/>
      <c r="H167" s="13"/>
      <c r="I167" s="13"/>
      <c r="J167" s="13"/>
      <c r="Q167" s="13"/>
      <c r="R167" s="31"/>
      <c r="S167" s="13"/>
    </row>
    <row r="168" spans="1:21" ht="15.5" x14ac:dyDescent="0.35">
      <c r="A168" s="13"/>
      <c r="B168" s="29"/>
      <c r="C168" s="29"/>
      <c r="D168" s="29"/>
      <c r="E168" s="13"/>
      <c r="F168" s="13"/>
      <c r="G168" s="13"/>
      <c r="H168" s="13"/>
      <c r="I168" s="13"/>
      <c r="J168" s="13"/>
      <c r="Q168" s="13"/>
      <c r="R168" s="31"/>
      <c r="S168" s="13"/>
    </row>
    <row r="169" spans="1:21" ht="15.5" x14ac:dyDescent="0.35">
      <c r="A169" s="13"/>
      <c r="B169" s="13"/>
      <c r="C169" s="13"/>
      <c r="D169" s="13"/>
      <c r="E169" s="13"/>
      <c r="F169" s="13"/>
      <c r="G169" s="13"/>
      <c r="H169" s="13"/>
      <c r="I169" s="13"/>
      <c r="J169" s="13"/>
      <c r="Q169" s="13"/>
      <c r="R169" s="31"/>
      <c r="S169" s="13"/>
    </row>
    <row r="170" spans="1:21" ht="15.5" x14ac:dyDescent="0.35">
      <c r="A170" s="13"/>
      <c r="B170" s="13"/>
      <c r="C170" s="13"/>
      <c r="D170" s="13"/>
      <c r="E170" s="13"/>
      <c r="F170" s="13"/>
      <c r="G170" s="13"/>
      <c r="H170" s="13"/>
      <c r="I170" s="13"/>
      <c r="J170" s="13"/>
      <c r="Q170" s="13"/>
      <c r="R170" s="31"/>
      <c r="S170" s="13"/>
    </row>
    <row r="171" spans="1:21" ht="15.5" x14ac:dyDescent="0.35">
      <c r="Q171" s="13"/>
      <c r="R171" s="31"/>
      <c r="S171" s="13"/>
    </row>
    <row r="172" spans="1:21" ht="18.5" x14ac:dyDescent="0.45">
      <c r="B172" s="46"/>
      <c r="C172" s="46"/>
      <c r="D172" s="46"/>
      <c r="E172" s="46"/>
      <c r="F172" s="1" t="s">
        <v>34</v>
      </c>
      <c r="Q172" s="45"/>
      <c r="R172" s="47"/>
      <c r="S172" s="45"/>
    </row>
    <row r="173" spans="1:21" ht="16" thickBot="1" x14ac:dyDescent="0.4">
      <c r="B173" s="46"/>
      <c r="C173" s="46"/>
      <c r="D173" s="46"/>
      <c r="E173" s="46"/>
      <c r="F173" s="9" t="s">
        <v>1</v>
      </c>
      <c r="G173" s="9" t="s">
        <v>2</v>
      </c>
      <c r="H173" s="9" t="s">
        <v>3</v>
      </c>
      <c r="I173" s="9" t="s">
        <v>4</v>
      </c>
      <c r="J173" s="9" t="s">
        <v>5</v>
      </c>
      <c r="K173" s="9" t="s">
        <v>6</v>
      </c>
      <c r="L173" s="9" t="s">
        <v>7</v>
      </c>
      <c r="M173" s="9" t="s">
        <v>8</v>
      </c>
      <c r="N173" s="9" t="s">
        <v>9</v>
      </c>
      <c r="O173" s="9" t="s">
        <v>10</v>
      </c>
      <c r="P173" s="5"/>
      <c r="Q173" s="45"/>
      <c r="R173" s="9" t="s">
        <v>11</v>
      </c>
      <c r="S173" s="9" t="s">
        <v>12</v>
      </c>
      <c r="T173" s="9" t="s">
        <v>13</v>
      </c>
      <c r="U173" s="9" t="s">
        <v>14</v>
      </c>
    </row>
    <row r="174" spans="1:21" x14ac:dyDescent="0.35">
      <c r="B174" s="46"/>
      <c r="C174" s="46"/>
      <c r="D174" s="46"/>
      <c r="E174" s="46"/>
      <c r="F174" s="46">
        <v>695.58</v>
      </c>
      <c r="G174" s="46">
        <v>708.88</v>
      </c>
      <c r="H174" s="2">
        <f t="shared" ref="H174:H187" si="70">G174-F174</f>
        <v>13.299999999999955</v>
      </c>
      <c r="I174" s="13">
        <f t="shared" ref="I174:I187" si="71">F175-G174</f>
        <v>11.639999999999986</v>
      </c>
      <c r="J174" s="2">
        <f>H174/N174</f>
        <v>0.53327987169206037</v>
      </c>
      <c r="K174" s="2">
        <f>I174/N174</f>
        <v>0.46672012830793963</v>
      </c>
      <c r="L174" s="2">
        <f>1/H174</f>
        <v>7.518796992481229E-2</v>
      </c>
      <c r="M174" s="2">
        <f t="shared" ref="M174:M187" si="72">1/N174</f>
        <v>4.0096230954290393E-2</v>
      </c>
      <c r="N174" s="2">
        <f>H174+I174</f>
        <v>24.939999999999941</v>
      </c>
      <c r="O174" s="46"/>
      <c r="P174" s="46"/>
      <c r="Q174" s="49"/>
      <c r="R174" s="50">
        <v>707.93</v>
      </c>
      <c r="S174" s="45">
        <v>729.13</v>
      </c>
      <c r="T174" s="2">
        <f>S174-R174</f>
        <v>21.200000000000045</v>
      </c>
      <c r="U174" s="13">
        <f>R175-S174</f>
        <v>7.2699999999999818</v>
      </c>
    </row>
    <row r="175" spans="1:21" x14ac:dyDescent="0.35">
      <c r="B175" s="46"/>
      <c r="C175" s="46"/>
      <c r="D175" s="46"/>
      <c r="E175" s="46"/>
      <c r="F175" s="46">
        <v>720.52</v>
      </c>
      <c r="G175" s="46">
        <v>734.85</v>
      </c>
      <c r="H175" s="2">
        <f t="shared" si="70"/>
        <v>14.330000000000041</v>
      </c>
      <c r="I175" s="13">
        <f t="shared" si="71"/>
        <v>10.879999999999995</v>
      </c>
      <c r="J175" s="2">
        <f t="shared" ref="J175:J187" si="73">H175/N175</f>
        <v>0.56842522808409446</v>
      </c>
      <c r="K175" s="2">
        <f t="shared" ref="K175:K187" si="74">I175/N175</f>
        <v>0.4315747719159056</v>
      </c>
      <c r="L175" s="2">
        <f t="shared" ref="L175:L187" si="75">1/H175</f>
        <v>6.9783670621074476E-2</v>
      </c>
      <c r="M175" s="2">
        <f t="shared" si="72"/>
        <v>3.9666798889329571E-2</v>
      </c>
      <c r="N175" s="2">
        <f t="shared" ref="N175:N187" si="76">H175+I175</f>
        <v>25.210000000000036</v>
      </c>
      <c r="O175" s="46"/>
      <c r="P175" s="46"/>
      <c r="Q175" s="45"/>
      <c r="R175" s="55">
        <v>736.4</v>
      </c>
      <c r="S175" s="45">
        <v>752.8</v>
      </c>
      <c r="T175" s="2">
        <f t="shared" ref="T175:T188" si="77">S175-R175</f>
        <v>16.399999999999977</v>
      </c>
      <c r="U175" s="13">
        <f t="shared" ref="U175:U187" si="78">R176-S175</f>
        <v>8.8500000000000227</v>
      </c>
    </row>
    <row r="176" spans="1:21" x14ac:dyDescent="0.35">
      <c r="A176" s="13"/>
      <c r="B176" s="45"/>
      <c r="C176" s="45"/>
      <c r="D176" s="45"/>
      <c r="E176" s="45"/>
      <c r="F176" s="45">
        <v>745.73</v>
      </c>
      <c r="G176" s="46">
        <v>760.98</v>
      </c>
      <c r="H176" s="2">
        <f t="shared" si="70"/>
        <v>15.25</v>
      </c>
      <c r="I176" s="13">
        <f t="shared" si="71"/>
        <v>11.629999999999995</v>
      </c>
      <c r="J176" s="2">
        <f t="shared" si="73"/>
        <v>0.56733630952380965</v>
      </c>
      <c r="K176" s="2">
        <f t="shared" si="74"/>
        <v>0.43266369047619035</v>
      </c>
      <c r="L176" s="2">
        <f t="shared" si="75"/>
        <v>6.5573770491803282E-2</v>
      </c>
      <c r="M176" s="2">
        <f t="shared" si="72"/>
        <v>3.7202380952380959E-2</v>
      </c>
      <c r="N176" s="2">
        <f t="shared" si="76"/>
        <v>26.879999999999995</v>
      </c>
      <c r="O176" s="46"/>
      <c r="P176" s="46"/>
      <c r="Q176" s="45"/>
      <c r="R176" s="50">
        <v>761.65</v>
      </c>
      <c r="S176" s="45">
        <v>777.26</v>
      </c>
      <c r="T176" s="2">
        <f t="shared" si="77"/>
        <v>15.610000000000014</v>
      </c>
      <c r="U176" s="13">
        <f t="shared" si="78"/>
        <v>10.440000000000055</v>
      </c>
    </row>
    <row r="177" spans="1:21" x14ac:dyDescent="0.35">
      <c r="A177" s="13"/>
      <c r="B177" s="48"/>
      <c r="C177" s="48"/>
      <c r="D177" s="48"/>
      <c r="E177" s="45"/>
      <c r="F177" s="45">
        <v>772.61</v>
      </c>
      <c r="G177" s="45">
        <v>786.19</v>
      </c>
      <c r="H177" s="2">
        <f t="shared" si="70"/>
        <v>13.580000000000041</v>
      </c>
      <c r="I177" s="13">
        <f t="shared" si="71"/>
        <v>12.789999999999964</v>
      </c>
      <c r="J177" s="2">
        <f t="shared" si="73"/>
        <v>0.51497914296549252</v>
      </c>
      <c r="K177" s="2">
        <f t="shared" si="74"/>
        <v>0.48502085703450742</v>
      </c>
      <c r="L177" s="2">
        <f t="shared" si="75"/>
        <v>7.3637702503681665E-2</v>
      </c>
      <c r="M177" s="2">
        <f t="shared" si="72"/>
        <v>3.7921880925293888E-2</v>
      </c>
      <c r="N177" s="2">
        <f t="shared" si="76"/>
        <v>26.370000000000005</v>
      </c>
      <c r="O177" s="46"/>
      <c r="P177" s="46"/>
      <c r="Q177" s="45"/>
      <c r="R177" s="52">
        <v>787.7</v>
      </c>
      <c r="S177" s="45">
        <v>805.1</v>
      </c>
      <c r="T177" s="2">
        <f t="shared" si="77"/>
        <v>17.399999999999977</v>
      </c>
      <c r="U177" s="13">
        <f t="shared" si="78"/>
        <v>10.600000000000023</v>
      </c>
    </row>
    <row r="178" spans="1:21" ht="16" thickBot="1" x14ac:dyDescent="0.4">
      <c r="A178" s="13"/>
      <c r="B178" s="9" t="s">
        <v>18</v>
      </c>
      <c r="C178" s="9" t="s">
        <v>17</v>
      </c>
      <c r="D178" s="9" t="s">
        <v>20</v>
      </c>
      <c r="E178" s="80"/>
      <c r="F178" s="80">
        <v>798.98</v>
      </c>
      <c r="G178" s="80">
        <v>814.27</v>
      </c>
      <c r="H178" s="20">
        <f t="shared" si="70"/>
        <v>15.289999999999964</v>
      </c>
      <c r="I178" s="19">
        <f t="shared" si="71"/>
        <v>13.659999999999968</v>
      </c>
      <c r="J178" s="20">
        <f t="shared" si="73"/>
        <v>0.52815198618307424</v>
      </c>
      <c r="K178" s="20">
        <f t="shared" si="74"/>
        <v>0.47184801381692576</v>
      </c>
      <c r="L178" s="20">
        <f t="shared" si="75"/>
        <v>6.5402223675605123E-2</v>
      </c>
      <c r="M178" s="20">
        <f t="shared" si="72"/>
        <v>3.4542314335060532E-2</v>
      </c>
      <c r="N178" s="20">
        <f t="shared" si="76"/>
        <v>28.949999999999932</v>
      </c>
      <c r="O178" s="81"/>
      <c r="P178" s="81"/>
      <c r="Q178" s="80"/>
      <c r="R178" s="82">
        <v>815.7</v>
      </c>
      <c r="S178" s="80">
        <v>826.9</v>
      </c>
      <c r="T178" s="20">
        <f t="shared" si="77"/>
        <v>11.199999999999932</v>
      </c>
      <c r="U178" s="19">
        <f t="shared" si="78"/>
        <v>0.67000000000007276</v>
      </c>
    </row>
    <row r="179" spans="1:21" x14ac:dyDescent="0.35">
      <c r="A179" s="13"/>
      <c r="B179" s="45">
        <v>828.48</v>
      </c>
      <c r="C179" s="45">
        <v>835.16</v>
      </c>
      <c r="D179" s="45">
        <f>C179-B179</f>
        <v>6.67999999999995</v>
      </c>
      <c r="E179" s="45"/>
      <c r="F179" s="45">
        <v>827.93</v>
      </c>
      <c r="G179" s="45">
        <v>842.74</v>
      </c>
      <c r="H179" s="2">
        <f t="shared" si="70"/>
        <v>14.810000000000059</v>
      </c>
      <c r="I179" s="13">
        <f t="shared" si="71"/>
        <v>16.600000000000023</v>
      </c>
      <c r="J179" s="2">
        <f t="shared" si="73"/>
        <v>0.47150588984399938</v>
      </c>
      <c r="K179" s="2">
        <f t="shared" si="74"/>
        <v>0.52849411015600067</v>
      </c>
      <c r="L179" s="2">
        <f t="shared" si="75"/>
        <v>6.7521944632005129E-2</v>
      </c>
      <c r="M179" s="2">
        <f t="shared" si="72"/>
        <v>3.1836994587710839E-2</v>
      </c>
      <c r="N179" s="2">
        <f t="shared" si="76"/>
        <v>31.410000000000082</v>
      </c>
      <c r="O179" s="46"/>
      <c r="P179" s="46"/>
      <c r="Q179" s="45"/>
      <c r="R179" s="52">
        <v>827.57</v>
      </c>
      <c r="S179" s="45">
        <v>837.5</v>
      </c>
      <c r="T179" s="2">
        <f t="shared" si="77"/>
        <v>9.92999999999995</v>
      </c>
      <c r="U179" s="13">
        <f t="shared" si="78"/>
        <v>7.8600000000000136</v>
      </c>
    </row>
    <row r="180" spans="1:21" x14ac:dyDescent="0.35">
      <c r="A180" s="13"/>
      <c r="B180" s="325" t="s">
        <v>21</v>
      </c>
      <c r="C180" s="326"/>
      <c r="D180" s="327"/>
      <c r="E180" s="45"/>
      <c r="F180" s="56">
        <v>859.34</v>
      </c>
      <c r="G180" s="57">
        <v>873.28</v>
      </c>
      <c r="H180" s="38">
        <f t="shared" si="70"/>
        <v>13.939999999999941</v>
      </c>
      <c r="I180" s="38">
        <f t="shared" si="71"/>
        <v>14.610000000000014</v>
      </c>
      <c r="J180" s="2">
        <f t="shared" si="73"/>
        <v>0.488266199649736</v>
      </c>
      <c r="K180" s="2">
        <f t="shared" si="74"/>
        <v>0.51173380035026395</v>
      </c>
      <c r="L180" s="2">
        <f t="shared" si="75"/>
        <v>7.1736011477762138E-2</v>
      </c>
      <c r="M180" s="2">
        <f t="shared" si="72"/>
        <v>3.5026269702276763E-2</v>
      </c>
      <c r="N180" s="2">
        <f t="shared" si="76"/>
        <v>28.549999999999955</v>
      </c>
      <c r="O180" s="57"/>
      <c r="P180" s="57"/>
      <c r="Q180" s="57"/>
      <c r="R180" s="58">
        <v>845.36</v>
      </c>
      <c r="S180" s="57">
        <v>860.01</v>
      </c>
      <c r="T180" s="38">
        <f t="shared" si="77"/>
        <v>14.649999999999977</v>
      </c>
      <c r="U180" s="39">
        <f t="shared" si="78"/>
        <v>14.5</v>
      </c>
    </row>
    <row r="181" spans="1:21" x14ac:dyDescent="0.35">
      <c r="A181" s="13"/>
      <c r="B181" s="13">
        <v>888.52</v>
      </c>
      <c r="C181" s="13">
        <v>895.46</v>
      </c>
      <c r="D181" s="45">
        <f>C181-B181</f>
        <v>6.9400000000000546</v>
      </c>
      <c r="E181" s="13"/>
      <c r="F181" s="45">
        <v>887.89</v>
      </c>
      <c r="G181" s="45">
        <v>900.48</v>
      </c>
      <c r="H181" s="2">
        <f t="shared" si="70"/>
        <v>12.590000000000032</v>
      </c>
      <c r="I181" s="13">
        <f t="shared" si="71"/>
        <v>17.199999999999932</v>
      </c>
      <c r="J181" s="2">
        <f t="shared" si="73"/>
        <v>0.42262504196039097</v>
      </c>
      <c r="K181" s="2">
        <f t="shared" si="74"/>
        <v>0.57737495803960903</v>
      </c>
      <c r="L181" s="2">
        <f t="shared" si="75"/>
        <v>7.9428117553613772E-2</v>
      </c>
      <c r="M181" s="2">
        <f t="shared" si="72"/>
        <v>3.3568311513930887E-2</v>
      </c>
      <c r="N181" s="2">
        <f t="shared" si="76"/>
        <v>29.789999999999964</v>
      </c>
      <c r="R181" s="53">
        <v>874.51</v>
      </c>
      <c r="S181" s="45">
        <v>889.28</v>
      </c>
      <c r="T181" s="2">
        <f t="shared" si="77"/>
        <v>14.769999999999982</v>
      </c>
      <c r="U181" s="13">
        <f t="shared" si="78"/>
        <v>11.5</v>
      </c>
    </row>
    <row r="182" spans="1:21" x14ac:dyDescent="0.35">
      <c r="B182" s="2">
        <v>918.92</v>
      </c>
      <c r="C182" s="2">
        <v>926.13</v>
      </c>
      <c r="D182" s="45">
        <f>C182-B182</f>
        <v>7.2100000000000364</v>
      </c>
      <c r="F182" s="45">
        <v>917.68</v>
      </c>
      <c r="G182" s="45">
        <v>923</v>
      </c>
      <c r="H182" s="2">
        <f t="shared" si="70"/>
        <v>5.32000000000005</v>
      </c>
      <c r="I182" s="13">
        <f t="shared" si="71"/>
        <v>21.480000000000018</v>
      </c>
      <c r="J182" s="2">
        <f t="shared" si="73"/>
        <v>0.19850746268656852</v>
      </c>
      <c r="K182" s="2">
        <f t="shared" si="74"/>
        <v>0.80149253731343151</v>
      </c>
      <c r="L182" s="2">
        <f t="shared" si="75"/>
        <v>0.18796992481202832</v>
      </c>
      <c r="M182" s="2">
        <f t="shared" si="72"/>
        <v>3.7313432835820802E-2</v>
      </c>
      <c r="N182" s="2">
        <f t="shared" si="76"/>
        <v>26.800000000000068</v>
      </c>
      <c r="R182" s="54">
        <v>900.78</v>
      </c>
      <c r="S182" s="45">
        <v>918.22</v>
      </c>
      <c r="T182" s="2">
        <f t="shared" si="77"/>
        <v>17.440000000000055</v>
      </c>
      <c r="U182" s="13">
        <f t="shared" si="78"/>
        <v>1.3199999999999363</v>
      </c>
    </row>
    <row r="183" spans="1:21" x14ac:dyDescent="0.35">
      <c r="B183" s="13">
        <v>945.37</v>
      </c>
      <c r="C183" s="13">
        <v>952.49</v>
      </c>
      <c r="D183" s="45">
        <f>C183-B183</f>
        <v>7.1200000000000045</v>
      </c>
      <c r="F183" s="45">
        <v>944.48</v>
      </c>
      <c r="G183" s="45">
        <v>950.25</v>
      </c>
      <c r="H183" s="2">
        <f t="shared" si="70"/>
        <v>5.7699999999999818</v>
      </c>
      <c r="I183" s="13">
        <f t="shared" si="71"/>
        <v>21.769999999999982</v>
      </c>
      <c r="J183" s="2">
        <f t="shared" si="73"/>
        <v>0.2095134350036307</v>
      </c>
      <c r="K183" s="2">
        <f t="shared" si="74"/>
        <v>0.79048656499636927</v>
      </c>
      <c r="L183" s="2">
        <f t="shared" si="75"/>
        <v>0.17331022530329343</v>
      </c>
      <c r="M183" s="2">
        <f t="shared" si="72"/>
        <v>3.6310820624546165E-2</v>
      </c>
      <c r="N183" s="2">
        <f t="shared" si="76"/>
        <v>27.539999999999964</v>
      </c>
      <c r="R183" s="54">
        <v>919.54</v>
      </c>
      <c r="S183" s="45">
        <v>972.38</v>
      </c>
      <c r="T183" s="2">
        <f t="shared" si="77"/>
        <v>52.840000000000032</v>
      </c>
      <c r="U183" s="13">
        <f>R185-S183</f>
        <v>7.3799999999999955</v>
      </c>
    </row>
    <row r="184" spans="1:21" x14ac:dyDescent="0.35">
      <c r="B184" s="13">
        <v>972.91</v>
      </c>
      <c r="C184" s="13">
        <v>979.5</v>
      </c>
      <c r="D184" s="45">
        <f>C184-B184</f>
        <v>6.5900000000000318</v>
      </c>
      <c r="F184" s="45">
        <v>972.02</v>
      </c>
      <c r="G184" s="45">
        <v>978.49</v>
      </c>
      <c r="H184" s="2">
        <f t="shared" si="70"/>
        <v>6.4700000000000273</v>
      </c>
      <c r="I184" s="13">
        <f t="shared" si="71"/>
        <v>27.509999999999991</v>
      </c>
      <c r="J184" s="2">
        <f t="shared" si="73"/>
        <v>0.19040612124779352</v>
      </c>
      <c r="K184" s="2">
        <f t="shared" si="74"/>
        <v>0.80959387875220645</v>
      </c>
      <c r="L184" s="2">
        <f t="shared" si="75"/>
        <v>0.15455950540958205</v>
      </c>
      <c r="M184" s="2">
        <f t="shared" si="72"/>
        <v>2.9429075927015876E-2</v>
      </c>
      <c r="N184" s="2">
        <f t="shared" si="76"/>
        <v>33.980000000000018</v>
      </c>
      <c r="R184" s="54"/>
      <c r="U184" s="13"/>
    </row>
    <row r="185" spans="1:21" x14ac:dyDescent="0.35">
      <c r="B185" s="13">
        <v>1006.77</v>
      </c>
      <c r="C185" s="13">
        <v>1015.05</v>
      </c>
      <c r="D185" s="45">
        <f>C185-B185</f>
        <v>8.2799999999999727</v>
      </c>
      <c r="F185" s="45">
        <v>1006</v>
      </c>
      <c r="G185" s="45">
        <v>1012.83</v>
      </c>
      <c r="H185" s="2">
        <f t="shared" si="70"/>
        <v>6.8300000000000409</v>
      </c>
      <c r="I185" s="13">
        <f t="shared" si="71"/>
        <v>24.259999999999877</v>
      </c>
      <c r="J185" s="2">
        <f t="shared" si="73"/>
        <v>0.21968478610485875</v>
      </c>
      <c r="K185" s="2">
        <f t="shared" si="74"/>
        <v>0.78031521389514125</v>
      </c>
      <c r="L185" s="2">
        <f t="shared" si="75"/>
        <v>0.14641288433382049</v>
      </c>
      <c r="M185" s="2">
        <f t="shared" si="72"/>
        <v>3.216468317787078E-2</v>
      </c>
      <c r="N185" s="2">
        <f t="shared" si="76"/>
        <v>31.089999999999918</v>
      </c>
      <c r="R185" s="54">
        <v>979.76</v>
      </c>
      <c r="S185" s="13">
        <v>1006.33</v>
      </c>
      <c r="T185" s="2">
        <f t="shared" si="77"/>
        <v>26.57000000000005</v>
      </c>
      <c r="U185" s="13">
        <f t="shared" si="78"/>
        <v>8.4799999999999045</v>
      </c>
    </row>
    <row r="186" spans="1:21" x14ac:dyDescent="0.35">
      <c r="B186" s="325" t="s">
        <v>21</v>
      </c>
      <c r="C186" s="326"/>
      <c r="D186" s="327"/>
      <c r="F186" s="56">
        <v>1037.0899999999999</v>
      </c>
      <c r="G186" s="57">
        <v>1052.3900000000001</v>
      </c>
      <c r="H186" s="38">
        <f t="shared" si="70"/>
        <v>15.300000000000182</v>
      </c>
      <c r="I186" s="38">
        <f t="shared" si="71"/>
        <v>19.479999999999791</v>
      </c>
      <c r="J186" s="2">
        <f t="shared" si="73"/>
        <v>0.43990799309948803</v>
      </c>
      <c r="K186" s="2">
        <f t="shared" si="74"/>
        <v>0.56009200690051197</v>
      </c>
      <c r="L186" s="2">
        <f t="shared" si="75"/>
        <v>6.5359477124182233E-2</v>
      </c>
      <c r="M186" s="2">
        <f t="shared" si="72"/>
        <v>2.8752156411730904E-2</v>
      </c>
      <c r="N186" s="2">
        <f t="shared" si="76"/>
        <v>34.779999999999973</v>
      </c>
      <c r="O186" s="38"/>
      <c r="P186" s="38"/>
      <c r="Q186" s="38"/>
      <c r="R186" s="59">
        <v>1014.81</v>
      </c>
      <c r="S186" s="38">
        <v>1037.3499999999999</v>
      </c>
      <c r="T186" s="38">
        <f t="shared" si="77"/>
        <v>22.539999999999964</v>
      </c>
      <c r="U186" s="39">
        <f t="shared" si="78"/>
        <v>17.350000000000136</v>
      </c>
    </row>
    <row r="187" spans="1:21" x14ac:dyDescent="0.35">
      <c r="B187" s="325" t="s">
        <v>21</v>
      </c>
      <c r="C187" s="326"/>
      <c r="D187" s="327"/>
      <c r="F187" s="60">
        <v>1071.8699999999999</v>
      </c>
      <c r="G187" s="61">
        <v>1085.6400000000001</v>
      </c>
      <c r="H187" s="62">
        <f t="shared" si="70"/>
        <v>13.770000000000209</v>
      </c>
      <c r="I187" s="62">
        <f t="shared" si="71"/>
        <v>21.149999999999864</v>
      </c>
      <c r="J187" s="2">
        <f t="shared" si="73"/>
        <v>0.39432989690722164</v>
      </c>
      <c r="K187" s="2">
        <f t="shared" si="74"/>
        <v>0.60567010309277836</v>
      </c>
      <c r="L187" s="2">
        <f t="shared" si="75"/>
        <v>7.2621641249091123E-2</v>
      </c>
      <c r="M187" s="2">
        <f t="shared" si="72"/>
        <v>2.863688430698734E-2</v>
      </c>
      <c r="N187" s="2">
        <f t="shared" si="76"/>
        <v>34.920000000000073</v>
      </c>
      <c r="O187" s="62"/>
      <c r="P187" s="62"/>
      <c r="Q187" s="62"/>
      <c r="R187" s="63">
        <v>1054.7</v>
      </c>
      <c r="S187" s="62">
        <v>1071.98</v>
      </c>
      <c r="T187" s="62">
        <f t="shared" si="77"/>
        <v>17.279999999999973</v>
      </c>
      <c r="U187" s="64">
        <f t="shared" si="78"/>
        <v>15.809999999999945</v>
      </c>
    </row>
    <row r="188" spans="1:21" x14ac:dyDescent="0.35">
      <c r="F188" s="65">
        <v>1106.79</v>
      </c>
      <c r="G188" s="66"/>
      <c r="H188" s="66"/>
      <c r="I188" s="66"/>
      <c r="J188" s="66"/>
      <c r="K188" s="66"/>
      <c r="L188" s="66"/>
      <c r="M188" s="66"/>
      <c r="N188" s="66"/>
      <c r="O188" s="66"/>
      <c r="P188" s="66"/>
      <c r="Q188" s="66"/>
      <c r="R188" s="67">
        <v>1087.79</v>
      </c>
      <c r="S188" s="66">
        <v>1106.6199999999999</v>
      </c>
      <c r="T188" s="66">
        <f t="shared" si="77"/>
        <v>18.829999999999927</v>
      </c>
      <c r="U188" s="68"/>
    </row>
    <row r="199" spans="2:21" ht="18.5" x14ac:dyDescent="0.45">
      <c r="F199" s="1" t="s">
        <v>37</v>
      </c>
    </row>
    <row r="200" spans="2:21" ht="16" thickBot="1" x14ac:dyDescent="0.4">
      <c r="F200" s="9" t="s">
        <v>1</v>
      </c>
      <c r="G200" s="9" t="s">
        <v>2</v>
      </c>
      <c r="H200" s="9" t="s">
        <v>3</v>
      </c>
      <c r="I200" s="9" t="s">
        <v>4</v>
      </c>
      <c r="J200" s="9" t="s">
        <v>5</v>
      </c>
      <c r="K200" s="9" t="s">
        <v>6</v>
      </c>
      <c r="L200" s="9" t="s">
        <v>7</v>
      </c>
      <c r="M200" s="9" t="s">
        <v>8</v>
      </c>
      <c r="N200" s="9" t="s">
        <v>9</v>
      </c>
      <c r="O200" s="9" t="s">
        <v>10</v>
      </c>
      <c r="P200" s="5"/>
      <c r="R200" s="9" t="s">
        <v>11</v>
      </c>
      <c r="S200" s="9" t="s">
        <v>12</v>
      </c>
      <c r="T200" s="9" t="s">
        <v>13</v>
      </c>
      <c r="U200" s="9" t="s">
        <v>14</v>
      </c>
    </row>
    <row r="201" spans="2:21" x14ac:dyDescent="0.35">
      <c r="F201" s="2">
        <v>358.35</v>
      </c>
      <c r="G201" s="2">
        <v>372.68</v>
      </c>
      <c r="H201" s="2">
        <f>G201-F201</f>
        <v>14.329999999999984</v>
      </c>
      <c r="I201" s="13">
        <f>F202-G201</f>
        <v>9.9699999999999704</v>
      </c>
      <c r="J201" s="2">
        <f t="shared" ref="J201:J206" si="79">H201/N201</f>
        <v>0.58971193415637901</v>
      </c>
      <c r="K201" s="2">
        <f t="shared" ref="K201:K206" si="80">I201/N201</f>
        <v>0.41028806584362093</v>
      </c>
      <c r="L201" s="2">
        <f t="shared" ref="L201:L206" si="81">1/H201</f>
        <v>6.9783670621074739E-2</v>
      </c>
      <c r="M201" s="2">
        <f t="shared" ref="M201:M224" si="82">1/N201</f>
        <v>4.1152263374485673E-2</v>
      </c>
      <c r="N201" s="2">
        <f t="shared" ref="N201:N206" si="83">H201+I201</f>
        <v>24.299999999999955</v>
      </c>
      <c r="R201" s="2">
        <v>372.64</v>
      </c>
      <c r="S201" s="2">
        <v>388.85</v>
      </c>
      <c r="T201" s="2">
        <f>S201-R201</f>
        <v>16.210000000000036</v>
      </c>
      <c r="U201" s="13">
        <f>R202-S201</f>
        <v>10.439999999999998</v>
      </c>
    </row>
    <row r="202" spans="2:21" x14ac:dyDescent="0.35">
      <c r="F202" s="2">
        <v>382.65</v>
      </c>
      <c r="G202" s="2">
        <v>398.42</v>
      </c>
      <c r="H202" s="2">
        <f t="shared" ref="H202:H225" si="84">G202-F202</f>
        <v>15.770000000000039</v>
      </c>
      <c r="I202" s="13">
        <f t="shared" ref="I202:I224" si="85">F203-G202</f>
        <v>14.019999999999982</v>
      </c>
      <c r="J202" s="2">
        <f t="shared" si="79"/>
        <v>0.52937227257469044</v>
      </c>
      <c r="K202" s="2">
        <f t="shared" si="80"/>
        <v>0.47062772742530956</v>
      </c>
      <c r="L202" s="2">
        <f t="shared" si="81"/>
        <v>6.3411540900443722E-2</v>
      </c>
      <c r="M202" s="2">
        <f t="shared" si="82"/>
        <v>3.3568311513930825E-2</v>
      </c>
      <c r="N202" s="2">
        <f t="shared" si="83"/>
        <v>29.79000000000002</v>
      </c>
      <c r="R202" s="2">
        <v>399.29</v>
      </c>
      <c r="S202" s="2">
        <v>417.52</v>
      </c>
      <c r="T202" s="2">
        <f t="shared" ref="T202:T224" si="86">S202-R202</f>
        <v>18.229999999999961</v>
      </c>
      <c r="U202" s="13">
        <f t="shared" ref="U202:U224" si="87">R203-S202</f>
        <v>11.79000000000002</v>
      </c>
    </row>
    <row r="203" spans="2:21" x14ac:dyDescent="0.35">
      <c r="F203" s="2">
        <v>412.44</v>
      </c>
      <c r="G203" s="2">
        <v>428</v>
      </c>
      <c r="H203" s="2">
        <f t="shared" si="84"/>
        <v>15.560000000000002</v>
      </c>
      <c r="I203" s="13">
        <f t="shared" si="85"/>
        <v>12.550000000000011</v>
      </c>
      <c r="J203" s="2">
        <f t="shared" si="79"/>
        <v>0.55353966559943057</v>
      </c>
      <c r="K203" s="2">
        <f t="shared" si="80"/>
        <v>0.44646033440056937</v>
      </c>
      <c r="L203" s="2">
        <f t="shared" si="81"/>
        <v>6.4267352185089971E-2</v>
      </c>
      <c r="M203" s="2">
        <f t="shared" si="82"/>
        <v>3.5574528637495537E-2</v>
      </c>
      <c r="N203" s="2">
        <f t="shared" si="83"/>
        <v>28.110000000000014</v>
      </c>
      <c r="R203" s="2">
        <v>429.31</v>
      </c>
      <c r="S203" s="2">
        <v>445.43</v>
      </c>
      <c r="T203" s="2">
        <f t="shared" si="86"/>
        <v>16.120000000000005</v>
      </c>
      <c r="U203" s="13">
        <f t="shared" si="87"/>
        <v>12</v>
      </c>
    </row>
    <row r="204" spans="2:21" x14ac:dyDescent="0.35">
      <c r="F204" s="13">
        <v>440.55</v>
      </c>
      <c r="G204" s="13">
        <v>455.92</v>
      </c>
      <c r="H204" s="2">
        <f t="shared" si="84"/>
        <v>15.370000000000005</v>
      </c>
      <c r="I204" s="13">
        <f t="shared" si="85"/>
        <v>15.370000000000005</v>
      </c>
      <c r="J204" s="2">
        <f t="shared" si="79"/>
        <v>0.5</v>
      </c>
      <c r="K204" s="2">
        <f t="shared" si="80"/>
        <v>0.5</v>
      </c>
      <c r="L204" s="2">
        <f t="shared" si="81"/>
        <v>6.5061808718282349E-2</v>
      </c>
      <c r="M204" s="2">
        <f t="shared" si="82"/>
        <v>3.2530904359141175E-2</v>
      </c>
      <c r="N204" s="2">
        <f t="shared" si="83"/>
        <v>30.740000000000009</v>
      </c>
      <c r="R204" s="13">
        <v>457.43</v>
      </c>
      <c r="S204" s="13">
        <v>471.64</v>
      </c>
      <c r="T204" s="2">
        <f t="shared" si="86"/>
        <v>14.20999999999998</v>
      </c>
      <c r="U204" s="13">
        <f t="shared" si="87"/>
        <v>12.670000000000016</v>
      </c>
    </row>
    <row r="205" spans="2:21" x14ac:dyDescent="0.35">
      <c r="F205" s="13">
        <v>471.29</v>
      </c>
      <c r="G205" s="13">
        <v>485.66</v>
      </c>
      <c r="H205" s="2">
        <f t="shared" si="84"/>
        <v>14.370000000000005</v>
      </c>
      <c r="I205" s="13">
        <f t="shared" si="85"/>
        <v>11.479999999999961</v>
      </c>
      <c r="J205" s="2">
        <f t="shared" si="79"/>
        <v>0.55589941972920787</v>
      </c>
      <c r="K205" s="2">
        <f t="shared" si="80"/>
        <v>0.44410058027079213</v>
      </c>
      <c r="L205" s="2">
        <f t="shared" si="81"/>
        <v>6.9589422407793991E-2</v>
      </c>
      <c r="M205" s="2">
        <f t="shared" si="82"/>
        <v>3.8684719535783417E-2</v>
      </c>
      <c r="N205" s="2">
        <f t="shared" si="83"/>
        <v>25.849999999999966</v>
      </c>
      <c r="R205" s="13">
        <v>484.31</v>
      </c>
      <c r="S205" s="13">
        <v>497.38</v>
      </c>
      <c r="T205" s="2">
        <f t="shared" si="86"/>
        <v>13.069999999999993</v>
      </c>
      <c r="U205" s="13">
        <f t="shared" si="87"/>
        <v>15.759999999999991</v>
      </c>
    </row>
    <row r="206" spans="2:21" ht="16" thickBot="1" x14ac:dyDescent="0.4">
      <c r="B206" s="9" t="s">
        <v>18</v>
      </c>
      <c r="C206" s="9" t="s">
        <v>17</v>
      </c>
      <c r="D206" s="9" t="s">
        <v>20</v>
      </c>
      <c r="E206" s="20"/>
      <c r="F206" s="19">
        <v>497.14</v>
      </c>
      <c r="G206" s="19">
        <v>512.23</v>
      </c>
      <c r="H206" s="20">
        <f t="shared" si="84"/>
        <v>15.090000000000032</v>
      </c>
      <c r="I206" s="19">
        <f t="shared" si="85"/>
        <v>15.639999999999986</v>
      </c>
      <c r="J206" s="2">
        <f t="shared" si="79"/>
        <v>0.49105109013992915</v>
      </c>
      <c r="K206" s="2">
        <f t="shared" si="80"/>
        <v>0.5089489098600708</v>
      </c>
      <c r="L206" s="2">
        <f t="shared" si="81"/>
        <v>6.6269052352551219E-2</v>
      </c>
      <c r="M206" s="2">
        <f t="shared" si="82"/>
        <v>3.254149040026031E-2</v>
      </c>
      <c r="N206" s="2">
        <f t="shared" si="83"/>
        <v>30.730000000000018</v>
      </c>
      <c r="O206" s="20"/>
      <c r="P206" s="20"/>
      <c r="Q206" s="20"/>
      <c r="R206" s="19">
        <v>513.14</v>
      </c>
      <c r="S206" s="19">
        <v>572.79</v>
      </c>
      <c r="T206" s="20">
        <f t="shared" si="86"/>
        <v>59.649999999999977</v>
      </c>
      <c r="U206" s="19">
        <f>R209-S206</f>
        <v>12.310000000000059</v>
      </c>
    </row>
    <row r="207" spans="2:21" x14ac:dyDescent="0.35">
      <c r="B207" s="74">
        <v>528.54999999999995</v>
      </c>
      <c r="C207" s="75">
        <v>532.88</v>
      </c>
      <c r="D207" s="76">
        <f>C207-B207</f>
        <v>4.3300000000000409</v>
      </c>
      <c r="F207" s="77">
        <v>527.87</v>
      </c>
      <c r="G207" s="78">
        <v>533.59</v>
      </c>
      <c r="H207" s="78">
        <f t="shared" si="84"/>
        <v>5.7200000000000273</v>
      </c>
      <c r="I207" s="79">
        <f t="shared" si="85"/>
        <v>18.230000000000018</v>
      </c>
      <c r="J207" s="2">
        <f t="shared" ref="J207:J224" si="88">H207/N207</f>
        <v>0.23883089770354973</v>
      </c>
      <c r="K207" s="2">
        <f t="shared" ref="K207:K224" si="89">I207/N207</f>
        <v>0.7611691022964503</v>
      </c>
      <c r="L207" s="2">
        <f t="shared" ref="L207:L224" si="90">1/H207</f>
        <v>0.17482517482517398</v>
      </c>
      <c r="M207" s="2">
        <f t="shared" si="82"/>
        <v>4.1753653444676332E-2</v>
      </c>
      <c r="N207" s="2">
        <f t="shared" ref="N207:N224" si="91">H207+I207</f>
        <v>23.950000000000045</v>
      </c>
      <c r="U207" s="13"/>
    </row>
    <row r="208" spans="2:21" x14ac:dyDescent="0.35">
      <c r="B208" s="2">
        <v>552.65</v>
      </c>
      <c r="C208" s="2">
        <v>557.46</v>
      </c>
      <c r="D208" s="45">
        <f t="shared" ref="D208:D223" si="92">C208-B208</f>
        <v>4.8100000000000591</v>
      </c>
      <c r="F208" s="13">
        <v>551.82000000000005</v>
      </c>
      <c r="G208" s="13">
        <v>556.23</v>
      </c>
      <c r="H208" s="2">
        <f t="shared" si="84"/>
        <v>4.4099999999999682</v>
      </c>
      <c r="I208" s="13">
        <f t="shared" si="85"/>
        <v>28.710000000000036</v>
      </c>
      <c r="J208" s="2">
        <f t="shared" si="88"/>
        <v>0.13315217391304249</v>
      </c>
      <c r="K208" s="2">
        <f t="shared" si="89"/>
        <v>0.86684782608695754</v>
      </c>
      <c r="L208" s="2">
        <f t="shared" si="90"/>
        <v>0.22675736961451412</v>
      </c>
      <c r="M208" s="2">
        <f t="shared" si="82"/>
        <v>3.0193236714975841E-2</v>
      </c>
      <c r="N208" s="2">
        <f t="shared" si="91"/>
        <v>33.120000000000005</v>
      </c>
      <c r="U208" s="13"/>
    </row>
    <row r="209" spans="2:21" x14ac:dyDescent="0.35">
      <c r="B209" s="2">
        <v>585.61</v>
      </c>
      <c r="C209" s="2">
        <v>592.6</v>
      </c>
      <c r="D209" s="45">
        <f t="shared" si="92"/>
        <v>6.9900000000000091</v>
      </c>
      <c r="F209" s="13">
        <v>584.94000000000005</v>
      </c>
      <c r="G209" s="13">
        <v>592.09</v>
      </c>
      <c r="H209" s="2">
        <f t="shared" si="84"/>
        <v>7.1499999999999773</v>
      </c>
      <c r="I209" s="13">
        <f t="shared" si="85"/>
        <v>35.379999999999995</v>
      </c>
      <c r="J209" s="2">
        <f t="shared" si="88"/>
        <v>0.1681166235598397</v>
      </c>
      <c r="K209" s="2">
        <f t="shared" si="89"/>
        <v>0.8318833764401603</v>
      </c>
      <c r="L209" s="2">
        <f t="shared" si="90"/>
        <v>0.13986013986014031</v>
      </c>
      <c r="M209" s="2">
        <f t="shared" si="82"/>
        <v>2.3512814483893738E-2</v>
      </c>
      <c r="N209" s="2">
        <f t="shared" si="91"/>
        <v>42.529999999999973</v>
      </c>
      <c r="R209" s="13">
        <v>585.1</v>
      </c>
      <c r="S209" s="13">
        <v>605.91</v>
      </c>
      <c r="T209" s="2">
        <f t="shared" si="86"/>
        <v>20.809999999999945</v>
      </c>
      <c r="U209" s="13">
        <f>R210-S209</f>
        <v>12.700000000000045</v>
      </c>
    </row>
    <row r="210" spans="2:21" x14ac:dyDescent="0.35">
      <c r="B210" s="13">
        <v>628.17999999999995</v>
      </c>
      <c r="C210" s="13">
        <v>638.15</v>
      </c>
      <c r="D210" s="45">
        <f t="shared" si="92"/>
        <v>9.9700000000000273</v>
      </c>
      <c r="F210" s="13">
        <v>627.47</v>
      </c>
      <c r="G210" s="13">
        <v>635.01</v>
      </c>
      <c r="H210" s="2">
        <f t="shared" si="84"/>
        <v>7.5399999999999636</v>
      </c>
      <c r="I210" s="13"/>
      <c r="R210" s="13">
        <v>618.61</v>
      </c>
      <c r="S210" s="13">
        <v>650.82000000000005</v>
      </c>
      <c r="T210" s="2">
        <f t="shared" si="86"/>
        <v>32.210000000000036</v>
      </c>
      <c r="U210" s="13"/>
    </row>
    <row r="211" spans="2:21" x14ac:dyDescent="0.35">
      <c r="D211" s="45"/>
      <c r="F211" s="324" t="s">
        <v>55</v>
      </c>
      <c r="G211" s="324"/>
      <c r="H211" s="324"/>
      <c r="I211" s="324"/>
      <c r="U211" s="13"/>
    </row>
    <row r="212" spans="2:21" x14ac:dyDescent="0.35">
      <c r="B212" s="325" t="s">
        <v>21</v>
      </c>
      <c r="C212" s="326"/>
      <c r="D212" s="327"/>
      <c r="F212" s="69">
        <v>3.61</v>
      </c>
      <c r="G212" s="62">
        <v>19.059999999999999</v>
      </c>
      <c r="H212" s="62">
        <f t="shared" si="84"/>
        <v>15.45</v>
      </c>
      <c r="I212" s="62">
        <f t="shared" si="85"/>
        <v>14.610000000000003</v>
      </c>
      <c r="J212" s="2">
        <f t="shared" si="88"/>
        <v>0.51397205588822348</v>
      </c>
      <c r="K212" s="2">
        <f t="shared" si="89"/>
        <v>0.48602794411177652</v>
      </c>
      <c r="L212" s="2">
        <f t="shared" si="90"/>
        <v>6.4724919093851141E-2</v>
      </c>
      <c r="M212" s="2">
        <f t="shared" si="82"/>
        <v>3.32667997338656E-2</v>
      </c>
      <c r="N212" s="2">
        <f t="shared" si="91"/>
        <v>30.060000000000002</v>
      </c>
      <c r="O212" s="62"/>
      <c r="P212" s="62"/>
      <c r="Q212" s="62"/>
      <c r="R212" s="62">
        <v>18.11</v>
      </c>
      <c r="S212" s="62">
        <v>36.1</v>
      </c>
      <c r="T212" s="62">
        <f t="shared" si="86"/>
        <v>17.990000000000002</v>
      </c>
      <c r="U212" s="64">
        <f t="shared" si="87"/>
        <v>11.589999999999996</v>
      </c>
    </row>
    <row r="213" spans="2:21" x14ac:dyDescent="0.35">
      <c r="B213" s="325" t="s">
        <v>21</v>
      </c>
      <c r="C213" s="326"/>
      <c r="D213" s="327"/>
      <c r="F213" s="72">
        <v>33.67</v>
      </c>
      <c r="G213" s="66">
        <v>50.99</v>
      </c>
      <c r="H213" s="66">
        <f t="shared" si="84"/>
        <v>17.32</v>
      </c>
      <c r="I213" s="66">
        <f t="shared" si="85"/>
        <v>14.619999999999997</v>
      </c>
      <c r="J213" s="2">
        <f t="shared" si="88"/>
        <v>0.54226675015654358</v>
      </c>
      <c r="K213" s="2">
        <f t="shared" si="89"/>
        <v>0.45773324984345642</v>
      </c>
      <c r="L213" s="2">
        <f t="shared" si="90"/>
        <v>5.7736720554272515E-2</v>
      </c>
      <c r="M213" s="2">
        <f t="shared" si="82"/>
        <v>3.1308703819661866E-2</v>
      </c>
      <c r="N213" s="2">
        <f t="shared" si="91"/>
        <v>31.939999999999998</v>
      </c>
      <c r="O213" s="66"/>
      <c r="P213" s="66"/>
      <c r="Q213" s="66"/>
      <c r="R213" s="66">
        <v>47.69</v>
      </c>
      <c r="S213" s="66">
        <v>88.27</v>
      </c>
      <c r="T213" s="66">
        <f t="shared" si="86"/>
        <v>40.58</v>
      </c>
      <c r="U213" s="68">
        <f t="shared" si="87"/>
        <v>4.3900000000000006</v>
      </c>
    </row>
    <row r="214" spans="2:21" x14ac:dyDescent="0.35">
      <c r="B214" s="2">
        <v>66.17</v>
      </c>
      <c r="C214" s="2">
        <v>73.72</v>
      </c>
      <c r="D214" s="45">
        <f t="shared" si="92"/>
        <v>7.5499999999999972</v>
      </c>
      <c r="F214" s="13">
        <v>65.61</v>
      </c>
      <c r="G214" s="13">
        <v>71.17</v>
      </c>
      <c r="H214" s="2">
        <f t="shared" si="84"/>
        <v>5.5600000000000023</v>
      </c>
      <c r="I214" s="13">
        <f t="shared" si="85"/>
        <v>17.22</v>
      </c>
      <c r="J214" s="2">
        <f t="shared" si="88"/>
        <v>0.24407374890254618</v>
      </c>
      <c r="K214" s="2">
        <f t="shared" si="89"/>
        <v>0.75592625109745382</v>
      </c>
      <c r="L214" s="2">
        <f t="shared" si="90"/>
        <v>0.17985611510791361</v>
      </c>
      <c r="M214" s="2">
        <f t="shared" si="82"/>
        <v>4.3898156277436345E-2</v>
      </c>
      <c r="N214" s="2">
        <f t="shared" si="91"/>
        <v>22.78</v>
      </c>
      <c r="R214" s="13">
        <v>92.66</v>
      </c>
      <c r="S214" s="13">
        <v>116.39</v>
      </c>
      <c r="T214" s="2">
        <f t="shared" si="86"/>
        <v>23.730000000000004</v>
      </c>
      <c r="U214" s="13">
        <f>R217-S214</f>
        <v>5.4299999999999926</v>
      </c>
    </row>
    <row r="215" spans="2:21" x14ac:dyDescent="0.35">
      <c r="B215" s="2">
        <v>89.44</v>
      </c>
      <c r="C215" s="2">
        <v>96.86</v>
      </c>
      <c r="D215" s="45">
        <f t="shared" si="92"/>
        <v>7.4200000000000017</v>
      </c>
      <c r="F215" s="13">
        <v>88.39</v>
      </c>
      <c r="G215" s="13">
        <v>94.82</v>
      </c>
      <c r="H215" s="2">
        <f t="shared" si="84"/>
        <v>6.4299999999999926</v>
      </c>
      <c r="I215" s="13">
        <f t="shared" si="85"/>
        <v>16.680000000000007</v>
      </c>
      <c r="J215" s="2">
        <f t="shared" si="88"/>
        <v>0.278234530506274</v>
      </c>
      <c r="K215" s="2">
        <f t="shared" si="89"/>
        <v>0.721765469493726</v>
      </c>
      <c r="L215" s="2">
        <f t="shared" si="90"/>
        <v>0.15552099533437033</v>
      </c>
      <c r="M215" s="2">
        <f t="shared" si="82"/>
        <v>4.3271311120726956E-2</v>
      </c>
      <c r="N215" s="2">
        <f t="shared" si="91"/>
        <v>23.11</v>
      </c>
      <c r="U215" s="13"/>
    </row>
    <row r="216" spans="2:21" x14ac:dyDescent="0.35">
      <c r="B216" s="2">
        <v>112.36</v>
      </c>
      <c r="C216" s="2">
        <v>119.31</v>
      </c>
      <c r="D216" s="45">
        <f t="shared" si="92"/>
        <v>6.9500000000000028</v>
      </c>
      <c r="F216" s="13">
        <v>111.5</v>
      </c>
      <c r="G216" s="13">
        <v>117.4</v>
      </c>
      <c r="H216" s="2">
        <f t="shared" si="84"/>
        <v>5.9000000000000057</v>
      </c>
      <c r="I216" s="13">
        <f t="shared" si="85"/>
        <v>20.960000000000008</v>
      </c>
      <c r="J216" s="2">
        <f t="shared" si="88"/>
        <v>0.21965748324646325</v>
      </c>
      <c r="K216" s="2">
        <f t="shared" si="89"/>
        <v>0.78034251675353672</v>
      </c>
      <c r="L216" s="2">
        <f t="shared" si="90"/>
        <v>0.16949152542372864</v>
      </c>
      <c r="M216" s="2">
        <f t="shared" si="82"/>
        <v>3.7230081906180178E-2</v>
      </c>
      <c r="N216" s="2">
        <f t="shared" si="91"/>
        <v>26.860000000000014</v>
      </c>
      <c r="U216" s="13"/>
    </row>
    <row r="217" spans="2:21" x14ac:dyDescent="0.35">
      <c r="B217" s="325" t="s">
        <v>21</v>
      </c>
      <c r="C217" s="326"/>
      <c r="D217" s="327"/>
      <c r="F217" s="69">
        <v>138.36000000000001</v>
      </c>
      <c r="G217" s="62">
        <v>149.27000000000001</v>
      </c>
      <c r="H217" s="62">
        <f t="shared" si="84"/>
        <v>10.909999999999997</v>
      </c>
      <c r="I217" s="62">
        <f t="shared" si="85"/>
        <v>29.079999999999984</v>
      </c>
      <c r="J217" s="2">
        <f t="shared" si="88"/>
        <v>0.27281820455113781</v>
      </c>
      <c r="K217" s="2">
        <f t="shared" si="89"/>
        <v>0.72718179544886219</v>
      </c>
      <c r="L217" s="2">
        <f t="shared" si="90"/>
        <v>9.1659028414298835E-2</v>
      </c>
      <c r="M217" s="2">
        <f t="shared" si="82"/>
        <v>2.5006251562890734E-2</v>
      </c>
      <c r="N217" s="2">
        <f t="shared" si="91"/>
        <v>39.989999999999981</v>
      </c>
      <c r="O217" s="62"/>
      <c r="P217" s="62"/>
      <c r="Q217" s="62"/>
      <c r="R217" s="62">
        <v>121.82</v>
      </c>
      <c r="S217" s="62">
        <v>138.81</v>
      </c>
      <c r="T217" s="62">
        <f t="shared" si="86"/>
        <v>16.990000000000009</v>
      </c>
      <c r="U217" s="64">
        <f t="shared" si="87"/>
        <v>14.569999999999993</v>
      </c>
    </row>
    <row r="218" spans="2:21" x14ac:dyDescent="0.35">
      <c r="B218" s="325" t="s">
        <v>21</v>
      </c>
      <c r="C218" s="326"/>
      <c r="D218" s="327"/>
      <c r="F218" s="72">
        <v>178.35</v>
      </c>
      <c r="G218" s="66">
        <v>189.82</v>
      </c>
      <c r="H218" s="66">
        <f t="shared" si="84"/>
        <v>11.469999999999999</v>
      </c>
      <c r="I218" s="66">
        <f>F220-G218</f>
        <v>15.150000000000006</v>
      </c>
      <c r="J218" s="2">
        <f t="shared" si="88"/>
        <v>0.43087903831705471</v>
      </c>
      <c r="K218" s="2">
        <f t="shared" si="89"/>
        <v>0.56912096168294524</v>
      </c>
      <c r="L218" s="2">
        <f t="shared" si="90"/>
        <v>8.7183958151700089E-2</v>
      </c>
      <c r="M218" s="2">
        <f t="shared" si="82"/>
        <v>3.7565740045078878E-2</v>
      </c>
      <c r="N218" s="2">
        <f t="shared" si="91"/>
        <v>26.620000000000005</v>
      </c>
      <c r="O218" s="66"/>
      <c r="P218" s="66"/>
      <c r="Q218" s="66"/>
      <c r="R218" s="66">
        <v>153.38</v>
      </c>
      <c r="S218" s="66">
        <v>166.55</v>
      </c>
      <c r="T218" s="66">
        <f t="shared" si="86"/>
        <v>13.170000000000016</v>
      </c>
      <c r="U218" s="68">
        <f t="shared" si="87"/>
        <v>10.689999999999998</v>
      </c>
    </row>
    <row r="219" spans="2:21" x14ac:dyDescent="0.35">
      <c r="D219" s="45"/>
      <c r="I219" s="13"/>
      <c r="R219" s="13">
        <v>177.24</v>
      </c>
      <c r="S219" s="13">
        <v>183.27</v>
      </c>
      <c r="T219" s="2">
        <f t="shared" si="86"/>
        <v>6.0300000000000011</v>
      </c>
      <c r="U219" s="13">
        <f t="shared" si="87"/>
        <v>12.329999999999984</v>
      </c>
    </row>
    <row r="220" spans="2:21" x14ac:dyDescent="0.35">
      <c r="B220" s="325" t="s">
        <v>21</v>
      </c>
      <c r="C220" s="326"/>
      <c r="D220" s="327"/>
      <c r="F220" s="13">
        <v>204.97</v>
      </c>
      <c r="G220" s="13">
        <v>216.15</v>
      </c>
      <c r="H220" s="2">
        <f t="shared" si="84"/>
        <v>11.180000000000007</v>
      </c>
      <c r="I220" s="13">
        <f t="shared" si="85"/>
        <v>15.539999999999992</v>
      </c>
      <c r="J220" s="2">
        <f t="shared" si="88"/>
        <v>0.41841317365269487</v>
      </c>
      <c r="K220" s="2">
        <f t="shared" si="89"/>
        <v>0.58158682634730507</v>
      </c>
      <c r="L220" s="2">
        <f t="shared" si="90"/>
        <v>8.9445438282647532E-2</v>
      </c>
      <c r="M220" s="2">
        <f t="shared" si="82"/>
        <v>3.7425149700598806E-2</v>
      </c>
      <c r="N220" s="2">
        <f t="shared" si="91"/>
        <v>26.72</v>
      </c>
      <c r="R220" s="13">
        <v>195.6</v>
      </c>
      <c r="S220" s="13">
        <v>208.52</v>
      </c>
      <c r="T220" s="2">
        <f t="shared" si="86"/>
        <v>12.920000000000016</v>
      </c>
      <c r="U220" s="13">
        <f t="shared" si="87"/>
        <v>9.7599999999999909</v>
      </c>
    </row>
    <row r="221" spans="2:21" x14ac:dyDescent="0.35">
      <c r="B221" s="15">
        <v>232.35</v>
      </c>
      <c r="C221" s="16">
        <v>237.98</v>
      </c>
      <c r="D221" s="73">
        <f t="shared" si="92"/>
        <v>5.6299999999999955</v>
      </c>
      <c r="F221" s="15">
        <v>231.69</v>
      </c>
      <c r="G221" s="16">
        <v>238.06</v>
      </c>
      <c r="H221" s="16">
        <f t="shared" si="84"/>
        <v>6.3700000000000045</v>
      </c>
      <c r="I221" s="17">
        <f t="shared" si="85"/>
        <v>12.870000000000005</v>
      </c>
      <c r="J221" s="2">
        <f t="shared" si="88"/>
        <v>0.33108108108108114</v>
      </c>
      <c r="K221" s="2">
        <f t="shared" si="89"/>
        <v>0.66891891891891886</v>
      </c>
      <c r="L221" s="2">
        <f t="shared" si="90"/>
        <v>0.15698587127158545</v>
      </c>
      <c r="M221" s="2">
        <f t="shared" si="82"/>
        <v>5.197505197505195E-2</v>
      </c>
      <c r="N221" s="2">
        <f t="shared" si="91"/>
        <v>19.240000000000009</v>
      </c>
      <c r="R221" s="13">
        <v>218.28</v>
      </c>
      <c r="S221" s="13">
        <v>250.11</v>
      </c>
      <c r="T221" s="2">
        <f t="shared" si="86"/>
        <v>31.830000000000013</v>
      </c>
      <c r="U221" s="13">
        <f t="shared" si="87"/>
        <v>10.449999999999989</v>
      </c>
    </row>
    <row r="222" spans="2:21" x14ac:dyDescent="0.35">
      <c r="B222" s="15">
        <v>251.81</v>
      </c>
      <c r="C222" s="16">
        <v>256.60000000000002</v>
      </c>
      <c r="D222" s="73">
        <f t="shared" si="92"/>
        <v>4.7900000000000205</v>
      </c>
      <c r="F222" s="15">
        <v>250.93</v>
      </c>
      <c r="G222" s="16">
        <v>257.01</v>
      </c>
      <c r="H222" s="16">
        <f t="shared" si="84"/>
        <v>6.0799999999999841</v>
      </c>
      <c r="I222" s="17">
        <f t="shared" si="85"/>
        <v>16.579999999999984</v>
      </c>
      <c r="J222" s="2">
        <f t="shared" si="88"/>
        <v>0.26831421006178258</v>
      </c>
      <c r="K222" s="2">
        <f t="shared" si="89"/>
        <v>0.73168578993821742</v>
      </c>
      <c r="L222" s="2">
        <f t="shared" si="90"/>
        <v>0.16447368421052674</v>
      </c>
      <c r="M222" s="2">
        <f t="shared" si="82"/>
        <v>4.4130626654898558E-2</v>
      </c>
      <c r="N222" s="2">
        <f t="shared" si="91"/>
        <v>22.659999999999968</v>
      </c>
      <c r="R222" s="13">
        <v>260.56</v>
      </c>
      <c r="S222" s="13">
        <v>272.87</v>
      </c>
      <c r="T222" s="2">
        <f t="shared" si="86"/>
        <v>12.310000000000002</v>
      </c>
      <c r="U222" s="13">
        <f t="shared" si="87"/>
        <v>9.8600000000000136</v>
      </c>
    </row>
    <row r="223" spans="2:21" x14ac:dyDescent="0.35">
      <c r="B223" s="2">
        <v>274.39</v>
      </c>
      <c r="C223" s="2">
        <v>280.52</v>
      </c>
      <c r="D223" s="45">
        <f t="shared" si="92"/>
        <v>6.1299999999999955</v>
      </c>
      <c r="F223" s="13">
        <v>273.58999999999997</v>
      </c>
      <c r="G223" s="13">
        <v>279.79000000000002</v>
      </c>
      <c r="H223" s="13">
        <f t="shared" si="84"/>
        <v>6.2000000000000455</v>
      </c>
      <c r="I223" s="13">
        <f t="shared" si="85"/>
        <v>14.579999999999984</v>
      </c>
      <c r="J223" s="2">
        <f t="shared" si="88"/>
        <v>0.29836381135707585</v>
      </c>
      <c r="K223" s="2">
        <f t="shared" si="89"/>
        <v>0.7016361886429241</v>
      </c>
      <c r="L223" s="2">
        <f t="shared" si="90"/>
        <v>0.16129032258064399</v>
      </c>
      <c r="M223" s="2">
        <f t="shared" si="82"/>
        <v>4.8123195380173178E-2</v>
      </c>
      <c r="N223" s="2">
        <f t="shared" si="91"/>
        <v>20.78000000000003</v>
      </c>
      <c r="R223" s="13">
        <v>282.73</v>
      </c>
      <c r="S223" s="13">
        <v>294.13</v>
      </c>
      <c r="T223" s="13">
        <f t="shared" si="86"/>
        <v>11.399999999999977</v>
      </c>
      <c r="U223" s="13">
        <f t="shared" si="87"/>
        <v>12.899999999999977</v>
      </c>
    </row>
    <row r="224" spans="2:21" x14ac:dyDescent="0.35">
      <c r="B224" s="325" t="s">
        <v>21</v>
      </c>
      <c r="C224" s="326"/>
      <c r="D224" s="327"/>
      <c r="F224" s="69">
        <v>294.37</v>
      </c>
      <c r="G224" s="62">
        <v>304.33</v>
      </c>
      <c r="H224" s="62">
        <f t="shared" si="84"/>
        <v>9.9599999999999795</v>
      </c>
      <c r="I224" s="62">
        <f t="shared" si="85"/>
        <v>17.199999999999989</v>
      </c>
      <c r="J224" s="2">
        <f t="shared" si="88"/>
        <v>0.36671575846833548</v>
      </c>
      <c r="K224" s="2">
        <f t="shared" si="89"/>
        <v>0.63328424153166452</v>
      </c>
      <c r="L224" s="2">
        <f t="shared" si="90"/>
        <v>0.10040160642570302</v>
      </c>
      <c r="M224" s="2">
        <f t="shared" si="82"/>
        <v>3.6818851251840985E-2</v>
      </c>
      <c r="N224" s="2">
        <f t="shared" si="91"/>
        <v>27.159999999999968</v>
      </c>
      <c r="O224" s="62"/>
      <c r="P224" s="62"/>
      <c r="Q224" s="62"/>
      <c r="R224" s="62">
        <v>307.02999999999997</v>
      </c>
      <c r="S224" s="62">
        <v>321.58</v>
      </c>
      <c r="T224" s="62">
        <f t="shared" si="86"/>
        <v>14.550000000000011</v>
      </c>
      <c r="U224" s="64">
        <f t="shared" si="87"/>
        <v>12.120000000000005</v>
      </c>
    </row>
    <row r="225" spans="2:21" x14ac:dyDescent="0.35">
      <c r="B225" s="325" t="s">
        <v>21</v>
      </c>
      <c r="C225" s="326"/>
      <c r="D225" s="327"/>
      <c r="F225" s="72">
        <v>321.52999999999997</v>
      </c>
      <c r="G225" s="66">
        <v>330.79</v>
      </c>
      <c r="H225" s="66">
        <f t="shared" si="84"/>
        <v>9.2600000000000477</v>
      </c>
      <c r="I225" s="66"/>
      <c r="O225" s="66"/>
      <c r="P225" s="66"/>
      <c r="Q225" s="66"/>
      <c r="R225" s="66">
        <v>333.7</v>
      </c>
      <c r="S225" s="66"/>
      <c r="T225" s="66"/>
      <c r="U225" s="68"/>
    </row>
  </sheetData>
  <mergeCells count="23">
    <mergeCell ref="B140:D140"/>
    <mergeCell ref="B141:D141"/>
    <mergeCell ref="B142:D142"/>
    <mergeCell ref="B143:D143"/>
    <mergeCell ref="B144:D144"/>
    <mergeCell ref="B146:D146"/>
    <mergeCell ref="B145:D145"/>
    <mergeCell ref="B149:D149"/>
    <mergeCell ref="B150:D150"/>
    <mergeCell ref="B151:D151"/>
    <mergeCell ref="B152:D152"/>
    <mergeCell ref="B154:D154"/>
    <mergeCell ref="B180:D180"/>
    <mergeCell ref="B186:D186"/>
    <mergeCell ref="B187:D187"/>
    <mergeCell ref="F211:I211"/>
    <mergeCell ref="B212:D212"/>
    <mergeCell ref="B225:D225"/>
    <mergeCell ref="B213:D213"/>
    <mergeCell ref="B217:D217"/>
    <mergeCell ref="B218:D218"/>
    <mergeCell ref="B220:D220"/>
    <mergeCell ref="B224:D224"/>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workbookViewId="0">
      <selection activeCell="O31" sqref="O31:P31"/>
    </sheetView>
  </sheetViews>
  <sheetFormatPr defaultRowHeight="14.5" x14ac:dyDescent="0.35"/>
  <cols>
    <col min="2" max="2" width="10.453125" customWidth="1"/>
    <col min="3" max="3" width="11.1796875" customWidth="1"/>
    <col min="5" max="5" width="11.453125" customWidth="1"/>
    <col min="13" max="13" width="10" customWidth="1"/>
  </cols>
  <sheetData>
    <row r="1" spans="1:22" ht="15.5" x14ac:dyDescent="0.35">
      <c r="A1" s="2"/>
      <c r="B1" s="2"/>
      <c r="C1" s="4" t="s">
        <v>16</v>
      </c>
      <c r="D1" s="2"/>
      <c r="E1" s="2"/>
      <c r="F1" s="2"/>
      <c r="G1" s="2"/>
      <c r="H1" s="2"/>
      <c r="I1" s="2"/>
      <c r="J1" s="2"/>
      <c r="K1" s="2"/>
      <c r="L1" s="2"/>
      <c r="M1" s="2"/>
      <c r="N1" s="2"/>
      <c r="O1" s="2"/>
      <c r="P1" s="2"/>
      <c r="Q1" s="2"/>
      <c r="R1" s="2"/>
      <c r="S1" s="2"/>
      <c r="T1" s="2"/>
      <c r="U1" s="2"/>
      <c r="V1" s="2"/>
    </row>
    <row r="2" spans="1:22" x14ac:dyDescent="0.35">
      <c r="A2" s="2"/>
      <c r="B2" s="2"/>
      <c r="C2" s="2"/>
      <c r="D2" s="2"/>
      <c r="E2" s="2"/>
      <c r="F2" s="2"/>
      <c r="G2" s="2"/>
      <c r="H2" s="2"/>
      <c r="I2" s="2"/>
      <c r="J2" s="2"/>
      <c r="K2" s="2"/>
      <c r="L2" s="2"/>
      <c r="M2" s="2"/>
      <c r="N2" s="2"/>
      <c r="O2" s="2"/>
      <c r="P2" s="2"/>
      <c r="Q2" s="2"/>
      <c r="R2" s="2"/>
      <c r="S2" s="2"/>
      <c r="T2" s="2"/>
      <c r="U2" s="2"/>
      <c r="V2" s="2"/>
    </row>
    <row r="3" spans="1:22" ht="18.5" x14ac:dyDescent="0.45">
      <c r="A3" s="2"/>
      <c r="B3" s="2"/>
      <c r="C3" s="1" t="s">
        <v>57</v>
      </c>
      <c r="D3" s="2"/>
      <c r="E3" s="2"/>
      <c r="F3" s="2"/>
      <c r="G3" s="2"/>
      <c r="H3" s="2"/>
      <c r="I3" s="2"/>
      <c r="J3" s="2"/>
      <c r="K3" s="2"/>
      <c r="L3" s="2"/>
      <c r="M3" s="2"/>
      <c r="N3" s="2"/>
      <c r="O3" s="2"/>
      <c r="P3" s="2"/>
      <c r="Q3" s="2"/>
      <c r="R3" s="2"/>
      <c r="S3" s="2"/>
      <c r="T3" s="2"/>
      <c r="U3" s="2"/>
      <c r="V3" s="2"/>
    </row>
    <row r="4" spans="1:22" ht="18.5" x14ac:dyDescent="0.45">
      <c r="A4" s="2"/>
      <c r="B4" s="2"/>
      <c r="C4" s="2"/>
      <c r="D4" s="2"/>
      <c r="E4" s="2"/>
      <c r="F4" s="1" t="s">
        <v>0</v>
      </c>
      <c r="G4" s="3"/>
      <c r="H4" s="3"/>
      <c r="I4" s="3"/>
      <c r="J4" s="3"/>
      <c r="K4" s="3"/>
      <c r="L4" s="3"/>
      <c r="M4" s="3"/>
      <c r="N4" s="3"/>
      <c r="O4" s="3"/>
      <c r="P4" s="3"/>
      <c r="Q4" s="3"/>
      <c r="V4" s="2"/>
    </row>
    <row r="5" spans="1:22" ht="16" thickBot="1" x14ac:dyDescent="0.4">
      <c r="A5" s="4"/>
      <c r="B5" s="4"/>
      <c r="C5" s="4"/>
      <c r="D5" s="4"/>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c r="V5" s="4"/>
    </row>
    <row r="6" spans="1:22" x14ac:dyDescent="0.35">
      <c r="A6" s="2"/>
      <c r="B6" s="8"/>
      <c r="C6" s="6" t="s">
        <v>40</v>
      </c>
      <c r="D6" s="2"/>
      <c r="E6" s="2"/>
      <c r="F6" s="2">
        <v>376.29</v>
      </c>
      <c r="G6" s="2">
        <v>389.31</v>
      </c>
      <c r="H6" s="2">
        <f>G6-F6</f>
        <v>13.019999999999982</v>
      </c>
      <c r="I6" s="2">
        <f>F7-G6</f>
        <v>19.740000000000009</v>
      </c>
      <c r="J6" s="2">
        <f>H6/N6</f>
        <v>0.39743589743589697</v>
      </c>
      <c r="K6" s="2">
        <f>I6/N6</f>
        <v>0.60256410256410298</v>
      </c>
      <c r="L6" s="2">
        <f>1/H6</f>
        <v>7.6804915514593036E-2</v>
      </c>
      <c r="M6" s="2">
        <f>1/N6</f>
        <v>3.0525030525030535E-2</v>
      </c>
      <c r="N6" s="2">
        <f>H6+I6</f>
        <v>32.759999999999991</v>
      </c>
      <c r="O6" s="2">
        <v>23</v>
      </c>
      <c r="P6" s="2">
        <f>O6/H6</f>
        <v>1.76651305683564</v>
      </c>
      <c r="Q6" s="2"/>
      <c r="R6" s="2" t="s">
        <v>58</v>
      </c>
      <c r="S6" s="2"/>
      <c r="T6" s="2"/>
      <c r="U6" s="2"/>
      <c r="V6" s="2"/>
    </row>
    <row r="7" spans="1:22" x14ac:dyDescent="0.35">
      <c r="A7" s="2"/>
      <c r="B7" s="36"/>
      <c r="C7" s="6" t="s">
        <v>41</v>
      </c>
      <c r="D7" s="2"/>
      <c r="E7" s="2"/>
      <c r="F7" s="2">
        <v>409.05</v>
      </c>
      <c r="G7" s="2">
        <v>423.49</v>
      </c>
      <c r="H7" s="2">
        <f t="shared" ref="H7:H26" si="0">G7-F7</f>
        <v>14.439999999999998</v>
      </c>
      <c r="I7" s="2">
        <f t="shared" ref="I7:I25" si="1">F8-G7</f>
        <v>18.099999999999966</v>
      </c>
      <c r="J7" s="2">
        <f t="shared" ref="J7:J25" si="2">H7/N7</f>
        <v>0.44376152427781235</v>
      </c>
      <c r="K7" s="2">
        <f t="shared" ref="K7:K25" si="3">I7/N7</f>
        <v>0.55623847572218765</v>
      </c>
      <c r="L7" s="2">
        <f t="shared" ref="L7:L25" si="4">1/H7</f>
        <v>6.9252077562326875E-2</v>
      </c>
      <c r="M7" s="2">
        <f t="shared" ref="M7:M25" si="5">1/N7</f>
        <v>3.0731407498463464E-2</v>
      </c>
      <c r="N7" s="2">
        <f t="shared" ref="N7:N25" si="6">H7+I7</f>
        <v>32.539999999999964</v>
      </c>
      <c r="O7" s="2">
        <v>30</v>
      </c>
      <c r="P7" s="2">
        <f t="shared" ref="P7:P25" si="7">O7/H7</f>
        <v>2.0775623268698062</v>
      </c>
      <c r="Q7" s="2"/>
      <c r="R7" s="2"/>
      <c r="S7" s="2"/>
      <c r="T7" s="2"/>
      <c r="U7" s="2"/>
      <c r="V7" s="2"/>
    </row>
    <row r="8" spans="1:22" x14ac:dyDescent="0.35">
      <c r="A8" s="2"/>
      <c r="B8" s="2"/>
      <c r="C8" s="2"/>
      <c r="D8" s="2"/>
      <c r="E8" s="2"/>
      <c r="F8" s="2">
        <v>441.59</v>
      </c>
      <c r="G8" s="2">
        <v>454.81</v>
      </c>
      <c r="H8" s="2">
        <f t="shared" si="0"/>
        <v>13.220000000000027</v>
      </c>
      <c r="I8" s="2">
        <f t="shared" si="1"/>
        <v>19.930000000000007</v>
      </c>
      <c r="J8" s="2">
        <f t="shared" si="2"/>
        <v>0.39879336349924627</v>
      </c>
      <c r="K8" s="2">
        <f t="shared" si="3"/>
        <v>0.60120663650075379</v>
      </c>
      <c r="L8" s="2">
        <f t="shared" si="4"/>
        <v>7.5642965204235843E-2</v>
      </c>
      <c r="M8" s="2">
        <f t="shared" si="5"/>
        <v>3.0165912518853664E-2</v>
      </c>
      <c r="N8" s="2">
        <f t="shared" si="6"/>
        <v>33.150000000000034</v>
      </c>
      <c r="O8" s="2">
        <v>30</v>
      </c>
      <c r="P8" s="2">
        <f t="shared" si="7"/>
        <v>2.2692889561270757</v>
      </c>
      <c r="Q8" s="2"/>
      <c r="R8" s="2"/>
      <c r="S8" s="2"/>
      <c r="T8" s="2"/>
      <c r="U8" s="2"/>
      <c r="V8" s="2"/>
    </row>
    <row r="9" spans="1:22" x14ac:dyDescent="0.35">
      <c r="A9" s="2"/>
      <c r="B9" s="2"/>
      <c r="C9" s="2"/>
      <c r="D9" s="2"/>
      <c r="E9" s="2"/>
      <c r="F9" s="13">
        <v>474.74</v>
      </c>
      <c r="G9" s="13">
        <v>488.93</v>
      </c>
      <c r="H9" s="2">
        <f t="shared" si="0"/>
        <v>14.189999999999998</v>
      </c>
      <c r="I9" s="2">
        <f t="shared" si="1"/>
        <v>17.800000000000011</v>
      </c>
      <c r="J9" s="2">
        <f t="shared" si="2"/>
        <v>0.44357611753673004</v>
      </c>
      <c r="K9" s="2">
        <f t="shared" si="3"/>
        <v>0.55642388246327001</v>
      </c>
      <c r="L9" s="2">
        <f t="shared" si="4"/>
        <v>7.0472163495419321E-2</v>
      </c>
      <c r="M9" s="2">
        <f t="shared" si="5"/>
        <v>3.1259768677711776E-2</v>
      </c>
      <c r="N9" s="2">
        <f t="shared" si="6"/>
        <v>31.990000000000009</v>
      </c>
      <c r="O9" s="2">
        <v>32</v>
      </c>
      <c r="P9" s="2">
        <f t="shared" si="7"/>
        <v>2.2551092318534183</v>
      </c>
      <c r="Q9" s="2"/>
      <c r="R9" s="2"/>
      <c r="S9" s="2"/>
      <c r="T9" s="2"/>
      <c r="U9" s="2"/>
      <c r="V9" s="2"/>
    </row>
    <row r="10" spans="1:22" ht="15.5" x14ac:dyDescent="0.35">
      <c r="A10" s="2"/>
      <c r="B10" s="5" t="s">
        <v>18</v>
      </c>
      <c r="C10" s="5" t="s">
        <v>17</v>
      </c>
      <c r="D10" s="5" t="s">
        <v>20</v>
      </c>
      <c r="E10" s="13"/>
      <c r="F10" s="13">
        <v>506.73</v>
      </c>
      <c r="G10" s="13">
        <v>519.28</v>
      </c>
      <c r="H10" s="13">
        <f t="shared" si="0"/>
        <v>12.549999999999955</v>
      </c>
      <c r="I10" s="2">
        <f t="shared" si="1"/>
        <v>19.259999999999991</v>
      </c>
      <c r="J10" s="2">
        <f t="shared" si="2"/>
        <v>0.39453002200565784</v>
      </c>
      <c r="K10" s="2">
        <f t="shared" si="3"/>
        <v>0.6054699779943421</v>
      </c>
      <c r="L10" s="2">
        <f t="shared" si="4"/>
        <v>7.9681274900398696E-2</v>
      </c>
      <c r="M10" s="2">
        <f t="shared" si="5"/>
        <v>3.1436655139893167E-2</v>
      </c>
      <c r="N10" s="2">
        <f t="shared" si="6"/>
        <v>31.809999999999945</v>
      </c>
      <c r="O10" s="2">
        <v>25</v>
      </c>
      <c r="P10" s="2">
        <f t="shared" si="7"/>
        <v>1.9920318725099673</v>
      </c>
      <c r="Q10" s="2"/>
      <c r="R10" s="2"/>
      <c r="S10" s="2"/>
      <c r="T10" s="2"/>
      <c r="U10" s="2"/>
      <c r="V10" s="2"/>
    </row>
    <row r="11" spans="1:22" x14ac:dyDescent="0.35">
      <c r="A11" s="2"/>
      <c r="B11" s="114">
        <v>539.02</v>
      </c>
      <c r="C11" s="105">
        <v>545.54</v>
      </c>
      <c r="D11" s="106">
        <f>C11-B11</f>
        <v>6.5199999999999818</v>
      </c>
      <c r="E11" s="13"/>
      <c r="F11" s="10">
        <v>538.54</v>
      </c>
      <c r="G11" s="11">
        <v>552.49</v>
      </c>
      <c r="H11" s="11">
        <f t="shared" si="0"/>
        <v>13.950000000000045</v>
      </c>
      <c r="I11" s="12">
        <f t="shared" si="1"/>
        <v>19.67999999999995</v>
      </c>
      <c r="J11" s="2">
        <f t="shared" si="2"/>
        <v>0.41480820695807458</v>
      </c>
      <c r="K11" s="2">
        <f t="shared" si="3"/>
        <v>0.58519179304192548</v>
      </c>
      <c r="L11" s="2">
        <f t="shared" si="4"/>
        <v>7.1684587813619832E-2</v>
      </c>
      <c r="M11" s="2">
        <f t="shared" si="5"/>
        <v>2.9735355337496286E-2</v>
      </c>
      <c r="N11" s="2">
        <f t="shared" si="6"/>
        <v>33.629999999999995</v>
      </c>
      <c r="O11" s="2">
        <v>27</v>
      </c>
      <c r="P11" s="2">
        <f t="shared" si="7"/>
        <v>1.9354838709677356</v>
      </c>
      <c r="Q11" s="2"/>
      <c r="R11" s="2"/>
      <c r="S11" s="2"/>
      <c r="T11" s="2"/>
      <c r="U11" s="2"/>
      <c r="V11" s="2"/>
    </row>
    <row r="12" spans="1:22" x14ac:dyDescent="0.35">
      <c r="A12" s="2"/>
      <c r="B12" s="92">
        <v>572.84</v>
      </c>
      <c r="C12" s="91">
        <v>583.20000000000005</v>
      </c>
      <c r="D12" s="93">
        <f t="shared" ref="D12:D25" si="8">C12-B12</f>
        <v>10.360000000000014</v>
      </c>
      <c r="E12" s="13"/>
      <c r="F12" s="92">
        <v>572.16999999999996</v>
      </c>
      <c r="G12" s="91">
        <v>586.30999999999995</v>
      </c>
      <c r="H12" s="91">
        <f t="shared" si="0"/>
        <v>14.139999999999986</v>
      </c>
      <c r="I12" s="93">
        <f t="shared" si="1"/>
        <v>19.25</v>
      </c>
      <c r="J12" s="2">
        <f t="shared" si="2"/>
        <v>0.42348008385744212</v>
      </c>
      <c r="K12" s="2">
        <f t="shared" si="3"/>
        <v>0.57651991614255793</v>
      </c>
      <c r="L12" s="2">
        <f t="shared" si="4"/>
        <v>7.072135785007079E-2</v>
      </c>
      <c r="M12" s="2">
        <f t="shared" si="5"/>
        <v>2.994908655286015E-2</v>
      </c>
      <c r="N12" s="2">
        <f t="shared" si="6"/>
        <v>33.389999999999986</v>
      </c>
      <c r="O12" s="2">
        <v>26</v>
      </c>
      <c r="P12" s="2">
        <f t="shared" si="7"/>
        <v>1.8387553041018405</v>
      </c>
      <c r="Q12" s="2"/>
      <c r="R12" s="2"/>
      <c r="S12" s="2"/>
      <c r="T12" s="2"/>
      <c r="U12" s="2"/>
      <c r="V12" s="2"/>
    </row>
    <row r="13" spans="1:22" x14ac:dyDescent="0.35">
      <c r="A13" s="2"/>
      <c r="B13" s="94">
        <v>606.84</v>
      </c>
      <c r="C13" s="95">
        <v>614.58000000000004</v>
      </c>
      <c r="D13" s="96">
        <f t="shared" si="8"/>
        <v>7.7400000000000091</v>
      </c>
      <c r="E13" s="13"/>
      <c r="F13" s="10">
        <v>605.55999999999995</v>
      </c>
      <c r="G13" s="11">
        <v>618.6</v>
      </c>
      <c r="H13" s="11">
        <f t="shared" si="0"/>
        <v>13.040000000000077</v>
      </c>
      <c r="I13" s="12">
        <f t="shared" si="1"/>
        <v>16.759999999999991</v>
      </c>
      <c r="J13" s="2">
        <f t="shared" si="2"/>
        <v>0.43758389261745123</v>
      </c>
      <c r="K13" s="2">
        <f t="shared" si="3"/>
        <v>0.56241610738254877</v>
      </c>
      <c r="L13" s="2">
        <f t="shared" si="4"/>
        <v>7.6687116564416721E-2</v>
      </c>
      <c r="M13" s="2">
        <f t="shared" si="5"/>
        <v>3.3557046979865696E-2</v>
      </c>
      <c r="N13" s="2">
        <f t="shared" si="6"/>
        <v>29.800000000000068</v>
      </c>
      <c r="O13" s="2">
        <v>17</v>
      </c>
      <c r="P13" s="2">
        <f t="shared" si="7"/>
        <v>1.3036809815950843</v>
      </c>
      <c r="Q13" s="2"/>
      <c r="R13" s="13"/>
      <c r="S13" s="13"/>
      <c r="T13" s="2"/>
      <c r="U13" s="2"/>
      <c r="V13" s="2"/>
    </row>
    <row r="14" spans="1:22" x14ac:dyDescent="0.35">
      <c r="A14" s="2"/>
      <c r="B14" s="323" t="s">
        <v>21</v>
      </c>
      <c r="C14" s="323"/>
      <c r="D14" s="323"/>
      <c r="E14" s="13"/>
      <c r="F14" s="13">
        <v>635.36</v>
      </c>
      <c r="G14" s="13">
        <v>648.4</v>
      </c>
      <c r="H14" s="2">
        <f t="shared" si="0"/>
        <v>13.039999999999964</v>
      </c>
      <c r="I14" s="2">
        <f t="shared" si="1"/>
        <v>18.529999999999973</v>
      </c>
      <c r="J14" s="2">
        <f t="shared" si="2"/>
        <v>0.41305036426987612</v>
      </c>
      <c r="K14" s="2">
        <f t="shared" si="3"/>
        <v>0.58694963573012382</v>
      </c>
      <c r="L14" s="2">
        <f t="shared" si="4"/>
        <v>7.6687116564417387E-2</v>
      </c>
      <c r="M14" s="2">
        <f t="shared" si="5"/>
        <v>3.1675641431739059E-2</v>
      </c>
      <c r="N14" s="2">
        <f t="shared" si="6"/>
        <v>31.569999999999936</v>
      </c>
      <c r="O14" s="2">
        <v>29</v>
      </c>
      <c r="P14" s="2">
        <f t="shared" si="7"/>
        <v>2.2239263803681042</v>
      </c>
      <c r="Q14" s="2"/>
      <c r="R14" s="2"/>
      <c r="S14" s="2"/>
      <c r="T14" s="2"/>
      <c r="U14" s="2"/>
      <c r="V14" s="2"/>
    </row>
    <row r="15" spans="1:22" x14ac:dyDescent="0.35">
      <c r="A15" s="2"/>
      <c r="B15" s="10">
        <v>667.45</v>
      </c>
      <c r="C15" s="11">
        <v>675.46</v>
      </c>
      <c r="D15" s="12">
        <f t="shared" si="8"/>
        <v>8.0099999999999909</v>
      </c>
      <c r="E15" s="120" t="s">
        <v>60</v>
      </c>
      <c r="F15" s="10">
        <v>666.93</v>
      </c>
      <c r="G15" s="11">
        <v>667.45</v>
      </c>
      <c r="H15" s="11">
        <f t="shared" si="0"/>
        <v>0.5200000000000955</v>
      </c>
      <c r="I15" s="12">
        <f t="shared" si="1"/>
        <v>26.1099999999999</v>
      </c>
      <c r="J15" s="2">
        <f t="shared" si="2"/>
        <v>1.9526849417953272E-2</v>
      </c>
      <c r="K15" s="2">
        <f t="shared" si="3"/>
        <v>0.98047315058204676</v>
      </c>
      <c r="L15" s="2">
        <f t="shared" si="4"/>
        <v>1.9230769230765699</v>
      </c>
      <c r="M15" s="2">
        <f t="shared" si="5"/>
        <v>3.7551633496057085E-2</v>
      </c>
      <c r="N15" s="2">
        <f t="shared" si="6"/>
        <v>26.629999999999995</v>
      </c>
      <c r="O15" s="2">
        <v>4</v>
      </c>
      <c r="P15" s="2">
        <f t="shared" si="7"/>
        <v>7.6923076923062794</v>
      </c>
      <c r="Q15" s="2"/>
      <c r="R15" s="18" t="s">
        <v>59</v>
      </c>
      <c r="S15" s="13"/>
      <c r="T15" s="2"/>
      <c r="U15" s="2"/>
      <c r="V15" s="2"/>
    </row>
    <row r="16" spans="1:22" x14ac:dyDescent="0.35">
      <c r="A16" s="2"/>
      <c r="B16" s="10">
        <v>694.35</v>
      </c>
      <c r="C16" s="11">
        <v>701.79</v>
      </c>
      <c r="D16" s="12">
        <f t="shared" si="8"/>
        <v>7.4399999999999409</v>
      </c>
      <c r="E16" s="2"/>
      <c r="F16" s="92">
        <v>693.56</v>
      </c>
      <c r="G16" s="91">
        <v>695.48</v>
      </c>
      <c r="H16" s="91">
        <f t="shared" si="0"/>
        <v>1.9200000000000728</v>
      </c>
      <c r="I16" s="93">
        <f t="shared" si="1"/>
        <v>24.610000000000014</v>
      </c>
      <c r="J16" s="2">
        <f t="shared" si="2"/>
        <v>7.2370900866945587E-2</v>
      </c>
      <c r="K16" s="2">
        <f t="shared" si="3"/>
        <v>0.92762909913305436</v>
      </c>
      <c r="L16" s="2">
        <f t="shared" si="4"/>
        <v>0.52083333333331361</v>
      </c>
      <c r="M16" s="2">
        <f t="shared" si="5"/>
        <v>3.7693177534866069E-2</v>
      </c>
      <c r="N16" s="2">
        <f t="shared" si="6"/>
        <v>26.530000000000086</v>
      </c>
      <c r="O16" s="2">
        <v>6</v>
      </c>
      <c r="P16" s="2">
        <f t="shared" si="7"/>
        <v>3.1249999999998814</v>
      </c>
      <c r="Q16" s="2"/>
      <c r="R16" s="2"/>
      <c r="S16" s="2"/>
      <c r="T16" s="2"/>
      <c r="U16" s="2"/>
      <c r="V16" s="2"/>
    </row>
    <row r="17" spans="1:22" x14ac:dyDescent="0.35">
      <c r="A17" s="2"/>
      <c r="B17" s="94">
        <v>720.91</v>
      </c>
      <c r="C17" s="95">
        <v>727.42</v>
      </c>
      <c r="D17" s="96">
        <f t="shared" si="8"/>
        <v>6.5099999999999909</v>
      </c>
      <c r="E17" s="2"/>
      <c r="F17" s="10">
        <v>720.09</v>
      </c>
      <c r="G17" s="11">
        <v>720.91</v>
      </c>
      <c r="H17" s="11">
        <f t="shared" si="0"/>
        <v>0.81999999999993634</v>
      </c>
      <c r="I17" s="12">
        <f t="shared" si="1"/>
        <v>26.990000000000009</v>
      </c>
      <c r="J17" s="2">
        <f t="shared" si="2"/>
        <v>2.9485796476085506E-2</v>
      </c>
      <c r="K17" s="2">
        <f t="shared" si="3"/>
        <v>0.97051420352391449</v>
      </c>
      <c r="L17" s="2">
        <f t="shared" si="4"/>
        <v>1.219512195122046</v>
      </c>
      <c r="M17" s="2">
        <f t="shared" si="5"/>
        <v>3.5958288385472922E-2</v>
      </c>
      <c r="N17" s="2">
        <f t="shared" si="6"/>
        <v>27.809999999999945</v>
      </c>
      <c r="O17" s="2">
        <v>5</v>
      </c>
      <c r="P17" s="2">
        <f t="shared" si="7"/>
        <v>6.0975609756102296</v>
      </c>
      <c r="Q17" s="2"/>
      <c r="R17" s="13"/>
      <c r="S17" s="13"/>
      <c r="T17" s="2"/>
      <c r="U17" s="2"/>
      <c r="V17" s="2"/>
    </row>
    <row r="18" spans="1:22" x14ac:dyDescent="0.35">
      <c r="A18" s="2"/>
      <c r="B18" s="323" t="s">
        <v>21</v>
      </c>
      <c r="C18" s="323"/>
      <c r="D18" s="323"/>
      <c r="E18" s="2"/>
      <c r="F18" s="13">
        <v>747.9</v>
      </c>
      <c r="G18" s="13">
        <v>761.48</v>
      </c>
      <c r="H18" s="13">
        <f t="shared" si="0"/>
        <v>13.580000000000041</v>
      </c>
      <c r="I18" s="2">
        <f t="shared" si="1"/>
        <v>15.529999999999973</v>
      </c>
      <c r="J18" s="2">
        <f t="shared" si="2"/>
        <v>0.46650635520439832</v>
      </c>
      <c r="K18" s="2">
        <f t="shared" si="3"/>
        <v>0.53349364479560168</v>
      </c>
      <c r="L18" s="2">
        <f t="shared" si="4"/>
        <v>7.3637702503681665E-2</v>
      </c>
      <c r="M18" s="2">
        <f t="shared" si="5"/>
        <v>3.4352456200618331E-2</v>
      </c>
      <c r="N18" s="2">
        <f t="shared" si="6"/>
        <v>29.110000000000014</v>
      </c>
      <c r="O18" s="2">
        <v>37</v>
      </c>
      <c r="P18" s="2">
        <f t="shared" si="7"/>
        <v>2.7245949926362214</v>
      </c>
      <c r="Q18" s="2"/>
      <c r="R18" s="2"/>
      <c r="S18" s="2"/>
      <c r="T18" s="2"/>
      <c r="U18" s="2"/>
      <c r="V18" s="2"/>
    </row>
    <row r="19" spans="1:22" x14ac:dyDescent="0.35">
      <c r="A19" s="2"/>
      <c r="B19" s="10">
        <v>779.61</v>
      </c>
      <c r="C19" s="11">
        <v>784.52</v>
      </c>
      <c r="D19" s="12">
        <f t="shared" si="8"/>
        <v>4.9099999999999682</v>
      </c>
      <c r="E19" s="2"/>
      <c r="F19" s="10">
        <v>777.01</v>
      </c>
      <c r="G19" s="11">
        <v>777.69</v>
      </c>
      <c r="H19" s="11">
        <f t="shared" si="0"/>
        <v>0.68000000000006366</v>
      </c>
      <c r="I19" s="12">
        <f t="shared" si="1"/>
        <v>25.639999999999986</v>
      </c>
      <c r="J19" s="2">
        <f t="shared" si="2"/>
        <v>2.5835866261400546E-2</v>
      </c>
      <c r="K19" s="2">
        <f t="shared" si="3"/>
        <v>0.97416413373859945</v>
      </c>
      <c r="L19" s="2">
        <f t="shared" si="4"/>
        <v>1.4705882352939799</v>
      </c>
      <c r="M19" s="2">
        <f t="shared" si="5"/>
        <v>3.7993920972644306E-2</v>
      </c>
      <c r="N19" s="2">
        <f t="shared" si="6"/>
        <v>26.32000000000005</v>
      </c>
      <c r="O19" s="2">
        <v>5</v>
      </c>
      <c r="P19" s="2">
        <f t="shared" si="7"/>
        <v>7.3529411764698995</v>
      </c>
      <c r="Q19" s="2"/>
      <c r="R19" s="13"/>
      <c r="S19" s="13"/>
      <c r="T19" s="2"/>
      <c r="U19" s="2"/>
      <c r="V19" s="2"/>
    </row>
    <row r="20" spans="1:22" x14ac:dyDescent="0.35">
      <c r="A20" s="2"/>
      <c r="B20" s="323" t="s">
        <v>21</v>
      </c>
      <c r="C20" s="323"/>
      <c r="D20" s="323"/>
      <c r="E20" s="2"/>
      <c r="F20" s="13">
        <v>803.33</v>
      </c>
      <c r="G20" s="13">
        <v>816.61</v>
      </c>
      <c r="H20" s="13">
        <f t="shared" si="0"/>
        <v>13.279999999999973</v>
      </c>
      <c r="I20" s="2">
        <f t="shared" si="1"/>
        <v>19.139999999999986</v>
      </c>
      <c r="J20" s="2">
        <f t="shared" si="2"/>
        <v>0.40962368908081398</v>
      </c>
      <c r="K20" s="2">
        <f t="shared" si="3"/>
        <v>0.59037631091918596</v>
      </c>
      <c r="L20" s="2">
        <f t="shared" si="4"/>
        <v>7.5301204819277268E-2</v>
      </c>
      <c r="M20" s="2">
        <f t="shared" si="5"/>
        <v>3.084515731030232E-2</v>
      </c>
      <c r="N20" s="2">
        <f t="shared" si="6"/>
        <v>32.419999999999959</v>
      </c>
      <c r="O20">
        <v>31</v>
      </c>
      <c r="P20" s="2">
        <f t="shared" si="7"/>
        <v>2.334337349397595</v>
      </c>
      <c r="Q20" s="2"/>
      <c r="R20" s="2"/>
      <c r="S20" s="2"/>
      <c r="T20" s="2"/>
      <c r="U20" s="2"/>
      <c r="V20" s="2"/>
    </row>
    <row r="21" spans="1:22" x14ac:dyDescent="0.35">
      <c r="B21" s="10">
        <v>836.51</v>
      </c>
      <c r="C21" s="11">
        <v>840.43</v>
      </c>
      <c r="D21" s="12">
        <f t="shared" si="8"/>
        <v>3.9199999999999591</v>
      </c>
      <c r="F21" s="10">
        <v>835.75</v>
      </c>
      <c r="G21" s="11">
        <v>836.35</v>
      </c>
      <c r="H21" s="11">
        <f t="shared" si="0"/>
        <v>0.60000000000002274</v>
      </c>
      <c r="I21" s="12">
        <f t="shared" si="1"/>
        <v>28.959999999999923</v>
      </c>
      <c r="J21" s="2">
        <f t="shared" si="2"/>
        <v>2.0297699594046814E-2</v>
      </c>
      <c r="K21" s="2">
        <f t="shared" si="3"/>
        <v>0.97970230040595319</v>
      </c>
      <c r="L21" s="2">
        <f t="shared" si="4"/>
        <v>1.6666666666666035</v>
      </c>
      <c r="M21" s="2">
        <f t="shared" si="5"/>
        <v>3.3829499323410075E-2</v>
      </c>
      <c r="N21" s="2">
        <f t="shared" si="6"/>
        <v>29.559999999999945</v>
      </c>
      <c r="O21">
        <v>5</v>
      </c>
      <c r="P21" s="2">
        <f t="shared" si="7"/>
        <v>8.3333333333330177</v>
      </c>
    </row>
    <row r="22" spans="1:22" x14ac:dyDescent="0.35">
      <c r="B22" s="10">
        <v>866.42</v>
      </c>
      <c r="C22" s="11">
        <v>873.58</v>
      </c>
      <c r="D22" s="12">
        <f t="shared" si="8"/>
        <v>7.1600000000000819</v>
      </c>
      <c r="E22" s="43" t="s">
        <v>60</v>
      </c>
      <c r="F22" s="10">
        <v>865.31</v>
      </c>
      <c r="G22" s="11">
        <v>867.03</v>
      </c>
      <c r="H22" s="11">
        <f t="shared" si="0"/>
        <v>1.7200000000000273</v>
      </c>
      <c r="I22" s="12">
        <f t="shared" si="1"/>
        <v>23.029999999999973</v>
      </c>
      <c r="J22" s="2">
        <f t="shared" si="2"/>
        <v>6.9494949494950595E-2</v>
      </c>
      <c r="K22" s="2">
        <f t="shared" si="3"/>
        <v>0.93050505050504939</v>
      </c>
      <c r="L22" s="2">
        <f t="shared" si="4"/>
        <v>0.58139534883720012</v>
      </c>
      <c r="M22" s="2">
        <f t="shared" si="5"/>
        <v>4.0404040404040407E-2</v>
      </c>
      <c r="N22" s="2">
        <f t="shared" si="6"/>
        <v>24.75</v>
      </c>
      <c r="O22">
        <v>6</v>
      </c>
      <c r="P22" s="2">
        <f t="shared" si="7"/>
        <v>3.4883720930232003</v>
      </c>
      <c r="R22" s="18" t="s">
        <v>59</v>
      </c>
    </row>
    <row r="23" spans="1:22" x14ac:dyDescent="0.35">
      <c r="B23" s="323" t="s">
        <v>21</v>
      </c>
      <c r="C23" s="323"/>
      <c r="D23" s="323"/>
      <c r="F23" s="13">
        <v>890.06</v>
      </c>
      <c r="G23" s="13">
        <v>904.93</v>
      </c>
      <c r="H23" s="13">
        <f t="shared" si="0"/>
        <v>14.870000000000005</v>
      </c>
      <c r="I23" s="2">
        <f t="shared" si="1"/>
        <v>19.650000000000091</v>
      </c>
      <c r="J23" s="2">
        <f t="shared" si="2"/>
        <v>0.43076477404403141</v>
      </c>
      <c r="K23" s="2">
        <f t="shared" si="3"/>
        <v>0.56923522595596865</v>
      </c>
      <c r="L23" s="2">
        <f t="shared" si="4"/>
        <v>6.7249495628782768E-2</v>
      </c>
      <c r="M23" s="2">
        <f t="shared" si="5"/>
        <v>2.8968713789107682E-2</v>
      </c>
      <c r="N23" s="2">
        <f t="shared" si="6"/>
        <v>34.520000000000095</v>
      </c>
      <c r="O23">
        <v>18</v>
      </c>
      <c r="P23" s="2">
        <f t="shared" si="7"/>
        <v>1.2104909213180897</v>
      </c>
    </row>
    <row r="24" spans="1:22" x14ac:dyDescent="0.35">
      <c r="B24" s="323" t="s">
        <v>21</v>
      </c>
      <c r="C24" s="323"/>
      <c r="D24" s="323"/>
      <c r="F24" s="13">
        <v>924.58</v>
      </c>
      <c r="G24" s="13">
        <v>938.99</v>
      </c>
      <c r="H24" s="13">
        <f t="shared" si="0"/>
        <v>14.409999999999968</v>
      </c>
      <c r="I24" s="2">
        <f t="shared" si="1"/>
        <v>20.230000000000018</v>
      </c>
      <c r="J24" s="2">
        <f t="shared" si="2"/>
        <v>0.41599307159353272</v>
      </c>
      <c r="K24" s="2">
        <f t="shared" si="3"/>
        <v>0.58400692840646728</v>
      </c>
      <c r="L24" s="2">
        <f t="shared" si="4"/>
        <v>6.9396252602359626E-2</v>
      </c>
      <c r="M24" s="2">
        <f t="shared" si="5"/>
        <v>2.8868360277136271E-2</v>
      </c>
      <c r="N24" s="2">
        <f t="shared" si="6"/>
        <v>34.639999999999986</v>
      </c>
      <c r="O24">
        <v>47</v>
      </c>
      <c r="P24" s="2">
        <f t="shared" si="7"/>
        <v>3.2616238723109023</v>
      </c>
    </row>
    <row r="25" spans="1:22" x14ac:dyDescent="0.35">
      <c r="B25" s="10">
        <v>959.75</v>
      </c>
      <c r="C25" s="11">
        <v>966.38</v>
      </c>
      <c r="D25" s="12">
        <f t="shared" si="8"/>
        <v>6.6299999999999955</v>
      </c>
      <c r="F25" s="10">
        <v>959.22</v>
      </c>
      <c r="G25" s="11">
        <v>959.75</v>
      </c>
      <c r="H25" s="11">
        <f t="shared" si="0"/>
        <v>0.52999999999997272</v>
      </c>
      <c r="I25" s="12">
        <f t="shared" si="1"/>
        <v>12.269999999999982</v>
      </c>
      <c r="J25" s="2">
        <f t="shared" si="2"/>
        <v>4.1406249999998014E-2</v>
      </c>
      <c r="K25" s="2">
        <f t="shared" si="3"/>
        <v>0.95859375000000202</v>
      </c>
      <c r="L25" s="2">
        <f t="shared" si="4"/>
        <v>1.8867924528302857</v>
      </c>
      <c r="M25" s="2">
        <f t="shared" si="5"/>
        <v>7.8125000000000278E-2</v>
      </c>
      <c r="N25" s="2">
        <f t="shared" si="6"/>
        <v>12.799999999999955</v>
      </c>
      <c r="O25">
        <v>1</v>
      </c>
      <c r="P25" s="2">
        <f t="shared" si="7"/>
        <v>1.8867924528302857</v>
      </c>
    </row>
    <row r="26" spans="1:22" x14ac:dyDescent="0.35">
      <c r="B26" s="323" t="s">
        <v>21</v>
      </c>
      <c r="C26" s="323"/>
      <c r="D26" s="323"/>
      <c r="F26" s="13">
        <v>972.02</v>
      </c>
      <c r="G26" s="13">
        <v>988.08</v>
      </c>
      <c r="H26" s="13">
        <f t="shared" si="0"/>
        <v>16.060000000000059</v>
      </c>
      <c r="I26" s="2"/>
    </row>
    <row r="28" spans="1:22" x14ac:dyDescent="0.35">
      <c r="G28" s="49" t="s">
        <v>76</v>
      </c>
      <c r="H28" s="104">
        <f>AVERAGE(H6:H10)</f>
        <v>13.483999999999991</v>
      </c>
      <c r="I28" s="104">
        <f t="shared" ref="I28:P28" si="9">AVERAGE(I6:I10)</f>
        <v>18.965999999999998</v>
      </c>
      <c r="J28" s="104">
        <f t="shared" si="9"/>
        <v>0.41561938495106865</v>
      </c>
      <c r="K28" s="104">
        <f t="shared" si="9"/>
        <v>0.58438061504893135</v>
      </c>
      <c r="L28" s="104">
        <f t="shared" si="9"/>
        <v>7.4370679335394735E-2</v>
      </c>
      <c r="M28" s="104">
        <f t="shared" si="9"/>
        <v>3.0823754871990516E-2</v>
      </c>
      <c r="N28" s="104">
        <f t="shared" si="9"/>
        <v>32.449999999999989</v>
      </c>
      <c r="O28" s="104">
        <f t="shared" si="9"/>
        <v>28</v>
      </c>
      <c r="P28" s="104">
        <f t="shared" si="9"/>
        <v>2.0721010888391813</v>
      </c>
    </row>
    <row r="29" spans="1:22" x14ac:dyDescent="0.35">
      <c r="G29" s="104" t="s">
        <v>20</v>
      </c>
      <c r="H29" s="104">
        <f>AVERAGE(H15:H17,H19,H22,H25)</f>
        <v>1.0316666666666947</v>
      </c>
      <c r="I29" s="104">
        <f t="shared" ref="I29:P29" si="10">AVERAGE(I15:I17,I19,I22,I25)</f>
        <v>23.108333333333309</v>
      </c>
      <c r="J29" s="104">
        <f t="shared" si="10"/>
        <v>4.3020102086222256E-2</v>
      </c>
      <c r="K29" s="104">
        <f t="shared" si="10"/>
        <v>0.95697989791377769</v>
      </c>
      <c r="L29" s="104">
        <f t="shared" si="10"/>
        <v>1.2670330814155659</v>
      </c>
      <c r="M29" s="104">
        <f t="shared" si="10"/>
        <v>4.4621010132180172E-2</v>
      </c>
      <c r="N29" s="104">
        <f t="shared" si="10"/>
        <v>24.140000000000004</v>
      </c>
      <c r="O29" s="104">
        <f t="shared" si="10"/>
        <v>4.5</v>
      </c>
      <c r="P29" s="104">
        <f t="shared" si="10"/>
        <v>4.9404957317066298</v>
      </c>
    </row>
    <row r="30" spans="1:22" x14ac:dyDescent="0.35">
      <c r="G30" s="104" t="s">
        <v>78</v>
      </c>
      <c r="H30" s="104">
        <f>AVERAGE(H14,H18,H20,H23:H24)</f>
        <v>13.83599999999999</v>
      </c>
      <c r="I30" s="104">
        <f t="shared" ref="I30:P30" si="11">AVERAGE(I14,I18,I20,I23:I24)</f>
        <v>18.616000000000007</v>
      </c>
      <c r="J30" s="104">
        <f t="shared" si="11"/>
        <v>0.4271876508385305</v>
      </c>
      <c r="K30" s="104">
        <f t="shared" si="11"/>
        <v>0.5728123491614695</v>
      </c>
      <c r="L30" s="104">
        <f t="shared" si="11"/>
        <v>7.2454354423703737E-2</v>
      </c>
      <c r="M30" s="104">
        <f t="shared" si="11"/>
        <v>3.0942065801780733E-2</v>
      </c>
      <c r="N30" s="104">
        <f t="shared" si="11"/>
        <v>32.451999999999998</v>
      </c>
      <c r="O30" s="104">
        <f t="shared" si="11"/>
        <v>32.4</v>
      </c>
      <c r="P30" s="104">
        <f t="shared" si="11"/>
        <v>2.3509947032061826</v>
      </c>
    </row>
    <row r="31" spans="1:22" x14ac:dyDescent="0.35">
      <c r="G31" s="104" t="s">
        <v>278</v>
      </c>
      <c r="H31">
        <f>AVERAGE(H14,H18,H20,H23)</f>
        <v>13.692499999999995</v>
      </c>
      <c r="I31">
        <f t="shared" ref="I31:P31" si="12">AVERAGE(I14,I18,I20,I23)</f>
        <v>18.212500000000006</v>
      </c>
      <c r="J31">
        <f t="shared" si="12"/>
        <v>0.42998629564977997</v>
      </c>
      <c r="K31">
        <f t="shared" si="12"/>
        <v>0.57001370435022003</v>
      </c>
      <c r="L31">
        <f t="shared" si="12"/>
        <v>7.3218879879039772E-2</v>
      </c>
      <c r="M31">
        <f t="shared" si="12"/>
        <v>3.1460492182941849E-2</v>
      </c>
      <c r="N31">
        <f t="shared" si="12"/>
        <v>31.905000000000001</v>
      </c>
      <c r="O31">
        <f t="shared" si="12"/>
        <v>28.75</v>
      </c>
      <c r="P31">
        <f t="shared" si="12"/>
        <v>2.1233374109300027</v>
      </c>
    </row>
  </sheetData>
  <mergeCells count="6">
    <mergeCell ref="B26:D26"/>
    <mergeCell ref="B14:D14"/>
    <mergeCell ref="B18:D18"/>
    <mergeCell ref="B20:D20"/>
    <mergeCell ref="B23:D23"/>
    <mergeCell ref="B24:D2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0"/>
  <sheetViews>
    <sheetView topLeftCell="A49" workbookViewId="0">
      <selection activeCell="H75" sqref="H75:P75"/>
    </sheetView>
  </sheetViews>
  <sheetFormatPr defaultRowHeight="14.5" x14ac:dyDescent="0.35"/>
  <cols>
    <col min="2" max="2" width="10.453125" customWidth="1"/>
    <col min="3" max="3" width="10.1796875" customWidth="1"/>
    <col min="5" max="5" width="12.1796875" customWidth="1"/>
    <col min="13" max="13" width="10.81640625" customWidth="1"/>
  </cols>
  <sheetData>
    <row r="1" spans="1:21" ht="15.5" x14ac:dyDescent="0.35">
      <c r="A1" s="2"/>
      <c r="B1" s="2"/>
      <c r="C1" s="4" t="s">
        <v>16</v>
      </c>
      <c r="D1" s="2"/>
      <c r="E1" s="2"/>
      <c r="F1" s="2"/>
      <c r="G1" s="2"/>
      <c r="H1" s="2"/>
      <c r="I1" s="2"/>
      <c r="J1" s="2"/>
      <c r="K1" s="2"/>
      <c r="L1" s="2"/>
      <c r="M1" s="2"/>
      <c r="N1" s="2"/>
      <c r="O1" s="2"/>
      <c r="P1" s="2"/>
      <c r="Q1" s="2"/>
      <c r="R1" s="2"/>
      <c r="S1" s="2"/>
      <c r="T1" s="2"/>
      <c r="U1" s="2"/>
    </row>
    <row r="2" spans="1:21" x14ac:dyDescent="0.35">
      <c r="A2" s="2"/>
      <c r="B2" s="2"/>
      <c r="C2" s="2"/>
      <c r="D2" s="2"/>
      <c r="E2" s="2"/>
      <c r="F2" s="2"/>
      <c r="G2" s="2"/>
      <c r="H2" s="2"/>
      <c r="I2" s="2"/>
      <c r="J2" s="2"/>
      <c r="K2" s="2"/>
      <c r="L2" s="2"/>
      <c r="M2" s="2"/>
      <c r="N2" s="2"/>
      <c r="O2" s="2"/>
      <c r="P2" s="2"/>
      <c r="Q2" s="2"/>
      <c r="R2" s="2"/>
      <c r="S2" s="2"/>
      <c r="T2" s="2"/>
      <c r="U2" s="2"/>
    </row>
    <row r="3" spans="1:21" ht="18.5" x14ac:dyDescent="0.45">
      <c r="A3" s="2"/>
      <c r="B3" s="2"/>
      <c r="C3" s="1" t="s">
        <v>61</v>
      </c>
      <c r="D3" s="2"/>
      <c r="E3" s="2"/>
      <c r="F3" s="2"/>
      <c r="G3" s="2"/>
      <c r="H3" s="2"/>
      <c r="I3" s="2"/>
      <c r="J3" s="2"/>
      <c r="K3" s="2"/>
      <c r="L3" s="2"/>
      <c r="M3" s="2"/>
      <c r="N3" s="2"/>
      <c r="O3" s="2"/>
      <c r="P3" s="2"/>
      <c r="Q3" s="2"/>
      <c r="R3" s="2"/>
      <c r="S3" s="2"/>
      <c r="T3" s="2"/>
      <c r="U3" s="2"/>
    </row>
    <row r="4" spans="1:21" ht="18.5" x14ac:dyDescent="0.45">
      <c r="A4" s="2"/>
      <c r="B4" s="2"/>
      <c r="C4" s="2"/>
      <c r="D4" s="2"/>
      <c r="E4" s="2"/>
      <c r="F4" s="1" t="s">
        <v>62</v>
      </c>
      <c r="G4" s="3"/>
      <c r="H4" s="3"/>
      <c r="I4" s="3"/>
      <c r="J4" s="3"/>
      <c r="K4" s="3"/>
      <c r="L4" s="3"/>
      <c r="M4" s="3"/>
      <c r="N4" s="3"/>
      <c r="O4" s="3"/>
      <c r="P4" s="3"/>
      <c r="Q4" s="3"/>
    </row>
    <row r="5" spans="1:21" ht="16" thickBot="1" x14ac:dyDescent="0.4">
      <c r="A5" s="4"/>
      <c r="B5" s="4"/>
      <c r="C5" s="4"/>
      <c r="D5" s="4"/>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row>
    <row r="6" spans="1:21" x14ac:dyDescent="0.35">
      <c r="A6" s="2"/>
      <c r="E6" s="2"/>
      <c r="F6" s="2">
        <v>422.90530000000001</v>
      </c>
      <c r="G6" s="2">
        <v>429.84136000000001</v>
      </c>
      <c r="H6" s="2">
        <f>G6-F6</f>
        <v>6.9360599999999977</v>
      </c>
      <c r="I6" s="2">
        <f>F7-G6</f>
        <v>10.559939999999983</v>
      </c>
      <c r="J6" s="2">
        <f>H6/N6</f>
        <v>0.3964368998628261</v>
      </c>
      <c r="K6" s="2">
        <f>I6/N6</f>
        <v>0.60356310013717396</v>
      </c>
      <c r="L6" s="2">
        <f>1/H6</f>
        <v>0.14417407000516147</v>
      </c>
      <c r="M6" s="2">
        <f>1/N6</f>
        <v>5.715592135345228E-2</v>
      </c>
      <c r="N6" s="2">
        <f>H6+I6</f>
        <v>17.495999999999981</v>
      </c>
      <c r="O6" s="2">
        <v>14</v>
      </c>
      <c r="P6" s="2">
        <f>O6/H6</f>
        <v>2.0184369800722606</v>
      </c>
      <c r="Q6" s="2"/>
      <c r="R6" s="25" t="s">
        <v>58</v>
      </c>
      <c r="S6" s="25"/>
      <c r="T6" s="25"/>
      <c r="U6" s="2"/>
    </row>
    <row r="7" spans="1:21" x14ac:dyDescent="0.35">
      <c r="A7" s="2"/>
      <c r="E7" s="2"/>
      <c r="F7" s="2">
        <v>440.40129999999999</v>
      </c>
      <c r="G7" s="2">
        <v>448.70184999999998</v>
      </c>
      <c r="H7" s="2">
        <f t="shared" ref="H7:H31" si="0">G7-F7</f>
        <v>8.300549999999987</v>
      </c>
      <c r="I7" s="2">
        <f t="shared" ref="I7:I30" si="1">F8-G7</f>
        <v>9.038690000000031</v>
      </c>
      <c r="J7" s="2">
        <f t="shared" ref="J7:J30" si="2">H7/N7</f>
        <v>0.47871475335712399</v>
      </c>
      <c r="K7" s="2">
        <f t="shared" ref="K7:K30" si="3">I7/N7</f>
        <v>0.52128524664287601</v>
      </c>
      <c r="L7" s="2">
        <f t="shared" ref="L7:L30" si="4">1/H7</f>
        <v>0.12047394449765396</v>
      </c>
      <c r="M7" s="2">
        <f t="shared" ref="M7:M30" si="5">1/N7</f>
        <v>5.7672654626154257E-2</v>
      </c>
      <c r="N7" s="2">
        <f t="shared" ref="N7:N30" si="6">H7+I7</f>
        <v>17.339240000000018</v>
      </c>
      <c r="O7" s="2">
        <v>15</v>
      </c>
      <c r="P7" s="2">
        <f t="shared" ref="P7:P30" si="7">O7/H7</f>
        <v>1.8071091674648094</v>
      </c>
      <c r="Q7" s="2"/>
      <c r="R7" s="2"/>
      <c r="S7" s="2"/>
      <c r="T7" s="2"/>
      <c r="U7" s="2"/>
    </row>
    <row r="8" spans="1:21" x14ac:dyDescent="0.35">
      <c r="A8" s="2"/>
      <c r="E8" s="2"/>
      <c r="F8" s="2">
        <v>457.74054000000001</v>
      </c>
      <c r="G8" s="2">
        <v>464.77945</v>
      </c>
      <c r="H8" s="2">
        <f t="shared" si="0"/>
        <v>7.0389099999999871</v>
      </c>
      <c r="I8" s="2">
        <f t="shared" si="1"/>
        <v>10.418259999999975</v>
      </c>
      <c r="J8" s="2">
        <f t="shared" si="2"/>
        <v>0.40321025687439616</v>
      </c>
      <c r="K8" s="2">
        <f t="shared" si="3"/>
        <v>0.59678974312560384</v>
      </c>
      <c r="L8" s="2">
        <f t="shared" si="4"/>
        <v>0.14206745078428362</v>
      </c>
      <c r="M8" s="2">
        <f t="shared" si="5"/>
        <v>5.7283053324221629E-2</v>
      </c>
      <c r="N8" s="2">
        <f t="shared" si="6"/>
        <v>17.457169999999962</v>
      </c>
      <c r="O8" s="2">
        <v>18</v>
      </c>
      <c r="P8" s="2">
        <f t="shared" si="7"/>
        <v>2.5572141141171052</v>
      </c>
      <c r="Q8" s="2"/>
      <c r="R8" s="2"/>
      <c r="S8" s="2"/>
      <c r="T8" s="2"/>
      <c r="U8" s="2"/>
    </row>
    <row r="9" spans="1:21" x14ac:dyDescent="0.35">
      <c r="A9" s="2"/>
      <c r="E9" s="2"/>
      <c r="F9" s="13">
        <v>475.19770999999997</v>
      </c>
      <c r="G9" s="13">
        <v>483.90190000000001</v>
      </c>
      <c r="H9" s="2">
        <f t="shared" si="0"/>
        <v>8.7041900000000396</v>
      </c>
      <c r="I9" s="2">
        <f t="shared" si="1"/>
        <v>9.1932199999999966</v>
      </c>
      <c r="J9" s="2">
        <f t="shared" si="2"/>
        <v>0.4863379673371746</v>
      </c>
      <c r="K9" s="2">
        <f t="shared" si="3"/>
        <v>0.5136620326628254</v>
      </c>
      <c r="L9" s="2">
        <f t="shared" si="4"/>
        <v>0.11488719800463862</v>
      </c>
      <c r="M9" s="2">
        <f t="shared" si="5"/>
        <v>5.5874006350639452E-2</v>
      </c>
      <c r="N9" s="2">
        <f t="shared" si="6"/>
        <v>17.897410000000036</v>
      </c>
      <c r="O9" s="13">
        <v>21</v>
      </c>
      <c r="P9" s="2">
        <f t="shared" si="7"/>
        <v>2.4126311580974109</v>
      </c>
      <c r="Q9" s="2"/>
      <c r="R9" s="2"/>
      <c r="S9" s="2"/>
      <c r="T9" s="2"/>
      <c r="U9" s="2"/>
    </row>
    <row r="10" spans="1:21" x14ac:dyDescent="0.35">
      <c r="A10" s="2"/>
      <c r="E10" s="2"/>
      <c r="F10" s="13">
        <v>493.09512000000001</v>
      </c>
      <c r="G10" s="13">
        <v>504.13182999999998</v>
      </c>
      <c r="H10" s="2">
        <f t="shared" si="0"/>
        <v>11.036709999999971</v>
      </c>
      <c r="I10" s="2">
        <f t="shared" si="1"/>
        <v>10.43300000000005</v>
      </c>
      <c r="J10" s="2">
        <f t="shared" si="2"/>
        <v>0.51405957509439859</v>
      </c>
      <c r="K10" s="2">
        <f t="shared" si="3"/>
        <v>0.48594042490560141</v>
      </c>
      <c r="L10" s="2">
        <f t="shared" si="4"/>
        <v>9.0606711601555409E-2</v>
      </c>
      <c r="M10" s="2">
        <f t="shared" si="5"/>
        <v>4.6577247666596287E-2</v>
      </c>
      <c r="N10" s="2">
        <f t="shared" si="6"/>
        <v>21.469710000000021</v>
      </c>
      <c r="O10" s="13">
        <v>25</v>
      </c>
      <c r="P10" s="2">
        <f t="shared" si="7"/>
        <v>2.2651677900388854</v>
      </c>
      <c r="Q10" s="2"/>
      <c r="R10" s="2"/>
      <c r="S10" s="2"/>
      <c r="T10" s="2"/>
      <c r="U10" s="2"/>
    </row>
    <row r="11" spans="1:21" x14ac:dyDescent="0.35">
      <c r="A11" s="2"/>
      <c r="B11" s="2"/>
      <c r="C11" s="2"/>
      <c r="D11" s="2"/>
      <c r="E11" s="2"/>
      <c r="F11" s="13">
        <v>514.56483000000003</v>
      </c>
      <c r="G11" s="13">
        <v>525.01121000000001</v>
      </c>
      <c r="H11" s="2">
        <f t="shared" si="0"/>
        <v>10.446379999999976</v>
      </c>
      <c r="I11" s="2">
        <f t="shared" si="1"/>
        <v>10.59272999999996</v>
      </c>
      <c r="J11" s="2">
        <f t="shared" si="2"/>
        <v>0.49652195363777307</v>
      </c>
      <c r="K11" s="2">
        <f t="shared" si="3"/>
        <v>0.50347804636222693</v>
      </c>
      <c r="L11" s="2">
        <f t="shared" si="4"/>
        <v>9.5726940815861791E-2</v>
      </c>
      <c r="M11" s="2">
        <f t="shared" si="5"/>
        <v>4.7530527669659171E-2</v>
      </c>
      <c r="N11" s="2">
        <f t="shared" si="6"/>
        <v>21.039109999999937</v>
      </c>
      <c r="O11" s="13">
        <v>23</v>
      </c>
      <c r="P11" s="2">
        <f t="shared" si="7"/>
        <v>2.2017196387648212</v>
      </c>
      <c r="Q11" s="2"/>
      <c r="R11" s="2"/>
      <c r="S11" s="2"/>
      <c r="T11" s="2"/>
      <c r="U11" s="2"/>
    </row>
    <row r="12" spans="1:21" x14ac:dyDescent="0.35">
      <c r="F12" s="13">
        <v>535.60393999999997</v>
      </c>
      <c r="G12" s="13">
        <v>544.01702</v>
      </c>
      <c r="H12" s="2">
        <f t="shared" si="0"/>
        <v>8.4130800000000363</v>
      </c>
      <c r="I12" s="2">
        <f t="shared" si="1"/>
        <v>9.1362400000000434</v>
      </c>
      <c r="J12" s="2">
        <f t="shared" si="2"/>
        <v>0.47939635267919201</v>
      </c>
      <c r="K12" s="2">
        <f t="shared" si="3"/>
        <v>0.52060364732080799</v>
      </c>
      <c r="L12" s="2">
        <f t="shared" si="4"/>
        <v>0.11886253310321496</v>
      </c>
      <c r="M12" s="2">
        <f t="shared" si="5"/>
        <v>5.6982264839890974E-2</v>
      </c>
      <c r="N12" s="2">
        <f t="shared" si="6"/>
        <v>17.54932000000008</v>
      </c>
      <c r="O12" s="13">
        <v>19</v>
      </c>
      <c r="P12" s="2">
        <f t="shared" si="7"/>
        <v>2.2583881289610841</v>
      </c>
    </row>
    <row r="13" spans="1:21" x14ac:dyDescent="0.35">
      <c r="F13" s="13">
        <v>553.15326000000005</v>
      </c>
      <c r="G13" s="13">
        <v>562.04205999999999</v>
      </c>
      <c r="H13" s="2">
        <f t="shared" si="0"/>
        <v>8.8887999999999465</v>
      </c>
      <c r="I13" s="2">
        <f t="shared" si="1"/>
        <v>11.092049999999972</v>
      </c>
      <c r="J13" s="2">
        <f t="shared" si="2"/>
        <v>0.44486595915589089</v>
      </c>
      <c r="K13" s="2">
        <f t="shared" si="3"/>
        <v>0.55513404084410911</v>
      </c>
      <c r="L13" s="2">
        <f t="shared" si="4"/>
        <v>0.11250112501125079</v>
      </c>
      <c r="M13" s="2">
        <f t="shared" si="5"/>
        <v>5.0047920884246873E-2</v>
      </c>
      <c r="N13" s="2">
        <f t="shared" si="6"/>
        <v>19.980849999999919</v>
      </c>
      <c r="O13" s="13">
        <v>21</v>
      </c>
      <c r="P13" s="2">
        <f t="shared" si="7"/>
        <v>2.3625236252362667</v>
      </c>
    </row>
    <row r="14" spans="1:21" x14ac:dyDescent="0.35">
      <c r="B14" s="8"/>
      <c r="C14" s="6" t="s">
        <v>40</v>
      </c>
      <c r="D14" s="2"/>
      <c r="F14" s="13">
        <v>573.13410999999996</v>
      </c>
      <c r="G14" s="13">
        <v>580.56528000000003</v>
      </c>
      <c r="H14" s="2">
        <f t="shared" si="0"/>
        <v>7.4311700000000656</v>
      </c>
      <c r="I14" s="2">
        <f t="shared" si="1"/>
        <v>10.864590000000021</v>
      </c>
      <c r="J14" s="2">
        <f t="shared" si="2"/>
        <v>0.40616897029694476</v>
      </c>
      <c r="K14" s="2">
        <f t="shared" si="3"/>
        <v>0.59383102970305524</v>
      </c>
      <c r="L14" s="2">
        <f t="shared" si="4"/>
        <v>0.13456831158485019</v>
      </c>
      <c r="M14" s="2">
        <f t="shared" si="5"/>
        <v>5.4657472551017029E-2</v>
      </c>
      <c r="N14" s="2">
        <f t="shared" si="6"/>
        <v>18.295760000000087</v>
      </c>
      <c r="O14" s="13">
        <v>19</v>
      </c>
      <c r="P14" s="2">
        <f t="shared" si="7"/>
        <v>2.5567979201121536</v>
      </c>
    </row>
    <row r="15" spans="1:21" x14ac:dyDescent="0.35">
      <c r="B15" s="36"/>
      <c r="C15" s="6" t="s">
        <v>41</v>
      </c>
      <c r="D15" s="2"/>
      <c r="F15" s="13">
        <v>591.42987000000005</v>
      </c>
      <c r="G15" s="13">
        <v>602.23333000000002</v>
      </c>
      <c r="H15" s="2">
        <f t="shared" si="0"/>
        <v>10.803459999999973</v>
      </c>
      <c r="I15" s="2">
        <f t="shared" si="1"/>
        <v>10.849199999999996</v>
      </c>
      <c r="J15" s="2">
        <f t="shared" si="2"/>
        <v>0.49894377873203516</v>
      </c>
      <c r="K15" s="2">
        <f t="shared" si="3"/>
        <v>0.5010562212679649</v>
      </c>
      <c r="L15" s="2">
        <f t="shared" si="4"/>
        <v>9.2562938169808789E-2</v>
      </c>
      <c r="M15" s="2">
        <f t="shared" si="5"/>
        <v>4.6183702140984127E-2</v>
      </c>
      <c r="N15" s="2">
        <f t="shared" si="6"/>
        <v>21.652659999999969</v>
      </c>
      <c r="O15" s="13">
        <v>23</v>
      </c>
      <c r="P15" s="2">
        <f t="shared" si="7"/>
        <v>2.1289475779056022</v>
      </c>
    </row>
    <row r="16" spans="1:21" x14ac:dyDescent="0.35">
      <c r="B16" s="2"/>
      <c r="C16" s="2"/>
      <c r="D16" s="2"/>
      <c r="F16" s="13">
        <v>613.08253000000002</v>
      </c>
      <c r="G16" s="13">
        <v>621.92990999999995</v>
      </c>
      <c r="H16" s="2">
        <f t="shared" si="0"/>
        <v>8.8473799999999301</v>
      </c>
      <c r="I16" s="2">
        <f t="shared" si="1"/>
        <v>10.685060000000021</v>
      </c>
      <c r="J16" s="2">
        <f t="shared" si="2"/>
        <v>0.4529582581592444</v>
      </c>
      <c r="K16" s="2">
        <f t="shared" si="3"/>
        <v>0.5470417418407556</v>
      </c>
      <c r="L16" s="2">
        <f t="shared" si="4"/>
        <v>0.11302781162332894</v>
      </c>
      <c r="M16" s="2">
        <f t="shared" si="5"/>
        <v>5.1196880676454275E-2</v>
      </c>
      <c r="N16" s="2">
        <f t="shared" si="6"/>
        <v>19.532439999999951</v>
      </c>
      <c r="O16" s="13">
        <v>22</v>
      </c>
      <c r="P16" s="2">
        <f t="shared" si="7"/>
        <v>2.4866118557132366</v>
      </c>
    </row>
    <row r="17" spans="2:16" x14ac:dyDescent="0.35">
      <c r="B17" s="2"/>
      <c r="C17" s="2"/>
      <c r="D17" s="2"/>
      <c r="F17" s="13">
        <v>632.61496999999997</v>
      </c>
      <c r="G17" s="13">
        <v>638.99883</v>
      </c>
      <c r="H17" s="2">
        <f t="shared" si="0"/>
        <v>6.383860000000027</v>
      </c>
      <c r="I17" s="2">
        <f t="shared" si="1"/>
        <v>11.092790000000036</v>
      </c>
      <c r="J17" s="2">
        <f t="shared" si="2"/>
        <v>0.36527938706788793</v>
      </c>
      <c r="K17" s="2">
        <f t="shared" si="3"/>
        <v>0.63472061293211202</v>
      </c>
      <c r="L17" s="2">
        <f t="shared" si="4"/>
        <v>0.15664503920825265</v>
      </c>
      <c r="M17" s="2">
        <f t="shared" si="5"/>
        <v>5.7219203909215803E-2</v>
      </c>
      <c r="N17" s="2">
        <f t="shared" si="6"/>
        <v>17.476650000000063</v>
      </c>
      <c r="O17" s="13">
        <v>17</v>
      </c>
      <c r="P17" s="2">
        <f t="shared" si="7"/>
        <v>2.6629656665402952</v>
      </c>
    </row>
    <row r="18" spans="2:16" ht="16" thickBot="1" x14ac:dyDescent="0.4">
      <c r="B18" s="9" t="s">
        <v>18</v>
      </c>
      <c r="C18" s="9" t="s">
        <v>17</v>
      </c>
      <c r="D18" s="9" t="s">
        <v>20</v>
      </c>
      <c r="F18" s="13">
        <v>650.09162000000003</v>
      </c>
      <c r="G18" s="13">
        <v>656.24550999999997</v>
      </c>
      <c r="H18" s="2">
        <f t="shared" si="0"/>
        <v>6.153889999999933</v>
      </c>
      <c r="I18" s="2">
        <f t="shared" si="1"/>
        <v>11.257249999999999</v>
      </c>
      <c r="J18" s="2">
        <f t="shared" si="2"/>
        <v>0.35344555267489419</v>
      </c>
      <c r="K18" s="2">
        <f t="shared" si="3"/>
        <v>0.64655444732510581</v>
      </c>
      <c r="L18" s="2">
        <f t="shared" si="4"/>
        <v>0.16249884219575111</v>
      </c>
      <c r="M18" s="2">
        <f t="shared" si="5"/>
        <v>5.7434493088907669E-2</v>
      </c>
      <c r="N18" s="2">
        <f t="shared" si="6"/>
        <v>17.411139999999932</v>
      </c>
      <c r="O18" s="13">
        <v>16</v>
      </c>
      <c r="P18" s="2">
        <f t="shared" si="7"/>
        <v>2.5999814751320178</v>
      </c>
    </row>
    <row r="19" spans="2:16" x14ac:dyDescent="0.35">
      <c r="B19" s="94">
        <v>668.07</v>
      </c>
      <c r="C19" s="95">
        <v>671.17</v>
      </c>
      <c r="D19" s="96">
        <f>C19-B19</f>
        <v>3.0999999999999091</v>
      </c>
      <c r="F19" s="10">
        <v>667.50275999999997</v>
      </c>
      <c r="G19" s="11">
        <v>669.43749000000003</v>
      </c>
      <c r="H19" s="11">
        <f t="shared" si="0"/>
        <v>1.9347300000000587</v>
      </c>
      <c r="I19" s="11">
        <f t="shared" si="1"/>
        <v>10.917799999999943</v>
      </c>
      <c r="J19" s="11">
        <f t="shared" si="2"/>
        <v>0.15053300789806043</v>
      </c>
      <c r="K19" s="11">
        <f t="shared" si="3"/>
        <v>0.84946699210193954</v>
      </c>
      <c r="L19" s="11">
        <f t="shared" si="4"/>
        <v>0.51686798674748913</v>
      </c>
      <c r="M19" s="11">
        <f t="shared" si="5"/>
        <v>7.7805692731314366E-2</v>
      </c>
      <c r="N19" s="12">
        <f t="shared" si="6"/>
        <v>12.852530000000002</v>
      </c>
      <c r="O19" s="13">
        <v>9</v>
      </c>
      <c r="P19" s="2">
        <f t="shared" si="7"/>
        <v>4.6518118807274025</v>
      </c>
    </row>
    <row r="20" spans="2:16" x14ac:dyDescent="0.35">
      <c r="B20" s="15">
        <v>680.86</v>
      </c>
      <c r="C20" s="16">
        <v>682.45</v>
      </c>
      <c r="D20" s="17">
        <f t="shared" ref="D20:D26" si="8">C20-B20</f>
        <v>1.5900000000000318</v>
      </c>
      <c r="F20" s="77">
        <v>680.35528999999997</v>
      </c>
      <c r="G20" s="78">
        <v>688.19317999999998</v>
      </c>
      <c r="H20" s="78">
        <f t="shared" si="0"/>
        <v>7.8378900000000158</v>
      </c>
      <c r="I20" s="79">
        <f t="shared" si="1"/>
        <v>15.519130000000018</v>
      </c>
      <c r="J20" s="2">
        <f t="shared" si="2"/>
        <v>0.3355689210353035</v>
      </c>
      <c r="K20" s="2">
        <f t="shared" si="3"/>
        <v>0.66443107896469655</v>
      </c>
      <c r="L20" s="2">
        <f t="shared" si="4"/>
        <v>0.12758535779399788</v>
      </c>
      <c r="M20" s="2">
        <f t="shared" si="5"/>
        <v>4.2813680854835015E-2</v>
      </c>
      <c r="N20" s="2">
        <f t="shared" si="6"/>
        <v>23.357020000000034</v>
      </c>
      <c r="O20" s="13">
        <v>19</v>
      </c>
      <c r="P20" s="2">
        <f t="shared" si="7"/>
        <v>2.4241217980859595</v>
      </c>
    </row>
    <row r="21" spans="2:16" x14ac:dyDescent="0.35">
      <c r="B21" s="15">
        <v>697.46</v>
      </c>
      <c r="C21" s="16">
        <v>700.24</v>
      </c>
      <c r="D21" s="17">
        <f t="shared" si="8"/>
        <v>2.7799999999999727</v>
      </c>
      <c r="F21" s="23">
        <v>703.71231</v>
      </c>
      <c r="G21" s="24">
        <v>711.95925999999997</v>
      </c>
      <c r="H21" s="24">
        <f t="shared" si="0"/>
        <v>8.2469499999999698</v>
      </c>
      <c r="I21" s="22">
        <f t="shared" si="1"/>
        <v>11.963110000000029</v>
      </c>
      <c r="J21" s="2">
        <f t="shared" si="2"/>
        <v>0.4080616287136194</v>
      </c>
      <c r="K21" s="2">
        <f t="shared" si="3"/>
        <v>0.5919383712863806</v>
      </c>
      <c r="L21" s="2">
        <f t="shared" si="4"/>
        <v>0.1212569495389209</v>
      </c>
      <c r="M21" s="2">
        <f t="shared" si="5"/>
        <v>4.9480308321697218E-2</v>
      </c>
      <c r="N21" s="2">
        <f t="shared" si="6"/>
        <v>20.210059999999999</v>
      </c>
      <c r="O21" s="13">
        <v>22</v>
      </c>
      <c r="P21" s="2">
        <f t="shared" si="7"/>
        <v>2.6676528898562597</v>
      </c>
    </row>
    <row r="22" spans="2:16" x14ac:dyDescent="0.35">
      <c r="B22" s="10">
        <v>724.78</v>
      </c>
      <c r="C22" s="11">
        <v>727.76</v>
      </c>
      <c r="D22" s="12">
        <f t="shared" si="8"/>
        <v>2.9800000000000182</v>
      </c>
      <c r="F22" s="10">
        <v>723.92237</v>
      </c>
      <c r="G22" s="11">
        <v>726.54186000000004</v>
      </c>
      <c r="H22" s="11">
        <f t="shared" si="0"/>
        <v>2.6194900000000416</v>
      </c>
      <c r="I22" s="11">
        <f t="shared" si="1"/>
        <v>9.7872499999999718</v>
      </c>
      <c r="J22" s="11">
        <f t="shared" si="2"/>
        <v>0.21113443176854185</v>
      </c>
      <c r="K22" s="11">
        <f t="shared" si="3"/>
        <v>0.78886556823145815</v>
      </c>
      <c r="L22" s="11">
        <f t="shared" si="4"/>
        <v>0.38175370014773263</v>
      </c>
      <c r="M22" s="11">
        <f t="shared" si="5"/>
        <v>8.0601350556229828E-2</v>
      </c>
      <c r="N22" s="12">
        <f t="shared" si="6"/>
        <v>12.406740000000013</v>
      </c>
      <c r="O22" s="13">
        <v>10</v>
      </c>
      <c r="P22" s="2">
        <f t="shared" si="7"/>
        <v>3.817537001477326</v>
      </c>
    </row>
    <row r="23" spans="2:16" x14ac:dyDescent="0.35">
      <c r="B23" s="114">
        <v>738.52</v>
      </c>
      <c r="C23" s="105">
        <v>742.65</v>
      </c>
      <c r="D23" s="106">
        <f t="shared" si="8"/>
        <v>4.1299999999999955</v>
      </c>
      <c r="F23" s="92">
        <v>736.32911000000001</v>
      </c>
      <c r="G23" s="91">
        <v>741.49751000000003</v>
      </c>
      <c r="H23" s="91">
        <f t="shared" si="0"/>
        <v>5.1684000000000196</v>
      </c>
      <c r="I23" s="91">
        <f t="shared" si="1"/>
        <v>8.886889999999994</v>
      </c>
      <c r="J23" s="91">
        <f t="shared" si="2"/>
        <v>0.36771920038647476</v>
      </c>
      <c r="K23" s="91">
        <f t="shared" si="3"/>
        <v>0.63228079961352524</v>
      </c>
      <c r="L23" s="91">
        <f t="shared" si="4"/>
        <v>0.19348347651110523</v>
      </c>
      <c r="M23" s="91">
        <f t="shared" si="5"/>
        <v>7.1147589270658881E-2</v>
      </c>
      <c r="N23" s="93">
        <f t="shared" si="6"/>
        <v>14.055290000000014</v>
      </c>
      <c r="O23" s="13">
        <v>13</v>
      </c>
      <c r="P23" s="2">
        <f t="shared" si="7"/>
        <v>2.5152851946443677</v>
      </c>
    </row>
    <row r="24" spans="2:16" x14ac:dyDescent="0.35">
      <c r="B24" s="10">
        <v>751.11</v>
      </c>
      <c r="C24" s="11">
        <v>755.12</v>
      </c>
      <c r="D24" s="12">
        <f t="shared" si="8"/>
        <v>4.0099999999999909</v>
      </c>
      <c r="F24" s="10">
        <v>750.38440000000003</v>
      </c>
      <c r="G24" s="11">
        <v>753.77643</v>
      </c>
      <c r="H24" s="11">
        <f t="shared" si="0"/>
        <v>3.392029999999977</v>
      </c>
      <c r="I24" s="11">
        <f t="shared" si="1"/>
        <v>10.504279999999994</v>
      </c>
      <c r="J24" s="11">
        <f t="shared" si="2"/>
        <v>0.24409573476699814</v>
      </c>
      <c r="K24" s="11">
        <f t="shared" si="3"/>
        <v>0.7559042652330018</v>
      </c>
      <c r="L24" s="11">
        <f t="shared" si="4"/>
        <v>0.29480871336633424</v>
      </c>
      <c r="M24" s="11">
        <f t="shared" si="5"/>
        <v>7.1961549504868702E-2</v>
      </c>
      <c r="N24" s="12">
        <f t="shared" si="6"/>
        <v>13.896309999999971</v>
      </c>
      <c r="O24" s="13">
        <v>12</v>
      </c>
      <c r="P24" s="2">
        <f t="shared" si="7"/>
        <v>3.5377045603960111</v>
      </c>
    </row>
    <row r="25" spans="2:16" x14ac:dyDescent="0.35">
      <c r="B25" s="92">
        <v>764.89</v>
      </c>
      <c r="C25" s="91">
        <v>767.67</v>
      </c>
      <c r="D25" s="93">
        <f t="shared" si="8"/>
        <v>2.7799999999999727</v>
      </c>
      <c r="F25" s="92">
        <v>764.28071</v>
      </c>
      <c r="G25" s="91">
        <v>767.96487000000002</v>
      </c>
      <c r="H25" s="91">
        <f t="shared" si="0"/>
        <v>3.6841600000000199</v>
      </c>
      <c r="I25" s="91">
        <f t="shared" si="1"/>
        <v>8.7415599999999358</v>
      </c>
      <c r="J25" s="91">
        <f t="shared" si="2"/>
        <v>0.29649469004613277</v>
      </c>
      <c r="K25" s="91">
        <f t="shared" si="3"/>
        <v>0.70350530995386718</v>
      </c>
      <c r="L25" s="91">
        <f t="shared" si="4"/>
        <v>0.27143229392860097</v>
      </c>
      <c r="M25" s="91">
        <f t="shared" si="5"/>
        <v>8.0478233856871362E-2</v>
      </c>
      <c r="N25" s="93">
        <f t="shared" si="6"/>
        <v>12.425719999999956</v>
      </c>
      <c r="O25" s="13">
        <v>13</v>
      </c>
      <c r="P25" s="2">
        <f t="shared" si="7"/>
        <v>3.5286198210718127</v>
      </c>
    </row>
    <row r="26" spans="2:16" x14ac:dyDescent="0.35">
      <c r="B26" s="10">
        <v>779.06</v>
      </c>
      <c r="C26" s="11">
        <v>782.99</v>
      </c>
      <c r="D26" s="12">
        <f t="shared" si="8"/>
        <v>3.9300000000000637</v>
      </c>
      <c r="F26" s="10">
        <v>776.70642999999995</v>
      </c>
      <c r="G26" s="11">
        <v>782.08758999999998</v>
      </c>
      <c r="H26" s="11">
        <f t="shared" si="0"/>
        <v>5.3811600000000226</v>
      </c>
      <c r="I26" s="11">
        <f t="shared" si="1"/>
        <v>8.4202300000000605</v>
      </c>
      <c r="J26" s="11">
        <f t="shared" si="2"/>
        <v>0.38989985791286169</v>
      </c>
      <c r="K26" s="11">
        <f t="shared" si="3"/>
        <v>0.61010014208713836</v>
      </c>
      <c r="L26" s="11">
        <f t="shared" si="4"/>
        <v>0.18583353775022407</v>
      </c>
      <c r="M26" s="11">
        <f t="shared" si="5"/>
        <v>7.2456469964256781E-2</v>
      </c>
      <c r="N26" s="12">
        <f t="shared" si="6"/>
        <v>13.801390000000083</v>
      </c>
      <c r="O26" s="13">
        <v>14</v>
      </c>
      <c r="P26" s="2">
        <f t="shared" si="7"/>
        <v>2.601669528503137</v>
      </c>
    </row>
    <row r="27" spans="2:16" x14ac:dyDescent="0.35">
      <c r="B27" s="328" t="s">
        <v>21</v>
      </c>
      <c r="C27" s="328"/>
      <c r="D27" s="328"/>
      <c r="F27" s="13">
        <v>790.50782000000004</v>
      </c>
      <c r="G27" s="13">
        <v>802.29629</v>
      </c>
      <c r="H27" s="2">
        <f t="shared" si="0"/>
        <v>11.788469999999961</v>
      </c>
      <c r="I27" s="2">
        <f t="shared" si="1"/>
        <v>13.952620000000024</v>
      </c>
      <c r="J27" s="2">
        <f t="shared" si="2"/>
        <v>0.45796312432767872</v>
      </c>
      <c r="K27" s="2">
        <f t="shared" si="3"/>
        <v>0.54203687567232128</v>
      </c>
      <c r="L27" s="2">
        <f t="shared" si="4"/>
        <v>8.4828650367690064E-2</v>
      </c>
      <c r="M27" s="2">
        <f t="shared" si="5"/>
        <v>3.8848393754887633E-2</v>
      </c>
      <c r="N27" s="2">
        <f t="shared" si="6"/>
        <v>25.741089999999986</v>
      </c>
      <c r="O27" s="13">
        <v>25</v>
      </c>
      <c r="P27" s="2">
        <f t="shared" si="7"/>
        <v>2.1207162591922515</v>
      </c>
    </row>
    <row r="28" spans="2:16" x14ac:dyDescent="0.35">
      <c r="B28" s="328"/>
      <c r="C28" s="328"/>
      <c r="D28" s="328"/>
      <c r="F28" s="13">
        <v>816.24891000000002</v>
      </c>
      <c r="G28" s="13">
        <v>824.36141999999995</v>
      </c>
      <c r="H28" s="13">
        <f t="shared" si="0"/>
        <v>8.1125099999999293</v>
      </c>
      <c r="I28" s="2">
        <f t="shared" si="1"/>
        <v>12.324760000000083</v>
      </c>
      <c r="J28" s="2">
        <f t="shared" si="2"/>
        <v>0.39694685249056866</v>
      </c>
      <c r="K28" s="2">
        <f t="shared" si="3"/>
        <v>0.60305314750943129</v>
      </c>
      <c r="L28" s="2">
        <f t="shared" si="4"/>
        <v>0.12326641199826055</v>
      </c>
      <c r="M28" s="2">
        <f t="shared" si="5"/>
        <v>4.8930214260515199E-2</v>
      </c>
      <c r="N28" s="2">
        <f t="shared" si="6"/>
        <v>20.437270000000012</v>
      </c>
      <c r="O28" s="13">
        <v>19</v>
      </c>
      <c r="P28" s="2">
        <f t="shared" si="7"/>
        <v>2.3420618279669503</v>
      </c>
    </row>
    <row r="29" spans="2:16" x14ac:dyDescent="0.35">
      <c r="B29" s="328"/>
      <c r="C29" s="328"/>
      <c r="D29" s="328"/>
      <c r="F29" s="13">
        <v>836.68618000000004</v>
      </c>
      <c r="G29" s="13">
        <v>843.20370000000003</v>
      </c>
      <c r="H29" s="13">
        <f t="shared" si="0"/>
        <v>6.5175199999999904</v>
      </c>
      <c r="I29" s="2">
        <f t="shared" si="1"/>
        <v>14.110619999999926</v>
      </c>
      <c r="J29" s="2">
        <f t="shared" si="2"/>
        <v>0.31595286826635927</v>
      </c>
      <c r="K29" s="2">
        <f t="shared" si="3"/>
        <v>0.68404713173364073</v>
      </c>
      <c r="L29" s="2">
        <f t="shared" si="4"/>
        <v>0.15343259399280731</v>
      </c>
      <c r="M29" s="2">
        <f t="shared" si="5"/>
        <v>4.8477468157575233E-2</v>
      </c>
      <c r="N29" s="2">
        <f t="shared" si="6"/>
        <v>20.628139999999917</v>
      </c>
      <c r="O29" s="13">
        <v>17</v>
      </c>
      <c r="P29" s="2">
        <f t="shared" si="7"/>
        <v>2.608354097877724</v>
      </c>
    </row>
    <row r="30" spans="2:16" x14ac:dyDescent="0.35">
      <c r="B30" s="328"/>
      <c r="C30" s="328"/>
      <c r="D30" s="328"/>
      <c r="F30" s="13">
        <v>857.31431999999995</v>
      </c>
      <c r="G30" s="13">
        <v>863.86779999999999</v>
      </c>
      <c r="H30" s="13">
        <f t="shared" si="0"/>
        <v>6.5534800000000359</v>
      </c>
      <c r="I30" s="2">
        <f t="shared" si="1"/>
        <v>12.268190000000004</v>
      </c>
      <c r="J30" s="2">
        <f t="shared" si="2"/>
        <v>0.34818801944779726</v>
      </c>
      <c r="K30" s="2">
        <f t="shared" si="3"/>
        <v>0.6518119805522028</v>
      </c>
      <c r="L30" s="2">
        <f t="shared" si="4"/>
        <v>0.15259068464388303</v>
      </c>
      <c r="M30" s="2">
        <f t="shared" si="5"/>
        <v>5.313024827233704E-2</v>
      </c>
      <c r="N30" s="2">
        <f t="shared" si="6"/>
        <v>18.82167000000004</v>
      </c>
      <c r="O30" s="13">
        <v>16</v>
      </c>
      <c r="P30" s="2">
        <f t="shared" si="7"/>
        <v>2.4414509543021286</v>
      </c>
    </row>
    <row r="31" spans="2:16" x14ac:dyDescent="0.35">
      <c r="B31" s="328"/>
      <c r="C31" s="328"/>
      <c r="D31" s="328"/>
      <c r="F31" s="13">
        <v>876.13598999999999</v>
      </c>
      <c r="G31" s="13">
        <v>882.15835000000004</v>
      </c>
      <c r="H31" s="13">
        <f t="shared" si="0"/>
        <v>6.0223600000000488</v>
      </c>
      <c r="I31" s="2"/>
      <c r="N31" s="2"/>
    </row>
    <row r="33" spans="6:22" x14ac:dyDescent="0.35">
      <c r="G33" s="49" t="s">
        <v>76</v>
      </c>
      <c r="H33" s="104">
        <f>AVERAGE(H6:H18)</f>
        <v>8.4141876923076815</v>
      </c>
      <c r="I33" s="104">
        <f t="shared" ref="I33:P33" si="9">AVERAGE(I6:I18)</f>
        <v>10.401001538461545</v>
      </c>
      <c r="J33" s="104">
        <f t="shared" si="9"/>
        <v>0.44433382037921398</v>
      </c>
      <c r="K33" s="104">
        <f t="shared" si="9"/>
        <v>0.55566617962078602</v>
      </c>
      <c r="L33" s="104">
        <f t="shared" si="9"/>
        <v>0.12296945512350863</v>
      </c>
      <c r="M33" s="104">
        <f t="shared" si="9"/>
        <v>5.352425762164921E-2</v>
      </c>
      <c r="N33" s="104">
        <f>AVERAGE(N6:N18)</f>
        <v>18.815189230769228</v>
      </c>
      <c r="O33" s="104">
        <f t="shared" si="9"/>
        <v>19.46153846153846</v>
      </c>
      <c r="P33" s="104">
        <f t="shared" si="9"/>
        <v>2.3321919306273804</v>
      </c>
    </row>
    <row r="34" spans="6:22" x14ac:dyDescent="0.35">
      <c r="G34" s="104" t="s">
        <v>20</v>
      </c>
      <c r="H34" s="104">
        <f>AVERAGE(H19,H22:H26)</f>
        <v>3.69666166666669</v>
      </c>
      <c r="I34" s="104">
        <f t="shared" ref="I34:P34" si="10">AVERAGE(I19,I22:I26)</f>
        <v>9.5430016666666493</v>
      </c>
      <c r="J34" s="104">
        <f t="shared" si="10"/>
        <v>0.27664615379651158</v>
      </c>
      <c r="K34" s="104">
        <f t="shared" si="10"/>
        <v>0.72335384620348842</v>
      </c>
      <c r="L34" s="104">
        <f t="shared" si="10"/>
        <v>0.30736328474191438</v>
      </c>
      <c r="M34" s="104">
        <f t="shared" si="10"/>
        <v>7.5741814314033318E-2</v>
      </c>
      <c r="N34" s="104">
        <f t="shared" si="10"/>
        <v>13.23966333333334</v>
      </c>
      <c r="O34" s="104">
        <f t="shared" si="10"/>
        <v>11.833333333333334</v>
      </c>
      <c r="P34" s="104">
        <f t="shared" si="10"/>
        <v>3.4421046644700102</v>
      </c>
    </row>
    <row r="35" spans="6:22" x14ac:dyDescent="0.35">
      <c r="G35" s="104" t="s">
        <v>78</v>
      </c>
      <c r="H35" s="104">
        <f>AVERAGE(H27:H30)</f>
        <v>8.2429949999999792</v>
      </c>
      <c r="I35" s="104">
        <f t="shared" ref="I35:P35" si="11">AVERAGE(I27:I30)</f>
        <v>13.164047500000009</v>
      </c>
      <c r="J35" s="104">
        <f t="shared" si="11"/>
        <v>0.37976271613310097</v>
      </c>
      <c r="K35" s="104">
        <f t="shared" si="11"/>
        <v>0.62023728386689903</v>
      </c>
      <c r="L35" s="104">
        <f t="shared" si="11"/>
        <v>0.12852958525066024</v>
      </c>
      <c r="M35" s="104">
        <f t="shared" si="11"/>
        <v>4.7346581111328771E-2</v>
      </c>
      <c r="N35" s="104">
        <f t="shared" si="11"/>
        <v>21.407042499999989</v>
      </c>
      <c r="O35" s="104">
        <f t="shared" si="11"/>
        <v>19.25</v>
      </c>
      <c r="P35" s="104">
        <f t="shared" si="11"/>
        <v>2.3781457848347634</v>
      </c>
    </row>
    <row r="36" spans="6:22" x14ac:dyDescent="0.35">
      <c r="H36">
        <f>_xlfn.STDEV.S(H6:H18)</f>
        <v>1.6201782228052986</v>
      </c>
    </row>
    <row r="37" spans="6:22" x14ac:dyDescent="0.35">
      <c r="H37">
        <f>_xlfn.STDEV.S(H19,H22:H26)</f>
        <v>1.3682987318771576</v>
      </c>
    </row>
    <row r="39" spans="6:22" ht="18.5" x14ac:dyDescent="0.45">
      <c r="F39" s="1" t="s">
        <v>63</v>
      </c>
      <c r="G39" s="3"/>
      <c r="H39" s="3"/>
      <c r="I39" s="3"/>
      <c r="J39" s="3"/>
      <c r="K39" s="3"/>
      <c r="L39" s="3"/>
      <c r="M39" s="3"/>
      <c r="N39" s="3"/>
      <c r="O39" s="3"/>
      <c r="P39" s="3"/>
      <c r="Q39" s="3"/>
    </row>
    <row r="40" spans="6:22" ht="16" thickBot="1" x14ac:dyDescent="0.4">
      <c r="F40" s="9" t="s">
        <v>1</v>
      </c>
      <c r="G40" s="9" t="s">
        <v>2</v>
      </c>
      <c r="H40" s="9" t="s">
        <v>3</v>
      </c>
      <c r="I40" s="9" t="s">
        <v>4</v>
      </c>
      <c r="J40" s="9" t="s">
        <v>5</v>
      </c>
      <c r="K40" s="9" t="s">
        <v>6</v>
      </c>
      <c r="L40" s="9" t="s">
        <v>7</v>
      </c>
      <c r="M40" s="9" t="s">
        <v>8</v>
      </c>
      <c r="N40" s="9" t="s">
        <v>9</v>
      </c>
      <c r="O40" s="9" t="s">
        <v>10</v>
      </c>
      <c r="P40" s="5" t="s">
        <v>297</v>
      </c>
      <c r="Q40" s="5"/>
      <c r="R40" s="9" t="s">
        <v>11</v>
      </c>
      <c r="S40" s="9" t="s">
        <v>12</v>
      </c>
      <c r="T40" s="9" t="s">
        <v>13</v>
      </c>
      <c r="U40" s="9" t="s">
        <v>14</v>
      </c>
    </row>
    <row r="41" spans="6:22" x14ac:dyDescent="0.35">
      <c r="F41">
        <v>187.63</v>
      </c>
      <c r="G41">
        <v>195.65</v>
      </c>
      <c r="H41" s="13">
        <f t="shared" ref="H41:H73" si="12">G41-F41</f>
        <v>8.0200000000000102</v>
      </c>
      <c r="I41" s="2">
        <f t="shared" ref="I41:I72" si="13">F42-G41</f>
        <v>8.9399999999999977</v>
      </c>
      <c r="J41" s="2">
        <f>H41/N41</f>
        <v>0.47287735849056645</v>
      </c>
      <c r="K41" s="2">
        <f>I41/N41</f>
        <v>0.52712264150943355</v>
      </c>
      <c r="L41" s="2">
        <f>1/H41</f>
        <v>0.12468827930174547</v>
      </c>
      <c r="M41" s="2">
        <f t="shared" ref="M41:M72" si="14">1/N41</f>
        <v>5.8962264150943369E-2</v>
      </c>
      <c r="N41" s="2">
        <f>H41+I41</f>
        <v>16.960000000000008</v>
      </c>
      <c r="O41" s="2">
        <v>22</v>
      </c>
      <c r="P41" s="2">
        <f>O41/H41</f>
        <v>2.7431421446384006</v>
      </c>
      <c r="R41" s="84" t="s">
        <v>64</v>
      </c>
      <c r="S41" s="84"/>
      <c r="T41" s="84"/>
      <c r="U41" s="84"/>
      <c r="V41" s="84"/>
    </row>
    <row r="42" spans="6:22" x14ac:dyDescent="0.35">
      <c r="F42">
        <v>204.59</v>
      </c>
      <c r="G42">
        <v>212.77</v>
      </c>
      <c r="H42" s="13">
        <f t="shared" si="12"/>
        <v>8.1800000000000068</v>
      </c>
      <c r="I42" s="2">
        <f t="shared" si="13"/>
        <v>10.95999999999998</v>
      </c>
      <c r="J42" s="2">
        <f t="shared" ref="J42:J72" si="15">H42/N42</f>
        <v>0.4273772204806694</v>
      </c>
      <c r="K42" s="2">
        <f t="shared" ref="K42:K72" si="16">I42/N42</f>
        <v>0.5726227795193306</v>
      </c>
      <c r="L42" s="2">
        <f t="shared" ref="L42:L72" si="17">1/H42</f>
        <v>0.12224938875305613</v>
      </c>
      <c r="M42" s="2">
        <f t="shared" si="14"/>
        <v>5.2246603970741941E-2</v>
      </c>
      <c r="N42" s="2">
        <f t="shared" ref="N42:N72" si="18">H42+I42</f>
        <v>19.139999999999986</v>
      </c>
      <c r="O42">
        <v>23</v>
      </c>
      <c r="P42" s="2">
        <f t="shared" ref="P42:P72" si="19">O42/H42</f>
        <v>2.8117359413202911</v>
      </c>
    </row>
    <row r="43" spans="6:22" x14ac:dyDescent="0.35">
      <c r="F43">
        <v>223.73</v>
      </c>
      <c r="G43">
        <v>232.07</v>
      </c>
      <c r="H43" s="13">
        <f t="shared" si="12"/>
        <v>8.3400000000000034</v>
      </c>
      <c r="I43" s="2">
        <f t="shared" si="13"/>
        <v>10.240000000000009</v>
      </c>
      <c r="J43" s="2">
        <f t="shared" si="15"/>
        <v>0.44886975242195898</v>
      </c>
      <c r="K43" s="2">
        <f t="shared" si="16"/>
        <v>0.55113024757804108</v>
      </c>
      <c r="L43" s="2">
        <f t="shared" si="17"/>
        <v>0.11990407673860906</v>
      </c>
      <c r="M43" s="2">
        <f t="shared" si="14"/>
        <v>5.3821313240043023E-2</v>
      </c>
      <c r="N43" s="2">
        <f t="shared" si="18"/>
        <v>18.580000000000013</v>
      </c>
      <c r="O43">
        <v>24</v>
      </c>
      <c r="P43" s="2">
        <f t="shared" si="19"/>
        <v>2.8776978417266177</v>
      </c>
    </row>
    <row r="44" spans="6:22" x14ac:dyDescent="0.35">
      <c r="F44">
        <v>242.31</v>
      </c>
      <c r="G44">
        <v>249.78</v>
      </c>
      <c r="H44" s="13">
        <f t="shared" si="12"/>
        <v>7.4699999999999989</v>
      </c>
      <c r="I44" s="2">
        <f t="shared" si="13"/>
        <v>8.6099999999999852</v>
      </c>
      <c r="J44" s="2">
        <f t="shared" si="15"/>
        <v>0.46455223880597052</v>
      </c>
      <c r="K44" s="2">
        <f t="shared" si="16"/>
        <v>0.53544776119402948</v>
      </c>
      <c r="L44" s="2">
        <f t="shared" si="17"/>
        <v>0.13386880856760378</v>
      </c>
      <c r="M44" s="2">
        <f t="shared" si="14"/>
        <v>6.2189054726368223E-2</v>
      </c>
      <c r="N44" s="2">
        <f t="shared" si="18"/>
        <v>16.079999999999984</v>
      </c>
      <c r="O44">
        <v>22</v>
      </c>
      <c r="P44" s="2">
        <f t="shared" si="19"/>
        <v>2.9451137884872831</v>
      </c>
    </row>
    <row r="45" spans="6:22" x14ac:dyDescent="0.35">
      <c r="F45">
        <v>258.39</v>
      </c>
      <c r="G45">
        <v>267.05</v>
      </c>
      <c r="H45" s="13">
        <f t="shared" si="12"/>
        <v>8.660000000000025</v>
      </c>
      <c r="I45" s="2">
        <f t="shared" si="13"/>
        <v>9.1700000000000159</v>
      </c>
      <c r="J45" s="2">
        <f t="shared" si="15"/>
        <v>0.48569826135726335</v>
      </c>
      <c r="K45" s="2">
        <f t="shared" si="16"/>
        <v>0.51430173864273665</v>
      </c>
      <c r="L45" s="2">
        <f t="shared" si="17"/>
        <v>0.1154734411085447</v>
      </c>
      <c r="M45" s="2">
        <f t="shared" si="14"/>
        <v>5.6085249579360501E-2</v>
      </c>
      <c r="N45" s="2">
        <f t="shared" si="18"/>
        <v>17.830000000000041</v>
      </c>
      <c r="O45">
        <v>25</v>
      </c>
      <c r="P45" s="2">
        <f t="shared" si="19"/>
        <v>2.8868360277136174</v>
      </c>
    </row>
    <row r="46" spans="6:22" x14ac:dyDescent="0.35">
      <c r="F46">
        <v>276.22000000000003</v>
      </c>
      <c r="G46">
        <v>285.32</v>
      </c>
      <c r="H46" s="13">
        <f t="shared" si="12"/>
        <v>9.0999999999999659</v>
      </c>
      <c r="I46" s="2">
        <f t="shared" si="13"/>
        <v>9.3299999999999841</v>
      </c>
      <c r="J46" s="2">
        <f t="shared" si="15"/>
        <v>0.49376017362995067</v>
      </c>
      <c r="K46" s="2">
        <f t="shared" si="16"/>
        <v>0.50623982637004938</v>
      </c>
      <c r="L46" s="2">
        <f t="shared" si="17"/>
        <v>0.1098901098901103</v>
      </c>
      <c r="M46" s="2">
        <f t="shared" si="14"/>
        <v>5.4259359739555223E-2</v>
      </c>
      <c r="N46" s="2">
        <f t="shared" si="18"/>
        <v>18.42999999999995</v>
      </c>
      <c r="O46">
        <v>26</v>
      </c>
      <c r="P46" s="2">
        <f t="shared" si="19"/>
        <v>2.8571428571428679</v>
      </c>
    </row>
    <row r="47" spans="6:22" x14ac:dyDescent="0.35">
      <c r="F47">
        <v>294.64999999999998</v>
      </c>
      <c r="G47">
        <v>303.11</v>
      </c>
      <c r="H47" s="13">
        <f t="shared" si="12"/>
        <v>8.4600000000000364</v>
      </c>
      <c r="I47" s="2">
        <f t="shared" si="13"/>
        <v>9.2099999999999795</v>
      </c>
      <c r="J47" s="2">
        <f t="shared" si="15"/>
        <v>0.47877758913412727</v>
      </c>
      <c r="K47" s="2">
        <f t="shared" si="16"/>
        <v>0.52122241086587273</v>
      </c>
      <c r="L47" s="2">
        <f t="shared" si="17"/>
        <v>0.11820330969267089</v>
      </c>
      <c r="M47" s="2">
        <f t="shared" si="14"/>
        <v>5.6593095642331587E-2</v>
      </c>
      <c r="N47" s="2">
        <f t="shared" si="18"/>
        <v>17.670000000000016</v>
      </c>
      <c r="O47">
        <v>25</v>
      </c>
      <c r="P47" s="2">
        <f t="shared" si="19"/>
        <v>2.955082742316772</v>
      </c>
    </row>
    <row r="48" spans="6:22" x14ac:dyDescent="0.35">
      <c r="F48">
        <v>312.32</v>
      </c>
      <c r="G48">
        <v>320.58</v>
      </c>
      <c r="H48" s="13">
        <f t="shared" si="12"/>
        <v>8.2599999999999909</v>
      </c>
      <c r="I48" s="25">
        <f t="shared" si="13"/>
        <v>18.379999999999995</v>
      </c>
      <c r="J48" s="2">
        <f t="shared" si="15"/>
        <v>0.31006006006005987</v>
      </c>
      <c r="K48" s="2">
        <f t="shared" si="16"/>
        <v>0.68993993993994007</v>
      </c>
      <c r="L48" s="2">
        <f t="shared" si="17"/>
        <v>0.12106537530266358</v>
      </c>
      <c r="M48" s="2">
        <f t="shared" si="14"/>
        <v>3.7537537537537559E-2</v>
      </c>
      <c r="N48" s="2">
        <f t="shared" si="18"/>
        <v>26.639999999999986</v>
      </c>
      <c r="O48">
        <v>23</v>
      </c>
      <c r="P48" s="2">
        <f t="shared" si="19"/>
        <v>2.7845036319612619</v>
      </c>
      <c r="R48" s="84" t="s">
        <v>65</v>
      </c>
      <c r="S48" s="84"/>
      <c r="T48" s="84"/>
      <c r="U48" s="84"/>
    </row>
    <row r="49" spans="2:24" x14ac:dyDescent="0.35">
      <c r="F49">
        <v>338.96</v>
      </c>
      <c r="G49">
        <v>346.79</v>
      </c>
      <c r="H49" s="13">
        <f t="shared" si="12"/>
        <v>7.8300000000000409</v>
      </c>
      <c r="I49" s="2">
        <f t="shared" si="13"/>
        <v>9.8899999999999864</v>
      </c>
      <c r="J49" s="2">
        <f t="shared" si="15"/>
        <v>0.44187358916478719</v>
      </c>
      <c r="K49" s="2">
        <f t="shared" si="16"/>
        <v>0.55812641083521286</v>
      </c>
      <c r="L49" s="2">
        <f t="shared" si="17"/>
        <v>0.12771392081736843</v>
      </c>
      <c r="M49" s="2">
        <f t="shared" si="14"/>
        <v>5.6433408577878014E-2</v>
      </c>
      <c r="N49" s="2">
        <f t="shared" si="18"/>
        <v>17.720000000000027</v>
      </c>
      <c r="O49">
        <v>17</v>
      </c>
      <c r="P49" s="2">
        <f t="shared" si="19"/>
        <v>2.1711366538952634</v>
      </c>
    </row>
    <row r="50" spans="2:24" x14ac:dyDescent="0.35">
      <c r="F50">
        <v>356.68</v>
      </c>
      <c r="G50">
        <v>361.68</v>
      </c>
      <c r="H50" s="25">
        <f t="shared" si="12"/>
        <v>5</v>
      </c>
      <c r="I50" s="25">
        <f t="shared" si="13"/>
        <v>12.70999999999998</v>
      </c>
      <c r="J50" s="2">
        <f t="shared" si="15"/>
        <v>0.28232636928289134</v>
      </c>
      <c r="K50" s="2">
        <f t="shared" si="16"/>
        <v>0.71767363071710866</v>
      </c>
      <c r="L50" s="2">
        <f t="shared" si="17"/>
        <v>0.2</v>
      </c>
      <c r="M50" s="2">
        <f t="shared" si="14"/>
        <v>5.646527385657827E-2</v>
      </c>
      <c r="N50" s="2">
        <f t="shared" si="18"/>
        <v>17.70999999999998</v>
      </c>
      <c r="O50">
        <v>20</v>
      </c>
      <c r="P50" s="2">
        <f t="shared" si="19"/>
        <v>4</v>
      </c>
      <c r="R50" s="84" t="s">
        <v>66</v>
      </c>
      <c r="S50" s="84"/>
      <c r="T50" s="84"/>
      <c r="U50" s="84"/>
      <c r="V50" s="84"/>
      <c r="W50" s="84"/>
      <c r="X50" s="84"/>
    </row>
    <row r="51" spans="2:24" ht="16" thickBot="1" x14ac:dyDescent="0.4">
      <c r="B51" s="9" t="s">
        <v>18</v>
      </c>
      <c r="C51" s="9" t="s">
        <v>17</v>
      </c>
      <c r="D51" s="9" t="s">
        <v>20</v>
      </c>
      <c r="F51">
        <v>374.39</v>
      </c>
      <c r="G51">
        <v>383.08</v>
      </c>
      <c r="H51" s="13">
        <f t="shared" si="12"/>
        <v>8.6899999999999977</v>
      </c>
      <c r="I51" s="2">
        <f t="shared" si="13"/>
        <v>9.8500000000000227</v>
      </c>
      <c r="J51" s="2">
        <f t="shared" si="15"/>
        <v>0.46871628910463797</v>
      </c>
      <c r="K51" s="2">
        <f t="shared" si="16"/>
        <v>0.53128371089536197</v>
      </c>
      <c r="L51" s="2">
        <f t="shared" si="17"/>
        <v>0.11507479861910244</v>
      </c>
      <c r="M51" s="2">
        <f t="shared" si="14"/>
        <v>5.3937432578209217E-2</v>
      </c>
      <c r="N51" s="2">
        <f t="shared" si="18"/>
        <v>18.54000000000002</v>
      </c>
      <c r="O51">
        <v>26</v>
      </c>
      <c r="P51" s="2">
        <f t="shared" si="19"/>
        <v>2.9919447640966634</v>
      </c>
    </row>
    <row r="52" spans="2:24" x14ac:dyDescent="0.35">
      <c r="B52" s="94">
        <v>394.08</v>
      </c>
      <c r="C52" s="95">
        <v>398.57</v>
      </c>
      <c r="D52" s="96">
        <f>C52-B52</f>
        <v>4.4900000000000091</v>
      </c>
      <c r="F52" s="10">
        <v>392.93</v>
      </c>
      <c r="G52" s="11">
        <v>397.5</v>
      </c>
      <c r="H52" s="11">
        <f t="shared" si="12"/>
        <v>4.5699999999999932</v>
      </c>
      <c r="I52" s="11">
        <f t="shared" si="13"/>
        <v>10.160000000000025</v>
      </c>
      <c r="J52" s="11">
        <f t="shared" si="15"/>
        <v>0.31025118805159452</v>
      </c>
      <c r="K52" s="11">
        <f t="shared" si="16"/>
        <v>0.68974881194840543</v>
      </c>
      <c r="L52" s="11">
        <f t="shared" si="17"/>
        <v>0.21881838074398283</v>
      </c>
      <c r="M52" s="11">
        <f t="shared" si="14"/>
        <v>6.7888662593346832E-2</v>
      </c>
      <c r="N52" s="12">
        <f t="shared" si="18"/>
        <v>14.730000000000018</v>
      </c>
      <c r="O52">
        <v>21</v>
      </c>
      <c r="P52" s="2">
        <f t="shared" si="19"/>
        <v>4.5951859956236394</v>
      </c>
    </row>
    <row r="53" spans="2:24" x14ac:dyDescent="0.35">
      <c r="B53" s="15">
        <v>408.38</v>
      </c>
      <c r="C53" s="16">
        <v>411.83</v>
      </c>
      <c r="D53" s="17">
        <f>C53-B53</f>
        <v>3.4499999999999886</v>
      </c>
      <c r="F53" s="89">
        <v>407.66</v>
      </c>
      <c r="G53" s="88">
        <v>412.71</v>
      </c>
      <c r="H53" s="88">
        <f t="shared" si="12"/>
        <v>5.0499999999999545</v>
      </c>
      <c r="I53" s="90">
        <f t="shared" si="13"/>
        <v>9.9200000000000159</v>
      </c>
      <c r="J53" s="2">
        <f t="shared" si="15"/>
        <v>0.33734134936539512</v>
      </c>
      <c r="K53" s="2">
        <f t="shared" si="16"/>
        <v>0.66265865063460494</v>
      </c>
      <c r="L53" s="2">
        <f t="shared" si="17"/>
        <v>0.19801980198019981</v>
      </c>
      <c r="M53" s="2">
        <f t="shared" si="14"/>
        <v>6.6800267201068936E-2</v>
      </c>
      <c r="N53" s="2">
        <f t="shared" si="18"/>
        <v>14.96999999999997</v>
      </c>
      <c r="O53">
        <v>22</v>
      </c>
      <c r="P53" s="2">
        <f t="shared" si="19"/>
        <v>4.3564356435643958</v>
      </c>
    </row>
    <row r="54" spans="2:24" x14ac:dyDescent="0.35">
      <c r="B54" s="10">
        <v>423.23</v>
      </c>
      <c r="C54" s="11">
        <v>428.75</v>
      </c>
      <c r="D54" s="12">
        <f>C54-B54</f>
        <v>5.5199999999999818</v>
      </c>
      <c r="F54" s="10">
        <v>422.63</v>
      </c>
      <c r="G54" s="11">
        <v>427.64</v>
      </c>
      <c r="H54" s="11">
        <f t="shared" si="12"/>
        <v>5.0099999999999909</v>
      </c>
      <c r="I54" s="11">
        <f t="shared" si="13"/>
        <v>10.600000000000023</v>
      </c>
      <c r="J54" s="11">
        <f t="shared" si="15"/>
        <v>0.32094811018577746</v>
      </c>
      <c r="K54" s="11">
        <f t="shared" si="16"/>
        <v>0.67905188981422249</v>
      </c>
      <c r="L54" s="11">
        <f t="shared" si="17"/>
        <v>0.19960079840319397</v>
      </c>
      <c r="M54" s="11">
        <f t="shared" si="14"/>
        <v>6.4061499039077457E-2</v>
      </c>
      <c r="N54" s="12">
        <f t="shared" si="18"/>
        <v>15.610000000000014</v>
      </c>
      <c r="O54">
        <v>26</v>
      </c>
      <c r="P54" s="2">
        <f t="shared" si="19"/>
        <v>5.1896207584830432</v>
      </c>
    </row>
    <row r="55" spans="2:24" x14ac:dyDescent="0.35">
      <c r="B55" s="323" t="s">
        <v>21</v>
      </c>
      <c r="C55" s="323"/>
      <c r="D55" s="323"/>
      <c r="F55" s="13">
        <v>438.24</v>
      </c>
      <c r="G55" s="13">
        <v>448.05</v>
      </c>
      <c r="H55" s="13">
        <f t="shared" si="12"/>
        <v>9.8100000000000023</v>
      </c>
      <c r="I55" s="13">
        <f t="shared" si="13"/>
        <v>10.009999999999991</v>
      </c>
      <c r="J55" s="2">
        <f t="shared" si="15"/>
        <v>0.49495459132189734</v>
      </c>
      <c r="K55" s="2">
        <f t="shared" si="16"/>
        <v>0.50504540867810266</v>
      </c>
      <c r="L55" s="2">
        <f t="shared" si="17"/>
        <v>0.10193679918450559</v>
      </c>
      <c r="M55" s="2">
        <f t="shared" si="14"/>
        <v>5.0454086781029278E-2</v>
      </c>
      <c r="N55" s="2">
        <f t="shared" si="18"/>
        <v>19.819999999999993</v>
      </c>
      <c r="O55">
        <v>41</v>
      </c>
      <c r="P55" s="2">
        <f t="shared" si="19"/>
        <v>4.1794087665647286</v>
      </c>
    </row>
    <row r="56" spans="2:24" x14ac:dyDescent="0.35">
      <c r="B56" s="10">
        <v>458.65</v>
      </c>
      <c r="C56" s="11">
        <v>462.94</v>
      </c>
      <c r="D56" s="12">
        <f>C56-B56</f>
        <v>4.2900000000000205</v>
      </c>
      <c r="F56" s="10">
        <v>458.06</v>
      </c>
      <c r="G56" s="11">
        <v>462.58</v>
      </c>
      <c r="H56" s="11">
        <f t="shared" si="12"/>
        <v>4.5199999999999818</v>
      </c>
      <c r="I56" s="11">
        <f t="shared" si="13"/>
        <v>9.7700000000000387</v>
      </c>
      <c r="J56" s="11">
        <f t="shared" si="15"/>
        <v>0.31630510846745802</v>
      </c>
      <c r="K56" s="11">
        <f t="shared" si="16"/>
        <v>0.68369489153254193</v>
      </c>
      <c r="L56" s="11">
        <f t="shared" si="17"/>
        <v>0.22123893805309824</v>
      </c>
      <c r="M56" s="11">
        <f t="shared" si="14"/>
        <v>6.9979006298110463E-2</v>
      </c>
      <c r="N56" s="12">
        <f t="shared" si="18"/>
        <v>14.29000000000002</v>
      </c>
      <c r="O56">
        <v>26</v>
      </c>
      <c r="P56" s="2">
        <f t="shared" si="19"/>
        <v>5.7522123893805537</v>
      </c>
    </row>
    <row r="57" spans="2:24" x14ac:dyDescent="0.35">
      <c r="B57" s="323" t="s">
        <v>21</v>
      </c>
      <c r="C57" s="323"/>
      <c r="D57" s="323"/>
      <c r="F57" s="13">
        <v>472.35</v>
      </c>
      <c r="G57" s="13">
        <v>482.08</v>
      </c>
      <c r="H57" s="13">
        <f t="shared" si="12"/>
        <v>9.7299999999999613</v>
      </c>
      <c r="I57" s="13">
        <f t="shared" si="13"/>
        <v>10.210000000000036</v>
      </c>
      <c r="J57" s="2">
        <f t="shared" si="15"/>
        <v>0.48796389167502319</v>
      </c>
      <c r="K57" s="2">
        <f t="shared" si="16"/>
        <v>0.51203610832497681</v>
      </c>
      <c r="L57" s="2">
        <f t="shared" si="17"/>
        <v>0.10277492291880821</v>
      </c>
      <c r="M57" s="2">
        <f t="shared" si="14"/>
        <v>5.0150451354062195E-2</v>
      </c>
      <c r="N57" s="2">
        <f t="shared" si="18"/>
        <v>19.939999999999998</v>
      </c>
      <c r="O57">
        <v>40</v>
      </c>
      <c r="P57" s="2">
        <f t="shared" si="19"/>
        <v>4.1109969167523284</v>
      </c>
    </row>
    <row r="58" spans="2:24" x14ac:dyDescent="0.35">
      <c r="B58" s="10">
        <v>492.84</v>
      </c>
      <c r="C58" s="11">
        <v>497.45</v>
      </c>
      <c r="D58" s="12">
        <f>C58-B58</f>
        <v>4.6100000000000136</v>
      </c>
      <c r="F58" s="10">
        <v>492.29</v>
      </c>
      <c r="G58" s="11">
        <v>496.53</v>
      </c>
      <c r="H58" s="11">
        <f t="shared" si="12"/>
        <v>4.2399999999999523</v>
      </c>
      <c r="I58" s="11">
        <f t="shared" si="13"/>
        <v>9.8500000000000227</v>
      </c>
      <c r="J58" s="11">
        <f t="shared" si="15"/>
        <v>0.30092264017033071</v>
      </c>
      <c r="K58" s="11">
        <f t="shared" si="16"/>
        <v>0.69907735982966923</v>
      </c>
      <c r="L58" s="11">
        <f t="shared" si="17"/>
        <v>0.23584905660377625</v>
      </c>
      <c r="M58" s="11">
        <f t="shared" si="14"/>
        <v>7.0972320794890117E-2</v>
      </c>
      <c r="N58" s="12">
        <f t="shared" si="18"/>
        <v>14.089999999999975</v>
      </c>
      <c r="O58">
        <v>23</v>
      </c>
      <c r="P58" s="2">
        <f t="shared" si="19"/>
        <v>5.4245283018868538</v>
      </c>
    </row>
    <row r="59" spans="2:24" x14ac:dyDescent="0.35">
      <c r="B59" s="329" t="s">
        <v>21</v>
      </c>
      <c r="C59" s="329"/>
      <c r="D59" s="329"/>
      <c r="F59" s="13">
        <v>506.38</v>
      </c>
      <c r="G59" s="13">
        <v>516.23</v>
      </c>
      <c r="H59" s="13">
        <f t="shared" si="12"/>
        <v>9.8500000000000227</v>
      </c>
      <c r="I59" s="13">
        <f t="shared" si="13"/>
        <v>11.480000000000018</v>
      </c>
      <c r="J59" s="2">
        <f t="shared" si="15"/>
        <v>0.46179090482887969</v>
      </c>
      <c r="K59" s="2">
        <f t="shared" si="16"/>
        <v>0.53820909517112026</v>
      </c>
      <c r="L59" s="2">
        <f t="shared" si="17"/>
        <v>0.10152284263959367</v>
      </c>
      <c r="M59" s="2">
        <f t="shared" si="14"/>
        <v>4.6882325363337932E-2</v>
      </c>
      <c r="N59" s="2">
        <f t="shared" si="18"/>
        <v>21.330000000000041</v>
      </c>
      <c r="O59">
        <v>42</v>
      </c>
      <c r="P59" s="2">
        <f t="shared" si="19"/>
        <v>4.2639593908629347</v>
      </c>
    </row>
    <row r="60" spans="2:24" x14ac:dyDescent="0.35">
      <c r="B60" s="328"/>
      <c r="C60" s="328"/>
      <c r="D60" s="328"/>
      <c r="F60" s="13">
        <v>527.71</v>
      </c>
      <c r="G60" s="13">
        <v>536.16</v>
      </c>
      <c r="H60" s="13">
        <f t="shared" si="12"/>
        <v>8.4499999999999318</v>
      </c>
      <c r="I60" s="13">
        <f t="shared" si="13"/>
        <v>12.080000000000041</v>
      </c>
      <c r="J60" s="2">
        <f t="shared" si="15"/>
        <v>0.41159279103750329</v>
      </c>
      <c r="K60" s="2">
        <f t="shared" si="16"/>
        <v>0.58840720896249665</v>
      </c>
      <c r="L60" s="2">
        <f t="shared" si="17"/>
        <v>0.11834319526627314</v>
      </c>
      <c r="M60" s="2">
        <f t="shared" si="14"/>
        <v>4.870920603994161E-2</v>
      </c>
      <c r="N60" s="2">
        <f t="shared" si="18"/>
        <v>20.529999999999973</v>
      </c>
      <c r="O60">
        <v>36</v>
      </c>
      <c r="P60" s="2">
        <f t="shared" si="19"/>
        <v>4.260355029585833</v>
      </c>
    </row>
    <row r="61" spans="2:24" x14ac:dyDescent="0.35">
      <c r="B61" s="328"/>
      <c r="C61" s="328"/>
      <c r="D61" s="328"/>
      <c r="F61" s="13">
        <v>548.24</v>
      </c>
      <c r="G61" s="13">
        <v>558.32000000000005</v>
      </c>
      <c r="H61" s="13">
        <f t="shared" si="12"/>
        <v>10.080000000000041</v>
      </c>
      <c r="I61" s="13">
        <f t="shared" si="13"/>
        <v>11.039999999999964</v>
      </c>
      <c r="J61" s="2">
        <f t="shared" si="15"/>
        <v>0.47727272727272912</v>
      </c>
      <c r="K61" s="2">
        <f t="shared" si="16"/>
        <v>0.52272727272727093</v>
      </c>
      <c r="L61" s="2">
        <f t="shared" si="17"/>
        <v>9.9206349206348798E-2</v>
      </c>
      <c r="M61" s="2">
        <f t="shared" si="14"/>
        <v>4.7348484848484841E-2</v>
      </c>
      <c r="N61" s="2">
        <f t="shared" si="18"/>
        <v>21.120000000000005</v>
      </c>
      <c r="O61">
        <v>46</v>
      </c>
      <c r="P61" s="2">
        <f t="shared" si="19"/>
        <v>4.5634920634920446</v>
      </c>
    </row>
    <row r="62" spans="2:24" x14ac:dyDescent="0.35">
      <c r="B62" s="328"/>
      <c r="C62" s="328"/>
      <c r="D62" s="328"/>
      <c r="F62" s="13">
        <v>569.36</v>
      </c>
      <c r="G62" s="13">
        <v>577.34</v>
      </c>
      <c r="H62" s="13">
        <f t="shared" si="12"/>
        <v>7.9800000000000182</v>
      </c>
      <c r="I62" s="13">
        <f t="shared" si="13"/>
        <v>11.039999999999964</v>
      </c>
      <c r="J62" s="2">
        <f t="shared" si="15"/>
        <v>0.41955835962145244</v>
      </c>
      <c r="K62" s="2">
        <f t="shared" si="16"/>
        <v>0.58044164037854751</v>
      </c>
      <c r="L62" s="2">
        <f t="shared" si="17"/>
        <v>0.12531328320801977</v>
      </c>
      <c r="M62" s="2">
        <f t="shared" si="14"/>
        <v>5.2576235541535274E-2</v>
      </c>
      <c r="N62" s="2">
        <f t="shared" si="18"/>
        <v>19.019999999999982</v>
      </c>
      <c r="O62">
        <v>34</v>
      </c>
      <c r="P62" s="2">
        <f t="shared" si="19"/>
        <v>4.2606516290726724</v>
      </c>
    </row>
    <row r="63" spans="2:24" x14ac:dyDescent="0.35">
      <c r="B63" s="328"/>
      <c r="C63" s="328"/>
      <c r="D63" s="328"/>
      <c r="F63" s="13">
        <v>588.38</v>
      </c>
      <c r="G63" s="13">
        <v>595.85</v>
      </c>
      <c r="H63" s="13">
        <f t="shared" si="12"/>
        <v>7.4700000000000273</v>
      </c>
      <c r="I63" s="13">
        <f t="shared" si="13"/>
        <v>11.549999999999955</v>
      </c>
      <c r="J63" s="2">
        <f t="shared" si="15"/>
        <v>0.39274447949526997</v>
      </c>
      <c r="K63" s="2">
        <f t="shared" si="16"/>
        <v>0.60725552050473008</v>
      </c>
      <c r="L63" s="2">
        <f t="shared" si="17"/>
        <v>0.13386880856760325</v>
      </c>
      <c r="M63" s="2">
        <f t="shared" si="14"/>
        <v>5.2576235541535274E-2</v>
      </c>
      <c r="N63" s="2">
        <f t="shared" si="18"/>
        <v>19.019999999999982</v>
      </c>
      <c r="O63">
        <v>33</v>
      </c>
      <c r="P63" s="2">
        <f t="shared" si="19"/>
        <v>4.4176706827309076</v>
      </c>
    </row>
    <row r="64" spans="2:24" x14ac:dyDescent="0.35">
      <c r="B64" s="328"/>
      <c r="C64" s="328"/>
      <c r="D64" s="328"/>
      <c r="F64" s="13">
        <v>607.4</v>
      </c>
      <c r="G64" s="13">
        <v>616.82000000000005</v>
      </c>
      <c r="H64" s="13">
        <f t="shared" si="12"/>
        <v>9.4200000000000728</v>
      </c>
      <c r="I64" s="13">
        <f t="shared" si="13"/>
        <v>10.559999999999945</v>
      </c>
      <c r="J64" s="2">
        <f t="shared" si="15"/>
        <v>0.47147147147147467</v>
      </c>
      <c r="K64" s="2">
        <f t="shared" si="16"/>
        <v>0.52852852852852528</v>
      </c>
      <c r="L64" s="2">
        <f t="shared" si="17"/>
        <v>0.10615711252653846</v>
      </c>
      <c r="M64" s="2">
        <f t="shared" si="14"/>
        <v>5.0050050050050005E-2</v>
      </c>
      <c r="N64" s="2">
        <f t="shared" si="18"/>
        <v>19.980000000000018</v>
      </c>
      <c r="O64">
        <v>39</v>
      </c>
      <c r="P64" s="2">
        <f t="shared" si="19"/>
        <v>4.1401273885350003</v>
      </c>
    </row>
    <row r="65" spans="2:16" x14ac:dyDescent="0.35">
      <c r="B65" s="328"/>
      <c r="C65" s="328"/>
      <c r="D65" s="328"/>
      <c r="F65" s="13">
        <v>627.38</v>
      </c>
      <c r="G65" s="13">
        <v>634.09</v>
      </c>
      <c r="H65" s="13">
        <f t="shared" si="12"/>
        <v>6.7100000000000364</v>
      </c>
      <c r="I65" s="13">
        <f t="shared" si="13"/>
        <v>11.629999999999995</v>
      </c>
      <c r="J65" s="2">
        <f t="shared" si="15"/>
        <v>0.36586695747001224</v>
      </c>
      <c r="K65" s="2">
        <f t="shared" si="16"/>
        <v>0.6341330425299877</v>
      </c>
      <c r="L65" s="2">
        <f t="shared" si="17"/>
        <v>0.14903129657227937</v>
      </c>
      <c r="M65" s="2">
        <f t="shared" si="14"/>
        <v>5.4525627044710923E-2</v>
      </c>
      <c r="N65" s="2">
        <f t="shared" si="18"/>
        <v>18.340000000000032</v>
      </c>
      <c r="O65">
        <v>25</v>
      </c>
      <c r="P65" s="2">
        <f t="shared" si="19"/>
        <v>3.7257824143069844</v>
      </c>
    </row>
    <row r="66" spans="2:16" x14ac:dyDescent="0.35">
      <c r="B66" s="330"/>
      <c r="C66" s="330"/>
      <c r="D66" s="330"/>
      <c r="F66" s="13">
        <v>645.72</v>
      </c>
      <c r="G66" s="13">
        <v>652.59</v>
      </c>
      <c r="H66" s="13">
        <f t="shared" si="12"/>
        <v>6.8700000000000045</v>
      </c>
      <c r="I66" s="13">
        <f t="shared" si="13"/>
        <v>12.199999999999932</v>
      </c>
      <c r="J66" s="2">
        <f t="shared" si="15"/>
        <v>0.36025170424751063</v>
      </c>
      <c r="K66" s="2">
        <f t="shared" si="16"/>
        <v>0.63974829575248937</v>
      </c>
      <c r="L66" s="2">
        <f t="shared" si="17"/>
        <v>0.1455604075691411</v>
      </c>
      <c r="M66" s="2">
        <f t="shared" si="14"/>
        <v>5.2438384897745327E-2</v>
      </c>
      <c r="N66" s="2">
        <f t="shared" si="18"/>
        <v>19.069999999999936</v>
      </c>
      <c r="O66">
        <v>28</v>
      </c>
      <c r="P66" s="2">
        <f t="shared" si="19"/>
        <v>4.0756914119359511</v>
      </c>
    </row>
    <row r="67" spans="2:16" x14ac:dyDescent="0.35">
      <c r="B67" s="10">
        <v>665.38</v>
      </c>
      <c r="C67" s="11">
        <v>669.87</v>
      </c>
      <c r="D67" s="12">
        <f>C67-B67</f>
        <v>4.4900000000000091</v>
      </c>
      <c r="F67" s="10">
        <v>664.79</v>
      </c>
      <c r="G67" s="11">
        <v>669.15</v>
      </c>
      <c r="H67" s="11">
        <f t="shared" si="12"/>
        <v>4.3600000000000136</v>
      </c>
      <c r="I67" s="11">
        <f t="shared" si="13"/>
        <v>9.6900000000000546</v>
      </c>
      <c r="J67" s="11">
        <f t="shared" si="15"/>
        <v>0.31032028469750839</v>
      </c>
      <c r="K67" s="11">
        <f t="shared" si="16"/>
        <v>0.68967971530249161</v>
      </c>
      <c r="L67" s="11">
        <f t="shared" si="17"/>
        <v>0.22935779816513691</v>
      </c>
      <c r="M67" s="11">
        <f t="shared" si="14"/>
        <v>7.1174377224198948E-2</v>
      </c>
      <c r="N67" s="12">
        <f t="shared" si="18"/>
        <v>14.050000000000068</v>
      </c>
      <c r="O67">
        <v>24</v>
      </c>
      <c r="P67" s="2">
        <f t="shared" si="19"/>
        <v>5.5045871559632857</v>
      </c>
    </row>
    <row r="68" spans="2:16" x14ac:dyDescent="0.35">
      <c r="B68" s="23">
        <v>679.64</v>
      </c>
      <c r="C68" s="24">
        <v>682.69</v>
      </c>
      <c r="D68" s="22">
        <f>C68-B68</f>
        <v>3.0500000000000682</v>
      </c>
      <c r="F68" s="77">
        <v>678.84</v>
      </c>
      <c r="G68" s="78">
        <v>683.29</v>
      </c>
      <c r="H68" s="78">
        <f t="shared" si="12"/>
        <v>4.4499999999999318</v>
      </c>
      <c r="I68" s="79">
        <f t="shared" si="13"/>
        <v>9.8100000000000591</v>
      </c>
      <c r="J68" s="2">
        <f t="shared" si="15"/>
        <v>0.3120617110799393</v>
      </c>
      <c r="K68" s="2">
        <f t="shared" si="16"/>
        <v>0.6879382889200607</v>
      </c>
      <c r="L68" s="2">
        <f t="shared" si="17"/>
        <v>0.22471910112359894</v>
      </c>
      <c r="M68" s="2">
        <f t="shared" si="14"/>
        <v>7.0126227208976197E-2</v>
      </c>
      <c r="N68" s="2">
        <f t="shared" si="18"/>
        <v>14.259999999999991</v>
      </c>
      <c r="O68">
        <v>25</v>
      </c>
      <c r="P68" s="2">
        <f t="shared" si="19"/>
        <v>5.6179775280899742</v>
      </c>
    </row>
    <row r="69" spans="2:16" x14ac:dyDescent="0.35">
      <c r="B69" s="328" t="s">
        <v>21</v>
      </c>
      <c r="C69" s="328"/>
      <c r="D69" s="328"/>
      <c r="F69" s="115">
        <v>693.1</v>
      </c>
      <c r="G69" s="116">
        <v>702.27</v>
      </c>
      <c r="H69" s="116">
        <f t="shared" si="12"/>
        <v>9.1699999999999591</v>
      </c>
      <c r="I69" s="117">
        <f t="shared" si="13"/>
        <v>10.560000000000059</v>
      </c>
      <c r="J69" s="2">
        <f t="shared" si="15"/>
        <v>0.4647744551444476</v>
      </c>
      <c r="K69" s="2">
        <f t="shared" si="16"/>
        <v>0.5352255448555524</v>
      </c>
      <c r="L69" s="2">
        <f t="shared" si="17"/>
        <v>0.10905125408942251</v>
      </c>
      <c r="M69" s="2">
        <f t="shared" si="14"/>
        <v>5.0684237202230059E-2</v>
      </c>
      <c r="N69" s="2">
        <f t="shared" si="18"/>
        <v>19.730000000000018</v>
      </c>
      <c r="O69">
        <v>41</v>
      </c>
      <c r="P69" s="2">
        <f t="shared" si="19"/>
        <v>4.4711014176663229</v>
      </c>
    </row>
    <row r="70" spans="2:16" x14ac:dyDescent="0.35">
      <c r="B70" s="328"/>
      <c r="C70" s="328"/>
      <c r="D70" s="328"/>
      <c r="F70" s="13">
        <v>712.83</v>
      </c>
      <c r="G70" s="13">
        <v>721.33</v>
      </c>
      <c r="H70" s="13">
        <f t="shared" si="12"/>
        <v>8.5</v>
      </c>
      <c r="I70" s="13">
        <f t="shared" si="13"/>
        <v>11.159999999999968</v>
      </c>
      <c r="J70" s="2">
        <f t="shared" si="15"/>
        <v>0.43234994913530078</v>
      </c>
      <c r="K70" s="2">
        <f t="shared" si="16"/>
        <v>0.56765005086469922</v>
      </c>
      <c r="L70" s="2">
        <f t="shared" si="17"/>
        <v>0.11764705882352941</v>
      </c>
      <c r="M70" s="2">
        <f t="shared" si="14"/>
        <v>5.0864699898270679E-2</v>
      </c>
      <c r="N70" s="2">
        <f t="shared" si="18"/>
        <v>19.659999999999968</v>
      </c>
      <c r="O70">
        <v>37</v>
      </c>
      <c r="P70" s="2">
        <f t="shared" si="19"/>
        <v>4.3529411764705879</v>
      </c>
    </row>
    <row r="71" spans="2:16" x14ac:dyDescent="0.35">
      <c r="B71" s="328"/>
      <c r="C71" s="328"/>
      <c r="D71" s="328"/>
      <c r="F71" s="13">
        <v>732.49</v>
      </c>
      <c r="G71" s="13">
        <v>742.66</v>
      </c>
      <c r="H71" s="13">
        <f t="shared" si="12"/>
        <v>10.169999999999959</v>
      </c>
      <c r="I71" s="13">
        <f t="shared" si="13"/>
        <v>9.8500000000000227</v>
      </c>
      <c r="J71" s="2">
        <f t="shared" si="15"/>
        <v>0.50799200799200639</v>
      </c>
      <c r="K71" s="2">
        <f t="shared" si="16"/>
        <v>0.49200799200799361</v>
      </c>
      <c r="L71" s="2">
        <f t="shared" si="17"/>
        <v>9.8328416912488101E-2</v>
      </c>
      <c r="M71" s="2">
        <f t="shared" si="14"/>
        <v>4.9950049950049993E-2</v>
      </c>
      <c r="N71" s="2">
        <f t="shared" si="18"/>
        <v>20.019999999999982</v>
      </c>
      <c r="O71">
        <v>40</v>
      </c>
      <c r="P71" s="2">
        <f t="shared" si="19"/>
        <v>3.9331366764995241</v>
      </c>
    </row>
    <row r="72" spans="2:16" x14ac:dyDescent="0.35">
      <c r="B72" s="328"/>
      <c r="C72" s="328"/>
      <c r="D72" s="328"/>
      <c r="F72" s="13">
        <v>752.51</v>
      </c>
      <c r="G72" s="13">
        <v>761.32</v>
      </c>
      <c r="H72" s="13">
        <f t="shared" si="12"/>
        <v>8.8100000000000591</v>
      </c>
      <c r="I72" s="13">
        <f t="shared" si="13"/>
        <v>12.949999999999932</v>
      </c>
      <c r="J72" s="2">
        <f t="shared" si="15"/>
        <v>0.40487132352941463</v>
      </c>
      <c r="K72" s="2">
        <f t="shared" si="16"/>
        <v>0.59512867647058532</v>
      </c>
      <c r="L72" s="2">
        <f t="shared" si="17"/>
        <v>0.11350737797956791</v>
      </c>
      <c r="M72" s="2">
        <f t="shared" si="14"/>
        <v>4.5955882352941194E-2</v>
      </c>
      <c r="N72" s="2">
        <f t="shared" si="18"/>
        <v>21.759999999999991</v>
      </c>
      <c r="O72">
        <v>38</v>
      </c>
      <c r="P72" s="2">
        <f t="shared" si="19"/>
        <v>4.3132803632235808</v>
      </c>
    </row>
    <row r="73" spans="2:16" x14ac:dyDescent="0.35">
      <c r="B73" s="328"/>
      <c r="C73" s="328"/>
      <c r="D73" s="328"/>
      <c r="F73" s="13">
        <v>774.27</v>
      </c>
      <c r="G73" s="13">
        <v>783.52</v>
      </c>
      <c r="H73" s="13">
        <f t="shared" si="12"/>
        <v>9.25</v>
      </c>
      <c r="I73" s="13"/>
    </row>
    <row r="74" spans="2:16" x14ac:dyDescent="0.35">
      <c r="B74" s="13"/>
      <c r="C74" s="13"/>
      <c r="D74" s="13"/>
      <c r="F74" s="85"/>
      <c r="G74" s="85"/>
      <c r="H74" s="13"/>
      <c r="I74" s="2"/>
    </row>
    <row r="75" spans="2:16" x14ac:dyDescent="0.35">
      <c r="F75" s="85"/>
      <c r="G75" s="49" t="s">
        <v>76</v>
      </c>
      <c r="H75" s="49">
        <f>AVERAGE(H41:H47,H49,H51)</f>
        <v>8.3055555555555642</v>
      </c>
      <c r="I75" s="49">
        <f t="shared" ref="I75:N75" si="20">AVERAGE(I41:I47,I49,I51)</f>
        <v>9.5777777777777739</v>
      </c>
      <c r="J75" s="49">
        <f t="shared" si="20"/>
        <v>0.4647224969544369</v>
      </c>
      <c r="K75" s="49">
        <f t="shared" si="20"/>
        <v>0.53527750304556321</v>
      </c>
      <c r="L75" s="49">
        <f t="shared" si="20"/>
        <v>0.12078512594320125</v>
      </c>
      <c r="M75" s="49">
        <f t="shared" si="20"/>
        <v>5.6058642467270131E-2</v>
      </c>
      <c r="N75" s="49">
        <f t="shared" si="20"/>
        <v>17.88333333333334</v>
      </c>
      <c r="O75" s="49">
        <f>AVERAGE(O41:O51)</f>
        <v>23</v>
      </c>
      <c r="P75" s="49">
        <f>AVERAGE(P41:P51)</f>
        <v>2.9113033084817306</v>
      </c>
    </row>
    <row r="76" spans="2:16" x14ac:dyDescent="0.35">
      <c r="F76" s="85"/>
      <c r="G76" s="104" t="s">
        <v>20</v>
      </c>
      <c r="H76" s="104">
        <f>AVERAGE(H52:H54,H56,H58,H67,H68)</f>
        <v>4.5999999999999739</v>
      </c>
      <c r="I76" s="104">
        <f t="shared" ref="I76:N76" si="21">AVERAGE(I52:I54,I56,I58,I67,I68)</f>
        <v>9.9714285714286053</v>
      </c>
      <c r="J76" s="104">
        <f t="shared" si="21"/>
        <v>0.31545005600257198</v>
      </c>
      <c r="K76" s="104">
        <f t="shared" si="21"/>
        <v>0.68454994399742808</v>
      </c>
      <c r="L76" s="104">
        <f t="shared" si="21"/>
        <v>0.21822912501042671</v>
      </c>
      <c r="M76" s="104">
        <f t="shared" si="21"/>
        <v>6.8714622908524134E-2</v>
      </c>
      <c r="N76" s="104">
        <f t="shared" si="21"/>
        <v>14.57142857142858</v>
      </c>
      <c r="O76" s="104">
        <f>AVERAGE(O52:O54,O56,O58,O67,O68)</f>
        <v>23.857142857142858</v>
      </c>
      <c r="P76" s="104">
        <f>AVERAGE(P52:P54,P56,P58,P67,P68)</f>
        <v>5.2057925389988204</v>
      </c>
    </row>
    <row r="77" spans="2:16" x14ac:dyDescent="0.35">
      <c r="F77" s="85"/>
      <c r="G77" s="104" t="s">
        <v>78</v>
      </c>
      <c r="H77" s="104">
        <f>AVERAGE(H55,H57,H59:H66,H69:H72)</f>
        <v>8.7871428571428645</v>
      </c>
      <c r="I77" s="104">
        <f t="shared" ref="I77:N77" si="22">AVERAGE(I55,I57,I59:I66,I69:I72)</f>
        <v>11.165714285714273</v>
      </c>
      <c r="J77" s="104">
        <f t="shared" si="22"/>
        <v>0.43953254387449447</v>
      </c>
      <c r="K77" s="104">
        <f t="shared" si="22"/>
        <v>0.56046745612550553</v>
      </c>
      <c r="L77" s="104">
        <f t="shared" si="22"/>
        <v>0.11587493753315137</v>
      </c>
      <c r="M77" s="104">
        <f t="shared" si="22"/>
        <v>5.0226139776137477E-2</v>
      </c>
      <c r="N77" s="104">
        <f t="shared" si="22"/>
        <v>19.952857142857138</v>
      </c>
      <c r="O77" s="104">
        <f>AVERAGE(O55,O57,O59:O66,O69:O72)</f>
        <v>37.142857142857146</v>
      </c>
      <c r="P77" s="104">
        <f>AVERAGE(P55,P57,P59:P66,P69:P72)</f>
        <v>4.2191853805499573</v>
      </c>
    </row>
    <row r="78" spans="2:16" x14ac:dyDescent="0.35">
      <c r="F78" s="85"/>
      <c r="G78" s="104"/>
    </row>
    <row r="79" spans="2:16" x14ac:dyDescent="0.35">
      <c r="F79" s="85"/>
      <c r="G79" s="104"/>
    </row>
    <row r="80" spans="2:16" x14ac:dyDescent="0.35">
      <c r="F80" s="85"/>
      <c r="G80" s="104"/>
    </row>
    <row r="82" spans="6:21" ht="18.5" x14ac:dyDescent="0.45">
      <c r="F82" s="1" t="s">
        <v>67</v>
      </c>
      <c r="G82" s="3"/>
      <c r="H82" s="3"/>
      <c r="I82" s="3"/>
      <c r="J82" s="3"/>
      <c r="K82" s="3"/>
      <c r="L82" s="3"/>
      <c r="M82" s="3"/>
      <c r="N82" s="3"/>
      <c r="O82" s="3"/>
      <c r="P82" s="3"/>
    </row>
    <row r="83" spans="6:21" ht="16" thickBot="1" x14ac:dyDescent="0.4">
      <c r="F83" s="9" t="s">
        <v>1</v>
      </c>
      <c r="G83" s="9" t="s">
        <v>2</v>
      </c>
      <c r="H83" s="9" t="s">
        <v>3</v>
      </c>
      <c r="I83" s="9" t="s">
        <v>4</v>
      </c>
      <c r="J83" s="9" t="s">
        <v>5</v>
      </c>
      <c r="K83" s="9" t="s">
        <v>6</v>
      </c>
      <c r="L83" s="9" t="s">
        <v>7</v>
      </c>
      <c r="M83" s="9" t="s">
        <v>8</v>
      </c>
      <c r="N83" s="9" t="s">
        <v>9</v>
      </c>
      <c r="O83" s="9" t="s">
        <v>10</v>
      </c>
      <c r="P83" s="5"/>
      <c r="R83" s="9" t="s">
        <v>11</v>
      </c>
      <c r="S83" s="9" t="s">
        <v>12</v>
      </c>
      <c r="T83" s="9" t="s">
        <v>13</v>
      </c>
      <c r="U83" s="9" t="s">
        <v>14</v>
      </c>
    </row>
    <row r="84" spans="6:21" ht="15.5" x14ac:dyDescent="0.35">
      <c r="F84" s="46">
        <v>165.88852</v>
      </c>
      <c r="G84" s="46">
        <v>179.16188</v>
      </c>
      <c r="H84" s="13">
        <f t="shared" ref="H84:H93" si="23">G84-F84</f>
        <v>13.273359999999997</v>
      </c>
      <c r="I84" s="2">
        <f t="shared" ref="I84:I93" si="24">F85-G84</f>
        <v>9.7102800000000116</v>
      </c>
      <c r="J84" s="2">
        <f t="shared" ref="J84:J93" si="25">H84/N84</f>
        <v>0.57751339648549982</v>
      </c>
      <c r="K84" s="2">
        <f t="shared" ref="K84:K93" si="26">I84/N84</f>
        <v>0.42248660351450024</v>
      </c>
      <c r="L84" s="2">
        <f t="shared" ref="L84:L93" si="27">1/H84</f>
        <v>7.5338874256405328E-2</v>
      </c>
      <c r="M84" s="2">
        <f t="shared" ref="M84:M93" si="28">1/N84</f>
        <v>4.3509209159210624E-2</v>
      </c>
      <c r="N84" s="2">
        <f t="shared" ref="N84:N93" si="29">H84+I84</f>
        <v>22.983640000000008</v>
      </c>
      <c r="O84" s="5"/>
      <c r="P84" s="5"/>
      <c r="R84" s="5"/>
      <c r="S84" s="5"/>
      <c r="T84" s="5"/>
      <c r="U84" s="5"/>
    </row>
    <row r="85" spans="6:21" ht="15.5" x14ac:dyDescent="0.35">
      <c r="F85" s="46">
        <v>188.87216000000001</v>
      </c>
      <c r="G85" s="46">
        <v>201.77735999999999</v>
      </c>
      <c r="H85" s="13">
        <f t="shared" si="23"/>
        <v>12.905199999999979</v>
      </c>
      <c r="I85" s="2">
        <f t="shared" si="24"/>
        <v>9.660080000000022</v>
      </c>
      <c r="J85" s="2">
        <f t="shared" si="25"/>
        <v>0.57190515694908184</v>
      </c>
      <c r="K85" s="2">
        <f t="shared" si="26"/>
        <v>0.42809484305091811</v>
      </c>
      <c r="L85" s="2">
        <f t="shared" si="27"/>
        <v>7.7488144313920093E-2</v>
      </c>
      <c r="M85" s="2">
        <f t="shared" si="28"/>
        <v>4.4315869335545578E-2</v>
      </c>
      <c r="N85" s="2">
        <f t="shared" si="29"/>
        <v>22.565280000000001</v>
      </c>
      <c r="O85" s="5"/>
      <c r="P85" s="5"/>
      <c r="R85" s="5"/>
      <c r="S85" s="5"/>
      <c r="T85" s="5"/>
      <c r="U85" s="5"/>
    </row>
    <row r="86" spans="6:21" ht="15.5" x14ac:dyDescent="0.35">
      <c r="F86" s="46">
        <v>211.43744000000001</v>
      </c>
      <c r="G86" s="46">
        <v>222.70014</v>
      </c>
      <c r="H86" s="13">
        <f t="shared" si="23"/>
        <v>11.262699999999995</v>
      </c>
      <c r="I86" s="2">
        <f t="shared" si="24"/>
        <v>10.811579999999992</v>
      </c>
      <c r="J86" s="2">
        <f t="shared" si="25"/>
        <v>0.51021822682325324</v>
      </c>
      <c r="K86" s="2">
        <f t="shared" si="26"/>
        <v>0.48978177317674682</v>
      </c>
      <c r="L86" s="2">
        <f t="shared" si="27"/>
        <v>8.8788656361263318E-2</v>
      </c>
      <c r="M86" s="2">
        <f t="shared" si="28"/>
        <v>4.5301590810662935E-2</v>
      </c>
      <c r="N86" s="2">
        <f t="shared" si="29"/>
        <v>22.074279999999987</v>
      </c>
      <c r="O86" s="5"/>
      <c r="P86" s="5"/>
      <c r="R86" s="5"/>
      <c r="S86" s="5"/>
      <c r="T86" s="5"/>
      <c r="U86" s="5"/>
    </row>
    <row r="87" spans="6:21" ht="15.5" x14ac:dyDescent="0.35">
      <c r="F87" s="46">
        <v>233.51172</v>
      </c>
      <c r="G87" s="46">
        <v>244.62702999999999</v>
      </c>
      <c r="H87" s="13">
        <f t="shared" si="23"/>
        <v>11.115309999999994</v>
      </c>
      <c r="I87" s="2">
        <f t="shared" si="24"/>
        <v>8.5493900000000167</v>
      </c>
      <c r="J87" s="2">
        <f t="shared" si="25"/>
        <v>0.56524177841512901</v>
      </c>
      <c r="K87" s="2">
        <f t="shared" si="26"/>
        <v>0.43475822158487099</v>
      </c>
      <c r="L87" s="2">
        <f t="shared" si="27"/>
        <v>8.9966001847901725E-2</v>
      </c>
      <c r="M87" s="2">
        <f t="shared" si="28"/>
        <v>5.0852542881406761E-2</v>
      </c>
      <c r="N87" s="2">
        <f t="shared" si="29"/>
        <v>19.664700000000011</v>
      </c>
      <c r="O87" s="5"/>
      <c r="P87" s="5"/>
      <c r="R87" s="5"/>
      <c r="S87" s="5"/>
      <c r="T87" s="5"/>
      <c r="U87" s="5"/>
    </row>
    <row r="88" spans="6:21" ht="15.5" x14ac:dyDescent="0.35">
      <c r="F88" s="46">
        <v>253.17642000000001</v>
      </c>
      <c r="G88" s="46">
        <v>264.80083999999999</v>
      </c>
      <c r="H88" s="13">
        <f t="shared" si="23"/>
        <v>11.624419999999986</v>
      </c>
      <c r="I88" s="2">
        <f t="shared" si="24"/>
        <v>9.3588100000000054</v>
      </c>
      <c r="J88" s="2">
        <f t="shared" si="25"/>
        <v>0.55398620708060631</v>
      </c>
      <c r="K88" s="2">
        <f t="shared" si="26"/>
        <v>0.44601379291939369</v>
      </c>
      <c r="L88" s="2">
        <f t="shared" si="27"/>
        <v>8.6025797416129243E-2</v>
      </c>
      <c r="M88" s="2">
        <f t="shared" si="28"/>
        <v>4.7657105221646068E-2</v>
      </c>
      <c r="N88" s="2">
        <f t="shared" si="29"/>
        <v>20.983229999999992</v>
      </c>
      <c r="O88" s="5"/>
      <c r="P88" s="5"/>
      <c r="R88" s="5"/>
      <c r="S88" s="5"/>
      <c r="T88" s="5"/>
      <c r="U88" s="5"/>
    </row>
    <row r="89" spans="6:21" ht="15.5" x14ac:dyDescent="0.35">
      <c r="F89" s="46">
        <v>274.15965</v>
      </c>
      <c r="G89" s="46">
        <v>286.58864999999997</v>
      </c>
      <c r="H89" s="13">
        <f t="shared" si="23"/>
        <v>12.428999999999974</v>
      </c>
      <c r="I89" s="2">
        <f t="shared" si="24"/>
        <v>7.5742200000000253</v>
      </c>
      <c r="J89" s="2">
        <f t="shared" si="25"/>
        <v>0.62134996265601106</v>
      </c>
      <c r="K89" s="2">
        <f t="shared" si="26"/>
        <v>0.37865003734398889</v>
      </c>
      <c r="L89" s="2">
        <f t="shared" si="27"/>
        <v>8.0456995735779399E-2</v>
      </c>
      <c r="M89" s="2">
        <f t="shared" si="28"/>
        <v>4.9991951295841372E-2</v>
      </c>
      <c r="N89" s="2">
        <f t="shared" si="29"/>
        <v>20.003219999999999</v>
      </c>
      <c r="O89" s="5"/>
      <c r="P89" s="5"/>
      <c r="R89" s="5"/>
      <c r="S89" s="5"/>
      <c r="T89" s="5"/>
      <c r="U89" s="5"/>
    </row>
    <row r="90" spans="6:21" ht="15.5" x14ac:dyDescent="0.35">
      <c r="F90" s="46">
        <v>294.16287</v>
      </c>
      <c r="G90" s="46">
        <v>306.26636999999999</v>
      </c>
      <c r="H90" s="13">
        <f t="shared" si="23"/>
        <v>12.103499999999997</v>
      </c>
      <c r="I90" s="2">
        <f t="shared" si="24"/>
        <v>7.316030000000012</v>
      </c>
      <c r="J90" s="2">
        <f t="shared" si="25"/>
        <v>0.6232643117521377</v>
      </c>
      <c r="K90" s="2">
        <f t="shared" si="26"/>
        <v>0.37673568824786224</v>
      </c>
      <c r="L90" s="2">
        <f t="shared" si="27"/>
        <v>8.2620729541041868E-2</v>
      </c>
      <c r="M90" s="2">
        <f t="shared" si="28"/>
        <v>5.1494552133856973E-2</v>
      </c>
      <c r="N90" s="2">
        <f t="shared" si="29"/>
        <v>19.419530000000009</v>
      </c>
      <c r="O90" s="5"/>
      <c r="P90" s="5"/>
      <c r="R90" s="5"/>
      <c r="S90" s="5"/>
      <c r="T90" s="5"/>
      <c r="U90" s="5"/>
    </row>
    <row r="91" spans="6:21" ht="15.5" x14ac:dyDescent="0.35">
      <c r="F91" s="46">
        <v>313.58240000000001</v>
      </c>
      <c r="G91" s="46">
        <v>322.62301000000002</v>
      </c>
      <c r="H91" s="13">
        <f t="shared" si="23"/>
        <v>9.0406100000000151</v>
      </c>
      <c r="I91" s="2">
        <f t="shared" si="24"/>
        <v>9.0275299999999561</v>
      </c>
      <c r="J91" s="2">
        <f t="shared" si="25"/>
        <v>0.50036196310190362</v>
      </c>
      <c r="K91" s="2">
        <f t="shared" si="26"/>
        <v>0.49963803689809633</v>
      </c>
      <c r="L91" s="2">
        <f t="shared" si="27"/>
        <v>0.11061200516336822</v>
      </c>
      <c r="M91" s="2">
        <f t="shared" si="28"/>
        <v>5.5346040046180822E-2</v>
      </c>
      <c r="N91" s="2">
        <f t="shared" si="29"/>
        <v>18.068139999999971</v>
      </c>
      <c r="O91" s="5"/>
      <c r="P91" s="5"/>
      <c r="R91" s="5"/>
      <c r="S91" s="5"/>
      <c r="T91" s="5"/>
      <c r="U91" s="5"/>
    </row>
    <row r="92" spans="6:21" ht="15.5" x14ac:dyDescent="0.35">
      <c r="F92" s="46">
        <v>331.65053999999998</v>
      </c>
      <c r="G92" s="46">
        <v>351.03748999999999</v>
      </c>
      <c r="H92" s="13">
        <f t="shared" si="23"/>
        <v>19.386950000000013</v>
      </c>
      <c r="I92" s="2">
        <f t="shared" si="24"/>
        <v>7.3919900000000212</v>
      </c>
      <c r="J92" s="2">
        <f t="shared" si="25"/>
        <v>0.72396256162491823</v>
      </c>
      <c r="K92" s="2">
        <f t="shared" si="26"/>
        <v>0.27603743837508177</v>
      </c>
      <c r="L92" s="2">
        <f t="shared" si="27"/>
        <v>5.158108934102576E-2</v>
      </c>
      <c r="M92" s="2">
        <f t="shared" si="28"/>
        <v>3.7342777570732774E-2</v>
      </c>
      <c r="N92" s="2">
        <f t="shared" si="29"/>
        <v>26.778940000000034</v>
      </c>
      <c r="O92" s="5"/>
      <c r="P92" s="5"/>
      <c r="R92" s="5"/>
      <c r="S92" s="5"/>
      <c r="T92" s="5"/>
      <c r="U92" s="5"/>
    </row>
    <row r="93" spans="6:21" ht="15.5" x14ac:dyDescent="0.35">
      <c r="F93" s="46">
        <v>358.42948000000001</v>
      </c>
      <c r="G93" s="46">
        <v>360.44810999999999</v>
      </c>
      <c r="H93" s="13">
        <f t="shared" si="23"/>
        <v>2.0186299999999733</v>
      </c>
      <c r="I93" s="2">
        <f t="shared" si="24"/>
        <v>6.3548800000000369</v>
      </c>
      <c r="J93" s="2">
        <f t="shared" si="25"/>
        <v>0.2410733372265598</v>
      </c>
      <c r="K93" s="2">
        <f t="shared" si="26"/>
        <v>0.75892666277344023</v>
      </c>
      <c r="L93" s="2">
        <f t="shared" si="27"/>
        <v>0.49538548421454809</v>
      </c>
      <c r="M93" s="2">
        <f t="shared" si="28"/>
        <v>0.11942423189319637</v>
      </c>
      <c r="N93" s="2">
        <f t="shared" si="29"/>
        <v>8.3735100000000102</v>
      </c>
      <c r="O93" s="5"/>
      <c r="P93" s="5"/>
      <c r="R93" s="5"/>
      <c r="S93" s="5"/>
      <c r="T93" s="5"/>
      <c r="U93" s="5"/>
    </row>
    <row r="94" spans="6:21" x14ac:dyDescent="0.35">
      <c r="F94">
        <v>366.80299000000002</v>
      </c>
      <c r="G94">
        <v>377.16721000000001</v>
      </c>
      <c r="H94" s="13">
        <f t="shared" ref="H94:H109" si="30">G94-F94</f>
        <v>10.364219999999989</v>
      </c>
      <c r="I94" s="2">
        <f t="shared" ref="I94:I108" si="31">F95-G94</f>
        <v>8.7577099999999746</v>
      </c>
      <c r="J94" s="2">
        <f>H94/N94</f>
        <v>0.54200700452307948</v>
      </c>
      <c r="K94" s="2">
        <f>I94/N94</f>
        <v>0.45799299547692057</v>
      </c>
      <c r="L94" s="2">
        <f>1/H94</f>
        <v>9.6485794396491104E-2</v>
      </c>
      <c r="M94" s="2">
        <f t="shared" ref="M94:M108" si="32">1/N94</f>
        <v>5.2295976399871873E-2</v>
      </c>
      <c r="N94" s="2">
        <f>H94+I94</f>
        <v>19.121929999999963</v>
      </c>
      <c r="O94">
        <v>44</v>
      </c>
      <c r="R94" s="25" t="s">
        <v>58</v>
      </c>
      <c r="S94" s="25"/>
      <c r="T94" s="25"/>
      <c r="U94" s="2"/>
    </row>
    <row r="95" spans="6:21" x14ac:dyDescent="0.35">
      <c r="F95">
        <v>385.92491999999999</v>
      </c>
      <c r="G95">
        <v>395.92378000000002</v>
      </c>
      <c r="H95" s="13">
        <f t="shared" si="30"/>
        <v>9.9988600000000361</v>
      </c>
      <c r="I95" s="2">
        <f t="shared" si="31"/>
        <v>8.0573899999999981</v>
      </c>
      <c r="J95" s="2">
        <f t="shared" ref="J95:J108" si="33">H95/N95</f>
        <v>0.55376171685704489</v>
      </c>
      <c r="K95" s="2">
        <f t="shared" ref="K95:K108" si="34">I95/N95</f>
        <v>0.44623828314295511</v>
      </c>
      <c r="L95" s="2">
        <f t="shared" ref="L95:L108" si="35">1/H95</f>
        <v>0.10001140129974781</v>
      </c>
      <c r="M95" s="2">
        <f t="shared" si="32"/>
        <v>5.5382485289027242E-2</v>
      </c>
      <c r="N95" s="2">
        <f t="shared" ref="N95:N108" si="36">H95+I95</f>
        <v>18.056250000000034</v>
      </c>
      <c r="O95">
        <v>44</v>
      </c>
    </row>
    <row r="96" spans="6:21" x14ac:dyDescent="0.35">
      <c r="F96">
        <v>403.98117000000002</v>
      </c>
      <c r="G96">
        <v>413.22489999999999</v>
      </c>
      <c r="H96" s="13">
        <f t="shared" si="30"/>
        <v>9.2437299999999709</v>
      </c>
      <c r="I96" s="2">
        <f t="shared" si="31"/>
        <v>8.6323500000000308</v>
      </c>
      <c r="J96" s="2">
        <f t="shared" si="33"/>
        <v>0.51710050525618423</v>
      </c>
      <c r="K96" s="2">
        <f t="shared" si="34"/>
        <v>0.48289949474381577</v>
      </c>
      <c r="L96" s="2">
        <f t="shared" si="35"/>
        <v>0.10818143757985177</v>
      </c>
      <c r="M96" s="2">
        <f t="shared" si="32"/>
        <v>5.5940676031881707E-2</v>
      </c>
      <c r="N96" s="2">
        <f t="shared" si="36"/>
        <v>17.876080000000002</v>
      </c>
      <c r="O96">
        <v>43</v>
      </c>
    </row>
    <row r="97" spans="2:25" x14ac:dyDescent="0.35">
      <c r="F97">
        <v>421.85725000000002</v>
      </c>
      <c r="G97">
        <v>430.77560999999997</v>
      </c>
      <c r="H97" s="13">
        <f t="shared" si="30"/>
        <v>8.9183599999999501</v>
      </c>
      <c r="I97" s="2">
        <f t="shared" si="31"/>
        <v>7.3635800000000131</v>
      </c>
      <c r="J97" s="2">
        <f t="shared" si="33"/>
        <v>0.54774553892226419</v>
      </c>
      <c r="K97" s="2">
        <f t="shared" si="34"/>
        <v>0.45225446107773581</v>
      </c>
      <c r="L97" s="2">
        <f t="shared" si="35"/>
        <v>0.11212823882417906</v>
      </c>
      <c r="M97" s="2">
        <f t="shared" si="32"/>
        <v>6.1417742603154309E-2</v>
      </c>
      <c r="N97" s="2">
        <f t="shared" si="36"/>
        <v>16.281939999999963</v>
      </c>
      <c r="O97">
        <v>44</v>
      </c>
    </row>
    <row r="98" spans="2:25" x14ac:dyDescent="0.35">
      <c r="F98">
        <v>438.13918999999999</v>
      </c>
      <c r="G98">
        <v>446.94625000000002</v>
      </c>
      <c r="H98" s="13">
        <f t="shared" si="30"/>
        <v>8.8070600000000354</v>
      </c>
      <c r="I98" s="2">
        <f t="shared" si="31"/>
        <v>9.0754399999999578</v>
      </c>
      <c r="J98" s="2">
        <f t="shared" si="33"/>
        <v>0.49249601565776813</v>
      </c>
      <c r="K98" s="2">
        <f t="shared" si="34"/>
        <v>0.50750398434223187</v>
      </c>
      <c r="L98" s="2">
        <f t="shared" si="35"/>
        <v>0.11354526936344206</v>
      </c>
      <c r="M98" s="2">
        <f t="shared" si="32"/>
        <v>5.5920592758283261E-2</v>
      </c>
      <c r="N98" s="2">
        <f t="shared" si="36"/>
        <v>17.882499999999993</v>
      </c>
      <c r="O98">
        <v>44</v>
      </c>
    </row>
    <row r="99" spans="2:25" ht="16" thickBot="1" x14ac:dyDescent="0.4">
      <c r="B99" s="9" t="s">
        <v>18</v>
      </c>
      <c r="C99" s="9" t="s">
        <v>17</v>
      </c>
      <c r="D99" s="9" t="s">
        <v>20</v>
      </c>
      <c r="F99">
        <v>456.02168999999998</v>
      </c>
      <c r="G99">
        <v>468.27199000000002</v>
      </c>
      <c r="H99" s="13">
        <f t="shared" si="30"/>
        <v>12.250300000000038</v>
      </c>
      <c r="I99" s="2">
        <f t="shared" si="31"/>
        <v>8.6203499999999735</v>
      </c>
      <c r="J99" s="2">
        <f t="shared" si="33"/>
        <v>0.58696303181741016</v>
      </c>
      <c r="K99" s="2">
        <f t="shared" si="34"/>
        <v>0.41303696818258984</v>
      </c>
      <c r="L99" s="2">
        <f t="shared" si="35"/>
        <v>8.1630653943168485E-2</v>
      </c>
      <c r="M99" s="2">
        <f t="shared" si="32"/>
        <v>4.7914176127719997E-2</v>
      </c>
      <c r="N99" s="2">
        <f t="shared" si="36"/>
        <v>20.870650000000012</v>
      </c>
      <c r="O99">
        <v>43</v>
      </c>
    </row>
    <row r="100" spans="2:25" x14ac:dyDescent="0.35">
      <c r="B100" s="94">
        <v>478.95</v>
      </c>
      <c r="C100" s="95">
        <v>484.71</v>
      </c>
      <c r="D100" s="96">
        <f t="shared" ref="D100:D109" si="37">C100-B100</f>
        <v>5.7599999999999909</v>
      </c>
      <c r="F100" s="10">
        <v>476.89233999999999</v>
      </c>
      <c r="G100" s="11">
        <v>483.00632999999999</v>
      </c>
      <c r="H100" s="11">
        <f t="shared" si="30"/>
        <v>6.1139900000000011</v>
      </c>
      <c r="I100" s="12">
        <f t="shared" si="31"/>
        <v>10.369320000000016</v>
      </c>
      <c r="J100" s="2">
        <f t="shared" si="33"/>
        <v>0.37092003972503063</v>
      </c>
      <c r="K100" s="2">
        <f t="shared" si="34"/>
        <v>0.62907996027496937</v>
      </c>
      <c r="L100" s="2">
        <f t="shared" si="35"/>
        <v>0.1635593123312272</v>
      </c>
      <c r="M100" s="2">
        <f t="shared" si="32"/>
        <v>6.0667426627297488E-2</v>
      </c>
      <c r="N100" s="2">
        <f t="shared" si="36"/>
        <v>16.483310000000017</v>
      </c>
      <c r="O100">
        <v>45</v>
      </c>
    </row>
    <row r="101" spans="2:25" x14ac:dyDescent="0.35">
      <c r="B101" s="10">
        <v>494.03</v>
      </c>
      <c r="C101" s="11">
        <v>497.85</v>
      </c>
      <c r="D101" s="12">
        <f t="shared" si="37"/>
        <v>3.82000000000005</v>
      </c>
      <c r="F101" s="10">
        <v>493.37565000000001</v>
      </c>
      <c r="G101" s="11">
        <v>497.89359999999999</v>
      </c>
      <c r="H101" s="11">
        <f t="shared" si="30"/>
        <v>4.5179499999999848</v>
      </c>
      <c r="I101" s="12">
        <f t="shared" si="31"/>
        <v>10.65791999999999</v>
      </c>
      <c r="J101" s="2">
        <f t="shared" si="33"/>
        <v>0.29770616116242377</v>
      </c>
      <c r="K101" s="2">
        <f t="shared" si="34"/>
        <v>0.70229383883757623</v>
      </c>
      <c r="L101" s="2">
        <f t="shared" si="35"/>
        <v>0.2213393242510438</v>
      </c>
      <c r="M101" s="2">
        <f t="shared" si="32"/>
        <v>6.5894080537063221E-2</v>
      </c>
      <c r="N101" s="2">
        <f t="shared" si="36"/>
        <v>15.175869999999975</v>
      </c>
      <c r="O101">
        <v>41</v>
      </c>
    </row>
    <row r="102" spans="2:25" x14ac:dyDescent="0.35">
      <c r="B102" s="323" t="s">
        <v>21</v>
      </c>
      <c r="C102" s="323"/>
      <c r="D102" s="323"/>
      <c r="E102" s="13"/>
      <c r="F102" s="13">
        <v>508.55151999999998</v>
      </c>
      <c r="G102" s="13">
        <v>519.21428000000003</v>
      </c>
      <c r="H102" s="13">
        <f t="shared" si="30"/>
        <v>10.662760000000048</v>
      </c>
      <c r="I102" s="13">
        <f t="shared" si="31"/>
        <v>8.636889999999994</v>
      </c>
      <c r="J102" s="2">
        <f t="shared" si="33"/>
        <v>0.55248463055029629</v>
      </c>
      <c r="K102" s="2">
        <f t="shared" si="34"/>
        <v>0.44751536944970377</v>
      </c>
      <c r="L102" s="2">
        <f t="shared" si="35"/>
        <v>9.3784348517644167E-2</v>
      </c>
      <c r="M102" s="2">
        <f t="shared" si="32"/>
        <v>5.1814411142170856E-2</v>
      </c>
      <c r="N102" s="2">
        <f t="shared" si="36"/>
        <v>19.299650000000042</v>
      </c>
      <c r="O102">
        <v>68</v>
      </c>
    </row>
    <row r="103" spans="2:25" x14ac:dyDescent="0.35">
      <c r="B103" s="10">
        <v>528.67999999999995</v>
      </c>
      <c r="C103" s="11">
        <v>535.97</v>
      </c>
      <c r="D103" s="12">
        <f t="shared" si="37"/>
        <v>7.2900000000000773</v>
      </c>
      <c r="F103" s="10">
        <v>527.85117000000002</v>
      </c>
      <c r="G103" s="11">
        <v>535.77038000000005</v>
      </c>
      <c r="H103" s="11">
        <f t="shared" si="30"/>
        <v>7.919210000000021</v>
      </c>
      <c r="I103" s="12">
        <f t="shared" si="31"/>
        <v>8.2717000000000098</v>
      </c>
      <c r="J103" s="2">
        <f t="shared" si="33"/>
        <v>0.48911457107722828</v>
      </c>
      <c r="K103" s="2">
        <f t="shared" si="34"/>
        <v>0.51088542892277178</v>
      </c>
      <c r="L103" s="2">
        <f t="shared" si="35"/>
        <v>0.12627522189713333</v>
      </c>
      <c r="M103" s="2">
        <f t="shared" si="32"/>
        <v>6.1763050995898197E-2</v>
      </c>
      <c r="N103" s="2">
        <f t="shared" si="36"/>
        <v>16.190910000000031</v>
      </c>
    </row>
    <row r="104" spans="2:25" x14ac:dyDescent="0.35">
      <c r="B104" s="15">
        <v>546.27</v>
      </c>
      <c r="C104" s="16">
        <v>551.04999999999995</v>
      </c>
      <c r="D104" s="17">
        <f t="shared" si="37"/>
        <v>4.7799999999999727</v>
      </c>
      <c r="F104" s="15">
        <v>544.04208000000006</v>
      </c>
      <c r="G104" s="16">
        <v>551.60964000000001</v>
      </c>
      <c r="H104" s="16">
        <f t="shared" si="30"/>
        <v>7.5675599999999577</v>
      </c>
      <c r="I104" s="17">
        <f t="shared" si="31"/>
        <v>9.1145500000000084</v>
      </c>
      <c r="J104" s="2">
        <f t="shared" si="33"/>
        <v>0.45363326341811516</v>
      </c>
      <c r="K104" s="2">
        <f t="shared" si="34"/>
        <v>0.54636673658188484</v>
      </c>
      <c r="L104" s="2">
        <f t="shared" si="35"/>
        <v>0.13214298928584717</v>
      </c>
      <c r="M104" s="2">
        <f t="shared" si="32"/>
        <v>5.9944455467563877E-2</v>
      </c>
      <c r="N104" s="2">
        <f t="shared" si="36"/>
        <v>16.682109999999966</v>
      </c>
    </row>
    <row r="105" spans="2:25" x14ac:dyDescent="0.35">
      <c r="B105" s="10">
        <v>562.75</v>
      </c>
      <c r="C105" s="11">
        <v>568.4</v>
      </c>
      <c r="D105" s="12">
        <f t="shared" si="37"/>
        <v>5.6499999999999773</v>
      </c>
      <c r="F105" s="10">
        <v>560.72419000000002</v>
      </c>
      <c r="G105" s="11">
        <v>568.11026000000004</v>
      </c>
      <c r="H105" s="11">
        <f t="shared" si="30"/>
        <v>7.3860700000000179</v>
      </c>
      <c r="I105" s="12">
        <f t="shared" si="31"/>
        <v>10.648039999999924</v>
      </c>
      <c r="J105" s="2">
        <f t="shared" si="33"/>
        <v>0.40956110393027667</v>
      </c>
      <c r="K105" s="2">
        <f t="shared" si="34"/>
        <v>0.59043889606972333</v>
      </c>
      <c r="L105" s="2">
        <f t="shared" si="35"/>
        <v>0.13538999765775273</v>
      </c>
      <c r="M105" s="2">
        <f t="shared" si="32"/>
        <v>5.5450476901826772E-2</v>
      </c>
      <c r="N105" s="2">
        <f t="shared" si="36"/>
        <v>18.034109999999941</v>
      </c>
    </row>
    <row r="106" spans="2:25" x14ac:dyDescent="0.35">
      <c r="B106" s="323" t="s">
        <v>21</v>
      </c>
      <c r="C106" s="323"/>
      <c r="D106" s="323"/>
      <c r="E106" s="13"/>
      <c r="F106" s="13">
        <v>578.75829999999996</v>
      </c>
      <c r="G106" s="13">
        <v>589.56239000000005</v>
      </c>
      <c r="H106" s="13">
        <f t="shared" si="30"/>
        <v>10.804090000000087</v>
      </c>
      <c r="I106" s="86">
        <f t="shared" si="31"/>
        <v>21.215759999999932</v>
      </c>
      <c r="J106" s="2">
        <f t="shared" si="33"/>
        <v>0.33741850758201808</v>
      </c>
      <c r="K106" s="2">
        <f t="shared" si="34"/>
        <v>0.66258149241798192</v>
      </c>
      <c r="L106" s="2">
        <f t="shared" si="35"/>
        <v>9.255754070911959E-2</v>
      </c>
      <c r="M106" s="2">
        <f t="shared" si="32"/>
        <v>3.1230627251533014E-2</v>
      </c>
      <c r="N106" s="2">
        <f t="shared" si="36"/>
        <v>32.019850000000019</v>
      </c>
      <c r="R106" s="87" t="s">
        <v>68</v>
      </c>
      <c r="S106" s="87"/>
      <c r="T106" s="87"/>
      <c r="U106" s="87"/>
      <c r="V106" s="87"/>
      <c r="W106" s="87"/>
      <c r="X106" s="87"/>
      <c r="Y106" s="87"/>
    </row>
    <row r="107" spans="2:25" x14ac:dyDescent="0.35">
      <c r="B107" s="118">
        <v>591.54999999999995</v>
      </c>
      <c r="C107" s="86">
        <v>608.54</v>
      </c>
      <c r="D107" s="119">
        <f t="shared" si="37"/>
        <v>16.990000000000009</v>
      </c>
      <c r="F107">
        <v>610.77814999999998</v>
      </c>
      <c r="G107">
        <v>624.89148999999998</v>
      </c>
      <c r="H107" s="13">
        <f t="shared" si="30"/>
        <v>14.113339999999994</v>
      </c>
      <c r="I107" s="2">
        <f t="shared" si="31"/>
        <v>7.45771000000002</v>
      </c>
      <c r="J107" s="2">
        <f t="shared" si="33"/>
        <v>0.6542722769638003</v>
      </c>
      <c r="K107" s="2">
        <f t="shared" si="34"/>
        <v>0.3457277230361997</v>
      </c>
      <c r="L107" s="2">
        <f t="shared" si="35"/>
        <v>7.0854949997661815E-2</v>
      </c>
      <c r="M107" s="2">
        <f t="shared" si="32"/>
        <v>4.6358429469126418E-2</v>
      </c>
      <c r="N107" s="2">
        <f t="shared" si="36"/>
        <v>21.571050000000014</v>
      </c>
    </row>
    <row r="108" spans="2:25" x14ac:dyDescent="0.35">
      <c r="B108" s="323" t="s">
        <v>21</v>
      </c>
      <c r="C108" s="323"/>
      <c r="D108" s="323"/>
      <c r="E108" s="13"/>
      <c r="F108" s="13">
        <v>632.3492</v>
      </c>
      <c r="G108" s="13">
        <v>643.57493999999997</v>
      </c>
      <c r="H108" s="13">
        <f t="shared" si="30"/>
        <v>11.225739999999973</v>
      </c>
      <c r="I108" s="13">
        <f t="shared" si="31"/>
        <v>11.215059999999994</v>
      </c>
      <c r="J108" s="2">
        <f t="shared" si="33"/>
        <v>0.50023795943103588</v>
      </c>
      <c r="K108" s="2">
        <f t="shared" si="34"/>
        <v>0.49976204056896412</v>
      </c>
      <c r="L108" s="2">
        <f t="shared" si="35"/>
        <v>8.9080987088601946E-2</v>
      </c>
      <c r="M108" s="2">
        <f t="shared" si="32"/>
        <v>4.456169120530469E-2</v>
      </c>
      <c r="N108" s="2">
        <f t="shared" si="36"/>
        <v>22.440799999999967</v>
      </c>
    </row>
    <row r="109" spans="2:25" x14ac:dyDescent="0.35">
      <c r="B109" s="10">
        <v>655.54</v>
      </c>
      <c r="C109" s="11">
        <v>661.22</v>
      </c>
      <c r="D109" s="12">
        <f t="shared" si="37"/>
        <v>5.6800000000000637</v>
      </c>
      <c r="F109" s="10">
        <v>654.79</v>
      </c>
      <c r="G109" s="11">
        <v>659.64134000000001</v>
      </c>
      <c r="H109" s="11">
        <f t="shared" si="30"/>
        <v>4.8513400000000502</v>
      </c>
      <c r="I109" s="12"/>
    </row>
    <row r="110" spans="2:25" x14ac:dyDescent="0.35">
      <c r="B110" s="13"/>
      <c r="C110" s="13"/>
      <c r="D110" s="13"/>
      <c r="E110" s="85"/>
      <c r="F110" s="13"/>
      <c r="G110" s="13"/>
      <c r="H110" s="13"/>
      <c r="I110" s="13"/>
    </row>
    <row r="111" spans="2:25" x14ac:dyDescent="0.35">
      <c r="B111" s="13"/>
      <c r="C111" s="13"/>
      <c r="D111" s="13"/>
      <c r="E111" s="85"/>
      <c r="F111" s="13"/>
      <c r="G111" s="13"/>
      <c r="H111" s="13"/>
      <c r="I111" s="13"/>
    </row>
    <row r="112" spans="2:25" x14ac:dyDescent="0.35">
      <c r="B112" s="13"/>
      <c r="C112" s="13"/>
      <c r="D112" s="13"/>
      <c r="E112" s="85"/>
      <c r="F112" s="13"/>
      <c r="G112" s="49" t="s">
        <v>76</v>
      </c>
      <c r="H112" s="49">
        <f>AVERAGE(H94:H99)</f>
        <v>9.9304216666666694</v>
      </c>
      <c r="I112" s="49">
        <f t="shared" ref="I112:N112" si="38">AVERAGE(I94:I99)</f>
        <v>8.4178033333333246</v>
      </c>
      <c r="J112" s="49">
        <f t="shared" si="38"/>
        <v>0.5400123021722919</v>
      </c>
      <c r="K112" s="49">
        <f t="shared" si="38"/>
        <v>0.45998769782770815</v>
      </c>
      <c r="L112" s="49">
        <f t="shared" si="38"/>
        <v>0.10199713256781338</v>
      </c>
      <c r="M112" s="49">
        <f t="shared" si="38"/>
        <v>5.4811941534989729E-2</v>
      </c>
      <c r="N112" s="49">
        <f t="shared" si="38"/>
        <v>18.348224999999996</v>
      </c>
    </row>
    <row r="113" spans="2:21" x14ac:dyDescent="0.35">
      <c r="B113" s="13"/>
      <c r="C113" s="13"/>
      <c r="D113" s="13"/>
      <c r="E113" s="85"/>
      <c r="F113" s="13"/>
      <c r="G113" s="104" t="s">
        <v>20</v>
      </c>
      <c r="H113" s="49">
        <f>AVERAGE(H100:H101,H103,H105,H109)</f>
        <v>6.1577120000000152</v>
      </c>
      <c r="I113" s="49">
        <f t="shared" ref="I113:N113" si="39">AVERAGE(I100:I101,I103,I105,)</f>
        <v>7.9893959999999877</v>
      </c>
      <c r="J113" s="49">
        <f t="shared" si="39"/>
        <v>0.31346037517899183</v>
      </c>
      <c r="K113" s="49">
        <f t="shared" si="39"/>
        <v>0.48653962482100815</v>
      </c>
      <c r="L113" s="49">
        <f t="shared" si="39"/>
        <v>0.1293127712274314</v>
      </c>
      <c r="M113" s="49">
        <f t="shared" si="39"/>
        <v>4.8755007012417133E-2</v>
      </c>
      <c r="N113" s="49">
        <f t="shared" si="39"/>
        <v>13.176839999999993</v>
      </c>
    </row>
    <row r="114" spans="2:21" x14ac:dyDescent="0.35">
      <c r="B114" s="13"/>
      <c r="C114" s="13"/>
      <c r="D114" s="13"/>
      <c r="E114" s="85"/>
      <c r="F114" s="13"/>
      <c r="G114" s="104" t="s">
        <v>78</v>
      </c>
      <c r="H114" s="49">
        <f>AVERAGE(H107:H108,H102)</f>
        <v>12.000613333333339</v>
      </c>
      <c r="I114" s="49">
        <f t="shared" ref="I114:N114" si="40">AVERAGE(I107:I108,I102)</f>
        <v>9.1032200000000021</v>
      </c>
      <c r="J114" s="49">
        <f t="shared" si="40"/>
        <v>0.56899828898171079</v>
      </c>
      <c r="K114" s="49">
        <f t="shared" si="40"/>
        <v>0.43100171101828916</v>
      </c>
      <c r="L114" s="49">
        <f t="shared" si="40"/>
        <v>8.4573428534635967E-2</v>
      </c>
      <c r="M114" s="49">
        <f t="shared" si="40"/>
        <v>4.7578177272200657E-2</v>
      </c>
      <c r="N114" s="49">
        <f t="shared" si="40"/>
        <v>21.103833333333341</v>
      </c>
    </row>
    <row r="115" spans="2:21" x14ac:dyDescent="0.35">
      <c r="B115" s="13"/>
      <c r="C115" s="13"/>
      <c r="D115" s="13"/>
      <c r="E115" s="85"/>
      <c r="F115" s="13"/>
      <c r="G115" s="13"/>
      <c r="H115" s="13">
        <f>_xlfn.STDEV.S(H94:H99)</f>
        <v>1.290926487239574</v>
      </c>
      <c r="I115" s="13"/>
    </row>
    <row r="116" spans="2:21" x14ac:dyDescent="0.35">
      <c r="H116" s="13">
        <f>_xlfn.STDEV.S(H100:H101,H103,H105,H109)</f>
        <v>1.5007562603967419</v>
      </c>
      <c r="I116" s="2"/>
    </row>
    <row r="117" spans="2:21" x14ac:dyDescent="0.35">
      <c r="H117" s="13"/>
      <c r="I117" s="2"/>
    </row>
    <row r="118" spans="2:21" x14ac:dyDescent="0.35">
      <c r="H118" s="13"/>
      <c r="I118" s="2"/>
    </row>
    <row r="119" spans="2:21" ht="18.5" x14ac:dyDescent="0.45">
      <c r="F119" s="1" t="s">
        <v>69</v>
      </c>
      <c r="G119" s="3"/>
      <c r="H119" s="3"/>
      <c r="I119" s="3"/>
      <c r="J119" s="3"/>
      <c r="K119" s="3"/>
      <c r="L119" s="3"/>
      <c r="M119" s="3"/>
      <c r="N119" s="3"/>
      <c r="O119" s="3"/>
      <c r="P119" s="3"/>
    </row>
    <row r="120" spans="2:21" ht="16" thickBot="1" x14ac:dyDescent="0.4">
      <c r="F120" s="9" t="s">
        <v>1</v>
      </c>
      <c r="G120" s="9" t="s">
        <v>2</v>
      </c>
      <c r="H120" s="9" t="s">
        <v>3</v>
      </c>
      <c r="I120" s="9" t="s">
        <v>4</v>
      </c>
      <c r="J120" s="9" t="s">
        <v>5</v>
      </c>
      <c r="K120" s="9" t="s">
        <v>6</v>
      </c>
      <c r="L120" s="9" t="s">
        <v>7</v>
      </c>
      <c r="M120" s="9" t="s">
        <v>8</v>
      </c>
      <c r="N120" s="9" t="s">
        <v>9</v>
      </c>
      <c r="O120" s="9" t="s">
        <v>10</v>
      </c>
      <c r="P120" s="5"/>
      <c r="R120" s="9" t="s">
        <v>11</v>
      </c>
      <c r="S120" s="9" t="s">
        <v>12</v>
      </c>
      <c r="T120" s="9" t="s">
        <v>13</v>
      </c>
      <c r="U120" s="9" t="s">
        <v>14</v>
      </c>
    </row>
    <row r="121" spans="2:21" x14ac:dyDescent="0.35">
      <c r="F121">
        <v>185.71</v>
      </c>
      <c r="G121">
        <v>201.99</v>
      </c>
      <c r="H121" s="13">
        <f t="shared" ref="H121:H146" si="41">G121-F121</f>
        <v>16.28</v>
      </c>
      <c r="I121" s="2">
        <f t="shared" ref="I121:I145" si="42">F122-G121</f>
        <v>7.3899999999999864</v>
      </c>
      <c r="J121" s="2">
        <f>H121/N121</f>
        <v>0.68779045204900757</v>
      </c>
      <c r="K121" s="2">
        <f>I121/N121</f>
        <v>0.31220954795099243</v>
      </c>
      <c r="L121" s="2">
        <f>1/H121</f>
        <v>6.142506142506142E-2</v>
      </c>
      <c r="M121" s="2">
        <f t="shared" ref="M121:M145" si="43">1/N121</f>
        <v>4.2247570764681053E-2</v>
      </c>
      <c r="N121" s="2">
        <f>H121+I121</f>
        <v>23.669999999999987</v>
      </c>
      <c r="R121">
        <v>177.29</v>
      </c>
      <c r="S121">
        <v>292.85000000000002</v>
      </c>
      <c r="T121" s="13">
        <f>S121-R121</f>
        <v>115.56000000000003</v>
      </c>
      <c r="U121" s="2">
        <f>R126-S121</f>
        <v>20.829999999999984</v>
      </c>
    </row>
    <row r="122" spans="2:21" x14ac:dyDescent="0.35">
      <c r="F122">
        <v>209.38</v>
      </c>
      <c r="G122">
        <v>224.39</v>
      </c>
      <c r="H122" s="13">
        <f t="shared" si="41"/>
        <v>15.009999999999991</v>
      </c>
      <c r="I122" s="2">
        <f t="shared" si="42"/>
        <v>9.0900000000000034</v>
      </c>
      <c r="J122" s="2">
        <f t="shared" ref="J122:J145" si="44">H122/N122</f>
        <v>0.62282157676348526</v>
      </c>
      <c r="K122" s="2">
        <f t="shared" ref="K122:K145" si="45">I122/N122</f>
        <v>0.37717842323651474</v>
      </c>
      <c r="L122" s="2">
        <f t="shared" ref="L122:L145" si="46">1/H122</f>
        <v>6.662225183211197E-2</v>
      </c>
      <c r="M122" s="2">
        <f t="shared" si="43"/>
        <v>4.1493775933609971E-2</v>
      </c>
      <c r="N122" s="2">
        <f t="shared" ref="N122:N145" si="47">H122+I122</f>
        <v>24.099999999999994</v>
      </c>
    </row>
    <row r="123" spans="2:21" x14ac:dyDescent="0.35">
      <c r="F123">
        <v>233.48</v>
      </c>
      <c r="G123">
        <v>248.97</v>
      </c>
      <c r="H123" s="13">
        <f t="shared" si="41"/>
        <v>15.490000000000009</v>
      </c>
      <c r="I123" s="2">
        <f t="shared" si="42"/>
        <v>7.460000000000008</v>
      </c>
      <c r="J123" s="2">
        <f t="shared" si="44"/>
        <v>0.67494553376906308</v>
      </c>
      <c r="K123" s="2">
        <f t="shared" si="45"/>
        <v>0.32505446623093692</v>
      </c>
      <c r="L123" s="2">
        <f t="shared" si="46"/>
        <v>6.4557779212395056E-2</v>
      </c>
      <c r="M123" s="2">
        <f t="shared" si="43"/>
        <v>4.3572984749455305E-2</v>
      </c>
      <c r="N123" s="2">
        <f t="shared" si="47"/>
        <v>22.950000000000017</v>
      </c>
    </row>
    <row r="124" spans="2:21" x14ac:dyDescent="0.35">
      <c r="F124">
        <v>256.43</v>
      </c>
      <c r="G124">
        <v>268.55</v>
      </c>
      <c r="H124" s="13">
        <f t="shared" si="41"/>
        <v>12.120000000000005</v>
      </c>
      <c r="I124" s="2">
        <f t="shared" si="42"/>
        <v>9.25</v>
      </c>
      <c r="J124" s="2">
        <f t="shared" si="44"/>
        <v>0.56715021057557335</v>
      </c>
      <c r="K124" s="2">
        <f t="shared" si="45"/>
        <v>0.4328497894244267</v>
      </c>
      <c r="L124" s="2">
        <f t="shared" si="46"/>
        <v>8.250825082508248E-2</v>
      </c>
      <c r="M124" s="2">
        <f t="shared" si="43"/>
        <v>4.6794571829667751E-2</v>
      </c>
      <c r="N124" s="2">
        <f t="shared" si="47"/>
        <v>21.370000000000005</v>
      </c>
    </row>
    <row r="125" spans="2:21" x14ac:dyDescent="0.35">
      <c r="F125">
        <v>277.8</v>
      </c>
      <c r="G125">
        <v>292.01</v>
      </c>
      <c r="H125" s="13">
        <f t="shared" si="41"/>
        <v>14.20999999999998</v>
      </c>
      <c r="I125" s="2">
        <f t="shared" si="42"/>
        <v>5.5199999999999818</v>
      </c>
      <c r="J125" s="2">
        <f t="shared" si="44"/>
        <v>0.72022301064369021</v>
      </c>
      <c r="K125" s="2">
        <f t="shared" si="45"/>
        <v>0.27977698935630979</v>
      </c>
      <c r="L125" s="2">
        <f t="shared" si="46"/>
        <v>7.037297677691777E-2</v>
      </c>
      <c r="M125" s="2">
        <f t="shared" si="43"/>
        <v>5.0684237202230205E-2</v>
      </c>
      <c r="N125" s="2">
        <f t="shared" si="47"/>
        <v>19.729999999999961</v>
      </c>
    </row>
    <row r="126" spans="2:21" x14ac:dyDescent="0.35">
      <c r="F126">
        <v>297.52999999999997</v>
      </c>
      <c r="G126">
        <v>308.57</v>
      </c>
      <c r="H126" s="13">
        <f t="shared" si="41"/>
        <v>11.04000000000002</v>
      </c>
      <c r="I126" s="2">
        <f t="shared" si="42"/>
        <v>11.04000000000002</v>
      </c>
      <c r="J126" s="2">
        <f t="shared" si="44"/>
        <v>0.5</v>
      </c>
      <c r="K126" s="2">
        <f t="shared" si="45"/>
        <v>0.5</v>
      </c>
      <c r="L126" s="2">
        <f t="shared" si="46"/>
        <v>9.0579710144927369E-2</v>
      </c>
      <c r="M126" s="2">
        <f t="shared" si="43"/>
        <v>4.5289855072463685E-2</v>
      </c>
      <c r="N126" s="2">
        <f t="shared" si="47"/>
        <v>22.080000000000041</v>
      </c>
      <c r="R126">
        <v>313.68</v>
      </c>
      <c r="S126">
        <v>443</v>
      </c>
      <c r="T126" s="13">
        <f>S126-R126</f>
        <v>129.32</v>
      </c>
      <c r="U126" s="2">
        <f>R134-S126</f>
        <v>23.420000000000016</v>
      </c>
    </row>
    <row r="127" spans="2:21" x14ac:dyDescent="0.35">
      <c r="F127">
        <v>319.61</v>
      </c>
      <c r="G127">
        <v>332.87</v>
      </c>
      <c r="H127" s="13">
        <f t="shared" si="41"/>
        <v>13.259999999999991</v>
      </c>
      <c r="I127" s="2">
        <f t="shared" si="42"/>
        <v>8.6200000000000045</v>
      </c>
      <c r="J127" s="2">
        <f t="shared" si="44"/>
        <v>0.60603290676416788</v>
      </c>
      <c r="K127" s="2">
        <f t="shared" si="45"/>
        <v>0.39396709323583212</v>
      </c>
      <c r="L127" s="2">
        <f t="shared" si="46"/>
        <v>7.541478129713429E-2</v>
      </c>
      <c r="M127" s="2">
        <f t="shared" si="43"/>
        <v>4.5703839122486295E-2</v>
      </c>
      <c r="N127" s="2">
        <f t="shared" si="47"/>
        <v>21.879999999999995</v>
      </c>
    </row>
    <row r="128" spans="2:21" ht="16" thickBot="1" x14ac:dyDescent="0.4">
      <c r="B128" s="9" t="s">
        <v>18</v>
      </c>
      <c r="C128" s="9" t="s">
        <v>17</v>
      </c>
      <c r="D128" s="9" t="s">
        <v>20</v>
      </c>
      <c r="F128">
        <v>341.49</v>
      </c>
      <c r="G128">
        <v>355.11</v>
      </c>
      <c r="H128" s="13">
        <f t="shared" si="41"/>
        <v>13.620000000000005</v>
      </c>
      <c r="I128" s="2">
        <f t="shared" si="42"/>
        <v>8.7699999999999818</v>
      </c>
      <c r="J128" s="2">
        <f t="shared" si="44"/>
        <v>0.60830728003573076</v>
      </c>
      <c r="K128" s="2">
        <f t="shared" si="45"/>
        <v>0.39169271996426919</v>
      </c>
      <c r="L128" s="2">
        <f t="shared" si="46"/>
        <v>7.3421439060205554E-2</v>
      </c>
      <c r="M128" s="2">
        <f t="shared" si="43"/>
        <v>4.4662795891022802E-2</v>
      </c>
      <c r="N128" s="2">
        <f t="shared" si="47"/>
        <v>22.389999999999986</v>
      </c>
    </row>
    <row r="129" spans="2:21" x14ac:dyDescent="0.35">
      <c r="B129" s="94">
        <v>364.72</v>
      </c>
      <c r="C129" s="95">
        <v>370.69</v>
      </c>
      <c r="D129" s="96">
        <f>C129-B129</f>
        <v>5.9699999999999704</v>
      </c>
      <c r="F129" s="10">
        <v>363.88</v>
      </c>
      <c r="G129" s="11">
        <v>369.48</v>
      </c>
      <c r="H129" s="11">
        <f t="shared" si="41"/>
        <v>5.6000000000000227</v>
      </c>
      <c r="I129" s="12">
        <f t="shared" si="42"/>
        <v>9.3100000000000023</v>
      </c>
      <c r="J129" s="2">
        <f t="shared" si="44"/>
        <v>0.37558685446009477</v>
      </c>
      <c r="K129" s="2">
        <f t="shared" si="45"/>
        <v>0.62441314553990523</v>
      </c>
      <c r="L129" s="2">
        <f t="shared" si="46"/>
        <v>0.17857142857142785</v>
      </c>
      <c r="M129" s="2">
        <f t="shared" si="43"/>
        <v>6.7069081153588089E-2</v>
      </c>
      <c r="N129" s="2">
        <f t="shared" si="47"/>
        <v>14.910000000000025</v>
      </c>
    </row>
    <row r="130" spans="2:21" x14ac:dyDescent="0.35">
      <c r="B130" s="15">
        <v>379.71</v>
      </c>
      <c r="C130" s="16">
        <v>385.07</v>
      </c>
      <c r="D130" s="17">
        <f>C130-B130</f>
        <v>5.3600000000000136</v>
      </c>
      <c r="F130" s="15">
        <v>378.79</v>
      </c>
      <c r="G130" s="16">
        <v>385.48</v>
      </c>
      <c r="H130" s="16">
        <f t="shared" si="41"/>
        <v>6.6899999999999977</v>
      </c>
      <c r="I130" s="17">
        <f t="shared" si="42"/>
        <v>9.5999999999999659</v>
      </c>
      <c r="J130" s="2">
        <f t="shared" si="44"/>
        <v>0.41068139963167666</v>
      </c>
      <c r="K130" s="2">
        <f t="shared" si="45"/>
        <v>0.5893186003683234</v>
      </c>
      <c r="L130" s="2">
        <f t="shared" si="46"/>
        <v>0.14947683109118093</v>
      </c>
      <c r="M130" s="2">
        <f t="shared" si="43"/>
        <v>6.1387354205033898E-2</v>
      </c>
      <c r="N130" s="2">
        <f t="shared" si="47"/>
        <v>16.289999999999964</v>
      </c>
    </row>
    <row r="131" spans="2:21" x14ac:dyDescent="0.35">
      <c r="B131" s="15">
        <v>395.79</v>
      </c>
      <c r="C131" s="16">
        <v>401.82</v>
      </c>
      <c r="D131" s="17">
        <f>C131-B131</f>
        <v>6.0299999999999727</v>
      </c>
      <c r="F131" s="15">
        <v>395.08</v>
      </c>
      <c r="G131" s="16">
        <v>402.18</v>
      </c>
      <c r="H131" s="16">
        <f t="shared" si="41"/>
        <v>7.1000000000000227</v>
      </c>
      <c r="I131" s="17">
        <f t="shared" si="42"/>
        <v>9.1899999999999977</v>
      </c>
      <c r="J131" s="2">
        <f t="shared" si="44"/>
        <v>0.43585021485574055</v>
      </c>
      <c r="K131" s="2">
        <f t="shared" si="45"/>
        <v>0.5641497851442594</v>
      </c>
      <c r="L131" s="2">
        <f t="shared" si="46"/>
        <v>0.14084507042253477</v>
      </c>
      <c r="M131" s="2">
        <f t="shared" si="43"/>
        <v>6.1387354205033683E-2</v>
      </c>
      <c r="N131" s="2">
        <f t="shared" si="47"/>
        <v>16.29000000000002</v>
      </c>
    </row>
    <row r="132" spans="2:21" x14ac:dyDescent="0.35">
      <c r="B132" s="23">
        <v>412.03</v>
      </c>
      <c r="C132" s="24">
        <v>417.75</v>
      </c>
      <c r="D132" s="22">
        <f>C132-B132</f>
        <v>5.7200000000000273</v>
      </c>
      <c r="F132" s="23">
        <v>411.37</v>
      </c>
      <c r="G132" s="24">
        <v>418.72</v>
      </c>
      <c r="H132" s="24">
        <f t="shared" si="41"/>
        <v>7.3500000000000227</v>
      </c>
      <c r="I132" s="22">
        <f t="shared" si="42"/>
        <v>8.67999999999995</v>
      </c>
      <c r="J132" s="2">
        <f t="shared" si="44"/>
        <v>0.45851528384279694</v>
      </c>
      <c r="K132" s="2">
        <f t="shared" si="45"/>
        <v>0.54148471615720306</v>
      </c>
      <c r="L132" s="2">
        <f t="shared" si="46"/>
        <v>0.13605442176870705</v>
      </c>
      <c r="M132" s="2">
        <f t="shared" si="43"/>
        <v>6.2383031815346331E-2</v>
      </c>
      <c r="N132" s="2">
        <f t="shared" si="47"/>
        <v>16.029999999999973</v>
      </c>
    </row>
    <row r="133" spans="2:21" x14ac:dyDescent="0.35">
      <c r="B133" s="328" t="s">
        <v>21</v>
      </c>
      <c r="C133" s="328"/>
      <c r="D133" s="328"/>
      <c r="F133" s="13">
        <v>427.4</v>
      </c>
      <c r="G133" s="13">
        <v>443.39</v>
      </c>
      <c r="H133" s="13">
        <f t="shared" si="41"/>
        <v>15.990000000000009</v>
      </c>
      <c r="I133" s="13">
        <f t="shared" si="42"/>
        <v>7.0900000000000318</v>
      </c>
      <c r="J133" s="2">
        <f t="shared" si="44"/>
        <v>0.6928076256499125</v>
      </c>
      <c r="K133" s="2">
        <f t="shared" si="45"/>
        <v>0.3071923743500875</v>
      </c>
      <c r="L133" s="2">
        <f t="shared" si="46"/>
        <v>6.25390869293308E-2</v>
      </c>
      <c r="M133" s="2">
        <f t="shared" si="43"/>
        <v>4.3327556325823149E-2</v>
      </c>
      <c r="N133" s="2">
        <f t="shared" si="47"/>
        <v>23.080000000000041</v>
      </c>
    </row>
    <row r="134" spans="2:21" x14ac:dyDescent="0.35">
      <c r="B134" s="328"/>
      <c r="C134" s="328"/>
      <c r="D134" s="328"/>
      <c r="F134" s="13">
        <v>450.48</v>
      </c>
      <c r="G134" s="13">
        <v>461.97</v>
      </c>
      <c r="H134" s="13">
        <f t="shared" si="41"/>
        <v>11.490000000000009</v>
      </c>
      <c r="I134" s="13">
        <f t="shared" si="42"/>
        <v>12.359999999999957</v>
      </c>
      <c r="J134" s="2">
        <f t="shared" si="44"/>
        <v>0.48176100628930923</v>
      </c>
      <c r="K134" s="2">
        <f t="shared" si="45"/>
        <v>0.51823899371069071</v>
      </c>
      <c r="L134" s="2">
        <f t="shared" si="46"/>
        <v>8.7032201914708368E-2</v>
      </c>
      <c r="M134" s="2">
        <f t="shared" si="43"/>
        <v>4.1928721174004251E-2</v>
      </c>
      <c r="N134" s="2">
        <f t="shared" si="47"/>
        <v>23.849999999999966</v>
      </c>
      <c r="R134">
        <v>466.42</v>
      </c>
      <c r="S134">
        <v>514.05999999999995</v>
      </c>
      <c r="T134" s="13">
        <f>S134-R134</f>
        <v>47.63999999999993</v>
      </c>
      <c r="U134" s="2">
        <f>R137-S134</f>
        <v>18.580000000000041</v>
      </c>
    </row>
    <row r="135" spans="2:21" x14ac:dyDescent="0.35">
      <c r="B135" s="328"/>
      <c r="C135" s="328"/>
      <c r="D135" s="328"/>
      <c r="F135" s="13">
        <v>474.33</v>
      </c>
      <c r="G135" s="13">
        <v>488.63</v>
      </c>
      <c r="H135" s="13">
        <f t="shared" si="41"/>
        <v>14.300000000000011</v>
      </c>
      <c r="I135" s="13">
        <f t="shared" si="42"/>
        <v>10.20999999999998</v>
      </c>
      <c r="J135" s="2">
        <f t="shared" si="44"/>
        <v>0.58343533251734059</v>
      </c>
      <c r="K135" s="2">
        <f t="shared" si="45"/>
        <v>0.41656466748265947</v>
      </c>
      <c r="L135" s="2">
        <f t="shared" si="46"/>
        <v>6.993006993006988E-2</v>
      </c>
      <c r="M135" s="2">
        <f t="shared" si="43"/>
        <v>4.0799673602611192E-2</v>
      </c>
      <c r="N135" s="2">
        <f t="shared" si="47"/>
        <v>24.509999999999991</v>
      </c>
    </row>
    <row r="136" spans="2:21" x14ac:dyDescent="0.35">
      <c r="B136" s="328"/>
      <c r="C136" s="328"/>
      <c r="D136" s="328"/>
      <c r="F136" s="13">
        <v>498.84</v>
      </c>
      <c r="G136" s="13">
        <v>512.73</v>
      </c>
      <c r="H136" s="13">
        <f t="shared" si="41"/>
        <v>13.890000000000043</v>
      </c>
      <c r="I136" s="13">
        <f t="shared" si="42"/>
        <v>7.2999999999999545</v>
      </c>
      <c r="J136" s="2">
        <f t="shared" si="44"/>
        <v>0.65549787635677415</v>
      </c>
      <c r="K136" s="2">
        <f t="shared" si="45"/>
        <v>0.34450212364322585</v>
      </c>
      <c r="L136" s="2">
        <f t="shared" si="46"/>
        <v>7.1994240460762915E-2</v>
      </c>
      <c r="M136" s="2">
        <f t="shared" si="43"/>
        <v>4.7192071731949038E-2</v>
      </c>
      <c r="N136" s="2">
        <f t="shared" si="47"/>
        <v>21.189999999999998</v>
      </c>
    </row>
    <row r="137" spans="2:21" x14ac:dyDescent="0.35">
      <c r="B137" s="77">
        <v>520.75</v>
      </c>
      <c r="C137" s="78">
        <v>528.15</v>
      </c>
      <c r="D137" s="79">
        <f t="shared" ref="D137:D144" si="48">C137-B137</f>
        <v>7.3999999999999773</v>
      </c>
      <c r="F137" s="77">
        <v>520.03</v>
      </c>
      <c r="G137" s="78">
        <v>528.71</v>
      </c>
      <c r="H137" s="78">
        <f t="shared" si="41"/>
        <v>8.6800000000000637</v>
      </c>
      <c r="I137" s="79">
        <f t="shared" si="42"/>
        <v>12.769999999999982</v>
      </c>
      <c r="J137" s="2">
        <f t="shared" si="44"/>
        <v>0.40466200466200675</v>
      </c>
      <c r="K137" s="2">
        <f t="shared" si="45"/>
        <v>0.59533799533799325</v>
      </c>
      <c r="L137" s="2">
        <f t="shared" si="46"/>
        <v>0.11520737327188856</v>
      </c>
      <c r="M137" s="2">
        <f t="shared" si="43"/>
        <v>4.6620046620046519E-2</v>
      </c>
      <c r="N137" s="2">
        <f t="shared" si="47"/>
        <v>21.450000000000045</v>
      </c>
      <c r="R137">
        <v>532.64</v>
      </c>
      <c r="S137">
        <v>574.11</v>
      </c>
      <c r="T137" s="13">
        <f>S137-R137</f>
        <v>41.470000000000027</v>
      </c>
      <c r="U137" s="2">
        <f>R140-S137</f>
        <v>19.759999999999991</v>
      </c>
    </row>
    <row r="138" spans="2:21" x14ac:dyDescent="0.35">
      <c r="B138" s="23">
        <v>542.19000000000005</v>
      </c>
      <c r="C138" s="24">
        <v>547.71</v>
      </c>
      <c r="D138" s="22">
        <f t="shared" si="48"/>
        <v>5.5199999999999818</v>
      </c>
      <c r="F138" s="23">
        <v>541.48</v>
      </c>
      <c r="G138" s="24">
        <v>548.63</v>
      </c>
      <c r="H138" s="24">
        <f t="shared" si="41"/>
        <v>7.1499999999999773</v>
      </c>
      <c r="I138" s="22">
        <f t="shared" si="42"/>
        <v>10.210000000000036</v>
      </c>
      <c r="J138" s="2">
        <f t="shared" si="44"/>
        <v>0.41186635944700295</v>
      </c>
      <c r="K138" s="2">
        <f t="shared" si="45"/>
        <v>0.58813364055299699</v>
      </c>
      <c r="L138" s="2">
        <f t="shared" si="46"/>
        <v>0.13986013986014031</v>
      </c>
      <c r="M138" s="2">
        <f t="shared" si="43"/>
        <v>5.7603686635944652E-2</v>
      </c>
      <c r="N138" s="2">
        <f t="shared" si="47"/>
        <v>17.360000000000014</v>
      </c>
    </row>
    <row r="139" spans="2:21" x14ac:dyDescent="0.35">
      <c r="B139" s="323" t="s">
        <v>21</v>
      </c>
      <c r="C139" s="323"/>
      <c r="D139" s="323"/>
      <c r="F139" s="13">
        <v>558.84</v>
      </c>
      <c r="G139" s="13">
        <v>572.67999999999995</v>
      </c>
      <c r="H139" s="13">
        <f t="shared" si="41"/>
        <v>13.839999999999918</v>
      </c>
      <c r="I139" s="13">
        <f t="shared" si="42"/>
        <v>7.2000000000000455</v>
      </c>
      <c r="J139" s="2">
        <f t="shared" si="44"/>
        <v>0.65779467680608095</v>
      </c>
      <c r="K139" s="2">
        <f t="shared" si="45"/>
        <v>0.34220532319391911</v>
      </c>
      <c r="L139" s="2">
        <f t="shared" si="46"/>
        <v>7.2254335260116029E-2</v>
      </c>
      <c r="M139" s="2">
        <f t="shared" si="43"/>
        <v>4.752851711026624E-2</v>
      </c>
      <c r="N139" s="2">
        <f t="shared" si="47"/>
        <v>21.039999999999964</v>
      </c>
    </row>
    <row r="140" spans="2:21" x14ac:dyDescent="0.35">
      <c r="B140" s="77">
        <v>580.85</v>
      </c>
      <c r="C140" s="78">
        <v>583.91</v>
      </c>
      <c r="D140" s="79">
        <f t="shared" si="48"/>
        <v>3.0599999999999454</v>
      </c>
      <c r="F140" s="77">
        <v>579.88</v>
      </c>
      <c r="G140" s="78">
        <v>589.48</v>
      </c>
      <c r="H140" s="78">
        <f t="shared" si="41"/>
        <v>9.6000000000000227</v>
      </c>
      <c r="I140" s="79">
        <f t="shared" si="42"/>
        <v>12.509999999999991</v>
      </c>
      <c r="J140" s="2">
        <f t="shared" si="44"/>
        <v>0.43419267299864389</v>
      </c>
      <c r="K140" s="2">
        <f t="shared" si="45"/>
        <v>0.56580732700135605</v>
      </c>
      <c r="L140" s="2">
        <f t="shared" si="46"/>
        <v>0.10416666666666642</v>
      </c>
      <c r="M140" s="2">
        <f t="shared" si="43"/>
        <v>4.5228403437358636E-2</v>
      </c>
      <c r="N140" s="2">
        <f t="shared" si="47"/>
        <v>22.110000000000014</v>
      </c>
      <c r="R140">
        <v>593.87</v>
      </c>
      <c r="S140">
        <v>695.69</v>
      </c>
      <c r="T140" s="13">
        <f>S140-R140</f>
        <v>101.82000000000005</v>
      </c>
      <c r="U140" s="2"/>
    </row>
    <row r="141" spans="2:21" x14ac:dyDescent="0.35">
      <c r="B141" s="10">
        <v>602.91</v>
      </c>
      <c r="C141" s="11">
        <v>610.41</v>
      </c>
      <c r="D141" s="12">
        <f t="shared" si="48"/>
        <v>7.5</v>
      </c>
      <c r="F141" s="10">
        <v>601.99</v>
      </c>
      <c r="G141" s="11">
        <v>609.65</v>
      </c>
      <c r="H141" s="11">
        <f t="shared" si="41"/>
        <v>7.6599999999999682</v>
      </c>
      <c r="I141" s="12">
        <f t="shared" si="42"/>
        <v>11.129999999999995</v>
      </c>
      <c r="J141" s="2">
        <f t="shared" si="44"/>
        <v>0.40766365087812578</v>
      </c>
      <c r="K141" s="2">
        <f t="shared" si="45"/>
        <v>0.59233634912187427</v>
      </c>
      <c r="L141" s="2">
        <f t="shared" si="46"/>
        <v>0.1305483028720632</v>
      </c>
      <c r="M141" s="2">
        <f t="shared" si="43"/>
        <v>5.3219797764768595E-2</v>
      </c>
      <c r="N141" s="2">
        <f t="shared" si="47"/>
        <v>18.789999999999964</v>
      </c>
    </row>
    <row r="142" spans="2:21" x14ac:dyDescent="0.35">
      <c r="B142" s="10">
        <v>621.70000000000005</v>
      </c>
      <c r="C142" s="11">
        <v>628.75</v>
      </c>
      <c r="D142" s="12">
        <f t="shared" si="48"/>
        <v>7.0499999999999545</v>
      </c>
      <c r="F142" s="10">
        <v>620.78</v>
      </c>
      <c r="G142" s="11">
        <v>627.88</v>
      </c>
      <c r="H142" s="11">
        <f t="shared" si="41"/>
        <v>7.1000000000000227</v>
      </c>
      <c r="I142" s="12">
        <f t="shared" si="42"/>
        <v>10.259999999999991</v>
      </c>
      <c r="J142" s="2">
        <f t="shared" si="44"/>
        <v>0.40898617511520835</v>
      </c>
      <c r="K142" s="2">
        <f t="shared" si="45"/>
        <v>0.59101382488479159</v>
      </c>
      <c r="L142" s="2">
        <f t="shared" si="46"/>
        <v>0.14084507042253477</v>
      </c>
      <c r="M142" s="2">
        <f t="shared" si="43"/>
        <v>5.7603686635944652E-2</v>
      </c>
      <c r="N142" s="2">
        <f t="shared" si="47"/>
        <v>17.360000000000014</v>
      </c>
    </row>
    <row r="143" spans="2:21" x14ac:dyDescent="0.35">
      <c r="B143" s="15">
        <v>638.98</v>
      </c>
      <c r="C143" s="16">
        <v>646.26</v>
      </c>
      <c r="D143" s="17">
        <f t="shared" si="48"/>
        <v>7.2799999999999727</v>
      </c>
      <c r="F143" s="15">
        <v>638.14</v>
      </c>
      <c r="G143" s="16">
        <v>646.77</v>
      </c>
      <c r="H143" s="16">
        <f t="shared" si="41"/>
        <v>8.6299999999999955</v>
      </c>
      <c r="I143" s="17">
        <f t="shared" si="42"/>
        <v>10.470000000000027</v>
      </c>
      <c r="J143" s="2">
        <f t="shared" si="44"/>
        <v>0.4518324607329835</v>
      </c>
      <c r="K143" s="2">
        <f t="shared" si="45"/>
        <v>0.54816753926701645</v>
      </c>
      <c r="L143" s="2">
        <f t="shared" si="46"/>
        <v>0.11587485515643112</v>
      </c>
      <c r="M143" s="2">
        <f t="shared" si="43"/>
        <v>5.2356020942408314E-2</v>
      </c>
      <c r="N143" s="2">
        <f t="shared" si="47"/>
        <v>19.100000000000023</v>
      </c>
    </row>
    <row r="144" spans="2:21" x14ac:dyDescent="0.35">
      <c r="D144" s="13">
        <f t="shared" si="48"/>
        <v>0</v>
      </c>
      <c r="F144">
        <v>657.24</v>
      </c>
      <c r="G144">
        <v>672</v>
      </c>
      <c r="H144" s="13">
        <f t="shared" si="41"/>
        <v>14.759999999999991</v>
      </c>
      <c r="I144" s="13">
        <f t="shared" si="42"/>
        <v>10.669999999999959</v>
      </c>
      <c r="J144" s="2">
        <f t="shared" si="44"/>
        <v>0.58041683051514037</v>
      </c>
      <c r="K144" s="2">
        <f t="shared" si="45"/>
        <v>0.41958316948485963</v>
      </c>
      <c r="L144" s="2">
        <f t="shared" si="46"/>
        <v>6.7750677506775103E-2</v>
      </c>
      <c r="M144" s="2">
        <f t="shared" si="43"/>
        <v>3.9323633503735821E-2</v>
      </c>
      <c r="N144" s="2">
        <f t="shared" si="47"/>
        <v>25.42999999999995</v>
      </c>
    </row>
    <row r="145" spans="6:14" x14ac:dyDescent="0.35">
      <c r="F145">
        <v>682.67</v>
      </c>
      <c r="G145">
        <v>700.75</v>
      </c>
      <c r="H145" s="13">
        <f t="shared" si="41"/>
        <v>18.080000000000041</v>
      </c>
      <c r="I145" s="13">
        <f t="shared" si="42"/>
        <v>8.8799999999999955</v>
      </c>
      <c r="J145" s="2">
        <f t="shared" si="44"/>
        <v>0.67062314540059409</v>
      </c>
      <c r="K145" s="2">
        <f t="shared" si="45"/>
        <v>0.32937685459940591</v>
      </c>
      <c r="L145" s="2">
        <f t="shared" si="46"/>
        <v>5.5309734513274214E-2</v>
      </c>
      <c r="M145" s="2">
        <f t="shared" si="43"/>
        <v>3.7091988130563747E-2</v>
      </c>
      <c r="N145" s="2">
        <f t="shared" si="47"/>
        <v>26.960000000000036</v>
      </c>
    </row>
    <row r="146" spans="6:14" x14ac:dyDescent="0.35">
      <c r="F146">
        <v>709.63</v>
      </c>
      <c r="G146">
        <v>721.84</v>
      </c>
      <c r="H146" s="13">
        <f t="shared" si="41"/>
        <v>12.210000000000036</v>
      </c>
    </row>
    <row r="148" spans="6:14" x14ac:dyDescent="0.35">
      <c r="G148" s="49" t="s">
        <v>76</v>
      </c>
      <c r="H148" s="104">
        <f>AVERAGE(H121:H128)</f>
        <v>13.87875</v>
      </c>
      <c r="I148" s="104">
        <f t="shared" ref="I148:N148" si="49">AVERAGE(I121:I128)</f>
        <v>8.3924999999999983</v>
      </c>
      <c r="J148" s="104">
        <f t="shared" si="49"/>
        <v>0.62340887132508971</v>
      </c>
      <c r="K148" s="104">
        <f t="shared" si="49"/>
        <v>0.37659112867491024</v>
      </c>
      <c r="L148" s="104">
        <f t="shared" si="49"/>
        <v>7.3112781321729492E-2</v>
      </c>
      <c r="M148" s="104">
        <f t="shared" si="49"/>
        <v>4.5056203820702127E-2</v>
      </c>
      <c r="N148" s="104">
        <f t="shared" si="49"/>
        <v>22.271249999999998</v>
      </c>
    </row>
    <row r="149" spans="6:14" x14ac:dyDescent="0.35">
      <c r="G149" s="104" t="s">
        <v>20</v>
      </c>
      <c r="H149" s="104">
        <f>AVERAGE(H129:H132,H137:H138,H140:H143)</f>
        <v>7.5560000000000116</v>
      </c>
      <c r="I149" s="104">
        <f t="shared" ref="I149:N149" si="50">AVERAGE(I129:I132,I137:I138,I140:I143)</f>
        <v>10.412999999999993</v>
      </c>
      <c r="J149" s="104">
        <f t="shared" si="50"/>
        <v>0.4199837076624281</v>
      </c>
      <c r="K149" s="104">
        <f t="shared" si="50"/>
        <v>0.5800162923375719</v>
      </c>
      <c r="L149" s="104">
        <f t="shared" si="50"/>
        <v>0.1351450160103575</v>
      </c>
      <c r="M149" s="104">
        <f t="shared" si="50"/>
        <v>5.6485846341547338E-2</v>
      </c>
      <c r="N149" s="104">
        <f t="shared" si="50"/>
        <v>17.969000000000005</v>
      </c>
    </row>
    <row r="150" spans="6:14" x14ac:dyDescent="0.35">
      <c r="G150" s="104" t="s">
        <v>78</v>
      </c>
      <c r="H150" s="104">
        <f>AVERAGE(H133:H136,H139,H144:H145)</f>
        <v>14.621428571428575</v>
      </c>
      <c r="I150" s="104">
        <f t="shared" ref="I150:N150" si="51">AVERAGE(I133:I136,I139,I144:I145)</f>
        <v>9.1014285714285599</v>
      </c>
      <c r="J150" s="104">
        <f t="shared" si="51"/>
        <v>0.61747664193359308</v>
      </c>
      <c r="K150" s="104">
        <f t="shared" si="51"/>
        <v>0.38252335806640686</v>
      </c>
      <c r="L150" s="104">
        <f t="shared" si="51"/>
        <v>6.9544335216433897E-2</v>
      </c>
      <c r="M150" s="104">
        <f t="shared" si="51"/>
        <v>4.2456023082707628E-2</v>
      </c>
      <c r="N150" s="104">
        <f t="shared" si="51"/>
        <v>23.722857142857134</v>
      </c>
    </row>
  </sheetData>
  <mergeCells count="10">
    <mergeCell ref="B27:D31"/>
    <mergeCell ref="B133:D136"/>
    <mergeCell ref="B139:D139"/>
    <mergeCell ref="B108:D108"/>
    <mergeCell ref="B102:D102"/>
    <mergeCell ref="B106:D106"/>
    <mergeCell ref="B55:D55"/>
    <mergeCell ref="B57:D57"/>
    <mergeCell ref="B59:D66"/>
    <mergeCell ref="B69:D73"/>
  </mergeCells>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
  <sheetViews>
    <sheetView topLeftCell="A16" workbookViewId="0">
      <selection activeCell="V15" sqref="V15"/>
    </sheetView>
  </sheetViews>
  <sheetFormatPr defaultRowHeight="14.5" x14ac:dyDescent="0.35"/>
  <cols>
    <col min="2" max="2" width="11" customWidth="1"/>
    <col min="3" max="3" width="10.81640625" customWidth="1"/>
    <col min="13" max="13" width="10.7265625" customWidth="1"/>
  </cols>
  <sheetData>
    <row r="1" spans="1:20" ht="15.5" x14ac:dyDescent="0.35">
      <c r="A1" s="2"/>
      <c r="B1" s="2"/>
      <c r="C1" s="4" t="s">
        <v>16</v>
      </c>
      <c r="D1" s="2"/>
      <c r="E1" s="2"/>
      <c r="F1" s="2"/>
      <c r="G1" s="2"/>
      <c r="H1" s="2"/>
      <c r="I1" s="2"/>
      <c r="J1" s="2"/>
      <c r="K1" s="2"/>
      <c r="L1" s="2"/>
      <c r="M1" s="2"/>
      <c r="N1" s="2"/>
      <c r="O1" s="2"/>
      <c r="P1" s="2"/>
      <c r="Q1" s="2"/>
      <c r="R1" s="2"/>
      <c r="S1" s="2"/>
      <c r="T1" s="2"/>
    </row>
    <row r="2" spans="1:20" x14ac:dyDescent="0.35">
      <c r="A2" s="2"/>
      <c r="B2" s="2"/>
      <c r="C2" s="2"/>
      <c r="D2" s="2"/>
      <c r="E2" s="2"/>
      <c r="F2" s="2"/>
      <c r="G2" s="2"/>
      <c r="H2" s="2"/>
      <c r="I2" s="2"/>
      <c r="J2" s="2"/>
      <c r="K2" s="2"/>
      <c r="L2" s="2"/>
      <c r="M2" s="2"/>
      <c r="N2" s="2"/>
      <c r="O2" s="2"/>
      <c r="P2" s="2"/>
      <c r="Q2" s="2"/>
      <c r="R2" s="2"/>
      <c r="S2" s="2"/>
      <c r="T2" s="2"/>
    </row>
    <row r="3" spans="1:20" ht="18.5" x14ac:dyDescent="0.45">
      <c r="A3" s="2"/>
      <c r="B3" s="2"/>
      <c r="C3" s="1" t="s">
        <v>70</v>
      </c>
      <c r="D3" s="2"/>
      <c r="E3" s="2"/>
      <c r="F3" s="2"/>
      <c r="G3" s="2"/>
      <c r="H3" s="2"/>
      <c r="I3" s="2"/>
      <c r="J3" s="2"/>
      <c r="K3" s="2"/>
      <c r="L3" s="2"/>
      <c r="M3" s="2"/>
      <c r="N3" s="2"/>
      <c r="O3" s="2"/>
      <c r="P3" s="2"/>
      <c r="Q3" s="2"/>
      <c r="R3" s="2"/>
      <c r="S3" s="2"/>
      <c r="T3" s="2"/>
    </row>
    <row r="4" spans="1:20" ht="18.5" x14ac:dyDescent="0.45">
      <c r="A4" s="2"/>
      <c r="B4" s="2"/>
      <c r="C4" s="2"/>
      <c r="D4" s="2"/>
      <c r="E4" s="2"/>
      <c r="F4" s="1" t="s">
        <v>62</v>
      </c>
      <c r="G4" s="3"/>
      <c r="H4" s="3"/>
      <c r="I4" s="3"/>
      <c r="J4" s="3"/>
      <c r="K4" s="3"/>
      <c r="L4" s="3"/>
      <c r="M4" s="3"/>
      <c r="N4" s="3"/>
      <c r="O4" s="3"/>
      <c r="P4" s="3"/>
    </row>
    <row r="5" spans="1:20" ht="16" thickBot="1" x14ac:dyDescent="0.4">
      <c r="A5" s="4"/>
      <c r="B5" s="8"/>
      <c r="C5" s="6" t="s">
        <v>40</v>
      </c>
      <c r="D5" s="2"/>
      <c r="E5" s="4"/>
      <c r="F5" s="9" t="s">
        <v>1</v>
      </c>
      <c r="G5" s="9" t="s">
        <v>2</v>
      </c>
      <c r="H5" s="9" t="s">
        <v>3</v>
      </c>
      <c r="I5" s="9" t="s">
        <v>4</v>
      </c>
      <c r="J5" s="9" t="s">
        <v>5</v>
      </c>
      <c r="K5" s="9" t="s">
        <v>6</v>
      </c>
      <c r="L5" s="9" t="s">
        <v>7</v>
      </c>
      <c r="M5" s="9" t="s">
        <v>8</v>
      </c>
      <c r="N5" s="9" t="s">
        <v>9</v>
      </c>
      <c r="O5" s="9" t="s">
        <v>10</v>
      </c>
      <c r="P5" s="5"/>
      <c r="Q5" s="9" t="s">
        <v>11</v>
      </c>
      <c r="R5" s="9" t="s">
        <v>12</v>
      </c>
      <c r="S5" s="9" t="s">
        <v>13</v>
      </c>
      <c r="T5" s="9" t="s">
        <v>14</v>
      </c>
    </row>
    <row r="6" spans="1:20" x14ac:dyDescent="0.35">
      <c r="B6" s="36"/>
      <c r="C6" s="6" t="s">
        <v>73</v>
      </c>
      <c r="D6" s="2"/>
      <c r="F6">
        <v>419.23</v>
      </c>
      <c r="G6">
        <v>436.33</v>
      </c>
      <c r="H6">
        <f>G6-F6</f>
        <v>17.099999999999966</v>
      </c>
      <c r="I6">
        <f>F7-G6</f>
        <v>53.5</v>
      </c>
      <c r="J6">
        <f>H6/N6</f>
        <v>0.24220963172804497</v>
      </c>
      <c r="K6">
        <f>I6/N6</f>
        <v>0.75779036827195501</v>
      </c>
      <c r="L6">
        <f>1/H6</f>
        <v>5.8479532163742805E-2</v>
      </c>
      <c r="M6">
        <f>1/N6</f>
        <v>1.4164305949008506E-2</v>
      </c>
      <c r="N6">
        <f>H6+I6</f>
        <v>70.599999999999966</v>
      </c>
      <c r="Q6" s="25" t="s">
        <v>58</v>
      </c>
      <c r="R6" s="25"/>
      <c r="S6" s="25"/>
    </row>
    <row r="7" spans="1:20" x14ac:dyDescent="0.35">
      <c r="B7" s="2"/>
      <c r="C7" s="2"/>
      <c r="D7" s="2"/>
      <c r="F7">
        <v>489.83</v>
      </c>
      <c r="G7">
        <v>507.69</v>
      </c>
      <c r="H7">
        <f t="shared" ref="H7:H21" si="0">G7-F7</f>
        <v>17.860000000000014</v>
      </c>
      <c r="I7">
        <f t="shared" ref="I7:I20" si="1">F8-G7</f>
        <v>51.96999999999997</v>
      </c>
      <c r="J7">
        <f t="shared" ref="J7:J20" si="2">H7/N7</f>
        <v>0.25576399828154112</v>
      </c>
      <c r="K7">
        <f t="shared" ref="K7:K20" si="3">I7/N7</f>
        <v>0.74423600171845883</v>
      </c>
      <c r="L7">
        <f t="shared" ref="L7:L20" si="4">1/H7</f>
        <v>5.5991041433370616E-2</v>
      </c>
      <c r="M7">
        <f t="shared" ref="M7:M20" si="5">1/N7</f>
        <v>1.4320492624946302E-2</v>
      </c>
      <c r="N7">
        <f t="shared" ref="N7:N20" si="6">H7+I7</f>
        <v>69.829999999999984</v>
      </c>
    </row>
    <row r="8" spans="1:20" x14ac:dyDescent="0.35">
      <c r="B8" s="2"/>
      <c r="C8" s="2"/>
      <c r="D8" s="2"/>
      <c r="F8">
        <v>559.66</v>
      </c>
      <c r="G8">
        <v>577.09</v>
      </c>
      <c r="H8">
        <f t="shared" si="0"/>
        <v>17.430000000000064</v>
      </c>
      <c r="I8">
        <f t="shared" si="1"/>
        <v>57.419999999999959</v>
      </c>
      <c r="J8">
        <f t="shared" si="2"/>
        <v>0.23286573146292663</v>
      </c>
      <c r="K8">
        <f t="shared" si="3"/>
        <v>0.76713426853707334</v>
      </c>
      <c r="L8">
        <f t="shared" si="4"/>
        <v>5.7372346528972828E-2</v>
      </c>
      <c r="M8">
        <f t="shared" si="5"/>
        <v>1.3360053440213756E-2</v>
      </c>
      <c r="N8">
        <f t="shared" si="6"/>
        <v>74.850000000000023</v>
      </c>
    </row>
    <row r="9" spans="1:20" ht="16" thickBot="1" x14ac:dyDescent="0.4">
      <c r="B9" s="9" t="s">
        <v>18</v>
      </c>
      <c r="C9" s="9" t="s">
        <v>17</v>
      </c>
      <c r="D9" s="9" t="s">
        <v>20</v>
      </c>
      <c r="F9">
        <v>634.51</v>
      </c>
      <c r="G9">
        <v>651.07000000000005</v>
      </c>
      <c r="H9">
        <f t="shared" si="0"/>
        <v>16.560000000000059</v>
      </c>
      <c r="I9">
        <f t="shared" si="1"/>
        <v>45.209999999999923</v>
      </c>
      <c r="J9">
        <f t="shared" si="2"/>
        <v>0.26809130645944734</v>
      </c>
      <c r="K9">
        <f t="shared" si="3"/>
        <v>0.73190869354055266</v>
      </c>
      <c r="L9">
        <f t="shared" si="4"/>
        <v>6.0386473429951473E-2</v>
      </c>
      <c r="M9">
        <f t="shared" si="5"/>
        <v>1.6189088554314397E-2</v>
      </c>
      <c r="N9">
        <f t="shared" si="6"/>
        <v>61.769999999999982</v>
      </c>
    </row>
    <row r="10" spans="1:20" x14ac:dyDescent="0.35">
      <c r="B10" s="89">
        <v>698.57</v>
      </c>
      <c r="C10" s="88">
        <v>709.03</v>
      </c>
      <c r="D10" s="90">
        <f>C10-B10</f>
        <v>10.459999999999923</v>
      </c>
      <c r="F10" s="15">
        <v>696.28</v>
      </c>
      <c r="G10" s="16">
        <v>714.59</v>
      </c>
      <c r="H10" s="16">
        <f t="shared" si="0"/>
        <v>18.310000000000059</v>
      </c>
      <c r="I10" s="17">
        <f t="shared" si="1"/>
        <v>39.980000000000018</v>
      </c>
      <c r="J10">
        <f t="shared" si="2"/>
        <v>0.31411905987304917</v>
      </c>
      <c r="K10">
        <f t="shared" si="3"/>
        <v>0.68588094012695089</v>
      </c>
      <c r="L10">
        <f t="shared" si="4"/>
        <v>5.4614964500272901E-2</v>
      </c>
      <c r="M10">
        <f t="shared" si="5"/>
        <v>1.7155601303825676E-2</v>
      </c>
      <c r="N10">
        <f t="shared" si="6"/>
        <v>58.290000000000077</v>
      </c>
      <c r="Q10" s="331" t="s">
        <v>59</v>
      </c>
      <c r="R10" s="331"/>
      <c r="S10" s="331"/>
    </row>
    <row r="11" spans="1:20" x14ac:dyDescent="0.35">
      <c r="B11" s="15">
        <v>756.64</v>
      </c>
      <c r="C11" s="16">
        <v>765.46</v>
      </c>
      <c r="D11" s="17">
        <f>C11-B11</f>
        <v>8.82000000000005</v>
      </c>
      <c r="F11" s="15">
        <v>754.57</v>
      </c>
      <c r="G11" s="16">
        <v>770.69</v>
      </c>
      <c r="H11" s="16">
        <f t="shared" si="0"/>
        <v>16.120000000000005</v>
      </c>
      <c r="I11" s="17">
        <f t="shared" si="1"/>
        <v>38.239999999999895</v>
      </c>
      <c r="J11">
        <f t="shared" si="2"/>
        <v>0.29654157468727066</v>
      </c>
      <c r="K11">
        <f t="shared" si="3"/>
        <v>0.70345842531272929</v>
      </c>
      <c r="L11">
        <f t="shared" si="4"/>
        <v>6.2034739454094275E-2</v>
      </c>
      <c r="M11">
        <f t="shared" si="5"/>
        <v>1.8395879323031675E-2</v>
      </c>
      <c r="N11">
        <f t="shared" si="6"/>
        <v>54.3599999999999</v>
      </c>
      <c r="Q11" s="331"/>
      <c r="R11" s="331"/>
      <c r="S11" s="331"/>
    </row>
    <row r="12" spans="1:20" x14ac:dyDescent="0.35">
      <c r="B12" s="15">
        <v>810.02</v>
      </c>
      <c r="C12" s="16">
        <v>814.82</v>
      </c>
      <c r="D12" s="17">
        <f>C12-B12</f>
        <v>4.8000000000000682</v>
      </c>
      <c r="F12" s="15">
        <v>808.93</v>
      </c>
      <c r="G12" s="16">
        <v>827.56</v>
      </c>
      <c r="H12" s="16">
        <f t="shared" si="0"/>
        <v>18.629999999999995</v>
      </c>
      <c r="I12" s="17">
        <f t="shared" si="1"/>
        <v>40.310000000000059</v>
      </c>
      <c r="J12">
        <f t="shared" si="2"/>
        <v>0.31608415337631451</v>
      </c>
      <c r="K12">
        <f t="shared" si="3"/>
        <v>0.68391584662368543</v>
      </c>
      <c r="L12">
        <f t="shared" si="4"/>
        <v>5.3676865271068186E-2</v>
      </c>
      <c r="M12">
        <f t="shared" si="5"/>
        <v>1.6966406515100087E-2</v>
      </c>
      <c r="N12">
        <f t="shared" si="6"/>
        <v>58.940000000000055</v>
      </c>
      <c r="Q12" s="331"/>
      <c r="R12" s="331"/>
      <c r="S12" s="331"/>
    </row>
    <row r="13" spans="1:20" x14ac:dyDescent="0.35">
      <c r="B13" s="10">
        <v>869.4</v>
      </c>
      <c r="C13" s="11">
        <v>878.33</v>
      </c>
      <c r="D13" s="12">
        <f>C13-B13</f>
        <v>8.9300000000000637</v>
      </c>
      <c r="F13" s="10">
        <v>867.87</v>
      </c>
      <c r="G13" s="11">
        <v>873.21</v>
      </c>
      <c r="H13" s="11">
        <f t="shared" si="0"/>
        <v>5.3400000000000318</v>
      </c>
      <c r="I13" s="12">
        <f t="shared" si="1"/>
        <v>43.25</v>
      </c>
      <c r="J13">
        <f t="shared" si="2"/>
        <v>0.10989915620498103</v>
      </c>
      <c r="K13">
        <f t="shared" si="3"/>
        <v>0.89010084379501897</v>
      </c>
      <c r="L13">
        <f t="shared" si="4"/>
        <v>0.18726591760299513</v>
      </c>
      <c r="M13">
        <f t="shared" si="5"/>
        <v>2.0580366330520669E-2</v>
      </c>
      <c r="N13">
        <f t="shared" si="6"/>
        <v>48.590000000000032</v>
      </c>
    </row>
    <row r="14" spans="1:20" x14ac:dyDescent="0.35">
      <c r="A14" s="13"/>
      <c r="B14" s="10">
        <v>917.21</v>
      </c>
      <c r="C14" s="11">
        <v>924.23</v>
      </c>
      <c r="D14" s="12">
        <f>C14-B14</f>
        <v>7.0199999999999818</v>
      </c>
      <c r="E14" s="13"/>
      <c r="F14" s="10">
        <v>916.46</v>
      </c>
      <c r="G14" s="11">
        <v>922.02</v>
      </c>
      <c r="H14" s="11">
        <f t="shared" si="0"/>
        <v>5.5599999999999454</v>
      </c>
      <c r="I14" s="12">
        <f t="shared" si="1"/>
        <v>33.960000000000036</v>
      </c>
      <c r="J14">
        <f t="shared" si="2"/>
        <v>0.14068825910931043</v>
      </c>
      <c r="K14">
        <f t="shared" si="3"/>
        <v>0.85931174089068962</v>
      </c>
      <c r="L14">
        <f t="shared" si="4"/>
        <v>0.17985611510791544</v>
      </c>
      <c r="M14">
        <f t="shared" si="5"/>
        <v>2.530364372469637E-2</v>
      </c>
      <c r="N14">
        <f t="shared" si="6"/>
        <v>39.519999999999982</v>
      </c>
    </row>
    <row r="15" spans="1:20" x14ac:dyDescent="0.35">
      <c r="A15" s="13"/>
      <c r="B15" s="328" t="s">
        <v>21</v>
      </c>
      <c r="C15" s="328"/>
      <c r="D15" s="328"/>
      <c r="E15" s="13"/>
      <c r="F15" s="13">
        <v>955.98</v>
      </c>
      <c r="G15" s="13">
        <v>972.67</v>
      </c>
      <c r="H15" s="13">
        <f t="shared" si="0"/>
        <v>16.689999999999941</v>
      </c>
      <c r="I15" s="13">
        <f t="shared" si="1"/>
        <v>37.340000000000032</v>
      </c>
      <c r="J15">
        <f t="shared" si="2"/>
        <v>0.30890246159540902</v>
      </c>
      <c r="K15">
        <f t="shared" si="3"/>
        <v>0.69109753840459098</v>
      </c>
      <c r="L15">
        <f t="shared" si="4"/>
        <v>5.9916117435590388E-2</v>
      </c>
      <c r="M15">
        <f t="shared" si="5"/>
        <v>1.8508236165093474E-2</v>
      </c>
      <c r="N15">
        <f t="shared" si="6"/>
        <v>54.029999999999973</v>
      </c>
    </row>
    <row r="16" spans="1:20" x14ac:dyDescent="0.35">
      <c r="A16" s="13"/>
      <c r="B16" s="328"/>
      <c r="C16" s="328"/>
      <c r="D16" s="328"/>
      <c r="E16" s="13"/>
      <c r="F16" s="13">
        <v>1010.01</v>
      </c>
      <c r="G16" s="13">
        <v>1025.79</v>
      </c>
      <c r="H16" s="13">
        <f t="shared" si="0"/>
        <v>15.779999999999973</v>
      </c>
      <c r="I16" s="13">
        <f t="shared" si="1"/>
        <v>47.220000000000027</v>
      </c>
      <c r="J16">
        <f t="shared" si="2"/>
        <v>0.25047619047619002</v>
      </c>
      <c r="K16">
        <f t="shared" si="3"/>
        <v>0.74952380952380993</v>
      </c>
      <c r="L16">
        <f t="shared" si="4"/>
        <v>6.3371356147021662E-2</v>
      </c>
      <c r="M16">
        <f t="shared" si="5"/>
        <v>1.5873015873015872E-2</v>
      </c>
      <c r="N16">
        <f t="shared" si="6"/>
        <v>63</v>
      </c>
    </row>
    <row r="17" spans="1:20" x14ac:dyDescent="0.35">
      <c r="A17" s="13"/>
      <c r="B17" s="328"/>
      <c r="C17" s="328"/>
      <c r="D17" s="328"/>
      <c r="E17" s="13"/>
      <c r="F17" s="13">
        <v>1073.01</v>
      </c>
      <c r="G17" s="13">
        <v>1088.8499999999999</v>
      </c>
      <c r="H17" s="13">
        <f t="shared" si="0"/>
        <v>15.839999999999918</v>
      </c>
      <c r="I17" s="13">
        <f t="shared" si="1"/>
        <v>42.2800000000002</v>
      </c>
      <c r="J17">
        <f t="shared" si="2"/>
        <v>0.2725395732966257</v>
      </c>
      <c r="K17">
        <f t="shared" si="3"/>
        <v>0.7274604267033743</v>
      </c>
      <c r="L17">
        <f t="shared" si="4"/>
        <v>6.3131313131313455E-2</v>
      </c>
      <c r="M17">
        <f t="shared" si="5"/>
        <v>1.7205781142463832E-2</v>
      </c>
      <c r="N17">
        <f t="shared" si="6"/>
        <v>58.120000000000118</v>
      </c>
    </row>
    <row r="18" spans="1:20" x14ac:dyDescent="0.35">
      <c r="A18" s="13"/>
      <c r="B18" s="328"/>
      <c r="C18" s="328"/>
      <c r="D18" s="328"/>
      <c r="E18" s="13"/>
      <c r="F18" s="13">
        <v>1131.1300000000001</v>
      </c>
      <c r="G18" s="13">
        <v>1147.8800000000001</v>
      </c>
      <c r="H18" s="13">
        <f t="shared" si="0"/>
        <v>16.75</v>
      </c>
      <c r="I18" s="13">
        <f t="shared" si="1"/>
        <v>37.4699999999998</v>
      </c>
      <c r="J18">
        <f t="shared" si="2"/>
        <v>0.30892659535226968</v>
      </c>
      <c r="K18">
        <f t="shared" si="3"/>
        <v>0.69107340464773037</v>
      </c>
      <c r="L18">
        <f t="shared" si="4"/>
        <v>5.9701492537313432E-2</v>
      </c>
      <c r="M18">
        <f t="shared" si="5"/>
        <v>1.8443378827001176E-2</v>
      </c>
      <c r="N18">
        <f t="shared" si="6"/>
        <v>54.2199999999998</v>
      </c>
    </row>
    <row r="19" spans="1:20" x14ac:dyDescent="0.35">
      <c r="A19" s="13"/>
      <c r="B19" s="328"/>
      <c r="C19" s="328"/>
      <c r="D19" s="328"/>
      <c r="E19" s="13"/>
      <c r="F19" s="13">
        <v>1185.3499999999999</v>
      </c>
      <c r="G19" s="13">
        <v>1201.33</v>
      </c>
      <c r="H19" s="13">
        <f t="shared" si="0"/>
        <v>15.980000000000018</v>
      </c>
      <c r="I19" s="13">
        <f t="shared" si="1"/>
        <v>32.660000000000082</v>
      </c>
      <c r="J19">
        <f t="shared" si="2"/>
        <v>0.32853618421052599</v>
      </c>
      <c r="K19">
        <f t="shared" si="3"/>
        <v>0.67146381578947401</v>
      </c>
      <c r="L19">
        <f t="shared" si="4"/>
        <v>6.2578222778473025E-2</v>
      </c>
      <c r="M19">
        <f t="shared" si="5"/>
        <v>2.0559210526315746E-2</v>
      </c>
      <c r="N19">
        <f t="shared" si="6"/>
        <v>48.6400000000001</v>
      </c>
    </row>
    <row r="20" spans="1:20" x14ac:dyDescent="0.35">
      <c r="A20" s="13"/>
      <c r="B20" s="328"/>
      <c r="C20" s="328"/>
      <c r="D20" s="328"/>
      <c r="E20" s="13"/>
      <c r="F20" s="13">
        <v>1233.99</v>
      </c>
      <c r="G20" s="13">
        <v>1250.42</v>
      </c>
      <c r="H20" s="13">
        <f t="shared" si="0"/>
        <v>16.430000000000064</v>
      </c>
      <c r="I20" s="13">
        <f t="shared" si="1"/>
        <v>46.1099999999999</v>
      </c>
      <c r="J20">
        <f t="shared" si="2"/>
        <v>0.26271186440678085</v>
      </c>
      <c r="K20">
        <f t="shared" si="3"/>
        <v>0.73728813559321915</v>
      </c>
      <c r="L20">
        <f t="shared" si="4"/>
        <v>6.0864272671941333E-2</v>
      </c>
      <c r="M20">
        <f t="shared" si="5"/>
        <v>1.5989766549408389E-2</v>
      </c>
      <c r="N20">
        <f t="shared" si="6"/>
        <v>62.539999999999964</v>
      </c>
    </row>
    <row r="21" spans="1:20" x14ac:dyDescent="0.35">
      <c r="A21" s="13"/>
      <c r="B21" s="10">
        <v>1300.43</v>
      </c>
      <c r="C21" s="11">
        <v>1305.0999999999999</v>
      </c>
      <c r="D21" s="12">
        <f>C21-B21</f>
        <v>4.6699999999998454</v>
      </c>
      <c r="E21" s="13"/>
      <c r="F21" s="10">
        <v>1296.53</v>
      </c>
      <c r="G21" s="11">
        <v>1303.54</v>
      </c>
      <c r="H21" s="11">
        <f t="shared" si="0"/>
        <v>7.0099999999999909</v>
      </c>
      <c r="I21" s="12"/>
      <c r="J21" s="13"/>
      <c r="K21" s="13"/>
    </row>
    <row r="22" spans="1:20" x14ac:dyDescent="0.35">
      <c r="A22" s="13"/>
      <c r="B22" s="13"/>
      <c r="C22" s="13"/>
      <c r="D22" s="13"/>
      <c r="E22" s="13"/>
      <c r="F22" s="13"/>
    </row>
    <row r="23" spans="1:20" x14ac:dyDescent="0.35">
      <c r="G23" s="49" t="s">
        <v>76</v>
      </c>
      <c r="H23" s="49">
        <f t="shared" ref="H23:N23" si="7">AVERAGE(H6:H9)</f>
        <v>17.237500000000026</v>
      </c>
      <c r="I23" s="49">
        <f t="shared" si="7"/>
        <v>52.024999999999963</v>
      </c>
      <c r="J23" s="49">
        <f t="shared" si="7"/>
        <v>0.24973266698299001</v>
      </c>
      <c r="K23" s="49">
        <f t="shared" si="7"/>
        <v>0.75026733301700999</v>
      </c>
      <c r="L23" s="49">
        <f t="shared" si="7"/>
        <v>5.8057348389009431E-2</v>
      </c>
      <c r="M23" s="49">
        <f t="shared" si="7"/>
        <v>1.450848514212074E-2</v>
      </c>
      <c r="N23" s="49">
        <f t="shared" si="7"/>
        <v>69.262499999999989</v>
      </c>
    </row>
    <row r="24" spans="1:20" x14ac:dyDescent="0.35">
      <c r="G24" s="104" t="s">
        <v>20</v>
      </c>
      <c r="H24" s="49">
        <f t="shared" ref="H24:N24" si="8">AVERAGE(H13:H14)</f>
        <v>5.4499999999999886</v>
      </c>
      <c r="I24" s="49">
        <f t="shared" si="8"/>
        <v>38.605000000000018</v>
      </c>
      <c r="J24" s="49">
        <f t="shared" si="8"/>
        <v>0.12529370765714573</v>
      </c>
      <c r="K24" s="49">
        <f t="shared" si="8"/>
        <v>0.87470629234285435</v>
      </c>
      <c r="L24" s="49">
        <f t="shared" si="8"/>
        <v>0.1835610163554553</v>
      </c>
      <c r="M24" s="49">
        <f t="shared" si="8"/>
        <v>2.2942005027608521E-2</v>
      </c>
      <c r="N24" s="49">
        <f t="shared" si="8"/>
        <v>44.055000000000007</v>
      </c>
    </row>
    <row r="25" spans="1:20" x14ac:dyDescent="0.35">
      <c r="G25" s="104" t="s">
        <v>78</v>
      </c>
      <c r="H25" s="104">
        <f t="shared" ref="H25:N25" si="9">AVERAGE(H15:H20)</f>
        <v>16.244999999999987</v>
      </c>
      <c r="I25" s="104">
        <f t="shared" si="9"/>
        <v>40.513333333333343</v>
      </c>
      <c r="J25" s="104">
        <f t="shared" si="9"/>
        <v>0.28868214488963351</v>
      </c>
      <c r="K25" s="104">
        <f t="shared" si="9"/>
        <v>0.71131785511036638</v>
      </c>
      <c r="L25" s="104">
        <f t="shared" si="9"/>
        <v>6.1593795783608879E-2</v>
      </c>
      <c r="M25" s="104">
        <f t="shared" si="9"/>
        <v>1.7763231513883083E-2</v>
      </c>
      <c r="N25" s="104">
        <f t="shared" si="9"/>
        <v>56.758333333333326</v>
      </c>
    </row>
    <row r="29" spans="1:20" ht="18.5" x14ac:dyDescent="0.45">
      <c r="F29" s="1" t="s">
        <v>63</v>
      </c>
      <c r="G29" s="3"/>
      <c r="H29" s="3"/>
      <c r="I29" s="3"/>
      <c r="J29" s="3"/>
      <c r="K29" s="3"/>
      <c r="L29" s="3"/>
      <c r="M29" s="3"/>
      <c r="N29" s="3"/>
      <c r="O29" s="3"/>
      <c r="P29" s="3"/>
    </row>
    <row r="30" spans="1:20" ht="16" thickBot="1" x14ac:dyDescent="0.4">
      <c r="F30" s="9" t="s">
        <v>1</v>
      </c>
      <c r="G30" s="9" t="s">
        <v>2</v>
      </c>
      <c r="H30" s="9" t="s">
        <v>3</v>
      </c>
      <c r="I30" s="9" t="s">
        <v>4</v>
      </c>
      <c r="J30" s="9" t="s">
        <v>5</v>
      </c>
      <c r="K30" s="9" t="s">
        <v>6</v>
      </c>
      <c r="L30" s="9" t="s">
        <v>7</v>
      </c>
      <c r="M30" s="9" t="s">
        <v>8</v>
      </c>
      <c r="N30" s="9" t="s">
        <v>9</v>
      </c>
      <c r="O30" s="9" t="s">
        <v>10</v>
      </c>
      <c r="P30" s="5"/>
      <c r="Q30" s="9" t="s">
        <v>11</v>
      </c>
      <c r="R30" s="9" t="s">
        <v>12</v>
      </c>
      <c r="S30" s="9" t="s">
        <v>13</v>
      </c>
      <c r="T30" s="9" t="s">
        <v>14</v>
      </c>
    </row>
    <row r="31" spans="1:20" x14ac:dyDescent="0.35">
      <c r="F31">
        <v>353.06</v>
      </c>
      <c r="G31">
        <v>369.94</v>
      </c>
      <c r="H31">
        <f t="shared" ref="H31:H49" si="10">G31-F31</f>
        <v>16.879999999999995</v>
      </c>
      <c r="I31">
        <f t="shared" ref="I31:I48" si="11">F32-G31</f>
        <v>19.189999999999998</v>
      </c>
      <c r="J31">
        <f>H31/N31</f>
        <v>0.46797892985860823</v>
      </c>
      <c r="K31">
        <f>I31/N31</f>
        <v>0.53202107014139177</v>
      </c>
      <c r="L31">
        <f>1/H31</f>
        <v>5.9241706161137456E-2</v>
      </c>
      <c r="M31">
        <f>1/N31</f>
        <v>2.7723870252287224E-2</v>
      </c>
      <c r="N31">
        <f>H31+I31</f>
        <v>36.069999999999993</v>
      </c>
      <c r="Q31" s="25" t="s">
        <v>58</v>
      </c>
      <c r="R31" s="25"/>
      <c r="S31" s="25"/>
    </row>
    <row r="32" spans="1:20" x14ac:dyDescent="0.35">
      <c r="F32">
        <v>389.13</v>
      </c>
      <c r="G32">
        <v>410.38</v>
      </c>
      <c r="H32">
        <f t="shared" si="10"/>
        <v>21.25</v>
      </c>
      <c r="I32">
        <f t="shared" si="11"/>
        <v>27.060000000000002</v>
      </c>
      <c r="J32">
        <f t="shared" ref="J32:J48" si="12">H32/N32</f>
        <v>0.43986752225212167</v>
      </c>
      <c r="K32">
        <f t="shared" ref="K32:K48" si="13">I32/N32</f>
        <v>0.56013247774787833</v>
      </c>
      <c r="L32">
        <f t="shared" ref="L32:L48" si="14">1/H32</f>
        <v>4.7058823529411764E-2</v>
      </c>
      <c r="M32">
        <f t="shared" ref="M32:M48" si="15">1/N32</f>
        <v>2.0699648105982196E-2</v>
      </c>
      <c r="N32">
        <f t="shared" ref="N32:N48" si="16">H32+I32</f>
        <v>48.31</v>
      </c>
    </row>
    <row r="33" spans="1:14" x14ac:dyDescent="0.35">
      <c r="F33">
        <v>437.44</v>
      </c>
      <c r="G33">
        <v>459.35</v>
      </c>
      <c r="H33">
        <f t="shared" si="10"/>
        <v>21.910000000000025</v>
      </c>
      <c r="I33">
        <f t="shared" si="11"/>
        <v>23.159999999999968</v>
      </c>
      <c r="J33">
        <f t="shared" si="12"/>
        <v>0.48613268249389902</v>
      </c>
      <c r="K33">
        <f t="shared" si="13"/>
        <v>0.51386731750610104</v>
      </c>
      <c r="L33">
        <f t="shared" si="14"/>
        <v>4.5641259698767631E-2</v>
      </c>
      <c r="M33">
        <f t="shared" si="15"/>
        <v>2.2187708009762594E-2</v>
      </c>
      <c r="N33">
        <f t="shared" si="16"/>
        <v>45.069999999999993</v>
      </c>
    </row>
    <row r="34" spans="1:14" x14ac:dyDescent="0.35">
      <c r="F34">
        <v>482.51</v>
      </c>
      <c r="G34">
        <v>494.42</v>
      </c>
      <c r="H34">
        <f t="shared" si="10"/>
        <v>11.910000000000025</v>
      </c>
      <c r="I34">
        <f t="shared" si="11"/>
        <v>20.979999999999961</v>
      </c>
      <c r="J34">
        <f t="shared" si="12"/>
        <v>0.36211614472484127</v>
      </c>
      <c r="K34">
        <f t="shared" si="13"/>
        <v>0.63788385527515867</v>
      </c>
      <c r="L34">
        <f t="shared" si="14"/>
        <v>8.3963056255247512E-2</v>
      </c>
      <c r="M34">
        <f t="shared" si="15"/>
        <v>3.0404378230465198E-2</v>
      </c>
      <c r="N34">
        <f t="shared" si="16"/>
        <v>32.889999999999986</v>
      </c>
    </row>
    <row r="35" spans="1:14" x14ac:dyDescent="0.35">
      <c r="F35">
        <v>515.4</v>
      </c>
      <c r="G35">
        <v>531.62</v>
      </c>
      <c r="H35">
        <f t="shared" si="10"/>
        <v>16.220000000000027</v>
      </c>
      <c r="I35">
        <f t="shared" si="11"/>
        <v>22.360000000000014</v>
      </c>
      <c r="J35">
        <f t="shared" si="12"/>
        <v>0.42042509072058087</v>
      </c>
      <c r="K35">
        <f t="shared" si="13"/>
        <v>0.57957490927941913</v>
      </c>
      <c r="L35">
        <f t="shared" si="14"/>
        <v>6.1652281134401868E-2</v>
      </c>
      <c r="M35">
        <f t="shared" si="15"/>
        <v>2.5920165889061663E-2</v>
      </c>
      <c r="N35">
        <f t="shared" si="16"/>
        <v>38.580000000000041</v>
      </c>
    </row>
    <row r="36" spans="1:14" ht="16" thickBot="1" x14ac:dyDescent="0.4">
      <c r="B36" s="9" t="s">
        <v>18</v>
      </c>
      <c r="C36" s="9" t="s">
        <v>17</v>
      </c>
      <c r="D36" s="9" t="s">
        <v>20</v>
      </c>
      <c r="F36" s="85">
        <v>553.98</v>
      </c>
      <c r="G36" s="85">
        <v>573.51</v>
      </c>
      <c r="H36" s="85">
        <f t="shared" si="10"/>
        <v>19.529999999999973</v>
      </c>
      <c r="I36" s="85">
        <f t="shared" si="11"/>
        <v>22.629999999999995</v>
      </c>
      <c r="J36">
        <f t="shared" si="12"/>
        <v>0.46323529411764675</v>
      </c>
      <c r="K36">
        <f t="shared" si="13"/>
        <v>0.53676470588235325</v>
      </c>
      <c r="L36">
        <f t="shared" si="14"/>
        <v>5.1203277009728695E-2</v>
      </c>
      <c r="M36">
        <f t="shared" si="15"/>
        <v>2.3719165085389012E-2</v>
      </c>
      <c r="N36">
        <f t="shared" si="16"/>
        <v>42.159999999999968</v>
      </c>
    </row>
    <row r="37" spans="1:14" x14ac:dyDescent="0.35">
      <c r="B37" s="94">
        <v>598.26</v>
      </c>
      <c r="C37" s="95">
        <v>604.35</v>
      </c>
      <c r="D37" s="96">
        <f t="shared" ref="D37:D45" si="17">C37-B37</f>
        <v>6.0900000000000318</v>
      </c>
      <c r="F37" s="10">
        <v>596.14</v>
      </c>
      <c r="G37" s="11">
        <v>601.29999999999995</v>
      </c>
      <c r="H37" s="11">
        <f t="shared" si="10"/>
        <v>5.1599999999999682</v>
      </c>
      <c r="I37" s="12">
        <f t="shared" si="11"/>
        <v>22.110000000000014</v>
      </c>
      <c r="J37">
        <f t="shared" si="12"/>
        <v>0.18921892189218817</v>
      </c>
      <c r="K37">
        <f t="shared" si="13"/>
        <v>0.81078107810781186</v>
      </c>
      <c r="L37">
        <f t="shared" si="14"/>
        <v>0.19379844961240431</v>
      </c>
      <c r="M37">
        <f t="shared" si="15"/>
        <v>3.6670333700036695E-2</v>
      </c>
      <c r="N37">
        <f t="shared" si="16"/>
        <v>27.269999999999982</v>
      </c>
    </row>
    <row r="38" spans="1:14" x14ac:dyDescent="0.35">
      <c r="A38" s="13"/>
      <c r="B38" s="10">
        <v>624.66</v>
      </c>
      <c r="C38" s="11">
        <v>631.08000000000004</v>
      </c>
      <c r="D38" s="12">
        <f t="shared" si="17"/>
        <v>6.4200000000000728</v>
      </c>
      <c r="E38" s="13"/>
      <c r="F38" s="10">
        <v>623.41</v>
      </c>
      <c r="G38" s="11">
        <v>629.63</v>
      </c>
      <c r="H38" s="11">
        <f t="shared" si="10"/>
        <v>6.2200000000000273</v>
      </c>
      <c r="I38" s="12">
        <f t="shared" si="11"/>
        <v>18.720000000000027</v>
      </c>
      <c r="J38">
        <f t="shared" si="12"/>
        <v>0.24939855653568618</v>
      </c>
      <c r="K38">
        <f t="shared" si="13"/>
        <v>0.75060144346431379</v>
      </c>
      <c r="L38">
        <f t="shared" si="14"/>
        <v>0.16077170418006359</v>
      </c>
      <c r="M38">
        <f t="shared" si="15"/>
        <v>4.0096230954290206E-2</v>
      </c>
      <c r="N38">
        <f t="shared" si="16"/>
        <v>24.940000000000055</v>
      </c>
    </row>
    <row r="39" spans="1:14" x14ac:dyDescent="0.35">
      <c r="A39" s="13"/>
      <c r="B39" s="10">
        <v>648.95000000000005</v>
      </c>
      <c r="C39" s="11">
        <v>655.63</v>
      </c>
      <c r="D39" s="12">
        <f t="shared" si="17"/>
        <v>6.67999999999995</v>
      </c>
      <c r="E39" s="13"/>
      <c r="F39" s="10">
        <v>648.35</v>
      </c>
      <c r="G39" s="11">
        <v>654.77</v>
      </c>
      <c r="H39" s="11">
        <f t="shared" si="10"/>
        <v>6.4199999999999591</v>
      </c>
      <c r="I39" s="12">
        <f t="shared" si="11"/>
        <v>20.519999999999982</v>
      </c>
      <c r="J39">
        <f t="shared" si="12"/>
        <v>0.23830734966592329</v>
      </c>
      <c r="K39">
        <f t="shared" si="13"/>
        <v>0.76169265033407674</v>
      </c>
      <c r="L39">
        <f t="shared" si="14"/>
        <v>0.1557632398753904</v>
      </c>
      <c r="M39">
        <f t="shared" si="15"/>
        <v>3.7119524870081744E-2</v>
      </c>
      <c r="N39">
        <f t="shared" si="16"/>
        <v>26.939999999999941</v>
      </c>
    </row>
    <row r="40" spans="1:14" x14ac:dyDescent="0.35">
      <c r="A40" s="13"/>
      <c r="B40" s="323" t="s">
        <v>21</v>
      </c>
      <c r="C40" s="323"/>
      <c r="D40" s="323"/>
      <c r="E40" s="13"/>
      <c r="F40" s="13">
        <v>675.29</v>
      </c>
      <c r="G40" s="13">
        <v>694.08</v>
      </c>
      <c r="H40" s="13">
        <f t="shared" si="10"/>
        <v>18.790000000000077</v>
      </c>
      <c r="I40" s="13">
        <f t="shared" si="11"/>
        <v>26.809999999999945</v>
      </c>
      <c r="J40">
        <f t="shared" si="12"/>
        <v>0.41206140350877341</v>
      </c>
      <c r="K40">
        <f t="shared" si="13"/>
        <v>0.58793859649122659</v>
      </c>
      <c r="L40">
        <f t="shared" si="14"/>
        <v>5.3219797764768276E-2</v>
      </c>
      <c r="M40">
        <f t="shared" si="15"/>
        <v>2.1929824561403497E-2</v>
      </c>
      <c r="N40">
        <f t="shared" si="16"/>
        <v>45.600000000000023</v>
      </c>
    </row>
    <row r="41" spans="1:14" x14ac:dyDescent="0.35">
      <c r="A41" s="13"/>
      <c r="B41" s="10">
        <v>721.39</v>
      </c>
      <c r="C41" s="11">
        <v>727.33</v>
      </c>
      <c r="D41" s="12">
        <f t="shared" si="17"/>
        <v>5.9400000000000546</v>
      </c>
      <c r="E41" s="13"/>
      <c r="F41" s="10">
        <v>720.89</v>
      </c>
      <c r="G41" s="11">
        <v>727.43</v>
      </c>
      <c r="H41" s="11">
        <f t="shared" si="10"/>
        <v>6.5399999999999636</v>
      </c>
      <c r="I41" s="12">
        <f t="shared" si="11"/>
        <v>19.690000000000055</v>
      </c>
      <c r="J41">
        <f t="shared" si="12"/>
        <v>0.24933282500952952</v>
      </c>
      <c r="K41">
        <f t="shared" si="13"/>
        <v>0.75066717499047053</v>
      </c>
      <c r="L41">
        <f t="shared" si="14"/>
        <v>0.15290519877675926</v>
      </c>
      <c r="M41">
        <f t="shared" si="15"/>
        <v>3.8124285169653042E-2</v>
      </c>
      <c r="N41">
        <f t="shared" si="16"/>
        <v>26.230000000000018</v>
      </c>
    </row>
    <row r="42" spans="1:14" x14ac:dyDescent="0.35">
      <c r="A42" s="13"/>
      <c r="B42" s="323" t="s">
        <v>21</v>
      </c>
      <c r="C42" s="323"/>
      <c r="D42" s="323"/>
      <c r="E42" s="13"/>
      <c r="F42" s="13">
        <v>747.12</v>
      </c>
      <c r="G42" s="13">
        <v>765.1</v>
      </c>
      <c r="H42" s="13">
        <f t="shared" si="10"/>
        <v>17.980000000000018</v>
      </c>
      <c r="I42" s="13">
        <f t="shared" si="11"/>
        <v>21.769999999999982</v>
      </c>
      <c r="J42">
        <f t="shared" si="12"/>
        <v>0.45232704402515767</v>
      </c>
      <c r="K42">
        <f t="shared" si="13"/>
        <v>0.54767295597484233</v>
      </c>
      <c r="L42">
        <f t="shared" si="14"/>
        <v>5.5617352614015514E-2</v>
      </c>
      <c r="M42">
        <f t="shared" si="15"/>
        <v>2.5157232704402517E-2</v>
      </c>
      <c r="N42">
        <f t="shared" si="16"/>
        <v>39.75</v>
      </c>
    </row>
    <row r="43" spans="1:14" x14ac:dyDescent="0.35">
      <c r="A43" s="13"/>
      <c r="B43" s="10">
        <v>787.35</v>
      </c>
      <c r="C43" s="11">
        <v>793.29</v>
      </c>
      <c r="D43" s="12">
        <f t="shared" si="17"/>
        <v>5.9399999999999409</v>
      </c>
      <c r="E43" s="13"/>
      <c r="F43" s="10">
        <v>786.87</v>
      </c>
      <c r="G43" s="11">
        <v>792.65</v>
      </c>
      <c r="H43" s="11">
        <f t="shared" si="10"/>
        <v>5.7799999999999727</v>
      </c>
      <c r="I43" s="12">
        <f t="shared" si="11"/>
        <v>23.050000000000068</v>
      </c>
      <c r="J43">
        <f t="shared" si="12"/>
        <v>0.20048560527228459</v>
      </c>
      <c r="K43">
        <f t="shared" si="13"/>
        <v>0.79951439472771546</v>
      </c>
      <c r="L43">
        <f t="shared" si="14"/>
        <v>0.17301038062283819</v>
      </c>
      <c r="M43">
        <f t="shared" si="15"/>
        <v>3.468609087755805E-2</v>
      </c>
      <c r="N43">
        <f t="shared" si="16"/>
        <v>28.830000000000041</v>
      </c>
    </row>
    <row r="44" spans="1:14" x14ac:dyDescent="0.35">
      <c r="A44" s="13"/>
      <c r="B44" s="323" t="s">
        <v>21</v>
      </c>
      <c r="C44" s="323"/>
      <c r="D44" s="323"/>
      <c r="E44" s="13"/>
      <c r="F44" s="13">
        <v>815.7</v>
      </c>
      <c r="G44" s="13">
        <v>829.99</v>
      </c>
      <c r="H44" s="13">
        <f t="shared" si="10"/>
        <v>14.289999999999964</v>
      </c>
      <c r="I44" s="13">
        <f t="shared" si="11"/>
        <v>20.649999999999977</v>
      </c>
      <c r="J44">
        <f t="shared" si="12"/>
        <v>0.40898683457355434</v>
      </c>
      <c r="K44">
        <f t="shared" si="13"/>
        <v>0.59101316542644566</v>
      </c>
      <c r="L44">
        <f t="shared" si="14"/>
        <v>6.9979006298110741E-2</v>
      </c>
      <c r="M44">
        <f t="shared" si="15"/>
        <v>2.8620492272467137E-2</v>
      </c>
      <c r="N44">
        <f t="shared" si="16"/>
        <v>34.939999999999941</v>
      </c>
    </row>
    <row r="45" spans="1:14" x14ac:dyDescent="0.35">
      <c r="A45" s="13"/>
      <c r="B45" s="10">
        <v>851.06</v>
      </c>
      <c r="C45" s="11">
        <v>856.47</v>
      </c>
      <c r="D45" s="12">
        <f t="shared" si="17"/>
        <v>5.4100000000000819</v>
      </c>
      <c r="E45" s="13"/>
      <c r="F45" s="10">
        <v>850.64</v>
      </c>
      <c r="G45" s="11">
        <v>856.63</v>
      </c>
      <c r="H45" s="11">
        <f t="shared" si="10"/>
        <v>5.9900000000000091</v>
      </c>
      <c r="I45" s="12">
        <f t="shared" si="11"/>
        <v>18.669999999999959</v>
      </c>
      <c r="J45">
        <f t="shared" si="12"/>
        <v>0.24290348742903556</v>
      </c>
      <c r="K45">
        <f t="shared" si="13"/>
        <v>0.75709651257096444</v>
      </c>
      <c r="L45">
        <f t="shared" si="14"/>
        <v>0.16694490818030025</v>
      </c>
      <c r="M45">
        <f t="shared" si="15"/>
        <v>4.0551500405515056E-2</v>
      </c>
      <c r="N45">
        <f t="shared" si="16"/>
        <v>24.659999999999968</v>
      </c>
    </row>
    <row r="46" spans="1:14" x14ac:dyDescent="0.35">
      <c r="A46" s="13"/>
      <c r="B46" s="329" t="s">
        <v>21</v>
      </c>
      <c r="C46" s="329"/>
      <c r="D46" s="329"/>
      <c r="E46" s="13"/>
      <c r="F46" s="13">
        <v>875.3</v>
      </c>
      <c r="G46" s="13">
        <v>888.56</v>
      </c>
      <c r="H46" s="13">
        <f t="shared" si="10"/>
        <v>13.259999999999991</v>
      </c>
      <c r="I46" s="13">
        <f t="shared" si="11"/>
        <v>24.020000000000095</v>
      </c>
      <c r="J46">
        <f t="shared" si="12"/>
        <v>0.3556866952789689</v>
      </c>
      <c r="K46">
        <f t="shared" si="13"/>
        <v>0.6443133047210311</v>
      </c>
      <c r="L46">
        <f t="shared" si="14"/>
        <v>7.541478129713429E-2</v>
      </c>
      <c r="M46">
        <f t="shared" si="15"/>
        <v>2.6824034334763887E-2</v>
      </c>
      <c r="N46">
        <f t="shared" si="16"/>
        <v>37.280000000000086</v>
      </c>
    </row>
    <row r="47" spans="1:14" x14ac:dyDescent="0.35">
      <c r="A47" s="13"/>
      <c r="B47" s="328"/>
      <c r="C47" s="328"/>
      <c r="D47" s="328"/>
      <c r="E47" s="13"/>
      <c r="F47" s="13">
        <v>912.58</v>
      </c>
      <c r="G47" s="13">
        <v>925.15</v>
      </c>
      <c r="H47" s="13">
        <f t="shared" si="10"/>
        <v>12.569999999999936</v>
      </c>
      <c r="I47" s="13">
        <f t="shared" si="11"/>
        <v>21.300000000000068</v>
      </c>
      <c r="J47">
        <f t="shared" si="12"/>
        <v>0.371124889282549</v>
      </c>
      <c r="K47">
        <f t="shared" si="13"/>
        <v>0.62887511071745095</v>
      </c>
      <c r="L47">
        <f t="shared" si="14"/>
        <v>7.9554494828958239E-2</v>
      </c>
      <c r="M47">
        <f t="shared" si="15"/>
        <v>2.9524653085326244E-2</v>
      </c>
      <c r="N47">
        <f t="shared" si="16"/>
        <v>33.870000000000005</v>
      </c>
    </row>
    <row r="48" spans="1:14" x14ac:dyDescent="0.35">
      <c r="A48" s="13"/>
      <c r="B48" s="328"/>
      <c r="C48" s="328"/>
      <c r="D48" s="328"/>
      <c r="E48" s="13"/>
      <c r="F48" s="13">
        <v>946.45</v>
      </c>
      <c r="G48" s="13">
        <v>959.34</v>
      </c>
      <c r="H48" s="13">
        <f t="shared" si="10"/>
        <v>12.889999999999986</v>
      </c>
      <c r="I48" s="13">
        <f t="shared" si="11"/>
        <v>19.419999999999959</v>
      </c>
      <c r="J48">
        <f t="shared" si="12"/>
        <v>0.3989476942123184</v>
      </c>
      <c r="K48">
        <f t="shared" si="13"/>
        <v>0.60105230578768154</v>
      </c>
      <c r="L48">
        <f t="shared" si="14"/>
        <v>7.7579519006982234E-2</v>
      </c>
      <c r="M48">
        <f t="shared" si="15"/>
        <v>3.0950170225936297E-2</v>
      </c>
      <c r="N48">
        <f t="shared" si="16"/>
        <v>32.309999999999945</v>
      </c>
    </row>
    <row r="49" spans="1:20" x14ac:dyDescent="0.35">
      <c r="A49" s="13"/>
      <c r="B49" s="328"/>
      <c r="C49" s="328"/>
      <c r="D49" s="328"/>
      <c r="E49" s="13"/>
      <c r="F49" s="13">
        <v>978.76</v>
      </c>
      <c r="G49" s="13">
        <v>992.29</v>
      </c>
      <c r="H49" s="13">
        <f t="shared" si="10"/>
        <v>13.529999999999973</v>
      </c>
      <c r="I49" s="13"/>
    </row>
    <row r="50" spans="1:20" x14ac:dyDescent="0.35">
      <c r="D50" s="85"/>
    </row>
    <row r="51" spans="1:20" x14ac:dyDescent="0.35">
      <c r="G51" s="49" t="s">
        <v>76</v>
      </c>
      <c r="H51" s="104">
        <f>AVERAGE(H31:H36)</f>
        <v>17.950000000000006</v>
      </c>
      <c r="I51" s="104">
        <f t="shared" ref="I51:N51" si="18">AVERAGE(I31:I36)</f>
        <v>22.563333333333322</v>
      </c>
      <c r="J51" s="104">
        <f t="shared" si="18"/>
        <v>0.43995927736128299</v>
      </c>
      <c r="K51" s="104">
        <f t="shared" si="18"/>
        <v>0.56004072263871707</v>
      </c>
      <c r="L51" s="104">
        <f t="shared" si="18"/>
        <v>5.812673396478249E-2</v>
      </c>
      <c r="M51" s="104">
        <f t="shared" si="18"/>
        <v>2.510915592882465E-2</v>
      </c>
      <c r="N51" s="104">
        <f t="shared" si="18"/>
        <v>40.513333333333328</v>
      </c>
    </row>
    <row r="52" spans="1:20" x14ac:dyDescent="0.35">
      <c r="G52" s="104" t="s">
        <v>20</v>
      </c>
      <c r="H52" s="104">
        <f>AVERAGE(H37:H39,H41,H43,H45)</f>
        <v>6.0183333333333167</v>
      </c>
      <c r="I52" s="104">
        <f t="shared" ref="I52:N52" si="19">AVERAGE(I37:I39,I41,I43,I45)</f>
        <v>20.460000000000019</v>
      </c>
      <c r="J52" s="104">
        <f t="shared" si="19"/>
        <v>0.22827445763410789</v>
      </c>
      <c r="K52" s="104">
        <f t="shared" si="19"/>
        <v>0.77172554236589208</v>
      </c>
      <c r="L52" s="104">
        <f t="shared" si="19"/>
        <v>0.16719898020795934</v>
      </c>
      <c r="M52" s="104">
        <f t="shared" si="19"/>
        <v>3.7874660996189136E-2</v>
      </c>
      <c r="N52" s="104">
        <f t="shared" si="19"/>
        <v>26.478333333333335</v>
      </c>
    </row>
    <row r="53" spans="1:20" x14ac:dyDescent="0.35">
      <c r="G53" s="104" t="s">
        <v>78</v>
      </c>
      <c r="H53" s="104">
        <f>AVERAGE(H40,H42,H44,H46:H48)</f>
        <v>14.963333333333329</v>
      </c>
      <c r="I53" s="104">
        <f t="shared" ref="I53:N53" si="20">AVERAGE(I40,I42,I44,I46:I48)</f>
        <v>22.328333333333337</v>
      </c>
      <c r="J53" s="104">
        <f t="shared" si="20"/>
        <v>0.39985576014688701</v>
      </c>
      <c r="K53" s="104">
        <f t="shared" si="20"/>
        <v>0.60014423985311305</v>
      </c>
      <c r="L53" s="104">
        <f t="shared" si="20"/>
        <v>6.8560825301661563E-2</v>
      </c>
      <c r="M53" s="104">
        <f t="shared" si="20"/>
        <v>2.7167734530716595E-2</v>
      </c>
      <c r="N53" s="104">
        <f t="shared" si="20"/>
        <v>37.291666666666664</v>
      </c>
    </row>
    <row r="56" spans="1:20" ht="18.5" x14ac:dyDescent="0.45">
      <c r="F56" s="1" t="s">
        <v>67</v>
      </c>
      <c r="G56" s="3"/>
      <c r="H56" s="3"/>
      <c r="I56" s="3"/>
      <c r="J56" s="3"/>
      <c r="K56" s="3"/>
      <c r="L56" s="3"/>
      <c r="M56" s="3"/>
      <c r="N56" s="3"/>
      <c r="O56" s="3"/>
    </row>
    <row r="57" spans="1:20" ht="16" thickBot="1" x14ac:dyDescent="0.4">
      <c r="F57" s="9" t="s">
        <v>1</v>
      </c>
      <c r="G57" s="9" t="s">
        <v>2</v>
      </c>
      <c r="H57" s="9" t="s">
        <v>3</v>
      </c>
      <c r="I57" s="9" t="s">
        <v>4</v>
      </c>
      <c r="J57" s="9" t="s">
        <v>5</v>
      </c>
      <c r="K57" s="9" t="s">
        <v>6</v>
      </c>
      <c r="L57" s="9" t="s">
        <v>7</v>
      </c>
      <c r="M57" s="9" t="s">
        <v>8</v>
      </c>
      <c r="N57" s="9" t="s">
        <v>9</v>
      </c>
      <c r="O57" s="9" t="s">
        <v>10</v>
      </c>
      <c r="Q57" s="9" t="s">
        <v>11</v>
      </c>
      <c r="R57" s="9" t="s">
        <v>12</v>
      </c>
      <c r="S57" s="9" t="s">
        <v>13</v>
      </c>
      <c r="T57" s="9" t="s">
        <v>14</v>
      </c>
    </row>
    <row r="58" spans="1:20" x14ac:dyDescent="0.35">
      <c r="F58">
        <v>276.56</v>
      </c>
      <c r="G58">
        <v>288.87</v>
      </c>
      <c r="H58">
        <f t="shared" ref="H58:H78" si="21">G58-F58</f>
        <v>12.310000000000002</v>
      </c>
      <c r="I58">
        <f t="shared" ref="I58:I77" si="22">F59-G58</f>
        <v>14.949999999999989</v>
      </c>
      <c r="J58">
        <f>H58/N58</f>
        <v>0.45157740278796793</v>
      </c>
      <c r="K58">
        <f>I58/N58</f>
        <v>0.54842259721203201</v>
      </c>
      <c r="L58">
        <f>1/H58</f>
        <v>8.1234768480909811E-2</v>
      </c>
      <c r="M58">
        <f t="shared" ref="M58:M78" si="23">1/N58</f>
        <v>3.6683785766691138E-2</v>
      </c>
      <c r="N58">
        <f>H58+I58</f>
        <v>27.259999999999991</v>
      </c>
      <c r="Q58" s="25" t="s">
        <v>71</v>
      </c>
      <c r="R58" s="25"/>
      <c r="S58" s="25"/>
    </row>
    <row r="59" spans="1:20" x14ac:dyDescent="0.35">
      <c r="F59">
        <v>303.82</v>
      </c>
      <c r="G59">
        <v>317.26</v>
      </c>
      <c r="H59">
        <f t="shared" si="21"/>
        <v>13.439999999999998</v>
      </c>
      <c r="I59">
        <f t="shared" si="22"/>
        <v>14.889999999999986</v>
      </c>
      <c r="J59">
        <f t="shared" ref="J59:J78" si="24">H59/N59</f>
        <v>0.47440875397105559</v>
      </c>
      <c r="K59">
        <f t="shared" ref="K59:K78" si="25">I59/N59</f>
        <v>0.52559124602894436</v>
      </c>
      <c r="L59">
        <f t="shared" ref="L59:L78" si="26">1/H59</f>
        <v>7.4404761904761918E-2</v>
      </c>
      <c r="M59">
        <f t="shared" si="23"/>
        <v>3.5298270384751168E-2</v>
      </c>
      <c r="N59">
        <f t="shared" ref="N59:N78" si="27">H59+I59</f>
        <v>28.329999999999984</v>
      </c>
    </row>
    <row r="60" spans="1:20" x14ac:dyDescent="0.35">
      <c r="F60">
        <v>332.15</v>
      </c>
      <c r="G60">
        <v>344.39</v>
      </c>
      <c r="H60">
        <f t="shared" si="21"/>
        <v>12.240000000000009</v>
      </c>
      <c r="I60">
        <f t="shared" si="22"/>
        <v>14.689999999999998</v>
      </c>
      <c r="J60">
        <f t="shared" si="24"/>
        <v>0.45451169699220223</v>
      </c>
      <c r="K60">
        <f t="shared" si="25"/>
        <v>0.54548830300779783</v>
      </c>
      <c r="L60">
        <f t="shared" si="26"/>
        <v>8.1699346405228704E-2</v>
      </c>
      <c r="M60">
        <f t="shared" si="23"/>
        <v>3.7133308577794275E-2</v>
      </c>
      <c r="N60">
        <f t="shared" si="27"/>
        <v>26.930000000000007</v>
      </c>
    </row>
    <row r="61" spans="1:20" x14ac:dyDescent="0.35">
      <c r="F61">
        <v>359.08</v>
      </c>
      <c r="G61">
        <v>371.26</v>
      </c>
      <c r="H61">
        <f t="shared" si="21"/>
        <v>12.180000000000007</v>
      </c>
      <c r="I61">
        <f t="shared" si="22"/>
        <v>14.230000000000018</v>
      </c>
      <c r="J61">
        <f t="shared" si="24"/>
        <v>0.46118894358197632</v>
      </c>
      <c r="K61">
        <f t="shared" si="25"/>
        <v>0.53881105641802363</v>
      </c>
      <c r="L61">
        <f t="shared" si="26"/>
        <v>8.2101806239737229E-2</v>
      </c>
      <c r="M61">
        <f t="shared" si="23"/>
        <v>3.7864445285876527E-2</v>
      </c>
      <c r="N61">
        <f t="shared" si="27"/>
        <v>26.410000000000025</v>
      </c>
    </row>
    <row r="62" spans="1:20" x14ac:dyDescent="0.35">
      <c r="F62">
        <v>385.49</v>
      </c>
      <c r="G62">
        <v>397.53</v>
      </c>
      <c r="H62">
        <f t="shared" si="21"/>
        <v>12.039999999999964</v>
      </c>
      <c r="I62">
        <f t="shared" si="22"/>
        <v>15.690000000000055</v>
      </c>
      <c r="J62">
        <f t="shared" si="24"/>
        <v>0.43418680129823134</v>
      </c>
      <c r="K62">
        <f t="shared" si="25"/>
        <v>0.5658131987017686</v>
      </c>
      <c r="L62">
        <f t="shared" si="26"/>
        <v>8.3056478405315867E-2</v>
      </c>
      <c r="M62">
        <f t="shared" si="23"/>
        <v>3.6062026685899723E-2</v>
      </c>
      <c r="N62">
        <f t="shared" si="27"/>
        <v>27.730000000000018</v>
      </c>
    </row>
    <row r="63" spans="1:20" x14ac:dyDescent="0.35">
      <c r="F63">
        <v>413.22</v>
      </c>
      <c r="G63">
        <v>427.18</v>
      </c>
      <c r="H63">
        <f t="shared" si="21"/>
        <v>13.95999999999998</v>
      </c>
      <c r="I63">
        <f t="shared" si="22"/>
        <v>15.680000000000007</v>
      </c>
      <c r="J63">
        <f t="shared" si="24"/>
        <v>0.47098515519568102</v>
      </c>
      <c r="K63">
        <f t="shared" si="25"/>
        <v>0.52901484480431893</v>
      </c>
      <c r="L63">
        <f t="shared" si="26"/>
        <v>7.1633237822349677E-2</v>
      </c>
      <c r="M63">
        <f t="shared" si="23"/>
        <v>3.3738191632928488E-2</v>
      </c>
      <c r="N63">
        <f t="shared" si="27"/>
        <v>29.639999999999986</v>
      </c>
    </row>
    <row r="64" spans="1:20" ht="16" thickBot="1" x14ac:dyDescent="0.4">
      <c r="B64" s="9" t="s">
        <v>18</v>
      </c>
      <c r="C64" s="9" t="s">
        <v>17</v>
      </c>
      <c r="D64" s="9" t="s">
        <v>20</v>
      </c>
      <c r="F64">
        <v>442.86</v>
      </c>
      <c r="G64">
        <v>454.64</v>
      </c>
      <c r="H64">
        <f t="shared" si="21"/>
        <v>11.779999999999973</v>
      </c>
      <c r="I64">
        <f t="shared" si="22"/>
        <v>14.5</v>
      </c>
      <c r="J64">
        <f t="shared" si="24"/>
        <v>0.44824961948249564</v>
      </c>
      <c r="K64">
        <f t="shared" si="25"/>
        <v>0.55175038051750436</v>
      </c>
      <c r="L64">
        <f t="shared" si="26"/>
        <v>8.4889643463497644E-2</v>
      </c>
      <c r="M64">
        <f t="shared" si="23"/>
        <v>3.8051750380517543E-2</v>
      </c>
      <c r="N64">
        <f t="shared" si="27"/>
        <v>26.279999999999973</v>
      </c>
    </row>
    <row r="65" spans="2:14" x14ac:dyDescent="0.35">
      <c r="B65" s="94">
        <v>469.64</v>
      </c>
      <c r="C65" s="95">
        <v>477.24</v>
      </c>
      <c r="D65" s="96">
        <f t="shared" ref="D65:D78" si="28">C65-B65</f>
        <v>7.6000000000000227</v>
      </c>
      <c r="F65" s="10">
        <v>469.14</v>
      </c>
      <c r="G65" s="11">
        <v>475.33</v>
      </c>
      <c r="H65" s="11">
        <f t="shared" si="21"/>
        <v>6.1899999999999977</v>
      </c>
      <c r="I65" s="12">
        <f t="shared" si="22"/>
        <v>16.470000000000027</v>
      </c>
      <c r="J65">
        <f t="shared" si="24"/>
        <v>0.2731685789938213</v>
      </c>
      <c r="K65">
        <f t="shared" si="25"/>
        <v>0.7268314210061787</v>
      </c>
      <c r="L65">
        <f t="shared" si="26"/>
        <v>0.16155088852988697</v>
      </c>
      <c r="M65">
        <f t="shared" si="23"/>
        <v>4.4130626654898454E-2</v>
      </c>
      <c r="N65">
        <f t="shared" si="27"/>
        <v>22.660000000000025</v>
      </c>
    </row>
    <row r="66" spans="2:14" x14ac:dyDescent="0.35">
      <c r="B66" s="10">
        <v>492.66</v>
      </c>
      <c r="C66" s="11">
        <v>499.91</v>
      </c>
      <c r="D66" s="12">
        <f t="shared" si="28"/>
        <v>7.25</v>
      </c>
      <c r="F66" s="10">
        <v>491.8</v>
      </c>
      <c r="G66" s="11">
        <v>498.53</v>
      </c>
      <c r="H66" s="11">
        <f t="shared" si="21"/>
        <v>6.7299999999999613</v>
      </c>
      <c r="I66" s="12">
        <f t="shared" si="22"/>
        <v>16.190000000000055</v>
      </c>
      <c r="J66">
        <f t="shared" si="24"/>
        <v>0.29363001745200507</v>
      </c>
      <c r="K66">
        <f t="shared" si="25"/>
        <v>0.70636998254799488</v>
      </c>
      <c r="L66">
        <f t="shared" si="26"/>
        <v>0.14858841010401275</v>
      </c>
      <c r="M66">
        <f t="shared" si="23"/>
        <v>4.3630017452006953E-2</v>
      </c>
      <c r="N66">
        <f t="shared" si="27"/>
        <v>22.920000000000016</v>
      </c>
    </row>
    <row r="67" spans="2:14" x14ac:dyDescent="0.35">
      <c r="B67" s="323" t="s">
        <v>21</v>
      </c>
      <c r="C67" s="323"/>
      <c r="D67" s="323"/>
      <c r="F67">
        <v>514.72</v>
      </c>
      <c r="G67">
        <v>528.29999999999995</v>
      </c>
      <c r="H67">
        <f t="shared" si="21"/>
        <v>13.579999999999927</v>
      </c>
      <c r="I67">
        <f t="shared" si="22"/>
        <v>15.870000000000005</v>
      </c>
      <c r="J67">
        <f t="shared" si="24"/>
        <v>0.46112054329371677</v>
      </c>
      <c r="K67">
        <f t="shared" si="25"/>
        <v>0.53887945670628323</v>
      </c>
      <c r="L67">
        <f t="shared" si="26"/>
        <v>7.3637702503682276E-2</v>
      </c>
      <c r="M67">
        <f t="shared" si="23"/>
        <v>3.3955857385399059E-2</v>
      </c>
      <c r="N67">
        <f t="shared" si="27"/>
        <v>29.449999999999932</v>
      </c>
    </row>
    <row r="68" spans="2:14" x14ac:dyDescent="0.35">
      <c r="B68" s="10">
        <v>545.01</v>
      </c>
      <c r="C68" s="11">
        <v>551.74</v>
      </c>
      <c r="D68" s="12">
        <f t="shared" si="28"/>
        <v>6.7300000000000182</v>
      </c>
      <c r="F68" s="10">
        <v>544.16999999999996</v>
      </c>
      <c r="G68" s="11">
        <v>551.83000000000004</v>
      </c>
      <c r="H68" s="11">
        <f t="shared" si="21"/>
        <v>7.6600000000000819</v>
      </c>
      <c r="I68" s="12">
        <f t="shared" si="22"/>
        <v>13.839999999999918</v>
      </c>
      <c r="J68">
        <f t="shared" si="24"/>
        <v>0.35627906976744567</v>
      </c>
      <c r="K68">
        <f t="shared" si="25"/>
        <v>0.64372093023255428</v>
      </c>
      <c r="L68">
        <f t="shared" si="26"/>
        <v>0.13054830287206126</v>
      </c>
      <c r="M68">
        <f t="shared" si="23"/>
        <v>4.6511627906976744E-2</v>
      </c>
      <c r="N68">
        <f t="shared" si="27"/>
        <v>21.5</v>
      </c>
    </row>
    <row r="69" spans="2:14" x14ac:dyDescent="0.35">
      <c r="B69" s="323" t="s">
        <v>21</v>
      </c>
      <c r="C69" s="323"/>
      <c r="D69" s="323"/>
      <c r="F69">
        <v>565.66999999999996</v>
      </c>
      <c r="G69">
        <v>579.41</v>
      </c>
      <c r="H69">
        <f t="shared" si="21"/>
        <v>13.740000000000009</v>
      </c>
      <c r="I69">
        <f t="shared" si="22"/>
        <v>16.850000000000023</v>
      </c>
      <c r="J69">
        <f t="shared" si="24"/>
        <v>0.44916639424648563</v>
      </c>
      <c r="K69">
        <f t="shared" si="25"/>
        <v>0.55083360575351437</v>
      </c>
      <c r="L69">
        <f t="shared" si="26"/>
        <v>7.2780203784570549E-2</v>
      </c>
      <c r="M69">
        <f t="shared" si="23"/>
        <v>3.269042170643998E-2</v>
      </c>
      <c r="N69">
        <f t="shared" si="27"/>
        <v>30.590000000000032</v>
      </c>
    </row>
    <row r="70" spans="2:14" x14ac:dyDescent="0.35">
      <c r="B70" s="10">
        <v>597.04999999999995</v>
      </c>
      <c r="C70" s="11">
        <v>601.41</v>
      </c>
      <c r="D70" s="12">
        <f t="shared" si="28"/>
        <v>4.3600000000000136</v>
      </c>
      <c r="F70" s="10">
        <v>596.26</v>
      </c>
      <c r="G70" s="11">
        <v>602.99</v>
      </c>
      <c r="H70" s="11">
        <f t="shared" si="21"/>
        <v>6.7300000000000182</v>
      </c>
      <c r="I70" s="12">
        <f t="shared" si="22"/>
        <v>15.960000000000036</v>
      </c>
      <c r="J70">
        <f t="shared" si="24"/>
        <v>0.29660643455266644</v>
      </c>
      <c r="K70">
        <f t="shared" si="25"/>
        <v>0.70339356544733356</v>
      </c>
      <c r="L70">
        <f t="shared" si="26"/>
        <v>0.1485884101040115</v>
      </c>
      <c r="M70">
        <f t="shared" si="23"/>
        <v>4.407227853680025E-2</v>
      </c>
      <c r="N70">
        <f t="shared" si="27"/>
        <v>22.690000000000055</v>
      </c>
    </row>
    <row r="71" spans="2:14" x14ac:dyDescent="0.35">
      <c r="B71" s="10">
        <v>619.95000000000005</v>
      </c>
      <c r="C71" s="11">
        <v>625.24</v>
      </c>
      <c r="D71" s="12">
        <f t="shared" si="28"/>
        <v>5.2899999999999636</v>
      </c>
      <c r="F71" s="10">
        <v>618.95000000000005</v>
      </c>
      <c r="G71" s="11">
        <v>627.57000000000005</v>
      </c>
      <c r="H71" s="11">
        <f t="shared" si="21"/>
        <v>8.6200000000000045</v>
      </c>
      <c r="I71" s="12">
        <f>F72-G71</f>
        <v>14.279999999999973</v>
      </c>
      <c r="J71">
        <f t="shared" si="24"/>
        <v>0.37641921397379968</v>
      </c>
      <c r="K71">
        <f t="shared" si="25"/>
        <v>0.62358078602620026</v>
      </c>
      <c r="L71">
        <f t="shared" si="26"/>
        <v>0.11600928074245934</v>
      </c>
      <c r="M71">
        <f t="shared" si="23"/>
        <v>4.3668122270742404E-2</v>
      </c>
      <c r="N71">
        <f t="shared" si="27"/>
        <v>22.899999999999977</v>
      </c>
    </row>
    <row r="72" spans="2:14" x14ac:dyDescent="0.35">
      <c r="B72" s="10">
        <v>642.73</v>
      </c>
      <c r="C72" s="11">
        <v>651</v>
      </c>
      <c r="D72" s="12">
        <f t="shared" si="28"/>
        <v>8.2699999999999818</v>
      </c>
      <c r="F72" s="10">
        <v>641.85</v>
      </c>
      <c r="G72" s="11">
        <v>650.07000000000005</v>
      </c>
      <c r="H72" s="11">
        <f t="shared" si="21"/>
        <v>8.2200000000000273</v>
      </c>
      <c r="I72" s="12">
        <f t="shared" si="22"/>
        <v>16.169999999999959</v>
      </c>
      <c r="J72">
        <f t="shared" si="24"/>
        <v>0.33702337023370366</v>
      </c>
      <c r="K72">
        <f t="shared" si="25"/>
        <v>0.66297662976629634</v>
      </c>
      <c r="L72">
        <f t="shared" si="26"/>
        <v>0.12165450121654461</v>
      </c>
      <c r="M72">
        <f t="shared" si="23"/>
        <v>4.1000410004100062E-2</v>
      </c>
      <c r="N72">
        <f t="shared" si="27"/>
        <v>24.389999999999986</v>
      </c>
    </row>
    <row r="73" spans="2:14" x14ac:dyDescent="0.35">
      <c r="B73" s="10">
        <v>667.15</v>
      </c>
      <c r="C73" s="11">
        <v>675.74</v>
      </c>
      <c r="D73" s="12">
        <f t="shared" si="28"/>
        <v>8.5900000000000318</v>
      </c>
      <c r="F73" s="10">
        <v>666.24</v>
      </c>
      <c r="G73" s="11">
        <v>674.49</v>
      </c>
      <c r="H73" s="11">
        <f t="shared" si="21"/>
        <v>8.25</v>
      </c>
      <c r="I73" s="12">
        <f t="shared" si="22"/>
        <v>17.889999999999986</v>
      </c>
      <c r="J73">
        <f t="shared" si="24"/>
        <v>0.31560826319816387</v>
      </c>
      <c r="K73">
        <f t="shared" si="25"/>
        <v>0.68439173680183607</v>
      </c>
      <c r="L73">
        <f t="shared" si="26"/>
        <v>0.12121212121212122</v>
      </c>
      <c r="M73">
        <f t="shared" si="23"/>
        <v>3.8255547054322894E-2</v>
      </c>
      <c r="N73">
        <f t="shared" si="27"/>
        <v>26.139999999999986</v>
      </c>
    </row>
    <row r="74" spans="2:14" x14ac:dyDescent="0.35">
      <c r="B74" s="329" t="s">
        <v>21</v>
      </c>
      <c r="C74" s="329"/>
      <c r="D74" s="329"/>
      <c r="F74">
        <v>692.38</v>
      </c>
      <c r="G74">
        <v>706.47</v>
      </c>
      <c r="H74">
        <f t="shared" si="21"/>
        <v>14.090000000000032</v>
      </c>
      <c r="I74">
        <f t="shared" si="22"/>
        <v>15.519999999999982</v>
      </c>
      <c r="J74">
        <f t="shared" si="24"/>
        <v>0.47585275244849801</v>
      </c>
      <c r="K74">
        <f t="shared" si="25"/>
        <v>0.52414724755150199</v>
      </c>
      <c r="L74">
        <f t="shared" si="26"/>
        <v>7.0972320794889826E-2</v>
      </c>
      <c r="M74">
        <f t="shared" si="23"/>
        <v>3.3772374197906095E-2</v>
      </c>
      <c r="N74">
        <f t="shared" si="27"/>
        <v>29.610000000000014</v>
      </c>
    </row>
    <row r="75" spans="2:14" x14ac:dyDescent="0.35">
      <c r="B75" s="328"/>
      <c r="C75" s="328"/>
      <c r="D75" s="328"/>
      <c r="F75">
        <v>721.99</v>
      </c>
      <c r="G75">
        <v>734.22</v>
      </c>
      <c r="H75">
        <f t="shared" si="21"/>
        <v>12.230000000000018</v>
      </c>
      <c r="I75">
        <f t="shared" si="22"/>
        <v>18.169999999999959</v>
      </c>
      <c r="J75">
        <f t="shared" si="24"/>
        <v>0.40230263157894824</v>
      </c>
      <c r="K75">
        <f t="shared" si="25"/>
        <v>0.5976973684210517</v>
      </c>
      <c r="L75">
        <f t="shared" si="26"/>
        <v>8.1766148814390718E-2</v>
      </c>
      <c r="M75">
        <f t="shared" si="23"/>
        <v>3.2894736842105289E-2</v>
      </c>
      <c r="N75">
        <f t="shared" si="27"/>
        <v>30.399999999999977</v>
      </c>
    </row>
    <row r="76" spans="2:14" x14ac:dyDescent="0.35">
      <c r="B76" s="328"/>
      <c r="C76" s="328"/>
      <c r="D76" s="328"/>
      <c r="F76">
        <v>752.39</v>
      </c>
      <c r="G76">
        <v>765.53</v>
      </c>
      <c r="H76">
        <f t="shared" si="21"/>
        <v>13.139999999999986</v>
      </c>
      <c r="I76">
        <f t="shared" si="22"/>
        <v>18.330000000000041</v>
      </c>
      <c r="J76">
        <f t="shared" si="24"/>
        <v>0.41754051477597631</v>
      </c>
      <c r="K76">
        <f t="shared" si="25"/>
        <v>0.58245948522402369</v>
      </c>
      <c r="L76">
        <f t="shared" si="26"/>
        <v>7.6103500761035087E-2</v>
      </c>
      <c r="M76">
        <f t="shared" si="23"/>
        <v>3.1776294884016495E-2</v>
      </c>
      <c r="N76">
        <f t="shared" si="27"/>
        <v>31.470000000000027</v>
      </c>
    </row>
    <row r="77" spans="2:14" x14ac:dyDescent="0.35">
      <c r="B77" s="330"/>
      <c r="C77" s="330"/>
      <c r="D77" s="330"/>
      <c r="F77">
        <v>783.86</v>
      </c>
      <c r="G77">
        <v>797.11</v>
      </c>
      <c r="H77">
        <f t="shared" si="21"/>
        <v>13.25</v>
      </c>
      <c r="I77">
        <f t="shared" si="22"/>
        <v>16.539999999999964</v>
      </c>
      <c r="J77">
        <f t="shared" si="24"/>
        <v>0.44478012755958429</v>
      </c>
      <c r="K77">
        <f t="shared" si="25"/>
        <v>0.55521987244041571</v>
      </c>
      <c r="L77">
        <f t="shared" si="26"/>
        <v>7.5471698113207544E-2</v>
      </c>
      <c r="M77">
        <f t="shared" si="23"/>
        <v>3.3568311513930887E-2</v>
      </c>
      <c r="N77">
        <f t="shared" si="27"/>
        <v>29.789999999999964</v>
      </c>
    </row>
    <row r="78" spans="2:14" x14ac:dyDescent="0.35">
      <c r="B78" s="10">
        <v>814.35</v>
      </c>
      <c r="C78" s="11">
        <v>819.43</v>
      </c>
      <c r="D78" s="12">
        <f t="shared" si="28"/>
        <v>5.0799999999999272</v>
      </c>
      <c r="F78" s="10">
        <v>813.65</v>
      </c>
      <c r="G78" s="11">
        <v>819.64</v>
      </c>
      <c r="H78" s="11">
        <f t="shared" si="21"/>
        <v>5.9900000000000091</v>
      </c>
      <c r="I78" s="12"/>
      <c r="J78">
        <f t="shared" si="24"/>
        <v>1</v>
      </c>
      <c r="K78">
        <f t="shared" si="25"/>
        <v>0</v>
      </c>
      <c r="L78">
        <f t="shared" si="26"/>
        <v>0.16694490818030025</v>
      </c>
      <c r="M78">
        <f t="shared" si="23"/>
        <v>0.16694490818030025</v>
      </c>
      <c r="N78">
        <f t="shared" si="27"/>
        <v>5.9900000000000091</v>
      </c>
    </row>
    <row r="79" spans="2:14" x14ac:dyDescent="0.35">
      <c r="D79" s="13"/>
    </row>
    <row r="80" spans="2:14" x14ac:dyDescent="0.35">
      <c r="D80" s="13"/>
      <c r="G80" s="49" t="s">
        <v>76</v>
      </c>
      <c r="H80" s="104">
        <f>AVERAGE(H58:H64)</f>
        <v>12.564285714285704</v>
      </c>
      <c r="I80" s="104">
        <f t="shared" ref="I80:N80" si="29">AVERAGE(I58:I64)</f>
        <v>14.947142857142865</v>
      </c>
      <c r="J80" s="104">
        <f t="shared" si="29"/>
        <v>0.45644405332994431</v>
      </c>
      <c r="K80" s="104">
        <f t="shared" si="29"/>
        <v>0.54355594667005569</v>
      </c>
      <c r="L80" s="104">
        <f t="shared" si="29"/>
        <v>7.9860006103114403E-2</v>
      </c>
      <c r="M80" s="104">
        <f t="shared" si="29"/>
        <v>3.6404539816351271E-2</v>
      </c>
      <c r="N80" s="104">
        <f t="shared" si="29"/>
        <v>27.511428571428571</v>
      </c>
    </row>
    <row r="81" spans="2:15" x14ac:dyDescent="0.35">
      <c r="G81" s="104" t="s">
        <v>20</v>
      </c>
      <c r="H81" s="104">
        <f>AVERAGE(H65:H66,H68,H70:H73)</f>
        <v>7.4857142857142991</v>
      </c>
      <c r="I81" s="104">
        <f t="shared" ref="I81:N81" si="30">AVERAGE(I65:I66,I68,I70:I73)</f>
        <v>15.828571428571422</v>
      </c>
      <c r="J81" s="104">
        <f t="shared" si="30"/>
        <v>0.32124784973880077</v>
      </c>
      <c r="K81" s="104">
        <f t="shared" si="30"/>
        <v>0.67875215026119917</v>
      </c>
      <c r="L81" s="104">
        <f t="shared" si="30"/>
        <v>0.13545027354015679</v>
      </c>
      <c r="M81" s="104">
        <f t="shared" si="30"/>
        <v>4.3038375697121101E-2</v>
      </c>
      <c r="N81" s="104">
        <f t="shared" si="30"/>
        <v>23.31428571428572</v>
      </c>
    </row>
    <row r="82" spans="2:15" x14ac:dyDescent="0.35">
      <c r="G82" s="104" t="s">
        <v>78</v>
      </c>
      <c r="H82" s="104">
        <f>AVERAGE(H67,H69,H74:H77)</f>
        <v>13.338333333333329</v>
      </c>
      <c r="I82" s="104">
        <f t="shared" ref="I82:N82" si="31">AVERAGE(I67,I69,I74:I77)</f>
        <v>16.879999999999995</v>
      </c>
      <c r="J82" s="104">
        <f t="shared" si="31"/>
        <v>0.44179382731720157</v>
      </c>
      <c r="K82" s="104">
        <f t="shared" si="31"/>
        <v>0.55820617268279837</v>
      </c>
      <c r="L82" s="104">
        <f t="shared" si="31"/>
        <v>7.5121929128629319E-2</v>
      </c>
      <c r="M82" s="104">
        <f t="shared" si="31"/>
        <v>3.3109666088299634E-2</v>
      </c>
      <c r="N82" s="104">
        <f t="shared" si="31"/>
        <v>30.218333333333323</v>
      </c>
    </row>
    <row r="84" spans="2:15" ht="18.5" x14ac:dyDescent="0.45">
      <c r="F84" s="1" t="s">
        <v>69</v>
      </c>
      <c r="G84" s="3"/>
      <c r="H84" s="3"/>
      <c r="I84" s="3"/>
      <c r="J84" s="3"/>
      <c r="K84" s="3"/>
      <c r="L84" s="3"/>
      <c r="M84" s="3"/>
      <c r="N84" s="3"/>
      <c r="O84" s="3"/>
    </row>
    <row r="85" spans="2:15" ht="16" thickBot="1" x14ac:dyDescent="0.4">
      <c r="F85" s="9" t="s">
        <v>1</v>
      </c>
      <c r="G85" s="9" t="s">
        <v>2</v>
      </c>
      <c r="H85" s="9" t="s">
        <v>3</v>
      </c>
      <c r="I85" s="9" t="s">
        <v>4</v>
      </c>
      <c r="J85" s="9" t="s">
        <v>5</v>
      </c>
      <c r="K85" s="9" t="s">
        <v>6</v>
      </c>
      <c r="L85" s="9" t="s">
        <v>7</v>
      </c>
      <c r="M85" s="9" t="s">
        <v>8</v>
      </c>
      <c r="N85" s="9" t="s">
        <v>9</v>
      </c>
      <c r="O85" s="9" t="s">
        <v>10</v>
      </c>
    </row>
    <row r="86" spans="2:15" x14ac:dyDescent="0.35">
      <c r="F86">
        <v>320.24</v>
      </c>
      <c r="G86">
        <v>335.92</v>
      </c>
      <c r="H86">
        <f t="shared" ref="H86:H110" si="32">G86-F86</f>
        <v>15.680000000000007</v>
      </c>
      <c r="I86">
        <f t="shared" ref="I86:I109" si="33">F87-G86</f>
        <v>10.199999999999989</v>
      </c>
      <c r="J86">
        <f>H86/N86</f>
        <v>0.60587326120556451</v>
      </c>
      <c r="K86">
        <f>I86/N86</f>
        <v>0.39412673879443549</v>
      </c>
      <c r="L86">
        <f>1/H86</f>
        <v>6.3775510204081606E-2</v>
      </c>
      <c r="M86">
        <f t="shared" ref="M86:M109" si="34">1/N86</f>
        <v>3.8639876352395679E-2</v>
      </c>
      <c r="N86">
        <f>H86+I86</f>
        <v>25.879999999999995</v>
      </c>
    </row>
    <row r="87" spans="2:15" x14ac:dyDescent="0.35">
      <c r="F87">
        <v>346.12</v>
      </c>
      <c r="G87">
        <v>362.33</v>
      </c>
      <c r="H87">
        <f t="shared" si="32"/>
        <v>16.20999999999998</v>
      </c>
      <c r="I87">
        <f t="shared" si="33"/>
        <v>11.050000000000011</v>
      </c>
      <c r="J87">
        <f t="shared" ref="J87:J109" si="35">H87/N87</f>
        <v>0.59464416727806257</v>
      </c>
      <c r="K87">
        <f t="shared" ref="K87:K109" si="36">I87/N87</f>
        <v>0.40535583272193748</v>
      </c>
      <c r="L87">
        <f t="shared" ref="L87:L109" si="37">1/H87</f>
        <v>6.169031462060464E-2</v>
      </c>
      <c r="M87">
        <f t="shared" si="34"/>
        <v>3.6683785766691138E-2</v>
      </c>
      <c r="N87">
        <f t="shared" ref="N87:N109" si="38">H87+I87</f>
        <v>27.259999999999991</v>
      </c>
    </row>
    <row r="88" spans="2:15" x14ac:dyDescent="0.35">
      <c r="F88">
        <v>373.38</v>
      </c>
      <c r="G88">
        <v>388.67</v>
      </c>
      <c r="H88">
        <f t="shared" si="32"/>
        <v>15.29000000000002</v>
      </c>
      <c r="I88">
        <f t="shared" si="33"/>
        <v>10.389999999999986</v>
      </c>
      <c r="J88">
        <f t="shared" si="35"/>
        <v>0.59540498442367662</v>
      </c>
      <c r="K88">
        <f t="shared" si="36"/>
        <v>0.40459501557632332</v>
      </c>
      <c r="L88">
        <f t="shared" si="37"/>
        <v>6.5402223675604887E-2</v>
      </c>
      <c r="M88">
        <f t="shared" si="34"/>
        <v>3.8940809968847342E-2</v>
      </c>
      <c r="N88">
        <f t="shared" si="38"/>
        <v>25.680000000000007</v>
      </c>
    </row>
    <row r="89" spans="2:15" x14ac:dyDescent="0.35">
      <c r="F89">
        <v>399.06</v>
      </c>
      <c r="G89">
        <v>414.48</v>
      </c>
      <c r="H89">
        <f t="shared" si="32"/>
        <v>15.420000000000016</v>
      </c>
      <c r="I89">
        <f t="shared" si="33"/>
        <v>11.180000000000007</v>
      </c>
      <c r="J89">
        <f t="shared" si="35"/>
        <v>0.57969924812030083</v>
      </c>
      <c r="K89">
        <f t="shared" si="36"/>
        <v>0.42030075187969912</v>
      </c>
      <c r="L89">
        <f t="shared" si="37"/>
        <v>6.4850843060959729E-2</v>
      </c>
      <c r="M89">
        <f t="shared" si="34"/>
        <v>3.7593984962405985E-2</v>
      </c>
      <c r="N89">
        <f t="shared" si="38"/>
        <v>26.600000000000023</v>
      </c>
    </row>
    <row r="90" spans="2:15" x14ac:dyDescent="0.35">
      <c r="F90">
        <v>425.66</v>
      </c>
      <c r="G90">
        <v>440.09</v>
      </c>
      <c r="H90">
        <f t="shared" si="32"/>
        <v>14.42999999999995</v>
      </c>
      <c r="I90">
        <f t="shared" si="33"/>
        <v>10.79000000000002</v>
      </c>
      <c r="J90">
        <f t="shared" si="35"/>
        <v>0.57216494845360688</v>
      </c>
      <c r="K90">
        <f t="shared" si="36"/>
        <v>0.42783505154639306</v>
      </c>
      <c r="L90">
        <f t="shared" si="37"/>
        <v>6.9300069300069544E-2</v>
      </c>
      <c r="M90">
        <f t="shared" si="34"/>
        <v>3.9651070578905677E-2</v>
      </c>
      <c r="N90">
        <f t="shared" si="38"/>
        <v>25.21999999999997</v>
      </c>
    </row>
    <row r="91" spans="2:15" ht="16" thickBot="1" x14ac:dyDescent="0.4">
      <c r="B91" s="9" t="s">
        <v>18</v>
      </c>
      <c r="C91" s="9" t="s">
        <v>17</v>
      </c>
      <c r="D91" s="9" t="s">
        <v>20</v>
      </c>
      <c r="F91">
        <v>450.88</v>
      </c>
      <c r="G91">
        <v>464.97</v>
      </c>
      <c r="H91">
        <f t="shared" si="32"/>
        <v>14.090000000000032</v>
      </c>
      <c r="I91">
        <f t="shared" si="33"/>
        <v>10.909999999999968</v>
      </c>
      <c r="J91">
        <f t="shared" si="35"/>
        <v>0.56360000000000132</v>
      </c>
      <c r="K91">
        <f t="shared" si="36"/>
        <v>0.43639999999999873</v>
      </c>
      <c r="L91">
        <f t="shared" si="37"/>
        <v>7.0972320794889826E-2</v>
      </c>
      <c r="M91">
        <f t="shared" si="34"/>
        <v>0.04</v>
      </c>
      <c r="N91">
        <f t="shared" si="38"/>
        <v>25</v>
      </c>
    </row>
    <row r="92" spans="2:15" x14ac:dyDescent="0.35">
      <c r="B92" s="94">
        <v>476.64</v>
      </c>
      <c r="C92" s="95">
        <v>488.05</v>
      </c>
      <c r="D92" s="96">
        <f t="shared" ref="D92:D104" si="39">C92-B92</f>
        <v>11.410000000000025</v>
      </c>
      <c r="F92" s="10">
        <v>475.88</v>
      </c>
      <c r="G92" s="11">
        <v>484.36</v>
      </c>
      <c r="H92" s="11">
        <f t="shared" si="32"/>
        <v>8.4800000000000182</v>
      </c>
      <c r="I92" s="12">
        <f t="shared" si="33"/>
        <v>14.229999999999961</v>
      </c>
      <c r="J92">
        <f t="shared" si="35"/>
        <v>0.37340378687802844</v>
      </c>
      <c r="K92">
        <f t="shared" si="36"/>
        <v>0.62659621312197156</v>
      </c>
      <c r="L92">
        <f t="shared" si="37"/>
        <v>0.11792452830188654</v>
      </c>
      <c r="M92">
        <f t="shared" si="34"/>
        <v>4.4033465433729671E-2</v>
      </c>
      <c r="N92">
        <f t="shared" si="38"/>
        <v>22.70999999999998</v>
      </c>
    </row>
    <row r="93" spans="2:15" x14ac:dyDescent="0.35">
      <c r="B93" s="323" t="s">
        <v>21</v>
      </c>
      <c r="C93" s="323"/>
      <c r="D93" s="323"/>
      <c r="F93">
        <v>498.59</v>
      </c>
      <c r="G93">
        <v>514.35</v>
      </c>
      <c r="H93">
        <f t="shared" si="32"/>
        <v>15.760000000000048</v>
      </c>
      <c r="I93">
        <f t="shared" si="33"/>
        <v>12.879999999999995</v>
      </c>
      <c r="J93">
        <f t="shared" si="35"/>
        <v>0.55027932960893944</v>
      </c>
      <c r="K93">
        <f t="shared" si="36"/>
        <v>0.44972067039106062</v>
      </c>
      <c r="L93">
        <f t="shared" si="37"/>
        <v>6.3451776649745995E-2</v>
      </c>
      <c r="M93">
        <f t="shared" si="34"/>
        <v>3.4916201117318385E-2</v>
      </c>
      <c r="N93">
        <f t="shared" si="38"/>
        <v>28.640000000000043</v>
      </c>
    </row>
    <row r="94" spans="2:15" x14ac:dyDescent="0.35">
      <c r="B94" s="10">
        <v>528.15</v>
      </c>
      <c r="C94" s="11">
        <v>536.36</v>
      </c>
      <c r="D94" s="12">
        <f t="shared" si="39"/>
        <v>8.2100000000000364</v>
      </c>
      <c r="F94" s="10">
        <v>527.23</v>
      </c>
      <c r="G94" s="11">
        <v>535.79999999999995</v>
      </c>
      <c r="H94" s="11">
        <f t="shared" si="32"/>
        <v>8.5699999999999363</v>
      </c>
      <c r="I94" s="12">
        <f t="shared" si="33"/>
        <v>14.259999999999991</v>
      </c>
      <c r="J94">
        <f t="shared" si="35"/>
        <v>0.37538326763030938</v>
      </c>
      <c r="K94">
        <f t="shared" si="36"/>
        <v>0.62461673236969062</v>
      </c>
      <c r="L94">
        <f t="shared" si="37"/>
        <v>0.11668611435239293</v>
      </c>
      <c r="M94">
        <f t="shared" si="34"/>
        <v>4.3802014892685204E-2</v>
      </c>
      <c r="N94">
        <f t="shared" si="38"/>
        <v>22.829999999999927</v>
      </c>
    </row>
    <row r="95" spans="2:15" x14ac:dyDescent="0.35">
      <c r="B95" s="15">
        <v>550.94000000000005</v>
      </c>
      <c r="C95" s="16">
        <v>554.99</v>
      </c>
      <c r="D95" s="17">
        <f t="shared" si="39"/>
        <v>4.0499999999999545</v>
      </c>
      <c r="F95" s="15">
        <v>550.05999999999995</v>
      </c>
      <c r="G95" s="16">
        <v>558.07000000000005</v>
      </c>
      <c r="H95" s="16">
        <f t="shared" si="32"/>
        <v>8.0100000000001046</v>
      </c>
      <c r="I95" s="17">
        <f t="shared" si="33"/>
        <v>14.139999999999986</v>
      </c>
      <c r="J95">
        <f t="shared" si="35"/>
        <v>0.36162528216704615</v>
      </c>
      <c r="K95">
        <f t="shared" si="36"/>
        <v>0.63837471783295385</v>
      </c>
      <c r="L95">
        <f t="shared" si="37"/>
        <v>0.12484394506866255</v>
      </c>
      <c r="M95">
        <f t="shared" si="34"/>
        <v>4.5146726862302297E-2</v>
      </c>
      <c r="N95">
        <f t="shared" si="38"/>
        <v>22.150000000000091</v>
      </c>
    </row>
    <row r="96" spans="2:15" x14ac:dyDescent="0.35">
      <c r="B96" s="323" t="s">
        <v>21</v>
      </c>
      <c r="C96" s="323"/>
      <c r="D96" s="323"/>
      <c r="F96">
        <v>572.21</v>
      </c>
      <c r="G96">
        <v>588.36</v>
      </c>
      <c r="H96">
        <f t="shared" si="32"/>
        <v>16.149999999999977</v>
      </c>
      <c r="I96">
        <f t="shared" si="33"/>
        <v>12.860000000000014</v>
      </c>
      <c r="J96">
        <f t="shared" si="35"/>
        <v>0.55670458462599037</v>
      </c>
      <c r="K96">
        <f t="shared" si="36"/>
        <v>0.44329541537400957</v>
      </c>
      <c r="L96">
        <f t="shared" si="37"/>
        <v>6.1919504643962939E-2</v>
      </c>
      <c r="M96">
        <f t="shared" si="34"/>
        <v>3.4470872113064474E-2</v>
      </c>
      <c r="N96">
        <f t="shared" si="38"/>
        <v>29.009999999999991</v>
      </c>
    </row>
    <row r="97" spans="2:14" x14ac:dyDescent="0.35">
      <c r="B97" s="10">
        <v>601.98</v>
      </c>
      <c r="C97" s="11">
        <v>611.30999999999995</v>
      </c>
      <c r="D97" s="12">
        <f t="shared" si="39"/>
        <v>9.3299999999999272</v>
      </c>
      <c r="F97" s="10">
        <v>601.22</v>
      </c>
      <c r="G97" s="11">
        <v>610.15</v>
      </c>
      <c r="H97" s="11">
        <f t="shared" si="32"/>
        <v>8.92999999999995</v>
      </c>
      <c r="I97" s="12">
        <f t="shared" si="33"/>
        <v>16.139999999999986</v>
      </c>
      <c r="J97">
        <f t="shared" si="35"/>
        <v>0.35620263262863872</v>
      </c>
      <c r="K97">
        <f t="shared" si="36"/>
        <v>0.64379736737136128</v>
      </c>
      <c r="L97">
        <f t="shared" si="37"/>
        <v>0.11198208286674195</v>
      </c>
      <c r="M97">
        <f t="shared" si="34"/>
        <v>3.9888312724371863E-2</v>
      </c>
      <c r="N97">
        <f t="shared" si="38"/>
        <v>25.069999999999936</v>
      </c>
    </row>
    <row r="98" spans="2:14" x14ac:dyDescent="0.35">
      <c r="B98" s="323" t="s">
        <v>21</v>
      </c>
      <c r="C98" s="323"/>
      <c r="D98" s="323"/>
      <c r="F98">
        <v>626.29</v>
      </c>
      <c r="G98">
        <v>642.84</v>
      </c>
      <c r="H98">
        <f t="shared" si="32"/>
        <v>16.550000000000068</v>
      </c>
      <c r="I98">
        <f t="shared" si="33"/>
        <v>14.259999999999991</v>
      </c>
      <c r="J98">
        <f t="shared" si="35"/>
        <v>0.53716325868224724</v>
      </c>
      <c r="K98">
        <f t="shared" si="36"/>
        <v>0.46283674131775282</v>
      </c>
      <c r="L98">
        <f t="shared" si="37"/>
        <v>6.0422960725075282E-2</v>
      </c>
      <c r="M98">
        <f t="shared" si="34"/>
        <v>3.2456994482310875E-2</v>
      </c>
      <c r="N98">
        <f t="shared" si="38"/>
        <v>30.810000000000059</v>
      </c>
    </row>
    <row r="99" spans="2:14" x14ac:dyDescent="0.35">
      <c r="B99" s="10">
        <v>657.74</v>
      </c>
      <c r="C99" s="11">
        <v>667.31</v>
      </c>
      <c r="D99" s="12">
        <f t="shared" si="39"/>
        <v>9.5699999999999363</v>
      </c>
      <c r="F99" s="10">
        <v>657.1</v>
      </c>
      <c r="G99" s="11">
        <v>666.83</v>
      </c>
      <c r="H99" s="11">
        <f t="shared" si="32"/>
        <v>9.7300000000000182</v>
      </c>
      <c r="I99" s="12">
        <f t="shared" si="33"/>
        <v>15.459999999999923</v>
      </c>
      <c r="J99">
        <f t="shared" si="35"/>
        <v>0.38626439063120449</v>
      </c>
      <c r="K99">
        <f t="shared" si="36"/>
        <v>0.61373560936879556</v>
      </c>
      <c r="L99">
        <f t="shared" si="37"/>
        <v>0.10277492291880762</v>
      </c>
      <c r="M99">
        <f t="shared" si="34"/>
        <v>3.9698292973402237E-2</v>
      </c>
      <c r="N99">
        <f t="shared" si="38"/>
        <v>25.189999999999941</v>
      </c>
    </row>
    <row r="100" spans="2:14" x14ac:dyDescent="0.35">
      <c r="B100" s="15">
        <v>683.17</v>
      </c>
      <c r="C100" s="16">
        <v>688.3</v>
      </c>
      <c r="D100" s="17">
        <f t="shared" si="39"/>
        <v>5.1299999999999955</v>
      </c>
      <c r="F100" s="15">
        <v>682.29</v>
      </c>
      <c r="G100" s="16">
        <v>690.02</v>
      </c>
      <c r="H100" s="16">
        <f t="shared" si="32"/>
        <v>7.7300000000000182</v>
      </c>
      <c r="I100" s="17">
        <f t="shared" si="33"/>
        <v>17.909999999999968</v>
      </c>
      <c r="J100">
        <f t="shared" si="35"/>
        <v>0.30148205928237215</v>
      </c>
      <c r="K100">
        <f t="shared" si="36"/>
        <v>0.69851794071762785</v>
      </c>
      <c r="L100">
        <f t="shared" si="37"/>
        <v>0.12936610608020668</v>
      </c>
      <c r="M100">
        <f t="shared" si="34"/>
        <v>3.9001560062402518E-2</v>
      </c>
      <c r="N100">
        <f t="shared" si="38"/>
        <v>25.639999999999986</v>
      </c>
    </row>
    <row r="101" spans="2:14" x14ac:dyDescent="0.35">
      <c r="B101" s="323" t="s">
        <v>21</v>
      </c>
      <c r="C101" s="323"/>
      <c r="D101" s="323"/>
      <c r="F101">
        <v>707.93</v>
      </c>
      <c r="G101">
        <v>721.55</v>
      </c>
      <c r="H101">
        <f t="shared" si="32"/>
        <v>13.620000000000005</v>
      </c>
      <c r="I101">
        <f t="shared" si="33"/>
        <v>17.460000000000036</v>
      </c>
      <c r="J101">
        <f t="shared" si="35"/>
        <v>0.43822393822393779</v>
      </c>
      <c r="K101">
        <f t="shared" si="36"/>
        <v>0.56177606177606221</v>
      </c>
      <c r="L101">
        <f t="shared" si="37"/>
        <v>7.3421439060205554E-2</v>
      </c>
      <c r="M101">
        <f t="shared" si="34"/>
        <v>3.2175032175032134E-2</v>
      </c>
      <c r="N101">
        <f t="shared" si="38"/>
        <v>31.080000000000041</v>
      </c>
    </row>
    <row r="102" spans="2:14" x14ac:dyDescent="0.35">
      <c r="B102" s="10">
        <v>739.97</v>
      </c>
      <c r="C102" s="11">
        <v>749.27</v>
      </c>
      <c r="D102" s="12">
        <f t="shared" si="39"/>
        <v>9.2999999999999545</v>
      </c>
      <c r="F102" s="10">
        <v>739.01</v>
      </c>
      <c r="G102" s="11">
        <v>748.19</v>
      </c>
      <c r="H102" s="11">
        <f t="shared" si="32"/>
        <v>9.1800000000000637</v>
      </c>
      <c r="I102" s="12">
        <f t="shared" si="33"/>
        <v>17.979999999999905</v>
      </c>
      <c r="J102">
        <f t="shared" si="35"/>
        <v>0.33799705449190259</v>
      </c>
      <c r="K102">
        <f t="shared" si="36"/>
        <v>0.66200294550809746</v>
      </c>
      <c r="L102">
        <f t="shared" si="37"/>
        <v>0.10893246187363759</v>
      </c>
      <c r="M102">
        <f t="shared" si="34"/>
        <v>3.6818851251840985E-2</v>
      </c>
      <c r="N102">
        <f t="shared" si="38"/>
        <v>27.159999999999968</v>
      </c>
    </row>
    <row r="103" spans="2:14" x14ac:dyDescent="0.35">
      <c r="B103" s="323" t="s">
        <v>21</v>
      </c>
      <c r="C103" s="323"/>
      <c r="D103" s="323"/>
      <c r="F103" s="13">
        <v>766.17</v>
      </c>
      <c r="G103" s="13">
        <v>780.27</v>
      </c>
      <c r="H103">
        <f t="shared" si="32"/>
        <v>14.100000000000023</v>
      </c>
      <c r="I103">
        <f t="shared" si="33"/>
        <v>18.990000000000009</v>
      </c>
      <c r="J103">
        <f t="shared" si="35"/>
        <v>0.42611060743427043</v>
      </c>
      <c r="K103">
        <f t="shared" si="36"/>
        <v>0.57388939256572957</v>
      </c>
      <c r="L103">
        <f t="shared" si="37"/>
        <v>7.0921985815602717E-2</v>
      </c>
      <c r="M103">
        <f t="shared" si="34"/>
        <v>3.022061045633119E-2</v>
      </c>
      <c r="N103">
        <f t="shared" si="38"/>
        <v>33.090000000000032</v>
      </c>
    </row>
    <row r="104" spans="2:14" x14ac:dyDescent="0.35">
      <c r="B104" s="10">
        <v>799.89</v>
      </c>
      <c r="C104" s="11">
        <v>810.35</v>
      </c>
      <c r="D104" s="12">
        <f t="shared" si="39"/>
        <v>10.460000000000036</v>
      </c>
      <c r="F104" s="10">
        <v>799.26</v>
      </c>
      <c r="G104" s="11">
        <v>808.27</v>
      </c>
      <c r="H104" s="11">
        <f t="shared" si="32"/>
        <v>9.0099999999999909</v>
      </c>
      <c r="I104" s="12">
        <f t="shared" si="33"/>
        <v>19.310000000000059</v>
      </c>
      <c r="J104">
        <f t="shared" si="35"/>
        <v>0.31814971751412341</v>
      </c>
      <c r="K104">
        <f t="shared" si="36"/>
        <v>0.68185028248587654</v>
      </c>
      <c r="L104">
        <f t="shared" si="37"/>
        <v>0.11098779134295239</v>
      </c>
      <c r="M104">
        <f t="shared" si="34"/>
        <v>3.5310734463276774E-2</v>
      </c>
      <c r="N104">
        <f t="shared" si="38"/>
        <v>28.32000000000005</v>
      </c>
    </row>
    <row r="105" spans="2:14" x14ac:dyDescent="0.35">
      <c r="B105" s="329" t="s">
        <v>21</v>
      </c>
      <c r="C105" s="329"/>
      <c r="D105" s="329"/>
      <c r="F105" s="13">
        <v>827.58</v>
      </c>
      <c r="G105" s="13">
        <v>840.04</v>
      </c>
      <c r="H105">
        <f t="shared" si="32"/>
        <v>12.459999999999923</v>
      </c>
      <c r="I105">
        <f t="shared" si="33"/>
        <v>17.580000000000041</v>
      </c>
      <c r="J105">
        <f t="shared" si="35"/>
        <v>0.41478029294274094</v>
      </c>
      <c r="K105">
        <f t="shared" si="36"/>
        <v>0.58521970705725901</v>
      </c>
      <c r="L105">
        <f t="shared" si="37"/>
        <v>8.0256821829856037E-2</v>
      </c>
      <c r="M105">
        <f t="shared" si="34"/>
        <v>3.3288948069241049E-2</v>
      </c>
      <c r="N105">
        <f t="shared" si="38"/>
        <v>30.039999999999964</v>
      </c>
    </row>
    <row r="106" spans="2:14" x14ac:dyDescent="0.35">
      <c r="B106" s="328"/>
      <c r="C106" s="328"/>
      <c r="D106" s="328"/>
      <c r="F106" s="13">
        <v>857.62</v>
      </c>
      <c r="G106" s="13">
        <v>869.44</v>
      </c>
      <c r="H106">
        <f t="shared" si="32"/>
        <v>11.82000000000005</v>
      </c>
      <c r="I106">
        <f t="shared" si="33"/>
        <v>22.549999999999955</v>
      </c>
      <c r="J106">
        <f t="shared" si="35"/>
        <v>0.3439045679371559</v>
      </c>
      <c r="K106">
        <f t="shared" si="36"/>
        <v>0.65609543206284404</v>
      </c>
      <c r="L106">
        <f t="shared" si="37"/>
        <v>8.4602368866327896E-2</v>
      </c>
      <c r="M106">
        <f t="shared" si="34"/>
        <v>2.9095141111434387E-2</v>
      </c>
      <c r="N106">
        <f t="shared" si="38"/>
        <v>34.370000000000005</v>
      </c>
    </row>
    <row r="107" spans="2:14" x14ac:dyDescent="0.35">
      <c r="B107" s="328"/>
      <c r="C107" s="328"/>
      <c r="D107" s="328"/>
      <c r="F107" s="13">
        <v>891.99</v>
      </c>
      <c r="G107" s="13">
        <v>905.33</v>
      </c>
      <c r="H107">
        <f t="shared" si="32"/>
        <v>13.340000000000032</v>
      </c>
      <c r="I107">
        <f t="shared" si="33"/>
        <v>22.309999999999945</v>
      </c>
      <c r="J107">
        <f t="shared" si="35"/>
        <v>0.3741935483870979</v>
      </c>
      <c r="K107">
        <f t="shared" si="36"/>
        <v>0.62580645161290205</v>
      </c>
      <c r="L107">
        <f t="shared" si="37"/>
        <v>7.4962518740629508E-2</v>
      </c>
      <c r="M107">
        <f t="shared" si="34"/>
        <v>2.8050490883590479E-2</v>
      </c>
      <c r="N107">
        <f t="shared" si="38"/>
        <v>35.649999999999977</v>
      </c>
    </row>
    <row r="108" spans="2:14" x14ac:dyDescent="0.35">
      <c r="B108" s="328"/>
      <c r="C108" s="328"/>
      <c r="D108" s="328"/>
      <c r="F108" s="13">
        <v>927.64</v>
      </c>
      <c r="G108" s="13">
        <v>941.34</v>
      </c>
      <c r="H108">
        <f t="shared" si="32"/>
        <v>13.700000000000045</v>
      </c>
      <c r="I108">
        <f t="shared" si="33"/>
        <v>16.219999999999914</v>
      </c>
      <c r="J108">
        <f t="shared" si="35"/>
        <v>0.45788770053476152</v>
      </c>
      <c r="K108">
        <f t="shared" si="36"/>
        <v>0.54211229946523853</v>
      </c>
      <c r="L108">
        <f t="shared" si="37"/>
        <v>7.2992700729926766E-2</v>
      </c>
      <c r="M108">
        <f t="shared" si="34"/>
        <v>3.3422459893048172E-2</v>
      </c>
      <c r="N108">
        <f t="shared" si="38"/>
        <v>29.919999999999959</v>
      </c>
    </row>
    <row r="109" spans="2:14" x14ac:dyDescent="0.35">
      <c r="B109" s="328"/>
      <c r="C109" s="328"/>
      <c r="D109" s="328"/>
      <c r="F109" s="13">
        <v>957.56</v>
      </c>
      <c r="G109" s="13">
        <v>971.14</v>
      </c>
      <c r="H109">
        <f t="shared" si="32"/>
        <v>13.580000000000041</v>
      </c>
      <c r="I109">
        <f t="shared" si="33"/>
        <v>20.870000000000005</v>
      </c>
      <c r="J109">
        <f t="shared" si="35"/>
        <v>0.39419448476052316</v>
      </c>
      <c r="K109">
        <f t="shared" si="36"/>
        <v>0.60580551523947679</v>
      </c>
      <c r="L109">
        <f t="shared" si="37"/>
        <v>7.3637702503681665E-2</v>
      </c>
      <c r="M109">
        <f t="shared" si="34"/>
        <v>2.9027576197387481E-2</v>
      </c>
      <c r="N109">
        <f t="shared" si="38"/>
        <v>34.450000000000045</v>
      </c>
    </row>
    <row r="110" spans="2:14" x14ac:dyDescent="0.35">
      <c r="B110" s="328"/>
      <c r="C110" s="328"/>
      <c r="D110" s="328"/>
      <c r="F110" s="13">
        <v>992.01</v>
      </c>
      <c r="G110" s="13">
        <v>1004.03</v>
      </c>
      <c r="H110">
        <f t="shared" si="32"/>
        <v>12.019999999999982</v>
      </c>
    </row>
    <row r="112" spans="2:14" x14ac:dyDescent="0.35">
      <c r="G112" s="49" t="s">
        <v>76</v>
      </c>
      <c r="H112" s="104">
        <f>AVERAGE(H86:H91)</f>
        <v>15.186666666666667</v>
      </c>
      <c r="I112" s="104">
        <f t="shared" ref="I112:N112" si="40">AVERAGE(I86:I91)</f>
        <v>10.75333333333333</v>
      </c>
      <c r="J112" s="104">
        <f t="shared" si="40"/>
        <v>0.58523110158020208</v>
      </c>
      <c r="K112" s="104">
        <f t="shared" si="40"/>
        <v>0.41476889841979786</v>
      </c>
      <c r="L112" s="104">
        <f t="shared" si="40"/>
        <v>6.59985469427017E-2</v>
      </c>
      <c r="M112" s="104">
        <f t="shared" si="40"/>
        <v>3.8584921271540971E-2</v>
      </c>
      <c r="N112" s="104">
        <f t="shared" si="40"/>
        <v>25.939999999999998</v>
      </c>
    </row>
    <row r="113" spans="7:14" x14ac:dyDescent="0.35">
      <c r="G113" s="104" t="s">
        <v>20</v>
      </c>
      <c r="H113" s="104">
        <f>AVERAGE(H92,H94,H97,H99,H102,H104,H95,H100)</f>
        <v>8.7050000000000125</v>
      </c>
      <c r="I113" s="104">
        <f t="shared" ref="I113:N113" si="41">AVERAGE(I92,I94,I97,I99,I102,I104,I95,I100)</f>
        <v>16.178749999999972</v>
      </c>
      <c r="J113" s="104">
        <f t="shared" si="41"/>
        <v>0.35131352390295312</v>
      </c>
      <c r="K113" s="104">
        <f t="shared" si="41"/>
        <v>0.64868647609704688</v>
      </c>
      <c r="L113" s="104">
        <f t="shared" si="41"/>
        <v>0.11543724410066104</v>
      </c>
      <c r="M113" s="104">
        <f t="shared" si="41"/>
        <v>4.0462494833001447E-2</v>
      </c>
      <c r="N113" s="104">
        <f t="shared" si="41"/>
        <v>24.883749999999985</v>
      </c>
    </row>
    <row r="114" spans="7:14" x14ac:dyDescent="0.35">
      <c r="G114" s="104" t="s">
        <v>78</v>
      </c>
      <c r="H114" s="104">
        <f>AVERAGE(H93,H96,H98,H101,H103,H105:H109)</f>
        <v>14.108000000000022</v>
      </c>
      <c r="I114" s="104">
        <f t="shared" ref="I114:N114" si="42">AVERAGE(I93,I96,I98,I101,I103,I105:I109)</f>
        <v>17.597999999999992</v>
      </c>
      <c r="J114" s="104">
        <f t="shared" si="42"/>
        <v>0.44934423131376644</v>
      </c>
      <c r="K114" s="104">
        <f t="shared" si="42"/>
        <v>0.55065576868623345</v>
      </c>
      <c r="L114" s="104">
        <f t="shared" si="42"/>
        <v>7.1658977956501432E-2</v>
      </c>
      <c r="M114" s="104">
        <f t="shared" si="42"/>
        <v>3.171243264987586E-2</v>
      </c>
      <c r="N114" s="104">
        <f t="shared" si="42"/>
        <v>31.70600000000001</v>
      </c>
    </row>
  </sheetData>
  <mergeCells count="15">
    <mergeCell ref="Q10:S12"/>
    <mergeCell ref="B93:D93"/>
    <mergeCell ref="B96:D96"/>
    <mergeCell ref="B98:D98"/>
    <mergeCell ref="B67:D67"/>
    <mergeCell ref="B69:D69"/>
    <mergeCell ref="B15:D20"/>
    <mergeCell ref="B40:D40"/>
    <mergeCell ref="B42:D42"/>
    <mergeCell ref="B44:D44"/>
    <mergeCell ref="B105:D110"/>
    <mergeCell ref="B74:D77"/>
    <mergeCell ref="B46:D49"/>
    <mergeCell ref="B101:D101"/>
    <mergeCell ref="B103:D10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7"/>
  <sheetViews>
    <sheetView workbookViewId="0">
      <selection activeCell="H30" sqref="H30:P30"/>
    </sheetView>
  </sheetViews>
  <sheetFormatPr defaultRowHeight="14.5" x14ac:dyDescent="0.35"/>
  <cols>
    <col min="2" max="2" width="10.81640625" customWidth="1"/>
    <col min="3" max="3" width="10.7265625" customWidth="1"/>
    <col min="5" max="5" width="10.7265625" customWidth="1"/>
    <col min="13" max="13" width="10.453125" customWidth="1"/>
  </cols>
  <sheetData>
    <row r="1" spans="1:21" ht="15.5" x14ac:dyDescent="0.35">
      <c r="A1" s="2"/>
      <c r="B1" s="2"/>
      <c r="C1" s="4" t="s">
        <v>16</v>
      </c>
      <c r="D1" s="2"/>
      <c r="E1" s="2"/>
      <c r="F1" s="2"/>
      <c r="G1" s="2"/>
      <c r="H1" s="2"/>
      <c r="I1" s="2"/>
      <c r="J1" s="2"/>
      <c r="K1" s="2"/>
      <c r="L1" s="2"/>
      <c r="M1" s="2"/>
      <c r="N1" s="2"/>
      <c r="O1" s="2"/>
      <c r="P1" s="2"/>
      <c r="Q1" s="2"/>
      <c r="R1" s="2"/>
      <c r="S1" s="2"/>
      <c r="T1" s="2"/>
      <c r="U1" s="2"/>
    </row>
    <row r="2" spans="1:21" x14ac:dyDescent="0.35">
      <c r="A2" s="2"/>
      <c r="B2" s="2"/>
      <c r="C2" s="2"/>
      <c r="D2" s="2"/>
      <c r="E2" s="2"/>
      <c r="F2" s="2"/>
      <c r="G2" s="2"/>
      <c r="H2" s="2"/>
      <c r="I2" s="2"/>
      <c r="J2" s="2"/>
      <c r="K2" s="2"/>
      <c r="L2" s="2"/>
      <c r="M2" s="2"/>
      <c r="N2" s="2"/>
      <c r="O2" s="2"/>
      <c r="P2" s="2"/>
      <c r="Q2" s="2"/>
      <c r="R2" s="2"/>
      <c r="S2" s="2"/>
      <c r="T2" s="2"/>
      <c r="U2" s="2"/>
    </row>
    <row r="3" spans="1:21" ht="18.5" x14ac:dyDescent="0.45">
      <c r="A3" s="2"/>
      <c r="B3" s="2"/>
      <c r="C3" s="1" t="s">
        <v>88</v>
      </c>
      <c r="D3" s="2"/>
      <c r="E3" s="2"/>
      <c r="F3" s="2"/>
      <c r="G3" s="2"/>
      <c r="H3" s="2"/>
      <c r="I3" s="2"/>
      <c r="J3" s="2"/>
      <c r="K3" s="2"/>
      <c r="L3" s="2"/>
      <c r="M3" s="2"/>
      <c r="N3" s="2"/>
      <c r="O3" s="2"/>
      <c r="P3" s="2"/>
      <c r="Q3" s="2"/>
      <c r="R3" s="2"/>
      <c r="S3" s="2"/>
      <c r="T3" s="2"/>
      <c r="U3" s="2"/>
    </row>
    <row r="4" spans="1:21" ht="18.5" x14ac:dyDescent="0.45">
      <c r="A4" s="2"/>
      <c r="B4" s="2"/>
      <c r="C4" s="2"/>
      <c r="D4" s="2"/>
      <c r="E4" s="2"/>
      <c r="F4" s="1" t="s">
        <v>62</v>
      </c>
      <c r="G4" s="3"/>
      <c r="H4" s="3"/>
      <c r="I4" s="3"/>
      <c r="J4" s="3"/>
      <c r="K4" s="3"/>
      <c r="L4" s="3"/>
      <c r="M4" s="3"/>
      <c r="N4" s="3"/>
      <c r="O4" s="3"/>
      <c r="P4" s="3"/>
      <c r="Q4" s="3"/>
    </row>
    <row r="5" spans="1:21" ht="16" thickBot="1" x14ac:dyDescent="0.4">
      <c r="A5" s="4"/>
      <c r="B5" s="8"/>
      <c r="C5" s="6" t="s">
        <v>40</v>
      </c>
      <c r="D5" s="2"/>
      <c r="E5" s="4"/>
      <c r="F5" s="9" t="s">
        <v>1</v>
      </c>
      <c r="G5" s="9" t="s">
        <v>2</v>
      </c>
      <c r="H5" s="9" t="s">
        <v>3</v>
      </c>
      <c r="I5" s="9" t="s">
        <v>4</v>
      </c>
      <c r="J5" s="9" t="s">
        <v>5</v>
      </c>
      <c r="K5" s="9" t="s">
        <v>6</v>
      </c>
      <c r="L5" s="9" t="s">
        <v>7</v>
      </c>
      <c r="M5" s="9" t="s">
        <v>8</v>
      </c>
      <c r="N5" s="9" t="s">
        <v>9</v>
      </c>
      <c r="O5" s="9" t="s">
        <v>10</v>
      </c>
      <c r="P5" s="5" t="s">
        <v>297</v>
      </c>
      <c r="Q5" s="5"/>
      <c r="R5" s="9" t="s">
        <v>11</v>
      </c>
      <c r="S5" s="9" t="s">
        <v>12</v>
      </c>
      <c r="T5" s="9" t="s">
        <v>13</v>
      </c>
      <c r="U5" s="9" t="s">
        <v>14</v>
      </c>
    </row>
    <row r="6" spans="1:21" x14ac:dyDescent="0.35">
      <c r="B6" s="36"/>
      <c r="C6" s="6" t="s">
        <v>73</v>
      </c>
      <c r="D6" s="2"/>
      <c r="F6">
        <v>280.12</v>
      </c>
      <c r="G6">
        <v>287.02</v>
      </c>
      <c r="H6">
        <f>G6-F6</f>
        <v>6.8999999999999773</v>
      </c>
      <c r="I6">
        <f>F7-G6</f>
        <v>6.5200000000000387</v>
      </c>
      <c r="J6">
        <f>H6/N6</f>
        <v>0.51415797317436429</v>
      </c>
      <c r="K6">
        <f>I6/N6</f>
        <v>0.48584202682563571</v>
      </c>
      <c r="L6">
        <f>1/H6</f>
        <v>0.14492753623188454</v>
      </c>
      <c r="M6">
        <f>1/N6</f>
        <v>7.4515648286140004E-2</v>
      </c>
      <c r="N6">
        <f>H6+I6</f>
        <v>13.420000000000016</v>
      </c>
      <c r="O6">
        <v>29</v>
      </c>
      <c r="P6">
        <f>O6/H6</f>
        <v>4.2028985507246519</v>
      </c>
    </row>
    <row r="7" spans="1:21" x14ac:dyDescent="0.35">
      <c r="F7">
        <v>293.54000000000002</v>
      </c>
      <c r="G7">
        <v>301.58999999999997</v>
      </c>
      <c r="H7">
        <f t="shared" ref="H7:H29" si="0">G7-F7</f>
        <v>8.0499999999999545</v>
      </c>
      <c r="I7">
        <f t="shared" ref="I7:I28" si="1">F8-G7</f>
        <v>11.100000000000023</v>
      </c>
      <c r="J7">
        <f t="shared" ref="J7:J28" si="2">H7/N7</f>
        <v>0.42036553524803988</v>
      </c>
      <c r="K7">
        <f t="shared" ref="K7:K28" si="3">I7/N7</f>
        <v>0.57963446475196012</v>
      </c>
      <c r="L7">
        <f t="shared" ref="L7:L28" si="4">1/H7</f>
        <v>0.12422360248447276</v>
      </c>
      <c r="M7">
        <f t="shared" ref="M7:M28" si="5">1/N7</f>
        <v>5.2219321148825125E-2</v>
      </c>
      <c r="N7">
        <f t="shared" ref="N7:N28" si="6">H7+I7</f>
        <v>19.149999999999977</v>
      </c>
      <c r="O7">
        <v>37</v>
      </c>
      <c r="P7">
        <f t="shared" ref="P7:P28" si="7">O7/H7</f>
        <v>4.5962732919254918</v>
      </c>
      <c r="R7" s="13">
        <v>306.72000000000003</v>
      </c>
      <c r="S7" s="13">
        <v>316.95999999999998</v>
      </c>
      <c r="T7" s="13">
        <f>S7-R7</f>
        <v>10.239999999999952</v>
      </c>
      <c r="U7">
        <f>R10-S7</f>
        <v>34.160000000000025</v>
      </c>
    </row>
    <row r="8" spans="1:21" x14ac:dyDescent="0.35">
      <c r="F8">
        <v>312.69</v>
      </c>
      <c r="G8">
        <v>319.27999999999997</v>
      </c>
      <c r="H8">
        <f t="shared" si="0"/>
        <v>6.589999999999975</v>
      </c>
      <c r="I8">
        <f t="shared" si="1"/>
        <v>6.7100000000000364</v>
      </c>
      <c r="J8">
        <f t="shared" si="2"/>
        <v>0.49548872180450898</v>
      </c>
      <c r="K8">
        <f t="shared" si="3"/>
        <v>0.50451127819549102</v>
      </c>
      <c r="L8">
        <f t="shared" si="4"/>
        <v>0.15174506828528131</v>
      </c>
      <c r="M8">
        <f t="shared" si="5"/>
        <v>7.518796992481197E-2</v>
      </c>
      <c r="N8">
        <f t="shared" si="6"/>
        <v>13.300000000000011</v>
      </c>
      <c r="O8">
        <v>25</v>
      </c>
      <c r="P8">
        <f t="shared" si="7"/>
        <v>3.7936267071320326</v>
      </c>
    </row>
    <row r="9" spans="1:21" x14ac:dyDescent="0.35">
      <c r="F9">
        <v>325.99</v>
      </c>
      <c r="G9">
        <v>333.19</v>
      </c>
      <c r="H9">
        <f t="shared" si="0"/>
        <v>7.1999999999999886</v>
      </c>
      <c r="I9">
        <f t="shared" si="1"/>
        <v>8.5300000000000296</v>
      </c>
      <c r="J9">
        <f>H9/N9</f>
        <v>0.45772409408772918</v>
      </c>
      <c r="K9">
        <f t="shared" si="3"/>
        <v>0.54227590591227082</v>
      </c>
      <c r="L9">
        <f t="shared" si="4"/>
        <v>0.13888888888888912</v>
      </c>
      <c r="M9">
        <f t="shared" si="5"/>
        <v>6.3572790845518048E-2</v>
      </c>
      <c r="N9">
        <f t="shared" si="6"/>
        <v>15.730000000000018</v>
      </c>
      <c r="O9">
        <v>36</v>
      </c>
      <c r="P9">
        <f t="shared" si="7"/>
        <v>5.000000000000008</v>
      </c>
    </row>
    <row r="10" spans="1:21" x14ac:dyDescent="0.35">
      <c r="F10">
        <v>341.72</v>
      </c>
      <c r="G10">
        <v>347.88</v>
      </c>
      <c r="H10">
        <f t="shared" si="0"/>
        <v>6.1599999999999682</v>
      </c>
      <c r="I10">
        <f t="shared" si="1"/>
        <v>15.189999999999998</v>
      </c>
      <c r="J10">
        <f t="shared" si="2"/>
        <v>0.28852459016393339</v>
      </c>
      <c r="K10">
        <f t="shared" si="3"/>
        <v>0.71147540983606661</v>
      </c>
      <c r="L10">
        <f t="shared" si="4"/>
        <v>0.16233766233766317</v>
      </c>
      <c r="M10">
        <f t="shared" si="5"/>
        <v>4.6838407494145272E-2</v>
      </c>
      <c r="N10">
        <f t="shared" si="6"/>
        <v>21.349999999999966</v>
      </c>
      <c r="O10">
        <v>28</v>
      </c>
      <c r="P10">
        <f t="shared" si="7"/>
        <v>4.545454545454569</v>
      </c>
      <c r="R10">
        <v>351.12</v>
      </c>
      <c r="S10">
        <v>365.63</v>
      </c>
      <c r="T10" s="13">
        <f>S10-R10</f>
        <v>14.509999999999991</v>
      </c>
      <c r="U10">
        <f>R12-S10</f>
        <v>25.819999999999993</v>
      </c>
    </row>
    <row r="11" spans="1:21" x14ac:dyDescent="0.35">
      <c r="F11">
        <v>363.07</v>
      </c>
      <c r="G11">
        <v>370.51</v>
      </c>
      <c r="H11">
        <f t="shared" si="0"/>
        <v>7.4399999999999977</v>
      </c>
      <c r="I11">
        <f t="shared" si="1"/>
        <v>9.8199999999999932</v>
      </c>
      <c r="J11">
        <f t="shared" si="2"/>
        <v>0.43105446118192364</v>
      </c>
      <c r="K11">
        <f t="shared" si="3"/>
        <v>0.56894553881807641</v>
      </c>
      <c r="L11">
        <f t="shared" si="4"/>
        <v>0.13440860215053768</v>
      </c>
      <c r="M11">
        <f t="shared" si="5"/>
        <v>5.7937427578215558E-2</v>
      </c>
      <c r="N11">
        <f t="shared" si="6"/>
        <v>17.259999999999991</v>
      </c>
      <c r="O11">
        <v>34</v>
      </c>
      <c r="P11">
        <f t="shared" si="7"/>
        <v>4.5698924731182808</v>
      </c>
    </row>
    <row r="12" spans="1:21" x14ac:dyDescent="0.35">
      <c r="F12">
        <v>380.33</v>
      </c>
      <c r="G12">
        <v>386.37</v>
      </c>
      <c r="H12">
        <f t="shared" si="0"/>
        <v>6.0400000000000205</v>
      </c>
      <c r="I12">
        <f t="shared" si="1"/>
        <v>16.639999999999986</v>
      </c>
      <c r="J12">
        <f t="shared" si="2"/>
        <v>0.26631393298060047</v>
      </c>
      <c r="K12">
        <f t="shared" si="3"/>
        <v>0.73368606701939953</v>
      </c>
      <c r="L12">
        <f t="shared" si="4"/>
        <v>0.1655629139072842</v>
      </c>
      <c r="M12">
        <f t="shared" si="5"/>
        <v>4.4091710758377409E-2</v>
      </c>
      <c r="N12">
        <f t="shared" si="6"/>
        <v>22.680000000000007</v>
      </c>
      <c r="O12">
        <v>27</v>
      </c>
      <c r="P12">
        <f t="shared" si="7"/>
        <v>4.4701986754966736</v>
      </c>
      <c r="R12">
        <v>391.45</v>
      </c>
      <c r="S12">
        <v>405.37</v>
      </c>
      <c r="T12" s="13">
        <f>S12-R12</f>
        <v>13.920000000000016</v>
      </c>
      <c r="U12">
        <f>R14-S12</f>
        <v>23.949999999999989</v>
      </c>
    </row>
    <row r="13" spans="1:21" x14ac:dyDescent="0.35">
      <c r="F13">
        <v>403.01</v>
      </c>
      <c r="G13">
        <v>409.59</v>
      </c>
      <c r="H13">
        <f t="shared" si="0"/>
        <v>6.5799999999999841</v>
      </c>
      <c r="I13">
        <f t="shared" si="1"/>
        <v>8.2600000000000477</v>
      </c>
      <c r="J13">
        <f t="shared" si="2"/>
        <v>0.4433962264150923</v>
      </c>
      <c r="K13">
        <f t="shared" si="3"/>
        <v>0.55660377358490765</v>
      </c>
      <c r="L13">
        <f t="shared" si="4"/>
        <v>0.15197568389057786</v>
      </c>
      <c r="M13">
        <f t="shared" si="5"/>
        <v>6.7385444743935166E-2</v>
      </c>
      <c r="N13">
        <f t="shared" si="6"/>
        <v>14.840000000000032</v>
      </c>
      <c r="O13">
        <v>29</v>
      </c>
      <c r="P13">
        <f t="shared" si="7"/>
        <v>4.407294832826758</v>
      </c>
    </row>
    <row r="14" spans="1:21" x14ac:dyDescent="0.35">
      <c r="F14">
        <v>417.85</v>
      </c>
      <c r="G14">
        <v>425.36</v>
      </c>
      <c r="H14">
        <f t="shared" si="0"/>
        <v>7.5099999999999909</v>
      </c>
      <c r="I14">
        <f t="shared" si="1"/>
        <v>16.529999999999973</v>
      </c>
      <c r="J14">
        <f t="shared" si="2"/>
        <v>0.31239600665557415</v>
      </c>
      <c r="K14">
        <f t="shared" si="3"/>
        <v>0.6876039933444259</v>
      </c>
      <c r="L14">
        <f t="shared" si="4"/>
        <v>0.1331557922769642</v>
      </c>
      <c r="M14">
        <f t="shared" si="5"/>
        <v>4.1597337770382756E-2</v>
      </c>
      <c r="N14">
        <f t="shared" si="6"/>
        <v>24.039999999999964</v>
      </c>
      <c r="O14">
        <v>29</v>
      </c>
      <c r="P14">
        <f t="shared" si="7"/>
        <v>3.861517976031962</v>
      </c>
      <c r="R14">
        <v>429.32</v>
      </c>
      <c r="S14">
        <v>445.6</v>
      </c>
      <c r="T14" s="13">
        <f>S14-R14</f>
        <v>16.28000000000003</v>
      </c>
      <c r="U14">
        <f>R16-S14</f>
        <v>19.099999999999966</v>
      </c>
    </row>
    <row r="15" spans="1:21" ht="16" thickBot="1" x14ac:dyDescent="0.4">
      <c r="B15" s="9" t="s">
        <v>18</v>
      </c>
      <c r="C15" s="9" t="s">
        <v>17</v>
      </c>
      <c r="D15" s="9" t="s">
        <v>20</v>
      </c>
      <c r="F15">
        <v>441.89</v>
      </c>
      <c r="G15">
        <v>447.79</v>
      </c>
      <c r="H15">
        <f t="shared" si="0"/>
        <v>5.9000000000000341</v>
      </c>
      <c r="I15">
        <f t="shared" si="1"/>
        <v>10.889999999999986</v>
      </c>
      <c r="J15">
        <f t="shared" si="2"/>
        <v>0.3513996426444328</v>
      </c>
      <c r="K15">
        <f t="shared" si="3"/>
        <v>0.6486003573555672</v>
      </c>
      <c r="L15">
        <f t="shared" si="4"/>
        <v>0.16949152542372783</v>
      </c>
      <c r="M15">
        <f t="shared" si="5"/>
        <v>5.9559261465157762E-2</v>
      </c>
      <c r="N15">
        <f t="shared" si="6"/>
        <v>16.79000000000002</v>
      </c>
      <c r="O15">
        <v>21</v>
      </c>
      <c r="P15">
        <f t="shared" si="7"/>
        <v>3.5593220338982845</v>
      </c>
    </row>
    <row r="16" spans="1:21" x14ac:dyDescent="0.35">
      <c r="B16" s="94">
        <v>459.35</v>
      </c>
      <c r="C16" s="95">
        <v>464.92</v>
      </c>
      <c r="D16" s="96">
        <f>C16-B16</f>
        <v>5.5699999999999932</v>
      </c>
      <c r="F16" s="10">
        <v>458.68</v>
      </c>
      <c r="G16" s="11">
        <v>463.06</v>
      </c>
      <c r="H16" s="11">
        <f t="shared" si="0"/>
        <v>4.3799999999999955</v>
      </c>
      <c r="I16" s="12">
        <f t="shared" si="1"/>
        <v>15.100000000000023</v>
      </c>
      <c r="J16" s="11">
        <f t="shared" si="2"/>
        <v>0.22484599589322338</v>
      </c>
      <c r="K16" s="11">
        <f t="shared" si="3"/>
        <v>0.7751540041067766</v>
      </c>
      <c r="L16" s="11">
        <f t="shared" si="4"/>
        <v>0.22831050228310526</v>
      </c>
      <c r="M16" s="11">
        <f t="shared" si="5"/>
        <v>5.1334702258726848E-2</v>
      </c>
      <c r="N16" s="12">
        <f t="shared" si="6"/>
        <v>19.480000000000018</v>
      </c>
      <c r="O16">
        <v>21</v>
      </c>
      <c r="P16">
        <f t="shared" si="7"/>
        <v>4.7945205479452104</v>
      </c>
      <c r="R16">
        <v>464.7</v>
      </c>
      <c r="S16">
        <v>494.07</v>
      </c>
      <c r="T16" s="13">
        <f>S16-R16</f>
        <v>29.370000000000005</v>
      </c>
      <c r="U16">
        <f>R20-S16</f>
        <v>39.19</v>
      </c>
    </row>
    <row r="17" spans="1:21" x14ac:dyDescent="0.35">
      <c r="B17" s="10">
        <v>478.31</v>
      </c>
      <c r="C17" s="11">
        <v>480.94</v>
      </c>
      <c r="D17" s="12">
        <f t="shared" ref="D17:D26" si="8">C17-B17</f>
        <v>2.6299999999999955</v>
      </c>
      <c r="F17" s="10">
        <v>478.16</v>
      </c>
      <c r="G17" s="11">
        <v>480.94</v>
      </c>
      <c r="H17" s="11">
        <f t="shared" si="0"/>
        <v>2.7799999999999727</v>
      </c>
      <c r="I17" s="12">
        <f t="shared" si="1"/>
        <v>11.519999999999982</v>
      </c>
      <c r="J17" s="11">
        <f t="shared" si="2"/>
        <v>0.19440559440559313</v>
      </c>
      <c r="K17" s="11">
        <f t="shared" si="3"/>
        <v>0.80559440559440687</v>
      </c>
      <c r="L17" s="11">
        <f t="shared" si="4"/>
        <v>0.35971223021583087</v>
      </c>
      <c r="M17" s="11">
        <f t="shared" si="5"/>
        <v>6.9930069930070157E-2</v>
      </c>
      <c r="N17" s="12">
        <f t="shared" si="6"/>
        <v>14.299999999999955</v>
      </c>
      <c r="O17">
        <v>12</v>
      </c>
      <c r="P17">
        <f t="shared" si="7"/>
        <v>4.3165467625899705</v>
      </c>
    </row>
    <row r="18" spans="1:21" x14ac:dyDescent="0.35">
      <c r="B18" s="332" t="s">
        <v>21</v>
      </c>
      <c r="C18" s="332"/>
      <c r="D18" s="332"/>
      <c r="F18">
        <v>492.46</v>
      </c>
      <c r="G18">
        <v>498.21</v>
      </c>
      <c r="H18">
        <f t="shared" si="0"/>
        <v>5.75</v>
      </c>
      <c r="I18">
        <f t="shared" si="1"/>
        <v>9.5699999999999932</v>
      </c>
      <c r="J18">
        <f t="shared" si="2"/>
        <v>0.37532637075718034</v>
      </c>
      <c r="K18">
        <f t="shared" si="3"/>
        <v>0.62467362924281966</v>
      </c>
      <c r="L18">
        <f t="shared" si="4"/>
        <v>0.17391304347826086</v>
      </c>
      <c r="M18">
        <f t="shared" si="5"/>
        <v>6.5274151436031366E-2</v>
      </c>
      <c r="N18">
        <f t="shared" si="6"/>
        <v>15.319999999999993</v>
      </c>
      <c r="O18">
        <v>25</v>
      </c>
      <c r="P18">
        <f t="shared" si="7"/>
        <v>4.3478260869565215</v>
      </c>
    </row>
    <row r="19" spans="1:21" x14ac:dyDescent="0.35">
      <c r="B19" s="333"/>
      <c r="C19" s="333"/>
      <c r="D19" s="333"/>
      <c r="F19">
        <v>507.78</v>
      </c>
      <c r="G19">
        <v>514.04</v>
      </c>
      <c r="H19">
        <f t="shared" si="0"/>
        <v>6.2599999999999909</v>
      </c>
      <c r="I19">
        <f t="shared" si="1"/>
        <v>10.170000000000073</v>
      </c>
      <c r="J19">
        <f t="shared" si="2"/>
        <v>0.38101034692635222</v>
      </c>
      <c r="K19">
        <f t="shared" si="3"/>
        <v>0.61898965307364784</v>
      </c>
      <c r="L19">
        <f t="shared" si="4"/>
        <v>0.15974440894568714</v>
      </c>
      <c r="M19">
        <f t="shared" si="5"/>
        <v>6.0864272671941333E-2</v>
      </c>
      <c r="N19">
        <f t="shared" si="6"/>
        <v>16.430000000000064</v>
      </c>
      <c r="O19">
        <v>25</v>
      </c>
      <c r="P19">
        <f t="shared" si="7"/>
        <v>3.9936102236421784</v>
      </c>
    </row>
    <row r="20" spans="1:21" x14ac:dyDescent="0.35">
      <c r="B20" s="333"/>
      <c r="C20" s="333"/>
      <c r="D20" s="333"/>
      <c r="F20">
        <v>524.21</v>
      </c>
      <c r="G20">
        <v>529.96</v>
      </c>
      <c r="H20">
        <f t="shared" si="0"/>
        <v>5.75</v>
      </c>
      <c r="I20">
        <f t="shared" si="1"/>
        <v>18.230000000000018</v>
      </c>
      <c r="J20">
        <f t="shared" si="2"/>
        <v>0.23978315262718913</v>
      </c>
      <c r="K20">
        <f t="shared" si="3"/>
        <v>0.76021684737281081</v>
      </c>
      <c r="L20">
        <f t="shared" si="4"/>
        <v>0.17391304347826086</v>
      </c>
      <c r="M20">
        <f t="shared" si="5"/>
        <v>4.1701417848206808E-2</v>
      </c>
      <c r="N20">
        <f t="shared" si="6"/>
        <v>23.980000000000018</v>
      </c>
      <c r="O20">
        <v>21</v>
      </c>
      <c r="P20">
        <f t="shared" si="7"/>
        <v>3.652173913043478</v>
      </c>
      <c r="R20">
        <v>533.26</v>
      </c>
      <c r="S20">
        <v>551.85</v>
      </c>
      <c r="T20" s="13">
        <f>S20-R20</f>
        <v>18.590000000000032</v>
      </c>
      <c r="U20">
        <f>R23-S20</f>
        <v>29.470000000000027</v>
      </c>
    </row>
    <row r="21" spans="1:21" x14ac:dyDescent="0.35">
      <c r="B21" s="334"/>
      <c r="C21" s="334"/>
      <c r="D21" s="334"/>
      <c r="F21">
        <v>548.19000000000005</v>
      </c>
      <c r="G21">
        <v>554.07000000000005</v>
      </c>
      <c r="H21">
        <f t="shared" si="0"/>
        <v>5.8799999999999955</v>
      </c>
      <c r="I21">
        <f t="shared" si="1"/>
        <v>9.2699999999999818</v>
      </c>
      <c r="J21">
        <f t="shared" si="2"/>
        <v>0.38811881188118841</v>
      </c>
      <c r="K21">
        <f t="shared" si="3"/>
        <v>0.61188118811881165</v>
      </c>
      <c r="L21">
        <f t="shared" si="4"/>
        <v>0.17006802721088449</v>
      </c>
      <c r="M21">
        <f t="shared" si="5"/>
        <v>6.6006600660066111E-2</v>
      </c>
      <c r="N21">
        <f t="shared" si="6"/>
        <v>15.149999999999977</v>
      </c>
      <c r="O21">
        <v>20</v>
      </c>
      <c r="P21">
        <f t="shared" si="7"/>
        <v>3.4013605442176895</v>
      </c>
    </row>
    <row r="22" spans="1:21" x14ac:dyDescent="0.35">
      <c r="B22" s="97">
        <v>563.95000000000005</v>
      </c>
      <c r="C22" s="98">
        <v>564.24</v>
      </c>
      <c r="D22" s="99">
        <f t="shared" si="8"/>
        <v>0.28999999999996362</v>
      </c>
      <c r="F22" s="111">
        <v>563.34</v>
      </c>
      <c r="G22" s="112">
        <v>569.19000000000005</v>
      </c>
      <c r="H22" s="112">
        <f t="shared" si="0"/>
        <v>5.8500000000000227</v>
      </c>
      <c r="I22" s="113">
        <f t="shared" si="1"/>
        <v>9.2699999999999818</v>
      </c>
      <c r="J22">
        <f t="shared" si="2"/>
        <v>0.38690476190476331</v>
      </c>
      <c r="K22">
        <f t="shared" si="3"/>
        <v>0.61309523809523669</v>
      </c>
      <c r="L22">
        <f t="shared" si="4"/>
        <v>0.17094017094017028</v>
      </c>
      <c r="M22">
        <f t="shared" si="5"/>
        <v>6.613756613756612E-2</v>
      </c>
      <c r="N22">
        <f t="shared" si="6"/>
        <v>15.120000000000005</v>
      </c>
      <c r="O22">
        <v>17</v>
      </c>
      <c r="P22">
        <f t="shared" si="7"/>
        <v>2.9059829059828948</v>
      </c>
    </row>
    <row r="23" spans="1:21" x14ac:dyDescent="0.35">
      <c r="B23" s="10">
        <v>579.20000000000005</v>
      </c>
      <c r="C23" s="11">
        <v>582.35</v>
      </c>
      <c r="D23" s="12">
        <f t="shared" si="8"/>
        <v>3.1499999999999773</v>
      </c>
      <c r="F23" s="10">
        <v>578.46</v>
      </c>
      <c r="G23" s="11">
        <v>581.45000000000005</v>
      </c>
      <c r="H23" s="11">
        <f t="shared" si="0"/>
        <v>2.9900000000000091</v>
      </c>
      <c r="I23" s="12">
        <f t="shared" si="1"/>
        <v>14.089999999999918</v>
      </c>
      <c r="J23" s="11">
        <f t="shared" si="2"/>
        <v>0.17505854800936896</v>
      </c>
      <c r="K23" s="11">
        <f t="shared" si="3"/>
        <v>0.82494145199063107</v>
      </c>
      <c r="L23" s="11">
        <f t="shared" si="4"/>
        <v>0.33444816053511606</v>
      </c>
      <c r="M23" s="11">
        <f t="shared" si="5"/>
        <v>5.8548009367681751E-2</v>
      </c>
      <c r="N23" s="12">
        <f t="shared" si="6"/>
        <v>17.079999999999927</v>
      </c>
      <c r="O23">
        <v>13</v>
      </c>
      <c r="P23">
        <f t="shared" si="7"/>
        <v>4.3478260869565082</v>
      </c>
      <c r="R23">
        <v>581.32000000000005</v>
      </c>
      <c r="S23">
        <v>594.64</v>
      </c>
      <c r="T23" s="13">
        <f>S23-R23</f>
        <v>13.319999999999936</v>
      </c>
      <c r="U23">
        <f>R25-S23</f>
        <v>21.580000000000041</v>
      </c>
    </row>
    <row r="24" spans="1:21" x14ac:dyDescent="0.35">
      <c r="B24" s="10">
        <v>596.34</v>
      </c>
      <c r="C24" s="11">
        <v>600.1</v>
      </c>
      <c r="D24" s="12">
        <f t="shared" si="8"/>
        <v>3.7599999999999909</v>
      </c>
      <c r="F24" s="92">
        <v>595.54</v>
      </c>
      <c r="G24" s="91">
        <v>599.28</v>
      </c>
      <c r="H24" s="91">
        <f t="shared" si="0"/>
        <v>3.7400000000000091</v>
      </c>
      <c r="I24" s="93">
        <f t="shared" si="1"/>
        <v>12.950000000000045</v>
      </c>
      <c r="J24" s="91">
        <f t="shared" si="2"/>
        <v>0.22408627920910706</v>
      </c>
      <c r="K24" s="91">
        <f t="shared" si="3"/>
        <v>0.77591372079089294</v>
      </c>
      <c r="L24" s="91">
        <f t="shared" si="4"/>
        <v>0.26737967914438437</v>
      </c>
      <c r="M24" s="91">
        <f t="shared" si="5"/>
        <v>5.9916117435589979E-2</v>
      </c>
      <c r="N24" s="93">
        <f t="shared" si="6"/>
        <v>16.690000000000055</v>
      </c>
      <c r="O24">
        <v>19</v>
      </c>
      <c r="P24">
        <f t="shared" si="7"/>
        <v>5.080213903743303</v>
      </c>
    </row>
    <row r="25" spans="1:21" x14ac:dyDescent="0.35">
      <c r="B25" s="10">
        <v>613.04999999999995</v>
      </c>
      <c r="C25" s="11">
        <v>616.94000000000005</v>
      </c>
      <c r="D25" s="12">
        <f t="shared" si="8"/>
        <v>3.8900000000001</v>
      </c>
      <c r="F25" s="10">
        <v>612.23</v>
      </c>
      <c r="G25" s="11">
        <v>615.86</v>
      </c>
      <c r="H25" s="11">
        <f t="shared" si="0"/>
        <v>3.6299999999999955</v>
      </c>
      <c r="I25" s="12">
        <f t="shared" si="1"/>
        <v>17.149999999999977</v>
      </c>
      <c r="J25" s="11">
        <f t="shared" si="2"/>
        <v>0.17468719923002887</v>
      </c>
      <c r="K25" s="11">
        <f t="shared" si="3"/>
        <v>0.82531280076997116</v>
      </c>
      <c r="L25" s="11">
        <f t="shared" si="4"/>
        <v>0.27548209366391219</v>
      </c>
      <c r="M25" s="11">
        <f t="shared" si="5"/>
        <v>4.812319538017331E-2</v>
      </c>
      <c r="N25" s="12">
        <f t="shared" si="6"/>
        <v>20.779999999999973</v>
      </c>
      <c r="O25">
        <v>18</v>
      </c>
      <c r="P25">
        <f t="shared" si="7"/>
        <v>4.9586776859504198</v>
      </c>
      <c r="R25">
        <v>616.22</v>
      </c>
      <c r="S25">
        <v>647.5</v>
      </c>
      <c r="T25" s="13">
        <f>S25-R25</f>
        <v>31.279999999999973</v>
      </c>
      <c r="U25">
        <f>R29-S25</f>
        <v>38.809999999999945</v>
      </c>
    </row>
    <row r="26" spans="1:21" x14ac:dyDescent="0.35">
      <c r="A26" s="84" t="s">
        <v>74</v>
      </c>
      <c r="B26" s="10">
        <v>633.61</v>
      </c>
      <c r="C26" s="11">
        <v>636.53</v>
      </c>
      <c r="D26" s="12">
        <f t="shared" si="8"/>
        <v>2.9199999999999591</v>
      </c>
      <c r="F26" s="94">
        <v>633.01</v>
      </c>
      <c r="G26" s="95">
        <v>634.91</v>
      </c>
      <c r="H26" s="95">
        <f t="shared" si="0"/>
        <v>1.8999999999999773</v>
      </c>
      <c r="I26" s="96">
        <f t="shared" si="1"/>
        <v>11.920000000000073</v>
      </c>
      <c r="J26" s="95">
        <f t="shared" si="2"/>
        <v>0.13748191027496168</v>
      </c>
      <c r="K26" s="95">
        <f t="shared" si="3"/>
        <v>0.86251808972503829</v>
      </c>
      <c r="L26" s="95">
        <f t="shared" si="4"/>
        <v>0.52631578947369051</v>
      </c>
      <c r="M26" s="95">
        <f t="shared" si="5"/>
        <v>7.2358900144717533E-2</v>
      </c>
      <c r="N26" s="96">
        <f t="shared" si="6"/>
        <v>13.82000000000005</v>
      </c>
      <c r="O26">
        <v>9</v>
      </c>
      <c r="P26">
        <f t="shared" si="7"/>
        <v>4.7368421052632144</v>
      </c>
    </row>
    <row r="27" spans="1:21" x14ac:dyDescent="0.35">
      <c r="B27" s="332" t="s">
        <v>21</v>
      </c>
      <c r="C27" s="332"/>
      <c r="D27" s="332"/>
      <c r="F27">
        <v>646.83000000000004</v>
      </c>
      <c r="G27">
        <v>651.74</v>
      </c>
      <c r="H27">
        <f t="shared" si="0"/>
        <v>4.9099999999999682</v>
      </c>
      <c r="I27">
        <f t="shared" si="1"/>
        <v>11.580000000000041</v>
      </c>
      <c r="J27">
        <f t="shared" si="2"/>
        <v>0.29775621588841511</v>
      </c>
      <c r="K27">
        <f t="shared" si="3"/>
        <v>0.70224378411158483</v>
      </c>
      <c r="L27">
        <f t="shared" si="4"/>
        <v>0.20366598778004205</v>
      </c>
      <c r="M27">
        <f t="shared" si="5"/>
        <v>6.0642813826561517E-2</v>
      </c>
      <c r="N27">
        <f t="shared" si="6"/>
        <v>16.490000000000009</v>
      </c>
      <c r="O27">
        <v>21</v>
      </c>
      <c r="P27">
        <f t="shared" si="7"/>
        <v>4.2769857433808829</v>
      </c>
    </row>
    <row r="28" spans="1:21" x14ac:dyDescent="0.35">
      <c r="B28" s="333"/>
      <c r="C28" s="333"/>
      <c r="D28" s="333"/>
      <c r="F28">
        <v>663.32</v>
      </c>
      <c r="G28">
        <v>667.83</v>
      </c>
      <c r="H28">
        <f t="shared" si="0"/>
        <v>4.5099999999999909</v>
      </c>
      <c r="I28">
        <f t="shared" si="1"/>
        <v>10.559999999999945</v>
      </c>
      <c r="J28">
        <f t="shared" si="2"/>
        <v>0.29927007299270136</v>
      </c>
      <c r="K28">
        <f t="shared" si="3"/>
        <v>0.70072992700729864</v>
      </c>
      <c r="L28">
        <f t="shared" si="4"/>
        <v>0.2217294900221734</v>
      </c>
      <c r="M28">
        <f t="shared" si="5"/>
        <v>6.6357000663570281E-2</v>
      </c>
      <c r="N28">
        <f t="shared" si="6"/>
        <v>15.069999999999936</v>
      </c>
      <c r="O28">
        <v>19</v>
      </c>
      <c r="P28">
        <f t="shared" si="7"/>
        <v>4.2128603104212949</v>
      </c>
    </row>
    <row r="29" spans="1:21" x14ac:dyDescent="0.35">
      <c r="F29">
        <v>678.39</v>
      </c>
      <c r="G29">
        <v>682.95</v>
      </c>
      <c r="H29">
        <f t="shared" si="0"/>
        <v>4.5600000000000591</v>
      </c>
      <c r="R29">
        <v>686.31</v>
      </c>
      <c r="S29" s="100"/>
    </row>
    <row r="30" spans="1:21" x14ac:dyDescent="0.35">
      <c r="G30" s="104" t="s">
        <v>76</v>
      </c>
      <c r="H30" s="104">
        <f>AVERAGE(H6:H15)</f>
        <v>6.8369999999999891</v>
      </c>
      <c r="I30" s="104">
        <f t="shared" ref="I30:P30" si="9">AVERAGE(I6:I15)</f>
        <v>11.019000000000011</v>
      </c>
      <c r="J30" s="104">
        <f t="shared" si="9"/>
        <v>0.39808211843561991</v>
      </c>
      <c r="K30" s="104">
        <f t="shared" si="9"/>
        <v>0.60191788156438009</v>
      </c>
      <c r="L30" s="104">
        <f t="shared" si="9"/>
        <v>0.14767172758772829</v>
      </c>
      <c r="M30" s="104">
        <f t="shared" si="9"/>
        <v>5.8290532001550911E-2</v>
      </c>
      <c r="N30" s="104">
        <f>AVERAGE(N6:N15)</f>
        <v>17.856000000000002</v>
      </c>
      <c r="O30" s="104">
        <f t="shared" si="9"/>
        <v>29.5</v>
      </c>
      <c r="P30" s="104">
        <f t="shared" si="9"/>
        <v>4.3006479086608707</v>
      </c>
    </row>
    <row r="31" spans="1:21" x14ac:dyDescent="0.35">
      <c r="G31" s="104" t="s">
        <v>20</v>
      </c>
      <c r="H31" s="104">
        <f t="shared" ref="H31:P31" si="10">AVERAGE(H16:H17,H23:H26)</f>
        <v>3.2366666666666597</v>
      </c>
      <c r="I31" s="104">
        <f t="shared" si="10"/>
        <v>13.788333333333336</v>
      </c>
      <c r="J31" s="104">
        <f t="shared" si="10"/>
        <v>0.18842758783704716</v>
      </c>
      <c r="K31" s="104">
        <f t="shared" si="10"/>
        <v>0.81157241216295295</v>
      </c>
      <c r="L31" s="104">
        <f t="shared" si="10"/>
        <v>0.33194140921933984</v>
      </c>
      <c r="M31" s="104">
        <f t="shared" si="10"/>
        <v>6.0035165752826587E-2</v>
      </c>
      <c r="N31" s="104">
        <f t="shared" si="10"/>
        <v>17.024999999999995</v>
      </c>
      <c r="O31" s="104">
        <f t="shared" si="10"/>
        <v>15.333333333333334</v>
      </c>
      <c r="P31" s="104">
        <f t="shared" si="10"/>
        <v>4.7057711820747707</v>
      </c>
    </row>
    <row r="32" spans="1:21" x14ac:dyDescent="0.35">
      <c r="D32">
        <f>_xlfn.STDEV.S(H6:H15)</f>
        <v>0.70884961577034022</v>
      </c>
      <c r="G32" s="104" t="s">
        <v>78</v>
      </c>
      <c r="H32" s="104">
        <f>AVERAGE(H18:H21,H27:H28)</f>
        <v>5.5099999999999909</v>
      </c>
      <c r="I32" s="104">
        <f t="shared" ref="I32:N32" si="11">AVERAGE(I18:I21,I27:I28)</f>
        <v>11.563333333333341</v>
      </c>
      <c r="J32" s="104">
        <f t="shared" si="11"/>
        <v>0.3302108285121711</v>
      </c>
      <c r="K32" s="104">
        <f t="shared" si="11"/>
        <v>0.6697891714878289</v>
      </c>
      <c r="L32" s="104">
        <f t="shared" si="11"/>
        <v>0.1838390001525515</v>
      </c>
      <c r="M32" s="104">
        <f t="shared" si="11"/>
        <v>6.0141042851062899E-2</v>
      </c>
      <c r="N32" s="104">
        <f t="shared" si="11"/>
        <v>17.073333333333334</v>
      </c>
      <c r="O32" s="104">
        <f>AVERAGE(O18:O21,O27:O28)</f>
        <v>21.833333333333332</v>
      </c>
      <c r="P32" s="104">
        <f>AVERAGE(P18:P21,P27:P28)</f>
        <v>3.9808028036103411</v>
      </c>
    </row>
    <row r="33" spans="4:21" x14ac:dyDescent="0.35">
      <c r="D33">
        <f>_xlfn.STDEV.S(H16:H17,H23:H26)</f>
        <v>0.86848527141609133</v>
      </c>
      <c r="G33" s="104" t="s">
        <v>278</v>
      </c>
      <c r="H33">
        <f>AVERAGE(H18,H27)</f>
        <v>5.3299999999999841</v>
      </c>
      <c r="I33">
        <f t="shared" ref="I33:O33" si="12">AVERAGE(I18,I27)</f>
        <v>10.575000000000017</v>
      </c>
      <c r="J33">
        <f t="shared" si="12"/>
        <v>0.3365412933227977</v>
      </c>
      <c r="K33">
        <f t="shared" si="12"/>
        <v>0.66345870667720219</v>
      </c>
      <c r="L33">
        <f t="shared" si="12"/>
        <v>0.18878951562915147</v>
      </c>
      <c r="M33">
        <f t="shared" si="12"/>
        <v>6.2958482631296442E-2</v>
      </c>
      <c r="N33">
        <f t="shared" si="12"/>
        <v>15.905000000000001</v>
      </c>
      <c r="O33">
        <f t="shared" si="12"/>
        <v>23</v>
      </c>
      <c r="P33">
        <f>AVERAGE(P18,P27)</f>
        <v>4.3124059151687018</v>
      </c>
    </row>
    <row r="35" spans="4:21" x14ac:dyDescent="0.35">
      <c r="E35" s="104"/>
      <c r="F35" s="335" t="s">
        <v>79</v>
      </c>
      <c r="G35" s="104" t="s">
        <v>76</v>
      </c>
      <c r="H35" s="104">
        <f>AVERAGE(H7,H10,H12,H14)</f>
        <v>6.9399999999999835</v>
      </c>
      <c r="I35" s="104">
        <f t="shared" ref="I35:O35" si="13">AVERAGE(I7,I10,I12,I14)</f>
        <v>14.864999999999995</v>
      </c>
      <c r="J35" s="104">
        <f t="shared" si="13"/>
        <v>0.32190001626203696</v>
      </c>
      <c r="K35" s="104">
        <f t="shared" si="13"/>
        <v>0.6780999837379631</v>
      </c>
      <c r="L35" s="104">
        <f t="shared" si="13"/>
        <v>0.14631999275159607</v>
      </c>
      <c r="M35" s="104">
        <f t="shared" si="13"/>
        <v>4.6186694292932637E-2</v>
      </c>
      <c r="N35" s="104">
        <f t="shared" si="13"/>
        <v>21.804999999999978</v>
      </c>
      <c r="O35" s="104">
        <f t="shared" si="13"/>
        <v>30.25</v>
      </c>
      <c r="P35" s="104"/>
    </row>
    <row r="36" spans="4:21" x14ac:dyDescent="0.35">
      <c r="E36" s="104"/>
      <c r="F36" s="335"/>
      <c r="G36" s="104" t="s">
        <v>20</v>
      </c>
      <c r="H36" s="104">
        <f>AVERAGE(H23,H25,H16)</f>
        <v>3.6666666666666665</v>
      </c>
      <c r="I36" s="104">
        <f t="shared" ref="I36:O36" si="14">AVERAGE(I23,I25,I16)</f>
        <v>15.446666666666639</v>
      </c>
      <c r="J36" s="104">
        <f t="shared" si="14"/>
        <v>0.19153058104420706</v>
      </c>
      <c r="K36" s="104">
        <f t="shared" si="14"/>
        <v>0.80846941895579294</v>
      </c>
      <c r="L36" s="104">
        <f t="shared" si="14"/>
        <v>0.27941358549404449</v>
      </c>
      <c r="M36" s="104">
        <f t="shared" si="14"/>
        <v>5.2668635668860632E-2</v>
      </c>
      <c r="N36" s="104">
        <f t="shared" si="14"/>
        <v>19.113333333333305</v>
      </c>
      <c r="O36" s="104">
        <f t="shared" si="14"/>
        <v>17.333333333333332</v>
      </c>
      <c r="P36" s="104"/>
    </row>
    <row r="37" spans="4:21" x14ac:dyDescent="0.35">
      <c r="E37" s="104"/>
      <c r="F37" s="335"/>
      <c r="G37" s="104"/>
      <c r="H37" s="104"/>
      <c r="I37" s="104"/>
      <c r="J37" s="104"/>
      <c r="K37" s="104"/>
      <c r="L37" s="104"/>
      <c r="M37" s="104"/>
      <c r="N37" s="104"/>
    </row>
    <row r="38" spans="4:21" x14ac:dyDescent="0.35">
      <c r="E38" s="104"/>
      <c r="F38" s="104"/>
      <c r="H38" s="104"/>
      <c r="I38" s="104"/>
      <c r="J38" s="104"/>
      <c r="K38" s="104"/>
      <c r="L38" s="104"/>
      <c r="M38" s="104"/>
      <c r="N38" s="104"/>
    </row>
    <row r="39" spans="4:21" x14ac:dyDescent="0.35">
      <c r="E39" s="104"/>
      <c r="F39" s="104"/>
      <c r="H39" s="104"/>
      <c r="I39" s="104"/>
      <c r="J39" s="104"/>
      <c r="K39" s="104"/>
      <c r="L39" s="104"/>
      <c r="M39" s="104"/>
      <c r="N39" s="104"/>
    </row>
    <row r="40" spans="4:21" x14ac:dyDescent="0.35">
      <c r="E40" s="104"/>
      <c r="F40" s="335" t="s">
        <v>83</v>
      </c>
      <c r="G40" s="104" t="s">
        <v>76</v>
      </c>
      <c r="H40" s="104">
        <f>AVERAGE(H6,H8,H9,H11,H13,H15)</f>
        <v>6.7683333333333264</v>
      </c>
      <c r="I40" s="104">
        <f t="shared" ref="I40:O40" si="15">AVERAGE(I6,I8,I9,I11,I13,I15)</f>
        <v>8.4550000000000214</v>
      </c>
      <c r="J40" s="104">
        <f t="shared" si="15"/>
        <v>0.44887018655134181</v>
      </c>
      <c r="K40" s="104">
        <f t="shared" si="15"/>
        <v>0.55112981344865808</v>
      </c>
      <c r="L40" s="104">
        <f t="shared" si="15"/>
        <v>0.14857288414514971</v>
      </c>
      <c r="M40" s="104">
        <f t="shared" si="15"/>
        <v>6.6359757140629749E-2</v>
      </c>
      <c r="N40" s="104">
        <f t="shared" si="15"/>
        <v>15.223333333333349</v>
      </c>
      <c r="O40" s="104">
        <f t="shared" si="15"/>
        <v>29</v>
      </c>
      <c r="P40" s="104"/>
    </row>
    <row r="41" spans="4:21" x14ac:dyDescent="0.35">
      <c r="E41" s="104"/>
      <c r="F41" s="335"/>
      <c r="G41" s="104" t="s">
        <v>20</v>
      </c>
      <c r="H41" s="104">
        <f>AVERAGE(H17,H24,H26)</f>
        <v>2.8066666666666529</v>
      </c>
      <c r="I41" s="104">
        <f t="shared" ref="I41:O41" si="16">AVERAGE(I17,I24,I26)</f>
        <v>12.130000000000033</v>
      </c>
      <c r="J41" s="104">
        <f t="shared" si="16"/>
        <v>0.18532459462988729</v>
      </c>
      <c r="K41" s="104">
        <f t="shared" si="16"/>
        <v>0.81467540537011274</v>
      </c>
      <c r="L41" s="104">
        <f t="shared" si="16"/>
        <v>0.38446923294463525</v>
      </c>
      <c r="M41" s="104">
        <f t="shared" si="16"/>
        <v>6.7401695836792563E-2</v>
      </c>
      <c r="N41" s="104">
        <f t="shared" si="16"/>
        <v>14.936666666666687</v>
      </c>
      <c r="O41" s="104">
        <f t="shared" si="16"/>
        <v>13.333333333333334</v>
      </c>
      <c r="P41" s="104"/>
    </row>
    <row r="42" spans="4:21" x14ac:dyDescent="0.35">
      <c r="E42" s="104"/>
      <c r="F42" s="335"/>
      <c r="G42" s="104" t="s">
        <v>78</v>
      </c>
      <c r="H42" s="104">
        <f>AVERAGE(H18,H19,H21,H27,H28)</f>
        <v>5.4619999999999891</v>
      </c>
      <c r="I42" s="104">
        <f t="shared" ref="I42:O42" si="17">AVERAGE(I18,I19,I21,I27,I28)</f>
        <v>10.230000000000008</v>
      </c>
      <c r="J42" s="104">
        <f t="shared" si="17"/>
        <v>0.3482963636891675</v>
      </c>
      <c r="K42" s="104">
        <f t="shared" si="17"/>
        <v>0.6517036363108325</v>
      </c>
      <c r="L42" s="104">
        <f t="shared" si="17"/>
        <v>0.18582419148740961</v>
      </c>
      <c r="M42" s="104">
        <f t="shared" si="17"/>
        <v>6.3828967851634125E-2</v>
      </c>
      <c r="N42" s="104">
        <f t="shared" si="17"/>
        <v>15.691999999999997</v>
      </c>
      <c r="O42" s="104">
        <f t="shared" si="17"/>
        <v>22</v>
      </c>
      <c r="P42" s="104"/>
    </row>
    <row r="45" spans="4:21" ht="18.5" x14ac:dyDescent="0.45">
      <c r="F45" s="1" t="s">
        <v>63</v>
      </c>
      <c r="G45" s="3"/>
      <c r="H45" s="3"/>
      <c r="I45" s="3"/>
      <c r="J45" s="3"/>
      <c r="K45" s="3"/>
      <c r="L45" s="3"/>
      <c r="M45" s="3"/>
      <c r="N45" s="3"/>
      <c r="O45" s="3"/>
      <c r="P45" s="3"/>
    </row>
    <row r="46" spans="4:21" ht="16" thickBot="1" x14ac:dyDescent="0.4">
      <c r="F46" s="9" t="s">
        <v>1</v>
      </c>
      <c r="G46" s="9" t="s">
        <v>2</v>
      </c>
      <c r="H46" s="9" t="s">
        <v>3</v>
      </c>
      <c r="I46" s="9" t="s">
        <v>4</v>
      </c>
      <c r="J46" s="9" t="s">
        <v>5</v>
      </c>
      <c r="K46" s="9" t="s">
        <v>6</v>
      </c>
      <c r="L46" s="9" t="s">
        <v>7</v>
      </c>
      <c r="M46" s="9" t="s">
        <v>8</v>
      </c>
      <c r="N46" s="9" t="s">
        <v>9</v>
      </c>
      <c r="O46" s="9" t="s">
        <v>10</v>
      </c>
      <c r="P46" s="5" t="s">
        <v>297</v>
      </c>
      <c r="R46" s="9" t="s">
        <v>11</v>
      </c>
      <c r="S46" s="9" t="s">
        <v>12</v>
      </c>
      <c r="T46" s="9" t="s">
        <v>13</v>
      </c>
      <c r="U46" s="9" t="s">
        <v>14</v>
      </c>
    </row>
    <row r="47" spans="4:21" x14ac:dyDescent="0.35">
      <c r="F47">
        <v>4.9400000000000004</v>
      </c>
      <c r="G47">
        <v>8.6199999999999992</v>
      </c>
      <c r="H47">
        <f>G47-F47</f>
        <v>3.6799999999999988</v>
      </c>
      <c r="I47">
        <f>F48-G47</f>
        <v>7.07</v>
      </c>
      <c r="J47">
        <f>H47/N47</f>
        <v>0.34232558139534874</v>
      </c>
      <c r="K47">
        <f>I47/N47</f>
        <v>0.65767441860465115</v>
      </c>
      <c r="L47">
        <f>1/H47</f>
        <v>0.27173913043478271</v>
      </c>
      <c r="M47">
        <f t="shared" ref="M47:M70" si="18">1/N47</f>
        <v>9.3023255813953487E-2</v>
      </c>
      <c r="N47">
        <f>H47+I47</f>
        <v>10.75</v>
      </c>
      <c r="O47">
        <v>16</v>
      </c>
      <c r="P47">
        <f>O47/H47</f>
        <v>4.3478260869565233</v>
      </c>
    </row>
    <row r="48" spans="4:21" x14ac:dyDescent="0.35">
      <c r="F48">
        <v>15.69</v>
      </c>
      <c r="G48">
        <v>20</v>
      </c>
      <c r="H48">
        <f t="shared" ref="H48:H71" si="19">G48-F48</f>
        <v>4.3100000000000005</v>
      </c>
      <c r="I48">
        <f t="shared" ref="I48:I70" si="20">F49-G48</f>
        <v>12.920000000000002</v>
      </c>
      <c r="J48">
        <f t="shared" ref="J48:J70" si="21">H48/N48</f>
        <v>0.25014509576320371</v>
      </c>
      <c r="K48">
        <f t="shared" ref="K48:K70" si="22">I48/N48</f>
        <v>0.74985490423679624</v>
      </c>
      <c r="L48">
        <f t="shared" ref="L48:L70" si="23">1/H48</f>
        <v>0.23201856148491876</v>
      </c>
      <c r="M48">
        <f t="shared" si="18"/>
        <v>5.8038305281485771E-2</v>
      </c>
      <c r="N48">
        <f t="shared" ref="N48:N70" si="24">H48+I48</f>
        <v>17.230000000000004</v>
      </c>
      <c r="O48">
        <v>17</v>
      </c>
      <c r="P48">
        <f t="shared" ref="P48:P70" si="25">O48/H48</f>
        <v>3.9443155452436192</v>
      </c>
      <c r="R48">
        <v>23.9</v>
      </c>
      <c r="S48">
        <v>36.1</v>
      </c>
      <c r="T48">
        <f>S48-R48</f>
        <v>12.200000000000003</v>
      </c>
      <c r="U48">
        <f>R51-S48</f>
        <v>32.050000000000004</v>
      </c>
    </row>
    <row r="49" spans="2:21" x14ac:dyDescent="0.35">
      <c r="F49">
        <v>32.92</v>
      </c>
      <c r="G49">
        <v>37.64</v>
      </c>
      <c r="H49">
        <f t="shared" si="19"/>
        <v>4.7199999999999989</v>
      </c>
      <c r="I49">
        <f t="shared" si="20"/>
        <v>8.259999999999998</v>
      </c>
      <c r="J49">
        <f t="shared" si="21"/>
        <v>0.36363636363636365</v>
      </c>
      <c r="K49">
        <f t="shared" si="22"/>
        <v>0.63636363636363635</v>
      </c>
      <c r="L49">
        <f t="shared" si="23"/>
        <v>0.21186440677966106</v>
      </c>
      <c r="M49">
        <f t="shared" si="18"/>
        <v>7.7041602465331302E-2</v>
      </c>
      <c r="N49">
        <f t="shared" si="24"/>
        <v>12.979999999999997</v>
      </c>
      <c r="O49">
        <v>17</v>
      </c>
      <c r="P49">
        <f t="shared" si="25"/>
        <v>3.6016949152542383</v>
      </c>
    </row>
    <row r="50" spans="2:21" x14ac:dyDescent="0.35">
      <c r="F50">
        <v>45.9</v>
      </c>
      <c r="G50">
        <v>50.05</v>
      </c>
      <c r="H50">
        <f t="shared" si="19"/>
        <v>4.1499999999999986</v>
      </c>
      <c r="I50">
        <f t="shared" si="20"/>
        <v>7.6400000000000006</v>
      </c>
      <c r="J50">
        <f t="shared" si="21"/>
        <v>0.35199321458863436</v>
      </c>
      <c r="K50">
        <f t="shared" si="22"/>
        <v>0.64800678541136569</v>
      </c>
      <c r="L50">
        <f t="shared" si="23"/>
        <v>0.24096385542168683</v>
      </c>
      <c r="M50">
        <f t="shared" si="18"/>
        <v>8.4817642069550475E-2</v>
      </c>
      <c r="N50">
        <f t="shared" si="24"/>
        <v>11.79</v>
      </c>
      <c r="O50">
        <v>15</v>
      </c>
      <c r="P50">
        <f t="shared" si="25"/>
        <v>3.6144578313253026</v>
      </c>
    </row>
    <row r="51" spans="2:21" x14ac:dyDescent="0.35">
      <c r="F51">
        <v>57.69</v>
      </c>
      <c r="G51">
        <v>62.1</v>
      </c>
      <c r="H51">
        <f t="shared" si="19"/>
        <v>4.4100000000000037</v>
      </c>
      <c r="I51">
        <f t="shared" si="20"/>
        <v>15.18</v>
      </c>
      <c r="J51">
        <f t="shared" si="21"/>
        <v>0.22511485451761118</v>
      </c>
      <c r="K51">
        <f t="shared" si="22"/>
        <v>0.77488514548238885</v>
      </c>
      <c r="L51">
        <f t="shared" si="23"/>
        <v>0.22675736961451229</v>
      </c>
      <c r="M51">
        <f t="shared" si="18"/>
        <v>5.1046452271567115E-2</v>
      </c>
      <c r="N51">
        <f t="shared" si="24"/>
        <v>19.590000000000003</v>
      </c>
      <c r="O51">
        <v>17</v>
      </c>
      <c r="P51">
        <f t="shared" si="25"/>
        <v>3.8548752834467086</v>
      </c>
      <c r="R51">
        <v>68.150000000000006</v>
      </c>
      <c r="S51">
        <v>80.67</v>
      </c>
      <c r="T51">
        <f>S51-R51</f>
        <v>12.519999999999996</v>
      </c>
      <c r="U51">
        <f>R54-S51</f>
        <v>30.36</v>
      </c>
    </row>
    <row r="52" spans="2:21" x14ac:dyDescent="0.35">
      <c r="F52">
        <v>77.28</v>
      </c>
      <c r="G52">
        <v>81.900000000000006</v>
      </c>
      <c r="H52">
        <f t="shared" si="19"/>
        <v>4.6200000000000045</v>
      </c>
      <c r="I52">
        <f t="shared" si="20"/>
        <v>7.9499999999999886</v>
      </c>
      <c r="J52">
        <f t="shared" si="21"/>
        <v>0.36754176610978578</v>
      </c>
      <c r="K52">
        <f t="shared" si="22"/>
        <v>0.63245823389021427</v>
      </c>
      <c r="L52">
        <f t="shared" si="23"/>
        <v>0.21645021645021623</v>
      </c>
      <c r="M52">
        <f t="shared" si="18"/>
        <v>7.9554494828957878E-2</v>
      </c>
      <c r="N52">
        <f t="shared" si="24"/>
        <v>12.569999999999993</v>
      </c>
      <c r="O52">
        <v>18</v>
      </c>
      <c r="P52">
        <f t="shared" si="25"/>
        <v>3.8961038961038921</v>
      </c>
    </row>
    <row r="53" spans="2:21" x14ac:dyDescent="0.35">
      <c r="F53">
        <v>89.85</v>
      </c>
      <c r="G53">
        <v>92.67</v>
      </c>
      <c r="H53">
        <f t="shared" si="19"/>
        <v>2.8200000000000074</v>
      </c>
      <c r="I53">
        <f t="shared" si="20"/>
        <v>8.5100000000000051</v>
      </c>
      <c r="J53">
        <f t="shared" si="21"/>
        <v>0.24889673433362791</v>
      </c>
      <c r="K53">
        <f t="shared" si="22"/>
        <v>0.75110326566637209</v>
      </c>
      <c r="L53">
        <f t="shared" si="23"/>
        <v>0.35460992907801325</v>
      </c>
      <c r="M53">
        <f t="shared" si="18"/>
        <v>8.8261253309796908E-2</v>
      </c>
      <c r="N53">
        <f t="shared" si="24"/>
        <v>11.330000000000013</v>
      </c>
      <c r="O53">
        <v>13</v>
      </c>
      <c r="P53">
        <f t="shared" si="25"/>
        <v>4.6099290780141722</v>
      </c>
    </row>
    <row r="54" spans="2:21" x14ac:dyDescent="0.35">
      <c r="F54">
        <v>101.18</v>
      </c>
      <c r="G54">
        <v>104.97</v>
      </c>
      <c r="H54">
        <f t="shared" si="19"/>
        <v>3.789999999999992</v>
      </c>
      <c r="I54">
        <f t="shared" si="20"/>
        <v>15.799999999999997</v>
      </c>
      <c r="J54">
        <f t="shared" si="21"/>
        <v>0.19346605410923912</v>
      </c>
      <c r="K54">
        <f t="shared" si="22"/>
        <v>0.80653394589076088</v>
      </c>
      <c r="L54">
        <f t="shared" si="23"/>
        <v>0.26385224274406388</v>
      </c>
      <c r="M54">
        <f t="shared" si="18"/>
        <v>5.1046452271567157E-2</v>
      </c>
      <c r="N54">
        <f t="shared" si="24"/>
        <v>19.589999999999989</v>
      </c>
      <c r="O54">
        <v>15</v>
      </c>
      <c r="P54">
        <f t="shared" si="25"/>
        <v>3.9577836411609582</v>
      </c>
      <c r="R54">
        <v>111.03</v>
      </c>
      <c r="S54">
        <v>122.82</v>
      </c>
      <c r="T54">
        <f>S54-R54</f>
        <v>11.789999999999992</v>
      </c>
      <c r="U54">
        <f>R57-S54</f>
        <v>30.670000000000016</v>
      </c>
    </row>
    <row r="55" spans="2:21" x14ac:dyDescent="0.35">
      <c r="F55">
        <v>120.77</v>
      </c>
      <c r="G55">
        <v>125.08</v>
      </c>
      <c r="H55">
        <f t="shared" si="19"/>
        <v>4.3100000000000023</v>
      </c>
      <c r="I55">
        <f t="shared" si="20"/>
        <v>8.2000000000000028</v>
      </c>
      <c r="J55">
        <f t="shared" si="21"/>
        <v>0.34452438049560358</v>
      </c>
      <c r="K55">
        <f t="shared" si="22"/>
        <v>0.65547561950439648</v>
      </c>
      <c r="L55">
        <f t="shared" si="23"/>
        <v>0.23201856148491867</v>
      </c>
      <c r="M55">
        <f t="shared" si="18"/>
        <v>7.9936051159072707E-2</v>
      </c>
      <c r="N55">
        <f t="shared" si="24"/>
        <v>12.510000000000005</v>
      </c>
      <c r="O55">
        <v>19</v>
      </c>
      <c r="P55">
        <f t="shared" si="25"/>
        <v>4.4083526682134551</v>
      </c>
    </row>
    <row r="56" spans="2:21" x14ac:dyDescent="0.35">
      <c r="F56">
        <v>133.28</v>
      </c>
      <c r="G56">
        <v>137.28</v>
      </c>
      <c r="H56">
        <f t="shared" si="19"/>
        <v>4</v>
      </c>
      <c r="I56">
        <f t="shared" si="20"/>
        <v>7.3300000000000125</v>
      </c>
      <c r="J56">
        <f t="shared" si="21"/>
        <v>0.35304501323918763</v>
      </c>
      <c r="K56">
        <f t="shared" si="22"/>
        <v>0.64695498676081242</v>
      </c>
      <c r="L56">
        <f t="shared" si="23"/>
        <v>0.25</v>
      </c>
      <c r="M56">
        <f t="shared" si="18"/>
        <v>8.8261253309796908E-2</v>
      </c>
      <c r="N56">
        <f t="shared" si="24"/>
        <v>11.330000000000013</v>
      </c>
      <c r="O56">
        <v>17</v>
      </c>
      <c r="P56">
        <f t="shared" si="25"/>
        <v>4.25</v>
      </c>
    </row>
    <row r="57" spans="2:21" x14ac:dyDescent="0.35">
      <c r="F57">
        <v>144.61000000000001</v>
      </c>
      <c r="G57">
        <v>148.56</v>
      </c>
      <c r="H57">
        <f t="shared" si="19"/>
        <v>3.9499999999999886</v>
      </c>
      <c r="I57">
        <f t="shared" si="20"/>
        <v>12.719999999999999</v>
      </c>
      <c r="J57">
        <f t="shared" si="21"/>
        <v>0.23695260947810387</v>
      </c>
      <c r="K57">
        <f t="shared" si="22"/>
        <v>0.76304739052189607</v>
      </c>
      <c r="L57">
        <f t="shared" si="23"/>
        <v>0.25316455696202605</v>
      </c>
      <c r="M57">
        <f t="shared" si="18"/>
        <v>5.9988002399520138E-2</v>
      </c>
      <c r="N57">
        <f t="shared" si="24"/>
        <v>16.669999999999987</v>
      </c>
      <c r="O57">
        <v>19</v>
      </c>
      <c r="P57">
        <f t="shared" si="25"/>
        <v>4.8101265822784951</v>
      </c>
      <c r="R57">
        <v>153.49</v>
      </c>
      <c r="S57">
        <v>165.59</v>
      </c>
      <c r="T57">
        <f>S57-R57</f>
        <v>12.099999999999994</v>
      </c>
      <c r="U57">
        <f>R60-S57</f>
        <v>21.490000000000009</v>
      </c>
    </row>
    <row r="58" spans="2:21" x14ac:dyDescent="0.35">
      <c r="F58" s="85">
        <v>161.28</v>
      </c>
      <c r="G58" s="85">
        <v>165.23</v>
      </c>
      <c r="H58" s="85">
        <f t="shared" si="19"/>
        <v>3.9499999999999886</v>
      </c>
      <c r="I58" s="85">
        <f t="shared" si="20"/>
        <v>5.9000000000000057</v>
      </c>
      <c r="J58">
        <f t="shared" si="21"/>
        <v>0.40101522842639503</v>
      </c>
      <c r="K58">
        <f t="shared" si="22"/>
        <v>0.59898477157360497</v>
      </c>
      <c r="L58">
        <f t="shared" si="23"/>
        <v>0.25316455696202605</v>
      </c>
      <c r="M58">
        <f t="shared" si="18"/>
        <v>0.10152284263959396</v>
      </c>
      <c r="N58">
        <f t="shared" si="24"/>
        <v>9.8499999999999943</v>
      </c>
      <c r="O58">
        <v>17</v>
      </c>
      <c r="P58">
        <f t="shared" si="25"/>
        <v>4.3037974683544427</v>
      </c>
    </row>
    <row r="59" spans="2:21" ht="16" thickBot="1" x14ac:dyDescent="0.4">
      <c r="B59" s="9" t="s">
        <v>18</v>
      </c>
      <c r="C59" s="9" t="s">
        <v>17</v>
      </c>
      <c r="D59" s="9" t="s">
        <v>20</v>
      </c>
      <c r="F59">
        <v>171.13</v>
      </c>
      <c r="G59">
        <v>175.85</v>
      </c>
      <c r="H59">
        <f t="shared" si="19"/>
        <v>4.7199999999999989</v>
      </c>
      <c r="I59">
        <f t="shared" si="20"/>
        <v>7.4800000000000182</v>
      </c>
      <c r="J59">
        <f t="shared" si="21"/>
        <v>0.3868852459016387</v>
      </c>
      <c r="K59">
        <f t="shared" si="22"/>
        <v>0.61311475409836125</v>
      </c>
      <c r="L59">
        <f t="shared" si="23"/>
        <v>0.21186440677966106</v>
      </c>
      <c r="M59">
        <f t="shared" si="18"/>
        <v>8.1967213114753981E-2</v>
      </c>
      <c r="N59">
        <f t="shared" si="24"/>
        <v>12.200000000000017</v>
      </c>
      <c r="O59">
        <v>23</v>
      </c>
      <c r="P59">
        <f t="shared" si="25"/>
        <v>4.8728813559322042</v>
      </c>
    </row>
    <row r="60" spans="2:21" x14ac:dyDescent="0.35">
      <c r="B60" s="94">
        <v>183.95</v>
      </c>
      <c r="C60" s="95">
        <v>188.41</v>
      </c>
      <c r="D60" s="96">
        <f>C60-B60</f>
        <v>4.460000000000008</v>
      </c>
      <c r="F60" s="10">
        <v>183.33</v>
      </c>
      <c r="G60" s="11">
        <v>187.02</v>
      </c>
      <c r="H60" s="11">
        <f t="shared" si="19"/>
        <v>3.6899999999999977</v>
      </c>
      <c r="I60" s="12">
        <f t="shared" si="20"/>
        <v>11.549999999999983</v>
      </c>
      <c r="J60">
        <f t="shared" si="21"/>
        <v>0.24212598425196866</v>
      </c>
      <c r="K60">
        <f t="shared" si="22"/>
        <v>0.75787401574803137</v>
      </c>
      <c r="L60">
        <f t="shared" si="23"/>
        <v>0.27100271002710041</v>
      </c>
      <c r="M60">
        <f t="shared" si="18"/>
        <v>6.561679790026255E-2</v>
      </c>
      <c r="N60">
        <f t="shared" si="24"/>
        <v>15.239999999999981</v>
      </c>
      <c r="O60">
        <v>18</v>
      </c>
      <c r="P60">
        <f t="shared" si="25"/>
        <v>4.8780487804878083</v>
      </c>
      <c r="R60">
        <v>187.08</v>
      </c>
      <c r="S60">
        <v>198.82</v>
      </c>
      <c r="T60">
        <f>S60-R60</f>
        <v>11.739999999999981</v>
      </c>
      <c r="U60">
        <f>R62-S60</f>
        <v>17.75</v>
      </c>
    </row>
    <row r="61" spans="2:21" x14ac:dyDescent="0.35">
      <c r="B61" s="10">
        <v>199.26</v>
      </c>
      <c r="C61" s="11">
        <v>203.71</v>
      </c>
      <c r="D61" s="12">
        <f t="shared" ref="D61:D70" si="26">C61-B61</f>
        <v>4.4500000000000171</v>
      </c>
      <c r="F61" s="10">
        <v>198.57</v>
      </c>
      <c r="G61" s="11">
        <v>202.27</v>
      </c>
      <c r="H61" s="11">
        <f t="shared" si="19"/>
        <v>3.7000000000000171</v>
      </c>
      <c r="I61" s="12">
        <f t="shared" si="20"/>
        <v>11.219999999999999</v>
      </c>
      <c r="J61">
        <f t="shared" si="21"/>
        <v>0.24798927613941107</v>
      </c>
      <c r="K61">
        <f t="shared" si="22"/>
        <v>0.75201072386058898</v>
      </c>
      <c r="L61">
        <f t="shared" si="23"/>
        <v>0.27027027027026901</v>
      </c>
      <c r="M61">
        <f t="shared" si="18"/>
        <v>6.7024128686327011E-2</v>
      </c>
      <c r="N61">
        <f t="shared" si="24"/>
        <v>14.920000000000016</v>
      </c>
      <c r="O61">
        <v>16</v>
      </c>
      <c r="P61">
        <f t="shared" si="25"/>
        <v>4.3243243243243041</v>
      </c>
    </row>
    <row r="62" spans="2:21" x14ac:dyDescent="0.35">
      <c r="B62" s="10">
        <v>213.87</v>
      </c>
      <c r="C62" s="11">
        <v>217.02</v>
      </c>
      <c r="D62" s="12">
        <f t="shared" si="26"/>
        <v>3.1500000000000057</v>
      </c>
      <c r="F62" s="10">
        <v>213.49</v>
      </c>
      <c r="G62" s="11">
        <v>215.99</v>
      </c>
      <c r="H62" s="11">
        <f t="shared" si="19"/>
        <v>2.5</v>
      </c>
      <c r="I62" s="12">
        <f t="shared" si="20"/>
        <v>13.310000000000002</v>
      </c>
      <c r="J62">
        <f t="shared" si="21"/>
        <v>0.15812776723592661</v>
      </c>
      <c r="K62">
        <f t="shared" si="22"/>
        <v>0.84187223276407341</v>
      </c>
      <c r="L62">
        <f t="shared" si="23"/>
        <v>0.4</v>
      </c>
      <c r="M62">
        <f t="shared" si="18"/>
        <v>6.3251106894370648E-2</v>
      </c>
      <c r="N62">
        <f t="shared" si="24"/>
        <v>15.810000000000002</v>
      </c>
      <c r="O62">
        <v>14</v>
      </c>
      <c r="P62">
        <f t="shared" si="25"/>
        <v>5.6</v>
      </c>
      <c r="R62">
        <v>216.57</v>
      </c>
      <c r="S62">
        <v>228.48</v>
      </c>
      <c r="T62">
        <f>S62-R62</f>
        <v>11.909999999999997</v>
      </c>
      <c r="U62">
        <f>R64-S62</f>
        <v>19.22</v>
      </c>
    </row>
    <row r="63" spans="2:21" x14ac:dyDescent="0.35">
      <c r="F63">
        <v>229.3</v>
      </c>
      <c r="G63">
        <v>233.49</v>
      </c>
      <c r="H63">
        <f t="shared" si="19"/>
        <v>4.1899999999999977</v>
      </c>
      <c r="I63">
        <f t="shared" si="20"/>
        <v>10.620000000000005</v>
      </c>
      <c r="J63">
        <f t="shared" si="21"/>
        <v>0.28291694800810241</v>
      </c>
      <c r="K63">
        <f t="shared" si="22"/>
        <v>0.71708305199189759</v>
      </c>
      <c r="L63">
        <f t="shared" si="23"/>
        <v>0.23866348448687363</v>
      </c>
      <c r="M63">
        <f t="shared" si="18"/>
        <v>6.7521944632005393E-2</v>
      </c>
      <c r="N63">
        <f t="shared" si="24"/>
        <v>14.810000000000002</v>
      </c>
      <c r="O63">
        <v>22</v>
      </c>
      <c r="P63">
        <f t="shared" si="25"/>
        <v>5.2505966587112196</v>
      </c>
    </row>
    <row r="64" spans="2:21" x14ac:dyDescent="0.35">
      <c r="B64" s="10">
        <v>244.59</v>
      </c>
      <c r="C64" s="11">
        <v>247.99</v>
      </c>
      <c r="D64" s="12">
        <f t="shared" si="26"/>
        <v>3.4000000000000057</v>
      </c>
      <c r="F64" s="10">
        <v>244.11</v>
      </c>
      <c r="G64" s="11">
        <v>247.24</v>
      </c>
      <c r="H64" s="11">
        <f t="shared" si="19"/>
        <v>3.1299999999999955</v>
      </c>
      <c r="I64" s="12">
        <f t="shared" si="20"/>
        <v>13.680000000000007</v>
      </c>
      <c r="J64">
        <f t="shared" si="21"/>
        <v>0.18619869125520494</v>
      </c>
      <c r="K64">
        <f t="shared" si="22"/>
        <v>0.81380130874479506</v>
      </c>
      <c r="L64">
        <f t="shared" si="23"/>
        <v>0.31948881789137429</v>
      </c>
      <c r="M64">
        <f t="shared" si="18"/>
        <v>5.9488399762046396E-2</v>
      </c>
      <c r="N64">
        <f t="shared" si="24"/>
        <v>16.810000000000002</v>
      </c>
      <c r="O64">
        <v>18</v>
      </c>
      <c r="P64">
        <f t="shared" si="25"/>
        <v>5.7507987220447365</v>
      </c>
      <c r="R64">
        <v>247.7</v>
      </c>
      <c r="S64">
        <v>261.23</v>
      </c>
      <c r="T64">
        <f>S64-R64</f>
        <v>13.53000000000003</v>
      </c>
      <c r="U64">
        <f>R66-S64</f>
        <v>18.329999999999984</v>
      </c>
    </row>
    <row r="65" spans="2:21" x14ac:dyDescent="0.35">
      <c r="F65">
        <v>260.92</v>
      </c>
      <c r="G65">
        <v>265.63</v>
      </c>
      <c r="H65">
        <f t="shared" si="19"/>
        <v>4.7099999999999795</v>
      </c>
      <c r="I65">
        <f t="shared" si="20"/>
        <v>9.910000000000025</v>
      </c>
      <c r="J65">
        <f t="shared" si="21"/>
        <v>0.32216142270861681</v>
      </c>
      <c r="K65">
        <f t="shared" si="22"/>
        <v>0.67783857729138319</v>
      </c>
      <c r="L65">
        <f t="shared" si="23"/>
        <v>0.21231422505307948</v>
      </c>
      <c r="M65">
        <f t="shared" si="18"/>
        <v>6.839945280437755E-2</v>
      </c>
      <c r="N65">
        <f t="shared" si="24"/>
        <v>14.620000000000005</v>
      </c>
      <c r="O65">
        <v>25</v>
      </c>
      <c r="P65">
        <f t="shared" si="25"/>
        <v>5.3078556263269867</v>
      </c>
    </row>
    <row r="66" spans="2:21" x14ac:dyDescent="0.35">
      <c r="B66" s="10">
        <v>275.97000000000003</v>
      </c>
      <c r="C66" s="11">
        <v>279.44</v>
      </c>
      <c r="D66" s="12">
        <f t="shared" si="26"/>
        <v>3.4699999999999704</v>
      </c>
      <c r="F66" s="10">
        <v>275.54000000000002</v>
      </c>
      <c r="G66" s="11">
        <v>278.45</v>
      </c>
      <c r="H66" s="11">
        <f t="shared" si="19"/>
        <v>2.9099999999999682</v>
      </c>
      <c r="I66" s="12">
        <f t="shared" si="20"/>
        <v>13.680000000000007</v>
      </c>
      <c r="J66">
        <f t="shared" si="21"/>
        <v>0.1754068716094016</v>
      </c>
      <c r="K66">
        <f t="shared" si="22"/>
        <v>0.8245931283905984</v>
      </c>
      <c r="L66">
        <f t="shared" si="23"/>
        <v>0.34364261168385257</v>
      </c>
      <c r="M66">
        <f t="shared" si="18"/>
        <v>6.0277275467148977E-2</v>
      </c>
      <c r="N66">
        <f t="shared" si="24"/>
        <v>16.589999999999975</v>
      </c>
      <c r="O66">
        <v>17</v>
      </c>
      <c r="P66">
        <f t="shared" si="25"/>
        <v>5.8419243986254932</v>
      </c>
      <c r="R66">
        <v>279.56</v>
      </c>
      <c r="S66">
        <v>292.22000000000003</v>
      </c>
      <c r="T66">
        <f>S66-R66</f>
        <v>12.660000000000025</v>
      </c>
      <c r="U66">
        <f>R69-S66</f>
        <v>31.569999999999993</v>
      </c>
    </row>
    <row r="67" spans="2:21" x14ac:dyDescent="0.35">
      <c r="F67">
        <v>292.13</v>
      </c>
      <c r="G67">
        <v>296.66000000000003</v>
      </c>
      <c r="H67">
        <f t="shared" si="19"/>
        <v>4.5300000000000296</v>
      </c>
      <c r="I67">
        <f t="shared" si="20"/>
        <v>9.839999999999975</v>
      </c>
      <c r="J67">
        <f t="shared" si="21"/>
        <v>0.31524008350730887</v>
      </c>
      <c r="K67">
        <f t="shared" si="22"/>
        <v>0.68475991649269119</v>
      </c>
      <c r="L67">
        <f t="shared" si="23"/>
        <v>0.22075055187637824</v>
      </c>
      <c r="M67">
        <f t="shared" si="18"/>
        <v>6.9589422407793991E-2</v>
      </c>
      <c r="N67">
        <f t="shared" si="24"/>
        <v>14.370000000000005</v>
      </c>
      <c r="O67">
        <v>26</v>
      </c>
      <c r="P67">
        <f t="shared" si="25"/>
        <v>5.7395143487858347</v>
      </c>
    </row>
    <row r="68" spans="2:21" x14ac:dyDescent="0.35">
      <c r="B68" s="15">
        <v>306.92</v>
      </c>
      <c r="C68" s="16">
        <v>307.38</v>
      </c>
      <c r="D68" s="17">
        <f t="shared" si="26"/>
        <v>0.45999999999997954</v>
      </c>
      <c r="F68" s="15">
        <v>306.5</v>
      </c>
      <c r="G68" s="16">
        <v>311.45</v>
      </c>
      <c r="H68" s="16">
        <f t="shared" si="19"/>
        <v>4.9499999999999886</v>
      </c>
      <c r="I68" s="17">
        <f t="shared" si="20"/>
        <v>10.53000000000003</v>
      </c>
      <c r="J68">
        <f t="shared" si="21"/>
        <v>0.31976744186046402</v>
      </c>
      <c r="K68">
        <f t="shared" si="22"/>
        <v>0.68023255813953598</v>
      </c>
      <c r="L68">
        <f t="shared" si="23"/>
        <v>0.20202020202020249</v>
      </c>
      <c r="M68">
        <f t="shared" si="18"/>
        <v>6.4599483204134292E-2</v>
      </c>
      <c r="N68">
        <f t="shared" si="24"/>
        <v>15.480000000000018</v>
      </c>
      <c r="O68">
        <v>18</v>
      </c>
      <c r="P68">
        <f t="shared" si="25"/>
        <v>3.6363636363636447</v>
      </c>
    </row>
    <row r="69" spans="2:21" x14ac:dyDescent="0.35">
      <c r="B69" s="10">
        <v>322.55</v>
      </c>
      <c r="C69" s="11">
        <v>325.38</v>
      </c>
      <c r="D69" s="12">
        <f t="shared" si="26"/>
        <v>2.8299999999999841</v>
      </c>
      <c r="F69" s="10">
        <v>321.98</v>
      </c>
      <c r="G69" s="11">
        <v>324.27999999999997</v>
      </c>
      <c r="H69" s="11">
        <f t="shared" si="19"/>
        <v>2.2999999999999545</v>
      </c>
      <c r="I69" s="12">
        <f t="shared" si="20"/>
        <v>13.050000000000011</v>
      </c>
      <c r="J69">
        <f t="shared" si="21"/>
        <v>0.14983713355048597</v>
      </c>
      <c r="K69">
        <f t="shared" si="22"/>
        <v>0.850162866449514</v>
      </c>
      <c r="L69">
        <f t="shared" si="23"/>
        <v>0.43478260869566077</v>
      </c>
      <c r="M69">
        <f t="shared" si="18"/>
        <v>6.5146579804560401E-2</v>
      </c>
      <c r="N69">
        <f t="shared" si="24"/>
        <v>15.349999999999966</v>
      </c>
      <c r="O69">
        <v>15</v>
      </c>
      <c r="P69">
        <f t="shared" si="25"/>
        <v>6.5217391304349119</v>
      </c>
      <c r="R69">
        <v>323.79000000000002</v>
      </c>
      <c r="S69">
        <v>350.07</v>
      </c>
      <c r="T69">
        <f>S69-R69</f>
        <v>26.279999999999973</v>
      </c>
    </row>
    <row r="70" spans="2:21" x14ac:dyDescent="0.35">
      <c r="B70" s="10">
        <v>337.81</v>
      </c>
      <c r="C70" s="11">
        <v>340.37</v>
      </c>
      <c r="D70" s="12">
        <f t="shared" si="26"/>
        <v>2.5600000000000023</v>
      </c>
      <c r="F70" s="10">
        <v>337.33</v>
      </c>
      <c r="G70" s="11">
        <v>339.04</v>
      </c>
      <c r="H70" s="11">
        <f t="shared" si="19"/>
        <v>1.7100000000000364</v>
      </c>
      <c r="I70" s="12">
        <f t="shared" si="20"/>
        <v>11.079999999999984</v>
      </c>
      <c r="J70">
        <f t="shared" si="21"/>
        <v>0.13369820172009644</v>
      </c>
      <c r="K70">
        <f t="shared" si="22"/>
        <v>0.8663017982799035</v>
      </c>
      <c r="L70">
        <f t="shared" si="23"/>
        <v>0.58479532163741443</v>
      </c>
      <c r="M70">
        <f t="shared" si="18"/>
        <v>7.8186082877247723E-2</v>
      </c>
      <c r="N70">
        <f t="shared" si="24"/>
        <v>12.79000000000002</v>
      </c>
      <c r="O70">
        <v>11</v>
      </c>
      <c r="P70">
        <f t="shared" si="25"/>
        <v>6.432748538011559</v>
      </c>
    </row>
    <row r="71" spans="2:21" x14ac:dyDescent="0.35">
      <c r="F71" s="13">
        <v>350.12</v>
      </c>
      <c r="G71" s="13">
        <v>355.15</v>
      </c>
      <c r="H71" s="85">
        <f t="shared" si="19"/>
        <v>5.0299999999999727</v>
      </c>
      <c r="I71" s="85"/>
    </row>
    <row r="72" spans="2:21" x14ac:dyDescent="0.35">
      <c r="G72" s="104" t="s">
        <v>76</v>
      </c>
      <c r="H72" s="104">
        <f>AVERAGE(H47:H59)</f>
        <v>4.1099999999999985</v>
      </c>
      <c r="I72" s="104">
        <f t="shared" ref="I72:O72" si="27">AVERAGE(I47:I59)</f>
        <v>9.6123076923076951</v>
      </c>
      <c r="J72" s="104">
        <f t="shared" si="27"/>
        <v>0.31273401092267261</v>
      </c>
      <c r="K72" s="104">
        <f t="shared" si="27"/>
        <v>0.6872659890773275</v>
      </c>
      <c r="L72" s="104">
        <f t="shared" si="27"/>
        <v>0.24757444570742207</v>
      </c>
      <c r="M72" s="104">
        <f t="shared" si="27"/>
        <v>7.6500370841149828E-2</v>
      </c>
      <c r="N72" s="104">
        <f t="shared" si="27"/>
        <v>13.722307692307693</v>
      </c>
      <c r="O72" s="104">
        <f t="shared" si="27"/>
        <v>17.153846153846153</v>
      </c>
      <c r="P72" s="104">
        <f>AVERAGE(P47:P59)</f>
        <v>4.1901649501756939</v>
      </c>
    </row>
    <row r="73" spans="2:21" x14ac:dyDescent="0.35">
      <c r="G73" s="104" t="s">
        <v>20</v>
      </c>
      <c r="H73" s="104">
        <f>AVERAGE(H60:H62,H64,H66,H69,H70)</f>
        <v>2.8485714285714243</v>
      </c>
      <c r="I73" s="104">
        <f t="shared" ref="I73:O73" si="28">AVERAGE(I60:I62,I64,I66,I69,I70)</f>
        <v>12.51</v>
      </c>
      <c r="J73" s="104">
        <f t="shared" si="28"/>
        <v>0.18476913225178507</v>
      </c>
      <c r="K73" s="104">
        <f t="shared" si="28"/>
        <v>0.81523086774821496</v>
      </c>
      <c r="L73" s="104">
        <f t="shared" si="28"/>
        <v>0.37485462002938164</v>
      </c>
      <c r="M73" s="104">
        <f t="shared" si="28"/>
        <v>6.5570053055994809E-2</v>
      </c>
      <c r="N73" s="104">
        <f t="shared" si="28"/>
        <v>15.358571428571423</v>
      </c>
      <c r="O73" s="104">
        <f t="shared" si="28"/>
        <v>15.571428571428571</v>
      </c>
      <c r="P73" s="104">
        <f>AVERAGE(P60:P62,P64,P66,P69,P70)</f>
        <v>5.6213691277041153</v>
      </c>
    </row>
    <row r="74" spans="2:21" x14ac:dyDescent="0.35">
      <c r="G74" s="104" t="s">
        <v>78</v>
      </c>
      <c r="H74" s="104">
        <f>AVERAGE(H63,H65,H67)</f>
        <v>4.4766666666666692</v>
      </c>
      <c r="I74" s="104">
        <f t="shared" ref="I74:O74" si="29">AVERAGE(I63,I65,I67)</f>
        <v>10.123333333333335</v>
      </c>
      <c r="J74" s="104">
        <f t="shared" si="29"/>
        <v>0.30677281807467605</v>
      </c>
      <c r="K74" s="104">
        <f t="shared" si="29"/>
        <v>0.69322718192532395</v>
      </c>
      <c r="L74" s="104">
        <f t="shared" si="29"/>
        <v>0.22390942047211046</v>
      </c>
      <c r="M74" s="104">
        <f t="shared" si="29"/>
        <v>6.850360661472564E-2</v>
      </c>
      <c r="N74" s="104">
        <f t="shared" si="29"/>
        <v>14.600000000000003</v>
      </c>
      <c r="O74" s="104">
        <f t="shared" si="29"/>
        <v>24.333333333333332</v>
      </c>
      <c r="P74" s="104">
        <f>AVERAGE(P63,P65,P67)</f>
        <v>5.4326555446080143</v>
      </c>
    </row>
    <row r="75" spans="2:21" x14ac:dyDescent="0.35">
      <c r="G75" s="104"/>
      <c r="H75" s="104"/>
      <c r="I75" s="104"/>
      <c r="J75" s="104"/>
      <c r="K75" s="104"/>
      <c r="L75" s="104"/>
      <c r="M75" s="104"/>
      <c r="N75" s="104"/>
    </row>
    <row r="76" spans="2:21" x14ac:dyDescent="0.35">
      <c r="G76" s="104"/>
      <c r="H76" s="104"/>
      <c r="I76" s="104"/>
      <c r="J76" s="104"/>
      <c r="K76" s="104"/>
      <c r="L76" s="104"/>
      <c r="M76" s="104"/>
      <c r="N76" s="104"/>
    </row>
    <row r="77" spans="2:21" x14ac:dyDescent="0.35">
      <c r="F77" s="335" t="s">
        <v>79</v>
      </c>
      <c r="G77" s="104" t="s">
        <v>76</v>
      </c>
      <c r="H77" s="104">
        <f>AVERAGE(H48,H51,H54,H57)</f>
        <v>4.1149999999999967</v>
      </c>
      <c r="I77" s="104">
        <f t="shared" ref="I77:O77" si="30">AVERAGE(I48,I51,I54,I57)</f>
        <v>14.154999999999999</v>
      </c>
      <c r="J77" s="104">
        <f t="shared" si="30"/>
        <v>0.22641965346703946</v>
      </c>
      <c r="K77" s="104">
        <f t="shared" si="30"/>
        <v>0.77358034653296048</v>
      </c>
      <c r="L77" s="104">
        <f t="shared" si="30"/>
        <v>0.24394818270138025</v>
      </c>
      <c r="M77" s="104">
        <f t="shared" si="30"/>
        <v>5.502980305603504E-2</v>
      </c>
      <c r="N77" s="104">
        <f t="shared" si="30"/>
        <v>18.269999999999996</v>
      </c>
      <c r="O77" s="104">
        <f t="shared" si="30"/>
        <v>17</v>
      </c>
      <c r="P77" s="104"/>
    </row>
    <row r="78" spans="2:21" x14ac:dyDescent="0.35">
      <c r="F78" s="335"/>
      <c r="G78" s="104" t="s">
        <v>20</v>
      </c>
      <c r="H78" s="104">
        <f>AVERAGE(H60,H62,H64,H66,H69)</f>
        <v>2.9059999999999833</v>
      </c>
      <c r="I78" s="104">
        <f t="shared" ref="I78:O78" si="31">AVERAGE(I60,I62,I64,I66,I69)</f>
        <v>13.054000000000002</v>
      </c>
      <c r="J78" s="104">
        <f t="shared" si="31"/>
        <v>0.18233928958059756</v>
      </c>
      <c r="K78" s="104">
        <f t="shared" si="31"/>
        <v>0.81766071041940225</v>
      </c>
      <c r="L78" s="104">
        <f t="shared" si="31"/>
        <v>0.35378334965959757</v>
      </c>
      <c r="M78" s="104">
        <f t="shared" si="31"/>
        <v>6.2756031965677792E-2</v>
      </c>
      <c r="N78" s="104">
        <f t="shared" si="31"/>
        <v>15.959999999999985</v>
      </c>
      <c r="O78" s="104">
        <f t="shared" si="31"/>
        <v>16.399999999999999</v>
      </c>
      <c r="P78" s="104"/>
    </row>
    <row r="79" spans="2:21" x14ac:dyDescent="0.35">
      <c r="F79" s="104"/>
      <c r="G79" s="104"/>
    </row>
    <row r="80" spans="2:21" x14ac:dyDescent="0.35">
      <c r="F80" s="335" t="s">
        <v>83</v>
      </c>
      <c r="G80" s="104" t="s">
        <v>76</v>
      </c>
      <c r="H80" s="104">
        <f>AVERAGE(H47,H49,H50,H52,H53,H55,H56,H58,H59)</f>
        <v>4.1077777777777778</v>
      </c>
      <c r="I80" s="104">
        <f t="shared" ref="I80:O80" si="32">AVERAGE(I47,I49,I50,I52,I53,I55,I56,I58,I59)</f>
        <v>7.5933333333333373</v>
      </c>
      <c r="J80" s="104">
        <f t="shared" si="32"/>
        <v>0.35109594756962059</v>
      </c>
      <c r="K80" s="104">
        <f t="shared" si="32"/>
        <v>0.64890405243037941</v>
      </c>
      <c r="L80" s="104">
        <f t="shared" si="32"/>
        <v>0.24918611815455172</v>
      </c>
      <c r="M80" s="104">
        <f t="shared" si="32"/>
        <v>8.6042845412311969E-2</v>
      </c>
      <c r="N80" s="104">
        <f t="shared" si="32"/>
        <v>11.701111111111114</v>
      </c>
      <c r="O80" s="104">
        <f t="shared" si="32"/>
        <v>17.222222222222221</v>
      </c>
      <c r="P80" s="104"/>
    </row>
    <row r="81" spans="2:21" x14ac:dyDescent="0.35">
      <c r="F81" s="335"/>
      <c r="G81" s="104" t="s">
        <v>20</v>
      </c>
      <c r="H81" s="104">
        <f>AVERAGE(H61,H69)</f>
        <v>2.9999999999999858</v>
      </c>
      <c r="I81" s="104">
        <f t="shared" ref="I81:O81" si="33">AVERAGE(I61,I69)</f>
        <v>12.135000000000005</v>
      </c>
      <c r="J81" s="104">
        <f t="shared" si="33"/>
        <v>0.19891320484494851</v>
      </c>
      <c r="K81" s="104">
        <f t="shared" si="33"/>
        <v>0.80108679515505155</v>
      </c>
      <c r="L81" s="104">
        <f t="shared" si="33"/>
        <v>0.35252643948296492</v>
      </c>
      <c r="M81" s="104">
        <f t="shared" si="33"/>
        <v>6.6085354245443706E-2</v>
      </c>
      <c r="N81" s="104">
        <f t="shared" si="33"/>
        <v>15.134999999999991</v>
      </c>
      <c r="O81" s="104">
        <f t="shared" si="33"/>
        <v>15.5</v>
      </c>
      <c r="P81" s="104"/>
    </row>
    <row r="85" spans="2:21" ht="18.5" x14ac:dyDescent="0.45">
      <c r="F85" s="1" t="s">
        <v>67</v>
      </c>
      <c r="G85" s="3"/>
      <c r="H85" s="3"/>
      <c r="I85" s="3"/>
      <c r="J85" s="3"/>
      <c r="K85" s="3"/>
      <c r="L85" s="3"/>
      <c r="M85" s="3"/>
      <c r="N85" s="3"/>
      <c r="O85" s="3"/>
      <c r="P85" s="3"/>
      <c r="Q85" s="3"/>
    </row>
    <row r="86" spans="2:21" ht="16" thickBot="1" x14ac:dyDescent="0.4">
      <c r="F86" s="9" t="s">
        <v>1</v>
      </c>
      <c r="G86" s="9" t="s">
        <v>2</v>
      </c>
      <c r="H86" s="9" t="s">
        <v>3</v>
      </c>
      <c r="I86" s="9" t="s">
        <v>4</v>
      </c>
      <c r="J86" s="9" t="s">
        <v>5</v>
      </c>
      <c r="K86" s="9" t="s">
        <v>6</v>
      </c>
      <c r="L86" s="9" t="s">
        <v>7</v>
      </c>
      <c r="M86" s="9" t="s">
        <v>8</v>
      </c>
      <c r="N86" s="9" t="s">
        <v>9</v>
      </c>
      <c r="O86" s="9" t="s">
        <v>10</v>
      </c>
      <c r="P86" s="5"/>
      <c r="Q86" s="5"/>
      <c r="R86" s="9" t="s">
        <v>11</v>
      </c>
      <c r="S86" s="9" t="s">
        <v>12</v>
      </c>
      <c r="T86" s="9" t="s">
        <v>13</v>
      </c>
      <c r="U86" s="9" t="s">
        <v>14</v>
      </c>
    </row>
    <row r="87" spans="2:21" x14ac:dyDescent="0.35">
      <c r="F87">
        <v>486.91</v>
      </c>
      <c r="G87">
        <v>496.33</v>
      </c>
      <c r="H87">
        <f t="shared" ref="H87:H116" si="34">G87-F87</f>
        <v>9.4199999999999591</v>
      </c>
      <c r="I87">
        <f t="shared" ref="I87:I115" si="35">F88-G87</f>
        <v>15.920000000000016</v>
      </c>
      <c r="J87">
        <f>H87/N87</f>
        <v>0.37174427782162461</v>
      </c>
      <c r="K87">
        <f>I87/N87</f>
        <v>0.62825572217837533</v>
      </c>
      <c r="L87">
        <f>1/H87</f>
        <v>0.10615711252653974</v>
      </c>
      <c r="M87">
        <f t="shared" ref="M87:M115" si="36">1/N87</f>
        <v>3.9463299131807461E-2</v>
      </c>
      <c r="N87">
        <f>H87+I87</f>
        <v>25.339999999999975</v>
      </c>
      <c r="R87">
        <v>498.55</v>
      </c>
      <c r="S87">
        <v>515.58000000000004</v>
      </c>
      <c r="T87">
        <f>S87-R87</f>
        <v>17.03000000000003</v>
      </c>
      <c r="U87">
        <f>R89-S87</f>
        <v>23.709999999999923</v>
      </c>
    </row>
    <row r="88" spans="2:21" x14ac:dyDescent="0.35">
      <c r="F88">
        <v>512.25</v>
      </c>
      <c r="G88">
        <v>521.96</v>
      </c>
      <c r="H88">
        <f t="shared" si="34"/>
        <v>9.7100000000000364</v>
      </c>
      <c r="I88">
        <f t="shared" si="35"/>
        <v>7.0899999999999181</v>
      </c>
      <c r="J88">
        <f t="shared" ref="J88:J115" si="37">H88/N88</f>
        <v>0.5779761904761942</v>
      </c>
      <c r="K88">
        <f t="shared" ref="K88:K115" si="38">I88/N88</f>
        <v>0.4220238095238058</v>
      </c>
      <c r="L88">
        <f t="shared" ref="L88:L115" si="39">1/H88</f>
        <v>0.10298661174047335</v>
      </c>
      <c r="M88">
        <f t="shared" si="36"/>
        <v>5.9523809523809687E-2</v>
      </c>
      <c r="N88">
        <f t="shared" ref="N88:N115" si="40">H88+I88</f>
        <v>16.799999999999955</v>
      </c>
    </row>
    <row r="89" spans="2:21" x14ac:dyDescent="0.35">
      <c r="F89">
        <v>529.04999999999995</v>
      </c>
      <c r="G89">
        <v>536.23</v>
      </c>
      <c r="H89">
        <f t="shared" si="34"/>
        <v>7.1800000000000637</v>
      </c>
      <c r="I89">
        <f t="shared" si="35"/>
        <v>15.970000000000027</v>
      </c>
      <c r="J89">
        <f t="shared" si="37"/>
        <v>0.31015118790496915</v>
      </c>
      <c r="K89">
        <f t="shared" si="38"/>
        <v>0.68984881209503091</v>
      </c>
      <c r="L89">
        <f t="shared" si="39"/>
        <v>0.13927576601671185</v>
      </c>
      <c r="M89">
        <f t="shared" si="36"/>
        <v>4.3196544276457714E-2</v>
      </c>
      <c r="N89">
        <f t="shared" si="40"/>
        <v>23.150000000000091</v>
      </c>
      <c r="R89">
        <v>539.29</v>
      </c>
      <c r="S89">
        <v>556.76</v>
      </c>
      <c r="T89">
        <f>S89-R89</f>
        <v>17.470000000000027</v>
      </c>
      <c r="U89">
        <f>R91-S89</f>
        <v>24.909999999999968</v>
      </c>
    </row>
    <row r="90" spans="2:21" x14ac:dyDescent="0.35">
      <c r="F90">
        <v>552.20000000000005</v>
      </c>
      <c r="G90">
        <v>563.59</v>
      </c>
      <c r="H90">
        <f t="shared" si="34"/>
        <v>11.389999999999986</v>
      </c>
      <c r="I90">
        <f t="shared" si="35"/>
        <v>7.2300000000000182</v>
      </c>
      <c r="J90">
        <f t="shared" si="37"/>
        <v>0.61170784103114839</v>
      </c>
      <c r="K90">
        <f t="shared" si="38"/>
        <v>0.38829215896885155</v>
      </c>
      <c r="L90">
        <f t="shared" si="39"/>
        <v>8.7796312554872802E-2</v>
      </c>
      <c r="M90">
        <f t="shared" si="36"/>
        <v>5.3705692803437149E-2</v>
      </c>
      <c r="N90">
        <f t="shared" si="40"/>
        <v>18.620000000000005</v>
      </c>
    </row>
    <row r="91" spans="2:21" x14ac:dyDescent="0.35">
      <c r="F91">
        <v>570.82000000000005</v>
      </c>
      <c r="G91">
        <v>578.84</v>
      </c>
      <c r="H91">
        <f t="shared" si="34"/>
        <v>8.0199999999999818</v>
      </c>
      <c r="I91">
        <f t="shared" si="35"/>
        <v>16.389999999999986</v>
      </c>
      <c r="J91">
        <f t="shared" si="37"/>
        <v>0.32855387136419467</v>
      </c>
      <c r="K91">
        <f t="shared" si="38"/>
        <v>0.67144612863580533</v>
      </c>
      <c r="L91">
        <f t="shared" si="39"/>
        <v>0.12468827930174592</v>
      </c>
      <c r="M91">
        <f t="shared" si="36"/>
        <v>4.0966816878328607E-2</v>
      </c>
      <c r="N91">
        <f t="shared" si="40"/>
        <v>24.409999999999968</v>
      </c>
      <c r="R91">
        <v>581.66999999999996</v>
      </c>
      <c r="S91">
        <v>597.82000000000005</v>
      </c>
      <c r="T91">
        <f>S91-R91</f>
        <v>16.150000000000091</v>
      </c>
      <c r="U91">
        <f>R93-S91</f>
        <v>16.919999999999959</v>
      </c>
    </row>
    <row r="92" spans="2:21" ht="16" thickBot="1" x14ac:dyDescent="0.4">
      <c r="B92" s="9" t="s">
        <v>18</v>
      </c>
      <c r="C92" s="9" t="s">
        <v>17</v>
      </c>
      <c r="D92" s="9" t="s">
        <v>20</v>
      </c>
      <c r="F92">
        <v>595.23</v>
      </c>
      <c r="G92">
        <v>604.08000000000004</v>
      </c>
      <c r="H92">
        <f t="shared" si="34"/>
        <v>8.8500000000000227</v>
      </c>
      <c r="I92">
        <f t="shared" si="35"/>
        <v>8.5399999999999636</v>
      </c>
      <c r="J92">
        <f t="shared" si="37"/>
        <v>0.50891316848763823</v>
      </c>
      <c r="K92">
        <f t="shared" si="38"/>
        <v>0.49108683151236171</v>
      </c>
      <c r="L92">
        <f t="shared" si="39"/>
        <v>0.11299435028248558</v>
      </c>
      <c r="M92">
        <f t="shared" si="36"/>
        <v>5.7504312823461808E-2</v>
      </c>
      <c r="N92">
        <f t="shared" si="40"/>
        <v>17.389999999999986</v>
      </c>
    </row>
    <row r="93" spans="2:21" x14ac:dyDescent="0.35">
      <c r="B93" s="94">
        <v>613.45000000000005</v>
      </c>
      <c r="C93" s="95">
        <v>619.36</v>
      </c>
      <c r="D93" s="96">
        <f>C93-B93</f>
        <v>5.9099999999999682</v>
      </c>
      <c r="F93" s="10">
        <v>612.62</v>
      </c>
      <c r="G93" s="11">
        <v>614.87</v>
      </c>
      <c r="H93" s="11">
        <f t="shared" si="34"/>
        <v>2.25</v>
      </c>
      <c r="I93" s="12">
        <f t="shared" si="35"/>
        <v>13.259999999999991</v>
      </c>
      <c r="J93" s="11">
        <f t="shared" si="37"/>
        <v>0.14506769825918769</v>
      </c>
      <c r="K93" s="11">
        <f t="shared" si="38"/>
        <v>0.85493230174081225</v>
      </c>
      <c r="L93" s="11">
        <f t="shared" si="39"/>
        <v>0.44444444444444442</v>
      </c>
      <c r="M93" s="11">
        <f t="shared" si="36"/>
        <v>6.4474532559638975E-2</v>
      </c>
      <c r="N93" s="12">
        <f t="shared" si="40"/>
        <v>15.509999999999991</v>
      </c>
      <c r="R93">
        <v>614.74</v>
      </c>
      <c r="S93">
        <v>654.30999999999995</v>
      </c>
      <c r="T93">
        <f>S93-R93</f>
        <v>39.569999999999936</v>
      </c>
      <c r="U93">
        <f>R97-S93</f>
        <v>16.790000000000077</v>
      </c>
    </row>
    <row r="94" spans="2:21" x14ac:dyDescent="0.35">
      <c r="B94" s="10">
        <v>629.52</v>
      </c>
      <c r="C94" s="11">
        <v>633.01</v>
      </c>
      <c r="D94" s="12">
        <f t="shared" ref="D94:D103" si="41">C94-B94</f>
        <v>3.4900000000000091</v>
      </c>
      <c r="F94" s="10">
        <v>628.13</v>
      </c>
      <c r="G94" s="11">
        <v>630.05999999999995</v>
      </c>
      <c r="H94" s="11">
        <f t="shared" si="34"/>
        <v>1.92999999999995</v>
      </c>
      <c r="I94" s="12">
        <f t="shared" si="35"/>
        <v>11.030000000000086</v>
      </c>
      <c r="J94" s="11">
        <f t="shared" si="37"/>
        <v>0.14891975308641547</v>
      </c>
      <c r="K94" s="11">
        <f t="shared" si="38"/>
        <v>0.85108024691358453</v>
      </c>
      <c r="L94" s="11">
        <f t="shared" si="39"/>
        <v>0.51813471502592012</v>
      </c>
      <c r="M94" s="11">
        <f t="shared" si="36"/>
        <v>7.7160493827160281E-2</v>
      </c>
      <c r="N94" s="12">
        <f t="shared" si="40"/>
        <v>12.960000000000036</v>
      </c>
    </row>
    <row r="95" spans="2:21" x14ac:dyDescent="0.35">
      <c r="B95" s="10">
        <v>641.66</v>
      </c>
      <c r="C95" s="11">
        <v>644.82000000000005</v>
      </c>
      <c r="D95" s="12">
        <f t="shared" si="41"/>
        <v>3.1600000000000819</v>
      </c>
      <c r="F95" s="94">
        <v>641.09</v>
      </c>
      <c r="G95" s="95">
        <v>643.61</v>
      </c>
      <c r="H95" s="95">
        <f t="shared" si="34"/>
        <v>2.5199999999999818</v>
      </c>
      <c r="I95" s="96">
        <f t="shared" si="35"/>
        <v>9.3400000000000318</v>
      </c>
      <c r="J95" s="95">
        <f t="shared" si="37"/>
        <v>0.2124789207419881</v>
      </c>
      <c r="K95" s="95">
        <f t="shared" si="38"/>
        <v>0.78752107925801185</v>
      </c>
      <c r="L95" s="95">
        <f t="shared" si="39"/>
        <v>0.39682539682539969</v>
      </c>
      <c r="M95" s="95">
        <f t="shared" si="36"/>
        <v>8.4317032040472084E-2</v>
      </c>
      <c r="N95" s="96">
        <f t="shared" si="40"/>
        <v>11.860000000000014</v>
      </c>
    </row>
    <row r="96" spans="2:21" x14ac:dyDescent="0.35">
      <c r="F96">
        <v>652.95000000000005</v>
      </c>
      <c r="G96">
        <v>660.7</v>
      </c>
      <c r="H96">
        <f t="shared" si="34"/>
        <v>7.75</v>
      </c>
      <c r="I96">
        <f t="shared" si="35"/>
        <v>7.8099999999999454</v>
      </c>
      <c r="J96">
        <f t="shared" si="37"/>
        <v>0.49807197943444903</v>
      </c>
      <c r="K96">
        <f t="shared" si="38"/>
        <v>0.50192802056555097</v>
      </c>
      <c r="L96">
        <f t="shared" si="39"/>
        <v>0.12903225806451613</v>
      </c>
      <c r="M96">
        <f t="shared" si="36"/>
        <v>6.4267352185090193E-2</v>
      </c>
      <c r="N96">
        <f t="shared" si="40"/>
        <v>15.559999999999945</v>
      </c>
    </row>
    <row r="97" spans="2:21" x14ac:dyDescent="0.35">
      <c r="B97" s="10">
        <v>669.09</v>
      </c>
      <c r="C97" s="11">
        <v>672.54</v>
      </c>
      <c r="D97" s="12">
        <f t="shared" si="41"/>
        <v>3.4499999999999318</v>
      </c>
      <c r="F97" s="10">
        <v>668.51</v>
      </c>
      <c r="G97" s="11">
        <v>669.5</v>
      </c>
      <c r="H97" s="11">
        <f t="shared" si="34"/>
        <v>0.99000000000000909</v>
      </c>
      <c r="I97" s="12">
        <f t="shared" si="35"/>
        <v>14.230000000000018</v>
      </c>
      <c r="J97" s="11">
        <f t="shared" si="37"/>
        <v>6.5045992115637802E-2</v>
      </c>
      <c r="K97" s="11">
        <f t="shared" si="38"/>
        <v>0.93495400788436223</v>
      </c>
      <c r="L97" s="11">
        <f t="shared" si="39"/>
        <v>1.0101010101010008</v>
      </c>
      <c r="M97" s="11">
        <f t="shared" si="36"/>
        <v>6.5703022339027473E-2</v>
      </c>
      <c r="N97" s="12">
        <f t="shared" si="40"/>
        <v>15.220000000000027</v>
      </c>
      <c r="R97">
        <v>671.1</v>
      </c>
      <c r="S97">
        <v>696.1</v>
      </c>
      <c r="T97">
        <f>S97-R97</f>
        <v>25</v>
      </c>
      <c r="U97">
        <f>R100-S97</f>
        <v>19.649999999999977</v>
      </c>
    </row>
    <row r="98" spans="2:21" x14ac:dyDescent="0.35">
      <c r="B98" s="10">
        <v>684.67</v>
      </c>
      <c r="C98" s="11">
        <v>687.81</v>
      </c>
      <c r="D98" s="12">
        <f t="shared" si="41"/>
        <v>3.1399999999999864</v>
      </c>
      <c r="F98" s="107">
        <v>683.73</v>
      </c>
      <c r="G98" s="108">
        <v>685.93</v>
      </c>
      <c r="H98" s="108">
        <f t="shared" si="34"/>
        <v>2.1999999999999318</v>
      </c>
      <c r="I98" s="109">
        <f t="shared" si="35"/>
        <v>9.6900000000000546</v>
      </c>
      <c r="J98" s="108">
        <f t="shared" si="37"/>
        <v>0.18502943650125603</v>
      </c>
      <c r="K98" s="108">
        <f t="shared" si="38"/>
        <v>0.81497056349874397</v>
      </c>
      <c r="L98" s="108">
        <f t="shared" si="39"/>
        <v>0.45454545454546863</v>
      </c>
      <c r="M98" s="108">
        <f t="shared" si="36"/>
        <v>8.4104289318755354E-2</v>
      </c>
      <c r="N98" s="109">
        <f t="shared" si="40"/>
        <v>11.889999999999986</v>
      </c>
    </row>
    <row r="99" spans="2:21" x14ac:dyDescent="0.35">
      <c r="F99">
        <v>695.62</v>
      </c>
      <c r="G99">
        <v>705.26</v>
      </c>
      <c r="H99">
        <f t="shared" si="34"/>
        <v>9.6399999999999864</v>
      </c>
      <c r="I99">
        <f t="shared" si="35"/>
        <v>7.0800000000000409</v>
      </c>
      <c r="J99">
        <f t="shared" si="37"/>
        <v>0.57655502392344327</v>
      </c>
      <c r="K99">
        <f t="shared" si="38"/>
        <v>0.42344497607655679</v>
      </c>
      <c r="L99">
        <f t="shared" si="39"/>
        <v>0.10373443983402504</v>
      </c>
      <c r="M99">
        <f t="shared" si="36"/>
        <v>5.980861244019129E-2</v>
      </c>
      <c r="N99">
        <f t="shared" si="40"/>
        <v>16.720000000000027</v>
      </c>
    </row>
    <row r="100" spans="2:21" x14ac:dyDescent="0.35">
      <c r="B100" s="10">
        <v>713.01</v>
      </c>
      <c r="C100" s="11">
        <v>715.87</v>
      </c>
      <c r="D100" s="12">
        <f t="shared" si="41"/>
        <v>2.8600000000000136</v>
      </c>
      <c r="F100" s="10">
        <v>712.34</v>
      </c>
      <c r="G100" s="11">
        <v>715.54</v>
      </c>
      <c r="H100" s="11">
        <f t="shared" si="34"/>
        <v>3.1999999999999318</v>
      </c>
      <c r="I100" s="12">
        <f t="shared" si="35"/>
        <v>12.050000000000068</v>
      </c>
      <c r="J100" s="11">
        <f t="shared" si="37"/>
        <v>0.20983606557376602</v>
      </c>
      <c r="K100" s="11">
        <f t="shared" si="38"/>
        <v>0.790163934426234</v>
      </c>
      <c r="L100" s="11">
        <f t="shared" si="39"/>
        <v>0.31250000000000666</v>
      </c>
      <c r="M100" s="11">
        <f t="shared" si="36"/>
        <v>6.5573770491803282E-2</v>
      </c>
      <c r="N100" s="12">
        <f t="shared" si="40"/>
        <v>15.25</v>
      </c>
      <c r="R100">
        <v>715.75</v>
      </c>
      <c r="S100">
        <v>731.62</v>
      </c>
      <c r="T100">
        <f>S100-R100</f>
        <v>15.870000000000005</v>
      </c>
      <c r="U100">
        <f>R102-S100</f>
        <v>17.42999999999995</v>
      </c>
    </row>
    <row r="101" spans="2:21" x14ac:dyDescent="0.35">
      <c r="F101">
        <v>727.59</v>
      </c>
      <c r="G101">
        <v>737.21</v>
      </c>
      <c r="H101">
        <f t="shared" si="34"/>
        <v>9.6200000000000045</v>
      </c>
      <c r="I101">
        <f t="shared" si="35"/>
        <v>7.9599999999999227</v>
      </c>
      <c r="J101">
        <f t="shared" si="37"/>
        <v>0.54721274175199341</v>
      </c>
      <c r="K101">
        <f t="shared" si="38"/>
        <v>0.45278725824800659</v>
      </c>
      <c r="L101">
        <f t="shared" si="39"/>
        <v>0.1039501039501039</v>
      </c>
      <c r="M101">
        <f t="shared" si="36"/>
        <v>5.6882821387941075E-2</v>
      </c>
      <c r="N101">
        <f t="shared" si="40"/>
        <v>17.579999999999927</v>
      </c>
    </row>
    <row r="102" spans="2:21" x14ac:dyDescent="0.35">
      <c r="B102" s="10">
        <v>745.93</v>
      </c>
      <c r="C102" s="11">
        <v>750.22</v>
      </c>
      <c r="D102" s="12">
        <f t="shared" si="41"/>
        <v>4.2900000000000773</v>
      </c>
      <c r="F102" s="10">
        <v>745.17</v>
      </c>
      <c r="G102" s="11">
        <v>748.91</v>
      </c>
      <c r="H102" s="11">
        <f t="shared" si="34"/>
        <v>3.7400000000000091</v>
      </c>
      <c r="I102" s="12">
        <f t="shared" si="35"/>
        <v>12.170000000000073</v>
      </c>
      <c r="J102" s="11">
        <f t="shared" si="37"/>
        <v>0.23507228158390886</v>
      </c>
      <c r="K102" s="11">
        <f t="shared" si="38"/>
        <v>0.7649277184160912</v>
      </c>
      <c r="L102" s="11">
        <f t="shared" si="39"/>
        <v>0.26737967914438437</v>
      </c>
      <c r="M102" s="11">
        <f t="shared" si="36"/>
        <v>6.2853551225643928E-2</v>
      </c>
      <c r="N102" s="12">
        <f t="shared" si="40"/>
        <v>15.910000000000082</v>
      </c>
      <c r="R102">
        <v>749.05</v>
      </c>
      <c r="S102">
        <v>763.64</v>
      </c>
      <c r="T102">
        <f>S102-R102</f>
        <v>14.590000000000032</v>
      </c>
      <c r="U102">
        <f>R104-S102</f>
        <v>27.590000000000032</v>
      </c>
    </row>
    <row r="103" spans="2:21" x14ac:dyDescent="0.35">
      <c r="B103" s="15">
        <v>761.67</v>
      </c>
      <c r="C103" s="16">
        <v>762.1</v>
      </c>
      <c r="D103" s="17">
        <f t="shared" si="41"/>
        <v>0.43000000000006366</v>
      </c>
      <c r="F103" s="77">
        <v>761.08</v>
      </c>
      <c r="G103" s="78">
        <v>770.74</v>
      </c>
      <c r="H103" s="78">
        <f t="shared" si="34"/>
        <v>9.6599999999999682</v>
      </c>
      <c r="I103" s="79">
        <f t="shared" si="35"/>
        <v>8.2599999999999909</v>
      </c>
      <c r="J103">
        <f t="shared" si="37"/>
        <v>0.53906249999999944</v>
      </c>
      <c r="K103">
        <f t="shared" si="38"/>
        <v>0.46093750000000056</v>
      </c>
      <c r="L103">
        <f t="shared" si="39"/>
        <v>0.10351966873706038</v>
      </c>
      <c r="M103">
        <f t="shared" si="36"/>
        <v>5.5803571428571556E-2</v>
      </c>
      <c r="N103">
        <f t="shared" si="40"/>
        <v>17.919999999999959</v>
      </c>
    </row>
    <row r="104" spans="2:21" x14ac:dyDescent="0.35">
      <c r="F104">
        <v>779</v>
      </c>
      <c r="G104">
        <v>787.51</v>
      </c>
      <c r="H104">
        <f t="shared" si="34"/>
        <v>8.5099999999999909</v>
      </c>
      <c r="I104">
        <f t="shared" si="35"/>
        <v>14.700000000000045</v>
      </c>
      <c r="J104">
        <f t="shared" si="37"/>
        <v>0.36665230504092966</v>
      </c>
      <c r="K104">
        <f t="shared" si="38"/>
        <v>0.63334769495907028</v>
      </c>
      <c r="L104">
        <f t="shared" si="39"/>
        <v>0.1175088131609872</v>
      </c>
      <c r="M104">
        <f t="shared" si="36"/>
        <v>4.3084877208099892E-2</v>
      </c>
      <c r="N104">
        <f t="shared" si="40"/>
        <v>23.210000000000036</v>
      </c>
      <c r="R104">
        <v>791.23</v>
      </c>
      <c r="S104">
        <v>807.67</v>
      </c>
      <c r="T104">
        <f>S104-R104</f>
        <v>16.439999999999941</v>
      </c>
      <c r="U104">
        <f>R106-S104</f>
        <v>17.410000000000082</v>
      </c>
    </row>
    <row r="105" spans="2:21" x14ac:dyDescent="0.35">
      <c r="F105">
        <v>802.21</v>
      </c>
      <c r="G105">
        <v>813.06</v>
      </c>
      <c r="H105">
        <f t="shared" si="34"/>
        <v>10.849999999999909</v>
      </c>
      <c r="I105">
        <f t="shared" si="35"/>
        <v>8.9800000000000182</v>
      </c>
      <c r="J105">
        <f t="shared" si="37"/>
        <v>0.54715078164397124</v>
      </c>
      <c r="K105">
        <f t="shared" si="38"/>
        <v>0.45284921835602882</v>
      </c>
      <c r="L105">
        <f t="shared" si="39"/>
        <v>9.2165898617512287E-2</v>
      </c>
      <c r="M105">
        <f t="shared" si="36"/>
        <v>5.0428643469490858E-2</v>
      </c>
      <c r="N105">
        <f t="shared" si="40"/>
        <v>19.829999999999927</v>
      </c>
    </row>
    <row r="106" spans="2:21" x14ac:dyDescent="0.35">
      <c r="B106" s="10">
        <v>822.7</v>
      </c>
      <c r="C106" s="11">
        <v>826.15</v>
      </c>
      <c r="D106" s="12">
        <f t="shared" ref="D106:D116" si="42">C106-B106</f>
        <v>3.4499999999999318</v>
      </c>
      <c r="F106" s="10">
        <v>822.04</v>
      </c>
      <c r="G106" s="11">
        <v>825.24</v>
      </c>
      <c r="H106" s="11">
        <f t="shared" si="34"/>
        <v>3.2000000000000455</v>
      </c>
      <c r="I106" s="12">
        <f t="shared" si="35"/>
        <v>12.889999999999986</v>
      </c>
      <c r="J106" s="11">
        <f t="shared" si="37"/>
        <v>0.19888129272840516</v>
      </c>
      <c r="K106" s="11">
        <f t="shared" si="38"/>
        <v>0.80111870727159484</v>
      </c>
      <c r="L106" s="11">
        <f t="shared" si="39"/>
        <v>0.31249999999999556</v>
      </c>
      <c r="M106" s="11">
        <f t="shared" si="36"/>
        <v>6.215040397762573E-2</v>
      </c>
      <c r="N106" s="12">
        <f t="shared" si="40"/>
        <v>16.090000000000032</v>
      </c>
      <c r="R106">
        <v>825.08</v>
      </c>
      <c r="S106">
        <v>841.67</v>
      </c>
      <c r="T106">
        <f>S106-R106</f>
        <v>16.589999999999918</v>
      </c>
      <c r="U106">
        <f>R108-S106</f>
        <v>17.800000000000068</v>
      </c>
    </row>
    <row r="107" spans="2:21" x14ac:dyDescent="0.35">
      <c r="F107">
        <v>838.13</v>
      </c>
      <c r="G107">
        <v>847.09</v>
      </c>
      <c r="H107">
        <f t="shared" si="34"/>
        <v>8.9600000000000364</v>
      </c>
      <c r="I107">
        <f t="shared" si="35"/>
        <v>9.8399999999999181</v>
      </c>
      <c r="J107">
        <f t="shared" si="37"/>
        <v>0.47659574468085414</v>
      </c>
      <c r="K107">
        <f t="shared" si="38"/>
        <v>0.52340425531914581</v>
      </c>
      <c r="L107">
        <f t="shared" si="39"/>
        <v>0.11160714285714241</v>
      </c>
      <c r="M107">
        <f t="shared" si="36"/>
        <v>5.3191489361702253E-2</v>
      </c>
      <c r="N107">
        <f t="shared" si="40"/>
        <v>18.799999999999955</v>
      </c>
    </row>
    <row r="108" spans="2:21" x14ac:dyDescent="0.35">
      <c r="B108" s="10">
        <v>857.54</v>
      </c>
      <c r="C108" s="11">
        <v>861.11</v>
      </c>
      <c r="D108" s="12">
        <f t="shared" si="42"/>
        <v>3.57000000000005</v>
      </c>
      <c r="F108" s="10">
        <v>856.93</v>
      </c>
      <c r="G108" s="11">
        <v>859.63</v>
      </c>
      <c r="H108" s="11">
        <f t="shared" si="34"/>
        <v>2.7000000000000455</v>
      </c>
      <c r="I108" s="12">
        <f t="shared" si="35"/>
        <v>11.490000000000009</v>
      </c>
      <c r="J108" s="11">
        <f t="shared" si="37"/>
        <v>0.1902748414376346</v>
      </c>
      <c r="K108" s="11">
        <f t="shared" si="38"/>
        <v>0.80972515856236538</v>
      </c>
      <c r="L108" s="11">
        <f t="shared" si="39"/>
        <v>0.37037037037036413</v>
      </c>
      <c r="M108" s="11">
        <f t="shared" si="36"/>
        <v>7.0472163495419043E-2</v>
      </c>
      <c r="N108" s="12">
        <f t="shared" si="40"/>
        <v>14.190000000000055</v>
      </c>
      <c r="R108">
        <v>859.47</v>
      </c>
      <c r="S108">
        <v>874.32</v>
      </c>
      <c r="T108">
        <f>S108-R108</f>
        <v>14.850000000000023</v>
      </c>
      <c r="U108">
        <f>R110-S108</f>
        <v>18.569999999999936</v>
      </c>
    </row>
    <row r="109" spans="2:21" x14ac:dyDescent="0.35">
      <c r="F109">
        <v>871.12</v>
      </c>
      <c r="G109">
        <v>881.46</v>
      </c>
      <c r="H109">
        <f t="shared" si="34"/>
        <v>10.340000000000032</v>
      </c>
      <c r="I109">
        <f t="shared" si="35"/>
        <v>7.2999999999999545</v>
      </c>
      <c r="J109">
        <f t="shared" si="37"/>
        <v>0.58616780045351702</v>
      </c>
      <c r="K109">
        <f t="shared" si="38"/>
        <v>0.41383219954648298</v>
      </c>
      <c r="L109">
        <f t="shared" si="39"/>
        <v>9.6711798839458116E-2</v>
      </c>
      <c r="M109">
        <f t="shared" si="36"/>
        <v>5.6689342403628162E-2</v>
      </c>
      <c r="N109">
        <f t="shared" si="40"/>
        <v>17.639999999999986</v>
      </c>
    </row>
    <row r="110" spans="2:21" x14ac:dyDescent="0.35">
      <c r="B110" s="10">
        <v>889.87</v>
      </c>
      <c r="C110" s="11">
        <v>893.84</v>
      </c>
      <c r="D110" s="12">
        <f t="shared" si="42"/>
        <v>3.9700000000000273</v>
      </c>
      <c r="F110" s="10">
        <v>888.76</v>
      </c>
      <c r="G110" s="11">
        <v>892.79</v>
      </c>
      <c r="H110" s="11">
        <f t="shared" si="34"/>
        <v>4.0299999999999727</v>
      </c>
      <c r="I110" s="12">
        <f t="shared" si="35"/>
        <v>12.350000000000023</v>
      </c>
      <c r="J110" s="11">
        <f t="shared" si="37"/>
        <v>0.24603174603174444</v>
      </c>
      <c r="K110" s="11">
        <f t="shared" si="38"/>
        <v>0.75396825396825562</v>
      </c>
      <c r="L110" s="11">
        <f t="shared" si="39"/>
        <v>0.24813895781637885</v>
      </c>
      <c r="M110" s="11">
        <f t="shared" si="36"/>
        <v>6.1050061050061069E-2</v>
      </c>
      <c r="N110" s="12">
        <f t="shared" si="40"/>
        <v>16.379999999999995</v>
      </c>
      <c r="R110">
        <v>892.89</v>
      </c>
      <c r="S110">
        <v>908.25</v>
      </c>
      <c r="T110">
        <f>S110-R110</f>
        <v>15.360000000000014</v>
      </c>
      <c r="U110">
        <f>R112-S110</f>
        <v>16.909999999999968</v>
      </c>
    </row>
    <row r="111" spans="2:21" x14ac:dyDescent="0.35">
      <c r="F111">
        <v>905.14</v>
      </c>
      <c r="G111">
        <v>914.97</v>
      </c>
      <c r="H111">
        <f t="shared" si="34"/>
        <v>9.8300000000000409</v>
      </c>
      <c r="I111">
        <f t="shared" si="35"/>
        <v>7.1599999999999682</v>
      </c>
      <c r="J111">
        <f t="shared" si="37"/>
        <v>0.57857563272513457</v>
      </c>
      <c r="K111">
        <f t="shared" si="38"/>
        <v>0.42142436727486549</v>
      </c>
      <c r="L111">
        <f t="shared" si="39"/>
        <v>0.10172939979654078</v>
      </c>
      <c r="M111">
        <f t="shared" si="36"/>
        <v>5.8858151854031752E-2</v>
      </c>
      <c r="N111">
        <f t="shared" si="40"/>
        <v>16.990000000000009</v>
      </c>
    </row>
    <row r="112" spans="2:21" x14ac:dyDescent="0.35">
      <c r="B112" s="10">
        <v>922.92</v>
      </c>
      <c r="C112" s="11">
        <v>925.93</v>
      </c>
      <c r="D112" s="12">
        <f t="shared" si="42"/>
        <v>3.0099999999999909</v>
      </c>
      <c r="F112" s="10">
        <v>922.13</v>
      </c>
      <c r="G112" s="11">
        <v>925.3</v>
      </c>
      <c r="H112" s="11">
        <f t="shared" si="34"/>
        <v>3.1699999999999591</v>
      </c>
      <c r="I112" s="12">
        <f t="shared" si="35"/>
        <v>11.879999999999995</v>
      </c>
      <c r="J112" s="11">
        <f t="shared" si="37"/>
        <v>0.21063122923587832</v>
      </c>
      <c r="K112" s="11">
        <f t="shared" si="38"/>
        <v>0.78936877076412171</v>
      </c>
      <c r="L112" s="11">
        <f t="shared" si="39"/>
        <v>0.31545741324921545</v>
      </c>
      <c r="M112" s="11">
        <f t="shared" si="36"/>
        <v>6.6445182724252691E-2</v>
      </c>
      <c r="N112" s="12">
        <f t="shared" si="40"/>
        <v>15.049999999999955</v>
      </c>
      <c r="R112">
        <v>925.16</v>
      </c>
      <c r="S112">
        <v>940.06</v>
      </c>
      <c r="T112">
        <f>S112-R112</f>
        <v>14.899999999999977</v>
      </c>
      <c r="U112">
        <f>R114-S112</f>
        <v>18.110000000000014</v>
      </c>
    </row>
    <row r="113" spans="2:21" x14ac:dyDescent="0.35">
      <c r="F113">
        <v>937.18</v>
      </c>
      <c r="G113">
        <v>947.68</v>
      </c>
      <c r="H113">
        <f t="shared" si="34"/>
        <v>10.5</v>
      </c>
      <c r="I113">
        <f t="shared" si="35"/>
        <v>7.2400000000000091</v>
      </c>
      <c r="J113">
        <f t="shared" si="37"/>
        <v>0.59188275084554653</v>
      </c>
      <c r="K113">
        <f t="shared" si="38"/>
        <v>0.40811724915445352</v>
      </c>
      <c r="L113">
        <f t="shared" si="39"/>
        <v>9.5238095238095233E-2</v>
      </c>
      <c r="M113">
        <f t="shared" si="36"/>
        <v>5.6369785794813949E-2</v>
      </c>
      <c r="N113">
        <f t="shared" si="40"/>
        <v>17.740000000000009</v>
      </c>
    </row>
    <row r="114" spans="2:21" x14ac:dyDescent="0.35">
      <c r="B114" s="10">
        <v>955.82</v>
      </c>
      <c r="C114" s="11">
        <v>959.25</v>
      </c>
      <c r="D114" s="12">
        <f t="shared" si="42"/>
        <v>3.42999999999995</v>
      </c>
      <c r="F114" s="10">
        <v>954.92</v>
      </c>
      <c r="G114" s="11">
        <v>958.3</v>
      </c>
      <c r="H114" s="11">
        <f t="shared" si="34"/>
        <v>3.3799999999999955</v>
      </c>
      <c r="I114" s="12">
        <f t="shared" si="35"/>
        <v>11.8900000000001</v>
      </c>
      <c r="J114" s="11">
        <f t="shared" si="37"/>
        <v>0.22134905042566957</v>
      </c>
      <c r="K114" s="11">
        <f t="shared" si="38"/>
        <v>0.77865094957433045</v>
      </c>
      <c r="L114" s="11">
        <f t="shared" si="39"/>
        <v>0.29585798816568087</v>
      </c>
      <c r="M114" s="11">
        <f t="shared" si="36"/>
        <v>6.5487884741322444E-2</v>
      </c>
      <c r="N114" s="12">
        <f t="shared" si="40"/>
        <v>15.270000000000095</v>
      </c>
      <c r="R114">
        <v>958.17</v>
      </c>
      <c r="S114">
        <v>973.76</v>
      </c>
      <c r="T114">
        <f>S114-R114</f>
        <v>15.590000000000032</v>
      </c>
      <c r="U114">
        <f>R116-S114</f>
        <v>17.899999999999977</v>
      </c>
    </row>
    <row r="115" spans="2:21" x14ac:dyDescent="0.35">
      <c r="F115">
        <v>970.19</v>
      </c>
      <c r="G115">
        <v>980.85</v>
      </c>
      <c r="H115">
        <f t="shared" si="34"/>
        <v>10.659999999999968</v>
      </c>
      <c r="I115">
        <f t="shared" si="35"/>
        <v>7.9599999999999227</v>
      </c>
      <c r="J115">
        <f t="shared" si="37"/>
        <v>0.57250268528464177</v>
      </c>
      <c r="K115">
        <f t="shared" si="38"/>
        <v>0.42749731471535818</v>
      </c>
      <c r="L115">
        <f t="shared" si="39"/>
        <v>9.3808630393996534E-2</v>
      </c>
      <c r="M115">
        <f t="shared" si="36"/>
        <v>5.3705692803437483E-2</v>
      </c>
      <c r="N115">
        <f t="shared" si="40"/>
        <v>18.619999999999891</v>
      </c>
    </row>
    <row r="116" spans="2:21" x14ac:dyDescent="0.35">
      <c r="B116" s="10">
        <v>989.7</v>
      </c>
      <c r="C116" s="11">
        <v>992.7</v>
      </c>
      <c r="D116" s="12">
        <f t="shared" si="42"/>
        <v>3</v>
      </c>
      <c r="F116" s="10">
        <v>988.81</v>
      </c>
      <c r="G116" s="11">
        <v>991.51</v>
      </c>
      <c r="H116" s="11">
        <f t="shared" si="34"/>
        <v>2.7000000000000455</v>
      </c>
      <c r="I116" s="12"/>
      <c r="R116">
        <v>991.66</v>
      </c>
      <c r="S116">
        <v>1004.41</v>
      </c>
      <c r="T116">
        <f>S116-R116</f>
        <v>12.75</v>
      </c>
    </row>
    <row r="117" spans="2:21" x14ac:dyDescent="0.35">
      <c r="G117" s="104" t="s">
        <v>76</v>
      </c>
      <c r="H117" s="104">
        <f>AVERAGE(H87:H92)</f>
        <v>9.0950000000000077</v>
      </c>
      <c r="I117" s="104">
        <f t="shared" ref="I117:N117" si="43">AVERAGE(I87:I92)</f>
        <v>11.856666666666655</v>
      </c>
      <c r="J117" s="104">
        <f t="shared" si="43"/>
        <v>0.45150775618096151</v>
      </c>
      <c r="K117" s="104">
        <f t="shared" si="43"/>
        <v>0.54849224381903849</v>
      </c>
      <c r="L117" s="104">
        <f t="shared" si="43"/>
        <v>0.11231640540380489</v>
      </c>
      <c r="M117" s="104">
        <f t="shared" si="43"/>
        <v>4.9060079239550407E-2</v>
      </c>
      <c r="N117" s="104">
        <f t="shared" si="43"/>
        <v>20.951666666666664</v>
      </c>
    </row>
    <row r="118" spans="2:21" x14ac:dyDescent="0.35">
      <c r="G118" s="104" t="s">
        <v>20</v>
      </c>
      <c r="H118" s="49">
        <f>AVERAGE(H93:H95,H97:H98,H100,H102,H106,H108,H110,H112,H114)</f>
        <v>2.7758333333333192</v>
      </c>
      <c r="I118" s="49">
        <f t="shared" ref="I118:N118" si="44">AVERAGE(I93:I95,I97:I98,I100,I102,I106,I108,I110,I112,I114)</f>
        <v>11.85583333333337</v>
      </c>
      <c r="J118" s="49">
        <f t="shared" si="44"/>
        <v>0.18905152564345765</v>
      </c>
      <c r="K118" s="49">
        <f t="shared" si="44"/>
        <v>0.81094847435654238</v>
      </c>
      <c r="L118" s="49">
        <f t="shared" si="44"/>
        <v>0.41218795247402168</v>
      </c>
      <c r="M118" s="49">
        <f t="shared" si="44"/>
        <v>6.9149365649265201E-2</v>
      </c>
      <c r="N118" s="49">
        <f t="shared" si="44"/>
        <v>14.631666666666689</v>
      </c>
    </row>
    <row r="119" spans="2:21" x14ac:dyDescent="0.35">
      <c r="D119">
        <f>_xlfn.STDEV.S(H87:H92)</f>
        <v>1.4583380952303027</v>
      </c>
      <c r="G119" s="104" t="s">
        <v>78</v>
      </c>
      <c r="H119" s="104">
        <f>AVERAGE(H96,H99,H101,H104,H105,H107,H109,H111,H113,H115)</f>
        <v>9.6659999999999968</v>
      </c>
      <c r="I119" s="104">
        <f t="shared" ref="I119:N119" si="45">AVERAGE(I96,I99,I101,I104,I105,I107,I109,I111,I113,I115)</f>
        <v>8.6029999999999749</v>
      </c>
      <c r="J119" s="104">
        <f t="shared" si="45"/>
        <v>0.53413674457844806</v>
      </c>
      <c r="K119" s="104">
        <f t="shared" si="45"/>
        <v>0.46586325542155205</v>
      </c>
      <c r="L119" s="104">
        <f t="shared" si="45"/>
        <v>0.10454865807523776</v>
      </c>
      <c r="M119" s="104">
        <f t="shared" si="45"/>
        <v>5.5328676890842685E-2</v>
      </c>
      <c r="N119" s="104">
        <f t="shared" si="45"/>
        <v>18.26899999999997</v>
      </c>
    </row>
    <row r="120" spans="2:21" x14ac:dyDescent="0.35">
      <c r="D120">
        <f>_xlfn.STDEV.S(H93:H95,H97:H98,H100,H102,H106,H108,H110,H112,H114)</f>
        <v>0.85102567350797231</v>
      </c>
      <c r="G120" s="104"/>
    </row>
    <row r="121" spans="2:21" x14ac:dyDescent="0.35">
      <c r="G121" s="104"/>
    </row>
    <row r="122" spans="2:21" x14ac:dyDescent="0.35">
      <c r="F122" s="335" t="s">
        <v>79</v>
      </c>
      <c r="G122" s="104" t="s">
        <v>76</v>
      </c>
      <c r="H122" s="104">
        <f>AVERAGE(H87,H89,H91)</f>
        <v>8.2066666666666688</v>
      </c>
      <c r="I122" s="104">
        <f t="shared" ref="I122:N122" si="46">AVERAGE(I87,I89,I91)</f>
        <v>16.093333333333344</v>
      </c>
      <c r="J122" s="104">
        <f t="shared" si="46"/>
        <v>0.33681644569692953</v>
      </c>
      <c r="K122" s="104">
        <f t="shared" si="46"/>
        <v>0.66318355430307052</v>
      </c>
      <c r="L122" s="104">
        <f t="shared" si="46"/>
        <v>0.12337371928166584</v>
      </c>
      <c r="M122" s="104">
        <f t="shared" si="46"/>
        <v>4.120888676219793E-2</v>
      </c>
      <c r="N122" s="104">
        <f t="shared" si="46"/>
        <v>24.300000000000011</v>
      </c>
    </row>
    <row r="123" spans="2:21" x14ac:dyDescent="0.35">
      <c r="F123" s="335"/>
      <c r="G123" s="104" t="s">
        <v>20</v>
      </c>
      <c r="H123" s="104">
        <f>AVERAGE(H93,H97,H100,H102,H106,H108,H110,H112,H114)</f>
        <v>2.9622222222222185</v>
      </c>
      <c r="I123" s="104">
        <f t="shared" ref="I123:N123" si="47">AVERAGE(I93,I97,I100,I102,I106,I108,I110,I112,I114)</f>
        <v>12.467777777777806</v>
      </c>
      <c r="J123" s="104">
        <f t="shared" si="47"/>
        <v>0.19135446637687029</v>
      </c>
      <c r="K123" s="104">
        <f t="shared" si="47"/>
        <v>0.80864553362312963</v>
      </c>
      <c r="L123" s="104">
        <f t="shared" si="47"/>
        <v>0.39741665147683009</v>
      </c>
      <c r="M123" s="104">
        <f t="shared" si="47"/>
        <v>6.4912285844977172E-2</v>
      </c>
      <c r="N123" s="104">
        <f t="shared" si="47"/>
        <v>15.430000000000026</v>
      </c>
    </row>
    <row r="124" spans="2:21" x14ac:dyDescent="0.35">
      <c r="F124" s="335"/>
      <c r="G124" s="104" t="s">
        <v>78</v>
      </c>
    </row>
    <row r="125" spans="2:21" x14ac:dyDescent="0.35">
      <c r="G125" s="104"/>
    </row>
    <row r="126" spans="2:21" x14ac:dyDescent="0.35">
      <c r="G126" s="104"/>
    </row>
    <row r="127" spans="2:21" x14ac:dyDescent="0.35">
      <c r="F127" s="335" t="s">
        <v>83</v>
      </c>
      <c r="G127" s="104" t="s">
        <v>76</v>
      </c>
      <c r="H127" s="104">
        <f>AVERAGE(H88,H90,H92)</f>
        <v>9.9833333333333485</v>
      </c>
      <c r="I127" s="104">
        <f t="shared" ref="I127:N127" si="48">AVERAGE(I88,I90,I92)</f>
        <v>7.6199999999999664</v>
      </c>
      <c r="J127" s="104">
        <f t="shared" si="48"/>
        <v>0.56619906666499364</v>
      </c>
      <c r="K127" s="104">
        <f t="shared" si="48"/>
        <v>0.43380093333500636</v>
      </c>
      <c r="L127" s="104">
        <f t="shared" si="48"/>
        <v>0.10125909152594392</v>
      </c>
      <c r="M127" s="104">
        <f t="shared" si="48"/>
        <v>5.6911271716902884E-2</v>
      </c>
      <c r="N127" s="104">
        <f t="shared" si="48"/>
        <v>17.603333333333314</v>
      </c>
    </row>
    <row r="128" spans="2:21" x14ac:dyDescent="0.35">
      <c r="F128" s="335"/>
      <c r="G128" s="104" t="s">
        <v>20</v>
      </c>
      <c r="H128" s="104">
        <f>AVERAGE(H94:H95,H98)</f>
        <v>2.216666666666621</v>
      </c>
      <c r="I128" s="104">
        <f t="shared" ref="I128:N128" si="49">AVERAGE(I94:I95,I98)</f>
        <v>10.020000000000058</v>
      </c>
      <c r="J128" s="104">
        <f t="shared" si="49"/>
        <v>0.18214270344321984</v>
      </c>
      <c r="K128" s="104">
        <f t="shared" si="49"/>
        <v>0.81785729655678008</v>
      </c>
      <c r="L128" s="104">
        <f t="shared" si="49"/>
        <v>0.45650185546559613</v>
      </c>
      <c r="M128" s="104">
        <f t="shared" si="49"/>
        <v>8.1860605062129235E-2</v>
      </c>
      <c r="N128" s="104">
        <f t="shared" si="49"/>
        <v>12.236666666666679</v>
      </c>
    </row>
    <row r="129" spans="2:21" x14ac:dyDescent="0.35">
      <c r="F129" s="335"/>
      <c r="G129" s="104" t="s">
        <v>78</v>
      </c>
      <c r="H129" s="104">
        <f>AVERAGE(H96,H99,H101,H105,H107,H109,H111,H113,H115)</f>
        <v>9.7944444444444425</v>
      </c>
      <c r="I129" s="104">
        <f t="shared" ref="I129:N129" si="50">AVERAGE(I96,I99,I101,I105,I107,I109,I111,I113,I115)</f>
        <v>7.9255555555555226</v>
      </c>
      <c r="J129" s="104">
        <f t="shared" si="50"/>
        <v>0.55274612674928347</v>
      </c>
      <c r="K129" s="104">
        <f t="shared" si="50"/>
        <v>0.44725387325071658</v>
      </c>
      <c r="L129" s="104">
        <f t="shared" si="50"/>
        <v>0.10310864084348784</v>
      </c>
      <c r="M129" s="104">
        <f t="shared" si="50"/>
        <v>5.6689099077814116E-2</v>
      </c>
      <c r="N129" s="104">
        <f t="shared" si="50"/>
        <v>17.719999999999963</v>
      </c>
    </row>
    <row r="132" spans="2:21" ht="18.5" x14ac:dyDescent="0.45">
      <c r="F132" s="1" t="s">
        <v>69</v>
      </c>
      <c r="G132" s="3"/>
      <c r="H132" s="3"/>
      <c r="I132" s="3"/>
      <c r="J132" s="3"/>
      <c r="K132" s="3"/>
      <c r="L132" s="3"/>
      <c r="M132" s="3"/>
      <c r="N132" s="3"/>
      <c r="O132" s="3"/>
      <c r="P132" s="3"/>
    </row>
    <row r="133" spans="2:21" ht="16" thickBot="1" x14ac:dyDescent="0.4">
      <c r="F133" s="9" t="s">
        <v>1</v>
      </c>
      <c r="G133" s="9" t="s">
        <v>2</v>
      </c>
      <c r="H133" s="9" t="s">
        <v>3</v>
      </c>
      <c r="I133" s="9" t="s">
        <v>4</v>
      </c>
      <c r="J133" s="9" t="s">
        <v>5</v>
      </c>
      <c r="K133" s="9" t="s">
        <v>6</v>
      </c>
      <c r="L133" s="9" t="s">
        <v>7</v>
      </c>
      <c r="M133" s="9" t="s">
        <v>8</v>
      </c>
      <c r="N133" s="9" t="s">
        <v>9</v>
      </c>
      <c r="O133" s="9" t="s">
        <v>10</v>
      </c>
      <c r="P133" s="5"/>
      <c r="R133" s="9" t="s">
        <v>11</v>
      </c>
      <c r="S133" s="9" t="s">
        <v>12</v>
      </c>
      <c r="T133" s="9" t="s">
        <v>13</v>
      </c>
      <c r="U133" s="9" t="s">
        <v>14</v>
      </c>
    </row>
    <row r="134" spans="2:21" x14ac:dyDescent="0.35">
      <c r="F134">
        <v>206.8</v>
      </c>
      <c r="G134">
        <v>218.67</v>
      </c>
      <c r="H134">
        <f>G134-F134</f>
        <v>11.869999999999976</v>
      </c>
      <c r="I134">
        <f>F135-G134</f>
        <v>8.9800000000000182</v>
      </c>
      <c r="J134">
        <f>H134/N134</f>
        <v>0.56930455635491506</v>
      </c>
      <c r="K134">
        <f>I134/N134</f>
        <v>0.43069544364508494</v>
      </c>
      <c r="L134">
        <f>1/H134</f>
        <v>8.4245998315080201E-2</v>
      </c>
      <c r="M134">
        <f t="shared" ref="M134:M172" si="51">1/N134</f>
        <v>4.7961630695443659E-2</v>
      </c>
      <c r="N134">
        <f>H134+I134</f>
        <v>20.849999999999994</v>
      </c>
      <c r="R134">
        <v>220.3</v>
      </c>
      <c r="S134">
        <v>238.49</v>
      </c>
      <c r="T134">
        <f>S134-R134</f>
        <v>18.189999999999998</v>
      </c>
      <c r="U134">
        <f>R136-S134</f>
        <v>23.980000000000018</v>
      </c>
    </row>
    <row r="135" spans="2:21" x14ac:dyDescent="0.35">
      <c r="F135">
        <v>227.65</v>
      </c>
      <c r="G135">
        <v>243.25</v>
      </c>
      <c r="H135">
        <f t="shared" ref="H135:H173" si="52">G135-F135</f>
        <v>15.599999999999994</v>
      </c>
      <c r="I135">
        <f t="shared" ref="I135:I172" si="53">F136-G135</f>
        <v>5.7599999999999909</v>
      </c>
      <c r="J135">
        <f t="shared" ref="J135:J172" si="54">H135/N135</f>
        <v>0.73033707865168562</v>
      </c>
      <c r="K135">
        <f t="shared" ref="K135:K172" si="55">I135/N135</f>
        <v>0.26966292134831438</v>
      </c>
      <c r="L135">
        <f t="shared" ref="L135:L172" si="56">1/H135</f>
        <v>6.4102564102564125E-2</v>
      </c>
      <c r="M135">
        <f t="shared" si="51"/>
        <v>4.6816479400749095E-2</v>
      </c>
      <c r="N135">
        <f t="shared" ref="N135:N172" si="57">H135+I135</f>
        <v>21.359999999999985</v>
      </c>
    </row>
    <row r="136" spans="2:21" x14ac:dyDescent="0.35">
      <c r="F136">
        <v>249.01</v>
      </c>
      <c r="G136">
        <v>260.37</v>
      </c>
      <c r="H136">
        <f t="shared" si="52"/>
        <v>11.360000000000014</v>
      </c>
      <c r="I136">
        <f t="shared" si="53"/>
        <v>9.8000000000000114</v>
      </c>
      <c r="J136">
        <f t="shared" si="54"/>
        <v>0.53686200378071836</v>
      </c>
      <c r="K136">
        <f t="shared" si="55"/>
        <v>0.46313799621928164</v>
      </c>
      <c r="L136">
        <f t="shared" si="56"/>
        <v>8.8028169014084404E-2</v>
      </c>
      <c r="M136">
        <f t="shared" si="51"/>
        <v>4.7258979206049094E-2</v>
      </c>
      <c r="N136">
        <f t="shared" si="57"/>
        <v>21.160000000000025</v>
      </c>
      <c r="R136">
        <v>262.47000000000003</v>
      </c>
      <c r="S136">
        <v>306.11</v>
      </c>
      <c r="T136">
        <f>S136-R136</f>
        <v>43.639999999999986</v>
      </c>
      <c r="U136">
        <f>R140-S136</f>
        <v>26.839999999999975</v>
      </c>
    </row>
    <row r="137" spans="2:21" x14ac:dyDescent="0.35">
      <c r="F137">
        <v>270.17</v>
      </c>
      <c r="G137">
        <v>279.45999999999998</v>
      </c>
      <c r="H137">
        <f t="shared" si="52"/>
        <v>9.2899999999999636</v>
      </c>
      <c r="I137">
        <f t="shared" si="53"/>
        <v>6.7900000000000205</v>
      </c>
      <c r="J137">
        <f t="shared" si="54"/>
        <v>0.57773631840795847</v>
      </c>
      <c r="K137">
        <f t="shared" si="55"/>
        <v>0.42226368159204147</v>
      </c>
      <c r="L137">
        <f t="shared" si="56"/>
        <v>0.10764262648008653</v>
      </c>
      <c r="M137">
        <f t="shared" si="51"/>
        <v>6.2189054726368223E-2</v>
      </c>
      <c r="N137">
        <f t="shared" si="57"/>
        <v>16.079999999999984</v>
      </c>
    </row>
    <row r="138" spans="2:21" x14ac:dyDescent="0.35">
      <c r="F138">
        <v>286.25</v>
      </c>
      <c r="G138">
        <v>296.26</v>
      </c>
      <c r="H138">
        <f t="shared" si="52"/>
        <v>10.009999999999991</v>
      </c>
      <c r="I138">
        <f t="shared" si="53"/>
        <v>5.7200000000000273</v>
      </c>
      <c r="J138">
        <f t="shared" si="54"/>
        <v>0.63636363636363502</v>
      </c>
      <c r="K138">
        <f t="shared" si="55"/>
        <v>0.36363636363636492</v>
      </c>
      <c r="L138">
        <f t="shared" si="56"/>
        <v>9.9900099900099987E-2</v>
      </c>
      <c r="M138">
        <f t="shared" si="51"/>
        <v>6.3572790845518048E-2</v>
      </c>
      <c r="N138">
        <f t="shared" si="57"/>
        <v>15.730000000000018</v>
      </c>
    </row>
    <row r="139" spans="2:21" x14ac:dyDescent="0.35">
      <c r="F139">
        <v>301.98</v>
      </c>
      <c r="G139">
        <v>314.01</v>
      </c>
      <c r="H139">
        <f t="shared" si="52"/>
        <v>12.029999999999973</v>
      </c>
      <c r="I139">
        <f t="shared" si="53"/>
        <v>5.4399999999999977</v>
      </c>
      <c r="J139">
        <f t="shared" si="54"/>
        <v>0.68860904407555767</v>
      </c>
      <c r="K139">
        <f t="shared" si="55"/>
        <v>0.31139095592444227</v>
      </c>
      <c r="L139">
        <f t="shared" si="56"/>
        <v>8.3125519534497275E-2</v>
      </c>
      <c r="M139">
        <f t="shared" si="51"/>
        <v>5.7240984544934273E-2</v>
      </c>
      <c r="N139">
        <f t="shared" si="57"/>
        <v>17.46999999999997</v>
      </c>
    </row>
    <row r="140" spans="2:21" x14ac:dyDescent="0.35">
      <c r="F140">
        <v>319.45</v>
      </c>
      <c r="G140">
        <v>330.33</v>
      </c>
      <c r="H140">
        <f t="shared" si="52"/>
        <v>10.879999999999995</v>
      </c>
      <c r="I140">
        <f t="shared" si="53"/>
        <v>8.9300000000000068</v>
      </c>
      <c r="J140">
        <f t="shared" si="54"/>
        <v>0.54921756688541112</v>
      </c>
      <c r="K140">
        <f t="shared" si="55"/>
        <v>0.45078243311458888</v>
      </c>
      <c r="L140">
        <f t="shared" si="56"/>
        <v>9.1911764705882387E-2</v>
      </c>
      <c r="M140">
        <f t="shared" si="51"/>
        <v>5.0479555779909133E-2</v>
      </c>
      <c r="N140">
        <f t="shared" si="57"/>
        <v>19.810000000000002</v>
      </c>
      <c r="R140">
        <v>332.95</v>
      </c>
      <c r="S140">
        <v>351.18</v>
      </c>
      <c r="T140">
        <f>S140-R140</f>
        <v>18.230000000000018</v>
      </c>
      <c r="U140">
        <f>R142-S140</f>
        <v>13.990000000000009</v>
      </c>
    </row>
    <row r="141" spans="2:21" ht="16" thickBot="1" x14ac:dyDescent="0.4">
      <c r="B141" s="9" t="s">
        <v>18</v>
      </c>
      <c r="C141" s="9" t="s">
        <v>17</v>
      </c>
      <c r="D141" s="9" t="s">
        <v>20</v>
      </c>
      <c r="F141">
        <v>339.26</v>
      </c>
      <c r="G141">
        <v>351.1</v>
      </c>
      <c r="H141">
        <f t="shared" si="52"/>
        <v>11.840000000000032</v>
      </c>
      <c r="I141">
        <f t="shared" si="53"/>
        <v>5.1999999999999886</v>
      </c>
      <c r="J141">
        <f t="shared" si="54"/>
        <v>0.69483568075117474</v>
      </c>
      <c r="K141">
        <f t="shared" si="55"/>
        <v>0.30516431924882526</v>
      </c>
      <c r="L141">
        <f t="shared" si="56"/>
        <v>8.4459459459459235E-2</v>
      </c>
      <c r="M141">
        <f t="shared" si="51"/>
        <v>5.8685446009389602E-2</v>
      </c>
      <c r="N141">
        <f t="shared" si="57"/>
        <v>17.04000000000002</v>
      </c>
    </row>
    <row r="142" spans="2:21" x14ac:dyDescent="0.35">
      <c r="B142" s="94">
        <v>357.43</v>
      </c>
      <c r="C142" s="95">
        <v>363.48</v>
      </c>
      <c r="D142" s="96">
        <f>C142-B142</f>
        <v>6.0500000000000114</v>
      </c>
      <c r="F142" s="10">
        <v>356.3</v>
      </c>
      <c r="G142" s="11">
        <v>362.25</v>
      </c>
      <c r="H142" s="11">
        <f t="shared" si="52"/>
        <v>5.9499999999999886</v>
      </c>
      <c r="I142" s="12">
        <f t="shared" si="53"/>
        <v>12.220000000000027</v>
      </c>
      <c r="J142">
        <f t="shared" si="54"/>
        <v>0.3274628508530536</v>
      </c>
      <c r="K142">
        <f t="shared" si="55"/>
        <v>0.6725371491469464</v>
      </c>
      <c r="L142">
        <f t="shared" si="56"/>
        <v>0.16806722689075662</v>
      </c>
      <c r="M142">
        <f t="shared" si="51"/>
        <v>5.5035773252614148E-2</v>
      </c>
      <c r="N142">
        <f t="shared" si="57"/>
        <v>18.170000000000016</v>
      </c>
      <c r="R142">
        <v>365.17</v>
      </c>
      <c r="S142">
        <v>390.37</v>
      </c>
      <c r="T142">
        <f>S142-R142</f>
        <v>25.199999999999989</v>
      </c>
      <c r="U142">
        <f>R145-S142</f>
        <v>17.329999999999984</v>
      </c>
    </row>
    <row r="143" spans="2:21" x14ac:dyDescent="0.35">
      <c r="B143" s="10">
        <v>375.28</v>
      </c>
      <c r="C143" s="11">
        <v>379.61</v>
      </c>
      <c r="D143" s="12">
        <f>C143-B143</f>
        <v>4.3300000000000409</v>
      </c>
      <c r="F143" s="10">
        <v>374.47</v>
      </c>
      <c r="G143" s="11">
        <v>378.34</v>
      </c>
      <c r="H143" s="11">
        <f t="shared" si="52"/>
        <v>3.8699999999999477</v>
      </c>
      <c r="I143" s="12">
        <f t="shared" si="53"/>
        <v>7.8700000000000045</v>
      </c>
      <c r="J143">
        <f t="shared" si="54"/>
        <v>0.32964224872231374</v>
      </c>
      <c r="K143">
        <f t="shared" si="55"/>
        <v>0.67035775127768626</v>
      </c>
      <c r="L143">
        <f t="shared" si="56"/>
        <v>0.25839793281654094</v>
      </c>
      <c r="M143">
        <f t="shared" si="51"/>
        <v>8.5178875638841911E-2</v>
      </c>
      <c r="N143">
        <f t="shared" si="57"/>
        <v>11.739999999999952</v>
      </c>
    </row>
    <row r="144" spans="2:21" x14ac:dyDescent="0.35">
      <c r="F144">
        <v>386.21</v>
      </c>
      <c r="G144">
        <v>396.99</v>
      </c>
      <c r="H144">
        <f t="shared" si="52"/>
        <v>10.78000000000003</v>
      </c>
      <c r="I144">
        <f t="shared" si="53"/>
        <v>6.2199999999999704</v>
      </c>
      <c r="J144">
        <f t="shared" si="54"/>
        <v>0.63411764705882523</v>
      </c>
      <c r="K144">
        <f t="shared" si="55"/>
        <v>0.36588235294117472</v>
      </c>
      <c r="L144">
        <f t="shared" si="56"/>
        <v>9.2764378478663936E-2</v>
      </c>
      <c r="M144">
        <f t="shared" si="51"/>
        <v>5.8823529411764705E-2</v>
      </c>
      <c r="N144">
        <f t="shared" si="57"/>
        <v>17</v>
      </c>
    </row>
    <row r="145" spans="2:21" x14ac:dyDescent="0.35">
      <c r="B145" s="10">
        <v>403.97</v>
      </c>
      <c r="C145" s="11">
        <v>408.98</v>
      </c>
      <c r="D145" s="12">
        <f>C145-B145</f>
        <v>5.0099999999999909</v>
      </c>
      <c r="F145" s="10">
        <v>403.21</v>
      </c>
      <c r="G145" s="11">
        <v>407.48</v>
      </c>
      <c r="H145" s="11">
        <f t="shared" si="52"/>
        <v>4.2700000000000387</v>
      </c>
      <c r="I145" s="12">
        <f t="shared" si="53"/>
        <v>10.870000000000005</v>
      </c>
      <c r="J145">
        <f t="shared" si="54"/>
        <v>0.28203434610304007</v>
      </c>
      <c r="K145">
        <f t="shared" si="55"/>
        <v>0.71796565389695999</v>
      </c>
      <c r="L145">
        <f t="shared" si="56"/>
        <v>0.23419203747072387</v>
      </c>
      <c r="M145">
        <f t="shared" si="51"/>
        <v>6.6050198150594264E-2</v>
      </c>
      <c r="N145">
        <f t="shared" si="57"/>
        <v>15.140000000000043</v>
      </c>
      <c r="R145">
        <v>407.7</v>
      </c>
      <c r="S145">
        <v>423.73</v>
      </c>
      <c r="T145">
        <f>S145-R145</f>
        <v>16.03000000000003</v>
      </c>
      <c r="U145">
        <f>R147-S145</f>
        <v>19.299999999999955</v>
      </c>
    </row>
    <row r="146" spans="2:21" x14ac:dyDescent="0.35">
      <c r="F146">
        <v>418.35</v>
      </c>
      <c r="G146">
        <v>429.03</v>
      </c>
      <c r="H146">
        <f t="shared" si="52"/>
        <v>10.67999999999995</v>
      </c>
      <c r="I146">
        <f t="shared" si="53"/>
        <v>5.0300000000000296</v>
      </c>
      <c r="J146">
        <f t="shared" si="54"/>
        <v>0.6798217695735177</v>
      </c>
      <c r="K146">
        <f t="shared" si="55"/>
        <v>0.32017823042648225</v>
      </c>
      <c r="L146">
        <f t="shared" si="56"/>
        <v>9.3632958801498564E-2</v>
      </c>
      <c r="M146">
        <f t="shared" si="51"/>
        <v>6.3653723742839036E-2</v>
      </c>
      <c r="N146">
        <f t="shared" si="57"/>
        <v>15.70999999999998</v>
      </c>
    </row>
    <row r="147" spans="2:21" x14ac:dyDescent="0.35">
      <c r="B147" s="10">
        <v>434.73</v>
      </c>
      <c r="C147" s="11">
        <v>441.03</v>
      </c>
      <c r="D147" s="12">
        <f>C147-B147</f>
        <v>6.2999999999999545</v>
      </c>
      <c r="F147" s="10">
        <v>434.06</v>
      </c>
      <c r="G147" s="11">
        <v>440.85</v>
      </c>
      <c r="H147" s="11">
        <f t="shared" si="52"/>
        <v>6.7900000000000205</v>
      </c>
      <c r="I147" s="12">
        <f t="shared" si="53"/>
        <v>12.5</v>
      </c>
      <c r="J147">
        <f t="shared" si="54"/>
        <v>0.35199585277345846</v>
      </c>
      <c r="K147">
        <f t="shared" si="55"/>
        <v>0.64800414722654154</v>
      </c>
      <c r="L147">
        <f t="shared" si="56"/>
        <v>0.14727540500736333</v>
      </c>
      <c r="M147">
        <f t="shared" si="51"/>
        <v>5.1840331778123326E-2</v>
      </c>
      <c r="N147">
        <f t="shared" si="57"/>
        <v>19.29000000000002</v>
      </c>
      <c r="R147">
        <v>443.03</v>
      </c>
      <c r="S147">
        <v>467.78</v>
      </c>
      <c r="T147">
        <f>S147-R147</f>
        <v>24.75</v>
      </c>
      <c r="U147">
        <f>R150-S147</f>
        <v>20.510000000000048</v>
      </c>
    </row>
    <row r="148" spans="2:21" x14ac:dyDescent="0.35">
      <c r="B148" s="10">
        <v>454.16</v>
      </c>
      <c r="C148" s="11">
        <v>458.88</v>
      </c>
      <c r="D148" s="12">
        <f>C148-B148</f>
        <v>4.7199999999999704</v>
      </c>
      <c r="F148" s="10">
        <v>453.35</v>
      </c>
      <c r="G148" s="11">
        <v>457.1</v>
      </c>
      <c r="H148" s="11">
        <f t="shared" si="52"/>
        <v>3.75</v>
      </c>
      <c r="I148" s="12">
        <f t="shared" si="53"/>
        <v>8.1699999999999591</v>
      </c>
      <c r="J148">
        <f t="shared" si="54"/>
        <v>0.3145973154362427</v>
      </c>
      <c r="K148">
        <f t="shared" si="55"/>
        <v>0.6854026845637573</v>
      </c>
      <c r="L148">
        <f t="shared" si="56"/>
        <v>0.26666666666666666</v>
      </c>
      <c r="M148">
        <f t="shared" si="51"/>
        <v>8.3892617449664711E-2</v>
      </c>
      <c r="N148">
        <f t="shared" si="57"/>
        <v>11.919999999999959</v>
      </c>
    </row>
    <row r="149" spans="2:21" x14ac:dyDescent="0.35">
      <c r="F149">
        <v>465.27</v>
      </c>
      <c r="G149">
        <v>475.92</v>
      </c>
      <c r="H149">
        <f t="shared" si="52"/>
        <v>10.650000000000034</v>
      </c>
      <c r="I149">
        <f t="shared" si="53"/>
        <v>6.4099999999999682</v>
      </c>
      <c r="J149">
        <f t="shared" si="54"/>
        <v>0.62426729191090458</v>
      </c>
      <c r="K149">
        <f t="shared" si="55"/>
        <v>0.37573270808909537</v>
      </c>
      <c r="L149">
        <f t="shared" si="56"/>
        <v>9.3896713615023178E-2</v>
      </c>
      <c r="M149">
        <f t="shared" si="51"/>
        <v>5.8616647127784284E-2</v>
      </c>
      <c r="N149">
        <f t="shared" si="57"/>
        <v>17.060000000000002</v>
      </c>
    </row>
    <row r="150" spans="2:21" x14ac:dyDescent="0.35">
      <c r="B150" s="10">
        <v>483.21</v>
      </c>
      <c r="C150" s="11">
        <v>489.93</v>
      </c>
      <c r="D150" s="12">
        <f>C150-B150</f>
        <v>6.7200000000000273</v>
      </c>
      <c r="F150" s="10">
        <v>482.33</v>
      </c>
      <c r="G150" s="11">
        <v>488.29</v>
      </c>
      <c r="H150" s="11">
        <f t="shared" si="52"/>
        <v>5.9600000000000364</v>
      </c>
      <c r="I150" s="12">
        <f t="shared" si="53"/>
        <v>10.139999999999986</v>
      </c>
      <c r="J150">
        <f t="shared" si="54"/>
        <v>0.37018633540372847</v>
      </c>
      <c r="K150">
        <f t="shared" si="55"/>
        <v>0.62981366459627153</v>
      </c>
      <c r="L150">
        <f t="shared" si="56"/>
        <v>0.16778523489932784</v>
      </c>
      <c r="M150">
        <f t="shared" si="51"/>
        <v>6.2111801242235934E-2</v>
      </c>
      <c r="N150">
        <f t="shared" si="57"/>
        <v>16.100000000000023</v>
      </c>
      <c r="R150">
        <v>488.29</v>
      </c>
      <c r="S150">
        <v>506.52</v>
      </c>
      <c r="T150">
        <f>S150-R150</f>
        <v>18.229999999999961</v>
      </c>
      <c r="U150">
        <f>R152-S150</f>
        <v>18.970000000000027</v>
      </c>
    </row>
    <row r="151" spans="2:21" x14ac:dyDescent="0.35">
      <c r="F151">
        <v>498.43</v>
      </c>
      <c r="G151">
        <v>511.32</v>
      </c>
      <c r="H151">
        <f t="shared" si="52"/>
        <v>12.889999999999986</v>
      </c>
      <c r="I151">
        <f t="shared" si="53"/>
        <v>6.2900000000000205</v>
      </c>
      <c r="J151">
        <f t="shared" si="54"/>
        <v>0.67205422314911267</v>
      </c>
      <c r="K151">
        <f t="shared" si="55"/>
        <v>0.32794577685088727</v>
      </c>
      <c r="L151">
        <f t="shared" si="56"/>
        <v>7.7579519006982234E-2</v>
      </c>
      <c r="M151">
        <f t="shared" si="51"/>
        <v>5.2137643378519276E-2</v>
      </c>
      <c r="N151">
        <f t="shared" si="57"/>
        <v>19.180000000000007</v>
      </c>
    </row>
    <row r="152" spans="2:21" x14ac:dyDescent="0.35">
      <c r="B152" s="10">
        <v>518.65</v>
      </c>
      <c r="C152" s="11">
        <v>525.22</v>
      </c>
      <c r="D152" s="12">
        <f>C152-B152</f>
        <v>6.57000000000005</v>
      </c>
      <c r="F152" s="10">
        <v>517.61</v>
      </c>
      <c r="G152" s="11">
        <v>524.35</v>
      </c>
      <c r="H152" s="11">
        <f t="shared" si="52"/>
        <v>6.7400000000000091</v>
      </c>
      <c r="I152" s="12">
        <f t="shared" si="53"/>
        <v>10.169999999999959</v>
      </c>
      <c r="J152">
        <f t="shared" si="54"/>
        <v>0.39858072146658913</v>
      </c>
      <c r="K152">
        <f t="shared" si="55"/>
        <v>0.60141927853341093</v>
      </c>
      <c r="L152">
        <f t="shared" si="56"/>
        <v>0.14836795252225499</v>
      </c>
      <c r="M152">
        <f t="shared" si="51"/>
        <v>5.9136605558841031E-2</v>
      </c>
      <c r="N152">
        <f t="shared" si="57"/>
        <v>16.909999999999968</v>
      </c>
      <c r="R152">
        <v>525.49</v>
      </c>
      <c r="S152">
        <v>542.65</v>
      </c>
      <c r="T152">
        <f>S152-R152</f>
        <v>17.159999999999968</v>
      </c>
      <c r="U152">
        <f>R154-S152</f>
        <v>18.200000000000045</v>
      </c>
    </row>
    <row r="153" spans="2:21" x14ac:dyDescent="0.35">
      <c r="F153">
        <v>534.52</v>
      </c>
      <c r="G153">
        <v>547.54</v>
      </c>
      <c r="H153">
        <f t="shared" si="52"/>
        <v>13.019999999999982</v>
      </c>
      <c r="I153">
        <f t="shared" si="53"/>
        <v>6.2599999999999909</v>
      </c>
      <c r="J153">
        <f t="shared" si="54"/>
        <v>0.67531120331950212</v>
      </c>
      <c r="K153">
        <f t="shared" si="55"/>
        <v>0.32468879668049794</v>
      </c>
      <c r="L153">
        <f t="shared" si="56"/>
        <v>7.6804915514593036E-2</v>
      </c>
      <c r="M153">
        <f t="shared" si="51"/>
        <v>5.1867219917012521E-2</v>
      </c>
      <c r="N153">
        <f t="shared" si="57"/>
        <v>19.279999999999973</v>
      </c>
    </row>
    <row r="154" spans="2:21" x14ac:dyDescent="0.35">
      <c r="B154" s="10">
        <v>554.36</v>
      </c>
      <c r="C154" s="11">
        <v>561.96</v>
      </c>
      <c r="D154" s="12">
        <f>C154-B154</f>
        <v>7.6000000000000227</v>
      </c>
      <c r="F154" s="10">
        <v>553.79999999999995</v>
      </c>
      <c r="G154" s="11">
        <v>559.74</v>
      </c>
      <c r="H154" s="11">
        <f t="shared" si="52"/>
        <v>5.9400000000000546</v>
      </c>
      <c r="I154" s="12">
        <f t="shared" si="53"/>
        <v>11.879999999999995</v>
      </c>
      <c r="J154">
        <f t="shared" si="54"/>
        <v>0.33333333333333548</v>
      </c>
      <c r="K154">
        <f t="shared" si="55"/>
        <v>0.66666666666666452</v>
      </c>
      <c r="L154">
        <f t="shared" si="56"/>
        <v>0.16835016835016681</v>
      </c>
      <c r="M154">
        <f t="shared" si="51"/>
        <v>5.6116722783389292E-2</v>
      </c>
      <c r="N154">
        <f t="shared" si="57"/>
        <v>17.82000000000005</v>
      </c>
      <c r="R154">
        <v>560.85</v>
      </c>
      <c r="S154">
        <v>578.25</v>
      </c>
      <c r="T154">
        <f>S154-R154</f>
        <v>17.399999999999977</v>
      </c>
      <c r="U154">
        <f>R156-S154</f>
        <v>24.450000000000045</v>
      </c>
    </row>
    <row r="155" spans="2:21" x14ac:dyDescent="0.35">
      <c r="F155">
        <v>571.62</v>
      </c>
      <c r="G155">
        <v>582.12</v>
      </c>
      <c r="H155">
        <f t="shared" si="52"/>
        <v>10.5</v>
      </c>
      <c r="I155">
        <f t="shared" si="53"/>
        <v>8.4700000000000273</v>
      </c>
      <c r="J155">
        <f t="shared" si="54"/>
        <v>0.55350553505534972</v>
      </c>
      <c r="K155">
        <f t="shared" si="55"/>
        <v>0.44649446494465023</v>
      </c>
      <c r="L155">
        <f t="shared" si="56"/>
        <v>9.5238095238095233E-2</v>
      </c>
      <c r="M155">
        <f t="shared" si="51"/>
        <v>5.2714812862414265E-2</v>
      </c>
      <c r="N155">
        <f t="shared" si="57"/>
        <v>18.970000000000027</v>
      </c>
    </row>
    <row r="156" spans="2:21" x14ac:dyDescent="0.35">
      <c r="F156">
        <v>590.59</v>
      </c>
      <c r="G156">
        <v>600.09</v>
      </c>
      <c r="H156">
        <f t="shared" si="52"/>
        <v>9.5</v>
      </c>
      <c r="I156">
        <f t="shared" si="53"/>
        <v>12.169999999999959</v>
      </c>
      <c r="J156">
        <f t="shared" si="54"/>
        <v>0.43839409321642908</v>
      </c>
      <c r="K156">
        <f t="shared" si="55"/>
        <v>0.56160590678357092</v>
      </c>
      <c r="L156">
        <f t="shared" si="56"/>
        <v>0.10526315789473684</v>
      </c>
      <c r="M156">
        <f t="shared" si="51"/>
        <v>4.6146746654360957E-2</v>
      </c>
      <c r="N156">
        <f t="shared" si="57"/>
        <v>21.669999999999959</v>
      </c>
      <c r="R156">
        <v>602.70000000000005</v>
      </c>
      <c r="S156">
        <v>636</v>
      </c>
      <c r="T156">
        <f>S156-R156</f>
        <v>33.299999999999955</v>
      </c>
      <c r="U156">
        <f>R159-S156</f>
        <v>22.889999999999986</v>
      </c>
    </row>
    <row r="157" spans="2:21" x14ac:dyDescent="0.35">
      <c r="F157">
        <v>612.26</v>
      </c>
      <c r="G157">
        <v>620.55999999999995</v>
      </c>
      <c r="H157">
        <f t="shared" si="52"/>
        <v>8.2999999999999545</v>
      </c>
      <c r="I157">
        <f t="shared" si="53"/>
        <v>7.5900000000000318</v>
      </c>
      <c r="J157">
        <f t="shared" si="54"/>
        <v>0.52234109502831727</v>
      </c>
      <c r="K157">
        <f t="shared" si="55"/>
        <v>0.47765890497168273</v>
      </c>
      <c r="L157">
        <f t="shared" si="56"/>
        <v>0.12048192771084404</v>
      </c>
      <c r="M157">
        <f t="shared" si="51"/>
        <v>6.2932662051604832E-2</v>
      </c>
      <c r="N157">
        <f t="shared" si="57"/>
        <v>15.889999999999986</v>
      </c>
    </row>
    <row r="158" spans="2:21" x14ac:dyDescent="0.35">
      <c r="F158">
        <v>628.15</v>
      </c>
      <c r="G158">
        <v>640.69000000000005</v>
      </c>
      <c r="H158">
        <f t="shared" si="52"/>
        <v>12.540000000000077</v>
      </c>
      <c r="I158">
        <f t="shared" si="53"/>
        <v>7.1399999999999864</v>
      </c>
      <c r="J158">
        <f t="shared" si="54"/>
        <v>0.63719512195122141</v>
      </c>
      <c r="K158">
        <f t="shared" si="55"/>
        <v>0.36280487804877865</v>
      </c>
      <c r="L158">
        <f t="shared" si="56"/>
        <v>7.9744816586921355E-2</v>
      </c>
      <c r="M158">
        <f t="shared" si="51"/>
        <v>5.0813008130081133E-2</v>
      </c>
      <c r="N158">
        <f t="shared" si="57"/>
        <v>19.680000000000064</v>
      </c>
    </row>
    <row r="159" spans="2:21" x14ac:dyDescent="0.35">
      <c r="F159">
        <v>647.83000000000004</v>
      </c>
      <c r="G159">
        <v>655.96</v>
      </c>
      <c r="H159">
        <f t="shared" si="52"/>
        <v>8.1299999999999955</v>
      </c>
      <c r="I159">
        <f t="shared" si="53"/>
        <v>12.029999999999973</v>
      </c>
      <c r="J159">
        <f t="shared" si="54"/>
        <v>0.40327380952380992</v>
      </c>
      <c r="K159">
        <f t="shared" si="55"/>
        <v>0.59672619047619002</v>
      </c>
      <c r="L159">
        <f t="shared" si="56"/>
        <v>0.12300123001230019</v>
      </c>
      <c r="M159">
        <f t="shared" si="51"/>
        <v>4.9603174603174684E-2</v>
      </c>
      <c r="N159">
        <f t="shared" si="57"/>
        <v>20.159999999999968</v>
      </c>
      <c r="R159">
        <v>658.89</v>
      </c>
      <c r="S159">
        <v>677.49</v>
      </c>
      <c r="T159">
        <f>S159-R159</f>
        <v>18.600000000000023</v>
      </c>
      <c r="U159">
        <f>R161-S159</f>
        <v>19.450000000000045</v>
      </c>
    </row>
    <row r="160" spans="2:21" x14ac:dyDescent="0.35">
      <c r="F160">
        <v>667.99</v>
      </c>
      <c r="G160">
        <v>678.34</v>
      </c>
      <c r="H160">
        <f t="shared" si="52"/>
        <v>10.350000000000023</v>
      </c>
      <c r="I160">
        <f t="shared" si="53"/>
        <v>6.1999999999999318</v>
      </c>
      <c r="J160">
        <f t="shared" si="54"/>
        <v>0.62537764350453484</v>
      </c>
      <c r="K160">
        <f t="shared" si="55"/>
        <v>0.37462235649546516</v>
      </c>
      <c r="L160">
        <f t="shared" si="56"/>
        <v>9.6618357487922496E-2</v>
      </c>
      <c r="M160">
        <f t="shared" si="51"/>
        <v>6.0422960725075692E-2</v>
      </c>
      <c r="N160">
        <f t="shared" si="57"/>
        <v>16.549999999999955</v>
      </c>
    </row>
    <row r="161" spans="2:21" x14ac:dyDescent="0.35">
      <c r="F161">
        <v>684.54</v>
      </c>
      <c r="G161">
        <v>693.72</v>
      </c>
      <c r="H161">
        <f t="shared" si="52"/>
        <v>9.1800000000000637</v>
      </c>
      <c r="I161">
        <f t="shared" si="53"/>
        <v>11.149999999999977</v>
      </c>
      <c r="J161">
        <f t="shared" si="54"/>
        <v>0.45154943433349953</v>
      </c>
      <c r="K161">
        <f t="shared" si="55"/>
        <v>0.54845056566650052</v>
      </c>
      <c r="L161">
        <f t="shared" si="56"/>
        <v>0.10893246187363759</v>
      </c>
      <c r="M161">
        <f t="shared" si="51"/>
        <v>4.9188391539596553E-2</v>
      </c>
      <c r="N161">
        <f t="shared" si="57"/>
        <v>20.330000000000041</v>
      </c>
      <c r="R161">
        <v>696.94</v>
      </c>
      <c r="S161">
        <v>715.28</v>
      </c>
      <c r="T161">
        <f>S161-R161</f>
        <v>18.339999999999918</v>
      </c>
      <c r="U161">
        <f>R163-S161</f>
        <v>24.389999999999986</v>
      </c>
    </row>
    <row r="162" spans="2:21" x14ac:dyDescent="0.35">
      <c r="F162">
        <v>704.87</v>
      </c>
      <c r="G162">
        <v>720.99</v>
      </c>
      <c r="H162">
        <f t="shared" si="52"/>
        <v>16.120000000000005</v>
      </c>
      <c r="I162">
        <f t="shared" si="53"/>
        <v>5.9199999999999591</v>
      </c>
      <c r="J162">
        <f t="shared" si="54"/>
        <v>0.73139745916515564</v>
      </c>
      <c r="K162">
        <f t="shared" si="55"/>
        <v>0.26860254083484431</v>
      </c>
      <c r="L162">
        <f t="shared" si="56"/>
        <v>6.2034739454094275E-2</v>
      </c>
      <c r="M162">
        <f t="shared" si="51"/>
        <v>4.5372050816696992E-2</v>
      </c>
      <c r="N162">
        <f t="shared" si="57"/>
        <v>22.039999999999964</v>
      </c>
    </row>
    <row r="163" spans="2:21" x14ac:dyDescent="0.35">
      <c r="F163">
        <v>726.91</v>
      </c>
      <c r="G163">
        <v>737.2</v>
      </c>
      <c r="H163">
        <f t="shared" si="52"/>
        <v>10.290000000000077</v>
      </c>
      <c r="I163">
        <f t="shared" si="53"/>
        <v>11.229999999999905</v>
      </c>
      <c r="J163">
        <f t="shared" si="54"/>
        <v>0.47815985130111927</v>
      </c>
      <c r="K163">
        <f t="shared" si="55"/>
        <v>0.52184014869888073</v>
      </c>
      <c r="L163">
        <f t="shared" si="56"/>
        <v>9.7181729834790329E-2</v>
      </c>
      <c r="M163">
        <f t="shared" si="51"/>
        <v>4.6468401486988886E-2</v>
      </c>
      <c r="N163">
        <f t="shared" si="57"/>
        <v>21.519999999999982</v>
      </c>
      <c r="R163">
        <v>739.67</v>
      </c>
      <c r="S163">
        <v>754.66</v>
      </c>
      <c r="T163">
        <f>S163-R163</f>
        <v>14.990000000000009</v>
      </c>
      <c r="U163">
        <f>R165-S163</f>
        <v>24.230000000000018</v>
      </c>
    </row>
    <row r="164" spans="2:21" x14ac:dyDescent="0.35">
      <c r="F164">
        <v>748.43</v>
      </c>
      <c r="G164">
        <v>760.74</v>
      </c>
      <c r="H164">
        <f t="shared" si="52"/>
        <v>12.310000000000059</v>
      </c>
      <c r="I164">
        <f t="shared" si="53"/>
        <v>6.2000000000000455</v>
      </c>
      <c r="J164">
        <f t="shared" si="54"/>
        <v>0.6650459211237163</v>
      </c>
      <c r="K164">
        <f t="shared" si="55"/>
        <v>0.33495407887628365</v>
      </c>
      <c r="L164">
        <f t="shared" si="56"/>
        <v>8.1234768480909436E-2</v>
      </c>
      <c r="M164">
        <f t="shared" si="51"/>
        <v>5.4024851431658256E-2</v>
      </c>
      <c r="N164">
        <f t="shared" si="57"/>
        <v>18.510000000000105</v>
      </c>
    </row>
    <row r="165" spans="2:21" x14ac:dyDescent="0.35">
      <c r="F165">
        <v>766.94</v>
      </c>
      <c r="G165">
        <v>777.21</v>
      </c>
      <c r="H165">
        <f t="shared" si="52"/>
        <v>10.269999999999982</v>
      </c>
      <c r="I165">
        <f t="shared" si="53"/>
        <v>9.9800000000000182</v>
      </c>
      <c r="J165">
        <f t="shared" si="54"/>
        <v>0.50716049382715955</v>
      </c>
      <c r="K165">
        <f t="shared" si="55"/>
        <v>0.49283950617284039</v>
      </c>
      <c r="L165">
        <f t="shared" si="56"/>
        <v>9.7370983446932985E-2</v>
      </c>
      <c r="M165">
        <f t="shared" si="51"/>
        <v>4.9382716049382713E-2</v>
      </c>
      <c r="N165">
        <f t="shared" si="57"/>
        <v>20.25</v>
      </c>
      <c r="R165">
        <v>778.89</v>
      </c>
      <c r="S165">
        <v>791.82</v>
      </c>
      <c r="T165">
        <f>S165-R165</f>
        <v>12.930000000000064</v>
      </c>
      <c r="U165">
        <f>R166-S165</f>
        <v>16.129999999999995</v>
      </c>
    </row>
    <row r="166" spans="2:21" x14ac:dyDescent="0.35">
      <c r="F166">
        <v>787.19</v>
      </c>
      <c r="G166">
        <v>802.94</v>
      </c>
      <c r="H166">
        <f t="shared" si="52"/>
        <v>15.75</v>
      </c>
      <c r="I166">
        <f t="shared" si="53"/>
        <v>9.3599999999999</v>
      </c>
      <c r="J166">
        <f t="shared" si="54"/>
        <v>0.6272401433691781</v>
      </c>
      <c r="K166">
        <f t="shared" si="55"/>
        <v>0.3727598566308219</v>
      </c>
      <c r="L166">
        <f t="shared" si="56"/>
        <v>6.3492063492063489E-2</v>
      </c>
      <c r="M166">
        <f t="shared" si="51"/>
        <v>3.9824771007566866E-2</v>
      </c>
      <c r="N166">
        <f t="shared" si="57"/>
        <v>25.1099999999999</v>
      </c>
      <c r="R166">
        <v>807.95</v>
      </c>
      <c r="S166">
        <v>821.99</v>
      </c>
      <c r="T166">
        <f>S166-R166</f>
        <v>14.039999999999964</v>
      </c>
      <c r="U166">
        <f>R168-S166</f>
        <v>26.559999999999945</v>
      </c>
    </row>
    <row r="167" spans="2:21" x14ac:dyDescent="0.35">
      <c r="F167">
        <v>812.3</v>
      </c>
      <c r="G167">
        <v>829.53</v>
      </c>
      <c r="H167">
        <f t="shared" si="52"/>
        <v>17.230000000000018</v>
      </c>
      <c r="I167">
        <f t="shared" si="53"/>
        <v>6.1399999999999864</v>
      </c>
      <c r="J167">
        <f t="shared" si="54"/>
        <v>0.73727000427899081</v>
      </c>
      <c r="K167">
        <f t="shared" si="55"/>
        <v>0.26272999572100919</v>
      </c>
      <c r="L167">
        <f t="shared" si="56"/>
        <v>5.8038305281485722E-2</v>
      </c>
      <c r="M167">
        <f t="shared" si="51"/>
        <v>4.2789901583226347E-2</v>
      </c>
      <c r="N167">
        <f t="shared" si="57"/>
        <v>23.370000000000005</v>
      </c>
    </row>
    <row r="168" spans="2:21" x14ac:dyDescent="0.35">
      <c r="F168">
        <v>835.67</v>
      </c>
      <c r="G168">
        <v>847.16</v>
      </c>
      <c r="H168">
        <f t="shared" si="52"/>
        <v>11.490000000000009</v>
      </c>
      <c r="I168">
        <f t="shared" si="53"/>
        <v>8.6700000000000728</v>
      </c>
      <c r="J168">
        <f t="shared" si="54"/>
        <v>0.56994047619047428</v>
      </c>
      <c r="K168">
        <f t="shared" si="55"/>
        <v>0.43005952380952567</v>
      </c>
      <c r="L168">
        <f t="shared" si="56"/>
        <v>8.7032201914708368E-2</v>
      </c>
      <c r="M168">
        <f t="shared" si="51"/>
        <v>4.9603174603174399E-2</v>
      </c>
      <c r="N168">
        <f t="shared" si="57"/>
        <v>20.160000000000082</v>
      </c>
      <c r="R168">
        <v>848.55</v>
      </c>
      <c r="S168">
        <v>865.41</v>
      </c>
      <c r="T168">
        <f>S168-R168</f>
        <v>16.860000000000014</v>
      </c>
      <c r="U168">
        <f>R170-S168</f>
        <v>15.190000000000055</v>
      </c>
    </row>
    <row r="169" spans="2:21" x14ac:dyDescent="0.35">
      <c r="F169">
        <v>855.83</v>
      </c>
      <c r="G169">
        <v>870.53</v>
      </c>
      <c r="H169">
        <f t="shared" si="52"/>
        <v>14.699999999999932</v>
      </c>
      <c r="I169">
        <f t="shared" si="53"/>
        <v>7.25</v>
      </c>
      <c r="J169">
        <f t="shared" si="54"/>
        <v>0.66970387243735663</v>
      </c>
      <c r="K169">
        <f t="shared" si="55"/>
        <v>0.33029612756264337</v>
      </c>
      <c r="L169">
        <f t="shared" si="56"/>
        <v>6.8027210884354053E-2</v>
      </c>
      <c r="M169">
        <f t="shared" si="51"/>
        <v>4.5558086560364607E-2</v>
      </c>
      <c r="N169">
        <f t="shared" si="57"/>
        <v>21.949999999999932</v>
      </c>
    </row>
    <row r="170" spans="2:21" x14ac:dyDescent="0.35">
      <c r="B170" s="10">
        <v>878.49</v>
      </c>
      <c r="C170" s="11">
        <v>882.24</v>
      </c>
      <c r="D170" s="12">
        <f>C170-B170</f>
        <v>3.75</v>
      </c>
      <c r="F170" s="10">
        <v>877.78</v>
      </c>
      <c r="G170" s="11">
        <v>881.03</v>
      </c>
      <c r="H170" s="11">
        <f t="shared" si="52"/>
        <v>3.25</v>
      </c>
      <c r="I170" s="12">
        <f t="shared" si="53"/>
        <v>8.9800000000000182</v>
      </c>
      <c r="J170">
        <f t="shared" si="54"/>
        <v>0.26573998364676982</v>
      </c>
      <c r="K170">
        <f t="shared" si="55"/>
        <v>0.73426001635323013</v>
      </c>
      <c r="L170">
        <f t="shared" si="56"/>
        <v>0.30769230769230771</v>
      </c>
      <c r="M170">
        <f t="shared" si="51"/>
        <v>8.1766148814390718E-2</v>
      </c>
      <c r="N170">
        <f t="shared" si="57"/>
        <v>12.230000000000018</v>
      </c>
      <c r="R170">
        <v>880.6</v>
      </c>
      <c r="S170">
        <v>903.77</v>
      </c>
      <c r="T170">
        <f>S170-R170</f>
        <v>23.169999999999959</v>
      </c>
      <c r="U170">
        <f>R173-S170</f>
        <v>19.82000000000005</v>
      </c>
    </row>
    <row r="171" spans="2:21" x14ac:dyDescent="0.35">
      <c r="B171" s="10">
        <v>891.03</v>
      </c>
      <c r="C171" s="11">
        <v>895.04</v>
      </c>
      <c r="D171" s="12">
        <f>C171-B171</f>
        <v>4.0099999999999909</v>
      </c>
      <c r="F171" s="10">
        <v>890.01</v>
      </c>
      <c r="G171" s="11">
        <v>893.58</v>
      </c>
      <c r="H171" s="11">
        <f t="shared" si="52"/>
        <v>3.57000000000005</v>
      </c>
      <c r="I171" s="12">
        <f t="shared" si="53"/>
        <v>8.7999999999999545</v>
      </c>
      <c r="J171">
        <f t="shared" si="54"/>
        <v>0.28860145513339114</v>
      </c>
      <c r="K171">
        <f t="shared" si="55"/>
        <v>0.71139854486660881</v>
      </c>
      <c r="L171">
        <f t="shared" si="56"/>
        <v>0.28011204481792323</v>
      </c>
      <c r="M171">
        <f t="shared" si="51"/>
        <v>8.0840743734842332E-2</v>
      </c>
      <c r="N171">
        <f t="shared" si="57"/>
        <v>12.370000000000005</v>
      </c>
    </row>
    <row r="172" spans="2:21" x14ac:dyDescent="0.35">
      <c r="F172">
        <v>902.38</v>
      </c>
      <c r="G172">
        <v>915.58</v>
      </c>
      <c r="H172">
        <f t="shared" si="52"/>
        <v>13.200000000000045</v>
      </c>
      <c r="I172">
        <f t="shared" si="53"/>
        <v>6.2599999999999909</v>
      </c>
      <c r="J172">
        <f t="shared" si="54"/>
        <v>0.67831449126413257</v>
      </c>
      <c r="K172">
        <f t="shared" si="55"/>
        <v>0.32168550873586738</v>
      </c>
      <c r="L172">
        <f t="shared" si="56"/>
        <v>7.5757575757575496E-2</v>
      </c>
      <c r="M172">
        <f t="shared" si="51"/>
        <v>5.1387461459403809E-2</v>
      </c>
      <c r="N172">
        <f t="shared" si="57"/>
        <v>19.460000000000036</v>
      </c>
    </row>
    <row r="173" spans="2:21" x14ac:dyDescent="0.35">
      <c r="B173" s="10">
        <v>922.55</v>
      </c>
      <c r="C173" s="11">
        <v>926.39</v>
      </c>
      <c r="D173" s="12">
        <f>C173-B173</f>
        <v>3.8400000000000318</v>
      </c>
      <c r="F173" s="10">
        <v>921.84</v>
      </c>
      <c r="G173" s="11">
        <v>924.04</v>
      </c>
      <c r="H173" s="11">
        <f t="shared" si="52"/>
        <v>2.1999999999999318</v>
      </c>
      <c r="I173" s="12"/>
      <c r="R173">
        <v>923.59</v>
      </c>
      <c r="S173">
        <v>933.49</v>
      </c>
      <c r="T173">
        <f>S173-R173</f>
        <v>9.8999999999999773</v>
      </c>
    </row>
    <row r="174" spans="2:21" x14ac:dyDescent="0.35">
      <c r="G174" s="104" t="s">
        <v>76</v>
      </c>
      <c r="H174" s="49">
        <f>AVERAGE(H134:H141)</f>
        <v>11.609999999999992</v>
      </c>
      <c r="I174" s="49">
        <f t="shared" ref="I174:N174" si="58">AVERAGE(I134:I141)</f>
        <v>7.0775000000000077</v>
      </c>
      <c r="J174" s="49">
        <f t="shared" si="58"/>
        <v>0.62290823565888198</v>
      </c>
      <c r="K174" s="49">
        <f t="shared" si="58"/>
        <v>0.37709176434111796</v>
      </c>
      <c r="L174" s="49">
        <f t="shared" si="58"/>
        <v>8.7927025188969263E-2</v>
      </c>
      <c r="M174" s="49">
        <f t="shared" si="58"/>
        <v>5.4275615151045134E-2</v>
      </c>
      <c r="N174" s="49">
        <f t="shared" si="58"/>
        <v>18.6875</v>
      </c>
    </row>
    <row r="175" spans="2:21" x14ac:dyDescent="0.35">
      <c r="G175" s="104" t="s">
        <v>20</v>
      </c>
      <c r="H175" s="49">
        <f>AVERAGE(H142:H143,H145,H147:H148,H150,H152,H154,H170,H171)</f>
        <v>5.0090000000000146</v>
      </c>
      <c r="I175" s="49">
        <f t="shared" ref="I175:N175" si="59">AVERAGE(I142:I143,I145,I147:I148,I150,I152,I154,I170,I171)</f>
        <v>10.159999999999991</v>
      </c>
      <c r="J175" s="49">
        <f t="shared" si="59"/>
        <v>0.32621744428719224</v>
      </c>
      <c r="K175" s="49">
        <f t="shared" si="59"/>
        <v>0.67378255571280765</v>
      </c>
      <c r="L175" s="49">
        <f t="shared" si="59"/>
        <v>0.21469069771340324</v>
      </c>
      <c r="M175" s="49">
        <f t="shared" si="59"/>
        <v>6.8196981840353749E-2</v>
      </c>
      <c r="N175" s="49">
        <f t="shared" si="59"/>
        <v>15.169000000000006</v>
      </c>
    </row>
    <row r="176" spans="2:21" x14ac:dyDescent="0.35">
      <c r="G176" s="104" t="s">
        <v>78</v>
      </c>
      <c r="H176" s="104">
        <f>AVERAGE(H144,H146,H149,H151,H153,H155:H169,H172)</f>
        <v>11.803809523809534</v>
      </c>
      <c r="I176" s="104">
        <f t="shared" ref="I176:N176" si="60">AVERAGE(I144,I146,I149,I151,I153,I155:I169,I172)</f>
        <v>7.9033333333333209</v>
      </c>
      <c r="J176" s="104">
        <f t="shared" si="60"/>
        <v>0.59911626574201471</v>
      </c>
      <c r="K176" s="104">
        <f t="shared" si="60"/>
        <v>0.40088373425798535</v>
      </c>
      <c r="L176" s="104">
        <f t="shared" si="60"/>
        <v>8.8291814798482512E-2</v>
      </c>
      <c r="M176" s="104">
        <f t="shared" si="60"/>
        <v>5.149199691155671E-2</v>
      </c>
      <c r="N176" s="104">
        <f t="shared" si="60"/>
        <v>19.707142857142856</v>
      </c>
    </row>
    <row r="180" spans="6:14" x14ac:dyDescent="0.35">
      <c r="F180" s="335" t="s">
        <v>79</v>
      </c>
      <c r="G180" s="104" t="s">
        <v>76</v>
      </c>
      <c r="H180" s="104">
        <f>AVERAGE(H134,H136,H140)</f>
        <v>11.369999999999996</v>
      </c>
      <c r="I180" s="104">
        <f t="shared" ref="I180:N180" si="61">AVERAGE(I134,I136,I140)</f>
        <v>9.2366666666666788</v>
      </c>
      <c r="J180" s="104">
        <f t="shared" si="61"/>
        <v>0.55179470900701488</v>
      </c>
      <c r="K180" s="104">
        <f t="shared" si="61"/>
        <v>0.44820529099298517</v>
      </c>
      <c r="L180" s="104">
        <f t="shared" si="61"/>
        <v>8.8061977345015682E-2</v>
      </c>
      <c r="M180" s="104">
        <f t="shared" si="61"/>
        <v>4.8566721893800624E-2</v>
      </c>
      <c r="N180" s="104">
        <f t="shared" si="61"/>
        <v>20.606666666666673</v>
      </c>
    </row>
    <row r="181" spans="6:14" x14ac:dyDescent="0.35">
      <c r="F181" s="335"/>
      <c r="G181" s="104" t="s">
        <v>20</v>
      </c>
      <c r="H181" s="104">
        <f>AVERAGE(H142,H145,H147,H150,H152,H154,H170)</f>
        <v>5.5571428571428783</v>
      </c>
      <c r="I181" s="104">
        <f t="shared" ref="I181:N181" si="62">AVERAGE(I142,I145,I147,I150,I152,I154,I170)</f>
        <v>10.965714285714284</v>
      </c>
      <c r="J181" s="104">
        <f t="shared" si="62"/>
        <v>0.33276191765428215</v>
      </c>
      <c r="K181" s="104">
        <f t="shared" si="62"/>
        <v>0.66723808234571791</v>
      </c>
      <c r="L181" s="104">
        <f t="shared" si="62"/>
        <v>0.19167576183327159</v>
      </c>
      <c r="M181" s="104">
        <f t="shared" si="62"/>
        <v>6.1722511654312674E-2</v>
      </c>
      <c r="N181" s="104">
        <f t="shared" si="62"/>
        <v>16.522857142857163</v>
      </c>
    </row>
    <row r="182" spans="6:14" x14ac:dyDescent="0.35">
      <c r="F182" s="335"/>
      <c r="G182" s="104" t="s">
        <v>78</v>
      </c>
      <c r="H182" s="104">
        <f>AVERAGE(H156,H159,H161,H165,H166,H168)</f>
        <v>10.720000000000008</v>
      </c>
      <c r="I182" s="104">
        <f t="shared" ref="I182:N182" si="63">AVERAGE(I156,I159,I161,I165,I166,I168)</f>
        <v>10.559999999999983</v>
      </c>
      <c r="J182" s="104">
        <f t="shared" si="63"/>
        <v>0.49959307507675838</v>
      </c>
      <c r="K182" s="104">
        <f t="shared" si="63"/>
        <v>0.50040692492324157</v>
      </c>
      <c r="L182" s="104">
        <f t="shared" si="63"/>
        <v>9.7515349772396578E-2</v>
      </c>
      <c r="M182" s="104">
        <f t="shared" si="63"/>
        <v>4.7291495742876034E-2</v>
      </c>
      <c r="N182" s="104">
        <f t="shared" si="63"/>
        <v>21.27999999999999</v>
      </c>
    </row>
    <row r="183" spans="6:14" x14ac:dyDescent="0.35">
      <c r="G183" s="104"/>
    </row>
    <row r="184" spans="6:14" x14ac:dyDescent="0.35">
      <c r="G184" s="104"/>
    </row>
    <row r="185" spans="6:14" x14ac:dyDescent="0.35">
      <c r="F185" s="335" t="s">
        <v>83</v>
      </c>
      <c r="G185" s="104" t="s">
        <v>76</v>
      </c>
      <c r="H185" s="104">
        <f>AVERAGE(H135,H137,H138,H139,H141)</f>
        <v>11.753999999999991</v>
      </c>
      <c r="I185" s="104">
        <f t="shared" ref="I185:N185" si="64">AVERAGE(I135,I137,I138,I139,I141)</f>
        <v>5.7820000000000054</v>
      </c>
      <c r="J185" s="104">
        <f t="shared" si="64"/>
        <v>0.6655763516500024</v>
      </c>
      <c r="K185" s="104">
        <f t="shared" si="64"/>
        <v>0.33442364834999766</v>
      </c>
      <c r="L185" s="104">
        <f t="shared" si="64"/>
        <v>8.7846053895341433E-2</v>
      </c>
      <c r="M185" s="104">
        <f t="shared" si="64"/>
        <v>5.7700951105391841E-2</v>
      </c>
      <c r="N185" s="104">
        <f t="shared" si="64"/>
        <v>17.535999999999994</v>
      </c>
    </row>
    <row r="186" spans="6:14" x14ac:dyDescent="0.35">
      <c r="F186" s="335"/>
      <c r="G186" s="104" t="s">
        <v>20</v>
      </c>
      <c r="H186" s="104">
        <f>AVERAGE(H143,H148,H171)</f>
        <v>3.7299999999999991</v>
      </c>
      <c r="I186" s="104">
        <f t="shared" ref="I186:N186" si="65">AVERAGE(I143,I148,I171)</f>
        <v>8.2799999999999727</v>
      </c>
      <c r="J186" s="104">
        <f t="shared" si="65"/>
        <v>0.31094700643064921</v>
      </c>
      <c r="K186" s="104">
        <f t="shared" si="65"/>
        <v>0.68905299356935068</v>
      </c>
      <c r="L186" s="104">
        <f t="shared" si="65"/>
        <v>0.26839221476704361</v>
      </c>
      <c r="M186" s="104">
        <f t="shared" si="65"/>
        <v>8.3304078941116314E-2</v>
      </c>
      <c r="N186" s="104">
        <f t="shared" si="65"/>
        <v>12.009999999999971</v>
      </c>
    </row>
    <row r="187" spans="6:14" x14ac:dyDescent="0.35">
      <c r="F187" s="335"/>
      <c r="G187" s="104" t="s">
        <v>78</v>
      </c>
      <c r="H187" s="104">
        <f>AVERAGE(H144,H146,H149,H151,H153,H155,H157,H158,H160,H162,H164,H167,H169,H172)</f>
        <v>12.376428571428578</v>
      </c>
      <c r="I187" s="104">
        <f t="shared" ref="I187:N187" si="66">AVERAGE(I144,I146,I149,I151,I153,I155,I157,I158,I160,I162,I164,I167,I169,I172)</f>
        <v>6.5271428571428531</v>
      </c>
      <c r="J187" s="104">
        <f t="shared" si="66"/>
        <v>0.65040880563004566</v>
      </c>
      <c r="K187" s="104">
        <f t="shared" si="66"/>
        <v>0.34959119436995445</v>
      </c>
      <c r="L187" s="104">
        <f t="shared" si="66"/>
        <v>8.3703877307068783E-2</v>
      </c>
      <c r="M187" s="104">
        <f t="shared" si="66"/>
        <v>5.3651039942746129E-2</v>
      </c>
      <c r="N187" s="104">
        <f t="shared" si="66"/>
        <v>18.903571428571432</v>
      </c>
    </row>
  </sheetData>
  <mergeCells count="10">
    <mergeCell ref="F127:F129"/>
    <mergeCell ref="F35:F37"/>
    <mergeCell ref="F40:F42"/>
    <mergeCell ref="F180:F182"/>
    <mergeCell ref="F185:F187"/>
    <mergeCell ref="B18:D21"/>
    <mergeCell ref="B27:D28"/>
    <mergeCell ref="F77:F78"/>
    <mergeCell ref="F80:F81"/>
    <mergeCell ref="F122:F12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36"/>
  <sheetViews>
    <sheetView topLeftCell="C16" workbookViewId="0">
      <selection activeCell="O125" sqref="O125:P125"/>
    </sheetView>
  </sheetViews>
  <sheetFormatPr defaultRowHeight="14.5" x14ac:dyDescent="0.35"/>
  <cols>
    <col min="2" max="2" width="10.54296875" customWidth="1"/>
    <col min="3" max="3" width="10.26953125" customWidth="1"/>
    <col min="13" max="13" width="11" customWidth="1"/>
  </cols>
  <sheetData>
    <row r="4" spans="2:19" ht="18.5" x14ac:dyDescent="0.45">
      <c r="B4" s="2"/>
      <c r="C4" s="1" t="s">
        <v>133</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13.82</v>
      </c>
      <c r="G7" s="2">
        <v>20.170000000000002</v>
      </c>
      <c r="H7" s="2">
        <f>G7-F7</f>
        <v>6.3500000000000014</v>
      </c>
      <c r="I7" s="2">
        <f>F8-G7</f>
        <v>5.0699999999999967</v>
      </c>
      <c r="J7" s="2">
        <f>H7/N7</f>
        <v>0.55604203152364295</v>
      </c>
      <c r="K7" s="2">
        <f>I7/N7</f>
        <v>0.44395796847635705</v>
      </c>
      <c r="L7" s="2">
        <f>1/H7</f>
        <v>0.15748031496062989</v>
      </c>
      <c r="M7" s="2">
        <f>1/N7</f>
        <v>8.7565674255691783E-2</v>
      </c>
      <c r="N7" s="2">
        <f>H7+I7</f>
        <v>11.419999999999998</v>
      </c>
      <c r="O7" s="2">
        <v>24</v>
      </c>
      <c r="P7">
        <f>O7/H7</f>
        <v>3.7795275590551172</v>
      </c>
      <c r="R7" t="s">
        <v>140</v>
      </c>
    </row>
    <row r="8" spans="2:19" x14ac:dyDescent="0.35">
      <c r="B8" s="2"/>
      <c r="C8" s="2"/>
      <c r="D8" s="2"/>
      <c r="E8" s="2"/>
      <c r="F8" s="2">
        <v>25.24</v>
      </c>
      <c r="G8" s="2">
        <v>29.65</v>
      </c>
      <c r="H8" s="2">
        <f t="shared" ref="H8:H15" si="0">G8-F8</f>
        <v>4.41</v>
      </c>
      <c r="I8" s="2">
        <f t="shared" ref="I8:I14" si="1">F9-G8</f>
        <v>5.4699999999999989</v>
      </c>
      <c r="J8" s="2">
        <f t="shared" ref="J8:J14" si="2">H8/N8</f>
        <v>0.4463562753036438</v>
      </c>
      <c r="K8" s="2">
        <f t="shared" ref="K8:K14" si="3">I8/N8</f>
        <v>0.55364372469635625</v>
      </c>
      <c r="L8" s="2">
        <f t="shared" ref="L8:L14" si="4">1/H8</f>
        <v>0.22675736961451246</v>
      </c>
      <c r="M8" s="2">
        <f t="shared" ref="M8:M14" si="5">1/N8</f>
        <v>0.10121457489878544</v>
      </c>
      <c r="N8" s="2">
        <f t="shared" ref="N8:N14" si="6">H8+I8</f>
        <v>9.879999999999999</v>
      </c>
      <c r="O8" s="2">
        <v>18</v>
      </c>
      <c r="P8">
        <f t="shared" ref="P8:P14" si="7">O8/H8</f>
        <v>4.0816326530612246</v>
      </c>
    </row>
    <row r="9" spans="2:19" x14ac:dyDescent="0.35">
      <c r="B9" s="2"/>
      <c r="C9" s="2"/>
      <c r="D9" s="2"/>
      <c r="E9" s="2"/>
      <c r="F9" s="2">
        <v>35.119999999999997</v>
      </c>
      <c r="G9" s="2">
        <v>42.14</v>
      </c>
      <c r="H9" s="2">
        <f t="shared" si="0"/>
        <v>7.0200000000000031</v>
      </c>
      <c r="I9" s="2">
        <f t="shared" si="1"/>
        <v>4.740000000000002</v>
      </c>
      <c r="J9" s="2">
        <f t="shared" si="2"/>
        <v>0.59693877551020413</v>
      </c>
      <c r="K9" s="2">
        <f t="shared" si="3"/>
        <v>0.40306122448979592</v>
      </c>
      <c r="L9" s="2">
        <f t="shared" si="4"/>
        <v>0.1424501424501424</v>
      </c>
      <c r="M9" s="2">
        <f t="shared" si="5"/>
        <v>8.5034013605442146E-2</v>
      </c>
      <c r="N9" s="2">
        <f t="shared" si="6"/>
        <v>11.760000000000005</v>
      </c>
      <c r="O9" s="2">
        <v>26</v>
      </c>
      <c r="P9">
        <f t="shared" si="7"/>
        <v>3.7037037037037019</v>
      </c>
    </row>
    <row r="10" spans="2:19" x14ac:dyDescent="0.35">
      <c r="B10" s="2"/>
      <c r="C10" s="2"/>
      <c r="D10" s="2"/>
      <c r="E10" s="2"/>
      <c r="F10" s="13">
        <v>46.88</v>
      </c>
      <c r="G10" s="13">
        <v>54.25</v>
      </c>
      <c r="H10" s="2">
        <f t="shared" si="0"/>
        <v>7.3699999999999974</v>
      </c>
      <c r="I10" s="2">
        <f t="shared" si="1"/>
        <v>5.1199999999999974</v>
      </c>
      <c r="J10" s="2">
        <f t="shared" si="2"/>
        <v>0.59007205764611692</v>
      </c>
      <c r="K10" s="2">
        <f t="shared" si="3"/>
        <v>0.40992794235388308</v>
      </c>
      <c r="L10" s="2">
        <f t="shared" si="4"/>
        <v>0.13568521031207603</v>
      </c>
      <c r="M10" s="2">
        <f t="shared" si="5"/>
        <v>8.006405124099282E-2</v>
      </c>
      <c r="N10" s="2">
        <f t="shared" si="6"/>
        <v>12.489999999999995</v>
      </c>
      <c r="O10" s="13">
        <v>33</v>
      </c>
      <c r="P10">
        <f t="shared" si="7"/>
        <v>4.4776119402985088</v>
      </c>
    </row>
    <row r="11" spans="2:19" x14ac:dyDescent="0.35">
      <c r="B11" s="2"/>
      <c r="C11" s="2"/>
      <c r="D11" s="2"/>
      <c r="E11" s="2"/>
      <c r="F11" s="13">
        <v>59.37</v>
      </c>
      <c r="G11" s="13">
        <v>67.42</v>
      </c>
      <c r="H11" s="2">
        <f t="shared" si="0"/>
        <v>8.0500000000000043</v>
      </c>
      <c r="I11" s="2">
        <f t="shared" si="1"/>
        <v>5.7000000000000028</v>
      </c>
      <c r="J11" s="2">
        <f t="shared" si="2"/>
        <v>0.58545454545454545</v>
      </c>
      <c r="K11" s="2">
        <f t="shared" si="3"/>
        <v>0.41454545454545455</v>
      </c>
      <c r="L11" s="2">
        <f t="shared" si="4"/>
        <v>0.12422360248447198</v>
      </c>
      <c r="M11" s="2">
        <f t="shared" si="5"/>
        <v>7.2727272727272696E-2</v>
      </c>
      <c r="N11" s="2">
        <f t="shared" si="6"/>
        <v>13.750000000000007</v>
      </c>
      <c r="O11" s="13">
        <v>35</v>
      </c>
      <c r="P11">
        <f t="shared" si="7"/>
        <v>4.3478260869565197</v>
      </c>
    </row>
    <row r="12" spans="2:19" x14ac:dyDescent="0.35">
      <c r="B12" s="2"/>
      <c r="C12" s="2"/>
      <c r="D12" s="2"/>
      <c r="E12" s="2"/>
      <c r="F12" s="13">
        <v>73.12</v>
      </c>
      <c r="G12" s="13">
        <v>80.63</v>
      </c>
      <c r="H12" s="2">
        <f t="shared" si="0"/>
        <v>7.5099999999999909</v>
      </c>
      <c r="I12" s="2">
        <f t="shared" si="1"/>
        <v>6.0900000000000034</v>
      </c>
      <c r="J12" s="2">
        <f t="shared" si="2"/>
        <v>0.55220588235294077</v>
      </c>
      <c r="K12" s="2">
        <f t="shared" si="3"/>
        <v>0.44779411764705929</v>
      </c>
      <c r="L12" s="2">
        <f t="shared" si="4"/>
        <v>0.1331557922769642</v>
      </c>
      <c r="M12" s="2">
        <f t="shared" si="5"/>
        <v>7.3529411764705913E-2</v>
      </c>
      <c r="N12" s="2">
        <f t="shared" si="6"/>
        <v>13.599999999999994</v>
      </c>
      <c r="O12" s="13">
        <v>35</v>
      </c>
      <c r="P12">
        <f t="shared" si="7"/>
        <v>4.6604527296937475</v>
      </c>
    </row>
    <row r="13" spans="2:19" x14ac:dyDescent="0.35">
      <c r="B13" s="2"/>
      <c r="C13" s="2"/>
      <c r="D13" s="2"/>
      <c r="E13" s="2"/>
      <c r="F13" s="13">
        <v>86.72</v>
      </c>
      <c r="G13" s="13">
        <v>91.02</v>
      </c>
      <c r="H13" s="2">
        <f t="shared" si="0"/>
        <v>4.2999999999999972</v>
      </c>
      <c r="I13" s="2">
        <f t="shared" si="1"/>
        <v>5.3900000000000006</v>
      </c>
      <c r="J13" s="2">
        <f t="shared" si="2"/>
        <v>0.44375644994840024</v>
      </c>
      <c r="K13" s="2">
        <f t="shared" si="3"/>
        <v>0.55624355005159976</v>
      </c>
      <c r="L13" s="2">
        <f t="shared" si="4"/>
        <v>0.23255813953488388</v>
      </c>
      <c r="M13" s="2">
        <f t="shared" si="5"/>
        <v>0.10319917440660477</v>
      </c>
      <c r="N13" s="2">
        <f t="shared" si="6"/>
        <v>9.6899999999999977</v>
      </c>
      <c r="O13" s="13">
        <v>24</v>
      </c>
      <c r="P13">
        <f t="shared" si="7"/>
        <v>5.581395348837213</v>
      </c>
    </row>
    <row r="14" spans="2:19" x14ac:dyDescent="0.35">
      <c r="B14" s="2"/>
      <c r="C14" s="2"/>
      <c r="D14" s="2"/>
      <c r="E14" s="2"/>
      <c r="F14" s="13">
        <v>96.41</v>
      </c>
      <c r="G14" s="13">
        <v>103.98</v>
      </c>
      <c r="H14" s="2">
        <f t="shared" si="0"/>
        <v>7.5700000000000074</v>
      </c>
      <c r="I14" s="2">
        <f t="shared" si="1"/>
        <v>4.7800000000000011</v>
      </c>
      <c r="J14" s="2">
        <f t="shared" si="2"/>
        <v>0.61295546558704472</v>
      </c>
      <c r="K14" s="2">
        <f t="shared" si="3"/>
        <v>0.38704453441295528</v>
      </c>
      <c r="L14" s="2">
        <f t="shared" si="4"/>
        <v>0.13210039630118878</v>
      </c>
      <c r="M14" s="2">
        <f t="shared" si="5"/>
        <v>8.0971659919028285E-2</v>
      </c>
      <c r="N14" s="2">
        <f t="shared" si="6"/>
        <v>12.350000000000009</v>
      </c>
      <c r="O14" s="13">
        <v>36</v>
      </c>
      <c r="P14">
        <f t="shared" si="7"/>
        <v>4.7556142668427963</v>
      </c>
    </row>
    <row r="15" spans="2:19" x14ac:dyDescent="0.35">
      <c r="B15" s="2"/>
      <c r="C15" s="2"/>
      <c r="D15" s="2"/>
      <c r="E15" s="2"/>
      <c r="F15" s="13">
        <v>108.76</v>
      </c>
      <c r="G15" s="13">
        <v>114.86</v>
      </c>
      <c r="H15" s="2">
        <f t="shared" si="0"/>
        <v>6.0999999999999943</v>
      </c>
      <c r="I15" s="2"/>
      <c r="J15" s="2"/>
      <c r="K15" s="2"/>
      <c r="L15" s="2"/>
      <c r="M15" s="2"/>
      <c r="N15" s="2"/>
      <c r="O15" s="2">
        <v>32</v>
      </c>
      <c r="P15">
        <f>O15/H15</f>
        <v>5.2459016393442672</v>
      </c>
    </row>
    <row r="16" spans="2:19" x14ac:dyDescent="0.35">
      <c r="B16" s="2"/>
      <c r="C16" s="2"/>
      <c r="D16" s="2"/>
      <c r="E16" s="2"/>
      <c r="F16" s="13"/>
      <c r="G16" s="13"/>
      <c r="H16" s="2"/>
      <c r="I16" s="2"/>
      <c r="J16" s="2"/>
      <c r="K16" s="2"/>
      <c r="L16" s="2"/>
      <c r="M16" s="2"/>
      <c r="N16" s="2"/>
      <c r="O16" s="2"/>
    </row>
    <row r="17" spans="1:18" ht="16" thickBot="1" x14ac:dyDescent="0.4">
      <c r="B17" s="2"/>
      <c r="C17" s="2"/>
      <c r="D17" s="2"/>
      <c r="E17" s="2"/>
      <c r="F17" s="13"/>
      <c r="G17" s="13"/>
      <c r="H17" s="9" t="s">
        <v>3</v>
      </c>
      <c r="I17" s="9" t="s">
        <v>4</v>
      </c>
      <c r="J17" s="9" t="s">
        <v>5</v>
      </c>
      <c r="K17" s="9" t="s">
        <v>6</v>
      </c>
      <c r="L17" s="9" t="s">
        <v>7</v>
      </c>
      <c r="M17" s="9" t="s">
        <v>8</v>
      </c>
      <c r="N17" s="9" t="s">
        <v>9</v>
      </c>
      <c r="O17" s="9" t="s">
        <v>10</v>
      </c>
      <c r="P17" s="44" t="s">
        <v>139</v>
      </c>
    </row>
    <row r="18" spans="1:18" x14ac:dyDescent="0.35">
      <c r="B18" s="2"/>
      <c r="C18" s="2"/>
      <c r="D18" s="2"/>
      <c r="E18" s="2"/>
      <c r="F18" s="13"/>
      <c r="G18" s="49" t="s">
        <v>77</v>
      </c>
      <c r="H18" s="13">
        <f t="shared" ref="H18:P18" si="8">AVERAGE(H7:H15)</f>
        <v>6.52</v>
      </c>
      <c r="I18" s="13">
        <f t="shared" si="8"/>
        <v>5.2949999999999999</v>
      </c>
      <c r="J18" s="13">
        <f t="shared" si="8"/>
        <v>0.54797268541581734</v>
      </c>
      <c r="K18" s="13">
        <f t="shared" si="8"/>
        <v>0.4520273145841826</v>
      </c>
      <c r="L18" s="13">
        <f t="shared" si="8"/>
        <v>0.16055137099185871</v>
      </c>
      <c r="M18" s="13">
        <f t="shared" si="8"/>
        <v>8.5538229102315483E-2</v>
      </c>
      <c r="N18" s="13">
        <f t="shared" si="8"/>
        <v>11.867500000000001</v>
      </c>
      <c r="O18" s="13">
        <f t="shared" si="8"/>
        <v>29.222222222222221</v>
      </c>
      <c r="P18" s="13">
        <f t="shared" si="8"/>
        <v>4.5148517697547881</v>
      </c>
    </row>
    <row r="19" spans="1:18" x14ac:dyDescent="0.35">
      <c r="B19" s="2"/>
      <c r="C19" s="2"/>
      <c r="D19" s="2"/>
      <c r="E19" s="2"/>
      <c r="F19" s="13"/>
      <c r="G19" s="49" t="s">
        <v>94</v>
      </c>
      <c r="H19" s="2">
        <f>_xlfn.STDEV.S(H7:H15)</f>
        <v>1.368475429081573</v>
      </c>
      <c r="I19" s="2">
        <f t="shared" ref="I19:N19" si="9">_xlfn.STDEV.S(I7:I14)</f>
        <v>0.46139539907298077</v>
      </c>
      <c r="J19" s="2">
        <f t="shared" si="9"/>
        <v>6.6620073673742453E-2</v>
      </c>
      <c r="K19" s="2">
        <f t="shared" si="9"/>
        <v>6.6620073673742453E-2</v>
      </c>
      <c r="L19" s="2">
        <f t="shared" si="9"/>
        <v>4.3757943336284154E-2</v>
      </c>
      <c r="M19" s="2">
        <f t="shared" si="9"/>
        <v>1.1471542729376063E-2</v>
      </c>
      <c r="N19" s="2">
        <f t="shared" si="9"/>
        <v>1.5151214001336097</v>
      </c>
      <c r="O19" s="2">
        <f>_xlfn.STDEV.S(O7:O15)</f>
        <v>6.3792197363348802</v>
      </c>
      <c r="P19" s="2">
        <f>_xlfn.STDEV.S(P7:P15)</f>
        <v>0.62916029396612805</v>
      </c>
    </row>
    <row r="20" spans="1:18" x14ac:dyDescent="0.35">
      <c r="B20" s="2"/>
      <c r="C20" s="2"/>
      <c r="D20" s="2"/>
      <c r="E20" s="2"/>
      <c r="F20" s="13"/>
      <c r="G20" s="49" t="s">
        <v>95</v>
      </c>
      <c r="H20" s="2">
        <f>H19/(SQRT(COUNT(H7:H15)))</f>
        <v>0.45615847636052437</v>
      </c>
      <c r="I20" s="2">
        <f t="shared" ref="I20:N20" si="10">I19/(SQRT(COUNT(I7:I14)))</f>
        <v>0.16312790774638899</v>
      </c>
      <c r="J20" s="2">
        <f t="shared" si="10"/>
        <v>2.3553752928925337E-2</v>
      </c>
      <c r="K20" s="2">
        <f t="shared" si="10"/>
        <v>2.3553752928925337E-2</v>
      </c>
      <c r="L20" s="2">
        <f t="shared" si="10"/>
        <v>1.5470769231931612E-2</v>
      </c>
      <c r="M20" s="2">
        <f t="shared" si="10"/>
        <v>4.0558028273065243E-3</v>
      </c>
      <c r="N20" s="2">
        <f t="shared" si="10"/>
        <v>0.53567630817766587</v>
      </c>
      <c r="O20" s="2">
        <f>O19/(SQRT(COUNT(O7:O15)))</f>
        <v>2.1264065787782935</v>
      </c>
      <c r="P20" s="2">
        <f>P19/(SQRT(COUNT(P7:P15)))</f>
        <v>0.20972009798870936</v>
      </c>
    </row>
    <row r="21" spans="1:18" x14ac:dyDescent="0.35">
      <c r="B21" s="2"/>
      <c r="C21" s="2"/>
      <c r="D21" s="2"/>
      <c r="E21" s="2"/>
      <c r="F21" s="13"/>
      <c r="G21" s="13"/>
      <c r="H21" s="2"/>
      <c r="I21" s="2"/>
      <c r="J21" s="2"/>
      <c r="K21" s="2"/>
      <c r="L21" s="2"/>
      <c r="M21" s="2"/>
      <c r="N21" s="2"/>
      <c r="O21" s="2"/>
    </row>
    <row r="22" spans="1:18" x14ac:dyDescent="0.35">
      <c r="B22" s="2"/>
      <c r="C22" s="2"/>
      <c r="D22" s="2"/>
      <c r="E22" s="2"/>
      <c r="F22" s="13"/>
      <c r="G22" s="13"/>
      <c r="H22" s="2"/>
      <c r="I22" s="2"/>
      <c r="J22" s="2"/>
      <c r="K22" s="2"/>
      <c r="L22" s="2"/>
      <c r="M22" s="2"/>
      <c r="N22" s="2"/>
      <c r="O22" s="2"/>
    </row>
    <row r="23" spans="1:18" x14ac:dyDescent="0.35">
      <c r="B23" s="2"/>
      <c r="C23" s="2"/>
      <c r="D23" s="2"/>
      <c r="E23" s="2"/>
      <c r="F23" s="2"/>
      <c r="G23" s="2"/>
      <c r="H23" s="2"/>
      <c r="I23" s="2"/>
      <c r="J23" s="2"/>
      <c r="K23" s="2"/>
      <c r="L23" s="2"/>
      <c r="M23" s="2"/>
      <c r="N23" s="2"/>
      <c r="O23" s="2"/>
    </row>
    <row r="24" spans="1:18" x14ac:dyDescent="0.35">
      <c r="B24" s="2"/>
      <c r="C24" s="2"/>
      <c r="D24" s="2"/>
      <c r="E24" s="2"/>
      <c r="F24" s="2"/>
      <c r="G24" s="2"/>
      <c r="H24" s="49"/>
      <c r="I24" s="49"/>
      <c r="J24" s="49"/>
      <c r="K24" s="49"/>
      <c r="L24" s="49"/>
      <c r="M24" s="49"/>
      <c r="N24" s="49"/>
      <c r="O24" s="2"/>
    </row>
    <row r="25" spans="1:18" x14ac:dyDescent="0.35">
      <c r="A25" s="8"/>
      <c r="B25" s="6" t="s">
        <v>24</v>
      </c>
      <c r="D25" s="2"/>
      <c r="E25" s="2"/>
      <c r="F25" s="2"/>
      <c r="G25" s="2"/>
      <c r="H25" s="2"/>
      <c r="I25" s="2"/>
      <c r="J25" s="2"/>
      <c r="K25" s="2"/>
      <c r="L25" s="2"/>
      <c r="M25" s="2"/>
      <c r="N25" s="2"/>
      <c r="O25" s="2"/>
    </row>
    <row r="26" spans="1:18" x14ac:dyDescent="0.35">
      <c r="A26" s="7"/>
      <c r="B26" s="6" t="s">
        <v>72</v>
      </c>
      <c r="D26" s="2"/>
      <c r="E26" s="2"/>
      <c r="F26" s="2"/>
      <c r="G26" s="2"/>
      <c r="H26" s="2"/>
      <c r="I26" s="2"/>
      <c r="J26" s="2"/>
      <c r="K26" s="2"/>
      <c r="L26" s="2"/>
      <c r="M26" s="2"/>
      <c r="N26" s="2"/>
      <c r="O26" s="2"/>
    </row>
    <row r="27" spans="1:18" x14ac:dyDescent="0.35">
      <c r="B27" s="2"/>
      <c r="C27" s="2"/>
      <c r="D27" s="2"/>
      <c r="E27" s="2"/>
      <c r="F27" s="2"/>
      <c r="G27" s="2"/>
      <c r="H27" s="2"/>
      <c r="I27" s="2"/>
      <c r="J27" s="2"/>
      <c r="K27" s="2"/>
      <c r="L27" s="2"/>
      <c r="M27" s="2"/>
      <c r="N27" s="2"/>
      <c r="O27" s="2"/>
    </row>
    <row r="28" spans="1:18" ht="18.5" x14ac:dyDescent="0.45">
      <c r="B28" s="2"/>
      <c r="C28" s="2"/>
      <c r="D28" s="2"/>
      <c r="E28" s="2"/>
      <c r="F28" s="1" t="s">
        <v>22</v>
      </c>
      <c r="G28" s="2"/>
      <c r="H28" s="2"/>
      <c r="I28" s="2"/>
      <c r="J28" s="2"/>
      <c r="K28" s="2"/>
      <c r="L28" s="2"/>
      <c r="M28" s="2"/>
      <c r="N28" s="2"/>
      <c r="O28" s="2"/>
    </row>
    <row r="29" spans="1:18" ht="16" thickBot="1" x14ac:dyDescent="0.4">
      <c r="B29" s="9" t="s">
        <v>18</v>
      </c>
      <c r="C29" s="9" t="s">
        <v>17</v>
      </c>
      <c r="D29" s="9" t="s">
        <v>20</v>
      </c>
      <c r="E29" s="5"/>
      <c r="F29" s="9" t="s">
        <v>1</v>
      </c>
      <c r="G29" s="9" t="s">
        <v>2</v>
      </c>
      <c r="H29" s="9" t="s">
        <v>3</v>
      </c>
      <c r="I29" s="9" t="s">
        <v>4</v>
      </c>
      <c r="J29" s="9" t="s">
        <v>5</v>
      </c>
      <c r="K29" s="9" t="s">
        <v>6</v>
      </c>
      <c r="L29" s="9" t="s">
        <v>7</v>
      </c>
      <c r="M29" s="9" t="s">
        <v>8</v>
      </c>
      <c r="N29" s="9" t="s">
        <v>9</v>
      </c>
      <c r="O29" s="9" t="s">
        <v>10</v>
      </c>
      <c r="P29" s="44" t="s">
        <v>139</v>
      </c>
      <c r="R29" s="44" t="s">
        <v>134</v>
      </c>
    </row>
    <row r="30" spans="1:18" x14ac:dyDescent="0.35">
      <c r="B30" s="145"/>
      <c r="C30" s="146"/>
      <c r="D30" s="147"/>
      <c r="E30" s="13"/>
      <c r="F30" s="148">
        <v>9.15</v>
      </c>
      <c r="G30" s="13">
        <v>16.7</v>
      </c>
      <c r="H30" s="13">
        <f>G30-F30</f>
        <v>7.5499999999999989</v>
      </c>
      <c r="I30" s="13">
        <f>F31-G30</f>
        <v>5.84</v>
      </c>
      <c r="J30" s="2">
        <f>H30/N30</f>
        <v>0.56385362210604928</v>
      </c>
      <c r="K30" s="2">
        <f>I30/N30</f>
        <v>0.43614637789395072</v>
      </c>
      <c r="L30" s="2">
        <f>1/H30</f>
        <v>0.13245033112582782</v>
      </c>
      <c r="M30" s="2">
        <f>1/N30</f>
        <v>7.4682598954443624E-2</v>
      </c>
      <c r="N30" s="2">
        <f>H30+I30</f>
        <v>13.389999999999999</v>
      </c>
      <c r="O30" s="2">
        <v>43</v>
      </c>
      <c r="P30">
        <f>O30/H30</f>
        <v>5.6953642384105967</v>
      </c>
      <c r="R30" t="s">
        <v>135</v>
      </c>
    </row>
    <row r="31" spans="1:18" x14ac:dyDescent="0.35">
      <c r="B31" s="144">
        <v>23.43</v>
      </c>
      <c r="C31" s="144">
        <v>31.28</v>
      </c>
      <c r="D31" s="144">
        <f>C31-B31</f>
        <v>7.8500000000000014</v>
      </c>
      <c r="E31" s="144"/>
      <c r="F31" s="144">
        <v>22.54</v>
      </c>
      <c r="G31" s="144">
        <v>24.82</v>
      </c>
      <c r="H31" s="91">
        <f t="shared" ref="H31:H45" si="11">G31-F31</f>
        <v>2.2800000000000011</v>
      </c>
      <c r="I31" s="91">
        <f t="shared" ref="I31:I45" si="12">F32-G31</f>
        <v>7.7800000000000011</v>
      </c>
      <c r="J31" s="91">
        <f t="shared" ref="J31:J45" si="13">H31/N31</f>
        <v>0.22664015904572571</v>
      </c>
      <c r="K31" s="91">
        <f t="shared" ref="K31:K45" si="14">I31/N31</f>
        <v>0.77335984095427435</v>
      </c>
      <c r="L31" s="91">
        <f t="shared" ref="L31:L45" si="15">1/H31</f>
        <v>0.43859649122806993</v>
      </c>
      <c r="M31" s="91">
        <f t="shared" ref="M31:M76" si="16">1/N31</f>
        <v>9.9403578528827016E-2</v>
      </c>
      <c r="N31" s="91">
        <f t="shared" ref="N31:N45" si="17">H31+I31</f>
        <v>10.060000000000002</v>
      </c>
      <c r="O31" s="144">
        <v>12</v>
      </c>
      <c r="P31" s="144">
        <f t="shared" ref="P31:P45" si="18">O31/H31</f>
        <v>5.2631578947368398</v>
      </c>
    </row>
    <row r="32" spans="1:18" x14ac:dyDescent="0.35">
      <c r="F32">
        <v>32.6</v>
      </c>
      <c r="G32">
        <v>43.8</v>
      </c>
      <c r="H32" s="13">
        <f t="shared" si="11"/>
        <v>11.199999999999996</v>
      </c>
      <c r="I32" s="13">
        <f t="shared" si="12"/>
        <v>5.7800000000000011</v>
      </c>
      <c r="J32" s="2">
        <f t="shared" si="13"/>
        <v>0.6595995288574793</v>
      </c>
      <c r="K32" s="2">
        <f t="shared" si="14"/>
        <v>0.34040047114252076</v>
      </c>
      <c r="L32" s="2">
        <f t="shared" si="15"/>
        <v>8.9285714285714315E-2</v>
      </c>
      <c r="M32" s="2">
        <f t="shared" si="16"/>
        <v>5.8892815076560669E-2</v>
      </c>
      <c r="N32" s="2">
        <f t="shared" si="17"/>
        <v>16.979999999999997</v>
      </c>
      <c r="O32">
        <v>65</v>
      </c>
      <c r="P32">
        <f t="shared" si="18"/>
        <v>5.8035714285714306</v>
      </c>
    </row>
    <row r="33" spans="2:18" x14ac:dyDescent="0.35">
      <c r="F33">
        <v>49.58</v>
      </c>
      <c r="G33">
        <v>57.67</v>
      </c>
      <c r="H33" s="13">
        <f t="shared" si="11"/>
        <v>8.0900000000000034</v>
      </c>
      <c r="I33" s="13">
        <f t="shared" si="12"/>
        <v>4.9600000000000009</v>
      </c>
      <c r="J33" s="2">
        <f t="shared" si="13"/>
        <v>0.61992337164750966</v>
      </c>
      <c r="K33" s="2">
        <f t="shared" si="14"/>
        <v>0.38007662835249034</v>
      </c>
      <c r="L33" s="2">
        <f t="shared" si="15"/>
        <v>0.12360939431396781</v>
      </c>
      <c r="M33" s="2">
        <f t="shared" si="16"/>
        <v>7.6628352490421436E-2</v>
      </c>
      <c r="N33" s="2">
        <f t="shared" si="17"/>
        <v>13.050000000000004</v>
      </c>
      <c r="O33">
        <v>46</v>
      </c>
      <c r="P33">
        <f t="shared" si="18"/>
        <v>5.6860321384425196</v>
      </c>
    </row>
    <row r="34" spans="2:18" x14ac:dyDescent="0.35">
      <c r="F34">
        <v>62.63</v>
      </c>
      <c r="G34">
        <v>70.12</v>
      </c>
      <c r="H34" s="13">
        <f t="shared" si="11"/>
        <v>7.490000000000002</v>
      </c>
      <c r="I34" s="13">
        <f t="shared" si="12"/>
        <v>5.6400000000000006</v>
      </c>
      <c r="J34" s="2">
        <f t="shared" si="13"/>
        <v>0.57044935262757046</v>
      </c>
      <c r="K34" s="2">
        <f t="shared" si="14"/>
        <v>0.42955064737242948</v>
      </c>
      <c r="L34" s="2">
        <f t="shared" si="15"/>
        <v>0.13351134846461946</v>
      </c>
      <c r="M34" s="2">
        <f t="shared" si="16"/>
        <v>7.6161462300076144E-2</v>
      </c>
      <c r="N34" s="2">
        <f t="shared" si="17"/>
        <v>13.130000000000003</v>
      </c>
      <c r="O34">
        <v>45</v>
      </c>
      <c r="P34">
        <f t="shared" si="18"/>
        <v>6.0080106809078755</v>
      </c>
    </row>
    <row r="35" spans="2:18" x14ac:dyDescent="0.35">
      <c r="B35" s="144">
        <v>76.42</v>
      </c>
      <c r="C35" s="144">
        <v>84.31</v>
      </c>
      <c r="D35" s="144">
        <f>C35-B35</f>
        <v>7.8900000000000006</v>
      </c>
      <c r="E35" s="144"/>
      <c r="F35" s="144">
        <v>75.760000000000005</v>
      </c>
      <c r="G35" s="144">
        <v>78.569999999999993</v>
      </c>
      <c r="H35" s="91">
        <f t="shared" si="11"/>
        <v>2.8099999999999881</v>
      </c>
      <c r="I35" s="91">
        <f t="shared" si="12"/>
        <v>8.0700000000000074</v>
      </c>
      <c r="J35" s="91">
        <f t="shared" si="13"/>
        <v>0.25827205882352844</v>
      </c>
      <c r="K35" s="91">
        <f t="shared" si="14"/>
        <v>0.74172794117647156</v>
      </c>
      <c r="L35" s="91">
        <f t="shared" si="15"/>
        <v>0.35587188612099796</v>
      </c>
      <c r="M35" s="91">
        <f t="shared" si="16"/>
        <v>9.1911764705882387E-2</v>
      </c>
      <c r="N35" s="91">
        <f t="shared" si="17"/>
        <v>10.879999999999995</v>
      </c>
      <c r="O35" s="144">
        <v>15</v>
      </c>
      <c r="P35" s="144">
        <f t="shared" si="18"/>
        <v>5.338078291814969</v>
      </c>
    </row>
    <row r="36" spans="2:18" x14ac:dyDescent="0.35">
      <c r="D36" s="85"/>
      <c r="F36">
        <v>86.64</v>
      </c>
      <c r="G36">
        <v>95.88</v>
      </c>
      <c r="H36" s="13">
        <f t="shared" si="11"/>
        <v>9.2399999999999949</v>
      </c>
      <c r="I36" s="13">
        <f t="shared" si="12"/>
        <v>5.5500000000000114</v>
      </c>
      <c r="J36" s="2">
        <f t="shared" si="13"/>
        <v>0.62474645030425902</v>
      </c>
      <c r="K36" s="2">
        <f t="shared" si="14"/>
        <v>0.37525354969574098</v>
      </c>
      <c r="L36" s="2">
        <f t="shared" si="15"/>
        <v>0.10822510822510828</v>
      </c>
      <c r="M36" s="2">
        <f t="shared" si="16"/>
        <v>6.7613252197430668E-2</v>
      </c>
      <c r="N36" s="2">
        <f t="shared" si="17"/>
        <v>14.790000000000006</v>
      </c>
      <c r="O36">
        <v>66</v>
      </c>
      <c r="P36">
        <f t="shared" si="18"/>
        <v>7.1428571428571468</v>
      </c>
    </row>
    <row r="37" spans="2:18" x14ac:dyDescent="0.35">
      <c r="F37">
        <v>101.43</v>
      </c>
      <c r="G37">
        <v>108.48</v>
      </c>
      <c r="H37" s="13">
        <f t="shared" si="11"/>
        <v>7.0499999999999972</v>
      </c>
      <c r="I37" s="13">
        <f t="shared" si="12"/>
        <v>4.8299999999999983</v>
      </c>
      <c r="J37" s="2">
        <f t="shared" si="13"/>
        <v>0.59343434343434343</v>
      </c>
      <c r="K37" s="2">
        <f t="shared" si="14"/>
        <v>0.40656565656565657</v>
      </c>
      <c r="L37" s="2">
        <f t="shared" si="15"/>
        <v>0.14184397163120574</v>
      </c>
      <c r="M37" s="2">
        <f t="shared" si="16"/>
        <v>8.4175084175084208E-2</v>
      </c>
      <c r="N37" s="2">
        <f t="shared" si="17"/>
        <v>11.879999999999995</v>
      </c>
      <c r="O37">
        <v>46</v>
      </c>
      <c r="P37">
        <f t="shared" si="18"/>
        <v>6.5248226950354633</v>
      </c>
    </row>
    <row r="38" spans="2:18" x14ac:dyDescent="0.35">
      <c r="F38">
        <v>113.31</v>
      </c>
      <c r="G38">
        <v>119.4</v>
      </c>
      <c r="H38" s="13">
        <f t="shared" si="11"/>
        <v>6.0900000000000034</v>
      </c>
      <c r="I38" s="13">
        <f t="shared" si="12"/>
        <v>5.3900000000000006</v>
      </c>
      <c r="J38" s="2">
        <f t="shared" si="13"/>
        <v>0.53048780487804892</v>
      </c>
      <c r="K38" s="2">
        <f t="shared" si="14"/>
        <v>0.46951219512195108</v>
      </c>
      <c r="L38" s="2">
        <f t="shared" si="15"/>
        <v>0.16420361247947446</v>
      </c>
      <c r="M38" s="2">
        <f t="shared" si="16"/>
        <v>8.7108013937282194E-2</v>
      </c>
      <c r="N38" s="2">
        <f t="shared" si="17"/>
        <v>11.480000000000004</v>
      </c>
      <c r="O38">
        <v>40</v>
      </c>
      <c r="P38">
        <f t="shared" si="18"/>
        <v>6.5681444991789784</v>
      </c>
    </row>
    <row r="39" spans="2:18" x14ac:dyDescent="0.35">
      <c r="B39" s="144">
        <v>7.1</v>
      </c>
      <c r="C39" s="144">
        <v>14.94</v>
      </c>
      <c r="D39" s="144">
        <f>C39-B39</f>
        <v>7.84</v>
      </c>
      <c r="E39" s="144"/>
      <c r="F39" s="144">
        <v>124.79</v>
      </c>
      <c r="G39" s="144">
        <v>128.88999999999999</v>
      </c>
      <c r="H39" s="91">
        <f t="shared" si="11"/>
        <v>4.0999999999999801</v>
      </c>
      <c r="I39" s="91">
        <f t="shared" si="12"/>
        <v>8.0100000000000193</v>
      </c>
      <c r="J39" s="91">
        <f t="shared" si="13"/>
        <v>0.3385631709331115</v>
      </c>
      <c r="K39" s="91">
        <f t="shared" si="14"/>
        <v>0.6614368290668885</v>
      </c>
      <c r="L39" s="91">
        <f t="shared" si="15"/>
        <v>0.24390243902439143</v>
      </c>
      <c r="M39" s="91">
        <f t="shared" si="16"/>
        <v>8.2576383154417843E-2</v>
      </c>
      <c r="N39" s="91">
        <f t="shared" si="17"/>
        <v>12.11</v>
      </c>
      <c r="O39" s="144">
        <v>25</v>
      </c>
      <c r="P39" s="144">
        <f t="shared" si="18"/>
        <v>6.0975609756097855</v>
      </c>
      <c r="R39" t="s">
        <v>136</v>
      </c>
    </row>
    <row r="40" spans="2:18" x14ac:dyDescent="0.35">
      <c r="F40">
        <f>16.9+120</f>
        <v>136.9</v>
      </c>
      <c r="G40">
        <f>120+26.64</f>
        <v>146.63999999999999</v>
      </c>
      <c r="H40" s="13">
        <f t="shared" si="11"/>
        <v>9.7399999999999807</v>
      </c>
      <c r="I40" s="13">
        <f t="shared" si="12"/>
        <v>5.1200000000000045</v>
      </c>
      <c r="J40" s="2">
        <f t="shared" si="13"/>
        <v>0.65545087483176245</v>
      </c>
      <c r="K40" s="2">
        <f t="shared" si="14"/>
        <v>0.34454912516823755</v>
      </c>
      <c r="L40" s="2">
        <f t="shared" si="15"/>
        <v>0.102669404517454</v>
      </c>
      <c r="M40" s="2">
        <f t="shared" si="16"/>
        <v>6.7294751009421339E-2</v>
      </c>
      <c r="N40" s="2">
        <f t="shared" si="17"/>
        <v>14.859999999999985</v>
      </c>
      <c r="O40">
        <v>71</v>
      </c>
      <c r="P40">
        <f t="shared" si="18"/>
        <v>7.2895277207392342</v>
      </c>
    </row>
    <row r="41" spans="2:18" x14ac:dyDescent="0.35">
      <c r="F41">
        <f>120+31.76</f>
        <v>151.76</v>
      </c>
      <c r="G41">
        <f>120+39.12</f>
        <v>159.12</v>
      </c>
      <c r="H41" s="13">
        <f t="shared" si="11"/>
        <v>7.3600000000000136</v>
      </c>
      <c r="I41" s="13">
        <f t="shared" si="12"/>
        <v>5.5500000000000114</v>
      </c>
      <c r="J41" s="2">
        <f t="shared" si="13"/>
        <v>0.57010069713400457</v>
      </c>
      <c r="K41" s="2">
        <f t="shared" si="14"/>
        <v>0.42989930286599543</v>
      </c>
      <c r="L41" s="2">
        <f t="shared" si="15"/>
        <v>0.13586956521739105</v>
      </c>
      <c r="M41" s="2">
        <f t="shared" si="16"/>
        <v>7.7459333849728737E-2</v>
      </c>
      <c r="N41" s="2">
        <f t="shared" si="17"/>
        <v>12.910000000000025</v>
      </c>
      <c r="O41">
        <v>52</v>
      </c>
      <c r="P41">
        <f t="shared" si="18"/>
        <v>7.0652173913043343</v>
      </c>
    </row>
    <row r="42" spans="2:18" x14ac:dyDescent="0.35">
      <c r="B42" s="144">
        <v>45.27</v>
      </c>
      <c r="C42" s="144">
        <v>53.14</v>
      </c>
      <c r="D42" s="144">
        <f>C42-B42</f>
        <v>7.8699999999999974</v>
      </c>
      <c r="E42" s="144"/>
      <c r="F42" s="144">
        <f>120+44.67</f>
        <v>164.67000000000002</v>
      </c>
      <c r="G42" s="144">
        <f>120+47.51</f>
        <v>167.51</v>
      </c>
      <c r="H42" s="91">
        <f t="shared" si="11"/>
        <v>2.839999999999975</v>
      </c>
      <c r="I42" s="91">
        <f t="shared" si="12"/>
        <v>7.9500000000000171</v>
      </c>
      <c r="J42" s="91">
        <f t="shared" si="13"/>
        <v>0.26320667284522492</v>
      </c>
      <c r="K42" s="91">
        <f t="shared" si="14"/>
        <v>0.73679332715477508</v>
      </c>
      <c r="L42" s="91">
        <f t="shared" si="15"/>
        <v>0.35211267605634111</v>
      </c>
      <c r="M42" s="91">
        <f t="shared" si="16"/>
        <v>9.2678405931418045E-2</v>
      </c>
      <c r="N42" s="91">
        <f t="shared" si="17"/>
        <v>10.789999999999992</v>
      </c>
      <c r="O42" s="144">
        <v>21</v>
      </c>
      <c r="P42" s="144">
        <f t="shared" si="18"/>
        <v>7.3943661971831638</v>
      </c>
    </row>
    <row r="43" spans="2:18" x14ac:dyDescent="0.35">
      <c r="F43">
        <f>120+55.46</f>
        <v>175.46</v>
      </c>
      <c r="G43">
        <f>120+65.61</f>
        <v>185.61</v>
      </c>
      <c r="H43" s="13">
        <f t="shared" si="11"/>
        <v>10.150000000000006</v>
      </c>
      <c r="I43" s="13">
        <f t="shared" si="12"/>
        <v>5.5099999999999909</v>
      </c>
      <c r="J43" s="2">
        <f t="shared" si="13"/>
        <v>0.6481481481481487</v>
      </c>
      <c r="K43" s="2">
        <f t="shared" si="14"/>
        <v>0.35185185185185136</v>
      </c>
      <c r="L43" s="2">
        <f t="shared" si="15"/>
        <v>9.8522167487684678E-2</v>
      </c>
      <c r="M43" s="2">
        <f t="shared" si="16"/>
        <v>6.3856960408684563E-2</v>
      </c>
      <c r="N43" s="2">
        <f t="shared" si="17"/>
        <v>15.659999999999997</v>
      </c>
      <c r="O43">
        <v>77</v>
      </c>
      <c r="P43">
        <f t="shared" si="18"/>
        <v>7.5862068965517198</v>
      </c>
    </row>
    <row r="44" spans="2:18" x14ac:dyDescent="0.35">
      <c r="F44">
        <f>120+71.12</f>
        <v>191.12</v>
      </c>
      <c r="G44">
        <f>120+74.7</f>
        <v>194.7</v>
      </c>
      <c r="H44" s="13">
        <f t="shared" si="11"/>
        <v>3.5799999999999841</v>
      </c>
      <c r="I44" s="13">
        <f t="shared" si="12"/>
        <v>4.460000000000008</v>
      </c>
      <c r="J44" s="2">
        <f t="shared" si="13"/>
        <v>0.44527363184079449</v>
      </c>
      <c r="K44" s="2">
        <f t="shared" si="14"/>
        <v>0.55472636815920551</v>
      </c>
      <c r="L44" s="2">
        <f t="shared" si="15"/>
        <v>0.27932960893854875</v>
      </c>
      <c r="M44" s="2">
        <f t="shared" si="16"/>
        <v>0.12437810945273645</v>
      </c>
      <c r="N44" s="2">
        <f t="shared" si="17"/>
        <v>8.039999999999992</v>
      </c>
      <c r="O44">
        <v>29</v>
      </c>
      <c r="P44">
        <f t="shared" si="18"/>
        <v>8.1005586592179135</v>
      </c>
    </row>
    <row r="45" spans="2:18" x14ac:dyDescent="0.35">
      <c r="B45" s="144">
        <v>80.069999999999993</v>
      </c>
      <c r="C45" s="144">
        <v>87.93</v>
      </c>
      <c r="D45" s="144">
        <f>C45-B45</f>
        <v>7.8600000000000136</v>
      </c>
      <c r="E45" s="144"/>
      <c r="F45" s="144">
        <f>120+79.16</f>
        <v>199.16</v>
      </c>
      <c r="G45" s="144">
        <f>120+82.84</f>
        <v>202.84</v>
      </c>
      <c r="H45" s="91">
        <f t="shared" si="11"/>
        <v>3.6800000000000068</v>
      </c>
      <c r="I45" s="91">
        <f t="shared" si="12"/>
        <v>8.2000000000000171</v>
      </c>
      <c r="J45" s="91">
        <f t="shared" si="13"/>
        <v>0.30976430976430974</v>
      </c>
      <c r="K45" s="91">
        <f t="shared" si="14"/>
        <v>0.69023569023569031</v>
      </c>
      <c r="L45" s="91">
        <f t="shared" si="15"/>
        <v>0.27173913043478209</v>
      </c>
      <c r="M45" s="91">
        <f t="shared" si="16"/>
        <v>8.4175084175084E-2</v>
      </c>
      <c r="N45" s="91">
        <f t="shared" si="17"/>
        <v>11.880000000000024</v>
      </c>
      <c r="O45" s="144">
        <v>30</v>
      </c>
      <c r="P45" s="144">
        <f t="shared" si="18"/>
        <v>8.1521739130434625</v>
      </c>
    </row>
    <row r="46" spans="2:18" x14ac:dyDescent="0.35">
      <c r="F46">
        <f>120+91.04</f>
        <v>211.04000000000002</v>
      </c>
      <c r="G46">
        <f>120+99.71</f>
        <v>219.70999999999998</v>
      </c>
      <c r="H46" s="13">
        <f t="shared" ref="H46:H52" si="19">G46-F46</f>
        <v>8.6699999999999591</v>
      </c>
      <c r="I46" s="13">
        <f t="shared" ref="I46:I52" si="20">F47-G46</f>
        <v>5.9400000000000261</v>
      </c>
      <c r="J46" s="2">
        <f t="shared" ref="J46:J52" si="21">H46/N46</f>
        <v>0.59342915811088071</v>
      </c>
      <c r="K46" s="2">
        <f t="shared" ref="K46:K52" si="22">I46/N46</f>
        <v>0.40657084188911924</v>
      </c>
      <c r="L46" s="2">
        <f t="shared" ref="L46:L52" si="23">1/H46</f>
        <v>0.11534025374855879</v>
      </c>
      <c r="M46" s="2">
        <f t="shared" si="16"/>
        <v>6.8446269678302599E-2</v>
      </c>
      <c r="N46" s="2">
        <f t="shared" ref="N46:N52" si="24">H46+I46</f>
        <v>14.609999999999985</v>
      </c>
      <c r="O46">
        <v>71</v>
      </c>
      <c r="P46">
        <f t="shared" ref="P46:P52" si="25">O46/H46</f>
        <v>8.1891580161476742</v>
      </c>
    </row>
    <row r="47" spans="2:18" x14ac:dyDescent="0.35">
      <c r="B47" s="144">
        <v>105.2</v>
      </c>
      <c r="C47" s="144">
        <v>112.07</v>
      </c>
      <c r="D47" s="144">
        <f>C47-B47</f>
        <v>6.8699999999999903</v>
      </c>
      <c r="E47" s="144"/>
      <c r="F47" s="144">
        <f>120+105.65</f>
        <v>225.65</v>
      </c>
      <c r="G47" s="144">
        <f>120+108.82</f>
        <v>228.82</v>
      </c>
      <c r="H47" s="91">
        <f t="shared" si="19"/>
        <v>3.1699999999999875</v>
      </c>
      <c r="I47" s="91">
        <f t="shared" si="20"/>
        <v>6.3400000000000034</v>
      </c>
      <c r="J47" s="91">
        <f t="shared" si="21"/>
        <v>0.33333333333333232</v>
      </c>
      <c r="K47" s="91">
        <f t="shared" si="22"/>
        <v>0.66666666666666763</v>
      </c>
      <c r="L47" s="91">
        <f t="shared" si="23"/>
        <v>0.31545741324921261</v>
      </c>
      <c r="M47" s="91">
        <f t="shared" si="16"/>
        <v>0.10515247108307055</v>
      </c>
      <c r="N47" s="91">
        <f t="shared" si="24"/>
        <v>9.5099999999999909</v>
      </c>
      <c r="O47" s="144">
        <v>21</v>
      </c>
      <c r="P47" s="144">
        <f t="shared" si="25"/>
        <v>6.6246056782334648</v>
      </c>
    </row>
    <row r="48" spans="2:18" x14ac:dyDescent="0.35">
      <c r="F48">
        <f>120+115.16</f>
        <v>235.16</v>
      </c>
      <c r="G48">
        <f>240+5.62</f>
        <v>245.62</v>
      </c>
      <c r="H48" s="13">
        <f t="shared" si="19"/>
        <v>10.460000000000008</v>
      </c>
      <c r="I48" s="13">
        <f t="shared" si="20"/>
        <v>5.4300000000000068</v>
      </c>
      <c r="J48" s="2">
        <f t="shared" si="21"/>
        <v>0.65827564505978586</v>
      </c>
      <c r="K48" s="2">
        <f t="shared" si="22"/>
        <v>0.34172435494021408</v>
      </c>
      <c r="L48" s="2">
        <f t="shared" si="23"/>
        <v>9.560229445506685E-2</v>
      </c>
      <c r="M48" s="2">
        <f t="shared" si="16"/>
        <v>6.2932662051604721E-2</v>
      </c>
      <c r="N48" s="2">
        <f t="shared" si="24"/>
        <v>15.890000000000015</v>
      </c>
      <c r="O48">
        <v>83</v>
      </c>
      <c r="P48">
        <f t="shared" si="25"/>
        <v>7.9349904397705489</v>
      </c>
      <c r="R48" t="s">
        <v>137</v>
      </c>
    </row>
    <row r="49" spans="2:18" x14ac:dyDescent="0.35">
      <c r="F49">
        <f>240+11.05</f>
        <v>251.05</v>
      </c>
      <c r="G49">
        <f>240+16.14</f>
        <v>256.14</v>
      </c>
      <c r="H49" s="13">
        <f t="shared" si="19"/>
        <v>5.089999999999975</v>
      </c>
      <c r="I49" s="13">
        <f t="shared" si="20"/>
        <v>5.2200000000000273</v>
      </c>
      <c r="J49" s="2">
        <f t="shared" si="21"/>
        <v>0.49369544131910514</v>
      </c>
      <c r="K49" s="2">
        <f t="shared" si="22"/>
        <v>0.50630455868089486</v>
      </c>
      <c r="L49" s="2">
        <f t="shared" si="23"/>
        <v>0.19646365422396952</v>
      </c>
      <c r="M49" s="2">
        <f t="shared" si="16"/>
        <v>9.6993210475266711E-2</v>
      </c>
      <c r="N49" s="2">
        <f t="shared" si="24"/>
        <v>10.310000000000002</v>
      </c>
      <c r="O49" s="85">
        <v>41</v>
      </c>
      <c r="P49">
        <f t="shared" si="25"/>
        <v>8.0550098231827505</v>
      </c>
    </row>
    <row r="50" spans="2:18" x14ac:dyDescent="0.35">
      <c r="F50">
        <f>240+21.36</f>
        <v>261.36</v>
      </c>
      <c r="G50">
        <f>240+26.24</f>
        <v>266.24</v>
      </c>
      <c r="H50" s="13">
        <f t="shared" si="19"/>
        <v>4.8799999999999955</v>
      </c>
      <c r="I50" s="13">
        <f t="shared" si="20"/>
        <v>4.7599999999999909</v>
      </c>
      <c r="J50" s="2">
        <f t="shared" si="21"/>
        <v>0.50622406639004169</v>
      </c>
      <c r="K50" s="2">
        <f t="shared" si="22"/>
        <v>0.49377593360995825</v>
      </c>
      <c r="L50" s="2">
        <f t="shared" si="23"/>
        <v>0.20491803278688545</v>
      </c>
      <c r="M50" s="2">
        <f t="shared" si="16"/>
        <v>0.10373443983402504</v>
      </c>
      <c r="N50" s="2">
        <f t="shared" si="24"/>
        <v>9.6399999999999864</v>
      </c>
      <c r="O50" s="85">
        <v>40</v>
      </c>
      <c r="P50">
        <f t="shared" si="25"/>
        <v>8.196721311475418</v>
      </c>
    </row>
    <row r="51" spans="2:18" x14ac:dyDescent="0.35">
      <c r="B51" s="144">
        <v>31.75</v>
      </c>
      <c r="C51" s="144">
        <v>38.61</v>
      </c>
      <c r="D51" s="144">
        <f>C51-B51</f>
        <v>6.8599999999999994</v>
      </c>
      <c r="E51" s="144"/>
      <c r="F51" s="144">
        <f>240+31</f>
        <v>271</v>
      </c>
      <c r="G51" s="144">
        <f>240+33.83</f>
        <v>273.83</v>
      </c>
      <c r="H51" s="91">
        <f t="shared" si="19"/>
        <v>2.8299999999999841</v>
      </c>
      <c r="I51" s="91">
        <f t="shared" si="20"/>
        <v>7.9700000000000273</v>
      </c>
      <c r="J51" s="91">
        <f t="shared" si="21"/>
        <v>0.26203703703703529</v>
      </c>
      <c r="K51" s="91">
        <f t="shared" si="22"/>
        <v>0.73796296296296471</v>
      </c>
      <c r="L51" s="91">
        <f t="shared" si="23"/>
        <v>0.35335689045936597</v>
      </c>
      <c r="M51" s="91">
        <f t="shared" si="16"/>
        <v>9.259259259259249E-2</v>
      </c>
      <c r="N51" s="91">
        <f t="shared" si="24"/>
        <v>10.800000000000011</v>
      </c>
      <c r="O51" s="144">
        <v>22</v>
      </c>
      <c r="P51" s="144">
        <f t="shared" si="25"/>
        <v>7.7738515901060508</v>
      </c>
    </row>
    <row r="52" spans="2:18" x14ac:dyDescent="0.35">
      <c r="F52">
        <f>240+41.8</f>
        <v>281.8</v>
      </c>
      <c r="G52">
        <f>240+52.37</f>
        <v>292.37</v>
      </c>
      <c r="H52" s="13">
        <f t="shared" si="19"/>
        <v>10.569999999999993</v>
      </c>
      <c r="I52" s="13">
        <f t="shared" si="20"/>
        <v>5.5799999999999841</v>
      </c>
      <c r="J52" s="2">
        <f t="shared" si="21"/>
        <v>0.65448916408668778</v>
      </c>
      <c r="K52" s="2">
        <f t="shared" si="22"/>
        <v>0.34551083591331222</v>
      </c>
      <c r="L52" s="2">
        <f t="shared" si="23"/>
        <v>9.4607379375591355E-2</v>
      </c>
      <c r="M52" s="2">
        <f t="shared" si="16"/>
        <v>6.1919504643962939E-2</v>
      </c>
      <c r="N52" s="2">
        <f t="shared" si="24"/>
        <v>16.149999999999977</v>
      </c>
      <c r="O52" s="85">
        <v>87</v>
      </c>
      <c r="P52">
        <f t="shared" si="25"/>
        <v>8.2308420056764486</v>
      </c>
    </row>
    <row r="53" spans="2:18" x14ac:dyDescent="0.35">
      <c r="F53">
        <f>240+57.95</f>
        <v>297.95</v>
      </c>
      <c r="G53">
        <f>240+64.61</f>
        <v>304.61</v>
      </c>
      <c r="H53" s="13">
        <f t="shared" ref="H53:H58" si="26">G53-F53</f>
        <v>6.660000000000025</v>
      </c>
      <c r="I53" s="13">
        <f t="shared" ref="I53:I58" si="27">F54-G53</f>
        <v>6.0699999999999932</v>
      </c>
      <c r="J53" s="2">
        <f t="shared" ref="J53:J58" si="28">H53/N53</f>
        <v>0.52317360565593207</v>
      </c>
      <c r="K53" s="2">
        <f t="shared" ref="K53:K58" si="29">I53/N53</f>
        <v>0.47682639434406793</v>
      </c>
      <c r="L53" s="2">
        <f t="shared" ref="L53:L58" si="30">1/H53</f>
        <v>0.1501501501501496</v>
      </c>
      <c r="M53" s="2">
        <f t="shared" si="16"/>
        <v>7.855459544383335E-2</v>
      </c>
      <c r="N53" s="2">
        <f t="shared" ref="N53:N58" si="31">H53+I53</f>
        <v>12.730000000000018</v>
      </c>
      <c r="O53" s="85">
        <v>50</v>
      </c>
      <c r="P53">
        <f t="shared" ref="P53:P58" si="32">O53/H53</f>
        <v>7.5075075075074791</v>
      </c>
    </row>
    <row r="54" spans="2:18" x14ac:dyDescent="0.35">
      <c r="B54" s="144">
        <v>70.28</v>
      </c>
      <c r="C54" s="144">
        <v>75.12</v>
      </c>
      <c r="D54" s="144">
        <f>C54-B54</f>
        <v>4.8400000000000034</v>
      </c>
      <c r="E54" s="144"/>
      <c r="F54" s="144">
        <f>240+70.68</f>
        <v>310.68</v>
      </c>
      <c r="G54" s="144">
        <f>240+73.2</f>
        <v>313.2</v>
      </c>
      <c r="H54" s="91">
        <f t="shared" si="26"/>
        <v>2.5199999999999818</v>
      </c>
      <c r="I54" s="91">
        <f t="shared" si="27"/>
        <v>5.9200000000000159</v>
      </c>
      <c r="J54" s="91">
        <f t="shared" si="28"/>
        <v>0.29857819905213062</v>
      </c>
      <c r="K54" s="91">
        <f t="shared" si="29"/>
        <v>0.70142180094786932</v>
      </c>
      <c r="L54" s="91">
        <f t="shared" si="30"/>
        <v>0.39682539682539969</v>
      </c>
      <c r="M54" s="91">
        <f t="shared" si="16"/>
        <v>0.11848341232227491</v>
      </c>
      <c r="N54" s="91">
        <f t="shared" si="31"/>
        <v>8.4399999999999977</v>
      </c>
      <c r="O54" s="144">
        <v>21</v>
      </c>
      <c r="P54" s="144">
        <f t="shared" si="32"/>
        <v>8.3333333333333943</v>
      </c>
    </row>
    <row r="55" spans="2:18" x14ac:dyDescent="0.35">
      <c r="F55">
        <f>240+79.12</f>
        <v>319.12</v>
      </c>
      <c r="G55">
        <f>240+88.63</f>
        <v>328.63</v>
      </c>
      <c r="H55" s="13">
        <f t="shared" si="26"/>
        <v>9.5099999999999909</v>
      </c>
      <c r="I55" s="13">
        <f t="shared" si="27"/>
        <v>5.8400000000000318</v>
      </c>
      <c r="J55" s="2">
        <f t="shared" si="28"/>
        <v>0.61954397394136662</v>
      </c>
      <c r="K55" s="2">
        <f t="shared" si="29"/>
        <v>0.38045602605863343</v>
      </c>
      <c r="L55" s="2">
        <f t="shared" si="30"/>
        <v>0.10515247108307055</v>
      </c>
      <c r="M55" s="2">
        <f t="shared" si="16"/>
        <v>6.5146579804560165E-2</v>
      </c>
      <c r="N55" s="2">
        <f t="shared" si="31"/>
        <v>15.350000000000023</v>
      </c>
      <c r="O55">
        <v>77</v>
      </c>
      <c r="P55">
        <f t="shared" si="32"/>
        <v>8.0967402733964331</v>
      </c>
    </row>
    <row r="56" spans="2:18" x14ac:dyDescent="0.35">
      <c r="B56" s="144">
        <v>95.15</v>
      </c>
      <c r="C56" s="144">
        <v>100.07</v>
      </c>
      <c r="D56" s="144">
        <f>C56-B56</f>
        <v>4.9199999999999875</v>
      </c>
      <c r="E56" s="144"/>
      <c r="F56" s="144">
        <f>240+94.47</f>
        <v>334.47</v>
      </c>
      <c r="G56" s="144">
        <f>240+98.78</f>
        <v>338.78</v>
      </c>
      <c r="H56" s="91">
        <f t="shared" si="26"/>
        <v>4.3099999999999454</v>
      </c>
      <c r="I56" s="91">
        <f t="shared" si="27"/>
        <v>6.4300000000000068</v>
      </c>
      <c r="J56" s="91">
        <f t="shared" si="28"/>
        <v>0.40130353817504327</v>
      </c>
      <c r="K56" s="91">
        <f t="shared" si="29"/>
        <v>0.59869646182495673</v>
      </c>
      <c r="L56" s="91">
        <f t="shared" si="30"/>
        <v>0.23201856148492173</v>
      </c>
      <c r="M56" s="91">
        <f t="shared" si="16"/>
        <v>9.3109869646182911E-2</v>
      </c>
      <c r="N56" s="91">
        <f t="shared" si="31"/>
        <v>10.739999999999952</v>
      </c>
      <c r="O56" s="144">
        <v>31</v>
      </c>
      <c r="P56" s="144">
        <f t="shared" si="32"/>
        <v>7.1925754060325735</v>
      </c>
    </row>
    <row r="57" spans="2:18" x14ac:dyDescent="0.35">
      <c r="B57" s="144">
        <v>106.49</v>
      </c>
      <c r="C57" s="144">
        <v>111.34</v>
      </c>
      <c r="D57" s="144">
        <f>C57-B57</f>
        <v>4.8500000000000085</v>
      </c>
      <c r="E57" s="144"/>
      <c r="F57" s="144">
        <f>240+105.21</f>
        <v>345.21</v>
      </c>
      <c r="G57" s="144">
        <f>240+108.94</f>
        <v>348.94</v>
      </c>
      <c r="H57" s="91">
        <f t="shared" si="26"/>
        <v>3.7300000000000182</v>
      </c>
      <c r="I57" s="91">
        <f t="shared" si="27"/>
        <v>6.4699999999999704</v>
      </c>
      <c r="J57" s="91">
        <f t="shared" si="28"/>
        <v>0.36568627450980612</v>
      </c>
      <c r="K57" s="91">
        <f t="shared" si="29"/>
        <v>0.63431372549019394</v>
      </c>
      <c r="L57" s="91">
        <f t="shared" si="30"/>
        <v>0.26809651474530699</v>
      </c>
      <c r="M57" s="91">
        <f t="shared" si="16"/>
        <v>9.8039215686274619E-2</v>
      </c>
      <c r="N57" s="91">
        <f t="shared" si="31"/>
        <v>10.199999999999989</v>
      </c>
      <c r="O57" s="144">
        <v>33</v>
      </c>
      <c r="P57" s="144">
        <f t="shared" si="32"/>
        <v>8.8471849865951313</v>
      </c>
    </row>
    <row r="58" spans="2:18" x14ac:dyDescent="0.35">
      <c r="F58">
        <f>240+115.41</f>
        <v>355.40999999999997</v>
      </c>
      <c r="G58">
        <f>360+4.51</f>
        <v>364.51</v>
      </c>
      <c r="H58" s="13">
        <f t="shared" si="26"/>
        <v>9.1000000000000227</v>
      </c>
      <c r="I58" s="13">
        <f t="shared" si="27"/>
        <v>7.0600000000000023</v>
      </c>
      <c r="J58" s="2">
        <f t="shared" si="28"/>
        <v>0.56311881188118862</v>
      </c>
      <c r="K58" s="2">
        <f t="shared" si="29"/>
        <v>0.43688118811881133</v>
      </c>
      <c r="L58" s="2">
        <f t="shared" si="30"/>
        <v>0.10989010989010961</v>
      </c>
      <c r="M58" s="2">
        <f t="shared" si="16"/>
        <v>6.1881188118811783E-2</v>
      </c>
      <c r="N58" s="2">
        <f t="shared" si="31"/>
        <v>16.160000000000025</v>
      </c>
      <c r="O58" s="85">
        <v>78</v>
      </c>
      <c r="P58">
        <f t="shared" si="32"/>
        <v>8.5714285714285499</v>
      </c>
      <c r="R58" t="s">
        <v>141</v>
      </c>
    </row>
    <row r="59" spans="2:18" x14ac:dyDescent="0.35">
      <c r="F59">
        <f>360+11.57</f>
        <v>371.57</v>
      </c>
      <c r="G59">
        <f>360+17.31</f>
        <v>377.31</v>
      </c>
      <c r="H59" s="13">
        <f t="shared" ref="H59:H73" si="33">G59-F59</f>
        <v>5.7400000000000091</v>
      </c>
      <c r="I59" s="13">
        <f t="shared" ref="I59:I73" si="34">F60-G59</f>
        <v>5.8799999999999955</v>
      </c>
      <c r="J59" s="2">
        <f t="shared" ref="J59:J73" si="35">H59/N59</f>
        <v>0.49397590361445842</v>
      </c>
      <c r="K59" s="2">
        <f t="shared" ref="K59:K73" si="36">I59/N59</f>
        <v>0.50602409638554158</v>
      </c>
      <c r="L59" s="2">
        <f t="shared" ref="L59:L73" si="37">1/H59</f>
        <v>0.17421602787456419</v>
      </c>
      <c r="M59" s="2">
        <f t="shared" si="16"/>
        <v>8.605851979345952E-2</v>
      </c>
      <c r="N59" s="2">
        <f t="shared" ref="N59:N73" si="38">H59+I59</f>
        <v>11.620000000000005</v>
      </c>
      <c r="O59" s="85">
        <v>47</v>
      </c>
      <c r="P59">
        <f t="shared" ref="P59:P73" si="39">O59/H59</f>
        <v>8.1881533101045161</v>
      </c>
    </row>
    <row r="60" spans="2:18" x14ac:dyDescent="0.35">
      <c r="B60" s="144">
        <v>23.83</v>
      </c>
      <c r="C60" s="144">
        <v>28.72</v>
      </c>
      <c r="D60" s="144">
        <f>C60-B60</f>
        <v>4.8900000000000006</v>
      </c>
      <c r="E60" s="144"/>
      <c r="F60" s="144">
        <f>360+23.19</f>
        <v>383.19</v>
      </c>
      <c r="G60" s="144">
        <f>360+26.07</f>
        <v>386.07</v>
      </c>
      <c r="H60" s="91">
        <f t="shared" si="33"/>
        <v>2.8799999999999955</v>
      </c>
      <c r="I60" s="91">
        <f t="shared" si="34"/>
        <v>6.660000000000025</v>
      </c>
      <c r="J60" s="91">
        <f t="shared" si="35"/>
        <v>0.30188679245282907</v>
      </c>
      <c r="K60" s="91">
        <f t="shared" si="36"/>
        <v>0.69811320754717099</v>
      </c>
      <c r="L60" s="91">
        <f t="shared" si="37"/>
        <v>0.34722222222222276</v>
      </c>
      <c r="M60" s="91">
        <f t="shared" si="16"/>
        <v>0.10482180293501026</v>
      </c>
      <c r="N60" s="91">
        <f t="shared" si="38"/>
        <v>9.5400000000000205</v>
      </c>
      <c r="O60" s="144">
        <v>30</v>
      </c>
      <c r="P60" s="144">
        <f t="shared" si="39"/>
        <v>10.416666666666684</v>
      </c>
    </row>
    <row r="61" spans="2:18" x14ac:dyDescent="0.35">
      <c r="F61">
        <f>360+32.73</f>
        <v>392.73</v>
      </c>
      <c r="G61">
        <f>360+42.21</f>
        <v>402.21</v>
      </c>
      <c r="H61" s="13">
        <f t="shared" si="33"/>
        <v>9.4799999999999613</v>
      </c>
      <c r="I61" s="13">
        <f t="shared" si="34"/>
        <v>5.7600000000000477</v>
      </c>
      <c r="J61" s="2">
        <f t="shared" si="35"/>
        <v>0.62204724409448531</v>
      </c>
      <c r="K61" s="2">
        <f t="shared" si="36"/>
        <v>0.37795275590551469</v>
      </c>
      <c r="L61" s="2">
        <f t="shared" si="37"/>
        <v>0.10548523206751098</v>
      </c>
      <c r="M61" s="2">
        <f t="shared" si="16"/>
        <v>6.5616797900262425E-2</v>
      </c>
      <c r="N61" s="2">
        <f t="shared" si="38"/>
        <v>15.240000000000009</v>
      </c>
      <c r="O61" s="85">
        <v>84</v>
      </c>
      <c r="P61">
        <f t="shared" si="39"/>
        <v>8.8607594936709226</v>
      </c>
    </row>
    <row r="62" spans="2:18" x14ac:dyDescent="0.35">
      <c r="F62">
        <f>360+47.97</f>
        <v>407.97</v>
      </c>
      <c r="G62">
        <f>360+56.25</f>
        <v>416.25</v>
      </c>
      <c r="H62" s="13">
        <f t="shared" si="33"/>
        <v>8.2799999999999727</v>
      </c>
      <c r="I62" s="13">
        <f t="shared" si="34"/>
        <v>4.9599999999999795</v>
      </c>
      <c r="J62" s="2">
        <f t="shared" si="35"/>
        <v>0.62537764350453195</v>
      </c>
      <c r="K62" s="2">
        <f t="shared" si="36"/>
        <v>0.3746223564954681</v>
      </c>
      <c r="L62" s="2">
        <f t="shared" si="37"/>
        <v>0.12077294685990378</v>
      </c>
      <c r="M62" s="2">
        <f t="shared" si="16"/>
        <v>7.5528700906344684E-2</v>
      </c>
      <c r="N62" s="2">
        <f t="shared" si="38"/>
        <v>13.239999999999952</v>
      </c>
      <c r="O62" s="85">
        <v>61</v>
      </c>
      <c r="P62">
        <f t="shared" si="39"/>
        <v>7.3671497584541301</v>
      </c>
    </row>
    <row r="63" spans="2:18" x14ac:dyDescent="0.35">
      <c r="B63" s="144">
        <v>61.85</v>
      </c>
      <c r="C63" s="144">
        <v>66.69</v>
      </c>
      <c r="D63" s="144">
        <f>C63-B63</f>
        <v>4.8399999999999963</v>
      </c>
      <c r="E63" s="144"/>
      <c r="F63" s="144">
        <f>360+61.21</f>
        <v>421.21</v>
      </c>
      <c r="G63" s="144">
        <f>360+64.01</f>
        <v>424.01</v>
      </c>
      <c r="H63" s="91">
        <f t="shared" si="33"/>
        <v>2.8000000000000114</v>
      </c>
      <c r="I63" s="91">
        <f t="shared" si="34"/>
        <v>6.7100000000000364</v>
      </c>
      <c r="J63" s="91">
        <f t="shared" si="35"/>
        <v>0.29442691903259699</v>
      </c>
      <c r="K63" s="91">
        <f t="shared" si="36"/>
        <v>0.70557308096740301</v>
      </c>
      <c r="L63" s="91">
        <f t="shared" si="37"/>
        <v>0.35714285714285571</v>
      </c>
      <c r="M63" s="91">
        <f t="shared" si="16"/>
        <v>0.10515247108306992</v>
      </c>
      <c r="N63" s="91">
        <f t="shared" si="38"/>
        <v>9.5100000000000477</v>
      </c>
      <c r="O63" s="144">
        <v>25</v>
      </c>
      <c r="P63" s="144">
        <f t="shared" si="39"/>
        <v>8.9285714285713915</v>
      </c>
    </row>
    <row r="64" spans="2:18" x14ac:dyDescent="0.35">
      <c r="B64" s="144">
        <v>71.8</v>
      </c>
      <c r="C64" s="144">
        <v>76.63</v>
      </c>
      <c r="D64" s="144">
        <f>C64-B64</f>
        <v>4.8299999999999983</v>
      </c>
      <c r="E64" s="144"/>
      <c r="F64" s="144">
        <f>360+70.72</f>
        <v>430.72</v>
      </c>
      <c r="G64" s="144">
        <f>360+75.53</f>
        <v>435.53</v>
      </c>
      <c r="H64" s="91">
        <f t="shared" si="33"/>
        <v>4.8099999999999454</v>
      </c>
      <c r="I64" s="91">
        <f t="shared" si="34"/>
        <v>6.2800000000000296</v>
      </c>
      <c r="J64" s="91">
        <f t="shared" si="35"/>
        <v>0.43372407574390948</v>
      </c>
      <c r="K64" s="91">
        <f t="shared" si="36"/>
        <v>0.56627592425609052</v>
      </c>
      <c r="L64" s="91">
        <f t="shared" si="37"/>
        <v>0.20790020790021027</v>
      </c>
      <c r="M64" s="91">
        <f t="shared" si="16"/>
        <v>9.0171325518485321E-2</v>
      </c>
      <c r="N64" s="91">
        <f t="shared" si="38"/>
        <v>11.089999999999975</v>
      </c>
      <c r="O64" s="144">
        <v>44</v>
      </c>
      <c r="P64" s="144">
        <f t="shared" si="39"/>
        <v>9.147609147609252</v>
      </c>
    </row>
    <row r="65" spans="2:18" x14ac:dyDescent="0.35">
      <c r="B65" s="144">
        <v>82.51</v>
      </c>
      <c r="C65" s="144">
        <v>87.33</v>
      </c>
      <c r="D65" s="144">
        <f>C65-B65</f>
        <v>4.8199999999999932</v>
      </c>
      <c r="E65" s="144"/>
      <c r="F65" s="144">
        <f>360+81.81</f>
        <v>441.81</v>
      </c>
      <c r="G65" s="144">
        <f>360+85.41</f>
        <v>445.40999999999997</v>
      </c>
      <c r="H65" s="91">
        <f t="shared" si="33"/>
        <v>3.5999999999999659</v>
      </c>
      <c r="I65" s="91">
        <f t="shared" si="34"/>
        <v>6.5</v>
      </c>
      <c r="J65" s="91">
        <f t="shared" si="35"/>
        <v>0.35643564356435425</v>
      </c>
      <c r="K65" s="91">
        <f t="shared" si="36"/>
        <v>0.64356435643564569</v>
      </c>
      <c r="L65" s="91">
        <f t="shared" si="37"/>
        <v>0.2777777777777804</v>
      </c>
      <c r="M65" s="91">
        <f t="shared" si="16"/>
        <v>9.9009900990099348E-2</v>
      </c>
      <c r="N65" s="91">
        <f t="shared" si="38"/>
        <v>10.099999999999966</v>
      </c>
      <c r="O65" s="144">
        <v>39</v>
      </c>
      <c r="P65" s="144">
        <f t="shared" si="39"/>
        <v>10.833333333333435</v>
      </c>
    </row>
    <row r="66" spans="2:18" x14ac:dyDescent="0.35">
      <c r="F66">
        <f>360+91.91</f>
        <v>451.90999999999997</v>
      </c>
      <c r="G66">
        <f>360+98.99</f>
        <v>458.99</v>
      </c>
      <c r="H66" s="13">
        <f t="shared" si="33"/>
        <v>7.0800000000000409</v>
      </c>
      <c r="I66" s="13">
        <f t="shared" si="34"/>
        <v>5.6699999999999591</v>
      </c>
      <c r="J66" s="2">
        <f t="shared" si="35"/>
        <v>0.55529411764706205</v>
      </c>
      <c r="K66" s="2">
        <f t="shared" si="36"/>
        <v>0.44470588235293795</v>
      </c>
      <c r="L66" s="2">
        <f t="shared" si="37"/>
        <v>0.14124293785310651</v>
      </c>
      <c r="M66" s="2">
        <f t="shared" si="16"/>
        <v>7.8431372549019607E-2</v>
      </c>
      <c r="N66" s="2">
        <f t="shared" si="38"/>
        <v>12.75</v>
      </c>
      <c r="O66" s="85">
        <v>68</v>
      </c>
      <c r="P66">
        <f t="shared" si="39"/>
        <v>9.6045197740112442</v>
      </c>
    </row>
    <row r="67" spans="2:18" x14ac:dyDescent="0.35">
      <c r="B67" s="144">
        <v>105.36</v>
      </c>
      <c r="C67" s="144">
        <v>110.23</v>
      </c>
      <c r="D67" s="144">
        <f>C67-B67</f>
        <v>4.8700000000000045</v>
      </c>
      <c r="E67" s="144"/>
      <c r="F67" s="144">
        <f>360+104.66</f>
        <v>464.65999999999997</v>
      </c>
      <c r="G67" s="144">
        <f>360+108.66</f>
        <v>468.65999999999997</v>
      </c>
      <c r="H67" s="91">
        <f t="shared" si="33"/>
        <v>4</v>
      </c>
      <c r="I67" s="91">
        <f t="shared" si="34"/>
        <v>6.8700000000000045</v>
      </c>
      <c r="J67" s="91">
        <f t="shared" si="35"/>
        <v>0.36798528058877628</v>
      </c>
      <c r="K67" s="91">
        <f t="shared" si="36"/>
        <v>0.63201471941122367</v>
      </c>
      <c r="L67" s="91">
        <f t="shared" si="37"/>
        <v>0.25</v>
      </c>
      <c r="M67" s="91">
        <f t="shared" si="16"/>
        <v>9.1996320147194069E-2</v>
      </c>
      <c r="N67" s="91">
        <f t="shared" si="38"/>
        <v>10.870000000000005</v>
      </c>
      <c r="O67" s="144">
        <v>30</v>
      </c>
      <c r="P67" s="144">
        <f t="shared" si="39"/>
        <v>7.5</v>
      </c>
    </row>
    <row r="68" spans="2:18" x14ac:dyDescent="0.35">
      <c r="F68">
        <f>360+115.53</f>
        <v>475.53</v>
      </c>
      <c r="G68">
        <f>480+4.84</f>
        <v>484.84</v>
      </c>
      <c r="H68" s="13">
        <f t="shared" si="33"/>
        <v>9.3100000000000023</v>
      </c>
      <c r="I68" s="13">
        <f t="shared" si="34"/>
        <v>6.7900000000000205</v>
      </c>
      <c r="J68" s="2">
        <f t="shared" si="35"/>
        <v>0.57826086956521672</v>
      </c>
      <c r="K68" s="2">
        <f t="shared" si="36"/>
        <v>0.42173913043478328</v>
      </c>
      <c r="L68" s="2">
        <f t="shared" si="37"/>
        <v>0.1074113856068743</v>
      </c>
      <c r="M68" s="2">
        <f t="shared" si="16"/>
        <v>6.2111801242235934E-2</v>
      </c>
      <c r="N68" s="2">
        <f t="shared" si="38"/>
        <v>16.100000000000023</v>
      </c>
      <c r="O68" s="85">
        <v>80</v>
      </c>
      <c r="P68">
        <f t="shared" si="39"/>
        <v>8.5929108485499448</v>
      </c>
      <c r="R68" t="s">
        <v>142</v>
      </c>
    </row>
    <row r="69" spans="2:18" x14ac:dyDescent="0.35">
      <c r="F69">
        <f>480+11.63</f>
        <v>491.63</v>
      </c>
      <c r="G69">
        <f>480+16.61</f>
        <v>496.61</v>
      </c>
      <c r="H69" s="13">
        <f t="shared" si="33"/>
        <v>4.9800000000000182</v>
      </c>
      <c r="I69" s="13">
        <f t="shared" si="34"/>
        <v>6.5999999999999659</v>
      </c>
      <c r="J69" s="2">
        <f t="shared" si="35"/>
        <v>0.43005181347150473</v>
      </c>
      <c r="K69" s="2">
        <f t="shared" si="36"/>
        <v>0.56994818652849522</v>
      </c>
      <c r="L69" s="2">
        <f t="shared" si="37"/>
        <v>0.2008032128514049</v>
      </c>
      <c r="M69" s="2">
        <f t="shared" si="16"/>
        <v>8.6355785837651244E-2</v>
      </c>
      <c r="N69" s="2">
        <f t="shared" si="38"/>
        <v>11.579999999999984</v>
      </c>
      <c r="O69" s="85">
        <v>46</v>
      </c>
      <c r="P69">
        <f t="shared" si="39"/>
        <v>9.2369477911646243</v>
      </c>
    </row>
    <row r="70" spans="2:18" x14ac:dyDescent="0.35">
      <c r="F70">
        <f>480+23.21</f>
        <v>503.21</v>
      </c>
      <c r="G70">
        <f>480+33.62</f>
        <v>513.62</v>
      </c>
      <c r="H70" s="13">
        <f t="shared" si="33"/>
        <v>10.410000000000025</v>
      </c>
      <c r="I70" s="13">
        <f t="shared" si="34"/>
        <v>6.5599999999999454</v>
      </c>
      <c r="J70" s="2">
        <f t="shared" si="35"/>
        <v>0.61343547436653167</v>
      </c>
      <c r="K70" s="2">
        <f t="shared" si="36"/>
        <v>0.38656452563346827</v>
      </c>
      <c r="L70" s="2">
        <f t="shared" si="37"/>
        <v>9.6061479346781706E-2</v>
      </c>
      <c r="M70" s="2">
        <f t="shared" si="16"/>
        <v>5.8927519151443827E-2</v>
      </c>
      <c r="N70" s="2">
        <f t="shared" si="38"/>
        <v>16.96999999999997</v>
      </c>
      <c r="O70" s="85">
        <v>82</v>
      </c>
      <c r="P70">
        <f t="shared" si="39"/>
        <v>7.8770413064360998</v>
      </c>
    </row>
    <row r="71" spans="2:18" x14ac:dyDescent="0.35">
      <c r="F71">
        <f>480+40.18</f>
        <v>520.17999999999995</v>
      </c>
      <c r="G71">
        <f>480+48.57</f>
        <v>528.57000000000005</v>
      </c>
      <c r="H71" s="13">
        <f t="shared" si="33"/>
        <v>8.3900000000001</v>
      </c>
      <c r="I71" s="13">
        <f t="shared" si="34"/>
        <v>7.0099999999999909</v>
      </c>
      <c r="J71" s="2">
        <f t="shared" si="35"/>
        <v>0.54480519480519807</v>
      </c>
      <c r="K71" s="2">
        <f t="shared" si="36"/>
        <v>0.45519480519480193</v>
      </c>
      <c r="L71" s="2">
        <f t="shared" si="37"/>
        <v>0.11918951132300215</v>
      </c>
      <c r="M71" s="2">
        <f t="shared" si="16"/>
        <v>6.4935064935064554E-2</v>
      </c>
      <c r="N71" s="2">
        <f t="shared" si="38"/>
        <v>15.400000000000091</v>
      </c>
      <c r="O71" s="85">
        <v>67</v>
      </c>
      <c r="P71">
        <f t="shared" si="39"/>
        <v>7.9856972586411441</v>
      </c>
    </row>
    <row r="72" spans="2:18" x14ac:dyDescent="0.35">
      <c r="F72">
        <f>480+55.58</f>
        <v>535.58000000000004</v>
      </c>
      <c r="G72">
        <f>480+61.23</f>
        <v>541.23</v>
      </c>
      <c r="H72" s="13">
        <f t="shared" si="33"/>
        <v>5.6499999999999773</v>
      </c>
      <c r="I72" s="13">
        <f t="shared" si="34"/>
        <v>6.1299999999999955</v>
      </c>
      <c r="J72" s="2">
        <f t="shared" si="35"/>
        <v>0.47962648556875981</v>
      </c>
      <c r="K72" s="2">
        <f t="shared" si="36"/>
        <v>0.52037351443124025</v>
      </c>
      <c r="L72" s="2">
        <f t="shared" si="37"/>
        <v>0.1769911504424786</v>
      </c>
      <c r="M72" s="2">
        <f t="shared" si="16"/>
        <v>8.4889643463497644E-2</v>
      </c>
      <c r="N72" s="2">
        <f t="shared" si="38"/>
        <v>11.779999999999973</v>
      </c>
      <c r="O72" s="85">
        <v>47</v>
      </c>
      <c r="P72">
        <f t="shared" si="39"/>
        <v>8.3185840707964935</v>
      </c>
    </row>
    <row r="73" spans="2:18" x14ac:dyDescent="0.35">
      <c r="F73">
        <f>480+67.36</f>
        <v>547.36</v>
      </c>
      <c r="G73">
        <f>480+73.29</f>
        <v>553.29</v>
      </c>
      <c r="H73" s="13">
        <f t="shared" si="33"/>
        <v>5.92999999999995</v>
      </c>
      <c r="I73" s="13">
        <f t="shared" si="34"/>
        <v>5.9900000000000091</v>
      </c>
      <c r="J73" s="2">
        <f t="shared" si="35"/>
        <v>0.49748322147650759</v>
      </c>
      <c r="K73" s="2">
        <f t="shared" si="36"/>
        <v>0.50251677852349241</v>
      </c>
      <c r="L73" s="2">
        <f t="shared" si="37"/>
        <v>0.16863406408094578</v>
      </c>
      <c r="M73" s="2">
        <f t="shared" si="16"/>
        <v>8.3892617449664711E-2</v>
      </c>
      <c r="N73" s="2">
        <f t="shared" si="38"/>
        <v>11.919999999999959</v>
      </c>
      <c r="O73" s="85">
        <v>52</v>
      </c>
      <c r="P73">
        <f t="shared" si="39"/>
        <v>8.7689713322091798</v>
      </c>
    </row>
    <row r="74" spans="2:18" x14ac:dyDescent="0.35">
      <c r="F74">
        <f>480+79.28</f>
        <v>559.28</v>
      </c>
      <c r="G74">
        <f>480+84.98</f>
        <v>564.98</v>
      </c>
      <c r="H74" s="13">
        <f>G74-F74</f>
        <v>5.7000000000000455</v>
      </c>
      <c r="I74" s="13">
        <f>F75-G74</f>
        <v>6.0499999999999545</v>
      </c>
      <c r="J74" s="2">
        <f>H74/N74</f>
        <v>0.48510638297872727</v>
      </c>
      <c r="K74" s="2">
        <f>I74/N74</f>
        <v>0.51489361702127268</v>
      </c>
      <c r="L74" s="2">
        <f>1/H74</f>
        <v>0.17543859649122667</v>
      </c>
      <c r="M74" s="2">
        <f t="shared" si="16"/>
        <v>8.5106382978723402E-2</v>
      </c>
      <c r="N74" s="2">
        <f>H74+I74</f>
        <v>11.75</v>
      </c>
      <c r="O74" s="85">
        <v>50</v>
      </c>
      <c r="P74">
        <f>O74/H74</f>
        <v>8.7719298245613331</v>
      </c>
    </row>
    <row r="75" spans="2:18" x14ac:dyDescent="0.35">
      <c r="F75">
        <f>480+91.03</f>
        <v>571.03</v>
      </c>
      <c r="G75">
        <f>480+98.24</f>
        <v>578.24</v>
      </c>
      <c r="H75" s="13">
        <f>G75-F75</f>
        <v>7.2100000000000364</v>
      </c>
      <c r="I75" s="13">
        <f>F76-G75</f>
        <v>6.1100000000000136</v>
      </c>
      <c r="J75" s="2">
        <f>H75/N75</f>
        <v>0.54129129129129194</v>
      </c>
      <c r="K75" s="2">
        <f>I75/N75</f>
        <v>0.458708708708708</v>
      </c>
      <c r="L75" s="2">
        <f>1/H75</f>
        <v>0.13869625520110887</v>
      </c>
      <c r="M75" s="2">
        <f t="shared" si="16"/>
        <v>7.5075075075074799E-2</v>
      </c>
      <c r="N75" s="2">
        <f>H75+I75</f>
        <v>13.32000000000005</v>
      </c>
      <c r="O75" s="85">
        <v>63</v>
      </c>
      <c r="P75">
        <f>O75/H75</f>
        <v>8.7378640776698582</v>
      </c>
    </row>
    <row r="76" spans="2:18" x14ac:dyDescent="0.35">
      <c r="F76">
        <f>480+104.35</f>
        <v>584.35</v>
      </c>
      <c r="G76">
        <f>480+110.22</f>
        <v>590.22</v>
      </c>
      <c r="H76" s="13">
        <f>G76-F76</f>
        <v>5.8700000000000045</v>
      </c>
      <c r="I76" s="13">
        <f>F77-G76</f>
        <v>6.0399999999999636</v>
      </c>
      <c r="J76" s="2">
        <f>H76/N76</f>
        <v>0.49286314021830563</v>
      </c>
      <c r="K76" s="2">
        <f>I76/N76</f>
        <v>0.50713685978169432</v>
      </c>
      <c r="L76" s="2">
        <f>1/H76</f>
        <v>0.17035775127768299</v>
      </c>
      <c r="M76" s="2">
        <f t="shared" si="16"/>
        <v>8.3963056255247914E-2</v>
      </c>
      <c r="N76" s="2">
        <f>H76+I76</f>
        <v>11.909999999999968</v>
      </c>
      <c r="O76" s="85">
        <v>53</v>
      </c>
      <c r="P76">
        <f>O76/H76</f>
        <v>9.0289608177171985</v>
      </c>
    </row>
    <row r="77" spans="2:18" x14ac:dyDescent="0.35">
      <c r="F77">
        <f>480+116.26</f>
        <v>596.26</v>
      </c>
      <c r="H77" s="13"/>
      <c r="I77" s="13"/>
      <c r="J77" s="2"/>
      <c r="K77" s="2"/>
      <c r="L77" s="2"/>
      <c r="M77" s="2"/>
      <c r="N77" s="2"/>
      <c r="O77" s="85"/>
    </row>
    <row r="78" spans="2:18" x14ac:dyDescent="0.35">
      <c r="H78" s="13"/>
      <c r="I78" s="13"/>
      <c r="J78" s="2"/>
      <c r="K78" s="2"/>
      <c r="L78" s="2"/>
      <c r="M78" s="2"/>
      <c r="N78" s="2"/>
      <c r="O78" s="85"/>
    </row>
    <row r="79" spans="2:18" ht="16" thickBot="1" x14ac:dyDescent="0.4">
      <c r="H79" s="9" t="s">
        <v>3</v>
      </c>
      <c r="I79" s="9" t="s">
        <v>4</v>
      </c>
      <c r="J79" s="9" t="s">
        <v>5</v>
      </c>
      <c r="K79" s="9" t="s">
        <v>6</v>
      </c>
      <c r="L79" s="9" t="s">
        <v>7</v>
      </c>
      <c r="M79" s="9" t="s">
        <v>8</v>
      </c>
      <c r="N79" s="9" t="s">
        <v>9</v>
      </c>
      <c r="O79" s="9" t="s">
        <v>10</v>
      </c>
      <c r="P79" s="44" t="s">
        <v>139</v>
      </c>
    </row>
    <row r="80" spans="2:18" x14ac:dyDescent="0.35">
      <c r="D80" s="104"/>
      <c r="E80" s="104" t="s">
        <v>192</v>
      </c>
      <c r="G80" s="49" t="s">
        <v>77</v>
      </c>
      <c r="H80" s="13">
        <f>AVERAGE(H31,H35,H39,H42,H45,H47,H51,H54,H56,H57,H60,H63,H64,H65,H67)</f>
        <v>3.3573333333333193</v>
      </c>
      <c r="I80" s="13">
        <f t="shared" ref="I80:P80" si="40">AVERAGE(I31,I35,I39,I42,I45,I47,I51,I54,I56,I57,I60,I63,I64,I65,I67)</f>
        <v>7.0773333333333452</v>
      </c>
      <c r="J80" s="13">
        <f t="shared" si="40"/>
        <v>0.32078956432678096</v>
      </c>
      <c r="K80" s="13">
        <f t="shared" si="40"/>
        <v>0.67921043567321915</v>
      </c>
      <c r="L80" s="13">
        <f t="shared" si="40"/>
        <v>0.31120136431145723</v>
      </c>
      <c r="M80" s="13">
        <f t="shared" si="40"/>
        <v>9.6618306566658901E-2</v>
      </c>
      <c r="N80" s="13">
        <f t="shared" si="40"/>
        <v>10.434666666666665</v>
      </c>
      <c r="O80" s="13">
        <f t="shared" si="40"/>
        <v>26.6</v>
      </c>
      <c r="P80" s="13">
        <f t="shared" si="40"/>
        <v>7.856204589524638</v>
      </c>
    </row>
    <row r="81" spans="2:18" x14ac:dyDescent="0.35">
      <c r="D81" s="104"/>
      <c r="E81" s="104"/>
      <c r="G81" s="49" t="s">
        <v>94</v>
      </c>
      <c r="H81" s="13">
        <f>_xlfn.STDEV.S(H31,H35,H39,H42,H45,H47,H51,H54,H56,H57,H60,H63,H64,H65,H67)</f>
        <v>0.73508470519356506</v>
      </c>
      <c r="I81" s="13">
        <f t="shared" ref="I81:P81" si="41">_xlfn.STDEV.S(I31,I35,I39,I42,I45,I47,I51,I54,I56,I57,I60,I63,I64,I65,I67)</f>
        <v>0.80887458560526926</v>
      </c>
      <c r="J81" s="13">
        <f t="shared" si="41"/>
        <v>5.7589152606257007E-2</v>
      </c>
      <c r="K81" s="13">
        <f t="shared" si="41"/>
        <v>5.7589152606257028E-2</v>
      </c>
      <c r="L81" s="13">
        <f t="shared" si="41"/>
        <v>6.6644975789745917E-2</v>
      </c>
      <c r="M81" s="13">
        <f t="shared" si="41"/>
        <v>9.2104992593828178E-3</v>
      </c>
      <c r="N81" s="13">
        <f t="shared" si="41"/>
        <v>0.95851720803292495</v>
      </c>
      <c r="O81" s="13">
        <f t="shared" si="41"/>
        <v>8.5339657503748771</v>
      </c>
      <c r="P81" s="13">
        <f t="shared" si="41"/>
        <v>1.6474249684495441</v>
      </c>
    </row>
    <row r="82" spans="2:18" x14ac:dyDescent="0.35">
      <c r="D82" s="104"/>
      <c r="E82" s="104"/>
      <c r="G82" s="49" t="s">
        <v>95</v>
      </c>
      <c r="H82" s="13">
        <f>H81/(SQRT(15))</f>
        <v>0.18979805475109773</v>
      </c>
      <c r="I82" s="13">
        <f t="shared" ref="I82:P82" si="42">I81/(SQRT(15))</f>
        <v>0.20885051994797554</v>
      </c>
      <c r="J82" s="13">
        <f t="shared" si="42"/>
        <v>1.4869455264415389E-2</v>
      </c>
      <c r="K82" s="13">
        <f t="shared" si="42"/>
        <v>1.4869455264415394E-2</v>
      </c>
      <c r="L82" s="13">
        <f t="shared" si="42"/>
        <v>1.7207658756138829E-2</v>
      </c>
      <c r="M82" s="13">
        <f t="shared" si="42"/>
        <v>2.3781406827896932E-3</v>
      </c>
      <c r="N82" s="13">
        <f t="shared" si="42"/>
        <v>0.24748807891764987</v>
      </c>
      <c r="O82" s="13">
        <f t="shared" si="42"/>
        <v>2.2034604818870922</v>
      </c>
      <c r="P82" s="13">
        <f t="shared" si="42"/>
        <v>0.4253632977954242</v>
      </c>
    </row>
    <row r="83" spans="2:18" x14ac:dyDescent="0.35">
      <c r="D83" s="104"/>
      <c r="E83" s="104"/>
    </row>
    <row r="84" spans="2:18" x14ac:dyDescent="0.35">
      <c r="D84" s="104"/>
      <c r="E84" s="104"/>
    </row>
    <row r="85" spans="2:18" x14ac:dyDescent="0.35">
      <c r="D85" s="104"/>
      <c r="E85" s="104" t="s">
        <v>193</v>
      </c>
      <c r="G85" s="49" t="s">
        <v>77</v>
      </c>
      <c r="H85">
        <f>AVERAGE(H32,H36,H40,H43,H46,H48,H52,H55,H58,H61,H66,H68)</f>
        <v>9.5424999999999969</v>
      </c>
      <c r="I85">
        <f t="shared" ref="I85:P85" si="43">AVERAGE(I32,I36,I40,I43,I46,I48,I52,I55,I58,I61,I66,I68)</f>
        <v>5.8358333333333405</v>
      </c>
      <c r="J85">
        <f t="shared" si="43"/>
        <v>0.61936699887736024</v>
      </c>
      <c r="K85">
        <f t="shared" si="43"/>
        <v>0.38063300112263976</v>
      </c>
      <c r="L85">
        <f t="shared" si="43"/>
        <v>0.10611953821632086</v>
      </c>
      <c r="M85">
        <f t="shared" si="43"/>
        <v>6.5345329556738108E-2</v>
      </c>
      <c r="N85">
        <f t="shared" si="43"/>
        <v>15.378333333333337</v>
      </c>
      <c r="O85">
        <f t="shared" si="43"/>
        <v>75.583333333333329</v>
      </c>
      <c r="P85">
        <f t="shared" si="43"/>
        <v>7.9919593842809427</v>
      </c>
    </row>
    <row r="86" spans="2:18" x14ac:dyDescent="0.35">
      <c r="D86" s="104"/>
      <c r="E86" s="104"/>
      <c r="G86" s="49" t="s">
        <v>94</v>
      </c>
      <c r="H86">
        <f>_xlfn.STDEV.S(H32,H36,H40,H43,H46,H48,H52,H55,H58,H61,H66,H68)</f>
        <v>1.0541875372230183</v>
      </c>
      <c r="I86">
        <f t="shared" ref="I86:P86" si="44">_xlfn.STDEV.S(I32,I36,I40,I43,I46,I48,I52,I55,I58,I61,I66,I68)</f>
        <v>0.5548703097175639</v>
      </c>
      <c r="J86">
        <f t="shared" si="44"/>
        <v>3.8333865866519531E-2</v>
      </c>
      <c r="K86">
        <f t="shared" si="44"/>
        <v>3.8333865866519518E-2</v>
      </c>
      <c r="L86">
        <f t="shared" si="44"/>
        <v>1.3268127139724554E-2</v>
      </c>
      <c r="M86">
        <f t="shared" si="44"/>
        <v>4.9889028889306148E-3</v>
      </c>
      <c r="N86">
        <f t="shared" si="44"/>
        <v>1.0773269389249205</v>
      </c>
      <c r="O86">
        <f t="shared" si="44"/>
        <v>7.3169583016359185</v>
      </c>
      <c r="P86">
        <f t="shared" si="44"/>
        <v>0.96908252433894815</v>
      </c>
    </row>
    <row r="87" spans="2:18" x14ac:dyDescent="0.35">
      <c r="G87" s="49" t="s">
        <v>95</v>
      </c>
      <c r="H87">
        <f>H86/(SQRT(12))</f>
        <v>0.30431772919602912</v>
      </c>
      <c r="I87">
        <f t="shared" ref="I87:P87" si="45">I86/(SQRT(12))</f>
        <v>0.16017726134038329</v>
      </c>
      <c r="J87">
        <f t="shared" si="45"/>
        <v>1.1066033888557029E-2</v>
      </c>
      <c r="K87">
        <f t="shared" si="45"/>
        <v>1.1066033888557026E-2</v>
      </c>
      <c r="L87">
        <f t="shared" si="45"/>
        <v>3.8301783878810754E-3</v>
      </c>
      <c r="M87">
        <f t="shared" si="45"/>
        <v>1.4401722129424961E-3</v>
      </c>
      <c r="N87">
        <f t="shared" si="45"/>
        <v>0.31099749909676921</v>
      </c>
      <c r="O87">
        <f t="shared" si="45"/>
        <v>2.1122239225493824</v>
      </c>
      <c r="P87">
        <f t="shared" si="45"/>
        <v>0.27975002814702693</v>
      </c>
    </row>
    <row r="89" spans="2:18" x14ac:dyDescent="0.35">
      <c r="E89" s="104" t="s">
        <v>194</v>
      </c>
      <c r="F89" s="104"/>
      <c r="G89" s="49" t="s">
        <v>77</v>
      </c>
      <c r="H89">
        <f>AVERAGE(H30,H33,H34,H37,H38,H41,H44,H49,H50,H53,H59,H62,H69:H76)</f>
        <v>6.6000000000000068</v>
      </c>
      <c r="I89">
        <f t="shared" ref="I89:P89" si="46">AVERAGE(I30,I33,I34,I37,I38,I41,I44,I49,I50,I53,I59,I62,I69:I76)</f>
        <v>5.7024999999999917</v>
      </c>
      <c r="J89">
        <f t="shared" si="46"/>
        <v>0.53103162441646101</v>
      </c>
      <c r="K89">
        <f t="shared" si="46"/>
        <v>0.4689683755835391</v>
      </c>
      <c r="L89">
        <f t="shared" si="46"/>
        <v>0.16017553325405695</v>
      </c>
      <c r="M89">
        <f t="shared" si="46"/>
        <v>8.3230378337953506E-2</v>
      </c>
      <c r="N89">
        <f t="shared" si="46"/>
        <v>12.302499999999998</v>
      </c>
      <c r="O89">
        <f t="shared" si="46"/>
        <v>50</v>
      </c>
      <c r="P89">
        <f t="shared" si="46"/>
        <v>7.6844344246208944</v>
      </c>
    </row>
    <row r="90" spans="2:18" x14ac:dyDescent="0.35">
      <c r="E90" s="104"/>
      <c r="F90" s="104"/>
      <c r="G90" s="49" t="s">
        <v>94</v>
      </c>
      <c r="H90">
        <f>_xlfn.STDEV.S(H30,H33,H34,H37,H38,H41,H44,H49,H50,H53,H59,H62,H69:H76)</f>
        <v>1.5608769464968395</v>
      </c>
      <c r="I90">
        <f t="shared" ref="I90:P90" si="47">_xlfn.STDEV.S(I30,I33,I34,I37,I38,I41,I44,I49,I50,I53,I59,I62,I69:I76)</f>
        <v>0.67883704734059291</v>
      </c>
      <c r="J90">
        <f t="shared" si="47"/>
        <v>5.6321300743537236E-2</v>
      </c>
      <c r="K90">
        <f t="shared" si="47"/>
        <v>5.6321300743538902E-2</v>
      </c>
      <c r="L90">
        <f t="shared" si="47"/>
        <v>4.0859067236019377E-2</v>
      </c>
      <c r="M90">
        <f t="shared" si="47"/>
        <v>1.3797161974592319E-2</v>
      </c>
      <c r="N90">
        <f t="shared" si="47"/>
        <v>1.8948902898390558</v>
      </c>
      <c r="O90">
        <f t="shared" si="47"/>
        <v>11.429417261932841</v>
      </c>
      <c r="P90">
        <f t="shared" si="47"/>
        <v>1.0980820977023948</v>
      </c>
    </row>
    <row r="91" spans="2:18" x14ac:dyDescent="0.35">
      <c r="E91" s="104"/>
      <c r="F91" s="104"/>
      <c r="G91" s="49" t="s">
        <v>95</v>
      </c>
      <c r="H91">
        <f>H90/(SQRT(20))</f>
        <v>0.34902269568792355</v>
      </c>
      <c r="I91">
        <f t="shared" ref="I91:P91" si="48">I90/(SQRT(20))</f>
        <v>0.15179257834988086</v>
      </c>
      <c r="J91">
        <f t="shared" si="48"/>
        <v>1.259382570437587E-2</v>
      </c>
      <c r="K91">
        <f t="shared" si="48"/>
        <v>1.2593825704376243E-2</v>
      </c>
      <c r="L91">
        <f t="shared" si="48"/>
        <v>9.1363651836973772E-3</v>
      </c>
      <c r="M91">
        <f t="shared" si="48"/>
        <v>3.0851392071763648E-3</v>
      </c>
      <c r="N91">
        <f t="shared" si="48"/>
        <v>0.42371034979844074</v>
      </c>
      <c r="O91">
        <f t="shared" si="48"/>
        <v>2.5556953940891352</v>
      </c>
      <c r="P91">
        <f t="shared" si="48"/>
        <v>0.24553862153381203</v>
      </c>
    </row>
    <row r="92" spans="2:18" x14ac:dyDescent="0.35">
      <c r="E92" s="104"/>
      <c r="F92" s="104"/>
      <c r="G92" s="104"/>
    </row>
    <row r="95" spans="2:18" ht="18.5" x14ac:dyDescent="0.45">
      <c r="B95" s="2"/>
      <c r="C95" s="2"/>
      <c r="D95" s="2"/>
      <c r="E95" s="2"/>
      <c r="F95" s="1" t="s">
        <v>15</v>
      </c>
      <c r="G95" s="2"/>
      <c r="H95" s="2"/>
      <c r="I95" s="2"/>
      <c r="J95" s="2"/>
      <c r="K95" s="2"/>
      <c r="L95" s="2"/>
      <c r="M95" s="2"/>
      <c r="N95" s="2"/>
      <c r="O95" s="2"/>
    </row>
    <row r="96" spans="2:18" ht="16" thickBot="1" x14ac:dyDescent="0.4">
      <c r="B96" s="9" t="s">
        <v>18</v>
      </c>
      <c r="C96" s="9" t="s">
        <v>17</v>
      </c>
      <c r="D96" s="9" t="s">
        <v>20</v>
      </c>
      <c r="E96" s="5"/>
      <c r="F96" s="9" t="s">
        <v>1</v>
      </c>
      <c r="G96" s="9" t="s">
        <v>2</v>
      </c>
      <c r="H96" s="9" t="s">
        <v>3</v>
      </c>
      <c r="I96" s="9" t="s">
        <v>4</v>
      </c>
      <c r="J96" s="9" t="s">
        <v>5</v>
      </c>
      <c r="K96" s="9" t="s">
        <v>6</v>
      </c>
      <c r="L96" s="9" t="s">
        <v>7</v>
      </c>
      <c r="M96" s="9" t="s">
        <v>8</v>
      </c>
      <c r="N96" s="9" t="s">
        <v>9</v>
      </c>
      <c r="O96" s="9" t="s">
        <v>10</v>
      </c>
      <c r="P96" s="44" t="s">
        <v>139</v>
      </c>
      <c r="R96" s="44" t="s">
        <v>134</v>
      </c>
    </row>
    <row r="97" spans="1:18" x14ac:dyDescent="0.35">
      <c r="F97">
        <v>9.31</v>
      </c>
      <c r="G97">
        <v>16.309999999999999</v>
      </c>
      <c r="H97" s="13">
        <f t="shared" ref="H97:H105" si="49">G97-F97</f>
        <v>6.9999999999999982</v>
      </c>
      <c r="I97" s="13">
        <f t="shared" ref="I97:I105" si="50">F98-G97</f>
        <v>5.110000000000003</v>
      </c>
      <c r="J97" s="2">
        <f t="shared" ref="J97:J105" si="51">H97/N97</f>
        <v>0.57803468208092468</v>
      </c>
      <c r="K97" s="2">
        <f t="shared" ref="K97:K105" si="52">I97/N97</f>
        <v>0.42196531791907532</v>
      </c>
      <c r="L97" s="2">
        <f t="shared" ref="L97:L105" si="53">1/H97</f>
        <v>0.1428571428571429</v>
      </c>
      <c r="M97" s="2">
        <f t="shared" ref="M97:M105" si="54">1/N97</f>
        <v>8.2576383154417829E-2</v>
      </c>
      <c r="N97" s="2">
        <f t="shared" ref="N97:N105" si="55">H97+I97</f>
        <v>12.110000000000001</v>
      </c>
      <c r="O97" s="85">
        <v>51</v>
      </c>
      <c r="P97">
        <f t="shared" ref="P97:P107" si="56">O97/H97</f>
        <v>7.2857142857142874</v>
      </c>
      <c r="R97" t="s">
        <v>143</v>
      </c>
    </row>
    <row r="98" spans="1:18" x14ac:dyDescent="0.35">
      <c r="F98">
        <v>21.42</v>
      </c>
      <c r="G98">
        <v>27.16</v>
      </c>
      <c r="H98" s="13">
        <f t="shared" si="49"/>
        <v>5.7399999999999984</v>
      </c>
      <c r="I98" s="13">
        <f t="shared" si="50"/>
        <v>6.6999999999999993</v>
      </c>
      <c r="J98" s="2">
        <f t="shared" si="51"/>
        <v>0.46141479099678451</v>
      </c>
      <c r="K98" s="2">
        <f t="shared" si="52"/>
        <v>0.53858520900321549</v>
      </c>
      <c r="L98" s="2">
        <f t="shared" si="53"/>
        <v>0.1742160278745645</v>
      </c>
      <c r="M98" s="2">
        <f t="shared" si="54"/>
        <v>8.038585209003217E-2</v>
      </c>
      <c r="N98" s="2">
        <f t="shared" si="55"/>
        <v>12.439999999999998</v>
      </c>
      <c r="O98" s="85">
        <v>53</v>
      </c>
      <c r="P98">
        <f t="shared" si="56"/>
        <v>9.2334494773519182</v>
      </c>
    </row>
    <row r="99" spans="1:18" x14ac:dyDescent="0.35">
      <c r="F99">
        <v>33.86</v>
      </c>
      <c r="G99">
        <v>39.11</v>
      </c>
      <c r="H99" s="13">
        <f t="shared" si="49"/>
        <v>5.25</v>
      </c>
      <c r="I99" s="13">
        <f t="shared" si="50"/>
        <v>6.5499999999999972</v>
      </c>
      <c r="J99" s="2">
        <f t="shared" si="51"/>
        <v>0.44491525423728823</v>
      </c>
      <c r="K99" s="2">
        <f t="shared" si="52"/>
        <v>0.55508474576271172</v>
      </c>
      <c r="L99" s="2">
        <f t="shared" si="53"/>
        <v>0.19047619047619047</v>
      </c>
      <c r="M99" s="2">
        <f t="shared" si="54"/>
        <v>8.4745762711864431E-2</v>
      </c>
      <c r="N99" s="2">
        <f t="shared" si="55"/>
        <v>11.799999999999997</v>
      </c>
      <c r="O99" s="85">
        <v>50</v>
      </c>
      <c r="P99">
        <f t="shared" si="56"/>
        <v>9.5238095238095237</v>
      </c>
    </row>
    <row r="100" spans="1:18" x14ac:dyDescent="0.35">
      <c r="B100" s="144">
        <v>51.58</v>
      </c>
      <c r="C100" s="144">
        <v>56.44</v>
      </c>
      <c r="D100" s="144">
        <f>C100-B100</f>
        <v>4.8599999999999994</v>
      </c>
      <c r="E100" s="144"/>
      <c r="F100" s="144">
        <v>45.66</v>
      </c>
      <c r="G100" s="144">
        <v>51.85</v>
      </c>
      <c r="H100" s="91">
        <f t="shared" si="49"/>
        <v>6.1900000000000048</v>
      </c>
      <c r="I100" s="91">
        <f t="shared" si="50"/>
        <v>8.6599999999999966</v>
      </c>
      <c r="J100" s="91">
        <f t="shared" si="51"/>
        <v>0.41683501683501711</v>
      </c>
      <c r="K100" s="91">
        <f t="shared" si="52"/>
        <v>0.58316498316498289</v>
      </c>
      <c r="L100" s="91">
        <f t="shared" si="53"/>
        <v>0.16155088852988678</v>
      </c>
      <c r="M100" s="91">
        <f t="shared" si="54"/>
        <v>6.7340067340067339E-2</v>
      </c>
      <c r="N100" s="91">
        <f t="shared" si="55"/>
        <v>14.850000000000001</v>
      </c>
      <c r="O100" s="144">
        <v>55</v>
      </c>
      <c r="P100" s="144">
        <f t="shared" si="56"/>
        <v>8.8852988691437726</v>
      </c>
    </row>
    <row r="101" spans="1:18" x14ac:dyDescent="0.35">
      <c r="B101" s="144">
        <v>72.05</v>
      </c>
      <c r="C101" s="144">
        <v>76.92</v>
      </c>
      <c r="D101" s="144">
        <f>C101-B101</f>
        <v>4.8700000000000045</v>
      </c>
      <c r="E101" s="144"/>
      <c r="F101" s="144">
        <v>60.51</v>
      </c>
      <c r="G101" s="144">
        <v>69.64</v>
      </c>
      <c r="H101" s="91">
        <f>G101-F101</f>
        <v>9.1300000000000026</v>
      </c>
      <c r="I101" s="91">
        <f t="shared" si="50"/>
        <v>9.7000000000000028</v>
      </c>
      <c r="J101" s="91">
        <f t="shared" si="51"/>
        <v>0.48486457780138076</v>
      </c>
      <c r="K101" s="91">
        <f t="shared" si="52"/>
        <v>0.51513542219861919</v>
      </c>
      <c r="L101" s="91">
        <f t="shared" si="53"/>
        <v>0.10952902519167576</v>
      </c>
      <c r="M101" s="91">
        <f t="shared" si="54"/>
        <v>5.3106744556558665E-2</v>
      </c>
      <c r="N101" s="91">
        <f t="shared" si="55"/>
        <v>18.830000000000005</v>
      </c>
      <c r="O101" s="144">
        <v>79</v>
      </c>
      <c r="P101" s="144">
        <f t="shared" si="56"/>
        <v>8.6527929901423857</v>
      </c>
    </row>
    <row r="102" spans="1:18" x14ac:dyDescent="0.35">
      <c r="F102">
        <v>79.34</v>
      </c>
      <c r="G102">
        <v>88.06</v>
      </c>
      <c r="H102" s="13">
        <f t="shared" si="49"/>
        <v>8.7199999999999989</v>
      </c>
      <c r="I102" s="13">
        <f t="shared" si="50"/>
        <v>6.0099999999999909</v>
      </c>
      <c r="J102" s="2">
        <f t="shared" si="51"/>
        <v>0.59198913781398543</v>
      </c>
      <c r="K102" s="2">
        <f t="shared" si="52"/>
        <v>0.40801086218601462</v>
      </c>
      <c r="L102" s="2">
        <f t="shared" si="53"/>
        <v>0.11467889908256883</v>
      </c>
      <c r="M102" s="2">
        <f t="shared" si="54"/>
        <v>6.7888662593346957E-2</v>
      </c>
      <c r="N102" s="2">
        <f t="shared" si="55"/>
        <v>14.72999999999999</v>
      </c>
      <c r="O102" s="85">
        <v>75</v>
      </c>
      <c r="P102">
        <f t="shared" si="56"/>
        <v>8.6009174311926611</v>
      </c>
    </row>
    <row r="103" spans="1:18" x14ac:dyDescent="0.35">
      <c r="A103" s="104" t="s">
        <v>144</v>
      </c>
      <c r="B103">
        <v>94.5</v>
      </c>
      <c r="C103">
        <v>99.36</v>
      </c>
      <c r="D103">
        <f>C103-B103</f>
        <v>4.8599999999999994</v>
      </c>
      <c r="F103">
        <v>94.07</v>
      </c>
      <c r="G103">
        <v>98.14</v>
      </c>
      <c r="H103" s="13">
        <f t="shared" si="49"/>
        <v>4.0700000000000074</v>
      </c>
      <c r="I103" s="13">
        <f t="shared" si="50"/>
        <v>6.9099999999999966</v>
      </c>
      <c r="J103" s="2">
        <f t="shared" si="51"/>
        <v>0.37067395264116632</v>
      </c>
      <c r="K103" s="2">
        <f t="shared" si="52"/>
        <v>0.62932604735883368</v>
      </c>
      <c r="L103" s="2">
        <f t="shared" si="53"/>
        <v>0.24570024570024526</v>
      </c>
      <c r="M103" s="2">
        <f t="shared" si="54"/>
        <v>9.1074681238615632E-2</v>
      </c>
      <c r="N103" s="2">
        <f t="shared" si="55"/>
        <v>10.980000000000004</v>
      </c>
      <c r="O103" s="85">
        <v>32</v>
      </c>
      <c r="P103">
        <f t="shared" si="56"/>
        <v>7.8624078624078484</v>
      </c>
    </row>
    <row r="104" spans="1:18" x14ac:dyDescent="0.35">
      <c r="F104">
        <v>105.05</v>
      </c>
      <c r="G104">
        <v>111.64</v>
      </c>
      <c r="H104" s="13">
        <f t="shared" si="49"/>
        <v>6.5900000000000034</v>
      </c>
      <c r="I104" s="13">
        <f t="shared" si="50"/>
        <v>7.3100000000000023</v>
      </c>
      <c r="J104" s="2">
        <f t="shared" si="51"/>
        <v>0.47410071942446047</v>
      </c>
      <c r="K104" s="2">
        <f t="shared" si="52"/>
        <v>0.52589928057553947</v>
      </c>
      <c r="L104" s="2">
        <f t="shared" si="53"/>
        <v>0.15174506828528064</v>
      </c>
      <c r="M104" s="2">
        <f t="shared" si="54"/>
        <v>7.1942446043165437E-2</v>
      </c>
      <c r="N104" s="2">
        <f t="shared" si="55"/>
        <v>13.900000000000006</v>
      </c>
      <c r="O104" s="85">
        <v>62</v>
      </c>
      <c r="P104">
        <f t="shared" si="56"/>
        <v>9.4081942336874</v>
      </c>
    </row>
    <row r="105" spans="1:18" x14ac:dyDescent="0.35">
      <c r="B105" s="144">
        <v>8.98</v>
      </c>
      <c r="C105" s="144">
        <v>13.83</v>
      </c>
      <c r="D105" s="144">
        <f>C105-B105</f>
        <v>4.8499999999999996</v>
      </c>
      <c r="E105" s="144"/>
      <c r="F105" s="144">
        <v>118.95</v>
      </c>
      <c r="G105" s="144">
        <f>120+7.26</f>
        <v>127.26</v>
      </c>
      <c r="H105" s="91">
        <f t="shared" si="49"/>
        <v>8.3100000000000023</v>
      </c>
      <c r="I105" s="91">
        <f t="shared" si="50"/>
        <v>9.6600000000000108</v>
      </c>
      <c r="J105" s="91">
        <f t="shared" si="51"/>
        <v>0.4624373956594322</v>
      </c>
      <c r="K105" s="91">
        <f t="shared" si="52"/>
        <v>0.5375626043405678</v>
      </c>
      <c r="L105" s="91">
        <f t="shared" si="53"/>
        <v>0.12033694344163655</v>
      </c>
      <c r="M105" s="91">
        <f t="shared" si="54"/>
        <v>5.5648302726766796E-2</v>
      </c>
      <c r="N105" s="91">
        <f t="shared" si="55"/>
        <v>17.970000000000013</v>
      </c>
      <c r="O105" s="144">
        <v>68</v>
      </c>
      <c r="P105" s="144">
        <f t="shared" si="56"/>
        <v>8.1829121540312855</v>
      </c>
      <c r="R105" t="s">
        <v>145</v>
      </c>
    </row>
    <row r="106" spans="1:18" x14ac:dyDescent="0.35">
      <c r="B106" s="144">
        <v>28.95</v>
      </c>
      <c r="C106" s="144">
        <v>36.81</v>
      </c>
      <c r="D106" s="144">
        <f>C106-B106</f>
        <v>7.860000000000003</v>
      </c>
      <c r="E106" s="144"/>
      <c r="F106" s="144">
        <f>120+16.92</f>
        <v>136.92000000000002</v>
      </c>
      <c r="G106" s="144">
        <f>120+25.65</f>
        <v>145.65</v>
      </c>
      <c r="H106" s="91">
        <f t="shared" ref="H106:H121" si="57">G106-F106</f>
        <v>8.7299999999999898</v>
      </c>
      <c r="I106" s="91">
        <f t="shared" ref="I106:I121" si="58">F107-G106</f>
        <v>12.340000000000003</v>
      </c>
      <c r="J106" s="91">
        <f t="shared" ref="J106:J121" si="59">H106/N106</f>
        <v>0.41433317513051698</v>
      </c>
      <c r="K106" s="91">
        <f t="shared" ref="K106:K121" si="60">I106/N106</f>
        <v>0.58566682486948307</v>
      </c>
      <c r="L106" s="91">
        <f t="shared" ref="L106:L121" si="61">1/H106</f>
        <v>0.11454753722794973</v>
      </c>
      <c r="M106" s="91">
        <f t="shared" ref="M106:M121" si="62">1/N106</f>
        <v>4.7460844803037507E-2</v>
      </c>
      <c r="N106" s="91">
        <f t="shared" ref="N106:N121" si="63">H106+I106</f>
        <v>21.069999999999993</v>
      </c>
      <c r="O106" s="144">
        <v>76</v>
      </c>
      <c r="P106" s="144">
        <f t="shared" si="56"/>
        <v>8.7056128293241795</v>
      </c>
    </row>
    <row r="107" spans="1:18" x14ac:dyDescent="0.35">
      <c r="B107" s="144">
        <v>49.94</v>
      </c>
      <c r="C107" s="144">
        <v>57.79</v>
      </c>
      <c r="D107" s="144">
        <f>C107-B107</f>
        <v>7.8500000000000014</v>
      </c>
      <c r="E107" s="144"/>
      <c r="F107" s="144">
        <f>120+37.99</f>
        <v>157.99</v>
      </c>
      <c r="G107" s="144">
        <f>120+47.32</f>
        <v>167.32</v>
      </c>
      <c r="H107" s="91">
        <f t="shared" si="57"/>
        <v>9.3299999999999841</v>
      </c>
      <c r="I107" s="91">
        <f t="shared" si="58"/>
        <v>12.240000000000009</v>
      </c>
      <c r="J107" s="91">
        <f t="shared" si="59"/>
        <v>0.43254520166898408</v>
      </c>
      <c r="K107" s="91">
        <f t="shared" si="60"/>
        <v>0.56745479833101586</v>
      </c>
      <c r="L107" s="91">
        <f t="shared" si="61"/>
        <v>0.10718113612004306</v>
      </c>
      <c r="M107" s="91">
        <f t="shared" si="62"/>
        <v>4.6360686138154861E-2</v>
      </c>
      <c r="N107" s="91">
        <f t="shared" si="63"/>
        <v>21.569999999999993</v>
      </c>
      <c r="O107" s="144">
        <v>78</v>
      </c>
      <c r="P107" s="144">
        <f t="shared" si="56"/>
        <v>8.3601286173633582</v>
      </c>
    </row>
    <row r="108" spans="1:18" x14ac:dyDescent="0.35">
      <c r="F108">
        <f>120+59.56</f>
        <v>179.56</v>
      </c>
      <c r="G108">
        <f>120+69.58</f>
        <v>189.57999999999998</v>
      </c>
      <c r="H108" s="13">
        <f t="shared" si="57"/>
        <v>10.019999999999982</v>
      </c>
      <c r="I108" s="13">
        <f t="shared" si="58"/>
        <v>6.8900000000000148</v>
      </c>
      <c r="J108" s="2">
        <f t="shared" si="59"/>
        <v>0.59254878769958508</v>
      </c>
      <c r="K108" s="2">
        <f t="shared" si="60"/>
        <v>0.40745121230041492</v>
      </c>
      <c r="L108" s="2">
        <f t="shared" si="61"/>
        <v>9.9800399201596987E-2</v>
      </c>
      <c r="M108" s="2">
        <f t="shared" si="62"/>
        <v>5.9136605558840934E-2</v>
      </c>
      <c r="N108" s="2">
        <f t="shared" si="63"/>
        <v>16.909999999999997</v>
      </c>
      <c r="O108" s="85">
        <v>87</v>
      </c>
      <c r="P108">
        <f t="shared" ref="P108:P121" si="64">O108/H108</f>
        <v>8.682634730538938</v>
      </c>
    </row>
    <row r="109" spans="1:18" x14ac:dyDescent="0.35">
      <c r="F109">
        <f>120+76.47</f>
        <v>196.47</v>
      </c>
      <c r="G109">
        <f>120+81.75</f>
        <v>201.75</v>
      </c>
      <c r="H109" s="13">
        <f t="shared" si="57"/>
        <v>5.2800000000000011</v>
      </c>
      <c r="I109" s="13">
        <f t="shared" si="58"/>
        <v>6.0600000000000023</v>
      </c>
      <c r="J109" s="2">
        <f t="shared" si="59"/>
        <v>0.46560846560846558</v>
      </c>
      <c r="K109" s="2">
        <f t="shared" si="60"/>
        <v>0.53439153439153442</v>
      </c>
      <c r="L109" s="2">
        <f t="shared" si="61"/>
        <v>0.18939393939393936</v>
      </c>
      <c r="M109" s="2">
        <f t="shared" si="62"/>
        <v>8.8183421516754817E-2</v>
      </c>
      <c r="N109" s="2">
        <f t="shared" si="63"/>
        <v>11.340000000000003</v>
      </c>
      <c r="O109" s="85">
        <v>48</v>
      </c>
      <c r="P109">
        <f t="shared" si="64"/>
        <v>9.0909090909090882</v>
      </c>
    </row>
    <row r="110" spans="1:18" x14ac:dyDescent="0.35">
      <c r="F110">
        <f>120+87.81</f>
        <v>207.81</v>
      </c>
      <c r="G110">
        <f>120+97.25</f>
        <v>217.25</v>
      </c>
      <c r="H110" s="13">
        <f t="shared" si="57"/>
        <v>9.4399999999999977</v>
      </c>
      <c r="I110" s="13">
        <f t="shared" si="58"/>
        <v>7.0699999999999932</v>
      </c>
      <c r="J110" s="2">
        <f t="shared" si="59"/>
        <v>0.57177468201090265</v>
      </c>
      <c r="K110" s="2">
        <f t="shared" si="60"/>
        <v>0.42822531798909735</v>
      </c>
      <c r="L110" s="2">
        <f t="shared" si="61"/>
        <v>0.10593220338983053</v>
      </c>
      <c r="M110" s="2">
        <f t="shared" si="62"/>
        <v>6.0569351907934617E-2</v>
      </c>
      <c r="N110" s="2">
        <f t="shared" si="63"/>
        <v>16.509999999999991</v>
      </c>
      <c r="O110" s="85">
        <v>75</v>
      </c>
      <c r="P110">
        <f t="shared" si="64"/>
        <v>7.9449152542372898</v>
      </c>
    </row>
    <row r="111" spans="1:18" x14ac:dyDescent="0.35">
      <c r="B111" s="144">
        <v>115.04</v>
      </c>
      <c r="C111" s="144">
        <f>120+2.63</f>
        <v>122.63</v>
      </c>
      <c r="D111" s="144">
        <f>C111-B111</f>
        <v>7.5899999999999892</v>
      </c>
      <c r="E111" s="144"/>
      <c r="F111" s="144">
        <f>120+104.32</f>
        <v>224.32</v>
      </c>
      <c r="G111" s="144">
        <f>120+112.55</f>
        <v>232.55</v>
      </c>
      <c r="H111" s="91">
        <f t="shared" si="57"/>
        <v>8.2300000000000182</v>
      </c>
      <c r="I111" s="91">
        <f t="shared" si="58"/>
        <v>12.169999999999987</v>
      </c>
      <c r="J111" s="91">
        <f t="shared" si="59"/>
        <v>0.4034313725490204</v>
      </c>
      <c r="K111" s="91">
        <f t="shared" si="60"/>
        <v>0.5965686274509796</v>
      </c>
      <c r="L111" s="91">
        <f t="shared" si="61"/>
        <v>0.12150668286755745</v>
      </c>
      <c r="M111" s="91">
        <f t="shared" si="62"/>
        <v>4.901960784313724E-2</v>
      </c>
      <c r="N111" s="91">
        <f t="shared" si="63"/>
        <v>20.400000000000006</v>
      </c>
      <c r="O111" s="144">
        <v>63</v>
      </c>
      <c r="P111" s="144">
        <f t="shared" si="64"/>
        <v>7.6549210206561193</v>
      </c>
    </row>
    <row r="112" spans="1:18" x14ac:dyDescent="0.35">
      <c r="F112">
        <f>240+4.72</f>
        <v>244.72</v>
      </c>
      <c r="G112">
        <f>240+14.06</f>
        <v>254.06</v>
      </c>
      <c r="H112" s="13">
        <f t="shared" si="57"/>
        <v>9.3400000000000034</v>
      </c>
      <c r="I112" s="13">
        <f t="shared" si="58"/>
        <v>6.2099999999999795</v>
      </c>
      <c r="J112" s="2">
        <f t="shared" si="59"/>
        <v>0.60064308681672118</v>
      </c>
      <c r="K112" s="2">
        <f t="shared" si="60"/>
        <v>0.39935691318327887</v>
      </c>
      <c r="L112" s="2">
        <f t="shared" si="61"/>
        <v>0.10706638115631688</v>
      </c>
      <c r="M112" s="2">
        <f t="shared" si="62"/>
        <v>6.4308681672025789E-2</v>
      </c>
      <c r="N112" s="2">
        <f t="shared" si="63"/>
        <v>15.549999999999983</v>
      </c>
      <c r="O112" s="85">
        <v>78</v>
      </c>
      <c r="P112">
        <f t="shared" si="64"/>
        <v>8.3511777301927168</v>
      </c>
      <c r="R112" t="s">
        <v>146</v>
      </c>
    </row>
    <row r="113" spans="2:18" x14ac:dyDescent="0.35">
      <c r="B113" s="144">
        <v>29.01</v>
      </c>
      <c r="C113" s="144">
        <v>36.86</v>
      </c>
      <c r="D113" s="144">
        <f>C113-B113</f>
        <v>7.8499999999999979</v>
      </c>
      <c r="E113" s="144"/>
      <c r="F113" s="144">
        <f>240+20.27</f>
        <v>260.27</v>
      </c>
      <c r="G113" s="144">
        <f>240+26.93</f>
        <v>266.93</v>
      </c>
      <c r="H113" s="91">
        <f t="shared" si="57"/>
        <v>6.660000000000025</v>
      </c>
      <c r="I113" s="91">
        <f t="shared" si="58"/>
        <v>11.379999999999995</v>
      </c>
      <c r="J113" s="91">
        <f t="shared" si="59"/>
        <v>0.36917960088691892</v>
      </c>
      <c r="K113" s="91">
        <f t="shared" si="60"/>
        <v>0.63082039911308108</v>
      </c>
      <c r="L113" s="91">
        <f t="shared" si="61"/>
        <v>0.1501501501501496</v>
      </c>
      <c r="M113" s="91">
        <f t="shared" si="62"/>
        <v>5.5432372505543177E-2</v>
      </c>
      <c r="N113" s="91">
        <f t="shared" si="63"/>
        <v>18.04000000000002</v>
      </c>
      <c r="O113" s="144">
        <v>58</v>
      </c>
      <c r="P113" s="144">
        <f t="shared" si="64"/>
        <v>8.7087087087086754</v>
      </c>
    </row>
    <row r="114" spans="2:18" x14ac:dyDescent="0.35">
      <c r="F114">
        <f>240+38.31</f>
        <v>278.31</v>
      </c>
      <c r="G114">
        <f>240+47.46</f>
        <v>287.45999999999998</v>
      </c>
      <c r="H114" s="13">
        <f t="shared" si="57"/>
        <v>9.1499999999999773</v>
      </c>
      <c r="I114" s="13">
        <f t="shared" si="58"/>
        <v>6.2200000000000273</v>
      </c>
      <c r="J114" s="2">
        <f t="shared" si="59"/>
        <v>0.59531554977228196</v>
      </c>
      <c r="K114" s="2">
        <f t="shared" si="60"/>
        <v>0.40468445022771798</v>
      </c>
      <c r="L114" s="2">
        <f t="shared" si="61"/>
        <v>0.10928961748633907</v>
      </c>
      <c r="M114" s="2">
        <f t="shared" si="62"/>
        <v>6.5061808718282349E-2</v>
      </c>
      <c r="N114" s="2">
        <f t="shared" si="63"/>
        <v>15.370000000000005</v>
      </c>
      <c r="O114" s="85">
        <v>75</v>
      </c>
      <c r="P114">
        <f t="shared" si="64"/>
        <v>8.1967213114754305</v>
      </c>
    </row>
    <row r="115" spans="2:18" x14ac:dyDescent="0.35">
      <c r="B115" s="144">
        <v>60.74</v>
      </c>
      <c r="C115" s="144">
        <v>68.599999999999994</v>
      </c>
      <c r="D115" s="144">
        <f>C115-B115</f>
        <v>7.8599999999999923</v>
      </c>
      <c r="E115" s="144"/>
      <c r="F115" s="144">
        <f>240+53.68</f>
        <v>293.68</v>
      </c>
      <c r="G115" s="144">
        <f>240+58.55</f>
        <v>298.55</v>
      </c>
      <c r="H115" s="91">
        <f t="shared" si="57"/>
        <v>4.8700000000000045</v>
      </c>
      <c r="I115" s="91">
        <f t="shared" si="58"/>
        <v>11.800000000000011</v>
      </c>
      <c r="J115" s="91">
        <f t="shared" si="59"/>
        <v>0.29214157168566285</v>
      </c>
      <c r="K115" s="91">
        <f t="shared" si="60"/>
        <v>0.7078584283143371</v>
      </c>
      <c r="L115" s="91">
        <f t="shared" si="61"/>
        <v>0.20533880903490739</v>
      </c>
      <c r="M115" s="91">
        <f t="shared" si="62"/>
        <v>5.9988002399520041E-2</v>
      </c>
      <c r="N115" s="91">
        <f t="shared" si="63"/>
        <v>16.670000000000016</v>
      </c>
      <c r="O115" s="144">
        <v>47</v>
      </c>
      <c r="P115" s="144">
        <f t="shared" si="64"/>
        <v>9.6509240246406485</v>
      </c>
    </row>
    <row r="116" spans="2:18" x14ac:dyDescent="0.35">
      <c r="F116">
        <f>240+70.35</f>
        <v>310.35000000000002</v>
      </c>
      <c r="G116">
        <f>240+79.68</f>
        <v>319.68</v>
      </c>
      <c r="H116" s="13">
        <f t="shared" si="57"/>
        <v>9.3299999999999841</v>
      </c>
      <c r="I116" s="13">
        <f t="shared" si="58"/>
        <v>6.1999999999999886</v>
      </c>
      <c r="J116" s="2">
        <f t="shared" si="59"/>
        <v>0.60077269800386357</v>
      </c>
      <c r="K116" s="2">
        <f t="shared" si="60"/>
        <v>0.39922730199613649</v>
      </c>
      <c r="L116" s="2">
        <f t="shared" si="61"/>
        <v>0.10718113612004306</v>
      </c>
      <c r="M116" s="2">
        <f t="shared" si="62"/>
        <v>6.4391500321957618E-2</v>
      </c>
      <c r="N116" s="2">
        <f t="shared" si="63"/>
        <v>15.529999999999973</v>
      </c>
      <c r="O116" s="85">
        <v>80</v>
      </c>
      <c r="P116">
        <f t="shared" si="64"/>
        <v>8.5744908896034442</v>
      </c>
    </row>
    <row r="117" spans="2:18" x14ac:dyDescent="0.35">
      <c r="F117">
        <f>240+85.88</f>
        <v>325.88</v>
      </c>
      <c r="G117">
        <f>240+92.76</f>
        <v>332.76</v>
      </c>
      <c r="H117" s="13">
        <f t="shared" si="57"/>
        <v>6.8799999999999955</v>
      </c>
      <c r="I117" s="13">
        <f t="shared" si="58"/>
        <v>6.0500000000000114</v>
      </c>
      <c r="J117" s="2">
        <f t="shared" si="59"/>
        <v>0.53209590100541315</v>
      </c>
      <c r="K117" s="2">
        <f t="shared" si="60"/>
        <v>0.46790409899458685</v>
      </c>
      <c r="L117" s="2">
        <f t="shared" si="61"/>
        <v>0.14534883720930242</v>
      </c>
      <c r="M117" s="2">
        <f t="shared" si="62"/>
        <v>7.7339520494972891E-2</v>
      </c>
      <c r="N117" s="2">
        <f t="shared" si="63"/>
        <v>12.930000000000007</v>
      </c>
      <c r="O117" s="85">
        <v>58</v>
      </c>
      <c r="P117">
        <f t="shared" si="64"/>
        <v>8.4302325581395401</v>
      </c>
    </row>
    <row r="118" spans="2:18" x14ac:dyDescent="0.35">
      <c r="F118">
        <f>240+98.81</f>
        <v>338.81</v>
      </c>
      <c r="G118">
        <f>240+103.44</f>
        <v>343.44</v>
      </c>
      <c r="H118" s="13">
        <f t="shared" si="57"/>
        <v>4.6299999999999955</v>
      </c>
      <c r="I118" s="13">
        <f t="shared" si="58"/>
        <v>6.0799999999999841</v>
      </c>
      <c r="J118" s="2">
        <f t="shared" si="59"/>
        <v>0.43230625583566801</v>
      </c>
      <c r="K118" s="2">
        <f t="shared" si="60"/>
        <v>0.56769374416433205</v>
      </c>
      <c r="L118" s="2">
        <f t="shared" si="61"/>
        <v>0.21598272138228963</v>
      </c>
      <c r="M118" s="2">
        <f t="shared" si="62"/>
        <v>9.3370681605975905E-2</v>
      </c>
      <c r="N118" s="2">
        <f t="shared" si="63"/>
        <v>10.70999999999998</v>
      </c>
      <c r="O118" s="85">
        <v>43</v>
      </c>
      <c r="P118">
        <f t="shared" si="64"/>
        <v>9.2872570194384547</v>
      </c>
    </row>
    <row r="119" spans="2:18" x14ac:dyDescent="0.35">
      <c r="B119" s="144">
        <v>116.92</v>
      </c>
      <c r="C119" s="144">
        <f>120+4.57</f>
        <v>124.57</v>
      </c>
      <c r="D119" s="144">
        <f>C119-B119</f>
        <v>7.6499999999999915</v>
      </c>
      <c r="E119" s="144"/>
      <c r="F119" s="144">
        <f>240+109.52</f>
        <v>349.52</v>
      </c>
      <c r="G119" s="144">
        <f>240+115.28</f>
        <v>355.28</v>
      </c>
      <c r="H119" s="91">
        <f t="shared" si="57"/>
        <v>5.7599999999999909</v>
      </c>
      <c r="I119" s="91">
        <f t="shared" si="58"/>
        <v>10.690000000000055</v>
      </c>
      <c r="J119" s="91">
        <f t="shared" si="59"/>
        <v>0.35015197568388906</v>
      </c>
      <c r="K119" s="91">
        <f t="shared" si="60"/>
        <v>0.64984802431611099</v>
      </c>
      <c r="L119" s="91">
        <f t="shared" si="61"/>
        <v>0.17361111111111138</v>
      </c>
      <c r="M119" s="91">
        <f t="shared" si="62"/>
        <v>6.0790273556230838E-2</v>
      </c>
      <c r="N119" s="91">
        <f t="shared" si="63"/>
        <v>16.450000000000045</v>
      </c>
      <c r="O119" s="144">
        <v>54</v>
      </c>
      <c r="P119" s="144">
        <f t="shared" si="64"/>
        <v>9.3750000000000142</v>
      </c>
    </row>
    <row r="120" spans="2:18" x14ac:dyDescent="0.35">
      <c r="F120">
        <f>360+5.97</f>
        <v>365.97</v>
      </c>
      <c r="G120">
        <f>360+14.5</f>
        <v>374.5</v>
      </c>
      <c r="H120" s="13">
        <f t="shared" si="57"/>
        <v>8.5299999999999727</v>
      </c>
      <c r="I120" s="13">
        <f t="shared" si="58"/>
        <v>6.1700000000000159</v>
      </c>
      <c r="J120" s="2">
        <f t="shared" si="59"/>
        <v>0.58027210884353597</v>
      </c>
      <c r="K120" s="2">
        <f t="shared" si="60"/>
        <v>0.41972789115646397</v>
      </c>
      <c r="L120" s="2">
        <f t="shared" si="61"/>
        <v>0.11723329425556896</v>
      </c>
      <c r="M120" s="2">
        <f t="shared" si="62"/>
        <v>6.8027210884353789E-2</v>
      </c>
      <c r="N120" s="2">
        <f t="shared" si="63"/>
        <v>14.699999999999989</v>
      </c>
      <c r="O120" s="85">
        <v>73</v>
      </c>
      <c r="P120">
        <f t="shared" si="64"/>
        <v>8.5580304806565337</v>
      </c>
      <c r="R120" t="s">
        <v>147</v>
      </c>
    </row>
    <row r="121" spans="2:18" x14ac:dyDescent="0.35">
      <c r="F121">
        <f>360+20.67</f>
        <v>380.67</v>
      </c>
      <c r="G121">
        <f>360+27.22</f>
        <v>387.22</v>
      </c>
      <c r="H121" s="13">
        <f t="shared" si="57"/>
        <v>6.5500000000000114</v>
      </c>
      <c r="I121" s="13">
        <f t="shared" si="58"/>
        <v>6.1299999999999955</v>
      </c>
      <c r="J121" s="2">
        <f t="shared" si="59"/>
        <v>0.51656151419558427</v>
      </c>
      <c r="K121" s="2">
        <f t="shared" si="60"/>
        <v>0.48343848580441579</v>
      </c>
      <c r="L121" s="2">
        <f t="shared" si="61"/>
        <v>0.15267175572519057</v>
      </c>
      <c r="M121" s="2">
        <f t="shared" si="62"/>
        <v>7.8864353312302793E-2</v>
      </c>
      <c r="N121" s="2">
        <f t="shared" si="63"/>
        <v>12.680000000000007</v>
      </c>
      <c r="O121" s="85">
        <v>52</v>
      </c>
      <c r="P121">
        <f t="shared" si="64"/>
        <v>7.9389312977099102</v>
      </c>
    </row>
    <row r="122" spans="2:18" x14ac:dyDescent="0.35">
      <c r="F122">
        <f>360+33.35</f>
        <v>393.35</v>
      </c>
      <c r="H122" s="13"/>
      <c r="I122" s="13"/>
      <c r="J122" s="2"/>
      <c r="K122" s="2"/>
      <c r="L122" s="2"/>
      <c r="M122" s="2"/>
      <c r="N122" s="2"/>
    </row>
    <row r="123" spans="2:18" x14ac:dyDescent="0.35">
      <c r="H123" s="13"/>
      <c r="I123" s="13"/>
      <c r="J123" s="2"/>
      <c r="K123" s="2"/>
      <c r="L123" s="2"/>
      <c r="M123" s="2"/>
      <c r="N123" s="2"/>
    </row>
    <row r="124" spans="2:18" ht="16" thickBot="1" x14ac:dyDescent="0.4">
      <c r="H124" s="9" t="s">
        <v>3</v>
      </c>
      <c r="I124" s="9" t="s">
        <v>4</v>
      </c>
      <c r="J124" s="9" t="s">
        <v>5</v>
      </c>
      <c r="K124" s="9" t="s">
        <v>6</v>
      </c>
      <c r="L124" s="9" t="s">
        <v>7</v>
      </c>
      <c r="M124" s="9" t="s">
        <v>8</v>
      </c>
      <c r="N124" s="9" t="s">
        <v>9</v>
      </c>
      <c r="O124" s="9" t="s">
        <v>10</v>
      </c>
      <c r="P124" s="44" t="s">
        <v>139</v>
      </c>
    </row>
    <row r="125" spans="2:18" x14ac:dyDescent="0.35">
      <c r="E125" s="104" t="s">
        <v>192</v>
      </c>
      <c r="G125" s="49" t="s">
        <v>77</v>
      </c>
      <c r="H125">
        <f>AVERAGE(H100,H101,H105,H106,H107,H111,H113,H115,H119)</f>
        <v>7.4677777777777798</v>
      </c>
      <c r="I125">
        <f t="shared" ref="I125:P125" si="65">AVERAGE(I100,I101,I105,I106,I107,I111,I113,I115,I119)</f>
        <v>10.960000000000008</v>
      </c>
      <c r="J125">
        <f t="shared" si="65"/>
        <v>0.4028799875445358</v>
      </c>
      <c r="K125">
        <f t="shared" si="65"/>
        <v>0.5971200124554642</v>
      </c>
      <c r="L125">
        <f t="shared" si="65"/>
        <v>0.14041692040832421</v>
      </c>
      <c r="M125">
        <f t="shared" si="65"/>
        <v>5.501632242989072E-2</v>
      </c>
      <c r="N125">
        <f t="shared" si="65"/>
        <v>18.427777777777788</v>
      </c>
      <c r="O125">
        <f t="shared" si="65"/>
        <v>64.222222222222229</v>
      </c>
      <c r="P125">
        <f t="shared" si="65"/>
        <v>8.6862554682233828</v>
      </c>
    </row>
    <row r="126" spans="2:18" x14ac:dyDescent="0.35">
      <c r="E126" s="104"/>
      <c r="G126" s="49" t="s">
        <v>94</v>
      </c>
      <c r="H126">
        <f>_xlfn.STDEV.S(H100,H101,H105,H106,H107,H111,H113,H115,H119)</f>
        <v>1.6226735483283252</v>
      </c>
      <c r="I126">
        <f t="shared" ref="I126:P126" si="66">_xlfn.STDEV.S(I100,I101,I105,I106,I107,I111,I113,I115,I119)</f>
        <v>1.3476553713765203</v>
      </c>
      <c r="J126">
        <f t="shared" si="66"/>
        <v>5.8793878557188713E-2</v>
      </c>
      <c r="K126">
        <f t="shared" si="66"/>
        <v>5.8793878557188629E-2</v>
      </c>
      <c r="L126">
        <f t="shared" si="66"/>
        <v>3.4181122827815387E-2</v>
      </c>
      <c r="M126">
        <f t="shared" si="66"/>
        <v>6.9111834548791955E-3</v>
      </c>
      <c r="N126">
        <f t="shared" si="66"/>
        <v>2.2657271337132374</v>
      </c>
      <c r="O126">
        <f t="shared" si="66"/>
        <v>11.659521621595131</v>
      </c>
      <c r="P126">
        <f t="shared" si="66"/>
        <v>0.59895067405957658</v>
      </c>
    </row>
    <row r="127" spans="2:18" x14ac:dyDescent="0.35">
      <c r="E127" s="104"/>
      <c r="G127" s="49" t="s">
        <v>95</v>
      </c>
      <c r="H127">
        <f>H126/(SQRT(9))</f>
        <v>0.54089118277610837</v>
      </c>
      <c r="I127">
        <f t="shared" ref="I127:P127" si="67">I126/(SQRT(9))</f>
        <v>0.44921845712550673</v>
      </c>
      <c r="J127">
        <f t="shared" si="67"/>
        <v>1.9597959519062905E-2</v>
      </c>
      <c r="K127">
        <f t="shared" si="67"/>
        <v>1.9597959519062878E-2</v>
      </c>
      <c r="L127">
        <f t="shared" si="67"/>
        <v>1.1393707609271796E-2</v>
      </c>
      <c r="M127">
        <f t="shared" si="67"/>
        <v>2.303727818293065E-3</v>
      </c>
      <c r="N127">
        <f t="shared" si="67"/>
        <v>0.75524237790441251</v>
      </c>
      <c r="O127">
        <f t="shared" si="67"/>
        <v>3.8865072071983771</v>
      </c>
      <c r="P127">
        <f t="shared" si="67"/>
        <v>0.19965022468652552</v>
      </c>
    </row>
    <row r="128" spans="2:18" x14ac:dyDescent="0.35">
      <c r="E128" s="104"/>
    </row>
    <row r="129" spans="5:16" x14ac:dyDescent="0.35">
      <c r="E129" s="104"/>
    </row>
    <row r="130" spans="5:16" x14ac:dyDescent="0.35">
      <c r="E130" s="104" t="s">
        <v>193</v>
      </c>
      <c r="G130" s="49" t="s">
        <v>77</v>
      </c>
      <c r="H130">
        <f>AVERAGE(H102,H108,H112,H114,H116,H120)</f>
        <v>9.1816666666666524</v>
      </c>
      <c r="I130">
        <f t="shared" ref="I130:P130" si="68">AVERAGE(I102,I108,I112,I114,I116,I120)</f>
        <v>6.2833333333333359</v>
      </c>
      <c r="J130">
        <f t="shared" si="68"/>
        <v>0.59359022815832885</v>
      </c>
      <c r="K130">
        <f t="shared" si="68"/>
        <v>0.40640977184167121</v>
      </c>
      <c r="L130">
        <f t="shared" si="68"/>
        <v>0.10920828788373897</v>
      </c>
      <c r="M130">
        <f t="shared" si="68"/>
        <v>6.4802411624801257E-2</v>
      </c>
      <c r="N130">
        <f t="shared" si="68"/>
        <v>15.464999999999989</v>
      </c>
      <c r="O130">
        <f t="shared" si="68"/>
        <v>78</v>
      </c>
      <c r="P130">
        <f t="shared" si="68"/>
        <v>8.493995428943288</v>
      </c>
    </row>
    <row r="131" spans="5:16" x14ac:dyDescent="0.35">
      <c r="E131" s="104"/>
      <c r="G131" s="49" t="s">
        <v>94</v>
      </c>
      <c r="H131">
        <f>_xlfn.STDEV.S(H102,H108,H112,H114,H116,H120)</f>
        <v>0.52700727382709578</v>
      </c>
      <c r="I131">
        <f t="shared" ref="I131:P131" si="69">_xlfn.STDEV.S(I102,I108,I112,I114,I116,I120)</f>
        <v>0.30722413099668916</v>
      </c>
      <c r="J131">
        <f t="shared" si="69"/>
        <v>7.5541751847804841E-3</v>
      </c>
      <c r="K131">
        <f t="shared" si="69"/>
        <v>7.5541751847804485E-3</v>
      </c>
      <c r="L131">
        <f t="shared" si="69"/>
        <v>6.1893522572001071E-3</v>
      </c>
      <c r="M131">
        <f t="shared" si="69"/>
        <v>3.2405412479865579E-3</v>
      </c>
      <c r="N131">
        <f t="shared" si="69"/>
        <v>0.80423255343215438</v>
      </c>
      <c r="O131">
        <f t="shared" si="69"/>
        <v>5.0596442562694071</v>
      </c>
      <c r="P131">
        <f t="shared" si="69"/>
        <v>0.18240937678695182</v>
      </c>
    </row>
    <row r="132" spans="5:16" x14ac:dyDescent="0.35">
      <c r="G132" s="49" t="s">
        <v>95</v>
      </c>
      <c r="H132">
        <f>H131/(SQRT(6))</f>
        <v>0.2151498186019328</v>
      </c>
      <c r="I132">
        <f t="shared" ref="I132:P132" si="70">I131/(SQRT(6))</f>
        <v>0.12542372626864426</v>
      </c>
      <c r="J132">
        <f t="shared" si="70"/>
        <v>3.0839791050511693E-3</v>
      </c>
      <c r="K132">
        <f t="shared" si="70"/>
        <v>3.083979105051155E-3</v>
      </c>
      <c r="L132">
        <f t="shared" si="70"/>
        <v>2.5267924780805959E-3</v>
      </c>
      <c r="M132">
        <f t="shared" si="70"/>
        <v>1.3229454246681456E-3</v>
      </c>
      <c r="N132">
        <f t="shared" si="70"/>
        <v>0.32832656507406444</v>
      </c>
      <c r="O132">
        <f t="shared" si="70"/>
        <v>2.0655911179772892</v>
      </c>
      <c r="P132">
        <f t="shared" si="70"/>
        <v>7.4468316237851745E-2</v>
      </c>
    </row>
    <row r="134" spans="5:16" x14ac:dyDescent="0.35">
      <c r="E134" s="104" t="s">
        <v>194</v>
      </c>
      <c r="F134" s="104"/>
      <c r="G134" s="49" t="s">
        <v>77</v>
      </c>
      <c r="H134">
        <f>AVERAGE(H97:H99,H103,H104,H109,H110,H117,H118,H121)</f>
        <v>6.1430000000000007</v>
      </c>
      <c r="I134">
        <f t="shared" ref="I134:P134" si="71">AVERAGE(I97:I99,I103,I104,I109,I110,I117,I118,I121)</f>
        <v>6.3969999999999985</v>
      </c>
      <c r="J134">
        <f t="shared" si="71"/>
        <v>0.48474862180366579</v>
      </c>
      <c r="K134">
        <f t="shared" si="71"/>
        <v>0.51525137819633415</v>
      </c>
      <c r="L134">
        <f t="shared" si="71"/>
        <v>0.17143241322939762</v>
      </c>
      <c r="M134">
        <f t="shared" si="71"/>
        <v>8.090524540760366E-2</v>
      </c>
      <c r="N134">
        <f t="shared" si="71"/>
        <v>12.54</v>
      </c>
      <c r="O134">
        <f t="shared" si="71"/>
        <v>52.4</v>
      </c>
      <c r="P134">
        <f t="shared" si="71"/>
        <v>8.6005820603405265</v>
      </c>
    </row>
    <row r="135" spans="5:16" x14ac:dyDescent="0.35">
      <c r="E135" s="104"/>
      <c r="F135" s="104"/>
      <c r="G135" s="49" t="s">
        <v>94</v>
      </c>
      <c r="H135">
        <f>_xlfn.STDEV.S(H97:H99,H103,H104,H109,H110,H117,H118,H121)</f>
        <v>1.5203950510019162</v>
      </c>
      <c r="I135">
        <f t="shared" ref="I135:P135" si="72">_xlfn.STDEV.S(I97:I99,I103,I104,I109,I110,I117,I118,I121)</f>
        <v>0.6435155182450697</v>
      </c>
      <c r="J135">
        <f t="shared" si="72"/>
        <v>6.4896301295310016E-2</v>
      </c>
      <c r="K135">
        <f t="shared" si="72"/>
        <v>6.4896301295310391E-2</v>
      </c>
      <c r="L135">
        <f t="shared" si="72"/>
        <v>4.0442279314987256E-2</v>
      </c>
      <c r="M135">
        <f t="shared" si="72"/>
        <v>9.6629210429371153E-3</v>
      </c>
      <c r="N135">
        <f t="shared" si="72"/>
        <v>1.6913899609492786</v>
      </c>
      <c r="O135">
        <f t="shared" si="72"/>
        <v>11.384199576606173</v>
      </c>
      <c r="P135">
        <f t="shared" si="72"/>
        <v>0.8019094360181126</v>
      </c>
    </row>
    <row r="136" spans="5:16" x14ac:dyDescent="0.35">
      <c r="E136" s="104"/>
      <c r="F136" s="104"/>
      <c r="G136" s="49" t="s">
        <v>95</v>
      </c>
      <c r="H136">
        <f>H135/(SQRT(10))</f>
        <v>0.48079113044139232</v>
      </c>
      <c r="I136">
        <f t="shared" ref="I136:P136" si="73">I135/(SQRT(10))</f>
        <v>0.2034974747318061</v>
      </c>
      <c r="J136">
        <f t="shared" si="73"/>
        <v>2.052201238137151E-2</v>
      </c>
      <c r="K136">
        <f t="shared" si="73"/>
        <v>2.0522012381371628E-2</v>
      </c>
      <c r="L136">
        <f t="shared" si="73"/>
        <v>1.2788971640407393E-2</v>
      </c>
      <c r="M136">
        <f t="shared" si="73"/>
        <v>3.0556839346050973E-3</v>
      </c>
      <c r="N136">
        <f t="shared" si="73"/>
        <v>0.53486446881429706</v>
      </c>
      <c r="O136">
        <f t="shared" si="73"/>
        <v>3.6000000000000023</v>
      </c>
      <c r="P136">
        <f t="shared" si="73"/>
        <v>0.25358602949983017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11"/>
  <sheetViews>
    <sheetView topLeftCell="A12" workbookViewId="0">
      <selection activeCell="O55" sqref="O55:P55"/>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148</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0.44</v>
      </c>
      <c r="G7" s="2">
        <v>8.1999999999999993</v>
      </c>
      <c r="H7" s="2">
        <f>G7-F7</f>
        <v>7.7599999999999989</v>
      </c>
      <c r="I7" s="2">
        <f>F8-G7</f>
        <v>20.220000000000002</v>
      </c>
      <c r="J7" s="2">
        <f>H7/N7</f>
        <v>0.27734095782701923</v>
      </c>
      <c r="K7" s="2">
        <f>I7/N7</f>
        <v>0.72265904217298083</v>
      </c>
      <c r="L7" s="2">
        <f>1/H7</f>
        <v>0.12886597938144331</v>
      </c>
      <c r="M7" s="2">
        <f>1/N7</f>
        <v>3.5739814152966405E-2</v>
      </c>
      <c r="N7" s="2">
        <f>H7+I7</f>
        <v>27.98</v>
      </c>
      <c r="O7" s="2">
        <v>58</v>
      </c>
      <c r="P7">
        <f>O7/H7</f>
        <v>7.4742268041237123</v>
      </c>
      <c r="R7" t="s">
        <v>149</v>
      </c>
    </row>
    <row r="8" spans="2:19" x14ac:dyDescent="0.35">
      <c r="B8" s="2"/>
      <c r="C8" s="2"/>
      <c r="D8" s="2"/>
      <c r="E8" s="2"/>
      <c r="F8" s="2">
        <v>28.42</v>
      </c>
      <c r="G8" s="2">
        <v>36.97</v>
      </c>
      <c r="H8" s="2">
        <f t="shared" ref="H8:H14" si="0">G8-F8</f>
        <v>8.5499999999999972</v>
      </c>
      <c r="I8" s="2">
        <f t="shared" ref="I8:I14" si="1">F9-G8</f>
        <v>19.25</v>
      </c>
      <c r="J8" s="2">
        <f t="shared" ref="J8:J14" si="2">H8/N8</f>
        <v>0.30755395683453229</v>
      </c>
      <c r="K8" s="2">
        <f t="shared" ref="K8:K14" si="3">I8/N8</f>
        <v>0.69244604316546765</v>
      </c>
      <c r="L8" s="2">
        <f t="shared" ref="L8:L14" si="4">1/H8</f>
        <v>0.11695906432748542</v>
      </c>
      <c r="M8" s="2">
        <f t="shared" ref="M8:M14" si="5">1/N8</f>
        <v>3.5971223021582739E-2</v>
      </c>
      <c r="N8" s="2">
        <f t="shared" ref="N8:N14" si="6">H8+I8</f>
        <v>27.799999999999997</v>
      </c>
      <c r="O8" s="2">
        <v>61</v>
      </c>
      <c r="P8">
        <f t="shared" ref="P8:P15" si="7">O8/H8</f>
        <v>7.1345029239766102</v>
      </c>
    </row>
    <row r="9" spans="2:19" x14ac:dyDescent="0.35">
      <c r="B9" s="2"/>
      <c r="C9" s="2"/>
      <c r="D9" s="2"/>
      <c r="E9" s="2"/>
      <c r="F9" s="2">
        <v>56.22</v>
      </c>
      <c r="G9" s="2">
        <v>64.989999999999995</v>
      </c>
      <c r="H9" s="2">
        <f t="shared" si="0"/>
        <v>8.769999999999996</v>
      </c>
      <c r="I9" s="2">
        <f t="shared" si="1"/>
        <v>19.180000000000007</v>
      </c>
      <c r="J9" s="2">
        <f t="shared" si="2"/>
        <v>0.31377459749552755</v>
      </c>
      <c r="K9" s="2">
        <f t="shared" si="3"/>
        <v>0.68622540250447239</v>
      </c>
      <c r="L9" s="2">
        <f t="shared" si="4"/>
        <v>0.11402508551881418</v>
      </c>
      <c r="M9" s="2">
        <f t="shared" si="5"/>
        <v>3.5778175313059032E-2</v>
      </c>
      <c r="N9" s="2">
        <f t="shared" si="6"/>
        <v>27.950000000000003</v>
      </c>
      <c r="O9" s="2">
        <v>67</v>
      </c>
      <c r="P9">
        <f t="shared" si="7"/>
        <v>7.6396807297605509</v>
      </c>
    </row>
    <row r="10" spans="2:19" x14ac:dyDescent="0.35">
      <c r="B10" s="2"/>
      <c r="C10" s="2"/>
      <c r="D10" s="2"/>
      <c r="E10" s="2"/>
      <c r="F10" s="13">
        <v>84.17</v>
      </c>
      <c r="G10" s="13">
        <v>93.21</v>
      </c>
      <c r="H10" s="2">
        <f t="shared" si="0"/>
        <v>9.039999999999992</v>
      </c>
      <c r="I10" s="2">
        <f t="shared" si="1"/>
        <v>19.840000000000003</v>
      </c>
      <c r="J10" s="2">
        <f t="shared" si="2"/>
        <v>0.31301939058171724</v>
      </c>
      <c r="K10" s="2">
        <f t="shared" si="3"/>
        <v>0.68698060941828276</v>
      </c>
      <c r="L10" s="2">
        <f t="shared" si="4"/>
        <v>0.11061946902654878</v>
      </c>
      <c r="M10" s="2">
        <f t="shared" si="5"/>
        <v>3.4626038781163437E-2</v>
      </c>
      <c r="N10" s="2">
        <f t="shared" si="6"/>
        <v>28.879999999999995</v>
      </c>
      <c r="O10" s="13">
        <v>69</v>
      </c>
      <c r="P10">
        <f t="shared" si="7"/>
        <v>7.6327433628318655</v>
      </c>
    </row>
    <row r="11" spans="2:19" x14ac:dyDescent="0.35">
      <c r="B11" s="2"/>
      <c r="C11" s="2"/>
      <c r="D11" s="2"/>
      <c r="E11" s="2"/>
      <c r="F11" s="13">
        <v>113.05</v>
      </c>
      <c r="G11" s="13">
        <f>120+1.47</f>
        <v>121.47</v>
      </c>
      <c r="H11" s="2">
        <f t="shared" si="0"/>
        <v>8.4200000000000017</v>
      </c>
      <c r="I11" s="2">
        <f t="shared" si="1"/>
        <v>19.22</v>
      </c>
      <c r="J11" s="2">
        <f t="shared" si="2"/>
        <v>0.304630969609262</v>
      </c>
      <c r="K11" s="2">
        <f t="shared" si="3"/>
        <v>0.69536903039073805</v>
      </c>
      <c r="L11" s="2">
        <f t="shared" si="4"/>
        <v>0.11876484560570069</v>
      </c>
      <c r="M11" s="2">
        <f t="shared" si="5"/>
        <v>3.6179450072358899E-2</v>
      </c>
      <c r="N11" s="2">
        <f t="shared" si="6"/>
        <v>27.64</v>
      </c>
      <c r="O11" s="13">
        <v>67</v>
      </c>
      <c r="P11">
        <f t="shared" si="7"/>
        <v>7.9572446555819463</v>
      </c>
      <c r="R11" t="s">
        <v>150</v>
      </c>
    </row>
    <row r="12" spans="2:19" x14ac:dyDescent="0.35">
      <c r="B12" s="2"/>
      <c r="C12" s="2"/>
      <c r="D12" s="2"/>
      <c r="E12" s="2"/>
      <c r="F12" s="13">
        <f>120+20.69</f>
        <v>140.69</v>
      </c>
      <c r="G12" s="13">
        <f>120+30.6</f>
        <v>150.6</v>
      </c>
      <c r="H12" s="2">
        <f t="shared" si="0"/>
        <v>9.9099999999999966</v>
      </c>
      <c r="I12" s="2">
        <f t="shared" si="1"/>
        <v>16.159999999999997</v>
      </c>
      <c r="J12" s="2">
        <f t="shared" si="2"/>
        <v>0.38013041810510162</v>
      </c>
      <c r="K12" s="2">
        <f t="shared" si="3"/>
        <v>0.61986958189489838</v>
      </c>
      <c r="L12" s="2">
        <f t="shared" si="4"/>
        <v>0.10090817356205856</v>
      </c>
      <c r="M12" s="2">
        <f t="shared" si="5"/>
        <v>3.8358266206367481E-2</v>
      </c>
      <c r="N12" s="2">
        <f t="shared" si="6"/>
        <v>26.069999999999993</v>
      </c>
      <c r="O12" s="13">
        <v>76</v>
      </c>
      <c r="P12">
        <f t="shared" si="7"/>
        <v>7.6690211907164505</v>
      </c>
    </row>
    <row r="13" spans="2:19" x14ac:dyDescent="0.35">
      <c r="B13" s="2"/>
      <c r="C13" s="2"/>
      <c r="D13" s="2"/>
      <c r="E13" s="2"/>
      <c r="F13" s="13">
        <f>120+46.76</f>
        <v>166.76</v>
      </c>
      <c r="G13" s="13">
        <f>120+56.46</f>
        <v>176.46</v>
      </c>
      <c r="H13" s="2">
        <f t="shared" si="0"/>
        <v>9.7000000000000171</v>
      </c>
      <c r="I13" s="2">
        <f t="shared" si="1"/>
        <v>17.139999999999986</v>
      </c>
      <c r="J13" s="2">
        <f t="shared" si="2"/>
        <v>0.36140089418778004</v>
      </c>
      <c r="K13" s="2">
        <f t="shared" si="3"/>
        <v>0.63859910581222001</v>
      </c>
      <c r="L13" s="2">
        <f t="shared" si="4"/>
        <v>0.10309278350515445</v>
      </c>
      <c r="M13" s="2">
        <f t="shared" si="5"/>
        <v>3.7257824143070037E-2</v>
      </c>
      <c r="N13" s="2">
        <f t="shared" si="6"/>
        <v>26.840000000000003</v>
      </c>
      <c r="O13" s="13">
        <v>77</v>
      </c>
      <c r="P13">
        <f t="shared" si="7"/>
        <v>7.9381443298968932</v>
      </c>
    </row>
    <row r="14" spans="2:19" x14ac:dyDescent="0.35">
      <c r="B14" s="2"/>
      <c r="C14" s="2"/>
      <c r="D14" s="2"/>
      <c r="E14" s="2"/>
      <c r="F14" s="13">
        <f>120+73.6</f>
        <v>193.6</v>
      </c>
      <c r="G14" s="13">
        <f>120+82.42</f>
        <v>202.42000000000002</v>
      </c>
      <c r="H14" s="2">
        <f t="shared" si="0"/>
        <v>8.8200000000000216</v>
      </c>
      <c r="I14" s="2">
        <f t="shared" si="1"/>
        <v>18.169999999999987</v>
      </c>
      <c r="J14" s="2">
        <f t="shared" si="2"/>
        <v>0.32678769914783323</v>
      </c>
      <c r="K14" s="2">
        <f t="shared" si="3"/>
        <v>0.67321230085216677</v>
      </c>
      <c r="L14" s="2">
        <f t="shared" si="4"/>
        <v>0.11337868480725596</v>
      </c>
      <c r="M14" s="2">
        <f t="shared" si="5"/>
        <v>3.705075954057057E-2</v>
      </c>
      <c r="N14" s="2">
        <f t="shared" si="6"/>
        <v>26.990000000000009</v>
      </c>
      <c r="O14" s="13">
        <v>70</v>
      </c>
      <c r="P14">
        <f t="shared" si="7"/>
        <v>7.9365079365079172</v>
      </c>
    </row>
    <row r="15" spans="2:19" x14ac:dyDescent="0.35">
      <c r="B15" s="2"/>
      <c r="C15" s="2"/>
      <c r="D15" s="2"/>
      <c r="E15" s="2"/>
      <c r="F15" s="13">
        <f>120+100.59</f>
        <v>220.59</v>
      </c>
      <c r="G15" s="13">
        <f>120+110.36</f>
        <v>230.36</v>
      </c>
      <c r="H15" s="2">
        <f>G15-F15</f>
        <v>9.7700000000000102</v>
      </c>
      <c r="I15" s="2">
        <f>F16-G15</f>
        <v>17.189999999999998</v>
      </c>
      <c r="J15" s="2">
        <f>H15/N15</f>
        <v>0.36238872403560857</v>
      </c>
      <c r="K15" s="2">
        <f>I15/N15</f>
        <v>0.63761127596439138</v>
      </c>
      <c r="L15" s="2">
        <f>1/H15</f>
        <v>0.10235414534288628</v>
      </c>
      <c r="M15" s="2">
        <f>1/N15</f>
        <v>3.7091988130563788E-2</v>
      </c>
      <c r="N15" s="2">
        <f>H15+I15</f>
        <v>26.960000000000008</v>
      </c>
      <c r="O15" s="13">
        <v>77</v>
      </c>
      <c r="P15">
        <f t="shared" si="7"/>
        <v>7.8812691914022439</v>
      </c>
    </row>
    <row r="16" spans="2:19" x14ac:dyDescent="0.35">
      <c r="B16" s="2"/>
      <c r="C16" s="2"/>
      <c r="D16" s="2"/>
      <c r="E16" s="2"/>
      <c r="F16" s="2">
        <f>240+7.55</f>
        <v>247.55</v>
      </c>
      <c r="G16" s="2"/>
      <c r="H16" s="2"/>
      <c r="I16" s="2"/>
      <c r="J16" s="2"/>
      <c r="K16" s="2"/>
      <c r="L16" s="2"/>
      <c r="M16" s="2"/>
      <c r="N16" s="2"/>
      <c r="O16" s="2"/>
    </row>
    <row r="17" spans="1:18" ht="16" thickBot="1" x14ac:dyDescent="0.4">
      <c r="B17" s="2"/>
      <c r="C17" s="2"/>
      <c r="D17" s="2"/>
      <c r="E17" s="2"/>
      <c r="F17" s="2"/>
      <c r="G17" s="2"/>
      <c r="H17" s="9" t="s">
        <v>3</v>
      </c>
      <c r="I17" s="9" t="s">
        <v>4</v>
      </c>
      <c r="J17" s="9" t="s">
        <v>5</v>
      </c>
      <c r="K17" s="9" t="s">
        <v>6</v>
      </c>
      <c r="L17" s="9" t="s">
        <v>7</v>
      </c>
      <c r="M17" s="9" t="s">
        <v>8</v>
      </c>
      <c r="N17" s="9" t="s">
        <v>9</v>
      </c>
      <c r="O17" s="9" t="s">
        <v>10</v>
      </c>
      <c r="P17" s="44" t="s">
        <v>139</v>
      </c>
    </row>
    <row r="18" spans="1:18" x14ac:dyDescent="0.35">
      <c r="B18" s="2"/>
      <c r="C18" s="2"/>
      <c r="D18" s="2"/>
      <c r="E18" s="2"/>
      <c r="F18" s="2"/>
      <c r="G18" s="3" t="s">
        <v>77</v>
      </c>
      <c r="H18" s="2">
        <f>AVERAGE(H7:H15)</f>
        <v>8.9711111111111155</v>
      </c>
      <c r="I18" s="2">
        <f t="shared" ref="I18:P18" si="8">AVERAGE(I7:I15)</f>
        <v>18.485555555555553</v>
      </c>
      <c r="J18" s="2">
        <f t="shared" si="8"/>
        <v>0.32744751198048688</v>
      </c>
      <c r="K18" s="2">
        <f t="shared" si="8"/>
        <v>0.67255248801951295</v>
      </c>
      <c r="L18" s="2">
        <f t="shared" si="8"/>
        <v>0.11210758123081639</v>
      </c>
      <c r="M18" s="2">
        <f t="shared" si="8"/>
        <v>3.6450393262411375E-2</v>
      </c>
      <c r="N18" s="2">
        <f t="shared" si="8"/>
        <v>27.456666666666667</v>
      </c>
      <c r="O18" s="2">
        <f t="shared" si="8"/>
        <v>69.111111111111114</v>
      </c>
      <c r="P18" s="2">
        <f t="shared" si="8"/>
        <v>7.6959267916442435</v>
      </c>
    </row>
    <row r="19" spans="1:18" x14ac:dyDescent="0.35">
      <c r="B19" s="2"/>
      <c r="C19" s="2"/>
      <c r="D19" s="2"/>
      <c r="E19" s="2"/>
      <c r="F19" s="2"/>
      <c r="G19" s="3" t="s">
        <v>94</v>
      </c>
      <c r="H19" s="2">
        <f>_xlfn.STDEV.S(H7:H15)</f>
        <v>0.71299446779839393</v>
      </c>
      <c r="I19" s="2">
        <f t="shared" ref="I19:P19" si="9">_xlfn.STDEV.S(I7:I15)</f>
        <v>1.3894973111804818</v>
      </c>
      <c r="J19" s="2">
        <f t="shared" si="9"/>
        <v>3.3488390904111612E-2</v>
      </c>
      <c r="K19" s="2">
        <f t="shared" si="9"/>
        <v>3.3488390904111626E-2</v>
      </c>
      <c r="L19" s="2">
        <f t="shared" si="9"/>
        <v>9.0693838853854666E-3</v>
      </c>
      <c r="M19" s="2">
        <f t="shared" si="9"/>
        <v>1.0984130989467992E-3</v>
      </c>
      <c r="N19" s="2">
        <f t="shared" si="9"/>
        <v>0.82630200290208555</v>
      </c>
      <c r="O19" s="2">
        <f t="shared" si="9"/>
        <v>6.8088994052718324</v>
      </c>
      <c r="P19" s="2">
        <f t="shared" si="9"/>
        <v>0.27189491867971588</v>
      </c>
    </row>
    <row r="20" spans="1:18" x14ac:dyDescent="0.35">
      <c r="B20" s="2"/>
      <c r="C20" s="2"/>
      <c r="D20" s="2"/>
      <c r="E20" s="2"/>
      <c r="F20" s="2"/>
      <c r="G20" s="3" t="s">
        <v>95</v>
      </c>
      <c r="H20" s="49">
        <f>H19/(SQRT(9))</f>
        <v>0.23766482259946464</v>
      </c>
      <c r="I20" s="49">
        <f t="shared" ref="I20:P20" si="10">I19/(SQRT(9))</f>
        <v>0.46316577039349394</v>
      </c>
      <c r="J20" s="49">
        <f t="shared" si="10"/>
        <v>1.1162796968037203E-2</v>
      </c>
      <c r="K20" s="49">
        <f t="shared" si="10"/>
        <v>1.1162796968037209E-2</v>
      </c>
      <c r="L20" s="49">
        <f t="shared" si="10"/>
        <v>3.0231279617951557E-3</v>
      </c>
      <c r="M20" s="49">
        <f t="shared" si="10"/>
        <v>3.6613769964893308E-4</v>
      </c>
      <c r="N20" s="49">
        <f t="shared" si="10"/>
        <v>0.27543400096736187</v>
      </c>
      <c r="O20" s="49">
        <f t="shared" si="10"/>
        <v>2.2696331350906109</v>
      </c>
      <c r="P20" s="49">
        <f t="shared" si="10"/>
        <v>9.0631639559905289E-2</v>
      </c>
    </row>
    <row r="21" spans="1:18" x14ac:dyDescent="0.35">
      <c r="A21" s="8"/>
      <c r="B21" s="6" t="s">
        <v>24</v>
      </c>
      <c r="D21" s="2"/>
      <c r="E21" s="2"/>
      <c r="F21" s="2"/>
      <c r="G21" s="2"/>
      <c r="H21" s="2"/>
      <c r="I21" s="2"/>
      <c r="J21" s="2"/>
      <c r="K21" s="2"/>
      <c r="L21" s="2"/>
      <c r="M21" s="2"/>
      <c r="N21" s="2"/>
      <c r="O21" s="2"/>
    </row>
    <row r="22" spans="1:18" x14ac:dyDescent="0.35">
      <c r="A22" s="7"/>
      <c r="B22" s="6" t="s">
        <v>72</v>
      </c>
      <c r="D22" s="2"/>
      <c r="E22" s="2"/>
      <c r="F22" s="2"/>
      <c r="G22" s="2"/>
      <c r="H22" s="2"/>
      <c r="I22" s="2"/>
      <c r="J22" s="2"/>
      <c r="K22" s="2"/>
      <c r="L22" s="2"/>
      <c r="M22" s="2"/>
      <c r="N22" s="2"/>
      <c r="O22" s="2"/>
    </row>
    <row r="23" spans="1:18" x14ac:dyDescent="0.35">
      <c r="B23" s="2"/>
      <c r="C23" s="2"/>
      <c r="D23" s="2"/>
      <c r="E23" s="2"/>
      <c r="F23" s="2"/>
      <c r="G23" s="2"/>
      <c r="H23" s="2"/>
      <c r="I23" s="2"/>
      <c r="J23" s="2"/>
      <c r="K23" s="2"/>
      <c r="L23" s="2"/>
      <c r="M23" s="2"/>
      <c r="N23" s="2"/>
      <c r="O23" s="2"/>
    </row>
    <row r="24" spans="1:18" ht="18.5" x14ac:dyDescent="0.45">
      <c r="B24" s="2"/>
      <c r="C24" s="2"/>
      <c r="D24" s="2"/>
      <c r="E24" s="2"/>
      <c r="F24" s="1" t="s">
        <v>22</v>
      </c>
      <c r="G24" s="2"/>
      <c r="H24" s="2"/>
      <c r="I24" s="2"/>
      <c r="J24" s="2"/>
      <c r="K24" s="2"/>
      <c r="L24" s="2"/>
      <c r="M24" s="2"/>
      <c r="N24" s="2"/>
      <c r="O24" s="2"/>
    </row>
    <row r="25" spans="1:18" ht="16" thickBot="1" x14ac:dyDescent="0.4">
      <c r="B25" s="9" t="s">
        <v>18</v>
      </c>
      <c r="C25" s="9" t="s">
        <v>17</v>
      </c>
      <c r="D25" s="9" t="s">
        <v>20</v>
      </c>
      <c r="E25" s="5"/>
      <c r="F25" s="9" t="s">
        <v>1</v>
      </c>
      <c r="G25" s="9" t="s">
        <v>2</v>
      </c>
      <c r="H25" s="9" t="s">
        <v>3</v>
      </c>
      <c r="I25" s="9" t="s">
        <v>4</v>
      </c>
      <c r="J25" s="9" t="s">
        <v>5</v>
      </c>
      <c r="K25" s="9" t="s">
        <v>6</v>
      </c>
      <c r="L25" s="9" t="s">
        <v>7</v>
      </c>
      <c r="M25" s="9" t="s">
        <v>8</v>
      </c>
      <c r="N25" s="9" t="s">
        <v>9</v>
      </c>
      <c r="O25" s="9" t="s">
        <v>10</v>
      </c>
      <c r="P25" s="44" t="s">
        <v>139</v>
      </c>
      <c r="R25" s="44" t="s">
        <v>134</v>
      </c>
    </row>
    <row r="26" spans="1:18" x14ac:dyDescent="0.35">
      <c r="B26" s="145"/>
      <c r="C26" s="146"/>
      <c r="D26" s="147"/>
      <c r="E26" s="13"/>
      <c r="F26" s="148">
        <v>7.55</v>
      </c>
      <c r="G26" s="13">
        <v>17.809999999999999</v>
      </c>
      <c r="H26" s="13">
        <f>G26-F26</f>
        <v>10.259999999999998</v>
      </c>
      <c r="I26" s="13">
        <f>F27-G26</f>
        <v>20.280000000000005</v>
      </c>
      <c r="J26" s="13">
        <f>H26/N26</f>
        <v>0.33595284872298614</v>
      </c>
      <c r="K26" s="13">
        <f>I26/N26</f>
        <v>0.66404715127701386</v>
      </c>
      <c r="L26" s="13">
        <f>1/H26</f>
        <v>9.7465886939571172E-2</v>
      </c>
      <c r="M26" s="13">
        <f>1/N26</f>
        <v>3.2743942370661423E-2</v>
      </c>
      <c r="N26" s="13">
        <f>H26+I26</f>
        <v>30.540000000000003</v>
      </c>
      <c r="O26" s="13">
        <v>79</v>
      </c>
      <c r="P26" s="85">
        <f>O26/H26</f>
        <v>7.6998050682261221</v>
      </c>
      <c r="R26" t="s">
        <v>151</v>
      </c>
    </row>
    <row r="27" spans="1:18" x14ac:dyDescent="0.35">
      <c r="B27" s="85"/>
      <c r="C27" s="85"/>
      <c r="D27" s="85"/>
      <c r="E27" s="85"/>
      <c r="F27" s="85">
        <v>38.090000000000003</v>
      </c>
      <c r="G27" s="85">
        <v>47.92</v>
      </c>
      <c r="H27" s="13">
        <f t="shared" ref="H27:H46" si="11">G27-F27</f>
        <v>9.8299999999999983</v>
      </c>
      <c r="I27" s="13">
        <f t="shared" ref="I27:I46" si="12">F28-G27</f>
        <v>18.03</v>
      </c>
      <c r="J27" s="13">
        <f t="shared" ref="J27:J46" si="13">H27/N27</f>
        <v>0.35283560660445079</v>
      </c>
      <c r="K27" s="13">
        <f t="shared" ref="K27:K46" si="14">I27/N27</f>
        <v>0.64716439339554921</v>
      </c>
      <c r="L27" s="13">
        <f t="shared" ref="L27:L46" si="15">1/H27</f>
        <v>0.10172939979654122</v>
      </c>
      <c r="M27" s="13">
        <f t="shared" ref="M27:M46" si="16">1/N27</f>
        <v>3.5893754486719311E-2</v>
      </c>
      <c r="N27" s="13">
        <f t="shared" ref="N27:N46" si="17">H27+I27</f>
        <v>27.86</v>
      </c>
      <c r="O27" s="85">
        <v>75</v>
      </c>
      <c r="P27" s="85">
        <f t="shared" ref="P27:P46" si="18">O27/H27</f>
        <v>7.6297049847405916</v>
      </c>
    </row>
    <row r="28" spans="1:18" x14ac:dyDescent="0.35">
      <c r="B28" s="144">
        <v>66.66</v>
      </c>
      <c r="C28" s="144">
        <v>71.48</v>
      </c>
      <c r="D28" s="144">
        <f>C28-B28</f>
        <v>4.8200000000000074</v>
      </c>
      <c r="E28" s="144"/>
      <c r="F28" s="144">
        <v>65.95</v>
      </c>
      <c r="G28" s="144">
        <v>72.72</v>
      </c>
      <c r="H28" s="91">
        <f t="shared" si="11"/>
        <v>6.769999999999996</v>
      </c>
      <c r="I28" s="91">
        <f t="shared" si="12"/>
        <v>18.230000000000004</v>
      </c>
      <c r="J28" s="91">
        <f t="shared" si="13"/>
        <v>0.27079999999999982</v>
      </c>
      <c r="K28" s="91">
        <f t="shared" si="14"/>
        <v>0.72920000000000018</v>
      </c>
      <c r="L28" s="91">
        <f t="shared" si="15"/>
        <v>0.14771048744460866</v>
      </c>
      <c r="M28" s="91">
        <f t="shared" si="16"/>
        <v>0.04</v>
      </c>
      <c r="N28" s="91">
        <f t="shared" si="17"/>
        <v>25</v>
      </c>
      <c r="O28" s="144">
        <v>54</v>
      </c>
      <c r="P28" s="144">
        <f t="shared" si="18"/>
        <v>7.9763663220088672</v>
      </c>
    </row>
    <row r="29" spans="1:18" x14ac:dyDescent="0.35">
      <c r="B29" s="85"/>
      <c r="C29" s="85"/>
      <c r="D29" s="85"/>
      <c r="E29" s="85"/>
      <c r="F29" s="13">
        <v>90.95</v>
      </c>
      <c r="G29" s="85">
        <v>99.97</v>
      </c>
      <c r="H29" s="13">
        <f t="shared" si="11"/>
        <v>9.019999999999996</v>
      </c>
      <c r="I29" s="13">
        <f t="shared" si="12"/>
        <v>15.980000000000004</v>
      </c>
      <c r="J29" s="13">
        <f t="shared" si="13"/>
        <v>0.36079999999999984</v>
      </c>
      <c r="K29" s="13">
        <f t="shared" si="14"/>
        <v>0.63920000000000021</v>
      </c>
      <c r="L29" s="13">
        <f t="shared" si="15"/>
        <v>0.11086474501108652</v>
      </c>
      <c r="M29" s="13">
        <f t="shared" si="16"/>
        <v>0.04</v>
      </c>
      <c r="N29" s="13">
        <f t="shared" si="17"/>
        <v>25</v>
      </c>
      <c r="O29" s="85">
        <v>72</v>
      </c>
      <c r="P29" s="85">
        <f t="shared" si="18"/>
        <v>7.9822616407982299</v>
      </c>
    </row>
    <row r="30" spans="1:18" x14ac:dyDescent="0.35">
      <c r="B30" s="144">
        <v>116.8</v>
      </c>
      <c r="C30" s="144">
        <f>120+1.46</f>
        <v>121.46</v>
      </c>
      <c r="D30" s="144">
        <f>C30-B30</f>
        <v>4.6599999999999966</v>
      </c>
      <c r="E30" s="144"/>
      <c r="F30" s="91">
        <v>115.95</v>
      </c>
      <c r="G30" s="144">
        <f>120+1.4</f>
        <v>121.4</v>
      </c>
      <c r="H30" s="91">
        <f t="shared" si="11"/>
        <v>5.4500000000000028</v>
      </c>
      <c r="I30" s="91">
        <f t="shared" si="12"/>
        <v>18.210000000000008</v>
      </c>
      <c r="J30" s="91">
        <f t="shared" si="13"/>
        <v>0.23034657650042267</v>
      </c>
      <c r="K30" s="91">
        <f t="shared" si="14"/>
        <v>0.76965342349957733</v>
      </c>
      <c r="L30" s="91">
        <f t="shared" si="15"/>
        <v>0.18348623853210999</v>
      </c>
      <c r="M30" s="91">
        <f t="shared" si="16"/>
        <v>4.2265426880811474E-2</v>
      </c>
      <c r="N30" s="91">
        <f t="shared" si="17"/>
        <v>23.660000000000011</v>
      </c>
      <c r="O30" s="144">
        <v>47</v>
      </c>
      <c r="P30" s="144">
        <f t="shared" si="18"/>
        <v>8.6238532110091697</v>
      </c>
      <c r="R30" t="s">
        <v>152</v>
      </c>
    </row>
    <row r="31" spans="1:18" x14ac:dyDescent="0.35">
      <c r="B31" s="85"/>
      <c r="C31" s="85"/>
      <c r="D31" s="85"/>
      <c r="E31" s="85"/>
      <c r="F31" s="85">
        <f>120+19.61</f>
        <v>139.61000000000001</v>
      </c>
      <c r="G31" s="85">
        <f>120+30.13</f>
        <v>150.13</v>
      </c>
      <c r="H31" s="13">
        <f t="shared" si="11"/>
        <v>10.519999999999982</v>
      </c>
      <c r="I31" s="13">
        <f t="shared" si="12"/>
        <v>22.240000000000009</v>
      </c>
      <c r="J31" s="13">
        <f t="shared" si="13"/>
        <v>0.32112332112332065</v>
      </c>
      <c r="K31" s="13">
        <f t="shared" si="14"/>
        <v>0.67887667887667935</v>
      </c>
      <c r="L31" s="13">
        <f t="shared" si="15"/>
        <v>9.505703422053248E-2</v>
      </c>
      <c r="M31" s="13">
        <f t="shared" si="16"/>
        <v>3.0525030525030535E-2</v>
      </c>
      <c r="N31" s="13">
        <f t="shared" si="17"/>
        <v>32.759999999999991</v>
      </c>
      <c r="O31" s="85">
        <v>77</v>
      </c>
      <c r="P31" s="85">
        <f t="shared" si="18"/>
        <v>7.3193916349810015</v>
      </c>
    </row>
    <row r="32" spans="1:18" x14ac:dyDescent="0.35">
      <c r="B32" s="144">
        <v>53.85</v>
      </c>
      <c r="C32" s="144">
        <v>58.73</v>
      </c>
      <c r="D32" s="144">
        <f>C32-B32</f>
        <v>4.8799999999999955</v>
      </c>
      <c r="E32" s="144"/>
      <c r="F32" s="144">
        <f>120+52.37</f>
        <v>172.37</v>
      </c>
      <c r="G32" s="144">
        <f>120+59.07</f>
        <v>179.07</v>
      </c>
      <c r="H32" s="91">
        <f t="shared" si="11"/>
        <v>6.6999999999999886</v>
      </c>
      <c r="I32" s="91">
        <f t="shared" si="12"/>
        <v>22.759999999999991</v>
      </c>
      <c r="J32" s="91">
        <f t="shared" si="13"/>
        <v>0.22742701968771192</v>
      </c>
      <c r="K32" s="91">
        <f t="shared" si="14"/>
        <v>0.77257298031228805</v>
      </c>
      <c r="L32" s="91">
        <f t="shared" si="15"/>
        <v>0.14925373134328385</v>
      </c>
      <c r="M32" s="91">
        <f t="shared" si="16"/>
        <v>3.3944331296673479E-2</v>
      </c>
      <c r="N32" s="91">
        <f t="shared" si="17"/>
        <v>29.45999999999998</v>
      </c>
      <c r="O32" s="144">
        <v>54</v>
      </c>
      <c r="P32" s="144">
        <f t="shared" si="18"/>
        <v>8.0597014925373269</v>
      </c>
    </row>
    <row r="33" spans="2:18" x14ac:dyDescent="0.35">
      <c r="B33" s="85"/>
      <c r="C33" s="85"/>
      <c r="D33" s="85"/>
      <c r="E33" s="85"/>
      <c r="F33" s="85">
        <f>120+81.83</f>
        <v>201.82999999999998</v>
      </c>
      <c r="G33" s="85">
        <f>120+90.46</f>
        <v>210.45999999999998</v>
      </c>
      <c r="H33" s="13">
        <f t="shared" si="11"/>
        <v>8.6299999999999955</v>
      </c>
      <c r="I33" s="13">
        <f t="shared" si="12"/>
        <v>18.960000000000036</v>
      </c>
      <c r="J33" s="13">
        <f t="shared" si="13"/>
        <v>0.3127944907575203</v>
      </c>
      <c r="K33" s="13">
        <f t="shared" si="14"/>
        <v>0.6872055092424797</v>
      </c>
      <c r="L33" s="13">
        <f t="shared" si="15"/>
        <v>0.11587485515643112</v>
      </c>
      <c r="M33" s="13">
        <f t="shared" si="16"/>
        <v>3.6245016310257297E-2</v>
      </c>
      <c r="N33" s="13">
        <f t="shared" si="17"/>
        <v>27.590000000000032</v>
      </c>
      <c r="O33" s="85">
        <v>70</v>
      </c>
      <c r="P33" s="85">
        <f t="shared" si="18"/>
        <v>8.1112398609501781</v>
      </c>
    </row>
    <row r="34" spans="2:18" x14ac:dyDescent="0.35">
      <c r="B34" s="85"/>
      <c r="C34" s="85"/>
      <c r="D34" s="85"/>
      <c r="E34" s="85"/>
      <c r="F34" s="85">
        <f>120+109.42</f>
        <v>229.42000000000002</v>
      </c>
      <c r="G34" s="85">
        <f>120+118.89</f>
        <v>238.89</v>
      </c>
      <c r="H34" s="13">
        <f t="shared" si="11"/>
        <v>9.4699999999999704</v>
      </c>
      <c r="I34" s="13">
        <f t="shared" si="12"/>
        <v>18.680000000000007</v>
      </c>
      <c r="J34" s="13">
        <f t="shared" si="13"/>
        <v>0.33641207815275231</v>
      </c>
      <c r="K34" s="13">
        <f t="shared" si="14"/>
        <v>0.66358792184724769</v>
      </c>
      <c r="L34" s="13">
        <f t="shared" si="15"/>
        <v>0.10559662090813127</v>
      </c>
      <c r="M34" s="13">
        <f t="shared" si="16"/>
        <v>3.5523978685612814E-2</v>
      </c>
      <c r="N34" s="13">
        <f t="shared" si="17"/>
        <v>28.149999999999977</v>
      </c>
      <c r="O34" s="85">
        <v>77</v>
      </c>
      <c r="P34" s="85">
        <f t="shared" si="18"/>
        <v>8.1309398099261081</v>
      </c>
    </row>
    <row r="35" spans="2:18" x14ac:dyDescent="0.35">
      <c r="B35" s="144">
        <v>18.54</v>
      </c>
      <c r="C35" s="144">
        <v>23.44</v>
      </c>
      <c r="D35" s="144">
        <f>C35-B35</f>
        <v>4.9000000000000021</v>
      </c>
      <c r="E35" s="144"/>
      <c r="F35" s="144">
        <f>240+17.57</f>
        <v>257.57</v>
      </c>
      <c r="G35" s="144">
        <f>240+23.52</f>
        <v>263.52</v>
      </c>
      <c r="H35" s="91">
        <f t="shared" si="11"/>
        <v>5.9499999999999886</v>
      </c>
      <c r="I35" s="91">
        <f t="shared" si="12"/>
        <v>18.5</v>
      </c>
      <c r="J35" s="91">
        <f t="shared" si="13"/>
        <v>0.2433537832310835</v>
      </c>
      <c r="K35" s="91">
        <f t="shared" si="14"/>
        <v>0.75664621676891652</v>
      </c>
      <c r="L35" s="91">
        <f t="shared" si="15"/>
        <v>0.16806722689075662</v>
      </c>
      <c r="M35" s="91">
        <f t="shared" si="16"/>
        <v>4.0899795501022511E-2</v>
      </c>
      <c r="N35" s="91">
        <f t="shared" si="17"/>
        <v>24.449999999999989</v>
      </c>
      <c r="O35" s="144">
        <v>48</v>
      </c>
      <c r="P35" s="144">
        <f t="shared" si="18"/>
        <v>8.0672268907563183</v>
      </c>
      <c r="R35" t="s">
        <v>153</v>
      </c>
    </row>
    <row r="36" spans="2:18" x14ac:dyDescent="0.35">
      <c r="B36" s="85"/>
      <c r="C36" s="85"/>
      <c r="D36" s="85"/>
      <c r="E36" s="85"/>
      <c r="F36" s="85">
        <f>240+42.02</f>
        <v>282.02</v>
      </c>
      <c r="G36" s="85">
        <f>240+51.8</f>
        <v>291.8</v>
      </c>
      <c r="H36" s="13">
        <f t="shared" si="11"/>
        <v>9.7800000000000296</v>
      </c>
      <c r="I36" s="13">
        <f t="shared" si="12"/>
        <v>23.599999999999966</v>
      </c>
      <c r="J36" s="13">
        <f t="shared" si="13"/>
        <v>0.2929898142600369</v>
      </c>
      <c r="K36" s="13">
        <f t="shared" si="14"/>
        <v>0.7070101857399631</v>
      </c>
      <c r="L36" s="13">
        <f t="shared" si="15"/>
        <v>0.10224948875255593</v>
      </c>
      <c r="M36" s="13">
        <f t="shared" si="16"/>
        <v>2.995805871779509E-2</v>
      </c>
      <c r="N36" s="13">
        <f t="shared" si="17"/>
        <v>33.379999999999995</v>
      </c>
      <c r="O36" s="85">
        <v>80</v>
      </c>
      <c r="P36" s="85">
        <f t="shared" si="18"/>
        <v>8.1799591002044743</v>
      </c>
    </row>
    <row r="37" spans="2:18" x14ac:dyDescent="0.35">
      <c r="B37" s="144">
        <v>76.06</v>
      </c>
      <c r="C37" s="144">
        <v>80.97</v>
      </c>
      <c r="D37" s="144">
        <f>C37-B37</f>
        <v>4.9099999999999966</v>
      </c>
      <c r="E37" s="144"/>
      <c r="F37" s="144">
        <f>240+75.4</f>
        <v>315.39999999999998</v>
      </c>
      <c r="G37" s="144">
        <f>240+81.18</f>
        <v>321.18</v>
      </c>
      <c r="H37" s="91">
        <f t="shared" si="11"/>
        <v>5.7800000000000296</v>
      </c>
      <c r="I37" s="91">
        <f t="shared" si="12"/>
        <v>21.75</v>
      </c>
      <c r="J37" s="91">
        <f t="shared" si="13"/>
        <v>0.2099527787867789</v>
      </c>
      <c r="K37" s="91">
        <f t="shared" si="14"/>
        <v>0.79004722121322113</v>
      </c>
      <c r="L37" s="91">
        <f t="shared" si="15"/>
        <v>0.1730103806228365</v>
      </c>
      <c r="M37" s="91">
        <f t="shared" si="16"/>
        <v>3.6324010170722808E-2</v>
      </c>
      <c r="N37" s="91">
        <f t="shared" si="17"/>
        <v>27.53000000000003</v>
      </c>
      <c r="O37" s="144">
        <v>49</v>
      </c>
      <c r="P37" s="144">
        <f t="shared" si="18"/>
        <v>8.4775086505189883</v>
      </c>
    </row>
    <row r="38" spans="2:18" x14ac:dyDescent="0.35">
      <c r="B38" s="85"/>
      <c r="C38" s="85"/>
      <c r="D38" s="85"/>
      <c r="E38" s="85"/>
      <c r="F38" s="85">
        <f>240+102.93</f>
        <v>342.93</v>
      </c>
      <c r="G38" s="85">
        <f>240+113.44</f>
        <v>353.44</v>
      </c>
      <c r="H38" s="13">
        <f t="shared" si="11"/>
        <v>10.509999999999991</v>
      </c>
      <c r="I38" s="13">
        <f t="shared" si="12"/>
        <v>18.730000000000018</v>
      </c>
      <c r="J38" s="13">
        <f t="shared" si="13"/>
        <v>0.35943912448700366</v>
      </c>
      <c r="K38" s="13">
        <f t="shared" si="14"/>
        <v>0.64056087551299634</v>
      </c>
      <c r="L38" s="13">
        <f t="shared" si="15"/>
        <v>9.5147478591817394E-2</v>
      </c>
      <c r="M38" s="13">
        <f t="shared" si="16"/>
        <v>3.4199726402188775E-2</v>
      </c>
      <c r="N38" s="13">
        <f t="shared" si="17"/>
        <v>29.240000000000009</v>
      </c>
      <c r="O38" s="85">
        <v>80</v>
      </c>
      <c r="P38" s="85">
        <f t="shared" si="18"/>
        <v>7.6117982873453922</v>
      </c>
    </row>
    <row r="39" spans="2:18" x14ac:dyDescent="0.35">
      <c r="B39" s="144">
        <v>13.18</v>
      </c>
      <c r="C39" s="144">
        <v>18.079999999999998</v>
      </c>
      <c r="D39" s="144">
        <f>C39-B39</f>
        <v>4.8999999999999986</v>
      </c>
      <c r="E39" s="144"/>
      <c r="F39" s="144">
        <f>360+12.17</f>
        <v>372.17</v>
      </c>
      <c r="G39" s="144">
        <f>360+18.86</f>
        <v>378.86</v>
      </c>
      <c r="H39" s="91">
        <f t="shared" si="11"/>
        <v>6.6899999999999977</v>
      </c>
      <c r="I39" s="91">
        <f t="shared" si="12"/>
        <v>19.819999999999993</v>
      </c>
      <c r="J39" s="91">
        <f t="shared" si="13"/>
        <v>0.25235760090531872</v>
      </c>
      <c r="K39" s="91">
        <f t="shared" si="14"/>
        <v>0.74764239909468122</v>
      </c>
      <c r="L39" s="91">
        <f t="shared" si="15"/>
        <v>0.14947683109118093</v>
      </c>
      <c r="M39" s="91">
        <f t="shared" si="16"/>
        <v>3.7721614485099975E-2</v>
      </c>
      <c r="N39" s="91">
        <f t="shared" si="17"/>
        <v>26.509999999999991</v>
      </c>
      <c r="O39" s="144">
        <v>57</v>
      </c>
      <c r="P39" s="144">
        <f t="shared" si="18"/>
        <v>8.5201793721973118</v>
      </c>
      <c r="R39" t="s">
        <v>154</v>
      </c>
    </row>
    <row r="40" spans="2:18" x14ac:dyDescent="0.35">
      <c r="B40" s="85"/>
      <c r="C40" s="85"/>
      <c r="D40" s="85"/>
      <c r="E40" s="85"/>
      <c r="F40" s="85">
        <f>360+38.68</f>
        <v>398.68</v>
      </c>
      <c r="G40" s="85">
        <f>360+48.4</f>
        <v>408.4</v>
      </c>
      <c r="H40" s="13">
        <f t="shared" si="11"/>
        <v>9.7199999999999704</v>
      </c>
      <c r="I40" s="13">
        <f t="shared" si="12"/>
        <v>19.850000000000023</v>
      </c>
      <c r="J40" s="13">
        <f t="shared" si="13"/>
        <v>0.32871153195806468</v>
      </c>
      <c r="K40" s="13">
        <f t="shared" si="14"/>
        <v>0.67128846804193532</v>
      </c>
      <c r="L40" s="13">
        <f t="shared" si="15"/>
        <v>0.1028806584362143</v>
      </c>
      <c r="M40" s="13">
        <f t="shared" si="16"/>
        <v>3.3818058843422392E-2</v>
      </c>
      <c r="N40" s="13">
        <f t="shared" si="17"/>
        <v>29.569999999999993</v>
      </c>
      <c r="O40" s="85">
        <v>75</v>
      </c>
      <c r="P40" s="85">
        <f t="shared" si="18"/>
        <v>7.716049382716073</v>
      </c>
    </row>
    <row r="41" spans="2:18" x14ac:dyDescent="0.35">
      <c r="B41" s="144">
        <v>68.98</v>
      </c>
      <c r="C41" s="144">
        <v>75.88</v>
      </c>
      <c r="D41" s="144">
        <f>C41-B41</f>
        <v>6.8999999999999915</v>
      </c>
      <c r="E41" s="144"/>
      <c r="F41" s="144">
        <f>360+68.25</f>
        <v>428.25</v>
      </c>
      <c r="G41" s="144">
        <f>360+74.83</f>
        <v>434.83</v>
      </c>
      <c r="H41" s="91">
        <f t="shared" si="11"/>
        <v>6.5799999999999841</v>
      </c>
      <c r="I41" s="91">
        <f t="shared" si="12"/>
        <v>21.920000000000016</v>
      </c>
      <c r="J41" s="91">
        <f t="shared" si="13"/>
        <v>0.23087719298245557</v>
      </c>
      <c r="K41" s="91">
        <f t="shared" si="14"/>
        <v>0.76912280701754443</v>
      </c>
      <c r="L41" s="91">
        <f t="shared" si="15"/>
        <v>0.15197568389057786</v>
      </c>
      <c r="M41" s="91">
        <f t="shared" si="16"/>
        <v>3.5087719298245612E-2</v>
      </c>
      <c r="N41" s="91">
        <f t="shared" si="17"/>
        <v>28.5</v>
      </c>
      <c r="O41" s="144">
        <v>52</v>
      </c>
      <c r="P41" s="144">
        <f t="shared" si="18"/>
        <v>7.9027355623100499</v>
      </c>
    </row>
    <row r="42" spans="2:18" x14ac:dyDescent="0.35">
      <c r="B42" s="85"/>
      <c r="C42" s="85"/>
      <c r="D42" s="85"/>
      <c r="E42" s="85"/>
      <c r="F42" s="85">
        <f>360+96.75</f>
        <v>456.75</v>
      </c>
      <c r="G42" s="85">
        <f>360+106.35</f>
        <v>466.35</v>
      </c>
      <c r="H42" s="13">
        <f t="shared" si="11"/>
        <v>9.6000000000000227</v>
      </c>
      <c r="I42" s="13">
        <f t="shared" si="12"/>
        <v>19.659999999999968</v>
      </c>
      <c r="J42" s="13">
        <f t="shared" si="13"/>
        <v>0.32809295967190794</v>
      </c>
      <c r="K42" s="13">
        <f t="shared" si="14"/>
        <v>0.67190704032809212</v>
      </c>
      <c r="L42" s="13">
        <f t="shared" si="15"/>
        <v>0.10416666666666642</v>
      </c>
      <c r="M42" s="13">
        <f t="shared" si="16"/>
        <v>3.4176349965823659E-2</v>
      </c>
      <c r="N42" s="13">
        <f t="shared" si="17"/>
        <v>29.259999999999991</v>
      </c>
      <c r="O42" s="85">
        <v>75</v>
      </c>
      <c r="P42" s="85">
        <f t="shared" si="18"/>
        <v>7.8124999999999813</v>
      </c>
    </row>
    <row r="43" spans="2:18" x14ac:dyDescent="0.35">
      <c r="B43" s="85"/>
      <c r="C43" s="85"/>
      <c r="D43" s="85"/>
      <c r="E43" s="85"/>
      <c r="F43" s="85">
        <f>480+6.01</f>
        <v>486.01</v>
      </c>
      <c r="G43" s="85">
        <f>480+16.47</f>
        <v>496.47</v>
      </c>
      <c r="H43" s="13">
        <f t="shared" si="11"/>
        <v>10.460000000000036</v>
      </c>
      <c r="I43" s="13">
        <f t="shared" si="12"/>
        <v>20.240000000000009</v>
      </c>
      <c r="J43" s="13">
        <f t="shared" si="13"/>
        <v>0.34071661237785084</v>
      </c>
      <c r="K43" s="13">
        <f t="shared" si="14"/>
        <v>0.65928338762214911</v>
      </c>
      <c r="L43" s="13">
        <f t="shared" si="15"/>
        <v>9.5602294455066586E-2</v>
      </c>
      <c r="M43" s="13">
        <f t="shared" si="16"/>
        <v>3.2573289902280082E-2</v>
      </c>
      <c r="N43" s="13">
        <f t="shared" si="17"/>
        <v>30.700000000000045</v>
      </c>
      <c r="O43" s="85">
        <v>76</v>
      </c>
      <c r="P43" s="85">
        <f t="shared" si="18"/>
        <v>7.2657743785850606</v>
      </c>
      <c r="R43" t="s">
        <v>155</v>
      </c>
    </row>
    <row r="44" spans="2:18" x14ac:dyDescent="0.35">
      <c r="B44" s="85"/>
      <c r="C44" s="85"/>
      <c r="D44" s="85"/>
      <c r="E44" s="85"/>
      <c r="F44" s="85">
        <f>480+36.71</f>
        <v>516.71</v>
      </c>
      <c r="G44" s="85">
        <f>480+46.45</f>
        <v>526.45000000000005</v>
      </c>
      <c r="H44" s="13">
        <f t="shared" si="11"/>
        <v>9.7400000000000091</v>
      </c>
      <c r="I44" s="13">
        <f t="shared" si="12"/>
        <v>19.990000000000009</v>
      </c>
      <c r="J44" s="13">
        <f t="shared" si="13"/>
        <v>0.3276152034981501</v>
      </c>
      <c r="K44" s="13">
        <f t="shared" si="14"/>
        <v>0.6723847965018499</v>
      </c>
      <c r="L44" s="13">
        <f t="shared" si="15"/>
        <v>0.1026694045174537</v>
      </c>
      <c r="M44" s="13">
        <f t="shared" si="16"/>
        <v>3.3636057854019491E-2</v>
      </c>
      <c r="N44" s="13">
        <f t="shared" si="17"/>
        <v>29.730000000000018</v>
      </c>
      <c r="O44" s="85">
        <v>75</v>
      </c>
      <c r="P44" s="85">
        <f t="shared" si="18"/>
        <v>7.7002053388090275</v>
      </c>
    </row>
    <row r="45" spans="2:18" x14ac:dyDescent="0.35">
      <c r="B45" s="85"/>
      <c r="C45" s="85"/>
      <c r="D45" s="85"/>
      <c r="E45" s="85"/>
      <c r="F45" s="85">
        <f>480+66.44</f>
        <v>546.44000000000005</v>
      </c>
      <c r="G45" s="85">
        <f>480+75.97</f>
        <v>555.97</v>
      </c>
      <c r="H45" s="13">
        <f t="shared" si="11"/>
        <v>9.5299999999999727</v>
      </c>
      <c r="I45" s="13">
        <f t="shared" si="12"/>
        <v>23.129999999999995</v>
      </c>
      <c r="J45" s="13">
        <f t="shared" si="13"/>
        <v>0.29179424372320828</v>
      </c>
      <c r="K45" s="13">
        <f t="shared" si="14"/>
        <v>0.70820575627679172</v>
      </c>
      <c r="L45" s="13">
        <f t="shared" si="15"/>
        <v>0.10493179433368341</v>
      </c>
      <c r="M45" s="13">
        <f t="shared" si="16"/>
        <v>3.0618493570116381E-2</v>
      </c>
      <c r="N45" s="13">
        <f t="shared" si="17"/>
        <v>32.659999999999968</v>
      </c>
      <c r="O45" s="85">
        <v>74</v>
      </c>
      <c r="P45" s="85">
        <f t="shared" si="18"/>
        <v>7.764952780692572</v>
      </c>
    </row>
    <row r="46" spans="2:18" x14ac:dyDescent="0.35">
      <c r="B46" s="85"/>
      <c r="C46" s="85"/>
      <c r="D46" s="85"/>
      <c r="E46" s="85"/>
      <c r="F46" s="85">
        <f>480+99.1</f>
        <v>579.1</v>
      </c>
      <c r="G46" s="85">
        <f>480+108.53</f>
        <v>588.53</v>
      </c>
      <c r="H46" s="13">
        <f t="shared" si="11"/>
        <v>9.42999999999995</v>
      </c>
      <c r="I46" s="13">
        <f t="shared" si="12"/>
        <v>19.07000000000005</v>
      </c>
      <c r="J46" s="13">
        <f t="shared" si="13"/>
        <v>0.33087719298245438</v>
      </c>
      <c r="K46" s="13">
        <f t="shared" si="14"/>
        <v>0.66912280701754556</v>
      </c>
      <c r="L46" s="13">
        <f t="shared" si="15"/>
        <v>0.10604453870625719</v>
      </c>
      <c r="M46" s="13">
        <f t="shared" si="16"/>
        <v>3.5087719298245612E-2</v>
      </c>
      <c r="N46" s="13">
        <f t="shared" si="17"/>
        <v>28.5</v>
      </c>
      <c r="O46" s="85">
        <v>70</v>
      </c>
      <c r="P46" s="85">
        <f t="shared" si="18"/>
        <v>7.423117709438003</v>
      </c>
    </row>
    <row r="47" spans="2:18" x14ac:dyDescent="0.35">
      <c r="B47" s="85"/>
      <c r="C47" s="85"/>
      <c r="D47" s="85"/>
      <c r="E47" s="85"/>
      <c r="F47" s="85">
        <f>600+7.6</f>
        <v>607.6</v>
      </c>
      <c r="G47" s="85"/>
      <c r="H47" s="13"/>
      <c r="I47" s="13"/>
      <c r="J47" s="13"/>
      <c r="K47" s="13"/>
      <c r="L47" s="13"/>
      <c r="M47" s="13"/>
      <c r="N47" s="13"/>
      <c r="O47" s="85"/>
      <c r="P47" s="85"/>
    </row>
    <row r="48" spans="2:18" x14ac:dyDescent="0.35">
      <c r="B48" s="85"/>
      <c r="C48" s="85"/>
      <c r="D48" s="85"/>
      <c r="E48" s="85"/>
      <c r="F48" s="85"/>
      <c r="G48" s="85"/>
      <c r="H48" s="13"/>
      <c r="I48" s="13"/>
      <c r="J48" s="13"/>
      <c r="K48" s="13"/>
      <c r="L48" s="13"/>
      <c r="M48" s="13"/>
      <c r="N48" s="13"/>
      <c r="O48" s="85"/>
      <c r="P48" s="85"/>
    </row>
    <row r="49" spans="2:16" ht="16" thickBot="1" x14ac:dyDescent="0.4">
      <c r="B49" s="85"/>
      <c r="C49" s="85"/>
      <c r="D49" s="85"/>
      <c r="E49" s="85"/>
      <c r="F49" s="85"/>
      <c r="G49" s="85"/>
      <c r="H49" s="9" t="s">
        <v>3</v>
      </c>
      <c r="I49" s="9" t="s">
        <v>4</v>
      </c>
      <c r="J49" s="9" t="s">
        <v>5</v>
      </c>
      <c r="K49" s="9" t="s">
        <v>6</v>
      </c>
      <c r="L49" s="9" t="s">
        <v>7</v>
      </c>
      <c r="M49" s="9" t="s">
        <v>8</v>
      </c>
      <c r="N49" s="9" t="s">
        <v>9</v>
      </c>
      <c r="O49" s="9" t="s">
        <v>10</v>
      </c>
      <c r="P49" s="44" t="s">
        <v>139</v>
      </c>
    </row>
    <row r="50" spans="2:16" x14ac:dyDescent="0.35">
      <c r="B50" s="85"/>
      <c r="C50" s="85"/>
      <c r="D50" s="85"/>
      <c r="E50" s="137" t="s">
        <v>192</v>
      </c>
      <c r="F50" s="85"/>
      <c r="G50" s="3" t="s">
        <v>77</v>
      </c>
      <c r="H50" s="13">
        <f>AVERAGE(H28,H30,H32,H35,H37,H39,H41)</f>
        <v>6.2742857142857122</v>
      </c>
      <c r="I50" s="13">
        <f t="shared" ref="I50:P50" si="19">AVERAGE(I28,I30,I32,I35,I37,I39,I41)</f>
        <v>20.169999999999998</v>
      </c>
      <c r="J50" s="13">
        <f t="shared" si="19"/>
        <v>0.23787356458482445</v>
      </c>
      <c r="K50" s="13">
        <f t="shared" si="19"/>
        <v>0.76212643541517555</v>
      </c>
      <c r="L50" s="13">
        <f t="shared" si="19"/>
        <v>0.16042579711647922</v>
      </c>
      <c r="M50" s="13">
        <f t="shared" si="19"/>
        <v>3.803469966179656E-2</v>
      </c>
      <c r="N50" s="13">
        <f t="shared" si="19"/>
        <v>26.444285714285716</v>
      </c>
      <c r="O50" s="13">
        <f t="shared" si="19"/>
        <v>51.571428571428569</v>
      </c>
      <c r="P50" s="13">
        <f t="shared" si="19"/>
        <v>8.2325102144768607</v>
      </c>
    </row>
    <row r="51" spans="2:16" x14ac:dyDescent="0.35">
      <c r="B51" s="85"/>
      <c r="C51" s="85"/>
      <c r="D51" s="85"/>
      <c r="E51" s="137"/>
      <c r="F51" s="85"/>
      <c r="G51" s="3" t="s">
        <v>94</v>
      </c>
      <c r="H51" s="13">
        <f>_xlfn.STDEV.S(H28,H30,H32,H35,H37,H39,H41)</f>
        <v>0.5357504749681169</v>
      </c>
      <c r="I51" s="13">
        <f t="shared" ref="I51:P51" si="20">_xlfn.STDEV.S(I28,I30,I32,I35,I37,I39,I41)</f>
        <v>1.9486576576368309</v>
      </c>
      <c r="J51" s="13">
        <f t="shared" si="20"/>
        <v>1.9656532411994776E-2</v>
      </c>
      <c r="K51" s="13">
        <f t="shared" si="20"/>
        <v>1.9656532411994786E-2</v>
      </c>
      <c r="L51" s="13">
        <f t="shared" si="20"/>
        <v>1.4296418977919433E-2</v>
      </c>
      <c r="M51" s="13">
        <f t="shared" si="20"/>
        <v>3.1201100375173184E-3</v>
      </c>
      <c r="N51" s="13">
        <f t="shared" si="20"/>
        <v>2.1725166446838928</v>
      </c>
      <c r="O51" s="13">
        <f t="shared" si="20"/>
        <v>3.6903993847614407</v>
      </c>
      <c r="P51" s="13">
        <f t="shared" si="20"/>
        <v>0.29649889410711405</v>
      </c>
    </row>
    <row r="52" spans="2:16" x14ac:dyDescent="0.35">
      <c r="B52" s="85"/>
      <c r="C52" s="85"/>
      <c r="D52" s="85"/>
      <c r="E52" s="137"/>
      <c r="F52" s="85"/>
      <c r="G52" s="3" t="s">
        <v>95</v>
      </c>
      <c r="H52" s="13">
        <f>H51/(SQRT(7))</f>
        <v>0.20249464593576746</v>
      </c>
      <c r="I52" s="13">
        <f t="shared" ref="I52:P52" si="21">I51/(SQRT(7))</f>
        <v>0.73652336464409984</v>
      </c>
      <c r="J52" s="13">
        <f t="shared" si="21"/>
        <v>7.429470914288399E-3</v>
      </c>
      <c r="K52" s="13">
        <f t="shared" si="21"/>
        <v>7.4294709142884033E-3</v>
      </c>
      <c r="L52" s="13">
        <f t="shared" si="21"/>
        <v>5.4035384649084332E-3</v>
      </c>
      <c r="M52" s="13">
        <f t="shared" si="21"/>
        <v>1.1792907460610334E-3</v>
      </c>
      <c r="N52" s="13">
        <f t="shared" si="21"/>
        <v>0.8211341087117221</v>
      </c>
      <c r="O52" s="13">
        <f t="shared" si="21"/>
        <v>1.3948398586549342</v>
      </c>
      <c r="P52" s="13">
        <f t="shared" si="21"/>
        <v>0.11206604825901402</v>
      </c>
    </row>
    <row r="53" spans="2:16" x14ac:dyDescent="0.35">
      <c r="B53" s="85"/>
      <c r="C53" s="85"/>
      <c r="D53" s="85"/>
      <c r="E53" s="137"/>
      <c r="F53" s="85"/>
      <c r="G53" s="3"/>
      <c r="H53" s="13"/>
      <c r="I53" s="13"/>
      <c r="J53" s="13"/>
      <c r="K53" s="13"/>
      <c r="L53" s="13"/>
      <c r="M53" s="13"/>
      <c r="N53" s="13"/>
      <c r="O53" s="85"/>
      <c r="P53" s="85"/>
    </row>
    <row r="54" spans="2:16" x14ac:dyDescent="0.35">
      <c r="B54" s="85"/>
      <c r="C54" s="85"/>
      <c r="D54" s="85"/>
      <c r="E54" s="137"/>
      <c r="F54" s="85"/>
      <c r="G54" s="3"/>
      <c r="H54" s="13"/>
      <c r="I54" s="13"/>
      <c r="J54" s="13"/>
      <c r="K54" s="13"/>
      <c r="L54" s="13"/>
      <c r="M54" s="13"/>
      <c r="N54" s="13"/>
      <c r="O54" s="85"/>
      <c r="P54" s="85"/>
    </row>
    <row r="55" spans="2:16" x14ac:dyDescent="0.35">
      <c r="B55" s="85"/>
      <c r="C55" s="85"/>
      <c r="D55" s="85"/>
      <c r="E55" s="137" t="s">
        <v>195</v>
      </c>
      <c r="F55" s="85"/>
      <c r="G55" s="3" t="s">
        <v>77</v>
      </c>
      <c r="H55" s="13">
        <f>AVERAGE(H29,H31,H36,H38,H40,H42)</f>
        <v>9.8583333333333325</v>
      </c>
      <c r="I55" s="13">
        <f t="shared" ref="I55:P55" si="22">AVERAGE(I29,I31,I36,I38,I40,I42)</f>
        <v>20.009999999999998</v>
      </c>
      <c r="J55" s="13">
        <f t="shared" si="22"/>
        <v>0.33185945858338894</v>
      </c>
      <c r="K55" s="13">
        <f t="shared" si="22"/>
        <v>0.66814054141661117</v>
      </c>
      <c r="L55" s="13">
        <f t="shared" si="22"/>
        <v>0.10172767861314551</v>
      </c>
      <c r="M55" s="13">
        <f t="shared" si="22"/>
        <v>3.3779537409043409E-2</v>
      </c>
      <c r="N55" s="13">
        <f t="shared" si="22"/>
        <v>29.868333333333329</v>
      </c>
      <c r="O55" s="13">
        <f t="shared" si="22"/>
        <v>76.5</v>
      </c>
      <c r="P55" s="13">
        <f t="shared" si="22"/>
        <v>7.7703266743408577</v>
      </c>
    </row>
    <row r="56" spans="2:16" x14ac:dyDescent="0.35">
      <c r="B56" s="85"/>
      <c r="C56" s="85"/>
      <c r="D56" s="85"/>
      <c r="E56" s="137"/>
      <c r="F56" s="85"/>
      <c r="G56" s="3" t="s">
        <v>94</v>
      </c>
      <c r="H56" s="13">
        <f>_xlfn.STDEV.S(H29,H31,H33,H36,H38,H40,H42)</f>
        <v>0.70125397885298146</v>
      </c>
      <c r="I56" s="13">
        <f t="shared" ref="I56:O56" si="23">_xlfn.STDEV.S(I29,I31,I33,I36,I38,I40,I42)</f>
        <v>2.4776803667947003</v>
      </c>
      <c r="J56" s="13">
        <f t="shared" si="23"/>
        <v>2.4358267065099283E-2</v>
      </c>
      <c r="K56" s="13">
        <f t="shared" si="23"/>
        <v>2.4358267065099269E-2</v>
      </c>
      <c r="L56" s="13">
        <f t="shared" si="23"/>
        <v>7.6418107133002129E-3</v>
      </c>
      <c r="M56" s="13">
        <f t="shared" si="23"/>
        <v>3.4018472663332635E-3</v>
      </c>
      <c r="N56" s="13">
        <f t="shared" si="23"/>
        <v>2.8780011251197313</v>
      </c>
      <c r="O56" s="13">
        <f t="shared" si="23"/>
        <v>3.7796447300922722</v>
      </c>
      <c r="P56" s="13">
        <f>_xlfn.STDEV.S(P29,P31,P33,P36,P38,P40,P42)</f>
        <v>0.30153278255132343</v>
      </c>
    </row>
    <row r="57" spans="2:16" x14ac:dyDescent="0.35">
      <c r="B57" s="85"/>
      <c r="C57" s="85"/>
      <c r="D57" s="85"/>
      <c r="E57" s="137"/>
      <c r="F57" s="85"/>
      <c r="G57" s="3" t="s">
        <v>95</v>
      </c>
      <c r="H57" s="13">
        <f>H56/(SQRT(7))</f>
        <v>0.26504909056279091</v>
      </c>
      <c r="I57" s="13">
        <f t="shared" ref="I57:P57" si="24">I56/(SQRT(7))</f>
        <v>0.93647515412086768</v>
      </c>
      <c r="J57" s="13">
        <f t="shared" si="24"/>
        <v>9.2065595746782664E-3</v>
      </c>
      <c r="K57" s="13">
        <f t="shared" si="24"/>
        <v>9.2065595746782612E-3</v>
      </c>
      <c r="L57" s="13">
        <f t="shared" si="24"/>
        <v>2.8883329590887814E-3</v>
      </c>
      <c r="M57" s="13">
        <f t="shared" si="24"/>
        <v>1.2857774092775321E-3</v>
      </c>
      <c r="N57" s="13">
        <f t="shared" si="24"/>
        <v>1.0877821785758421</v>
      </c>
      <c r="O57" s="13">
        <f t="shared" si="24"/>
        <v>1.4285714285714284</v>
      </c>
      <c r="P57" s="13">
        <f t="shared" si="24"/>
        <v>0.11396867925201686</v>
      </c>
    </row>
    <row r="58" spans="2:16" x14ac:dyDescent="0.35">
      <c r="B58" s="85"/>
      <c r="C58" s="85"/>
      <c r="D58" s="85"/>
      <c r="E58" s="137"/>
      <c r="F58" s="85"/>
      <c r="G58" s="3"/>
      <c r="H58" s="13"/>
      <c r="I58" s="13"/>
      <c r="J58" s="13"/>
      <c r="K58" s="13"/>
      <c r="L58" s="13"/>
      <c r="M58" s="13"/>
      <c r="N58" s="13"/>
      <c r="O58" s="85"/>
      <c r="P58" s="85"/>
    </row>
    <row r="59" spans="2:16" x14ac:dyDescent="0.35">
      <c r="B59" s="85"/>
      <c r="C59" s="85"/>
      <c r="D59" s="85"/>
      <c r="E59" s="137"/>
      <c r="F59" s="85"/>
      <c r="G59" s="3"/>
      <c r="H59" s="13"/>
      <c r="I59" s="13"/>
      <c r="J59" s="13"/>
      <c r="K59" s="13"/>
      <c r="L59" s="13"/>
      <c r="M59" s="13"/>
      <c r="N59" s="13"/>
      <c r="O59" s="85"/>
      <c r="P59" s="85"/>
    </row>
    <row r="60" spans="2:16" x14ac:dyDescent="0.35">
      <c r="B60" s="85"/>
      <c r="C60" s="85"/>
      <c r="D60" s="85"/>
      <c r="E60" s="137" t="s">
        <v>194</v>
      </c>
      <c r="F60" s="85"/>
      <c r="G60" s="3" t="s">
        <v>77</v>
      </c>
      <c r="H60" s="13">
        <f>AVERAGE(H26,H27,H34,H43,H44,H45,H46)</f>
        <v>9.8171428571428496</v>
      </c>
      <c r="I60" s="13">
        <f t="shared" ref="I60:P60" si="25">AVERAGE(I26,I27,I34,I43,I44,I45,I46)</f>
        <v>19.917142857142867</v>
      </c>
      <c r="J60" s="13">
        <f t="shared" si="25"/>
        <v>0.33088625515169329</v>
      </c>
      <c r="K60" s="13">
        <f t="shared" si="25"/>
        <v>0.66911374484830677</v>
      </c>
      <c r="L60" s="13">
        <f t="shared" si="25"/>
        <v>0.1020057056652435</v>
      </c>
      <c r="M60" s="13">
        <f t="shared" si="25"/>
        <v>3.3725319452522162E-2</v>
      </c>
      <c r="N60" s="13">
        <f t="shared" si="25"/>
        <v>29.734285714285715</v>
      </c>
      <c r="O60" s="13">
        <f t="shared" si="25"/>
        <v>75.142857142857139</v>
      </c>
      <c r="P60" s="13">
        <f t="shared" si="25"/>
        <v>7.6592142957739267</v>
      </c>
    </row>
    <row r="61" spans="2:16" x14ac:dyDescent="0.35">
      <c r="B61" s="85"/>
      <c r="C61" s="85"/>
      <c r="D61" s="85"/>
      <c r="E61" s="137"/>
      <c r="F61" s="85"/>
      <c r="G61" s="3" t="s">
        <v>94</v>
      </c>
      <c r="H61" s="13">
        <f>_xlfn.STDEV.S(H26:H27,H34,H43:H46)</f>
        <v>0.4017343353392836</v>
      </c>
      <c r="I61" s="13">
        <f t="shared" ref="I61:P61" si="26">_xlfn.STDEV.S(I26:I27,I34,I43:I46)</f>
        <v>1.651925283678751</v>
      </c>
      <c r="J61" s="13">
        <f t="shared" si="26"/>
        <v>1.9032867454371733E-2</v>
      </c>
      <c r="K61" s="13">
        <f t="shared" si="26"/>
        <v>1.9032867454371737E-2</v>
      </c>
      <c r="L61" s="13">
        <f t="shared" si="26"/>
        <v>4.0804270568664943E-3</v>
      </c>
      <c r="M61" s="13">
        <f t="shared" si="26"/>
        <v>1.9036818112948613E-3</v>
      </c>
      <c r="N61" s="13">
        <f t="shared" si="26"/>
        <v>1.7169726957919962</v>
      </c>
      <c r="O61" s="13">
        <f t="shared" si="26"/>
        <v>2.7945525240230875</v>
      </c>
      <c r="P61" s="13">
        <f t="shared" si="26"/>
        <v>0.27338642683544789</v>
      </c>
    </row>
    <row r="62" spans="2:16" x14ac:dyDescent="0.35">
      <c r="B62" s="85"/>
      <c r="C62" s="85"/>
      <c r="D62" s="85"/>
      <c r="E62" s="85"/>
      <c r="F62" s="85"/>
      <c r="G62" s="3" t="s">
        <v>95</v>
      </c>
      <c r="H62" s="85">
        <f>H61/(SQRT(7))</f>
        <v>0.15184130634622447</v>
      </c>
      <c r="I62" s="85">
        <f t="shared" ref="I62:P62" si="27">I61/(SQRT(7))</f>
        <v>0.62436906929625724</v>
      </c>
      <c r="J62" s="85">
        <f t="shared" si="27"/>
        <v>7.193747717246084E-3</v>
      </c>
      <c r="K62" s="85">
        <f t="shared" si="27"/>
        <v>7.1937477172460849E-3</v>
      </c>
      <c r="L62" s="85">
        <f t="shared" si="27"/>
        <v>1.5422564622011366E-3</v>
      </c>
      <c r="M62" s="85">
        <f t="shared" si="27"/>
        <v>7.1952409258331333E-4</v>
      </c>
      <c r="N62" s="85">
        <f t="shared" si="27"/>
        <v>0.64895468013625401</v>
      </c>
      <c r="O62" s="85">
        <f t="shared" si="27"/>
        <v>1.0562415720389919</v>
      </c>
      <c r="P62" s="85">
        <f t="shared" si="27"/>
        <v>0.10333035674673571</v>
      </c>
    </row>
    <row r="63" spans="2:16" x14ac:dyDescent="0.35">
      <c r="B63" s="85"/>
      <c r="C63" s="85"/>
      <c r="D63" s="85"/>
      <c r="E63" s="85"/>
      <c r="F63" s="85"/>
      <c r="G63" s="85"/>
      <c r="H63" s="85"/>
      <c r="I63" s="85"/>
      <c r="J63" s="85"/>
      <c r="K63" s="85"/>
      <c r="L63" s="85"/>
      <c r="M63" s="85"/>
      <c r="N63" s="85"/>
      <c r="O63" s="85"/>
      <c r="P63" s="85"/>
    </row>
    <row r="64" spans="2:16" x14ac:dyDescent="0.35">
      <c r="B64" s="85"/>
      <c r="C64" s="85"/>
      <c r="D64" s="85"/>
      <c r="E64" s="85"/>
      <c r="F64" s="85"/>
      <c r="G64" s="85"/>
      <c r="H64" s="85"/>
      <c r="I64" s="85"/>
      <c r="J64" s="85"/>
      <c r="K64" s="85"/>
      <c r="L64" s="85"/>
      <c r="M64" s="85"/>
      <c r="N64" s="85"/>
      <c r="O64" s="85"/>
      <c r="P64" s="85"/>
    </row>
    <row r="65" spans="1:18" ht="18.5" x14ac:dyDescent="0.45">
      <c r="B65" s="13"/>
      <c r="C65" s="13"/>
      <c r="D65" s="13"/>
      <c r="E65" s="13"/>
      <c r="F65" s="149" t="s">
        <v>15</v>
      </c>
      <c r="G65" s="13"/>
      <c r="H65" s="13"/>
      <c r="I65" s="13"/>
      <c r="J65" s="13"/>
      <c r="K65" s="13"/>
      <c r="L65" s="13"/>
      <c r="M65" s="13"/>
      <c r="N65" s="13"/>
      <c r="O65" s="13"/>
      <c r="P65" s="85"/>
    </row>
    <row r="66" spans="1:18" ht="16" thickBot="1" x14ac:dyDescent="0.4">
      <c r="B66" s="44" t="s">
        <v>18</v>
      </c>
      <c r="C66" s="44" t="s">
        <v>17</v>
      </c>
      <c r="D66" s="44" t="s">
        <v>20</v>
      </c>
      <c r="E66" s="14"/>
      <c r="F66" s="44" t="s">
        <v>1</v>
      </c>
      <c r="G66" s="44" t="s">
        <v>2</v>
      </c>
      <c r="H66" s="44" t="s">
        <v>3</v>
      </c>
      <c r="I66" s="44" t="s">
        <v>4</v>
      </c>
      <c r="J66" s="44" t="s">
        <v>5</v>
      </c>
      <c r="K66" s="44" t="s">
        <v>6</v>
      </c>
      <c r="L66" s="44" t="s">
        <v>7</v>
      </c>
      <c r="M66" s="44" t="s">
        <v>8</v>
      </c>
      <c r="N66" s="44" t="s">
        <v>9</v>
      </c>
      <c r="O66" s="44" t="s">
        <v>10</v>
      </c>
      <c r="P66" s="44" t="s">
        <v>139</v>
      </c>
      <c r="R66" s="44" t="s">
        <v>134</v>
      </c>
    </row>
    <row r="67" spans="1:18" x14ac:dyDescent="0.35">
      <c r="B67" s="144">
        <v>22.1</v>
      </c>
      <c r="C67" s="144">
        <v>41.9</v>
      </c>
      <c r="D67" s="144">
        <f>C67-B67</f>
        <v>19.799999999999997</v>
      </c>
      <c r="E67" s="144"/>
      <c r="F67" s="144">
        <v>7.6</v>
      </c>
      <c r="G67" s="144">
        <v>16.399999999999999</v>
      </c>
      <c r="H67" s="91">
        <f t="shared" ref="H67:H91" si="28">G67-F67</f>
        <v>8.7999999999999989</v>
      </c>
      <c r="I67" s="91">
        <f t="shared" ref="I67:I91" si="29">F68-G67</f>
        <v>34.76</v>
      </c>
      <c r="J67" s="91">
        <f t="shared" ref="J67:J91" si="30">H67/N67</f>
        <v>0.20202020202020202</v>
      </c>
      <c r="K67" s="91">
        <f t="shared" ref="K67:K91" si="31">I67/N67</f>
        <v>0.79797979797979801</v>
      </c>
      <c r="L67" s="91">
        <f t="shared" ref="L67:L91" si="32">1/H67</f>
        <v>0.11363636363636365</v>
      </c>
      <c r="M67" s="91">
        <f t="shared" ref="M67:M91" si="33">1/N67</f>
        <v>2.2956841138659322E-2</v>
      </c>
      <c r="N67" s="91">
        <f t="shared" ref="N67:N91" si="34">H67+I67</f>
        <v>43.559999999999995</v>
      </c>
      <c r="O67" s="144">
        <v>66</v>
      </c>
      <c r="P67" s="144">
        <f>O67/H67</f>
        <v>7.5000000000000009</v>
      </c>
      <c r="R67" t="s">
        <v>156</v>
      </c>
    </row>
    <row r="68" spans="1:18" x14ac:dyDescent="0.35">
      <c r="B68" s="85"/>
      <c r="C68" s="85"/>
      <c r="D68" s="85"/>
      <c r="E68" s="85"/>
      <c r="F68" s="85">
        <v>51.16</v>
      </c>
      <c r="G68" s="85">
        <v>60.44</v>
      </c>
      <c r="H68" s="13">
        <f t="shared" si="28"/>
        <v>9.2800000000000011</v>
      </c>
      <c r="I68" s="13">
        <f t="shared" si="29"/>
        <v>23.370000000000005</v>
      </c>
      <c r="J68" s="13">
        <f t="shared" si="30"/>
        <v>0.28422664624808575</v>
      </c>
      <c r="K68" s="13">
        <f t="shared" si="31"/>
        <v>0.71577335375191431</v>
      </c>
      <c r="L68" s="13">
        <f t="shared" si="32"/>
        <v>0.10775862068965517</v>
      </c>
      <c r="M68" s="13">
        <f t="shared" si="33"/>
        <v>3.0627871362940269E-2</v>
      </c>
      <c r="N68" s="13">
        <f t="shared" si="34"/>
        <v>32.650000000000006</v>
      </c>
      <c r="O68" s="85">
        <v>65</v>
      </c>
      <c r="P68" s="85">
        <f t="shared" ref="P68:P91" si="35">O68/H68</f>
        <v>7.0043103448275854</v>
      </c>
    </row>
    <row r="69" spans="1:18" x14ac:dyDescent="0.35">
      <c r="B69" s="144">
        <v>95.13</v>
      </c>
      <c r="C69" s="144">
        <v>114.99</v>
      </c>
      <c r="D69" s="144">
        <f>C69-B69</f>
        <v>19.86</v>
      </c>
      <c r="E69" s="144"/>
      <c r="F69" s="144">
        <v>83.81</v>
      </c>
      <c r="G69" s="144">
        <v>92.67</v>
      </c>
      <c r="H69" s="91">
        <f t="shared" si="28"/>
        <v>8.86</v>
      </c>
      <c r="I69" s="91">
        <f t="shared" si="29"/>
        <v>49.589999999999989</v>
      </c>
      <c r="J69" s="91">
        <f t="shared" si="30"/>
        <v>0.15158254918733963</v>
      </c>
      <c r="K69" s="91">
        <f t="shared" si="31"/>
        <v>0.8484174508126604</v>
      </c>
      <c r="L69" s="91">
        <f t="shared" si="32"/>
        <v>0.11286681715575622</v>
      </c>
      <c r="M69" s="91">
        <f t="shared" si="33"/>
        <v>1.7108639863130885E-2</v>
      </c>
      <c r="N69" s="91">
        <f t="shared" si="34"/>
        <v>58.449999999999989</v>
      </c>
      <c r="O69" s="144">
        <v>65</v>
      </c>
      <c r="P69" s="144">
        <f t="shared" si="35"/>
        <v>7.336343115124154</v>
      </c>
    </row>
    <row r="70" spans="1:18" x14ac:dyDescent="0.35">
      <c r="B70" s="144">
        <v>35.479999999999997</v>
      </c>
      <c r="C70" s="144">
        <v>55.34</v>
      </c>
      <c r="D70" s="144">
        <f>C70-B70</f>
        <v>19.860000000000007</v>
      </c>
      <c r="E70" s="144"/>
      <c r="F70" s="144">
        <f>120+22.26</f>
        <v>142.26</v>
      </c>
      <c r="G70" s="144">
        <f>120+31.04</f>
        <v>151.04</v>
      </c>
      <c r="H70" s="91">
        <f t="shared" si="28"/>
        <v>8.7800000000000011</v>
      </c>
      <c r="I70" s="91">
        <f t="shared" si="29"/>
        <v>66.91</v>
      </c>
      <c r="J70" s="91">
        <f t="shared" si="30"/>
        <v>0.11599947152860353</v>
      </c>
      <c r="K70" s="91">
        <f t="shared" si="31"/>
        <v>0.88400052847139643</v>
      </c>
      <c r="L70" s="91">
        <f t="shared" si="32"/>
        <v>0.11389521640091115</v>
      </c>
      <c r="M70" s="91">
        <f t="shared" si="33"/>
        <v>1.321178491214163E-2</v>
      </c>
      <c r="N70" s="91">
        <f t="shared" si="34"/>
        <v>75.69</v>
      </c>
      <c r="O70" s="144">
        <v>58</v>
      </c>
      <c r="P70" s="144">
        <f t="shared" si="35"/>
        <v>6.6059225512528466</v>
      </c>
      <c r="R70" t="s">
        <v>157</v>
      </c>
    </row>
    <row r="71" spans="1:18" x14ac:dyDescent="0.35">
      <c r="B71" s="85"/>
      <c r="C71" s="85"/>
      <c r="D71" s="85"/>
      <c r="E71" s="85"/>
      <c r="F71" s="85">
        <f>120+97.95</f>
        <v>217.95</v>
      </c>
      <c r="G71" s="85">
        <f>120+106.17</f>
        <v>226.17000000000002</v>
      </c>
      <c r="H71" s="13">
        <f t="shared" si="28"/>
        <v>8.2200000000000273</v>
      </c>
      <c r="I71" s="13">
        <f t="shared" si="29"/>
        <v>35.379999999999995</v>
      </c>
      <c r="J71" s="13">
        <f t="shared" si="30"/>
        <v>0.18853211009174364</v>
      </c>
      <c r="K71" s="13">
        <f t="shared" si="31"/>
        <v>0.81146788990825636</v>
      </c>
      <c r="L71" s="13">
        <f t="shared" si="32"/>
        <v>0.12165450121654461</v>
      </c>
      <c r="M71" s="13">
        <f t="shared" si="33"/>
        <v>2.2935779816513749E-2</v>
      </c>
      <c r="N71" s="13">
        <f t="shared" si="34"/>
        <v>43.600000000000023</v>
      </c>
      <c r="O71" s="85">
        <v>54</v>
      </c>
      <c r="P71" s="85">
        <f t="shared" si="35"/>
        <v>6.5693430656934089</v>
      </c>
    </row>
    <row r="72" spans="1:18" x14ac:dyDescent="0.35">
      <c r="B72" s="85"/>
      <c r="C72" s="85"/>
      <c r="D72" s="85"/>
      <c r="E72" s="85"/>
      <c r="F72" s="85">
        <f>240+21.55</f>
        <v>261.55</v>
      </c>
      <c r="G72" s="85">
        <f>240+30.82</f>
        <v>270.82</v>
      </c>
      <c r="H72" s="13">
        <f t="shared" si="28"/>
        <v>9.2699999999999818</v>
      </c>
      <c r="I72" s="13">
        <f t="shared" si="29"/>
        <v>31.110000000000014</v>
      </c>
      <c r="J72" s="13">
        <f t="shared" si="30"/>
        <v>0.22956909361069794</v>
      </c>
      <c r="K72" s="13">
        <f t="shared" si="31"/>
        <v>0.77043090638930201</v>
      </c>
      <c r="L72" s="13">
        <f t="shared" si="32"/>
        <v>0.10787486515641877</v>
      </c>
      <c r="M72" s="13">
        <f t="shared" si="33"/>
        <v>2.4764735017335317E-2</v>
      </c>
      <c r="N72" s="13">
        <f t="shared" si="34"/>
        <v>40.379999999999995</v>
      </c>
      <c r="O72" s="85">
        <v>61</v>
      </c>
      <c r="P72" s="85">
        <f t="shared" si="35"/>
        <v>6.5803667745415444</v>
      </c>
      <c r="R72" t="s">
        <v>158</v>
      </c>
    </row>
    <row r="73" spans="1:18" x14ac:dyDescent="0.35">
      <c r="A73" s="104"/>
      <c r="B73" s="85"/>
      <c r="C73" s="85"/>
      <c r="D73" s="85"/>
      <c r="E73" s="85"/>
      <c r="F73" s="85">
        <f>240+61.93</f>
        <v>301.93</v>
      </c>
      <c r="G73" s="85">
        <f>240+71.5</f>
        <v>311.5</v>
      </c>
      <c r="H73" s="13">
        <f t="shared" si="28"/>
        <v>9.5699999999999932</v>
      </c>
      <c r="I73" s="13">
        <f t="shared" si="29"/>
        <v>30.5</v>
      </c>
      <c r="J73" s="13">
        <f t="shared" si="30"/>
        <v>0.2388320439231344</v>
      </c>
      <c r="K73" s="13">
        <f t="shared" si="31"/>
        <v>0.7611679560768656</v>
      </c>
      <c r="L73" s="13">
        <f t="shared" si="32"/>
        <v>0.10449320794148388</v>
      </c>
      <c r="M73" s="13">
        <f t="shared" si="33"/>
        <v>2.4956326428749693E-2</v>
      </c>
      <c r="N73" s="13">
        <f t="shared" si="34"/>
        <v>40.069999999999993</v>
      </c>
      <c r="O73" s="85">
        <v>60</v>
      </c>
      <c r="P73" s="85">
        <f t="shared" si="35"/>
        <v>6.2695924764890325</v>
      </c>
    </row>
    <row r="74" spans="1:18" x14ac:dyDescent="0.35">
      <c r="B74" s="85"/>
      <c r="C74" s="85"/>
      <c r="D74" s="85"/>
      <c r="E74" s="85"/>
      <c r="F74" s="85">
        <f>240+102</f>
        <v>342</v>
      </c>
      <c r="G74" s="85">
        <f>240+111.66</f>
        <v>351.65999999999997</v>
      </c>
      <c r="H74" s="13">
        <f t="shared" si="28"/>
        <v>9.6599999999999682</v>
      </c>
      <c r="I74" s="13">
        <f t="shared" si="29"/>
        <v>18.340000000000032</v>
      </c>
      <c r="J74" s="13">
        <f t="shared" si="30"/>
        <v>0.34499999999999886</v>
      </c>
      <c r="K74" s="13">
        <f t="shared" si="31"/>
        <v>0.65500000000000114</v>
      </c>
      <c r="L74" s="13">
        <f t="shared" si="32"/>
        <v>0.10351966873706038</v>
      </c>
      <c r="M74" s="13">
        <f t="shared" si="33"/>
        <v>3.5714285714285712E-2</v>
      </c>
      <c r="N74" s="13">
        <f t="shared" si="34"/>
        <v>28</v>
      </c>
      <c r="O74" s="85">
        <v>67</v>
      </c>
      <c r="P74" s="85">
        <f t="shared" si="35"/>
        <v>6.9358178053830457</v>
      </c>
    </row>
    <row r="75" spans="1:18" x14ac:dyDescent="0.35">
      <c r="B75" s="144">
        <v>21.48</v>
      </c>
      <c r="C75" s="144">
        <v>41.37</v>
      </c>
      <c r="D75" s="144">
        <f>C75-B75</f>
        <v>19.889999999999997</v>
      </c>
      <c r="E75" s="144"/>
      <c r="F75" s="144">
        <f>360+10</f>
        <v>370</v>
      </c>
      <c r="G75" s="144">
        <f>360+18.73</f>
        <v>378.73</v>
      </c>
      <c r="H75" s="91">
        <f t="shared" si="28"/>
        <v>8.7300000000000182</v>
      </c>
      <c r="I75" s="91">
        <f t="shared" si="29"/>
        <v>53.889999999999986</v>
      </c>
      <c r="J75" s="91">
        <f t="shared" si="30"/>
        <v>0.13941232832960743</v>
      </c>
      <c r="K75" s="91">
        <f t="shared" si="31"/>
        <v>0.86058767167039252</v>
      </c>
      <c r="L75" s="91">
        <f t="shared" si="32"/>
        <v>0.11454753722794936</v>
      </c>
      <c r="M75" s="91">
        <f t="shared" si="33"/>
        <v>1.5969338869370808E-2</v>
      </c>
      <c r="N75" s="91">
        <f t="shared" si="34"/>
        <v>62.620000000000005</v>
      </c>
      <c r="O75" s="144">
        <v>61</v>
      </c>
      <c r="P75" s="144">
        <f t="shared" si="35"/>
        <v>6.9873997709049114</v>
      </c>
      <c r="R75" t="s">
        <v>159</v>
      </c>
    </row>
    <row r="76" spans="1:18" x14ac:dyDescent="0.35">
      <c r="B76" s="85"/>
      <c r="C76" s="85"/>
      <c r="D76" s="85"/>
      <c r="E76" s="85"/>
      <c r="F76" s="85">
        <f>360+72.62</f>
        <v>432.62</v>
      </c>
      <c r="G76" s="85">
        <f>360+81.34</f>
        <v>441.34000000000003</v>
      </c>
      <c r="H76" s="13">
        <f t="shared" si="28"/>
        <v>8.7200000000000273</v>
      </c>
      <c r="I76" s="13">
        <f t="shared" si="29"/>
        <v>28.909999999999968</v>
      </c>
      <c r="J76" s="13">
        <f t="shared" si="30"/>
        <v>0.23173000265745491</v>
      </c>
      <c r="K76" s="13">
        <f t="shared" si="31"/>
        <v>0.76826999734254509</v>
      </c>
      <c r="L76" s="13">
        <f t="shared" si="32"/>
        <v>0.11467889908256845</v>
      </c>
      <c r="M76" s="13">
        <f t="shared" si="33"/>
        <v>2.6574541589157591E-2</v>
      </c>
      <c r="N76" s="13">
        <f t="shared" si="34"/>
        <v>37.629999999999995</v>
      </c>
      <c r="O76" s="85">
        <v>58</v>
      </c>
      <c r="P76" s="85">
        <f t="shared" si="35"/>
        <v>6.6513761467889703</v>
      </c>
    </row>
    <row r="77" spans="1:18" x14ac:dyDescent="0.35">
      <c r="B77" s="144">
        <v>3.59</v>
      </c>
      <c r="C77" s="144">
        <v>23.5</v>
      </c>
      <c r="D77" s="144">
        <f>C77-B77</f>
        <v>19.91</v>
      </c>
      <c r="E77" s="144"/>
      <c r="F77" s="144">
        <f>360+110.25</f>
        <v>470.25</v>
      </c>
      <c r="G77" s="144">
        <f>360+119.73</f>
        <v>479.73</v>
      </c>
      <c r="H77" s="91">
        <f t="shared" si="28"/>
        <v>9.4800000000000182</v>
      </c>
      <c r="I77" s="91">
        <f t="shared" si="29"/>
        <v>55.850000000000023</v>
      </c>
      <c r="J77" s="91">
        <f t="shared" si="30"/>
        <v>0.14510944435940629</v>
      </c>
      <c r="K77" s="91">
        <f t="shared" si="31"/>
        <v>0.85489055564059369</v>
      </c>
      <c r="L77" s="91">
        <f t="shared" si="32"/>
        <v>0.10548523206751034</v>
      </c>
      <c r="M77" s="91">
        <f t="shared" si="33"/>
        <v>1.5306903413439451E-2</v>
      </c>
      <c r="N77" s="91">
        <f t="shared" si="34"/>
        <v>65.330000000000041</v>
      </c>
      <c r="O77" s="144">
        <v>65</v>
      </c>
      <c r="P77" s="144">
        <f t="shared" si="35"/>
        <v>6.8565400843881728</v>
      </c>
    </row>
    <row r="78" spans="1:18" x14ac:dyDescent="0.35">
      <c r="B78" s="85"/>
      <c r="C78" s="85"/>
      <c r="D78" s="85"/>
      <c r="E78" s="85"/>
      <c r="F78" s="85">
        <f>480+55.58</f>
        <v>535.58000000000004</v>
      </c>
      <c r="G78" s="85">
        <f>480+64.99</f>
        <v>544.99</v>
      </c>
      <c r="H78" s="13">
        <f t="shared" si="28"/>
        <v>9.4099999999999682</v>
      </c>
      <c r="I78" s="13">
        <f t="shared" si="29"/>
        <v>33.200000000000045</v>
      </c>
      <c r="J78" s="13">
        <f t="shared" si="30"/>
        <v>0.22084017836188607</v>
      </c>
      <c r="K78" s="13">
        <f t="shared" si="31"/>
        <v>0.77915982163811393</v>
      </c>
      <c r="L78" s="13">
        <f t="shared" si="32"/>
        <v>0.10626992561105243</v>
      </c>
      <c r="M78" s="13">
        <f t="shared" si="33"/>
        <v>2.3468669326449181E-2</v>
      </c>
      <c r="N78" s="13">
        <f t="shared" si="34"/>
        <v>42.610000000000014</v>
      </c>
      <c r="O78" s="85">
        <v>53</v>
      </c>
      <c r="P78" s="85">
        <f t="shared" si="35"/>
        <v>5.6323060573857786</v>
      </c>
      <c r="R78" t="s">
        <v>160</v>
      </c>
    </row>
    <row r="79" spans="1:18" x14ac:dyDescent="0.35">
      <c r="B79" s="85"/>
      <c r="C79" s="85"/>
      <c r="D79" s="85"/>
      <c r="E79" s="85"/>
      <c r="F79" s="85">
        <f>480+98.19</f>
        <v>578.19000000000005</v>
      </c>
      <c r="G79" s="85">
        <f>480+106.83</f>
        <v>586.83000000000004</v>
      </c>
      <c r="H79" s="13">
        <f t="shared" si="28"/>
        <v>8.6399999999999864</v>
      </c>
      <c r="I79" s="13">
        <f t="shared" si="29"/>
        <v>36.569999999999936</v>
      </c>
      <c r="J79" s="13">
        <f t="shared" si="30"/>
        <v>0.19110816191108165</v>
      </c>
      <c r="K79" s="13">
        <f t="shared" si="31"/>
        <v>0.8088918380889184</v>
      </c>
      <c r="L79" s="13">
        <f t="shared" si="32"/>
        <v>0.11574074074074092</v>
      </c>
      <c r="M79" s="13">
        <f t="shared" si="33"/>
        <v>2.2119000221190042E-2</v>
      </c>
      <c r="N79" s="13">
        <f t="shared" si="34"/>
        <v>45.209999999999923</v>
      </c>
      <c r="O79" s="85">
        <v>55</v>
      </c>
      <c r="P79" s="85">
        <f t="shared" si="35"/>
        <v>6.3657407407407511</v>
      </c>
    </row>
    <row r="80" spans="1:18" x14ac:dyDescent="0.35">
      <c r="B80" s="85"/>
      <c r="C80" s="85"/>
      <c r="D80" s="85"/>
      <c r="E80" s="85"/>
      <c r="F80" s="85">
        <f>600+23.4</f>
        <v>623.4</v>
      </c>
      <c r="G80" s="85">
        <f>600+32.81</f>
        <v>632.80999999999995</v>
      </c>
      <c r="H80" s="13">
        <f t="shared" si="28"/>
        <v>9.4099999999999682</v>
      </c>
      <c r="I80" s="13">
        <f t="shared" si="29"/>
        <v>28.25</v>
      </c>
      <c r="J80" s="13">
        <f t="shared" si="30"/>
        <v>0.24986723313860798</v>
      </c>
      <c r="K80" s="13">
        <f t="shared" si="31"/>
        <v>0.75013276686139208</v>
      </c>
      <c r="L80" s="13">
        <f t="shared" si="32"/>
        <v>0.10626992561105243</v>
      </c>
      <c r="M80" s="13">
        <f t="shared" si="33"/>
        <v>2.6553372278279364E-2</v>
      </c>
      <c r="N80" s="13">
        <f t="shared" si="34"/>
        <v>37.659999999999968</v>
      </c>
      <c r="O80" s="85">
        <v>62</v>
      </c>
      <c r="P80" s="85">
        <f t="shared" si="35"/>
        <v>6.5887353878852508</v>
      </c>
      <c r="R80" t="s">
        <v>161</v>
      </c>
    </row>
    <row r="81" spans="2:18" x14ac:dyDescent="0.35">
      <c r="B81" s="85"/>
      <c r="C81" s="85"/>
      <c r="D81" s="85"/>
      <c r="E81" s="85"/>
      <c r="F81" s="85">
        <f>600+61.06</f>
        <v>661.06</v>
      </c>
      <c r="G81" s="85">
        <f>600+70.27</f>
        <v>670.27</v>
      </c>
      <c r="H81" s="13">
        <f t="shared" si="28"/>
        <v>9.2100000000000364</v>
      </c>
      <c r="I81" s="13">
        <f t="shared" si="29"/>
        <v>20.590000000000032</v>
      </c>
      <c r="J81" s="13">
        <f t="shared" si="30"/>
        <v>0.30906040268456425</v>
      </c>
      <c r="K81" s="13">
        <f t="shared" si="31"/>
        <v>0.69093959731543575</v>
      </c>
      <c r="L81" s="13">
        <f t="shared" si="32"/>
        <v>0.10857763300760001</v>
      </c>
      <c r="M81" s="13">
        <f t="shared" si="33"/>
        <v>3.3557046979865696E-2</v>
      </c>
      <c r="N81" s="13">
        <f t="shared" si="34"/>
        <v>29.800000000000068</v>
      </c>
      <c r="O81" s="85">
        <v>62</v>
      </c>
      <c r="P81" s="85">
        <f t="shared" si="35"/>
        <v>6.7318132464712006</v>
      </c>
    </row>
    <row r="82" spans="2:18" x14ac:dyDescent="0.35">
      <c r="B82" s="85"/>
      <c r="C82" s="85"/>
      <c r="D82" s="85"/>
      <c r="E82" s="85"/>
      <c r="F82" s="85">
        <f>600+90.86</f>
        <v>690.86</v>
      </c>
      <c r="G82" s="85">
        <f>600+100.57</f>
        <v>700.56999999999994</v>
      </c>
      <c r="H82" s="13">
        <f t="shared" si="28"/>
        <v>9.7099999999999227</v>
      </c>
      <c r="I82" s="13">
        <f t="shared" si="29"/>
        <v>19.930000000000064</v>
      </c>
      <c r="J82" s="13">
        <f t="shared" si="30"/>
        <v>0.32759784075573306</v>
      </c>
      <c r="K82" s="13">
        <f t="shared" si="31"/>
        <v>0.67240215924426694</v>
      </c>
      <c r="L82" s="13">
        <f t="shared" si="32"/>
        <v>0.10298661174047456</v>
      </c>
      <c r="M82" s="13">
        <f t="shared" si="33"/>
        <v>3.3738191632928488E-2</v>
      </c>
      <c r="N82" s="13">
        <f t="shared" si="34"/>
        <v>29.639999999999986</v>
      </c>
      <c r="O82" s="85">
        <v>64</v>
      </c>
      <c r="P82" s="85">
        <f t="shared" si="35"/>
        <v>6.591143151390372</v>
      </c>
    </row>
    <row r="83" spans="2:18" x14ac:dyDescent="0.35">
      <c r="B83" s="85"/>
      <c r="C83" s="85"/>
      <c r="D83" s="85"/>
      <c r="E83" s="85"/>
      <c r="F83" s="85">
        <f>720+0.5</f>
        <v>720.5</v>
      </c>
      <c r="G83" s="85">
        <f>720+9.74</f>
        <v>729.74</v>
      </c>
      <c r="H83" s="13">
        <f t="shared" si="28"/>
        <v>9.2400000000000091</v>
      </c>
      <c r="I83" s="13">
        <f t="shared" si="29"/>
        <v>25.590000000000032</v>
      </c>
      <c r="J83" s="13">
        <f t="shared" si="30"/>
        <v>0.26528854435831173</v>
      </c>
      <c r="K83" s="13">
        <f t="shared" si="31"/>
        <v>0.73471145564168827</v>
      </c>
      <c r="L83" s="13">
        <f t="shared" si="32"/>
        <v>0.10822510822510811</v>
      </c>
      <c r="M83" s="13">
        <f t="shared" si="33"/>
        <v>2.8710881424059684E-2</v>
      </c>
      <c r="N83" s="13">
        <f t="shared" si="34"/>
        <v>34.830000000000041</v>
      </c>
      <c r="O83" s="85">
        <v>60</v>
      </c>
      <c r="P83" s="85">
        <f t="shared" si="35"/>
        <v>6.4935064935064872</v>
      </c>
      <c r="R83" t="s">
        <v>162</v>
      </c>
    </row>
    <row r="84" spans="2:18" x14ac:dyDescent="0.35">
      <c r="B84" s="144">
        <v>50.93</v>
      </c>
      <c r="C84" s="144">
        <v>70.819999999999993</v>
      </c>
      <c r="D84" s="144">
        <f>C84-B84</f>
        <v>19.889999999999993</v>
      </c>
      <c r="E84" s="144"/>
      <c r="F84" s="144">
        <f>720+35.33</f>
        <v>755.33</v>
      </c>
      <c r="G84" s="144">
        <f>720+44.72</f>
        <v>764.72</v>
      </c>
      <c r="H84" s="91">
        <f t="shared" si="28"/>
        <v>9.3899999999999864</v>
      </c>
      <c r="I84" s="91">
        <f t="shared" si="29"/>
        <v>53.730000000000018</v>
      </c>
      <c r="J84" s="91">
        <f t="shared" si="30"/>
        <v>0.14876425855513287</v>
      </c>
      <c r="K84" s="91">
        <f t="shared" si="31"/>
        <v>0.85123574144486713</v>
      </c>
      <c r="L84" s="91">
        <f t="shared" si="32"/>
        <v>0.10649627263045809</v>
      </c>
      <c r="M84" s="91">
        <f t="shared" si="33"/>
        <v>1.5842839036755384E-2</v>
      </c>
      <c r="N84" s="91">
        <f t="shared" si="34"/>
        <v>63.120000000000005</v>
      </c>
      <c r="O84" s="144">
        <v>65</v>
      </c>
      <c r="P84" s="144">
        <f t="shared" si="35"/>
        <v>6.9222577209797755</v>
      </c>
    </row>
    <row r="85" spans="2:18" x14ac:dyDescent="0.35">
      <c r="B85" s="85"/>
      <c r="C85" s="85"/>
      <c r="D85" s="85"/>
      <c r="E85" s="85"/>
      <c r="F85" s="85">
        <f>720+98.45</f>
        <v>818.45</v>
      </c>
      <c r="G85" s="85">
        <f>720+107.05</f>
        <v>827.05</v>
      </c>
      <c r="H85" s="13">
        <f t="shared" si="28"/>
        <v>8.5999999999999091</v>
      </c>
      <c r="I85" s="13">
        <f t="shared" si="29"/>
        <v>30.800000000000068</v>
      </c>
      <c r="J85" s="13">
        <f t="shared" si="30"/>
        <v>0.21827411167512473</v>
      </c>
      <c r="K85" s="13">
        <f t="shared" si="31"/>
        <v>0.78172588832487533</v>
      </c>
      <c r="L85" s="13">
        <f t="shared" si="32"/>
        <v>0.11627906976744309</v>
      </c>
      <c r="M85" s="13">
        <f t="shared" si="33"/>
        <v>2.5380710659898491E-2</v>
      </c>
      <c r="N85" s="13">
        <f t="shared" si="34"/>
        <v>39.399999999999977</v>
      </c>
      <c r="O85" s="85">
        <v>55</v>
      </c>
      <c r="P85" s="85">
        <f t="shared" si="35"/>
        <v>6.3953488372093696</v>
      </c>
    </row>
    <row r="86" spans="2:18" x14ac:dyDescent="0.35">
      <c r="B86" s="85"/>
      <c r="C86" s="85"/>
      <c r="D86" s="85"/>
      <c r="E86" s="85"/>
      <c r="F86" s="85">
        <f>840+17.85</f>
        <v>857.85</v>
      </c>
      <c r="G86" s="85">
        <f>840+26.22</f>
        <v>866.22</v>
      </c>
      <c r="H86" s="13">
        <f t="shared" si="28"/>
        <v>8.3700000000000045</v>
      </c>
      <c r="I86" s="13">
        <f t="shared" si="29"/>
        <v>27.389999999999986</v>
      </c>
      <c r="J86" s="13">
        <f t="shared" si="30"/>
        <v>0.23406040268456393</v>
      </c>
      <c r="K86" s="13">
        <f t="shared" si="31"/>
        <v>0.76593959731543604</v>
      </c>
      <c r="L86" s="13">
        <f t="shared" si="32"/>
        <v>0.11947431302270005</v>
      </c>
      <c r="M86" s="13">
        <f t="shared" si="33"/>
        <v>2.7964205816554816E-2</v>
      </c>
      <c r="N86" s="13">
        <f t="shared" si="34"/>
        <v>35.759999999999991</v>
      </c>
      <c r="O86" s="85">
        <v>53</v>
      </c>
      <c r="P86" s="85">
        <f t="shared" si="35"/>
        <v>6.3321385902031029</v>
      </c>
      <c r="R86" t="s">
        <v>163</v>
      </c>
    </row>
    <row r="87" spans="2:18" x14ac:dyDescent="0.35">
      <c r="B87" s="85"/>
      <c r="C87" s="85"/>
      <c r="D87" s="85"/>
      <c r="E87" s="85"/>
      <c r="F87" s="85">
        <f>840+53.61</f>
        <v>893.61</v>
      </c>
      <c r="G87" s="85">
        <f>840+62.74</f>
        <v>902.74</v>
      </c>
      <c r="H87" s="13">
        <f t="shared" si="28"/>
        <v>9.1299999999999955</v>
      </c>
      <c r="I87" s="13">
        <f t="shared" si="29"/>
        <v>35.039999999999964</v>
      </c>
      <c r="J87" s="13">
        <f t="shared" si="30"/>
        <v>0.20670138102784705</v>
      </c>
      <c r="K87" s="13">
        <f t="shared" si="31"/>
        <v>0.79329861897215292</v>
      </c>
      <c r="L87" s="13">
        <f t="shared" si="32"/>
        <v>0.10952902519167584</v>
      </c>
      <c r="M87" s="13">
        <f t="shared" si="33"/>
        <v>2.2639800769753249E-2</v>
      </c>
      <c r="N87" s="13">
        <f t="shared" si="34"/>
        <v>44.169999999999959</v>
      </c>
      <c r="O87" s="85">
        <v>54</v>
      </c>
      <c r="P87" s="85">
        <f t="shared" si="35"/>
        <v>5.914567360350496</v>
      </c>
    </row>
    <row r="88" spans="2:18" x14ac:dyDescent="0.35">
      <c r="B88" s="85"/>
      <c r="C88" s="85"/>
      <c r="D88" s="85"/>
      <c r="E88" s="85"/>
      <c r="F88" s="85">
        <f>840+97.78</f>
        <v>937.78</v>
      </c>
      <c r="G88" s="85">
        <f>840+106.94</f>
        <v>946.94</v>
      </c>
      <c r="H88" s="13">
        <f t="shared" si="28"/>
        <v>9.1600000000000819</v>
      </c>
      <c r="I88" s="13">
        <f t="shared" si="29"/>
        <v>34.029999999999973</v>
      </c>
      <c r="J88" s="13">
        <f t="shared" si="30"/>
        <v>0.21208613104885554</v>
      </c>
      <c r="K88" s="13">
        <f t="shared" si="31"/>
        <v>0.78791386895114446</v>
      </c>
      <c r="L88" s="13">
        <f t="shared" si="32"/>
        <v>0.10917030567685491</v>
      </c>
      <c r="M88" s="13">
        <f t="shared" si="33"/>
        <v>2.3153507756425069E-2</v>
      </c>
      <c r="N88" s="13">
        <f t="shared" si="34"/>
        <v>43.190000000000055</v>
      </c>
      <c r="O88" s="85">
        <v>58</v>
      </c>
      <c r="P88" s="85">
        <f t="shared" si="35"/>
        <v>6.3318777292575854</v>
      </c>
    </row>
    <row r="89" spans="2:18" x14ac:dyDescent="0.35">
      <c r="B89" s="85"/>
      <c r="C89" s="85"/>
      <c r="D89" s="85"/>
      <c r="E89" s="85"/>
      <c r="F89" s="85">
        <f>960+20.97</f>
        <v>980.97</v>
      </c>
      <c r="G89" s="85">
        <f>960+30.31</f>
        <v>990.31</v>
      </c>
      <c r="H89" s="13">
        <f t="shared" si="28"/>
        <v>9.3399999999999181</v>
      </c>
      <c r="I89" s="13">
        <f t="shared" si="29"/>
        <v>22.970000000000027</v>
      </c>
      <c r="J89" s="13">
        <f t="shared" si="30"/>
        <v>0.28907458991024249</v>
      </c>
      <c r="K89" s="13">
        <f t="shared" si="31"/>
        <v>0.71092541008975751</v>
      </c>
      <c r="L89" s="13">
        <f t="shared" si="32"/>
        <v>0.10706638115631785</v>
      </c>
      <c r="M89" s="13">
        <f t="shared" si="33"/>
        <v>3.0950170225936297E-2</v>
      </c>
      <c r="N89" s="13">
        <f t="shared" si="34"/>
        <v>32.309999999999945</v>
      </c>
      <c r="O89" s="85">
        <v>58</v>
      </c>
      <c r="P89" s="85">
        <f t="shared" si="35"/>
        <v>6.2098501070664351</v>
      </c>
      <c r="R89" t="s">
        <v>164</v>
      </c>
    </row>
    <row r="90" spans="2:18" x14ac:dyDescent="0.35">
      <c r="B90" s="85"/>
      <c r="C90" s="85"/>
      <c r="D90" s="85"/>
      <c r="E90" s="85"/>
      <c r="F90" s="85">
        <f>960+53.28</f>
        <v>1013.28</v>
      </c>
      <c r="G90" s="85">
        <f>960+62.73</f>
        <v>1022.73</v>
      </c>
      <c r="H90" s="13">
        <f t="shared" si="28"/>
        <v>9.4500000000000455</v>
      </c>
      <c r="I90" s="13">
        <f t="shared" si="29"/>
        <v>24.089999999999918</v>
      </c>
      <c r="J90" s="13">
        <f t="shared" si="30"/>
        <v>0.28175313059034157</v>
      </c>
      <c r="K90" s="13">
        <f t="shared" si="31"/>
        <v>0.71824686940965843</v>
      </c>
      <c r="L90" s="13">
        <f t="shared" si="32"/>
        <v>0.10582010582010531</v>
      </c>
      <c r="M90" s="13">
        <f t="shared" si="33"/>
        <v>2.9815146094215893E-2</v>
      </c>
      <c r="N90" s="13">
        <f t="shared" si="34"/>
        <v>33.539999999999964</v>
      </c>
      <c r="O90" s="85">
        <v>59</v>
      </c>
      <c r="P90" s="85">
        <f t="shared" si="35"/>
        <v>6.2433862433862135</v>
      </c>
    </row>
    <row r="91" spans="2:18" x14ac:dyDescent="0.35">
      <c r="B91" s="85"/>
      <c r="C91" s="85"/>
      <c r="D91" s="85"/>
      <c r="E91" s="85"/>
      <c r="F91" s="85">
        <f>960+86.82</f>
        <v>1046.82</v>
      </c>
      <c r="G91" s="85">
        <f>960+95.93</f>
        <v>1055.93</v>
      </c>
      <c r="H91" s="13">
        <f t="shared" si="28"/>
        <v>9.1100000000001273</v>
      </c>
      <c r="I91" s="13">
        <f t="shared" si="29"/>
        <v>24.220000000000027</v>
      </c>
      <c r="J91" s="13">
        <f t="shared" si="30"/>
        <v>0.27332733273327586</v>
      </c>
      <c r="K91" s="13">
        <f t="shared" si="31"/>
        <v>0.72667266726672408</v>
      </c>
      <c r="L91" s="13">
        <f t="shared" si="32"/>
        <v>0.10976948408342327</v>
      </c>
      <c r="M91" s="13">
        <f t="shared" si="33"/>
        <v>3.0003000300029864E-2</v>
      </c>
      <c r="N91" s="13">
        <f t="shared" si="34"/>
        <v>33.330000000000155</v>
      </c>
      <c r="O91" s="85">
        <v>58</v>
      </c>
      <c r="P91" s="85">
        <f t="shared" si="35"/>
        <v>6.3666300768385495</v>
      </c>
    </row>
    <row r="92" spans="2:18" x14ac:dyDescent="0.35">
      <c r="B92" s="85"/>
      <c r="C92" s="85"/>
      <c r="D92" s="85"/>
      <c r="E92" s="85"/>
      <c r="F92" s="85">
        <f>1080+0.15</f>
        <v>1080.1500000000001</v>
      </c>
      <c r="G92" s="85">
        <f>1080+9.1</f>
        <v>1089.0999999999999</v>
      </c>
      <c r="H92" s="13">
        <f>G92-F92</f>
        <v>8.9499999999998181</v>
      </c>
      <c r="I92" s="13">
        <f>F93-G92</f>
        <v>27.259999999999991</v>
      </c>
      <c r="J92" s="13">
        <f>H92/N92</f>
        <v>0.24716929025130807</v>
      </c>
      <c r="K92" s="13">
        <f>I92/N92</f>
        <v>0.75283070974869193</v>
      </c>
      <c r="L92" s="13">
        <f>1/H92</f>
        <v>0.11173184357542126</v>
      </c>
      <c r="M92" s="13">
        <f>1/N92</f>
        <v>2.7616680475007049E-2</v>
      </c>
      <c r="N92" s="13">
        <f>H92+I92</f>
        <v>36.209999999999809</v>
      </c>
      <c r="O92" s="85">
        <v>59</v>
      </c>
      <c r="P92" s="85">
        <f>O92/H92</f>
        <v>6.5921787709498547</v>
      </c>
      <c r="R92" t="s">
        <v>165</v>
      </c>
    </row>
    <row r="93" spans="2:18" x14ac:dyDescent="0.35">
      <c r="B93" s="85"/>
      <c r="C93" s="85"/>
      <c r="D93" s="85"/>
      <c r="E93" s="85"/>
      <c r="F93" s="85">
        <f>1080+36.36</f>
        <v>1116.3599999999999</v>
      </c>
      <c r="G93" s="85">
        <f>1080+45.63</f>
        <v>1125.6300000000001</v>
      </c>
      <c r="H93" s="13">
        <f>G93-F93</f>
        <v>9.2700000000002092</v>
      </c>
      <c r="I93" s="13">
        <f>F94-G93</f>
        <v>21.279999999999973</v>
      </c>
      <c r="J93" s="13">
        <f>H93/N93</f>
        <v>0.30343698854337658</v>
      </c>
      <c r="K93" s="13">
        <f>I93/N93</f>
        <v>0.69656301145662347</v>
      </c>
      <c r="L93" s="13">
        <f>1/H93</f>
        <v>0.10787486515641612</v>
      </c>
      <c r="M93" s="13">
        <f>1/N93</f>
        <v>3.2733224222585733E-2</v>
      </c>
      <c r="N93" s="13">
        <f>H93+I93</f>
        <v>30.550000000000182</v>
      </c>
      <c r="O93" s="85">
        <v>60</v>
      </c>
      <c r="P93" s="85">
        <f>O93/H93</f>
        <v>6.4724919093849671</v>
      </c>
    </row>
    <row r="94" spans="2:18" x14ac:dyDescent="0.35">
      <c r="B94" s="85"/>
      <c r="C94" s="85"/>
      <c r="D94" s="85"/>
      <c r="E94" s="85"/>
      <c r="F94" s="85">
        <f>1080+66.91</f>
        <v>1146.9100000000001</v>
      </c>
      <c r="G94" s="85">
        <f>1080+76.06</f>
        <v>1156.06</v>
      </c>
      <c r="H94" s="13">
        <f>G94-F94</f>
        <v>9.1499999999998636</v>
      </c>
      <c r="I94" s="13">
        <f>F95-G94</f>
        <v>20.509999999999991</v>
      </c>
      <c r="J94" s="13">
        <f>H94/N94</f>
        <v>0.30849629130141298</v>
      </c>
      <c r="K94" s="13">
        <f>I94/N94</f>
        <v>0.69150370869858702</v>
      </c>
      <c r="L94" s="13">
        <f>1/H94</f>
        <v>0.10928961748634043</v>
      </c>
      <c r="M94" s="13">
        <f>1/N94</f>
        <v>3.3715441672286073E-2</v>
      </c>
      <c r="N94" s="13">
        <f>H94+I94</f>
        <v>29.659999999999854</v>
      </c>
      <c r="O94" s="85">
        <v>59</v>
      </c>
      <c r="P94" s="85">
        <f>O94/H94</f>
        <v>6.448087431694085</v>
      </c>
    </row>
    <row r="95" spans="2:18" x14ac:dyDescent="0.35">
      <c r="B95" s="85"/>
      <c r="C95" s="85"/>
      <c r="D95" s="85"/>
      <c r="E95" s="85"/>
      <c r="F95" s="85">
        <f>1080+96.57</f>
        <v>1176.57</v>
      </c>
      <c r="G95" s="85">
        <f>1080+104.84</f>
        <v>1184.8399999999999</v>
      </c>
      <c r="H95" s="13">
        <f>G95-F95</f>
        <v>8.2699999999999818</v>
      </c>
      <c r="I95" s="13">
        <f>F96-G95</f>
        <v>33.019999999999982</v>
      </c>
      <c r="J95" s="13">
        <f>H95/N95</f>
        <v>0.2002906272705253</v>
      </c>
      <c r="K95" s="13">
        <f>I95/N95</f>
        <v>0.79970937272947473</v>
      </c>
      <c r="L95" s="13">
        <f>1/H95</f>
        <v>0.12091898428053231</v>
      </c>
      <c r="M95" s="13">
        <f>1/N95</f>
        <v>2.4218939210462604E-2</v>
      </c>
      <c r="N95" s="13">
        <f>H95+I95</f>
        <v>41.289999999999964</v>
      </c>
      <c r="O95" s="85">
        <v>54</v>
      </c>
      <c r="P95" s="85">
        <f>O95/H95</f>
        <v>6.5296251511487444</v>
      </c>
    </row>
    <row r="96" spans="2:18" x14ac:dyDescent="0.35">
      <c r="F96">
        <f>1200+17.86</f>
        <v>1217.8599999999999</v>
      </c>
      <c r="H96" s="13">
        <f>G96-F96</f>
        <v>-1217.8599999999999</v>
      </c>
      <c r="I96" s="13">
        <f>F97-G96</f>
        <v>0</v>
      </c>
      <c r="J96" s="13">
        <f>H96/N96</f>
        <v>1</v>
      </c>
      <c r="K96" s="13">
        <f>I96/N96</f>
        <v>0</v>
      </c>
      <c r="L96" s="13">
        <f>1/H96</f>
        <v>-8.2111244313796343E-4</v>
      </c>
      <c r="M96" s="13">
        <f>1/N96</f>
        <v>-8.2111244313796343E-4</v>
      </c>
      <c r="N96" s="13">
        <f>H96+I96</f>
        <v>-1217.8599999999999</v>
      </c>
      <c r="O96" s="85"/>
      <c r="P96" s="85">
        <f>O96/H96</f>
        <v>0</v>
      </c>
      <c r="R96" t="s">
        <v>166</v>
      </c>
    </row>
    <row r="98" spans="5:16" ht="16" thickBot="1" x14ac:dyDescent="0.4">
      <c r="H98" s="44" t="s">
        <v>3</v>
      </c>
      <c r="I98" s="44" t="s">
        <v>4</v>
      </c>
      <c r="J98" s="44" t="s">
        <v>5</v>
      </c>
      <c r="K98" s="44" t="s">
        <v>6</v>
      </c>
      <c r="L98" s="44" t="s">
        <v>7</v>
      </c>
      <c r="M98" s="44" t="s">
        <v>8</v>
      </c>
      <c r="N98" s="44" t="s">
        <v>9</v>
      </c>
      <c r="O98" s="44" t="s">
        <v>10</v>
      </c>
      <c r="P98" s="44" t="s">
        <v>139</v>
      </c>
    </row>
    <row r="99" spans="5:16" x14ac:dyDescent="0.35">
      <c r="E99" s="137" t="s">
        <v>192</v>
      </c>
      <c r="F99" s="85"/>
      <c r="G99" s="3" t="s">
        <v>77</v>
      </c>
      <c r="H99">
        <f>AVERAGE(H67,H69:H70,H75,H77,H84)</f>
        <v>9.0066666666666695</v>
      </c>
      <c r="I99">
        <f t="shared" ref="I99:P99" si="36">AVERAGE(I67,I69:I70,I75,I77,I84)</f>
        <v>52.455000000000005</v>
      </c>
      <c r="J99">
        <f t="shared" si="36"/>
        <v>0.15048137566338196</v>
      </c>
      <c r="K99">
        <f t="shared" si="36"/>
        <v>0.84951862433661807</v>
      </c>
      <c r="L99">
        <f t="shared" si="36"/>
        <v>0.11115457318649147</v>
      </c>
      <c r="M99">
        <f t="shared" si="36"/>
        <v>1.6732724538916246E-2</v>
      </c>
      <c r="N99">
        <f t="shared" si="36"/>
        <v>61.461666666666673</v>
      </c>
      <c r="O99">
        <f t="shared" si="36"/>
        <v>63.333333333333336</v>
      </c>
      <c r="P99">
        <f t="shared" si="36"/>
        <v>7.0347438737749757</v>
      </c>
    </row>
    <row r="100" spans="5:16" x14ac:dyDescent="0.35">
      <c r="E100" s="137"/>
      <c r="F100" s="85"/>
      <c r="G100" s="3" t="s">
        <v>94</v>
      </c>
      <c r="H100">
        <f>_xlfn.STDEV.S(H67,H69,H70,H75,H77,H84)</f>
        <v>0.33559896702264452</v>
      </c>
      <c r="I100">
        <f t="shared" ref="I100:P100" si="37">_xlfn.STDEV.S(I67,I69,I70,I75,I77,I84)</f>
        <v>10.444894925273331</v>
      </c>
      <c r="J100">
        <f t="shared" si="37"/>
        <v>2.8287081376854057E-2</v>
      </c>
      <c r="K100">
        <f t="shared" si="37"/>
        <v>2.8287081376853901E-2</v>
      </c>
      <c r="L100">
        <f t="shared" si="37"/>
        <v>4.0485944784935468E-3</v>
      </c>
      <c r="M100">
        <f t="shared" si="37"/>
        <v>3.3071309439708556E-3</v>
      </c>
      <c r="N100">
        <f t="shared" si="37"/>
        <v>10.498010128908524</v>
      </c>
      <c r="O100">
        <f t="shared" si="37"/>
        <v>3.1411250638372659</v>
      </c>
      <c r="P100">
        <f t="shared" si="37"/>
        <v>0.32801350009443109</v>
      </c>
    </row>
    <row r="101" spans="5:16" x14ac:dyDescent="0.35">
      <c r="E101" s="137"/>
      <c r="F101" s="85"/>
      <c r="G101" s="3" t="s">
        <v>95</v>
      </c>
      <c r="H101">
        <f>H100/(SQRT(6))</f>
        <v>0.13700770456843298</v>
      </c>
      <c r="I101">
        <f t="shared" ref="I101:P101" si="38">I100/(SQRT(6))</f>
        <v>4.2641104973175166</v>
      </c>
      <c r="J101">
        <f t="shared" si="38"/>
        <v>1.1548152614312846E-2</v>
      </c>
      <c r="K101">
        <f t="shared" si="38"/>
        <v>1.1548152614312782E-2</v>
      </c>
      <c r="L101">
        <f t="shared" si="38"/>
        <v>1.6528317746264257E-3</v>
      </c>
      <c r="M101">
        <f t="shared" si="38"/>
        <v>1.3501305542162434E-3</v>
      </c>
      <c r="N101">
        <f t="shared" si="38"/>
        <v>4.2857946883992231</v>
      </c>
      <c r="O101">
        <f t="shared" si="38"/>
        <v>1.2823589374447566</v>
      </c>
      <c r="P101">
        <f t="shared" si="38"/>
        <v>0.13391095066261968</v>
      </c>
    </row>
    <row r="102" spans="5:16" x14ac:dyDescent="0.35">
      <c r="E102" s="137"/>
      <c r="F102" s="85"/>
      <c r="G102" s="3"/>
    </row>
    <row r="103" spans="5:16" x14ac:dyDescent="0.35">
      <c r="E103" s="137"/>
      <c r="F103" s="85"/>
      <c r="G103" s="3"/>
    </row>
    <row r="104" spans="5:16" x14ac:dyDescent="0.35">
      <c r="E104" s="137" t="s">
        <v>195</v>
      </c>
      <c r="F104" s="85"/>
      <c r="G104" s="3" t="s">
        <v>77</v>
      </c>
      <c r="H104">
        <f>AVERAGE(H68,H71,H76,H78,H85)</f>
        <v>8.8459999999999859</v>
      </c>
      <c r="I104">
        <f t="shared" ref="I104:P104" si="39">AVERAGE(I68,I71,I76,I78,I85)</f>
        <v>30.332000000000015</v>
      </c>
      <c r="J104">
        <f t="shared" si="39"/>
        <v>0.22872060980685904</v>
      </c>
      <c r="K104">
        <f t="shared" si="39"/>
        <v>0.77127939019314096</v>
      </c>
      <c r="L104">
        <f t="shared" si="39"/>
        <v>0.11332820327345275</v>
      </c>
      <c r="M104">
        <f t="shared" si="39"/>
        <v>2.5797514550991857E-2</v>
      </c>
      <c r="N104">
        <f t="shared" si="39"/>
        <v>39.178000000000004</v>
      </c>
      <c r="O104">
        <f t="shared" si="39"/>
        <v>57</v>
      </c>
      <c r="P104">
        <f t="shared" si="39"/>
        <v>6.4505368903810218</v>
      </c>
    </row>
    <row r="105" spans="5:16" x14ac:dyDescent="0.35">
      <c r="E105" s="137"/>
      <c r="F105" s="85"/>
      <c r="G105" s="3" t="s">
        <v>94</v>
      </c>
      <c r="H105">
        <f>_xlfn.STDEV.S(H68,H71,H76,H85)</f>
        <v>0.43859624561396432</v>
      </c>
      <c r="I105">
        <f t="shared" ref="I105:P105" si="40">_xlfn.STDEV.S(I68,I71,I76,I85)</f>
        <v>4.9711333382506133</v>
      </c>
      <c r="J105">
        <f t="shared" si="40"/>
        <v>3.9994566545021197E-2</v>
      </c>
      <c r="K105">
        <f t="shared" si="40"/>
        <v>3.9994566545021377E-2</v>
      </c>
      <c r="L105">
        <f t="shared" si="40"/>
        <v>5.7278459866139881E-3</v>
      </c>
      <c r="M105">
        <f t="shared" si="40"/>
        <v>3.2116189636462841E-3</v>
      </c>
      <c r="N105">
        <f t="shared" si="40"/>
        <v>4.5339386850728909</v>
      </c>
      <c r="O105">
        <f t="shared" si="40"/>
        <v>4.9665548085837798</v>
      </c>
      <c r="P105">
        <f t="shared" si="40"/>
        <v>0.25611628234937139</v>
      </c>
    </row>
    <row r="106" spans="5:16" x14ac:dyDescent="0.35">
      <c r="E106" s="137"/>
      <c r="F106" s="85"/>
      <c r="G106" s="3" t="s">
        <v>95</v>
      </c>
      <c r="H106">
        <f>H105/SQRT(4)</f>
        <v>0.21929812280698216</v>
      </c>
      <c r="I106">
        <f t="shared" ref="I106:P106" si="41">I105/SQRT(4)</f>
        <v>2.4855666691253067</v>
      </c>
      <c r="J106">
        <f t="shared" si="41"/>
        <v>1.9997283272510599E-2</v>
      </c>
      <c r="K106">
        <f t="shared" si="41"/>
        <v>1.9997283272510689E-2</v>
      </c>
      <c r="L106">
        <f t="shared" si="41"/>
        <v>2.863922993306994E-3</v>
      </c>
      <c r="M106">
        <f t="shared" si="41"/>
        <v>1.6058094818231421E-3</v>
      </c>
      <c r="N106">
        <f t="shared" si="41"/>
        <v>2.2669693425364454</v>
      </c>
      <c r="O106">
        <f t="shared" si="41"/>
        <v>2.4832774042918899</v>
      </c>
      <c r="P106">
        <f t="shared" si="41"/>
        <v>0.1280581411746857</v>
      </c>
    </row>
    <row r="107" spans="5:16" x14ac:dyDescent="0.35">
      <c r="E107" s="137"/>
      <c r="F107" s="85"/>
      <c r="G107" s="3"/>
    </row>
    <row r="108" spans="5:16" x14ac:dyDescent="0.35">
      <c r="E108" s="137"/>
      <c r="F108" s="85"/>
      <c r="G108" s="3"/>
    </row>
    <row r="109" spans="5:16" x14ac:dyDescent="0.35">
      <c r="E109" s="137" t="s">
        <v>194</v>
      </c>
      <c r="F109" s="85"/>
      <c r="G109" s="3" t="s">
        <v>77</v>
      </c>
      <c r="H109">
        <f>AVERAGE(H72:H74,H79:H83,H86:H95)</f>
        <v>9.1616666666666617</v>
      </c>
      <c r="I109">
        <f t="shared" ref="I109:P109" si="42">AVERAGE(I72:I74,I79:I83,I86:I95)</f>
        <v>26.704999999999998</v>
      </c>
      <c r="J109">
        <f t="shared" si="42"/>
        <v>0.26181774920799328</v>
      </c>
      <c r="K109">
        <f t="shared" si="42"/>
        <v>0.7381822507920065</v>
      </c>
      <c r="L109">
        <f t="shared" si="42"/>
        <v>0.10935181592276261</v>
      </c>
      <c r="M109">
        <f t="shared" si="42"/>
        <v>2.8495775346663928E-2</v>
      </c>
      <c r="N109">
        <f t="shared" si="42"/>
        <v>35.86666666666666</v>
      </c>
      <c r="O109">
        <f t="shared" si="42"/>
        <v>59.055555555555557</v>
      </c>
      <c r="P109">
        <f t="shared" si="42"/>
        <v>6.444308302593762</v>
      </c>
    </row>
    <row r="110" spans="5:16" x14ac:dyDescent="0.35">
      <c r="E110" s="137"/>
      <c r="F110" s="85"/>
      <c r="G110" s="3" t="s">
        <v>94</v>
      </c>
      <c r="H110">
        <f>_xlfn.STDEV.S(H72,H73,H74,H79:H83,H86:H95)</f>
        <v>0.3960726314853949</v>
      </c>
      <c r="I110">
        <f t="shared" ref="I110:P110" si="43">_xlfn.STDEV.S(I72,I73,I74,I79:I83,I86:I95)</f>
        <v>5.6702435366310056</v>
      </c>
      <c r="J110">
        <f t="shared" si="43"/>
        <v>4.5804415380630695E-2</v>
      </c>
      <c r="K110">
        <f t="shared" si="43"/>
        <v>4.5804415380630473E-2</v>
      </c>
      <c r="L110">
        <f t="shared" si="43"/>
        <v>4.9381561044772792E-3</v>
      </c>
      <c r="M110">
        <f t="shared" si="43"/>
        <v>4.2946853983504224E-3</v>
      </c>
      <c r="N110">
        <f t="shared" si="43"/>
        <v>5.4798722612849211</v>
      </c>
      <c r="O110">
        <f t="shared" si="43"/>
        <v>3.5887442047769667</v>
      </c>
      <c r="P110">
        <f t="shared" si="43"/>
        <v>0.22511001219737131</v>
      </c>
    </row>
    <row r="111" spans="5:16" x14ac:dyDescent="0.35">
      <c r="E111" s="85"/>
      <c r="F111" s="85"/>
      <c r="G111" s="3" t="s">
        <v>95</v>
      </c>
      <c r="H111">
        <f>H110/(SQRT(18))</f>
        <v>9.3355214521907745E-2</v>
      </c>
      <c r="I111">
        <f t="shared" ref="I111:P111" si="44">I110/(SQRT(18))</f>
        <v>1.3364892185769921</v>
      </c>
      <c r="J111">
        <f t="shared" si="44"/>
        <v>1.0796204241309788E-2</v>
      </c>
      <c r="K111">
        <f t="shared" si="44"/>
        <v>1.0796204241309736E-2</v>
      </c>
      <c r="L111">
        <f t="shared" si="44"/>
        <v>1.1639345560112099E-3</v>
      </c>
      <c r="M111">
        <f t="shared" si="44"/>
        <v>1.0122670560788109E-3</v>
      </c>
      <c r="N111">
        <f t="shared" si="44"/>
        <v>1.2916182786635428</v>
      </c>
      <c r="O111">
        <f t="shared" si="44"/>
        <v>0.84587512104723905</v>
      </c>
      <c r="P111">
        <f t="shared" si="44"/>
        <v>5.3058938712582562E-2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35"/>
  <sheetViews>
    <sheetView topLeftCell="A4" workbookViewId="0">
      <selection activeCell="H133" sqref="H133:I133"/>
    </sheetView>
  </sheetViews>
  <sheetFormatPr defaultRowHeight="14.5" x14ac:dyDescent="0.35"/>
  <cols>
    <col min="1" max="1" width="9.7265625" customWidth="1"/>
    <col min="2" max="2" width="10.54296875" customWidth="1"/>
    <col min="3" max="3" width="10.26953125" customWidth="1"/>
  </cols>
  <sheetData>
    <row r="4" spans="2:19" ht="18.5" x14ac:dyDescent="0.45">
      <c r="B4" s="2"/>
      <c r="C4" s="1" t="s">
        <v>167</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1.36</v>
      </c>
      <c r="G7" s="2">
        <v>8.06</v>
      </c>
      <c r="H7" s="2">
        <f>G7-F7</f>
        <v>6.7</v>
      </c>
      <c r="I7" s="2">
        <f>F8-G7</f>
        <v>7.17</v>
      </c>
      <c r="J7" s="2">
        <f>H7/N7</f>
        <v>0.4830569574621485</v>
      </c>
      <c r="K7" s="2">
        <f>I7/N7</f>
        <v>0.51694304253785139</v>
      </c>
      <c r="L7" s="2">
        <f>1/H7</f>
        <v>0.14925373134328357</v>
      </c>
      <c r="M7" s="2">
        <f>1/N7</f>
        <v>7.2098053352559477E-2</v>
      </c>
      <c r="N7" s="2">
        <f>H7+I7</f>
        <v>13.870000000000001</v>
      </c>
      <c r="O7" s="2">
        <v>16</v>
      </c>
      <c r="P7">
        <f>O7/H7</f>
        <v>2.3880597014925371</v>
      </c>
      <c r="R7" t="s">
        <v>168</v>
      </c>
    </row>
    <row r="8" spans="2:19" x14ac:dyDescent="0.35">
      <c r="B8" s="2"/>
      <c r="C8" s="2"/>
      <c r="D8" s="2"/>
      <c r="E8" s="2"/>
      <c r="F8" s="2">
        <v>15.23</v>
      </c>
      <c r="G8" s="2">
        <v>22.66</v>
      </c>
      <c r="H8" s="2">
        <f t="shared" ref="H8:H15" si="0">G8-F8</f>
        <v>7.43</v>
      </c>
      <c r="I8" s="2">
        <f t="shared" ref="I8:I14" si="1">F9-G8</f>
        <v>7.1400000000000006</v>
      </c>
      <c r="J8" s="2">
        <f t="shared" ref="J8:J15" si="2">H8/N8</f>
        <v>0.50995195607412491</v>
      </c>
      <c r="K8" s="2">
        <f t="shared" ref="K8:K15" si="3">I8/N8</f>
        <v>0.49004804392587509</v>
      </c>
      <c r="L8" s="2">
        <f t="shared" ref="L8:L15" si="4">1/H8</f>
        <v>0.13458950201884254</v>
      </c>
      <c r="M8" s="2">
        <f t="shared" ref="M8:M15" si="5">1/N8</f>
        <v>6.8634179821551136E-2</v>
      </c>
      <c r="N8" s="2">
        <f t="shared" ref="N8:N15" si="6">H8+I8</f>
        <v>14.57</v>
      </c>
      <c r="O8" s="2">
        <v>17</v>
      </c>
      <c r="P8">
        <f t="shared" ref="P8:P15" si="7">O8/H8</f>
        <v>2.2880215343203232</v>
      </c>
    </row>
    <row r="9" spans="2:19" x14ac:dyDescent="0.35">
      <c r="B9" s="2"/>
      <c r="C9" s="2"/>
      <c r="D9" s="2"/>
      <c r="E9" s="2"/>
      <c r="F9" s="2">
        <v>29.8</v>
      </c>
      <c r="G9" s="2">
        <v>37.26</v>
      </c>
      <c r="H9" s="2">
        <f t="shared" si="0"/>
        <v>7.4599999999999973</v>
      </c>
      <c r="I9" s="2">
        <f t="shared" si="1"/>
        <v>7.9699999999999989</v>
      </c>
      <c r="J9" s="2">
        <f t="shared" si="2"/>
        <v>0.48347375243033047</v>
      </c>
      <c r="K9" s="2">
        <f t="shared" si="3"/>
        <v>0.51652624756966958</v>
      </c>
      <c r="L9" s="2">
        <f t="shared" si="4"/>
        <v>0.13404825737265422</v>
      </c>
      <c r="M9" s="2">
        <f t="shared" si="5"/>
        <v>6.4808813998703835E-2</v>
      </c>
      <c r="N9" s="2">
        <f t="shared" si="6"/>
        <v>15.429999999999996</v>
      </c>
      <c r="O9" s="2">
        <v>19</v>
      </c>
      <c r="P9">
        <f t="shared" si="7"/>
        <v>2.5469168900804298</v>
      </c>
    </row>
    <row r="10" spans="2:19" x14ac:dyDescent="0.35">
      <c r="B10" s="2"/>
      <c r="C10" s="2"/>
      <c r="D10" s="2"/>
      <c r="E10" s="2"/>
      <c r="F10" s="13">
        <v>45.23</v>
      </c>
      <c r="G10" s="13">
        <v>51.97</v>
      </c>
      <c r="H10" s="2">
        <f t="shared" si="0"/>
        <v>6.740000000000002</v>
      </c>
      <c r="I10" s="2">
        <f t="shared" si="1"/>
        <v>7.7899999999999991</v>
      </c>
      <c r="J10" s="2">
        <f t="shared" si="2"/>
        <v>0.46386785960082599</v>
      </c>
      <c r="K10" s="2">
        <f t="shared" si="3"/>
        <v>0.53613214039917401</v>
      </c>
      <c r="L10" s="2">
        <f t="shared" si="4"/>
        <v>0.14836795252225515</v>
      </c>
      <c r="M10" s="2">
        <f t="shared" si="5"/>
        <v>6.8823124569855468E-2</v>
      </c>
      <c r="N10" s="2">
        <f t="shared" si="6"/>
        <v>14.530000000000001</v>
      </c>
      <c r="O10" s="13">
        <v>19</v>
      </c>
      <c r="P10">
        <f t="shared" si="7"/>
        <v>2.8189910979228476</v>
      </c>
    </row>
    <row r="11" spans="2:19" x14ac:dyDescent="0.35">
      <c r="B11" s="2"/>
      <c r="C11" s="2"/>
      <c r="D11" s="2"/>
      <c r="E11" s="2"/>
      <c r="F11" s="13">
        <v>59.76</v>
      </c>
      <c r="G11" s="13">
        <v>66.48</v>
      </c>
      <c r="H11" s="2">
        <f t="shared" si="0"/>
        <v>6.720000000000006</v>
      </c>
      <c r="I11" s="2">
        <f t="shared" si="1"/>
        <v>6.3999999999999915</v>
      </c>
      <c r="J11" s="2">
        <f t="shared" si="2"/>
        <v>0.51219512195122008</v>
      </c>
      <c r="K11" s="2">
        <f t="shared" si="3"/>
        <v>0.48780487804877992</v>
      </c>
      <c r="L11" s="2">
        <f t="shared" si="4"/>
        <v>0.14880952380952367</v>
      </c>
      <c r="M11" s="2">
        <f t="shared" si="5"/>
        <v>7.6219512195121963E-2</v>
      </c>
      <c r="N11" s="2">
        <f t="shared" si="6"/>
        <v>13.119999999999997</v>
      </c>
      <c r="O11" s="13">
        <v>18</v>
      </c>
      <c r="P11">
        <f t="shared" si="7"/>
        <v>2.6785714285714262</v>
      </c>
    </row>
    <row r="12" spans="2:19" x14ac:dyDescent="0.35">
      <c r="B12" s="2"/>
      <c r="C12" s="2"/>
      <c r="D12" s="2"/>
      <c r="E12" s="2"/>
      <c r="F12" s="13">
        <v>72.88</v>
      </c>
      <c r="G12" s="13">
        <v>78.75</v>
      </c>
      <c r="H12" s="2">
        <f t="shared" si="0"/>
        <v>5.8700000000000045</v>
      </c>
      <c r="I12" s="2">
        <f t="shared" si="1"/>
        <v>7.1200000000000045</v>
      </c>
      <c r="J12" s="2">
        <f t="shared" si="2"/>
        <v>0.45188606620477295</v>
      </c>
      <c r="K12" s="2">
        <f t="shared" si="3"/>
        <v>0.5481139337952271</v>
      </c>
      <c r="L12" s="2">
        <f t="shared" si="4"/>
        <v>0.17035775127768299</v>
      </c>
      <c r="M12" s="2">
        <f t="shared" si="5"/>
        <v>7.6982294072363303E-2</v>
      </c>
      <c r="N12" s="2">
        <f t="shared" si="6"/>
        <v>12.990000000000009</v>
      </c>
      <c r="O12" s="13">
        <v>16</v>
      </c>
      <c r="P12">
        <f t="shared" si="7"/>
        <v>2.7257240204429278</v>
      </c>
    </row>
    <row r="13" spans="2:19" x14ac:dyDescent="0.35">
      <c r="B13" s="2"/>
      <c r="C13" s="2"/>
      <c r="D13" s="2"/>
      <c r="E13" s="2"/>
      <c r="F13" s="13">
        <v>85.87</v>
      </c>
      <c r="G13" s="13">
        <v>92.71</v>
      </c>
      <c r="H13" s="2">
        <f t="shared" si="0"/>
        <v>6.8399999999999892</v>
      </c>
      <c r="I13" s="2">
        <f t="shared" si="1"/>
        <v>7.8200000000000074</v>
      </c>
      <c r="J13" s="2">
        <f t="shared" si="2"/>
        <v>0.46657571623465149</v>
      </c>
      <c r="K13" s="2">
        <f t="shared" si="3"/>
        <v>0.53342428376534856</v>
      </c>
      <c r="L13" s="2">
        <f t="shared" si="4"/>
        <v>0.14619883040935697</v>
      </c>
      <c r="M13" s="2">
        <f t="shared" si="5"/>
        <v>6.8212824010914067E-2</v>
      </c>
      <c r="N13" s="2">
        <f t="shared" si="6"/>
        <v>14.659999999999997</v>
      </c>
      <c r="O13" s="13">
        <v>19</v>
      </c>
      <c r="P13">
        <f t="shared" si="7"/>
        <v>2.7777777777777821</v>
      </c>
    </row>
    <row r="14" spans="2:19" x14ac:dyDescent="0.35">
      <c r="B14" s="2"/>
      <c r="C14" s="2"/>
      <c r="D14" s="2"/>
      <c r="E14" s="2"/>
      <c r="F14" s="13">
        <v>100.53</v>
      </c>
      <c r="G14" s="13">
        <v>107.16</v>
      </c>
      <c r="H14" s="2">
        <f t="shared" si="0"/>
        <v>6.6299999999999955</v>
      </c>
      <c r="I14" s="2">
        <f t="shared" si="1"/>
        <v>8.9500000000000028</v>
      </c>
      <c r="J14" s="2">
        <f t="shared" si="2"/>
        <v>0.42554557124518588</v>
      </c>
      <c r="K14" s="2">
        <f t="shared" si="3"/>
        <v>0.57445442875481412</v>
      </c>
      <c r="L14" s="2">
        <f t="shared" si="4"/>
        <v>0.15082956259426858</v>
      </c>
      <c r="M14" s="2">
        <f t="shared" si="5"/>
        <v>6.4184852374839549E-2</v>
      </c>
      <c r="N14" s="2">
        <f t="shared" si="6"/>
        <v>15.579999999999998</v>
      </c>
      <c r="O14" s="13">
        <v>19</v>
      </c>
      <c r="P14">
        <f t="shared" si="7"/>
        <v>2.8657616892911029</v>
      </c>
    </row>
    <row r="15" spans="2:19" x14ac:dyDescent="0.35">
      <c r="B15" s="2"/>
      <c r="C15" s="2"/>
      <c r="D15" s="2"/>
      <c r="E15" s="2"/>
      <c r="F15" s="13">
        <v>116.11</v>
      </c>
      <c r="G15" s="13"/>
      <c r="H15" s="2">
        <f t="shared" si="0"/>
        <v>-116.11</v>
      </c>
      <c r="I15" s="2">
        <f>F21-G15</f>
        <v>0</v>
      </c>
      <c r="J15" s="2">
        <f t="shared" si="2"/>
        <v>1</v>
      </c>
      <c r="K15" s="2">
        <f t="shared" si="3"/>
        <v>0</v>
      </c>
      <c r="L15" s="2">
        <f t="shared" si="4"/>
        <v>-8.6125226078718458E-3</v>
      </c>
      <c r="M15" s="2">
        <f t="shared" si="5"/>
        <v>-8.6125226078718458E-3</v>
      </c>
      <c r="N15" s="2">
        <f t="shared" si="6"/>
        <v>-116.11</v>
      </c>
      <c r="O15" s="13"/>
      <c r="P15">
        <f t="shared" si="7"/>
        <v>0</v>
      </c>
    </row>
    <row r="16" spans="2:19" x14ac:dyDescent="0.35">
      <c r="B16" s="2"/>
      <c r="C16" s="2"/>
      <c r="D16" s="2"/>
      <c r="E16" s="2"/>
      <c r="F16" s="13"/>
      <c r="G16" s="13"/>
      <c r="H16" s="2"/>
      <c r="I16" s="2"/>
      <c r="J16" s="2"/>
      <c r="K16" s="2"/>
      <c r="L16" s="2"/>
      <c r="M16" s="2"/>
      <c r="N16" s="2"/>
      <c r="O16" s="13"/>
    </row>
    <row r="17" spans="1:19" ht="16" thickBot="1" x14ac:dyDescent="0.4">
      <c r="B17" s="2"/>
      <c r="C17" s="2"/>
      <c r="D17" s="2"/>
      <c r="E17" s="2"/>
      <c r="F17" s="13"/>
      <c r="G17" s="13"/>
      <c r="H17" s="9" t="s">
        <v>3</v>
      </c>
      <c r="I17" s="9" t="s">
        <v>4</v>
      </c>
      <c r="J17" s="9" t="s">
        <v>5</v>
      </c>
      <c r="K17" s="9" t="s">
        <v>6</v>
      </c>
      <c r="L17" s="9" t="s">
        <v>7</v>
      </c>
      <c r="M17" s="9" t="s">
        <v>8</v>
      </c>
      <c r="N17" s="9" t="s">
        <v>9</v>
      </c>
      <c r="O17" s="9" t="s">
        <v>10</v>
      </c>
      <c r="P17" s="44" t="s">
        <v>139</v>
      </c>
    </row>
    <row r="18" spans="1:19" x14ac:dyDescent="0.35">
      <c r="B18" s="2"/>
      <c r="C18" s="2"/>
      <c r="D18" s="2"/>
      <c r="E18" s="2"/>
      <c r="F18" s="13"/>
      <c r="G18" s="49" t="s">
        <v>77</v>
      </c>
      <c r="H18" s="2">
        <f>AVERAGE(H7:H14)</f>
        <v>6.7987499999999992</v>
      </c>
      <c r="I18" s="2">
        <f t="shared" ref="I18:P18" si="8">AVERAGE(I7:I14)</f>
        <v>7.5450000000000008</v>
      </c>
      <c r="J18" s="2">
        <f t="shared" si="8"/>
        <v>0.4745691251504075</v>
      </c>
      <c r="K18" s="2">
        <f t="shared" si="8"/>
        <v>0.5254308748495925</v>
      </c>
      <c r="L18" s="2">
        <f t="shared" si="8"/>
        <v>0.14780688891848348</v>
      </c>
      <c r="M18" s="2">
        <f t="shared" si="8"/>
        <v>6.9995456799488598E-2</v>
      </c>
      <c r="N18" s="2">
        <f t="shared" si="8"/>
        <v>14.34375</v>
      </c>
      <c r="O18" s="2">
        <f t="shared" si="8"/>
        <v>17.875</v>
      </c>
      <c r="P18" s="2">
        <f t="shared" si="8"/>
        <v>2.6362280174874222</v>
      </c>
    </row>
    <row r="19" spans="1:19" x14ac:dyDescent="0.35">
      <c r="B19" s="2"/>
      <c r="C19" s="2"/>
      <c r="D19" s="2"/>
      <c r="E19" s="2"/>
      <c r="F19" s="13"/>
      <c r="G19" s="49" t="s">
        <v>94</v>
      </c>
      <c r="H19" s="2">
        <f>_xlfn.STDEV.S(H7:H14)</f>
        <v>0.49969812315608358</v>
      </c>
      <c r="I19" s="2">
        <f t="shared" ref="I19:P19" si="9">_xlfn.STDEV.S(I7:I14)</f>
        <v>0.76406805979572512</v>
      </c>
      <c r="J19" s="2">
        <f t="shared" si="9"/>
        <v>2.9069467818766636E-2</v>
      </c>
      <c r="K19" s="2">
        <f t="shared" si="9"/>
        <v>2.9069467818766646E-2</v>
      </c>
      <c r="L19" s="2">
        <f t="shared" si="9"/>
        <v>1.1261035742935636E-2</v>
      </c>
      <c r="M19" s="2">
        <f t="shared" si="9"/>
        <v>4.7666292037067941E-3</v>
      </c>
      <c r="N19" s="2">
        <f t="shared" si="9"/>
        <v>0.95982048172710521</v>
      </c>
      <c r="O19" s="2">
        <f t="shared" si="9"/>
        <v>1.3562026818605375</v>
      </c>
      <c r="P19" s="2">
        <f t="shared" si="9"/>
        <v>0.20933180400280083</v>
      </c>
    </row>
    <row r="20" spans="1:19" x14ac:dyDescent="0.35">
      <c r="B20" s="2"/>
      <c r="C20" s="2"/>
      <c r="D20" s="2"/>
      <c r="E20" s="2"/>
      <c r="F20" s="13"/>
      <c r="G20" s="49" t="s">
        <v>95</v>
      </c>
      <c r="H20" s="2">
        <f>H19/SQRT(8)</f>
        <v>0.17666996571492863</v>
      </c>
      <c r="I20" s="2">
        <f t="shared" ref="I20:P20" si="10">I19/SQRT(8)</f>
        <v>0.27013885318480285</v>
      </c>
      <c r="J20" s="2">
        <f t="shared" si="10"/>
        <v>1.0277608910067002E-2</v>
      </c>
      <c r="K20" s="2">
        <f t="shared" si="10"/>
        <v>1.0277608910067005E-2</v>
      </c>
      <c r="L20" s="2">
        <f t="shared" si="10"/>
        <v>3.9813773685069397E-3</v>
      </c>
      <c r="M20" s="2">
        <f t="shared" si="10"/>
        <v>1.6852579166714535E-3</v>
      </c>
      <c r="N20" s="2">
        <f t="shared" si="10"/>
        <v>0.3393477856754874</v>
      </c>
      <c r="O20" s="2">
        <f t="shared" si="10"/>
        <v>0.47949005650348397</v>
      </c>
      <c r="P20" s="2">
        <f t="shared" si="10"/>
        <v>7.4009969064196865E-2</v>
      </c>
    </row>
    <row r="21" spans="1:19" x14ac:dyDescent="0.35">
      <c r="B21" s="2"/>
      <c r="C21" s="2"/>
      <c r="D21" s="2"/>
      <c r="E21" s="2"/>
      <c r="F21" s="2"/>
      <c r="G21" s="2"/>
      <c r="H21" s="2"/>
      <c r="I21" s="2"/>
      <c r="J21" s="2"/>
      <c r="K21" s="2"/>
      <c r="L21" s="2"/>
      <c r="M21" s="2"/>
      <c r="N21" s="2"/>
      <c r="O21" s="2"/>
    </row>
    <row r="22" spans="1:19" x14ac:dyDescent="0.35">
      <c r="B22" s="2"/>
      <c r="C22" s="2"/>
      <c r="D22" s="2"/>
      <c r="E22" s="2"/>
      <c r="F22" s="2"/>
      <c r="G22" s="2"/>
      <c r="H22" s="49"/>
      <c r="I22" s="49"/>
      <c r="J22" s="49"/>
      <c r="K22" s="49"/>
      <c r="L22" s="49"/>
      <c r="M22" s="49"/>
      <c r="N22" s="49"/>
      <c r="O22" s="2"/>
    </row>
    <row r="23" spans="1:19" x14ac:dyDescent="0.35">
      <c r="A23" s="8"/>
      <c r="B23" s="6" t="s">
        <v>24</v>
      </c>
      <c r="D23" s="2"/>
      <c r="E23" s="2"/>
      <c r="F23" s="2"/>
      <c r="G23" s="2"/>
      <c r="H23" s="2"/>
      <c r="I23" s="2"/>
      <c r="J23" s="2"/>
      <c r="K23" s="2"/>
      <c r="L23" s="2"/>
      <c r="M23" s="2"/>
      <c r="N23" s="2"/>
      <c r="O23" s="2"/>
    </row>
    <row r="24" spans="1:19" x14ac:dyDescent="0.35">
      <c r="A24" s="7"/>
      <c r="B24" s="6" t="s">
        <v>72</v>
      </c>
      <c r="D24" s="2"/>
      <c r="E24" s="2"/>
      <c r="F24" s="2"/>
      <c r="G24" s="2"/>
      <c r="H24" s="2"/>
      <c r="I24" s="2"/>
      <c r="J24" s="2"/>
      <c r="K24" s="2"/>
      <c r="L24" s="2"/>
      <c r="M24" s="2"/>
      <c r="N24" s="2"/>
      <c r="O24" s="2"/>
    </row>
    <row r="25" spans="1:19" x14ac:dyDescent="0.35">
      <c r="B25" s="2"/>
      <c r="C25" s="2"/>
      <c r="D25" s="2"/>
      <c r="E25" s="2"/>
      <c r="F25" s="2"/>
      <c r="G25" s="2"/>
      <c r="H25" s="2"/>
      <c r="I25" s="2"/>
      <c r="J25" s="2"/>
      <c r="K25" s="2"/>
      <c r="L25" s="2"/>
      <c r="M25" s="2"/>
      <c r="N25" s="2"/>
      <c r="O25" s="2"/>
    </row>
    <row r="26" spans="1:19" ht="18.5" x14ac:dyDescent="0.45">
      <c r="B26" s="2"/>
      <c r="C26" s="2"/>
      <c r="D26" s="2"/>
      <c r="E26" s="2"/>
      <c r="F26" s="1" t="s">
        <v>22</v>
      </c>
      <c r="G26" s="2"/>
      <c r="H26" s="2"/>
      <c r="I26" s="2"/>
      <c r="J26" s="2"/>
      <c r="K26" s="2"/>
      <c r="L26" s="2"/>
      <c r="M26" s="2"/>
      <c r="N26" s="2"/>
      <c r="O26" s="2"/>
    </row>
    <row r="27" spans="1:19" ht="16" thickBot="1" x14ac:dyDescent="0.4">
      <c r="B27" s="9" t="s">
        <v>18</v>
      </c>
      <c r="C27" s="9" t="s">
        <v>17</v>
      </c>
      <c r="D27" s="9" t="s">
        <v>20</v>
      </c>
      <c r="E27" s="5"/>
      <c r="F27" s="9" t="s">
        <v>1</v>
      </c>
      <c r="G27" s="9" t="s">
        <v>2</v>
      </c>
      <c r="H27" s="9" t="s">
        <v>3</v>
      </c>
      <c r="I27" s="9" t="s">
        <v>4</v>
      </c>
      <c r="J27" s="9" t="s">
        <v>5</v>
      </c>
      <c r="K27" s="9" t="s">
        <v>6</v>
      </c>
      <c r="L27" s="9" t="s">
        <v>7</v>
      </c>
      <c r="M27" s="9" t="s">
        <v>8</v>
      </c>
      <c r="N27" s="9" t="s">
        <v>9</v>
      </c>
      <c r="O27" s="9" t="s">
        <v>10</v>
      </c>
      <c r="P27" s="44" t="s">
        <v>139</v>
      </c>
      <c r="R27" s="44" t="s">
        <v>134</v>
      </c>
    </row>
    <row r="28" spans="1:19" x14ac:dyDescent="0.35">
      <c r="A28" s="85"/>
      <c r="B28" s="145"/>
      <c r="C28" s="146"/>
      <c r="D28" s="147"/>
      <c r="E28" s="13"/>
      <c r="F28" s="148">
        <v>9.84</v>
      </c>
      <c r="G28" s="13">
        <v>15.75</v>
      </c>
      <c r="H28" s="13">
        <f>G28-F28</f>
        <v>5.91</v>
      </c>
      <c r="I28" s="13">
        <f>F29-G28</f>
        <v>8.0799999999999983</v>
      </c>
      <c r="J28" s="13">
        <f>H28/N28</f>
        <v>0.42244460328806294</v>
      </c>
      <c r="K28" s="13">
        <f>I28/N28</f>
        <v>0.57755539671193701</v>
      </c>
      <c r="L28" s="13">
        <f>1/H28</f>
        <v>0.16920473773265651</v>
      </c>
      <c r="M28" s="13">
        <f>1/N28</f>
        <v>7.147962830593281E-2</v>
      </c>
      <c r="N28" s="13">
        <f>H28+I28</f>
        <v>13.989999999999998</v>
      </c>
      <c r="O28" s="13">
        <v>17</v>
      </c>
      <c r="P28" s="85">
        <f>O28/H28</f>
        <v>2.8764805414551606</v>
      </c>
      <c r="Q28" s="85"/>
      <c r="R28" t="s">
        <v>169</v>
      </c>
      <c r="S28" s="85"/>
    </row>
    <row r="29" spans="1:19" x14ac:dyDescent="0.35">
      <c r="A29" s="85" t="s">
        <v>170</v>
      </c>
      <c r="B29" s="85">
        <v>30.87</v>
      </c>
      <c r="C29" s="85">
        <v>34.869999999999997</v>
      </c>
      <c r="D29" s="85">
        <f>C29-B29</f>
        <v>3.9999999999999964</v>
      </c>
      <c r="E29" s="85"/>
      <c r="F29" s="85">
        <v>23.83</v>
      </c>
      <c r="G29" s="85">
        <v>30.77</v>
      </c>
      <c r="H29" s="13">
        <f t="shared" ref="H29:H48" si="11">G29-F29</f>
        <v>6.9400000000000013</v>
      </c>
      <c r="I29" s="13">
        <f t="shared" ref="I29:I48" si="12">F30-G29</f>
        <v>10.610000000000003</v>
      </c>
      <c r="J29" s="13">
        <f t="shared" ref="J29:J48" si="13">H29/N29</f>
        <v>0.39544159544159541</v>
      </c>
      <c r="K29" s="13">
        <f t="shared" ref="K29:K48" si="14">I29/N29</f>
        <v>0.60455840455840459</v>
      </c>
      <c r="L29" s="13">
        <f t="shared" ref="L29:L48" si="15">1/H29</f>
        <v>0.14409221902017288</v>
      </c>
      <c r="M29" s="13">
        <f t="shared" ref="M29:M48" si="16">1/N29</f>
        <v>5.6980056980056967E-2</v>
      </c>
      <c r="N29" s="13">
        <f t="shared" ref="N29:N48" si="17">H29+I29</f>
        <v>17.550000000000004</v>
      </c>
      <c r="O29" s="85">
        <v>22</v>
      </c>
      <c r="P29" s="85">
        <f t="shared" ref="P29:P48" si="18">O29/H29</f>
        <v>3.1700288184438032</v>
      </c>
      <c r="Q29" s="85"/>
      <c r="R29" s="85"/>
      <c r="S29" s="85"/>
    </row>
    <row r="30" spans="1:19" x14ac:dyDescent="0.35">
      <c r="A30" s="85"/>
      <c r="B30" s="85"/>
      <c r="C30" s="85"/>
      <c r="D30" s="85"/>
      <c r="E30" s="85"/>
      <c r="F30" s="85">
        <v>41.38</v>
      </c>
      <c r="G30" s="85">
        <v>47.09</v>
      </c>
      <c r="H30" s="13">
        <f t="shared" si="11"/>
        <v>5.7100000000000009</v>
      </c>
      <c r="I30" s="13">
        <f t="shared" si="12"/>
        <v>8.8699999999999974</v>
      </c>
      <c r="J30" s="13">
        <f t="shared" si="13"/>
        <v>0.39163237311385468</v>
      </c>
      <c r="K30" s="13">
        <f t="shared" si="14"/>
        <v>0.60836762688614532</v>
      </c>
      <c r="L30" s="13">
        <f t="shared" si="15"/>
        <v>0.17513134851138351</v>
      </c>
      <c r="M30" s="13">
        <f t="shared" si="16"/>
        <v>6.8587105624142664E-2</v>
      </c>
      <c r="N30" s="13">
        <f t="shared" si="17"/>
        <v>14.579999999999998</v>
      </c>
      <c r="O30" s="85">
        <v>18</v>
      </c>
      <c r="P30" s="85">
        <f t="shared" si="18"/>
        <v>3.1523642732049031</v>
      </c>
      <c r="Q30" s="85"/>
      <c r="R30" s="85"/>
      <c r="S30" s="85"/>
    </row>
    <row r="31" spans="1:19" x14ac:dyDescent="0.35">
      <c r="A31" s="85"/>
      <c r="B31" s="85"/>
      <c r="C31" s="85"/>
      <c r="D31" s="85"/>
      <c r="E31" s="85"/>
      <c r="F31" s="13">
        <v>55.96</v>
      </c>
      <c r="G31" s="85">
        <v>62.85</v>
      </c>
      <c r="H31" s="13">
        <f t="shared" si="11"/>
        <v>6.8900000000000006</v>
      </c>
      <c r="I31" s="13">
        <f t="shared" si="12"/>
        <v>8.8999999999999986</v>
      </c>
      <c r="J31" s="13">
        <f t="shared" si="13"/>
        <v>0.43635212159594688</v>
      </c>
      <c r="K31" s="13">
        <f t="shared" si="14"/>
        <v>0.56364787840405317</v>
      </c>
      <c r="L31" s="13">
        <f t="shared" si="15"/>
        <v>0.14513788098693758</v>
      </c>
      <c r="M31" s="13">
        <f t="shared" si="16"/>
        <v>6.333122229259025E-2</v>
      </c>
      <c r="N31" s="13">
        <f t="shared" si="17"/>
        <v>15.79</v>
      </c>
      <c r="O31" s="85">
        <v>19</v>
      </c>
      <c r="P31" s="85">
        <f t="shared" si="18"/>
        <v>2.757619738751814</v>
      </c>
      <c r="Q31" s="85"/>
      <c r="R31" s="85"/>
      <c r="S31" s="85"/>
    </row>
    <row r="32" spans="1:19" x14ac:dyDescent="0.35">
      <c r="A32" s="85"/>
      <c r="B32" s="85"/>
      <c r="C32" s="85"/>
      <c r="D32" s="85"/>
      <c r="E32" s="85"/>
      <c r="F32" s="13">
        <v>71.75</v>
      </c>
      <c r="G32" s="85">
        <v>77.78</v>
      </c>
      <c r="H32" s="13">
        <f t="shared" si="11"/>
        <v>6.0300000000000011</v>
      </c>
      <c r="I32" s="13">
        <f t="shared" si="12"/>
        <v>9.789999999999992</v>
      </c>
      <c r="J32" s="13">
        <f t="shared" si="13"/>
        <v>0.38116308470290794</v>
      </c>
      <c r="K32" s="13">
        <f t="shared" si="14"/>
        <v>0.61883691529709206</v>
      </c>
      <c r="L32" s="13">
        <f t="shared" si="15"/>
        <v>0.16583747927031506</v>
      </c>
      <c r="M32" s="13">
        <f t="shared" si="16"/>
        <v>6.3211125158027834E-2</v>
      </c>
      <c r="N32" s="13">
        <f t="shared" si="17"/>
        <v>15.819999999999993</v>
      </c>
      <c r="O32" s="85">
        <v>19</v>
      </c>
      <c r="P32" s="85">
        <f t="shared" si="18"/>
        <v>3.1509121061359862</v>
      </c>
      <c r="Q32" s="85"/>
      <c r="R32" s="85"/>
      <c r="S32" s="85"/>
    </row>
    <row r="33" spans="1:19" x14ac:dyDescent="0.35">
      <c r="A33" s="85"/>
      <c r="B33" s="144">
        <v>89.44</v>
      </c>
      <c r="C33" s="144">
        <v>93.43</v>
      </c>
      <c r="D33" s="144">
        <f>C33-B33</f>
        <v>3.9900000000000091</v>
      </c>
      <c r="E33" s="144"/>
      <c r="F33" s="91">
        <v>87.57</v>
      </c>
      <c r="G33" s="144">
        <v>90.23</v>
      </c>
      <c r="H33" s="91">
        <f t="shared" si="11"/>
        <v>2.6600000000000108</v>
      </c>
      <c r="I33" s="91">
        <f t="shared" si="12"/>
        <v>9.4200000000000017</v>
      </c>
      <c r="J33" s="91">
        <f t="shared" si="13"/>
        <v>0.22019867549668939</v>
      </c>
      <c r="K33" s="91">
        <f t="shared" si="14"/>
        <v>0.77980132450331063</v>
      </c>
      <c r="L33" s="91">
        <f t="shared" si="15"/>
        <v>0.37593984962405863</v>
      </c>
      <c r="M33" s="91">
        <f t="shared" si="16"/>
        <v>8.2781456953642293E-2</v>
      </c>
      <c r="N33" s="91">
        <f t="shared" si="17"/>
        <v>12.080000000000013</v>
      </c>
      <c r="O33" s="144">
        <v>9</v>
      </c>
      <c r="P33" s="144">
        <f t="shared" si="18"/>
        <v>3.3834586466165275</v>
      </c>
      <c r="Q33" s="85"/>
      <c r="R33" s="85"/>
      <c r="S33" s="85"/>
    </row>
    <row r="34" spans="1:19" x14ac:dyDescent="0.35">
      <c r="A34" s="85"/>
      <c r="B34" s="85"/>
      <c r="C34" s="85"/>
      <c r="D34" s="85"/>
      <c r="E34" s="85"/>
      <c r="F34" s="13">
        <v>99.65</v>
      </c>
      <c r="G34" s="85">
        <v>105.53</v>
      </c>
      <c r="H34" s="13">
        <f t="shared" si="11"/>
        <v>5.8799999999999955</v>
      </c>
      <c r="I34" s="13">
        <f t="shared" si="12"/>
        <v>8.9399999999999977</v>
      </c>
      <c r="J34" s="13">
        <f t="shared" si="13"/>
        <v>0.39676113360323872</v>
      </c>
      <c r="K34" s="13">
        <f t="shared" si="14"/>
        <v>0.60323886639676128</v>
      </c>
      <c r="L34" s="13">
        <f t="shared" si="15"/>
        <v>0.17006802721088449</v>
      </c>
      <c r="M34" s="13">
        <f t="shared" si="16"/>
        <v>6.7476383265856976E-2</v>
      </c>
      <c r="N34" s="13">
        <f t="shared" si="17"/>
        <v>14.819999999999993</v>
      </c>
      <c r="O34" s="85">
        <v>20</v>
      </c>
      <c r="P34" s="85">
        <f t="shared" si="18"/>
        <v>3.4013605442176895</v>
      </c>
      <c r="Q34" s="85"/>
      <c r="R34" s="85"/>
      <c r="S34" s="85"/>
    </row>
    <row r="35" spans="1:19" x14ac:dyDescent="0.35">
      <c r="A35" s="85"/>
      <c r="B35" s="144">
        <v>116.18</v>
      </c>
      <c r="C35" s="144">
        <v>120</v>
      </c>
      <c r="D35" s="144">
        <f>C35-B35</f>
        <v>3.8199999999999932</v>
      </c>
      <c r="E35" s="144"/>
      <c r="F35" s="91">
        <v>114.47</v>
      </c>
      <c r="G35" s="144">
        <v>118.1</v>
      </c>
      <c r="H35" s="91">
        <f t="shared" si="11"/>
        <v>3.6299999999999955</v>
      </c>
      <c r="I35" s="91">
        <f t="shared" si="12"/>
        <v>8.2199999999999989</v>
      </c>
      <c r="J35" s="91">
        <f t="shared" si="13"/>
        <v>0.30632911392405038</v>
      </c>
      <c r="K35" s="91">
        <f t="shared" si="14"/>
        <v>0.69367088607594962</v>
      </c>
      <c r="L35" s="91">
        <f t="shared" si="15"/>
        <v>0.27548209366391219</v>
      </c>
      <c r="M35" s="91">
        <f t="shared" si="16"/>
        <v>8.4388185654008477E-2</v>
      </c>
      <c r="N35" s="91">
        <f t="shared" si="17"/>
        <v>11.849999999999994</v>
      </c>
      <c r="O35" s="144">
        <v>9</v>
      </c>
      <c r="P35" s="144">
        <f t="shared" si="18"/>
        <v>2.4793388429752099</v>
      </c>
      <c r="Q35" s="85"/>
      <c r="R35" s="85"/>
      <c r="S35" s="85"/>
    </row>
    <row r="36" spans="1:19" x14ac:dyDescent="0.35">
      <c r="A36" s="85"/>
      <c r="B36" s="85"/>
      <c r="C36" s="85"/>
      <c r="D36" s="85"/>
      <c r="E36" s="85"/>
      <c r="F36" s="85">
        <f>120+6.32</f>
        <v>126.32</v>
      </c>
      <c r="G36" s="85">
        <f>120+13.07</f>
        <v>133.07</v>
      </c>
      <c r="H36" s="13">
        <f t="shared" si="11"/>
        <v>6.75</v>
      </c>
      <c r="I36" s="13">
        <f t="shared" si="12"/>
        <v>8.8400000000000034</v>
      </c>
      <c r="J36" s="13">
        <f t="shared" si="13"/>
        <v>0.43296985246953168</v>
      </c>
      <c r="K36" s="13">
        <f t="shared" si="14"/>
        <v>0.56703014753046832</v>
      </c>
      <c r="L36" s="13">
        <f t="shared" si="15"/>
        <v>0.14814814814814814</v>
      </c>
      <c r="M36" s="13">
        <f t="shared" si="16"/>
        <v>6.4143681847338027E-2</v>
      </c>
      <c r="N36" s="13">
        <f t="shared" si="17"/>
        <v>15.590000000000003</v>
      </c>
      <c r="O36" s="85">
        <v>22</v>
      </c>
      <c r="P36" s="85">
        <f t="shared" si="18"/>
        <v>3.2592592592592591</v>
      </c>
      <c r="Q36" s="85"/>
      <c r="R36" t="s">
        <v>172</v>
      </c>
      <c r="S36" s="85"/>
    </row>
    <row r="37" spans="1:19" x14ac:dyDescent="0.35">
      <c r="A37" s="85"/>
      <c r="B37" s="144">
        <v>23.87</v>
      </c>
      <c r="C37" s="144">
        <v>27.88</v>
      </c>
      <c r="D37" s="144">
        <f>C37-B37</f>
        <v>4.009999999999998</v>
      </c>
      <c r="E37" s="144"/>
      <c r="F37" s="144">
        <f>120+21.91</f>
        <v>141.91</v>
      </c>
      <c r="G37" s="144">
        <f>120+25.57</f>
        <v>145.57</v>
      </c>
      <c r="H37" s="91">
        <f t="shared" si="11"/>
        <v>3.6599999999999966</v>
      </c>
      <c r="I37" s="91">
        <f t="shared" si="12"/>
        <v>9.2900000000000205</v>
      </c>
      <c r="J37" s="91">
        <f t="shared" si="13"/>
        <v>0.28262548262548198</v>
      </c>
      <c r="K37" s="91">
        <f t="shared" si="14"/>
        <v>0.71737451737451796</v>
      </c>
      <c r="L37" s="91">
        <f t="shared" si="15"/>
        <v>0.27322404371584724</v>
      </c>
      <c r="M37" s="91">
        <f t="shared" si="16"/>
        <v>7.7220077220077121E-2</v>
      </c>
      <c r="N37" s="91">
        <f t="shared" si="17"/>
        <v>12.950000000000017</v>
      </c>
      <c r="O37" s="144">
        <v>12</v>
      </c>
      <c r="P37" s="144">
        <f t="shared" si="18"/>
        <v>3.2786885245901671</v>
      </c>
      <c r="Q37" s="85"/>
      <c r="R37" s="85"/>
      <c r="S37" s="85"/>
    </row>
    <row r="38" spans="1:19" x14ac:dyDescent="0.35">
      <c r="A38" s="85"/>
      <c r="B38" s="85"/>
      <c r="C38" s="85"/>
      <c r="D38" s="85"/>
      <c r="E38" s="85"/>
      <c r="F38" s="85">
        <f>34.86+120</f>
        <v>154.86000000000001</v>
      </c>
      <c r="G38" s="85">
        <f>120+40.73</f>
        <v>160.72999999999999</v>
      </c>
      <c r="H38" s="13">
        <f t="shared" si="11"/>
        <v>5.8699999999999761</v>
      </c>
      <c r="I38" s="13">
        <f t="shared" si="12"/>
        <v>8.9000000000000057</v>
      </c>
      <c r="J38" s="13">
        <f t="shared" si="13"/>
        <v>0.39742721733242947</v>
      </c>
      <c r="K38" s="13">
        <f t="shared" si="14"/>
        <v>0.60257278266757053</v>
      </c>
      <c r="L38" s="13">
        <f t="shared" si="15"/>
        <v>0.17035775127768382</v>
      </c>
      <c r="M38" s="13">
        <f t="shared" si="16"/>
        <v>6.7704807041300011E-2</v>
      </c>
      <c r="N38" s="13">
        <f t="shared" si="17"/>
        <v>14.769999999999982</v>
      </c>
      <c r="O38" s="85">
        <v>20</v>
      </c>
      <c r="P38" s="85">
        <f t="shared" si="18"/>
        <v>3.4071550255536764</v>
      </c>
      <c r="Q38" s="85"/>
      <c r="R38" s="85"/>
      <c r="S38" s="85"/>
    </row>
    <row r="39" spans="1:19" x14ac:dyDescent="0.35">
      <c r="A39" s="85"/>
      <c r="B39" s="144">
        <v>51.2</v>
      </c>
      <c r="C39" s="144">
        <v>55.22</v>
      </c>
      <c r="D39" s="144">
        <f>C39-B39</f>
        <v>4.019999999999996</v>
      </c>
      <c r="E39" s="144"/>
      <c r="F39" s="144">
        <f>120+49.63</f>
        <v>169.63</v>
      </c>
      <c r="G39" s="144">
        <f>120+53.26</f>
        <v>173.26</v>
      </c>
      <c r="H39" s="91">
        <f t="shared" si="11"/>
        <v>3.6299999999999955</v>
      </c>
      <c r="I39" s="91">
        <f t="shared" si="12"/>
        <v>8.5200000000000102</v>
      </c>
      <c r="J39" s="91">
        <f t="shared" si="13"/>
        <v>0.29876543209876494</v>
      </c>
      <c r="K39" s="91">
        <f t="shared" si="14"/>
        <v>0.70123456790123506</v>
      </c>
      <c r="L39" s="91">
        <f t="shared" si="15"/>
        <v>0.27548209366391219</v>
      </c>
      <c r="M39" s="91">
        <f t="shared" si="16"/>
        <v>8.2304526748971152E-2</v>
      </c>
      <c r="N39" s="91">
        <f t="shared" si="17"/>
        <v>12.150000000000006</v>
      </c>
      <c r="O39" s="144">
        <v>10</v>
      </c>
      <c r="P39" s="144">
        <f t="shared" si="18"/>
        <v>2.7548209366391219</v>
      </c>
      <c r="Q39" s="85"/>
      <c r="R39" s="85"/>
      <c r="S39" s="85"/>
    </row>
    <row r="40" spans="1:19" x14ac:dyDescent="0.35">
      <c r="A40" s="85"/>
      <c r="B40" s="85"/>
      <c r="C40" s="85"/>
      <c r="D40" s="85"/>
      <c r="E40" s="85"/>
      <c r="F40" s="85">
        <f>120+61.78</f>
        <v>181.78</v>
      </c>
      <c r="G40" s="85">
        <f>120+67.57</f>
        <v>187.57</v>
      </c>
      <c r="H40" s="13">
        <f t="shared" si="11"/>
        <v>5.789999999999992</v>
      </c>
      <c r="I40" s="13">
        <f t="shared" si="12"/>
        <v>9.7700000000000102</v>
      </c>
      <c r="J40" s="13">
        <f t="shared" si="13"/>
        <v>0.37210796915167038</v>
      </c>
      <c r="K40" s="13">
        <f t="shared" si="14"/>
        <v>0.62789203084832956</v>
      </c>
      <c r="L40" s="13">
        <f t="shared" si="15"/>
        <v>0.17271157167530249</v>
      </c>
      <c r="M40" s="13">
        <f t="shared" si="16"/>
        <v>6.4267352185089971E-2</v>
      </c>
      <c r="N40" s="13">
        <f t="shared" si="17"/>
        <v>15.560000000000002</v>
      </c>
      <c r="O40" s="85">
        <v>20</v>
      </c>
      <c r="P40" s="85">
        <f t="shared" si="18"/>
        <v>3.4542314335060498</v>
      </c>
      <c r="Q40" s="85"/>
      <c r="R40" s="85"/>
      <c r="S40" s="85"/>
    </row>
    <row r="41" spans="1:19" x14ac:dyDescent="0.35">
      <c r="A41" s="150" t="s">
        <v>171</v>
      </c>
      <c r="B41" s="85"/>
      <c r="C41" s="85"/>
      <c r="D41" s="85"/>
      <c r="E41" s="85"/>
      <c r="F41" s="85">
        <f>120+77.34</f>
        <v>197.34</v>
      </c>
      <c r="G41" s="85">
        <f>120+83.2</f>
        <v>203.2</v>
      </c>
      <c r="H41" s="13">
        <f t="shared" si="11"/>
        <v>5.8599999999999852</v>
      </c>
      <c r="I41" s="13">
        <f t="shared" si="12"/>
        <v>15.509999999999991</v>
      </c>
      <c r="J41" s="13">
        <f t="shared" si="13"/>
        <v>0.27421619092185268</v>
      </c>
      <c r="K41" s="13">
        <f t="shared" si="14"/>
        <v>0.72578380907814732</v>
      </c>
      <c r="L41" s="13">
        <f t="shared" si="15"/>
        <v>0.17064846416382295</v>
      </c>
      <c r="M41" s="13">
        <f t="shared" si="16"/>
        <v>4.6794571829667814E-2</v>
      </c>
      <c r="N41" s="13">
        <f t="shared" si="17"/>
        <v>21.369999999999976</v>
      </c>
      <c r="O41" s="85">
        <v>20</v>
      </c>
      <c r="P41" s="85">
        <f t="shared" si="18"/>
        <v>3.4129692832764591</v>
      </c>
      <c r="Q41" s="85"/>
      <c r="R41" s="85"/>
      <c r="S41" s="85"/>
    </row>
    <row r="42" spans="1:19" x14ac:dyDescent="0.35">
      <c r="A42" s="151"/>
      <c r="B42" s="85"/>
      <c r="C42" s="85"/>
      <c r="D42" s="85"/>
      <c r="E42" s="85"/>
      <c r="F42" s="85">
        <f>120+98.71</f>
        <v>218.70999999999998</v>
      </c>
      <c r="G42" s="85">
        <f>120+102.77</f>
        <v>222.76999999999998</v>
      </c>
      <c r="H42" s="13">
        <f t="shared" si="11"/>
        <v>4.0600000000000023</v>
      </c>
      <c r="I42" s="13">
        <f t="shared" si="12"/>
        <v>8.7600000000000193</v>
      </c>
      <c r="J42" s="13">
        <f t="shared" si="13"/>
        <v>0.3166926677067079</v>
      </c>
      <c r="K42" s="13">
        <f t="shared" si="14"/>
        <v>0.6833073322932921</v>
      </c>
      <c r="L42" s="13">
        <f t="shared" si="15"/>
        <v>0.24630541871921169</v>
      </c>
      <c r="M42" s="13">
        <f t="shared" si="16"/>
        <v>7.8003120124804856E-2</v>
      </c>
      <c r="N42" s="13">
        <f t="shared" si="17"/>
        <v>12.820000000000022</v>
      </c>
      <c r="O42" s="85">
        <v>22</v>
      </c>
      <c r="P42" s="85">
        <f t="shared" si="18"/>
        <v>5.4187192118226575</v>
      </c>
      <c r="Q42" s="85"/>
      <c r="R42" s="85"/>
      <c r="S42" s="85"/>
    </row>
    <row r="43" spans="1:19" x14ac:dyDescent="0.35">
      <c r="A43" s="151"/>
      <c r="B43" s="144">
        <v>113.16</v>
      </c>
      <c r="C43" s="144">
        <v>117.14</v>
      </c>
      <c r="D43" s="144">
        <f>C43-B43</f>
        <v>3.980000000000004</v>
      </c>
      <c r="E43" s="144"/>
      <c r="F43" s="144">
        <f>120+111.53</f>
        <v>231.53</v>
      </c>
      <c r="G43" s="144">
        <f>120+115.38</f>
        <v>235.38</v>
      </c>
      <c r="H43" s="91">
        <f t="shared" si="11"/>
        <v>3.8499999999999943</v>
      </c>
      <c r="I43" s="91">
        <f t="shared" si="12"/>
        <v>9.0099999999999909</v>
      </c>
      <c r="J43" s="91">
        <f t="shared" si="13"/>
        <v>0.29937791601866243</v>
      </c>
      <c r="K43" s="91">
        <f t="shared" si="14"/>
        <v>0.70062208398133763</v>
      </c>
      <c r="L43" s="91">
        <f t="shared" si="15"/>
        <v>0.2597402597402601</v>
      </c>
      <c r="M43" s="91">
        <f t="shared" si="16"/>
        <v>7.7760497667185166E-2</v>
      </c>
      <c r="N43" s="91">
        <f t="shared" si="17"/>
        <v>12.859999999999985</v>
      </c>
      <c r="O43" s="144">
        <v>9</v>
      </c>
      <c r="P43" s="144">
        <f t="shared" si="18"/>
        <v>2.3376623376623411</v>
      </c>
      <c r="Q43" s="85"/>
      <c r="R43" s="85"/>
      <c r="S43" s="85"/>
    </row>
    <row r="44" spans="1:19" x14ac:dyDescent="0.35">
      <c r="A44" s="151"/>
      <c r="B44" s="85"/>
      <c r="C44" s="85"/>
      <c r="D44" s="85"/>
      <c r="E44" s="85"/>
      <c r="F44" s="85">
        <f>240+4.39</f>
        <v>244.39</v>
      </c>
      <c r="G44" s="85">
        <f>240+11.08</f>
        <v>251.08</v>
      </c>
      <c r="H44" s="13">
        <f t="shared" si="11"/>
        <v>6.6900000000000261</v>
      </c>
      <c r="I44" s="13">
        <f t="shared" si="12"/>
        <v>8.1099999999999852</v>
      </c>
      <c r="J44" s="13">
        <f t="shared" si="13"/>
        <v>0.45202702702702846</v>
      </c>
      <c r="K44" s="13">
        <f t="shared" si="14"/>
        <v>0.54797297297297154</v>
      </c>
      <c r="L44" s="13">
        <f t="shared" si="15"/>
        <v>0.14947683109118029</v>
      </c>
      <c r="M44" s="13">
        <f t="shared" si="16"/>
        <v>6.7567567567567516E-2</v>
      </c>
      <c r="N44" s="13">
        <f t="shared" si="17"/>
        <v>14.800000000000011</v>
      </c>
      <c r="O44" s="85">
        <v>22</v>
      </c>
      <c r="P44" s="85">
        <f t="shared" si="18"/>
        <v>3.2884902840059662</v>
      </c>
      <c r="Q44" s="85"/>
      <c r="R44" t="s">
        <v>173</v>
      </c>
      <c r="S44" s="85"/>
    </row>
    <row r="45" spans="1:19" x14ac:dyDescent="0.35">
      <c r="A45" s="151"/>
      <c r="B45" s="144">
        <v>19.89</v>
      </c>
      <c r="C45" s="144">
        <v>23.87</v>
      </c>
      <c r="D45" s="144">
        <f>C45-B45</f>
        <v>3.9800000000000004</v>
      </c>
      <c r="E45" s="144"/>
      <c r="F45" s="144">
        <f>240+19.19</f>
        <v>259.19</v>
      </c>
      <c r="G45" s="144">
        <f>240+20.01</f>
        <v>260.01</v>
      </c>
      <c r="H45" s="91">
        <f t="shared" si="11"/>
        <v>0.81999999999999318</v>
      </c>
      <c r="I45" s="91">
        <f t="shared" si="12"/>
        <v>8.6700000000000159</v>
      </c>
      <c r="J45" s="91">
        <f t="shared" si="13"/>
        <v>8.6406743940989711E-2</v>
      </c>
      <c r="K45" s="91">
        <f t="shared" si="14"/>
        <v>0.91359325605901032</v>
      </c>
      <c r="L45" s="91">
        <f t="shared" si="15"/>
        <v>1.2195121951219614</v>
      </c>
      <c r="M45" s="91">
        <f t="shared" si="16"/>
        <v>0.1053740779768176</v>
      </c>
      <c r="N45" s="91">
        <f t="shared" si="17"/>
        <v>9.4900000000000091</v>
      </c>
      <c r="O45" s="144">
        <v>2</v>
      </c>
      <c r="P45" s="144">
        <f t="shared" si="18"/>
        <v>2.4390243902439228</v>
      </c>
      <c r="Q45" s="85"/>
      <c r="R45" s="85"/>
      <c r="S45" s="85"/>
    </row>
    <row r="46" spans="1:19" x14ac:dyDescent="0.35">
      <c r="A46" s="151"/>
      <c r="B46" s="85"/>
      <c r="C46" s="85"/>
      <c r="D46" s="85"/>
      <c r="E46" s="85"/>
      <c r="F46" s="85">
        <f>240+28.68</f>
        <v>268.68</v>
      </c>
      <c r="G46" s="85">
        <f>240+35.39</f>
        <v>275.39</v>
      </c>
      <c r="H46" s="13">
        <f t="shared" si="11"/>
        <v>6.7099999999999795</v>
      </c>
      <c r="I46" s="13">
        <f t="shared" si="12"/>
        <v>10.560000000000002</v>
      </c>
      <c r="J46" s="13">
        <f t="shared" si="13"/>
        <v>0.38853503184713301</v>
      </c>
      <c r="K46" s="13">
        <f t="shared" si="14"/>
        <v>0.61146496815286699</v>
      </c>
      <c r="L46" s="13">
        <f t="shared" si="15"/>
        <v>0.14903129657228065</v>
      </c>
      <c r="M46" s="13">
        <f t="shared" si="16"/>
        <v>5.7903879559930579E-2</v>
      </c>
      <c r="N46" s="13">
        <f t="shared" si="17"/>
        <v>17.269999999999982</v>
      </c>
      <c r="O46" s="85">
        <v>22</v>
      </c>
      <c r="P46" s="85">
        <f t="shared" si="18"/>
        <v>3.2786885245901738</v>
      </c>
      <c r="Q46" s="85"/>
      <c r="R46" s="85"/>
      <c r="S46" s="85"/>
    </row>
    <row r="47" spans="1:19" x14ac:dyDescent="0.35">
      <c r="A47" s="151"/>
      <c r="B47" s="85"/>
      <c r="C47" s="85"/>
      <c r="D47" s="85"/>
      <c r="E47" s="85"/>
      <c r="F47" s="85">
        <f>240+45.95</f>
        <v>285.95</v>
      </c>
      <c r="G47" s="85">
        <f>51.31+240</f>
        <v>291.31</v>
      </c>
      <c r="H47" s="13">
        <f t="shared" si="11"/>
        <v>5.3600000000000136</v>
      </c>
      <c r="I47" s="13">
        <f t="shared" si="12"/>
        <v>12.019999999999982</v>
      </c>
      <c r="J47" s="13">
        <f t="shared" si="13"/>
        <v>0.30840046029919532</v>
      </c>
      <c r="K47" s="13">
        <f t="shared" si="14"/>
        <v>0.69159953970080468</v>
      </c>
      <c r="L47" s="13">
        <f t="shared" si="15"/>
        <v>0.18656716417910399</v>
      </c>
      <c r="M47" s="13">
        <f t="shared" si="16"/>
        <v>5.7537399309551221E-2</v>
      </c>
      <c r="N47" s="13">
        <f t="shared" si="17"/>
        <v>17.379999999999995</v>
      </c>
      <c r="O47" s="85">
        <v>18</v>
      </c>
      <c r="P47" s="85">
        <f t="shared" si="18"/>
        <v>3.3582089552238719</v>
      </c>
      <c r="Q47" s="85"/>
      <c r="R47" s="85"/>
      <c r="S47" s="85"/>
    </row>
    <row r="48" spans="1:19" x14ac:dyDescent="0.35">
      <c r="A48" s="151"/>
      <c r="B48" s="144">
        <v>64</v>
      </c>
      <c r="C48" s="144">
        <v>68.010000000000005</v>
      </c>
      <c r="D48" s="144">
        <f>C48-B48</f>
        <v>4.0100000000000051</v>
      </c>
      <c r="E48" s="144"/>
      <c r="F48" s="144">
        <f>240+63.33</f>
        <v>303.33</v>
      </c>
      <c r="G48" s="144">
        <f>240+64.2</f>
        <v>304.2</v>
      </c>
      <c r="H48" s="91">
        <f t="shared" si="11"/>
        <v>0.87000000000000455</v>
      </c>
      <c r="I48" s="91">
        <f t="shared" si="12"/>
        <v>10.199999999999989</v>
      </c>
      <c r="J48" s="91">
        <f t="shared" si="13"/>
        <v>7.8590785907859534E-2</v>
      </c>
      <c r="K48" s="91">
        <f t="shared" si="14"/>
        <v>0.92140921409214049</v>
      </c>
      <c r="L48" s="91">
        <f t="shared" si="15"/>
        <v>1.1494252873563158</v>
      </c>
      <c r="M48" s="91">
        <f t="shared" si="16"/>
        <v>9.0334236675700147E-2</v>
      </c>
      <c r="N48" s="91">
        <f t="shared" si="17"/>
        <v>11.069999999999993</v>
      </c>
      <c r="O48" s="144">
        <v>2</v>
      </c>
      <c r="P48" s="144">
        <f t="shared" si="18"/>
        <v>2.2988505747126315</v>
      </c>
      <c r="Q48" s="85"/>
      <c r="R48" s="85"/>
      <c r="S48" s="85"/>
    </row>
    <row r="49" spans="1:19" x14ac:dyDescent="0.35">
      <c r="A49" s="151"/>
      <c r="B49" s="144">
        <v>76.510000000000005</v>
      </c>
      <c r="C49" s="144">
        <v>80.569999999999993</v>
      </c>
      <c r="D49" s="144">
        <f>C49-B49</f>
        <v>4.0599999999999881</v>
      </c>
      <c r="E49" s="144"/>
      <c r="F49" s="144">
        <f>240+74.4</f>
        <v>314.39999999999998</v>
      </c>
      <c r="G49" s="144">
        <f>240+78.9</f>
        <v>318.89999999999998</v>
      </c>
      <c r="H49" s="91">
        <f>G49-F49</f>
        <v>4.5</v>
      </c>
      <c r="I49" s="91">
        <f>F50-G49</f>
        <v>12.990000000000009</v>
      </c>
      <c r="J49" s="91">
        <f>H49/N49</f>
        <v>0.25728987993138924</v>
      </c>
      <c r="K49" s="91">
        <f>I49/N49</f>
        <v>0.74271012006861081</v>
      </c>
      <c r="L49" s="91">
        <f>1/H49</f>
        <v>0.22222222222222221</v>
      </c>
      <c r="M49" s="91">
        <f>1/N49</f>
        <v>5.7175528873642051E-2</v>
      </c>
      <c r="N49" s="91">
        <f>H49+I49</f>
        <v>17.490000000000009</v>
      </c>
      <c r="O49" s="144">
        <v>12</v>
      </c>
      <c r="P49" s="144">
        <f>O49/H49</f>
        <v>2.6666666666666665</v>
      </c>
      <c r="Q49" s="85"/>
      <c r="R49" s="85"/>
      <c r="S49" s="85"/>
    </row>
    <row r="50" spans="1:19" x14ac:dyDescent="0.35">
      <c r="A50" s="151"/>
      <c r="B50" s="85"/>
      <c r="C50" s="85"/>
      <c r="D50" s="85"/>
      <c r="E50" s="85"/>
      <c r="F50" s="85">
        <f>240+91.89</f>
        <v>331.89</v>
      </c>
      <c r="G50" s="85">
        <f>240+97.85</f>
        <v>337.85</v>
      </c>
      <c r="H50" s="13">
        <f>G50-F50</f>
        <v>5.9600000000000364</v>
      </c>
      <c r="I50" s="13">
        <f>F81-G50</f>
        <v>-337.85</v>
      </c>
      <c r="J50" s="13">
        <f>H50/N50</f>
        <v>-1.7957757088191983E-2</v>
      </c>
      <c r="K50" s="13">
        <f>I50/N50</f>
        <v>1.0179577570881919</v>
      </c>
      <c r="L50" s="13">
        <f>1/H50</f>
        <v>0.16778523489932784</v>
      </c>
      <c r="M50" s="13">
        <f>1/N50</f>
        <v>-3.0130464913073608E-3</v>
      </c>
      <c r="N50" s="13">
        <f>H50+I50</f>
        <v>-331.89</v>
      </c>
      <c r="O50" s="85">
        <v>18</v>
      </c>
      <c r="P50" s="85">
        <f>O50/H50</f>
        <v>3.0201342281879011</v>
      </c>
      <c r="Q50" s="85"/>
      <c r="R50" s="85"/>
      <c r="S50" s="85"/>
    </row>
    <row r="51" spans="1:19" x14ac:dyDescent="0.35">
      <c r="A51" s="85"/>
      <c r="B51" s="85"/>
      <c r="C51" s="85"/>
      <c r="D51" s="85"/>
      <c r="E51" s="85"/>
      <c r="F51" s="85"/>
      <c r="G51" s="85"/>
      <c r="H51" s="13"/>
      <c r="I51" s="13"/>
      <c r="J51" s="13"/>
      <c r="K51" s="13"/>
      <c r="L51" s="13"/>
      <c r="M51" s="13"/>
      <c r="N51" s="13"/>
      <c r="O51" s="85"/>
      <c r="P51" s="85"/>
      <c r="Q51" s="85"/>
      <c r="R51" s="85"/>
      <c r="S51" s="85"/>
    </row>
    <row r="52" spans="1:19" x14ac:dyDescent="0.35">
      <c r="A52" s="85"/>
      <c r="B52" s="85"/>
      <c r="C52" s="85"/>
      <c r="D52" s="85"/>
      <c r="E52" s="85"/>
      <c r="F52" s="85">
        <v>13.36</v>
      </c>
      <c r="G52" s="85">
        <v>21.34</v>
      </c>
      <c r="H52" s="13">
        <f t="shared" ref="H52:H57" si="19">G52-F52</f>
        <v>7.98</v>
      </c>
      <c r="I52" s="13">
        <f>F53-G52</f>
        <v>13.849999999999998</v>
      </c>
      <c r="J52" s="13">
        <f>H52/N52</f>
        <v>0.36555199267063676</v>
      </c>
      <c r="K52" s="13">
        <f>I52/N52</f>
        <v>0.63444800732936324</v>
      </c>
      <c r="L52" s="13">
        <f>1/H52</f>
        <v>0.12531328320802004</v>
      </c>
      <c r="M52" s="13">
        <f>1/N52</f>
        <v>4.5808520384791572E-2</v>
      </c>
      <c r="N52" s="13">
        <f>H52+I52</f>
        <v>21.83</v>
      </c>
      <c r="O52" s="85">
        <v>29</v>
      </c>
      <c r="P52" s="85">
        <f>O52/H52</f>
        <v>3.6340852130325811</v>
      </c>
      <c r="Q52" s="85"/>
      <c r="R52" t="s">
        <v>180</v>
      </c>
      <c r="S52" s="85"/>
    </row>
    <row r="53" spans="1:19" x14ac:dyDescent="0.35">
      <c r="A53" s="85"/>
      <c r="B53" s="85"/>
      <c r="C53" s="85"/>
      <c r="D53" s="85"/>
      <c r="E53" s="85"/>
      <c r="F53" s="85">
        <v>35.19</v>
      </c>
      <c r="G53" s="85">
        <v>43.07</v>
      </c>
      <c r="H53" s="13">
        <f t="shared" si="19"/>
        <v>7.8800000000000026</v>
      </c>
      <c r="I53" s="13">
        <f>F54-G53</f>
        <v>18.799999999999997</v>
      </c>
      <c r="J53" s="13">
        <f>H53/N53</f>
        <v>0.29535232383808108</v>
      </c>
      <c r="K53" s="13">
        <f>I53/N53</f>
        <v>0.70464767616191892</v>
      </c>
      <c r="L53" s="13">
        <f>1/H53</f>
        <v>0.12690355329949235</v>
      </c>
      <c r="M53" s="13">
        <f>1/N53</f>
        <v>3.7481259370314844E-2</v>
      </c>
      <c r="N53" s="13">
        <f>H53+I53</f>
        <v>26.68</v>
      </c>
      <c r="O53" s="85">
        <v>30</v>
      </c>
      <c r="P53" s="85">
        <f>O53/H53</f>
        <v>3.8071065989847703</v>
      </c>
      <c r="Q53" s="85"/>
      <c r="R53" s="85"/>
      <c r="S53" s="85"/>
    </row>
    <row r="54" spans="1:19" x14ac:dyDescent="0.35">
      <c r="A54" s="150" t="s">
        <v>171</v>
      </c>
      <c r="B54" s="144">
        <v>64.45</v>
      </c>
      <c r="C54" s="144">
        <v>71.58</v>
      </c>
      <c r="D54" s="144">
        <f>C54-B54</f>
        <v>7.1299999999999955</v>
      </c>
      <c r="E54" s="144"/>
      <c r="F54" s="144">
        <v>61.87</v>
      </c>
      <c r="G54" s="144">
        <v>66.2</v>
      </c>
      <c r="H54" s="91">
        <f t="shared" si="19"/>
        <v>4.3300000000000054</v>
      </c>
      <c r="I54" s="91">
        <f>F55-G54</f>
        <v>19.28</v>
      </c>
      <c r="J54" s="91">
        <f>H54/N54</f>
        <v>0.18339686573485828</v>
      </c>
      <c r="K54" s="91">
        <f>I54/N54</f>
        <v>0.81660313426514175</v>
      </c>
      <c r="L54" s="91">
        <f>1/H54</f>
        <v>0.23094688221708978</v>
      </c>
      <c r="M54" s="91">
        <f>1/N54</f>
        <v>4.2354934349851749E-2</v>
      </c>
      <c r="N54" s="91">
        <f>H54+I54</f>
        <v>23.610000000000007</v>
      </c>
      <c r="O54" s="144">
        <v>15</v>
      </c>
      <c r="P54" s="144">
        <f>O54/H54</f>
        <v>3.4642032332563466</v>
      </c>
      <c r="Q54" s="85"/>
      <c r="R54" s="85"/>
      <c r="S54" s="85"/>
    </row>
    <row r="55" spans="1:19" x14ac:dyDescent="0.35">
      <c r="A55" s="85"/>
      <c r="B55" s="85"/>
      <c r="C55" s="85"/>
      <c r="D55" s="85"/>
      <c r="E55" s="85"/>
      <c r="F55" s="85">
        <v>85.48</v>
      </c>
      <c r="G55" s="85">
        <v>91.64</v>
      </c>
      <c r="H55" s="13">
        <f t="shared" si="19"/>
        <v>6.1599999999999966</v>
      </c>
      <c r="I55" s="13">
        <f>F56-G55</f>
        <v>16.53</v>
      </c>
      <c r="J55" s="13">
        <f>H55/N55</f>
        <v>0.27148523578669004</v>
      </c>
      <c r="K55" s="13">
        <f>I55/N55</f>
        <v>0.72851476421330996</v>
      </c>
      <c r="L55" s="13">
        <f>1/H55</f>
        <v>0.16233766233766242</v>
      </c>
      <c r="M55" s="13">
        <f>1/N55</f>
        <v>4.4072278536800354E-2</v>
      </c>
      <c r="N55" s="13">
        <f>H55+I55</f>
        <v>22.689999999999998</v>
      </c>
      <c r="O55" s="85">
        <v>23</v>
      </c>
      <c r="P55" s="85">
        <f>O55/H55</f>
        <v>3.7337662337662358</v>
      </c>
      <c r="Q55" s="85"/>
      <c r="R55" s="85"/>
      <c r="S55" s="85"/>
    </row>
    <row r="56" spans="1:19" x14ac:dyDescent="0.35">
      <c r="A56" s="150" t="s">
        <v>171</v>
      </c>
      <c r="B56" s="144">
        <v>109.74</v>
      </c>
      <c r="C56" s="144">
        <v>116.75</v>
      </c>
      <c r="D56" s="144">
        <f>C56-B56</f>
        <v>7.0100000000000051</v>
      </c>
      <c r="E56" s="144"/>
      <c r="F56" s="144">
        <v>108.17</v>
      </c>
      <c r="G56" s="144">
        <v>111.95</v>
      </c>
      <c r="H56" s="91">
        <f t="shared" si="19"/>
        <v>3.7800000000000011</v>
      </c>
      <c r="I56" s="91">
        <f>F57-G56</f>
        <v>35.660000000000011</v>
      </c>
      <c r="J56" s="91">
        <f>H56/N56</f>
        <v>9.5841784989858014E-2</v>
      </c>
      <c r="K56" s="91">
        <f>I56/N56</f>
        <v>0.90415821501014204</v>
      </c>
      <c r="L56" s="91">
        <f>1/H56</f>
        <v>0.26455026455026448</v>
      </c>
      <c r="M56" s="91">
        <f>1/N56</f>
        <v>2.5354969574036504E-2</v>
      </c>
      <c r="N56" s="91">
        <f>H56+I56</f>
        <v>39.440000000000012</v>
      </c>
      <c r="O56" s="144"/>
      <c r="P56" s="144"/>
      <c r="Q56" s="85"/>
      <c r="R56" s="85"/>
      <c r="S56" s="85"/>
    </row>
    <row r="57" spans="1:19" x14ac:dyDescent="0.35">
      <c r="A57" s="85"/>
      <c r="B57" s="85"/>
      <c r="C57" s="85"/>
      <c r="D57" s="85"/>
      <c r="E57" s="85"/>
      <c r="F57" s="85">
        <f>120+27.61</f>
        <v>147.61000000000001</v>
      </c>
      <c r="G57" s="85">
        <f>120+34.64</f>
        <v>154.63999999999999</v>
      </c>
      <c r="H57" s="13">
        <f t="shared" si="19"/>
        <v>7.0299999999999727</v>
      </c>
      <c r="I57" s="13"/>
      <c r="J57" s="13"/>
      <c r="K57" s="13"/>
      <c r="L57" s="13"/>
      <c r="M57" s="13"/>
      <c r="N57" s="13"/>
      <c r="O57" s="85"/>
      <c r="P57" s="85"/>
      <c r="Q57" s="85"/>
      <c r="R57" s="85"/>
      <c r="S57" s="85"/>
    </row>
    <row r="58" spans="1:19" x14ac:dyDescent="0.35">
      <c r="A58" s="85"/>
      <c r="B58" s="85"/>
      <c r="C58" s="85"/>
      <c r="D58" s="85"/>
      <c r="E58" s="85"/>
      <c r="F58" s="85"/>
      <c r="G58" s="85"/>
      <c r="H58" s="13"/>
      <c r="I58" s="13"/>
      <c r="J58" s="13"/>
      <c r="K58" s="13"/>
      <c r="L58" s="13"/>
      <c r="M58" s="13"/>
      <c r="N58" s="13"/>
      <c r="O58" s="85"/>
      <c r="P58" s="85"/>
      <c r="Q58" s="85"/>
      <c r="R58" s="85"/>
      <c r="S58" s="85"/>
    </row>
    <row r="59" spans="1:19" x14ac:dyDescent="0.35">
      <c r="A59" s="85"/>
      <c r="B59" s="85"/>
      <c r="C59" s="85"/>
      <c r="D59" s="85"/>
      <c r="E59" s="85"/>
      <c r="F59" s="85"/>
      <c r="G59" s="85"/>
      <c r="H59" s="13"/>
      <c r="I59" s="13"/>
      <c r="J59" s="13"/>
      <c r="K59" s="13"/>
      <c r="L59" s="13"/>
      <c r="M59" s="13"/>
      <c r="N59" s="13"/>
      <c r="O59" s="85"/>
      <c r="P59" s="85"/>
      <c r="Q59" s="85"/>
      <c r="R59" s="85"/>
      <c r="S59" s="85"/>
    </row>
    <row r="60" spans="1:19" ht="16" thickBot="1" x14ac:dyDescent="0.4">
      <c r="A60" s="85"/>
      <c r="B60" s="85"/>
      <c r="C60" s="85"/>
      <c r="D60" s="85"/>
      <c r="E60" s="85"/>
      <c r="F60" s="85"/>
      <c r="G60" s="85"/>
      <c r="H60" s="9" t="s">
        <v>3</v>
      </c>
      <c r="I60" s="9" t="s">
        <v>4</v>
      </c>
      <c r="J60" s="9" t="s">
        <v>5</v>
      </c>
      <c r="K60" s="9" t="s">
        <v>6</v>
      </c>
      <c r="L60" s="9" t="s">
        <v>7</v>
      </c>
      <c r="M60" s="9" t="s">
        <v>8</v>
      </c>
      <c r="N60" s="9" t="s">
        <v>9</v>
      </c>
      <c r="O60" s="9" t="s">
        <v>10</v>
      </c>
      <c r="P60" s="44" t="s">
        <v>139</v>
      </c>
      <c r="Q60" s="85"/>
      <c r="R60" s="85"/>
      <c r="S60" s="85"/>
    </row>
    <row r="61" spans="1:19" x14ac:dyDescent="0.35">
      <c r="A61" s="85"/>
      <c r="B61" s="85"/>
      <c r="C61" s="85"/>
      <c r="D61" s="85"/>
      <c r="E61" s="137" t="s">
        <v>192</v>
      </c>
      <c r="F61" s="85"/>
      <c r="G61" s="3" t="s">
        <v>77</v>
      </c>
      <c r="H61">
        <f>AVERAGE(H33,H35,H37,H39,H43,H45,H48,H49,H54,H56)</f>
        <v>3.1729999999999996</v>
      </c>
      <c r="I61">
        <f t="shared" ref="I61:P61" si="20">AVERAGE(I33,I35,I37,I39,I43,I45,I48,I49,I54,I56)</f>
        <v>13.126000000000005</v>
      </c>
      <c r="J61">
        <f t="shared" si="20"/>
        <v>0.21088226806686042</v>
      </c>
      <c r="K61">
        <f t="shared" si="20"/>
        <v>0.78911773193313961</v>
      </c>
      <c r="L61">
        <f t="shared" si="20"/>
        <v>0.45465251918758443</v>
      </c>
      <c r="M61">
        <f t="shared" si="20"/>
        <v>7.2504849169393232E-2</v>
      </c>
      <c r="N61">
        <f t="shared" si="20"/>
        <v>16.299000000000007</v>
      </c>
      <c r="O61">
        <f t="shared" si="20"/>
        <v>8.8888888888888893</v>
      </c>
      <c r="P61">
        <f t="shared" si="20"/>
        <v>2.7891904614847705</v>
      </c>
      <c r="Q61" s="85"/>
      <c r="R61" s="85"/>
      <c r="S61" s="85"/>
    </row>
    <row r="62" spans="1:19" x14ac:dyDescent="0.35">
      <c r="A62" s="85"/>
      <c r="B62" s="85"/>
      <c r="C62" s="85"/>
      <c r="D62" s="85"/>
      <c r="E62" s="137"/>
      <c r="F62" s="85"/>
      <c r="G62" s="3" t="s">
        <v>94</v>
      </c>
      <c r="H62">
        <f>_xlfn.STDEV.S(H33,H35,H37,H39,H43,H45,H48,H49,H54,H56)</f>
        <v>1.3201350940970649</v>
      </c>
      <c r="I62">
        <f t="shared" ref="I62:P62" si="21">_xlfn.STDEV.S(I33,I35,I37,I39,I43,I45,I48,I49,I54,I56)</f>
        <v>8.5943368951110308</v>
      </c>
      <c r="J62">
        <f t="shared" si="21"/>
        <v>9.3712049372593906E-2</v>
      </c>
      <c r="K62">
        <f t="shared" si="21"/>
        <v>9.37120493725941E-2</v>
      </c>
      <c r="L62">
        <f t="shared" si="21"/>
        <v>0.38718833963540561</v>
      </c>
      <c r="M62">
        <f t="shared" si="21"/>
        <v>2.3939973736133147E-2</v>
      </c>
      <c r="N62">
        <f t="shared" si="21"/>
        <v>9.0794657821310665</v>
      </c>
      <c r="O62">
        <f t="shared" si="21"/>
        <v>4.3716256828680011</v>
      </c>
      <c r="P62">
        <f t="shared" si="21"/>
        <v>0.46469529940822202</v>
      </c>
      <c r="Q62" s="85"/>
      <c r="R62" s="85"/>
      <c r="S62" s="85"/>
    </row>
    <row r="63" spans="1:19" x14ac:dyDescent="0.35">
      <c r="A63" s="85"/>
      <c r="B63" s="85"/>
      <c r="C63" s="85"/>
      <c r="D63" s="85"/>
      <c r="E63" s="137"/>
      <c r="F63" s="85"/>
      <c r="G63" s="3" t="s">
        <v>95</v>
      </c>
      <c r="H63">
        <f>H62/SQRT(10)</f>
        <v>0.41746337164674291</v>
      </c>
      <c r="I63">
        <f t="shared" ref="I63:P63" si="22">I62/SQRT(10)</f>
        <v>2.7177679567370485</v>
      </c>
      <c r="J63">
        <f t="shared" si="22"/>
        <v>2.9634352021954989E-2</v>
      </c>
      <c r="K63">
        <f t="shared" si="22"/>
        <v>2.9634352021955048E-2</v>
      </c>
      <c r="L63">
        <f t="shared" si="22"/>
        <v>0.12243970367067301</v>
      </c>
      <c r="M63">
        <f t="shared" si="22"/>
        <v>7.5704844130791583E-3</v>
      </c>
      <c r="N63">
        <f t="shared" si="22"/>
        <v>2.8711791809096292</v>
      </c>
      <c r="O63">
        <f t="shared" si="22"/>
        <v>1.3824294235551815</v>
      </c>
      <c r="P63">
        <f t="shared" si="22"/>
        <v>0.14694955641038768</v>
      </c>
      <c r="Q63" s="85"/>
      <c r="R63" s="85"/>
      <c r="S63" s="85"/>
    </row>
    <row r="64" spans="1:19" x14ac:dyDescent="0.35">
      <c r="A64" s="85"/>
      <c r="B64" s="85"/>
      <c r="C64" s="85"/>
      <c r="D64" s="85"/>
      <c r="E64" s="137"/>
      <c r="F64" s="85"/>
      <c r="G64" s="3"/>
      <c r="H64" s="13"/>
      <c r="I64" s="13"/>
      <c r="J64" s="13"/>
      <c r="K64" s="13"/>
      <c r="L64" s="13"/>
      <c r="M64" s="13"/>
      <c r="N64" s="13"/>
      <c r="O64" s="85"/>
      <c r="P64" s="85"/>
      <c r="Q64" s="85"/>
      <c r="R64" s="85"/>
      <c r="S64" s="85"/>
    </row>
    <row r="65" spans="1:19" x14ac:dyDescent="0.35">
      <c r="A65" s="85"/>
      <c r="B65" s="85"/>
      <c r="C65" s="85"/>
      <c r="D65" s="85"/>
      <c r="E65" s="137"/>
      <c r="F65" s="85"/>
      <c r="G65" s="3"/>
      <c r="H65" s="13"/>
      <c r="I65" s="13"/>
      <c r="J65" s="13"/>
      <c r="K65" s="13"/>
      <c r="L65" s="13"/>
      <c r="M65" s="13"/>
      <c r="N65" s="13"/>
      <c r="O65" s="85"/>
      <c r="P65" s="85"/>
      <c r="Q65" s="85"/>
      <c r="R65" s="85"/>
      <c r="S65" s="85"/>
    </row>
    <row r="66" spans="1:19" x14ac:dyDescent="0.35">
      <c r="A66" s="85"/>
      <c r="B66" s="85"/>
      <c r="C66" s="85"/>
      <c r="D66" s="85"/>
      <c r="E66" s="137" t="s">
        <v>195</v>
      </c>
      <c r="F66" s="85"/>
      <c r="G66" s="3" t="s">
        <v>77</v>
      </c>
      <c r="H66" s="13">
        <f>AVERAGE(H34,H36,H38,H40,H44,H46,H55,H57)</f>
        <v>6.3599999999999923</v>
      </c>
      <c r="I66" s="13">
        <f t="shared" ref="I66:P66" si="23">AVERAGE(I34,I36,I38,I40,I44,I46,I55,I57)</f>
        <v>10.235714285714286</v>
      </c>
      <c r="J66" s="13">
        <f t="shared" si="23"/>
        <v>0.3873304953168174</v>
      </c>
      <c r="K66" s="13">
        <f t="shared" si="23"/>
        <v>0.6126695046831826</v>
      </c>
      <c r="L66" s="13">
        <f t="shared" si="23"/>
        <v>0.16030446975902032</v>
      </c>
      <c r="M66" s="13">
        <f t="shared" si="23"/>
        <v>6.1876564286269066E-2</v>
      </c>
      <c r="N66" s="13">
        <f t="shared" si="23"/>
        <v>16.499999999999996</v>
      </c>
      <c r="O66" s="13">
        <f t="shared" si="23"/>
        <v>21.285714285714285</v>
      </c>
      <c r="P66" s="13">
        <f t="shared" si="23"/>
        <v>3.4032787578427213</v>
      </c>
      <c r="Q66" s="85"/>
      <c r="R66" s="85"/>
      <c r="S66" s="85"/>
    </row>
    <row r="67" spans="1:19" x14ac:dyDescent="0.35">
      <c r="A67" s="85"/>
      <c r="B67" s="85"/>
      <c r="C67" s="85"/>
      <c r="D67" s="85"/>
      <c r="E67" s="137"/>
      <c r="F67" s="85"/>
      <c r="G67" s="3" t="s">
        <v>94</v>
      </c>
      <c r="H67" s="13">
        <f>_xlfn.STDEV.S(H34,H36,H38,H40,H44,H46,H55,H57)</f>
        <v>0.48811591129274146</v>
      </c>
      <c r="I67" s="13">
        <f t="shared" ref="I67:P67" si="24">_xlfn.STDEV.S(I34,I36,I38,I40,I44,I46,I55,I57)</f>
        <v>2.8829895198263507</v>
      </c>
      <c r="J67" s="13">
        <f t="shared" si="24"/>
        <v>5.7897572253789983E-2</v>
      </c>
      <c r="K67" s="13">
        <f t="shared" si="24"/>
        <v>5.789757225379033E-2</v>
      </c>
      <c r="L67" s="13">
        <f t="shared" si="24"/>
        <v>1.1154699468226389E-2</v>
      </c>
      <c r="M67" s="13">
        <f t="shared" si="24"/>
        <v>8.5765611636205562E-3</v>
      </c>
      <c r="N67" s="13">
        <f t="shared" si="24"/>
        <v>2.8672286270892386</v>
      </c>
      <c r="O67" s="13">
        <f t="shared" si="24"/>
        <v>1.2535663410560174</v>
      </c>
      <c r="P67" s="13">
        <f t="shared" si="24"/>
        <v>0.16394998618194193</v>
      </c>
      <c r="Q67" s="85"/>
      <c r="R67" s="85"/>
      <c r="S67" s="85"/>
    </row>
    <row r="68" spans="1:19" x14ac:dyDescent="0.35">
      <c r="A68" s="85"/>
      <c r="B68" s="85"/>
      <c r="C68" s="85"/>
      <c r="D68" s="85"/>
      <c r="E68" s="137"/>
      <c r="F68" s="85"/>
      <c r="G68" s="3" t="s">
        <v>95</v>
      </c>
      <c r="H68" s="13">
        <f>H67/SQRT(9)</f>
        <v>0.16270530376424716</v>
      </c>
      <c r="I68" s="13">
        <f t="shared" ref="I68:P68" si="25">I67/SQRT(9)</f>
        <v>0.96099650660878355</v>
      </c>
      <c r="J68" s="13">
        <f t="shared" si="25"/>
        <v>1.9299190751263327E-2</v>
      </c>
      <c r="K68" s="13">
        <f t="shared" si="25"/>
        <v>1.9299190751263445E-2</v>
      </c>
      <c r="L68" s="13">
        <f t="shared" si="25"/>
        <v>3.7182331560754629E-3</v>
      </c>
      <c r="M68" s="13">
        <f t="shared" si="25"/>
        <v>2.8588537212068522E-3</v>
      </c>
      <c r="N68" s="13">
        <f t="shared" si="25"/>
        <v>0.95574287569641292</v>
      </c>
      <c r="O68" s="13">
        <f t="shared" si="25"/>
        <v>0.41785544701867244</v>
      </c>
      <c r="P68" s="13">
        <f t="shared" si="25"/>
        <v>5.464999539398064E-2</v>
      </c>
      <c r="Q68" s="85"/>
      <c r="R68" s="85"/>
      <c r="S68" s="85"/>
    </row>
    <row r="69" spans="1:19" x14ac:dyDescent="0.35">
      <c r="A69" s="85"/>
      <c r="B69" s="85"/>
      <c r="C69" s="85"/>
      <c r="D69" s="85"/>
      <c r="E69" s="137"/>
      <c r="F69" s="85"/>
      <c r="G69" s="3"/>
      <c r="H69" s="13"/>
      <c r="I69" s="13"/>
      <c r="J69" s="13"/>
      <c r="K69" s="13"/>
      <c r="L69" s="13"/>
      <c r="M69" s="13"/>
      <c r="N69" s="13"/>
      <c r="O69" s="85"/>
      <c r="P69" s="85"/>
      <c r="Q69" s="85"/>
      <c r="R69" s="85"/>
      <c r="S69" s="85"/>
    </row>
    <row r="70" spans="1:19" x14ac:dyDescent="0.35">
      <c r="A70" s="85"/>
      <c r="B70" s="85"/>
      <c r="C70" s="85"/>
      <c r="D70" s="85"/>
      <c r="E70" s="137"/>
      <c r="F70" s="85"/>
      <c r="G70" s="3"/>
      <c r="H70" s="13"/>
      <c r="I70" s="13"/>
      <c r="J70" s="13"/>
      <c r="K70" s="13"/>
      <c r="L70" s="13"/>
      <c r="M70" s="13"/>
      <c r="N70" s="13"/>
      <c r="O70" s="85"/>
      <c r="P70" s="85"/>
      <c r="Q70" s="85"/>
      <c r="R70" s="85"/>
      <c r="S70" s="85"/>
    </row>
    <row r="71" spans="1:19" x14ac:dyDescent="0.35">
      <c r="A71" s="85"/>
      <c r="B71" s="85"/>
      <c r="C71" s="85"/>
      <c r="D71" s="85"/>
      <c r="E71" s="137" t="s">
        <v>194</v>
      </c>
      <c r="F71" s="85"/>
      <c r="G71" s="3" t="s">
        <v>77</v>
      </c>
      <c r="H71" s="13">
        <f>AVERAGE(H28:H32,H41:H42,H47,H52:H53)</f>
        <v>6.2620000000000013</v>
      </c>
      <c r="I71" s="13">
        <f t="shared" ref="I71:P71" si="26">AVERAGE(I28:I32,I41:I42,I47,I52:I53)</f>
        <v>11.518999999999997</v>
      </c>
      <c r="J71" s="13">
        <f t="shared" si="26"/>
        <v>0.35872474135788412</v>
      </c>
      <c r="K71" s="13">
        <f t="shared" si="26"/>
        <v>0.64127525864211576</v>
      </c>
      <c r="L71" s="13">
        <f t="shared" si="26"/>
        <v>0.16551415490911164</v>
      </c>
      <c r="M71" s="13">
        <f t="shared" si="26"/>
        <v>5.8921400937988089E-2</v>
      </c>
      <c r="N71" s="13">
        <f t="shared" si="26"/>
        <v>17.780999999999999</v>
      </c>
      <c r="O71" s="13">
        <f t="shared" si="26"/>
        <v>21.4</v>
      </c>
      <c r="P71" s="13">
        <f t="shared" si="26"/>
        <v>3.4738494740332007</v>
      </c>
      <c r="Q71" s="85"/>
      <c r="R71" s="85"/>
      <c r="S71" s="85"/>
    </row>
    <row r="72" spans="1:19" x14ac:dyDescent="0.35">
      <c r="A72" s="85"/>
      <c r="B72" s="85"/>
      <c r="C72" s="85"/>
      <c r="D72" s="85"/>
      <c r="E72" s="137"/>
      <c r="F72" s="85"/>
      <c r="G72" s="3" t="s">
        <v>94</v>
      </c>
      <c r="H72" s="13">
        <f>_xlfn.STDEV.S(H28:H32,H41:H42,H47,H52:H53)</f>
        <v>1.1893023164864351</v>
      </c>
      <c r="I72" s="13">
        <f t="shared" ref="I72:P72" si="27">_xlfn.STDEV.S(I28:I32,I41:I42,I47,I52:I53)</f>
        <v>3.5238314059809639</v>
      </c>
      <c r="J72" s="13">
        <f t="shared" si="27"/>
        <v>5.6297175831839026E-2</v>
      </c>
      <c r="K72" s="13">
        <f t="shared" si="27"/>
        <v>5.6297175831838936E-2</v>
      </c>
      <c r="L72" s="13">
        <f t="shared" si="27"/>
        <v>3.5093548806088469E-2</v>
      </c>
      <c r="M72" s="13">
        <f t="shared" si="27"/>
        <v>1.2637979598681265E-2</v>
      </c>
      <c r="N72" s="13">
        <f t="shared" si="27"/>
        <v>4.2910875337403773</v>
      </c>
      <c r="O72" s="13">
        <f t="shared" si="27"/>
        <v>4.5752959831395925</v>
      </c>
      <c r="P72" s="13">
        <f t="shared" si="27"/>
        <v>0.75322389850999727</v>
      </c>
      <c r="Q72" s="85"/>
      <c r="R72" s="85"/>
      <c r="S72" s="85"/>
    </row>
    <row r="73" spans="1:19" x14ac:dyDescent="0.35">
      <c r="A73" s="85"/>
      <c r="B73" s="85"/>
      <c r="C73" s="85"/>
      <c r="D73" s="85"/>
      <c r="E73" s="85"/>
      <c r="F73" s="85"/>
      <c r="G73" s="3" t="s">
        <v>95</v>
      </c>
      <c r="H73" s="13">
        <f>H72/SQRT(10)</f>
        <v>0.37609041466115573</v>
      </c>
      <c r="I73" s="13">
        <f t="shared" ref="I73:P73" si="28">I72/SQRT(10)</f>
        <v>1.1143333333333332</v>
      </c>
      <c r="J73" s="13">
        <f t="shared" si="28"/>
        <v>1.7802730146359573E-2</v>
      </c>
      <c r="K73" s="13">
        <f t="shared" si="28"/>
        <v>1.7802730146359545E-2</v>
      </c>
      <c r="L73" s="13">
        <f t="shared" si="28"/>
        <v>1.1097554540552225E-2</v>
      </c>
      <c r="M73" s="13">
        <f t="shared" si="28"/>
        <v>3.9964800554573498E-3</v>
      </c>
      <c r="N73" s="13">
        <f t="shared" si="28"/>
        <v>1.3569610245774222</v>
      </c>
      <c r="O73" s="13">
        <f t="shared" si="28"/>
        <v>1.4468356276140455</v>
      </c>
      <c r="P73" s="13">
        <f t="shared" si="28"/>
        <v>0.23819031073630989</v>
      </c>
      <c r="Q73" s="85"/>
      <c r="R73" s="85"/>
      <c r="S73" s="85"/>
    </row>
    <row r="74" spans="1:19" x14ac:dyDescent="0.35">
      <c r="A74" s="85"/>
      <c r="B74" s="85"/>
      <c r="C74" s="85"/>
      <c r="D74" s="85"/>
      <c r="E74" s="85"/>
      <c r="F74" s="85"/>
      <c r="G74" s="85"/>
      <c r="H74" s="13"/>
      <c r="I74" s="13"/>
      <c r="J74" s="13"/>
      <c r="K74" s="13"/>
      <c r="L74" s="13"/>
      <c r="M74" s="13"/>
      <c r="N74" s="13"/>
      <c r="O74" s="85"/>
      <c r="P74" s="85"/>
      <c r="Q74" s="85"/>
      <c r="R74" s="85"/>
      <c r="S74" s="85"/>
    </row>
    <row r="75" spans="1:19" x14ac:dyDescent="0.35">
      <c r="A75" s="85"/>
      <c r="B75" s="85"/>
      <c r="C75" s="85"/>
      <c r="D75" s="85"/>
      <c r="E75" s="137" t="s">
        <v>196</v>
      </c>
      <c r="F75" s="137"/>
      <c r="G75" s="3" t="s">
        <v>77</v>
      </c>
      <c r="H75" s="13">
        <f>AVERAGE(H43,H45,H48,H49,H54,H56)</f>
        <v>3.0249999999999999</v>
      </c>
      <c r="I75" s="13">
        <f t="shared" ref="I75:P75" si="29">AVERAGE(I43,I45,I48,I49,I54,I56)</f>
        <v>15.968333333333335</v>
      </c>
      <c r="J75" s="13">
        <f t="shared" si="29"/>
        <v>0.16681732942060287</v>
      </c>
      <c r="K75" s="13">
        <f t="shared" si="29"/>
        <v>0.83318267057939721</v>
      </c>
      <c r="L75" s="13">
        <f t="shared" si="29"/>
        <v>0.55773285186801902</v>
      </c>
      <c r="M75" s="13">
        <f t="shared" si="29"/>
        <v>6.6392374186205541E-2</v>
      </c>
      <c r="N75" s="13">
        <f t="shared" si="29"/>
        <v>18.993333333333336</v>
      </c>
      <c r="O75" s="13">
        <f t="shared" si="29"/>
        <v>8</v>
      </c>
      <c r="P75" s="13">
        <f t="shared" si="29"/>
        <v>2.641281440508382</v>
      </c>
      <c r="Q75" s="85"/>
      <c r="R75" s="85"/>
      <c r="S75" s="85"/>
    </row>
    <row r="76" spans="1:19" x14ac:dyDescent="0.35">
      <c r="A76" s="85"/>
      <c r="B76" s="85"/>
      <c r="C76" s="85"/>
      <c r="D76" s="85"/>
      <c r="E76" s="137"/>
      <c r="F76" s="137"/>
      <c r="G76" s="3" t="s">
        <v>94</v>
      </c>
      <c r="H76" s="13">
        <f>_xlfn.STDEV.S(H43,H45,H48,H49,H54,H56)</f>
        <v>1.710868200651354</v>
      </c>
      <c r="I76" s="13">
        <f t="shared" ref="I76:P76" si="30">_xlfn.STDEV.S(I43,I45,I48,I49,I54,I56)</f>
        <v>10.416881331121456</v>
      </c>
      <c r="J76" s="13">
        <f t="shared" si="30"/>
        <v>9.5204816773275691E-2</v>
      </c>
      <c r="K76" s="13">
        <f t="shared" si="30"/>
        <v>9.5204816773275663E-2</v>
      </c>
      <c r="L76" s="13">
        <f t="shared" si="30"/>
        <v>0.4862435407091929</v>
      </c>
      <c r="M76" s="13">
        <f t="shared" si="30"/>
        <v>3.0228587694659536E-2</v>
      </c>
      <c r="N76" s="13">
        <f t="shared" si="30"/>
        <v>11.245889323066752</v>
      </c>
      <c r="O76" s="13">
        <f t="shared" si="30"/>
        <v>5.873670062235365</v>
      </c>
      <c r="P76" s="13">
        <f t="shared" si="30"/>
        <v>0.48171466101079274</v>
      </c>
      <c r="Q76" s="85"/>
      <c r="R76" s="85"/>
      <c r="S76" s="85"/>
    </row>
    <row r="77" spans="1:19" x14ac:dyDescent="0.35">
      <c r="A77" s="85"/>
      <c r="B77" s="85"/>
      <c r="C77" s="85"/>
      <c r="D77" s="85"/>
      <c r="E77" s="137"/>
      <c r="F77" s="137"/>
      <c r="G77" s="3" t="s">
        <v>95</v>
      </c>
      <c r="H77" s="13">
        <f>H76/SQRT(6)</f>
        <v>0.69845901812490074</v>
      </c>
      <c r="I77" s="13">
        <f t="shared" ref="I77:P77" si="31">I76/SQRT(6)</f>
        <v>4.2526739953952646</v>
      </c>
      <c r="J77" s="13">
        <f t="shared" si="31"/>
        <v>3.8867203691615115E-2</v>
      </c>
      <c r="K77" s="13">
        <f t="shared" si="31"/>
        <v>3.8867203691615101E-2</v>
      </c>
      <c r="L77" s="13">
        <f t="shared" si="31"/>
        <v>0.19850809424362381</v>
      </c>
      <c r="M77" s="13">
        <f t="shared" si="31"/>
        <v>1.2340769249481723E-2</v>
      </c>
      <c r="N77" s="13">
        <f t="shared" si="31"/>
        <v>4.5911150908878113</v>
      </c>
      <c r="O77" s="13">
        <f t="shared" si="31"/>
        <v>2.39791576165636</v>
      </c>
      <c r="P77" s="13">
        <f t="shared" si="31"/>
        <v>0.19665918684903544</v>
      </c>
      <c r="Q77" s="85"/>
      <c r="R77" s="85"/>
      <c r="S77" s="85"/>
    </row>
    <row r="78" spans="1:19" x14ac:dyDescent="0.35">
      <c r="A78" s="85"/>
      <c r="B78" s="85"/>
      <c r="C78" s="85"/>
      <c r="D78" s="85"/>
      <c r="E78" s="85"/>
      <c r="F78" s="85"/>
      <c r="G78" s="85"/>
      <c r="H78" s="13"/>
      <c r="I78" s="13"/>
      <c r="J78" s="13"/>
      <c r="K78" s="13"/>
      <c r="L78" s="13"/>
      <c r="M78" s="13"/>
      <c r="N78" s="13"/>
      <c r="O78" s="85"/>
      <c r="P78" s="85"/>
      <c r="Q78" s="85"/>
      <c r="R78" s="85"/>
      <c r="S78" s="85"/>
    </row>
    <row r="79" spans="1:19" x14ac:dyDescent="0.35">
      <c r="A79" s="85"/>
      <c r="B79" s="85"/>
      <c r="C79" s="85"/>
      <c r="D79" s="85"/>
      <c r="E79" s="137" t="s">
        <v>197</v>
      </c>
      <c r="F79" s="85"/>
      <c r="G79" s="3" t="s">
        <v>77</v>
      </c>
      <c r="H79" s="13">
        <f t="shared" ref="H79:P79" si="32">AVERAGE(H33,H35,H37,H39,)</f>
        <v>2.7159999999999997</v>
      </c>
      <c r="I79" s="13">
        <f t="shared" si="32"/>
        <v>7.0900000000000061</v>
      </c>
      <c r="J79" s="13">
        <f t="shared" si="32"/>
        <v>0.22158374082899734</v>
      </c>
      <c r="K79" s="13">
        <f t="shared" si="32"/>
        <v>0.5784162591710027</v>
      </c>
      <c r="L79" s="13">
        <f t="shared" si="32"/>
        <v>0.24002561613354606</v>
      </c>
      <c r="M79" s="13">
        <f t="shared" si="32"/>
        <v>6.5338849315339814E-2</v>
      </c>
      <c r="N79" s="13">
        <f t="shared" si="32"/>
        <v>9.8060000000000063</v>
      </c>
      <c r="O79" s="13">
        <f t="shared" si="32"/>
        <v>8</v>
      </c>
      <c r="P79" s="13">
        <f t="shared" si="32"/>
        <v>2.3792613901642055</v>
      </c>
      <c r="Q79" s="85"/>
      <c r="R79" s="85"/>
      <c r="S79" s="85"/>
    </row>
    <row r="80" spans="1:19" x14ac:dyDescent="0.35">
      <c r="A80" s="85"/>
      <c r="B80" s="85"/>
      <c r="C80" s="85"/>
      <c r="D80" s="85"/>
      <c r="E80" s="85"/>
      <c r="F80" s="85"/>
      <c r="G80" s="3" t="s">
        <v>94</v>
      </c>
      <c r="H80" s="13">
        <f t="shared" ref="H80:P80" si="33">_xlfn.STDEV.S(H33,H35,H37,H39)</f>
        <v>0.49020403915103861</v>
      </c>
      <c r="I80" s="13">
        <f t="shared" si="33"/>
        <v>0.584144673860855</v>
      </c>
      <c r="J80" s="13">
        <f t="shared" si="33"/>
        <v>3.9123589754613323E-2</v>
      </c>
      <c r="K80" s="13">
        <f t="shared" si="33"/>
        <v>3.9123589754613351E-2</v>
      </c>
      <c r="L80" s="13">
        <f t="shared" si="33"/>
        <v>5.061641353323168E-2</v>
      </c>
      <c r="M80" s="13">
        <f t="shared" si="33"/>
        <v>3.0999062357140658E-3</v>
      </c>
      <c r="N80" s="13">
        <f t="shared" si="33"/>
        <v>0.47912246172908746</v>
      </c>
      <c r="O80" s="13">
        <f t="shared" si="33"/>
        <v>1.4142135623730951</v>
      </c>
      <c r="P80" s="13">
        <f t="shared" si="33"/>
        <v>0.42942619809699478</v>
      </c>
      <c r="Q80" s="85"/>
      <c r="R80" s="85"/>
      <c r="S80" s="85"/>
    </row>
    <row r="81" spans="1:19" x14ac:dyDescent="0.35">
      <c r="A81" s="85"/>
      <c r="B81" s="85"/>
      <c r="C81" s="85"/>
      <c r="D81" s="85"/>
      <c r="E81" s="85"/>
      <c r="F81" s="85"/>
      <c r="G81" s="3" t="s">
        <v>95</v>
      </c>
      <c r="H81" s="13">
        <f>H80/SQRT(4)</f>
        <v>0.2451020195755193</v>
      </c>
      <c r="I81" s="13">
        <f t="shared" ref="I81:P81" si="34">I80/SQRT(4)</f>
        <v>0.2920723369304275</v>
      </c>
      <c r="J81" s="13">
        <f t="shared" si="34"/>
        <v>1.9561794877306662E-2</v>
      </c>
      <c r="K81" s="13">
        <f t="shared" si="34"/>
        <v>1.9561794877306676E-2</v>
      </c>
      <c r="L81" s="13">
        <f t="shared" si="34"/>
        <v>2.530820676661584E-2</v>
      </c>
      <c r="M81" s="13">
        <f t="shared" si="34"/>
        <v>1.5499531178570329E-3</v>
      </c>
      <c r="N81" s="13">
        <f t="shared" si="34"/>
        <v>0.23956123086454373</v>
      </c>
      <c r="O81" s="13">
        <f t="shared" si="34"/>
        <v>0.70710678118654757</v>
      </c>
      <c r="P81" s="13">
        <f t="shared" si="34"/>
        <v>0.21471309904849739</v>
      </c>
      <c r="Q81" s="85"/>
      <c r="R81" s="85"/>
      <c r="S81" s="85"/>
    </row>
    <row r="82" spans="1:19" x14ac:dyDescent="0.35">
      <c r="A82" s="85"/>
      <c r="B82" s="85"/>
      <c r="C82" s="85"/>
      <c r="D82" s="85"/>
      <c r="E82" s="85"/>
      <c r="F82" s="85"/>
      <c r="G82" s="85"/>
      <c r="H82" s="13"/>
      <c r="I82" s="13"/>
      <c r="J82" s="13"/>
      <c r="K82" s="13"/>
      <c r="L82" s="13"/>
      <c r="M82" s="13"/>
      <c r="N82" s="13"/>
      <c r="O82" s="85"/>
      <c r="P82" s="85"/>
      <c r="Q82" s="85"/>
      <c r="R82" s="85"/>
      <c r="S82" s="85"/>
    </row>
    <row r="83" spans="1:19" x14ac:dyDescent="0.35">
      <c r="A83" s="85"/>
      <c r="B83" s="85"/>
      <c r="C83" s="85"/>
      <c r="D83" s="85"/>
      <c r="E83" s="85"/>
      <c r="F83" s="85"/>
      <c r="G83" s="85"/>
      <c r="H83" s="85"/>
      <c r="I83" s="85"/>
      <c r="J83" s="85"/>
      <c r="K83" s="85"/>
      <c r="L83" s="85"/>
      <c r="M83" s="85"/>
      <c r="N83" s="85"/>
      <c r="O83" s="85"/>
      <c r="P83" s="85"/>
      <c r="Q83" s="85"/>
      <c r="R83" s="85"/>
      <c r="S83" s="85"/>
    </row>
    <row r="84" spans="1:19" ht="18.5" x14ac:dyDescent="0.45">
      <c r="A84" s="85"/>
      <c r="B84" s="13"/>
      <c r="C84" s="13"/>
      <c r="D84" s="13"/>
      <c r="E84" s="13"/>
      <c r="F84" s="149" t="s">
        <v>15</v>
      </c>
      <c r="G84" s="13"/>
      <c r="H84" s="13"/>
      <c r="I84" s="13"/>
      <c r="J84" s="13"/>
      <c r="K84" s="13"/>
      <c r="L84" s="13"/>
      <c r="M84" s="13"/>
      <c r="N84" s="13"/>
      <c r="O84" s="13"/>
      <c r="P84" s="85"/>
      <c r="Q84" s="85"/>
      <c r="R84" s="85"/>
      <c r="S84" s="85"/>
    </row>
    <row r="85" spans="1:19" ht="16" thickBot="1" x14ac:dyDescent="0.4">
      <c r="A85" s="85"/>
      <c r="B85" s="44" t="s">
        <v>18</v>
      </c>
      <c r="C85" s="44" t="s">
        <v>17</v>
      </c>
      <c r="D85" s="44" t="s">
        <v>20</v>
      </c>
      <c r="E85" s="14"/>
      <c r="F85" s="44" t="s">
        <v>1</v>
      </c>
      <c r="G85" s="44" t="s">
        <v>2</v>
      </c>
      <c r="H85" s="44" t="s">
        <v>3</v>
      </c>
      <c r="I85" s="44" t="s">
        <v>4</v>
      </c>
      <c r="J85" s="44" t="s">
        <v>5</v>
      </c>
      <c r="K85" s="44" t="s">
        <v>6</v>
      </c>
      <c r="L85" s="44" t="s">
        <v>7</v>
      </c>
      <c r="M85" s="44" t="s">
        <v>8</v>
      </c>
      <c r="N85" s="44" t="s">
        <v>9</v>
      </c>
      <c r="O85" s="44" t="s">
        <v>10</v>
      </c>
      <c r="P85" s="44" t="s">
        <v>139</v>
      </c>
      <c r="Q85" s="85"/>
      <c r="R85" s="44" t="s">
        <v>134</v>
      </c>
      <c r="S85" s="85"/>
    </row>
    <row r="86" spans="1:19" x14ac:dyDescent="0.35">
      <c r="A86" s="85"/>
      <c r="B86" s="85"/>
      <c r="C86" s="85"/>
      <c r="D86" s="85"/>
      <c r="E86" s="85"/>
      <c r="F86" s="85">
        <v>21.09</v>
      </c>
      <c r="G86" s="85">
        <v>28.01</v>
      </c>
      <c r="H86" s="13">
        <f t="shared" ref="H86:H110" si="35">G86-F86</f>
        <v>6.9200000000000017</v>
      </c>
      <c r="I86" s="13">
        <f>F87-G86</f>
        <v>13.84</v>
      </c>
      <c r="J86" s="13">
        <f t="shared" ref="J86:J110" si="36">H86/N86</f>
        <v>0.33333333333333337</v>
      </c>
      <c r="K86" s="13">
        <f t="shared" ref="K86:K110" si="37">I86/N86</f>
        <v>0.66666666666666663</v>
      </c>
      <c r="L86" s="13">
        <f t="shared" ref="L86:L110" si="38">1/H86</f>
        <v>0.14450867052023117</v>
      </c>
      <c r="M86" s="13">
        <f t="shared" ref="M86:M110" si="39">1/N86</f>
        <v>4.8169556840077066E-2</v>
      </c>
      <c r="N86" s="13">
        <f t="shared" ref="N86:N110" si="40">H86+I86</f>
        <v>20.76</v>
      </c>
      <c r="O86" s="85">
        <v>23</v>
      </c>
      <c r="P86" s="85">
        <f t="shared" ref="P86:P110" si="41">O86/H86</f>
        <v>3.3236994219653173</v>
      </c>
      <c r="Q86" s="85"/>
      <c r="R86" t="s">
        <v>174</v>
      </c>
      <c r="S86" s="85"/>
    </row>
    <row r="87" spans="1:19" x14ac:dyDescent="0.35">
      <c r="A87" s="85"/>
      <c r="B87" s="85"/>
      <c r="C87" s="85"/>
      <c r="D87" s="85"/>
      <c r="E87" s="85"/>
      <c r="F87" s="85">
        <v>41.85</v>
      </c>
      <c r="G87" s="85">
        <v>48.77</v>
      </c>
      <c r="H87" s="13">
        <f t="shared" si="35"/>
        <v>6.9200000000000017</v>
      </c>
      <c r="I87" s="13">
        <f t="shared" ref="I87:I94" si="42">F88-G87</f>
        <v>12.899999999999999</v>
      </c>
      <c r="J87" s="13">
        <f t="shared" si="36"/>
        <v>0.34914228052472257</v>
      </c>
      <c r="K87" s="13">
        <f t="shared" si="37"/>
        <v>0.65085771947527737</v>
      </c>
      <c r="L87" s="13">
        <f t="shared" si="38"/>
        <v>0.14450867052023117</v>
      </c>
      <c r="M87" s="13">
        <f t="shared" si="39"/>
        <v>5.0454086781029264E-2</v>
      </c>
      <c r="N87" s="13">
        <f t="shared" si="40"/>
        <v>19.82</v>
      </c>
      <c r="O87" s="85">
        <v>23</v>
      </c>
      <c r="P87" s="85">
        <f t="shared" si="41"/>
        <v>3.3236994219653173</v>
      </c>
      <c r="Q87" s="85"/>
      <c r="R87" s="85"/>
      <c r="S87" s="85"/>
    </row>
    <row r="88" spans="1:19" x14ac:dyDescent="0.35">
      <c r="A88" s="85"/>
      <c r="B88" s="85"/>
      <c r="C88" s="85"/>
      <c r="D88" s="85"/>
      <c r="E88" s="85"/>
      <c r="F88" s="85">
        <v>61.67</v>
      </c>
      <c r="G88" s="85">
        <v>68.599999999999994</v>
      </c>
      <c r="H88" s="13">
        <f t="shared" si="35"/>
        <v>6.9299999999999926</v>
      </c>
      <c r="I88" s="13">
        <f t="shared" si="42"/>
        <v>12.900000000000006</v>
      </c>
      <c r="J88" s="13">
        <f t="shared" si="36"/>
        <v>0.34947049924356999</v>
      </c>
      <c r="K88" s="13">
        <f t="shared" si="37"/>
        <v>0.65052950075643001</v>
      </c>
      <c r="L88" s="13">
        <f t="shared" si="38"/>
        <v>0.14430014430014446</v>
      </c>
      <c r="M88" s="13">
        <f t="shared" si="39"/>
        <v>5.0428643469490678E-2</v>
      </c>
      <c r="N88" s="13">
        <f t="shared" si="40"/>
        <v>19.829999999999998</v>
      </c>
      <c r="O88" s="85">
        <v>24</v>
      </c>
      <c r="P88" s="85">
        <f t="shared" si="41"/>
        <v>3.4632034632034667</v>
      </c>
      <c r="Q88" s="85"/>
      <c r="R88" s="85"/>
      <c r="S88" s="85"/>
    </row>
    <row r="89" spans="1:19" x14ac:dyDescent="0.35">
      <c r="A89" s="85"/>
      <c r="B89" s="85"/>
      <c r="C89" s="85"/>
      <c r="D89" s="85"/>
      <c r="E89" s="85"/>
      <c r="F89" s="85">
        <v>81.5</v>
      </c>
      <c r="G89" s="85">
        <v>88.46</v>
      </c>
      <c r="H89" s="13">
        <f t="shared" si="35"/>
        <v>6.9599999999999937</v>
      </c>
      <c r="I89" s="13">
        <f t="shared" si="42"/>
        <v>13.010000000000005</v>
      </c>
      <c r="J89" s="13">
        <f t="shared" si="36"/>
        <v>0.34852278417626409</v>
      </c>
      <c r="K89" s="13">
        <f t="shared" si="37"/>
        <v>0.65147721582373586</v>
      </c>
      <c r="L89" s="13">
        <f t="shared" si="38"/>
        <v>0.14367816091954036</v>
      </c>
      <c r="M89" s="13">
        <f t="shared" si="39"/>
        <v>5.007511266900351E-2</v>
      </c>
      <c r="N89" s="13">
        <f t="shared" si="40"/>
        <v>19.97</v>
      </c>
      <c r="O89" s="85">
        <v>23</v>
      </c>
      <c r="P89" s="85">
        <f t="shared" si="41"/>
        <v>3.3045977011494281</v>
      </c>
      <c r="Q89" s="85"/>
      <c r="R89" s="85"/>
      <c r="S89" s="85"/>
    </row>
    <row r="90" spans="1:19" x14ac:dyDescent="0.35">
      <c r="A90" s="85"/>
      <c r="B90" s="144">
        <v>109.04</v>
      </c>
      <c r="C90" s="144">
        <v>116.1</v>
      </c>
      <c r="D90" s="144">
        <f>C90-B90</f>
        <v>7.0599999999999881</v>
      </c>
      <c r="E90" s="144"/>
      <c r="F90" s="144">
        <v>101.47</v>
      </c>
      <c r="G90" s="144">
        <v>107.56</v>
      </c>
      <c r="H90" s="91">
        <f t="shared" si="35"/>
        <v>6.0900000000000034</v>
      </c>
      <c r="I90" s="91">
        <f t="shared" si="42"/>
        <v>15.569999999999993</v>
      </c>
      <c r="J90" s="91">
        <f t="shared" si="36"/>
        <v>0.28116343490304729</v>
      </c>
      <c r="K90" s="91">
        <f t="shared" si="37"/>
        <v>0.71883656509695271</v>
      </c>
      <c r="L90" s="91">
        <f t="shared" si="38"/>
        <v>0.16420361247947446</v>
      </c>
      <c r="M90" s="91">
        <f t="shared" si="39"/>
        <v>4.6168051708217923E-2</v>
      </c>
      <c r="N90" s="91">
        <f t="shared" si="40"/>
        <v>21.659999999999997</v>
      </c>
      <c r="O90" s="144">
        <v>21</v>
      </c>
      <c r="P90" s="144">
        <f t="shared" si="41"/>
        <v>3.4482758620689635</v>
      </c>
      <c r="Q90" s="85"/>
      <c r="R90" s="85"/>
      <c r="S90" s="85"/>
    </row>
    <row r="91" spans="1:19" x14ac:dyDescent="0.35">
      <c r="A91" s="85"/>
      <c r="B91" s="85"/>
      <c r="C91" s="85"/>
      <c r="D91" s="85"/>
      <c r="E91" s="85"/>
      <c r="F91" s="85">
        <f>120+3.13</f>
        <v>123.13</v>
      </c>
      <c r="G91" s="85">
        <f>120+8.98</f>
        <v>128.97999999999999</v>
      </c>
      <c r="H91" s="13">
        <f t="shared" si="35"/>
        <v>5.8499999999999943</v>
      </c>
      <c r="I91" s="13">
        <f t="shared" si="42"/>
        <v>14.050000000000011</v>
      </c>
      <c r="J91" s="13">
        <f t="shared" si="36"/>
        <v>0.29396984924623076</v>
      </c>
      <c r="K91" s="13">
        <f t="shared" si="37"/>
        <v>0.70603015075376918</v>
      </c>
      <c r="L91" s="13">
        <f t="shared" si="38"/>
        <v>0.17094017094017111</v>
      </c>
      <c r="M91" s="13">
        <f t="shared" si="39"/>
        <v>5.0251256281407024E-2</v>
      </c>
      <c r="N91" s="13">
        <f t="shared" si="40"/>
        <v>19.900000000000006</v>
      </c>
      <c r="O91" s="85">
        <v>18</v>
      </c>
      <c r="P91" s="85">
        <f t="shared" si="41"/>
        <v>3.0769230769230798</v>
      </c>
      <c r="Q91" s="85"/>
      <c r="R91" t="s">
        <v>175</v>
      </c>
      <c r="S91" s="85"/>
    </row>
    <row r="92" spans="1:19" x14ac:dyDescent="0.35">
      <c r="A92" s="137"/>
      <c r="B92" s="85"/>
      <c r="C92" s="85"/>
      <c r="D92" s="85"/>
      <c r="E92" s="85"/>
      <c r="F92" s="85">
        <f>120+23.03</f>
        <v>143.03</v>
      </c>
      <c r="G92" s="85">
        <f>120+29.15</f>
        <v>149.15</v>
      </c>
      <c r="H92" s="13">
        <f t="shared" si="35"/>
        <v>6.1200000000000045</v>
      </c>
      <c r="I92" s="13">
        <f t="shared" si="42"/>
        <v>14.870000000000005</v>
      </c>
      <c r="J92" s="13">
        <f t="shared" si="36"/>
        <v>0.29156741305383527</v>
      </c>
      <c r="K92" s="13">
        <f t="shared" si="37"/>
        <v>0.70843258694616473</v>
      </c>
      <c r="L92" s="13">
        <f t="shared" si="38"/>
        <v>0.16339869281045741</v>
      </c>
      <c r="M92" s="13">
        <f t="shared" si="39"/>
        <v>4.7641734159123372E-2</v>
      </c>
      <c r="N92" s="13">
        <f t="shared" si="40"/>
        <v>20.990000000000009</v>
      </c>
      <c r="O92" s="85">
        <v>20</v>
      </c>
      <c r="P92" s="85">
        <f t="shared" si="41"/>
        <v>3.267973856209148</v>
      </c>
      <c r="Q92" s="85"/>
      <c r="R92" s="85"/>
      <c r="S92" s="85"/>
    </row>
    <row r="93" spans="1:19" x14ac:dyDescent="0.35">
      <c r="A93" s="85"/>
      <c r="B93" s="144">
        <v>52.9</v>
      </c>
      <c r="C93" s="144">
        <v>59.88</v>
      </c>
      <c r="D93" s="144">
        <f>C93-B93</f>
        <v>6.980000000000004</v>
      </c>
      <c r="E93" s="144"/>
      <c r="F93" s="144">
        <f>120+44.02</f>
        <v>164.02</v>
      </c>
      <c r="G93" s="144">
        <f>120+50.95</f>
        <v>170.95</v>
      </c>
      <c r="H93" s="91">
        <f t="shared" si="35"/>
        <v>6.9299999999999784</v>
      </c>
      <c r="I93" s="91">
        <f t="shared" si="42"/>
        <v>32.610000000000014</v>
      </c>
      <c r="J93" s="91">
        <f t="shared" si="36"/>
        <v>0.17526555386949874</v>
      </c>
      <c r="K93" s="91">
        <f t="shared" si="37"/>
        <v>0.82473444613050129</v>
      </c>
      <c r="L93" s="91">
        <f t="shared" si="38"/>
        <v>0.14430014430014476</v>
      </c>
      <c r="M93" s="91">
        <f t="shared" si="39"/>
        <v>2.5290844714213459E-2</v>
      </c>
      <c r="N93" s="91">
        <f t="shared" si="40"/>
        <v>39.539999999999992</v>
      </c>
      <c r="O93" s="144">
        <v>22</v>
      </c>
      <c r="P93" s="144">
        <f t="shared" si="41"/>
        <v>3.1746031746031846</v>
      </c>
      <c r="Q93" s="85"/>
      <c r="R93" s="85"/>
      <c r="S93" s="85"/>
    </row>
    <row r="94" spans="1:19" x14ac:dyDescent="0.35">
      <c r="A94" s="85"/>
      <c r="B94" s="85"/>
      <c r="C94" s="85"/>
      <c r="D94" s="85"/>
      <c r="E94" s="85"/>
      <c r="F94" s="85">
        <f>120+83.56</f>
        <v>203.56</v>
      </c>
      <c r="G94" s="85">
        <f>120+90.64</f>
        <v>210.64</v>
      </c>
      <c r="H94" s="13">
        <f t="shared" si="35"/>
        <v>7.0799999999999841</v>
      </c>
      <c r="I94" s="13">
        <f t="shared" si="42"/>
        <v>15.670000000000016</v>
      </c>
      <c r="J94" s="13">
        <f t="shared" si="36"/>
        <v>0.31120879120879053</v>
      </c>
      <c r="K94" s="13">
        <f t="shared" si="37"/>
        <v>0.68879120879120947</v>
      </c>
      <c r="L94" s="13">
        <f t="shared" si="38"/>
        <v>0.14124293785310765</v>
      </c>
      <c r="M94" s="13">
        <f t="shared" si="39"/>
        <v>4.3956043956043959E-2</v>
      </c>
      <c r="N94" s="13">
        <f t="shared" si="40"/>
        <v>22.75</v>
      </c>
      <c r="O94" s="85">
        <v>24</v>
      </c>
      <c r="P94" s="85">
        <f t="shared" si="41"/>
        <v>3.3898305084745837</v>
      </c>
      <c r="Q94" s="85"/>
      <c r="R94" s="85"/>
      <c r="S94" s="85"/>
    </row>
    <row r="95" spans="1:19" x14ac:dyDescent="0.35">
      <c r="A95" s="85"/>
      <c r="B95" s="144">
        <v>115.19</v>
      </c>
      <c r="C95" s="144">
        <v>121.97</v>
      </c>
      <c r="D95" s="144">
        <f>C95-B95</f>
        <v>6.7800000000000011</v>
      </c>
      <c r="E95" s="144"/>
      <c r="F95" s="144">
        <f>120+106.31</f>
        <v>226.31</v>
      </c>
      <c r="G95" s="144">
        <f>120+113.24</f>
        <v>233.24</v>
      </c>
      <c r="H95" s="91">
        <f t="shared" si="35"/>
        <v>6.9300000000000068</v>
      </c>
      <c r="I95" s="91">
        <f t="shared" ref="I95:I110" si="43">F96-G95</f>
        <v>34.96999999999997</v>
      </c>
      <c r="J95" s="91">
        <f t="shared" si="36"/>
        <v>0.16539379474940361</v>
      </c>
      <c r="K95" s="91">
        <f t="shared" si="37"/>
        <v>0.83460620525059637</v>
      </c>
      <c r="L95" s="91">
        <f t="shared" si="38"/>
        <v>0.14430014430014415</v>
      </c>
      <c r="M95" s="91">
        <f t="shared" si="39"/>
        <v>2.3866348448687364E-2</v>
      </c>
      <c r="N95" s="91">
        <f t="shared" si="40"/>
        <v>41.899999999999977</v>
      </c>
      <c r="O95" s="144">
        <v>24</v>
      </c>
      <c r="P95" s="144">
        <f t="shared" si="41"/>
        <v>3.4632034632034596</v>
      </c>
      <c r="Q95" s="85"/>
      <c r="R95" s="85"/>
      <c r="S95" s="85"/>
    </row>
    <row r="96" spans="1:19" x14ac:dyDescent="0.35">
      <c r="A96" s="85"/>
      <c r="B96" s="85"/>
      <c r="C96" s="85"/>
      <c r="D96" s="85"/>
      <c r="E96" s="85"/>
      <c r="F96" s="85">
        <f>240+28.21</f>
        <v>268.20999999999998</v>
      </c>
      <c r="G96" s="85">
        <f>240+34.4</f>
        <v>274.39999999999998</v>
      </c>
      <c r="H96" s="13">
        <f t="shared" si="35"/>
        <v>6.1899999999999977</v>
      </c>
      <c r="I96" s="13">
        <f t="shared" si="43"/>
        <v>19.160000000000025</v>
      </c>
      <c r="J96" s="13">
        <f t="shared" si="36"/>
        <v>0.24418145956607465</v>
      </c>
      <c r="K96" s="13">
        <f t="shared" si="37"/>
        <v>0.75581854043392538</v>
      </c>
      <c r="L96" s="13">
        <f t="shared" si="38"/>
        <v>0.16155088852988697</v>
      </c>
      <c r="M96" s="13">
        <f t="shared" si="39"/>
        <v>3.9447731755424029E-2</v>
      </c>
      <c r="N96" s="13">
        <f t="shared" si="40"/>
        <v>25.350000000000023</v>
      </c>
      <c r="O96" s="85">
        <v>19</v>
      </c>
      <c r="P96" s="85">
        <f t="shared" si="41"/>
        <v>3.0694668820678523</v>
      </c>
      <c r="Q96" s="85"/>
      <c r="R96" t="s">
        <v>176</v>
      </c>
      <c r="S96" s="85"/>
    </row>
    <row r="97" spans="1:19" x14ac:dyDescent="0.35">
      <c r="A97" s="85"/>
      <c r="B97" s="144">
        <v>63.73</v>
      </c>
      <c r="C97" s="144">
        <v>70.739999999999995</v>
      </c>
      <c r="D97" s="144">
        <f>C97-B97</f>
        <v>7.009999999999998</v>
      </c>
      <c r="E97" s="144"/>
      <c r="F97" s="144">
        <f>240+53.56</f>
        <v>293.56</v>
      </c>
      <c r="G97" s="144">
        <f>240+61.23</f>
        <v>301.23</v>
      </c>
      <c r="H97" s="91">
        <f t="shared" si="35"/>
        <v>7.6700000000000159</v>
      </c>
      <c r="I97" s="91">
        <f t="shared" si="43"/>
        <v>36.979999999999961</v>
      </c>
      <c r="J97" s="91">
        <f t="shared" si="36"/>
        <v>0.17178051511758163</v>
      </c>
      <c r="K97" s="91">
        <f t="shared" si="37"/>
        <v>0.82821948488241837</v>
      </c>
      <c r="L97" s="91">
        <f t="shared" si="38"/>
        <v>0.13037809647979112</v>
      </c>
      <c r="M97" s="91">
        <f t="shared" si="39"/>
        <v>2.2396416573348274E-2</v>
      </c>
      <c r="N97" s="91">
        <f t="shared" si="40"/>
        <v>44.649999999999977</v>
      </c>
      <c r="O97" s="144">
        <v>9</v>
      </c>
      <c r="P97" s="144">
        <f t="shared" si="41"/>
        <v>1.1734028683181201</v>
      </c>
      <c r="Q97" s="85"/>
      <c r="R97" s="85"/>
      <c r="S97" s="85"/>
    </row>
    <row r="98" spans="1:19" x14ac:dyDescent="0.35">
      <c r="A98" s="85"/>
      <c r="B98" s="85"/>
      <c r="C98" s="85"/>
      <c r="D98" s="85"/>
      <c r="E98" s="85"/>
      <c r="F98" s="85">
        <f>240+98.21</f>
        <v>338.21</v>
      </c>
      <c r="G98" s="85">
        <f>240+104.47</f>
        <v>344.47</v>
      </c>
      <c r="H98" s="13">
        <f t="shared" si="35"/>
        <v>6.2600000000000477</v>
      </c>
      <c r="I98" s="13">
        <f t="shared" si="43"/>
        <v>14.829999999999984</v>
      </c>
      <c r="J98" s="13">
        <f t="shared" si="36"/>
        <v>0.2968231389284039</v>
      </c>
      <c r="K98" s="13">
        <f t="shared" si="37"/>
        <v>0.70317686107159605</v>
      </c>
      <c r="L98" s="13">
        <f t="shared" si="38"/>
        <v>0.15974440894568567</v>
      </c>
      <c r="M98" s="13">
        <f t="shared" si="39"/>
        <v>4.7415836889521029E-2</v>
      </c>
      <c r="N98" s="13">
        <f t="shared" si="40"/>
        <v>21.090000000000032</v>
      </c>
      <c r="O98" s="85">
        <v>19</v>
      </c>
      <c r="P98" s="85">
        <f t="shared" si="41"/>
        <v>3.0351437699680281</v>
      </c>
      <c r="Q98" s="85"/>
      <c r="R98" s="85"/>
      <c r="S98" s="85"/>
    </row>
    <row r="99" spans="1:19" x14ac:dyDescent="0.35">
      <c r="A99" s="85"/>
      <c r="B99" s="85"/>
      <c r="C99" s="85"/>
      <c r="D99" s="85"/>
      <c r="E99" s="85"/>
      <c r="F99" s="85">
        <f>240+119.3</f>
        <v>359.3</v>
      </c>
      <c r="G99" s="85">
        <f>240+125.24</f>
        <v>365.24</v>
      </c>
      <c r="H99" s="13">
        <f t="shared" si="35"/>
        <v>5.9399999999999977</v>
      </c>
      <c r="I99" s="13">
        <f t="shared" si="43"/>
        <v>10.839999999999975</v>
      </c>
      <c r="J99" s="13">
        <f t="shared" si="36"/>
        <v>0.35399284862932107</v>
      </c>
      <c r="K99" s="13">
        <f t="shared" si="37"/>
        <v>0.64600715137067899</v>
      </c>
      <c r="L99" s="13">
        <f t="shared" si="38"/>
        <v>0.16835016835016842</v>
      </c>
      <c r="M99" s="13">
        <f t="shared" si="39"/>
        <v>5.9594755661501887E-2</v>
      </c>
      <c r="N99" s="13">
        <f t="shared" si="40"/>
        <v>16.779999999999973</v>
      </c>
      <c r="O99" s="85">
        <v>7</v>
      </c>
      <c r="P99" s="85">
        <f t="shared" si="41"/>
        <v>1.1784511784511789</v>
      </c>
      <c r="Q99" s="85"/>
      <c r="R99" s="85"/>
      <c r="S99" s="85"/>
    </row>
    <row r="100" spans="1:19" x14ac:dyDescent="0.35">
      <c r="A100" s="150" t="s">
        <v>171</v>
      </c>
      <c r="B100" s="85"/>
      <c r="C100" s="85"/>
      <c r="D100" s="85"/>
      <c r="E100" s="85"/>
      <c r="F100" s="85">
        <f>360+16.08</f>
        <v>376.08</v>
      </c>
      <c r="G100" s="85">
        <f>360+22.36</f>
        <v>382.36</v>
      </c>
      <c r="H100" s="13">
        <f t="shared" si="35"/>
        <v>6.2800000000000296</v>
      </c>
      <c r="I100" s="13">
        <f t="shared" si="43"/>
        <v>20.899999999999977</v>
      </c>
      <c r="J100" s="13">
        <f t="shared" si="36"/>
        <v>0.23105224429727844</v>
      </c>
      <c r="K100" s="13">
        <f t="shared" si="37"/>
        <v>0.76894775570272156</v>
      </c>
      <c r="L100" s="13">
        <f t="shared" si="38"/>
        <v>0.15923566878980816</v>
      </c>
      <c r="M100" s="13">
        <f t="shared" si="39"/>
        <v>3.6791758646063273E-2</v>
      </c>
      <c r="N100" s="13">
        <f t="shared" si="40"/>
        <v>27.180000000000007</v>
      </c>
      <c r="O100" s="85">
        <v>20</v>
      </c>
      <c r="P100" s="85">
        <f t="shared" si="41"/>
        <v>3.1847133757961634</v>
      </c>
      <c r="Q100" s="85"/>
      <c r="R100" t="s">
        <v>177</v>
      </c>
      <c r="S100" s="85"/>
    </row>
    <row r="101" spans="1:19" x14ac:dyDescent="0.35">
      <c r="A101" s="151"/>
      <c r="B101" s="144">
        <v>52.73</v>
      </c>
      <c r="C101" s="144">
        <v>59.74</v>
      </c>
      <c r="D101" s="144">
        <f>C101-B101</f>
        <v>7.0100000000000051</v>
      </c>
      <c r="E101" s="144"/>
      <c r="F101" s="144">
        <f>360+43.26</f>
        <v>403.26</v>
      </c>
      <c r="G101" s="144">
        <f>360+49.31</f>
        <v>409.31</v>
      </c>
      <c r="H101" s="91">
        <f t="shared" si="35"/>
        <v>6.0500000000000114</v>
      </c>
      <c r="I101" s="91">
        <f t="shared" si="43"/>
        <v>71.490000000000009</v>
      </c>
      <c r="J101" s="91">
        <f t="shared" si="36"/>
        <v>7.8024245550683644E-2</v>
      </c>
      <c r="K101" s="91">
        <f t="shared" si="37"/>
        <v>0.92197575444931634</v>
      </c>
      <c r="L101" s="91">
        <f t="shared" si="38"/>
        <v>0.16528925619834681</v>
      </c>
      <c r="M101" s="91">
        <f t="shared" si="39"/>
        <v>1.2896569512509668E-2</v>
      </c>
      <c r="N101" s="91">
        <f t="shared" si="40"/>
        <v>77.54000000000002</v>
      </c>
      <c r="O101" s="144">
        <v>19</v>
      </c>
      <c r="P101" s="144">
        <f t="shared" si="41"/>
        <v>3.140495867768589</v>
      </c>
      <c r="Q101" s="85"/>
      <c r="R101" s="85"/>
      <c r="S101" s="85"/>
    </row>
    <row r="102" spans="1:19" x14ac:dyDescent="0.35">
      <c r="A102" s="85"/>
      <c r="B102" s="85"/>
      <c r="C102" s="85"/>
      <c r="D102" s="85"/>
      <c r="E102" s="85"/>
      <c r="F102" s="85">
        <f>480+0.8</f>
        <v>480.8</v>
      </c>
      <c r="G102" s="85">
        <f>480+6.95</f>
        <v>486.95</v>
      </c>
      <c r="H102" s="13">
        <f t="shared" si="35"/>
        <v>6.1499999999999773</v>
      </c>
      <c r="I102" s="13">
        <f t="shared" si="43"/>
        <v>19.689999999999998</v>
      </c>
      <c r="J102" s="13">
        <f t="shared" si="36"/>
        <v>0.23800309597523156</v>
      </c>
      <c r="K102" s="13">
        <f t="shared" si="37"/>
        <v>0.7619969040247685</v>
      </c>
      <c r="L102" s="13">
        <f t="shared" si="38"/>
        <v>0.16260162601626077</v>
      </c>
      <c r="M102" s="13">
        <f t="shared" si="39"/>
        <v>3.8699690402476818E-2</v>
      </c>
      <c r="N102" s="13">
        <f t="shared" si="40"/>
        <v>25.839999999999975</v>
      </c>
      <c r="O102" s="85">
        <v>19</v>
      </c>
      <c r="P102" s="85">
        <f t="shared" si="41"/>
        <v>3.0894308943089546</v>
      </c>
      <c r="Q102" s="85"/>
      <c r="R102" t="s">
        <v>178</v>
      </c>
      <c r="S102" s="85"/>
    </row>
    <row r="103" spans="1:19" x14ac:dyDescent="0.35">
      <c r="A103" s="85"/>
      <c r="B103" s="85"/>
      <c r="C103" s="85"/>
      <c r="D103" s="85"/>
      <c r="E103" s="85"/>
      <c r="F103" s="85">
        <f>26.64+480</f>
        <v>506.64</v>
      </c>
      <c r="G103" s="85">
        <f>480+34.38</f>
        <v>514.38</v>
      </c>
      <c r="H103" s="13">
        <f t="shared" si="35"/>
        <v>7.7400000000000091</v>
      </c>
      <c r="I103" s="13">
        <f t="shared" si="43"/>
        <v>17.360000000000014</v>
      </c>
      <c r="J103" s="13">
        <f t="shared" si="36"/>
        <v>0.30836653386454194</v>
      </c>
      <c r="K103" s="13">
        <f t="shared" si="37"/>
        <v>0.69163346613545806</v>
      </c>
      <c r="L103" s="13">
        <f t="shared" si="38"/>
        <v>0.12919896640826858</v>
      </c>
      <c r="M103" s="13">
        <f t="shared" si="39"/>
        <v>3.9840637450199168E-2</v>
      </c>
      <c r="N103" s="13">
        <f t="shared" si="40"/>
        <v>25.100000000000023</v>
      </c>
      <c r="O103" s="85">
        <v>19</v>
      </c>
      <c r="P103" s="85">
        <f t="shared" si="41"/>
        <v>2.4547803617571029</v>
      </c>
      <c r="Q103" s="85"/>
      <c r="R103" s="85"/>
      <c r="S103" s="85"/>
    </row>
    <row r="104" spans="1:19" x14ac:dyDescent="0.35">
      <c r="A104" s="85"/>
      <c r="B104" s="85"/>
      <c r="C104" s="85"/>
      <c r="D104" s="85"/>
      <c r="E104" s="85"/>
      <c r="F104" s="85">
        <f>480+51.74</f>
        <v>531.74</v>
      </c>
      <c r="G104" s="85">
        <f>480+59.03</f>
        <v>539.03</v>
      </c>
      <c r="H104" s="13">
        <f t="shared" si="35"/>
        <v>7.2899999999999636</v>
      </c>
      <c r="I104" s="13">
        <f t="shared" si="43"/>
        <v>28.139999999999986</v>
      </c>
      <c r="J104" s="13">
        <f t="shared" si="36"/>
        <v>0.20575783234546921</v>
      </c>
      <c r="K104" s="13">
        <f t="shared" si="37"/>
        <v>0.79424216765453082</v>
      </c>
      <c r="L104" s="13">
        <f t="shared" si="38"/>
        <v>0.13717421124828599</v>
      </c>
      <c r="M104" s="13">
        <f t="shared" si="39"/>
        <v>2.822466836014681E-2</v>
      </c>
      <c r="N104" s="13">
        <f t="shared" si="40"/>
        <v>35.42999999999995</v>
      </c>
      <c r="O104" s="85">
        <v>24</v>
      </c>
      <c r="P104" s="85">
        <f t="shared" si="41"/>
        <v>3.2921810699588643</v>
      </c>
      <c r="Q104" s="85"/>
      <c r="R104" s="85"/>
      <c r="S104" s="85"/>
    </row>
    <row r="105" spans="1:19" x14ac:dyDescent="0.35">
      <c r="A105" s="150" t="s">
        <v>171</v>
      </c>
      <c r="B105" s="144">
        <v>96.91</v>
      </c>
      <c r="C105" s="144">
        <v>103.99</v>
      </c>
      <c r="D105" s="144">
        <f>C105-B105</f>
        <v>7.0799999999999983</v>
      </c>
      <c r="E105" s="144"/>
      <c r="F105" s="144">
        <f>480+87.17</f>
        <v>567.16999999999996</v>
      </c>
      <c r="G105" s="144">
        <f>94.32+480</f>
        <v>574.31999999999994</v>
      </c>
      <c r="H105" s="91">
        <f t="shared" si="35"/>
        <v>7.1499999999999773</v>
      </c>
      <c r="I105" s="91">
        <f t="shared" si="43"/>
        <v>40.970000000000027</v>
      </c>
      <c r="J105" s="91">
        <f t="shared" si="36"/>
        <v>0.14858686616791306</v>
      </c>
      <c r="K105" s="91">
        <f t="shared" si="37"/>
        <v>0.85141313383208694</v>
      </c>
      <c r="L105" s="91">
        <f t="shared" si="38"/>
        <v>0.13986013986014031</v>
      </c>
      <c r="M105" s="91">
        <f t="shared" si="39"/>
        <v>2.078137988362427E-2</v>
      </c>
      <c r="N105" s="91">
        <f t="shared" si="40"/>
        <v>48.120000000000005</v>
      </c>
      <c r="O105" s="144">
        <v>22</v>
      </c>
      <c r="P105" s="144">
        <f t="shared" si="41"/>
        <v>3.0769230769230869</v>
      </c>
      <c r="Q105" s="85"/>
      <c r="R105" s="85"/>
      <c r="S105" s="85"/>
    </row>
    <row r="106" spans="1:19" x14ac:dyDescent="0.35">
      <c r="A106" s="151"/>
      <c r="B106" s="85"/>
      <c r="C106" s="85"/>
      <c r="D106" s="85"/>
      <c r="E106" s="85"/>
      <c r="F106" s="85">
        <f>600+15.29</f>
        <v>615.29</v>
      </c>
      <c r="G106" s="85">
        <v>622.95000000000005</v>
      </c>
      <c r="H106" s="13">
        <f t="shared" si="35"/>
        <v>7.6600000000000819</v>
      </c>
      <c r="I106" s="13">
        <f t="shared" si="43"/>
        <v>5.7199999999999136</v>
      </c>
      <c r="J106" s="13">
        <f t="shared" si="36"/>
        <v>0.57249626307922907</v>
      </c>
      <c r="K106" s="13">
        <f t="shared" si="37"/>
        <v>0.42750373692077098</v>
      </c>
      <c r="L106" s="13">
        <f t="shared" si="38"/>
        <v>0.13054830287206126</v>
      </c>
      <c r="M106" s="13">
        <f t="shared" si="39"/>
        <v>7.4738415545590464E-2</v>
      </c>
      <c r="N106" s="13">
        <f t="shared" si="40"/>
        <v>13.379999999999995</v>
      </c>
      <c r="O106" s="85">
        <v>10</v>
      </c>
      <c r="P106" s="85">
        <f t="shared" si="41"/>
        <v>1.3054830287206127</v>
      </c>
      <c r="Q106" s="85"/>
      <c r="R106" t="s">
        <v>179</v>
      </c>
      <c r="S106" s="85"/>
    </row>
    <row r="107" spans="1:19" x14ac:dyDescent="0.35">
      <c r="A107" s="85"/>
      <c r="B107" s="85"/>
      <c r="C107" s="85"/>
      <c r="D107" s="85"/>
      <c r="E107" s="85"/>
      <c r="F107" s="85">
        <v>628.66999999999996</v>
      </c>
      <c r="G107" s="85">
        <v>636.30999999999995</v>
      </c>
      <c r="H107" s="13">
        <f t="shared" si="35"/>
        <v>7.6399999999999864</v>
      </c>
      <c r="I107" s="13">
        <f t="shared" si="43"/>
        <v>23.230000000000018</v>
      </c>
      <c r="J107" s="13">
        <f t="shared" si="36"/>
        <v>0.24748947197926741</v>
      </c>
      <c r="K107" s="13">
        <f t="shared" si="37"/>
        <v>0.75251052802073259</v>
      </c>
      <c r="L107" s="13">
        <f t="shared" si="38"/>
        <v>0.13089005235602116</v>
      </c>
      <c r="M107" s="13">
        <f t="shared" si="39"/>
        <v>3.2393909944930348E-2</v>
      </c>
      <c r="N107" s="13">
        <f t="shared" si="40"/>
        <v>30.870000000000005</v>
      </c>
      <c r="O107" s="85">
        <v>21</v>
      </c>
      <c r="P107" s="85">
        <f t="shared" si="41"/>
        <v>2.7486910994764449</v>
      </c>
      <c r="Q107" s="85"/>
      <c r="R107" s="85"/>
      <c r="S107" s="85"/>
    </row>
    <row r="108" spans="1:19" x14ac:dyDescent="0.35">
      <c r="A108" s="85"/>
      <c r="B108" s="85"/>
      <c r="C108" s="85"/>
      <c r="D108" s="85"/>
      <c r="E108" s="85"/>
      <c r="F108" s="85">
        <v>659.54</v>
      </c>
      <c r="G108" s="85">
        <v>667.38</v>
      </c>
      <c r="H108" s="13">
        <f t="shared" si="35"/>
        <v>7.8400000000000318</v>
      </c>
      <c r="I108" s="13">
        <f t="shared" si="43"/>
        <v>16.649999999999977</v>
      </c>
      <c r="J108" s="13">
        <f t="shared" si="36"/>
        <v>0.32013066557778802</v>
      </c>
      <c r="K108" s="13">
        <f t="shared" si="37"/>
        <v>0.67986933442221198</v>
      </c>
      <c r="L108" s="13">
        <f t="shared" si="38"/>
        <v>0.12755102040816274</v>
      </c>
      <c r="M108" s="13">
        <f t="shared" si="39"/>
        <v>4.0832993058391165E-2</v>
      </c>
      <c r="N108" s="13">
        <f t="shared" si="40"/>
        <v>24.490000000000009</v>
      </c>
      <c r="O108" s="85">
        <v>27</v>
      </c>
      <c r="P108" s="85">
        <f t="shared" si="41"/>
        <v>3.4438775510203943</v>
      </c>
      <c r="Q108" s="85"/>
      <c r="R108" s="85"/>
      <c r="S108" s="85"/>
    </row>
    <row r="109" spans="1:19" x14ac:dyDescent="0.35">
      <c r="A109" s="85"/>
      <c r="B109" s="85"/>
      <c r="C109" s="85"/>
      <c r="D109" s="85"/>
      <c r="E109" s="85"/>
      <c r="F109" s="85">
        <v>684.03</v>
      </c>
      <c r="G109" s="85">
        <v>691.79</v>
      </c>
      <c r="H109" s="13">
        <f t="shared" si="35"/>
        <v>7.7599999999999909</v>
      </c>
      <c r="I109" s="13">
        <f t="shared" si="43"/>
        <v>15.82000000000005</v>
      </c>
      <c r="J109" s="13">
        <f t="shared" si="36"/>
        <v>0.32909245122985487</v>
      </c>
      <c r="K109" s="13">
        <f t="shared" si="37"/>
        <v>0.67090754877014513</v>
      </c>
      <c r="L109" s="13">
        <f t="shared" si="38"/>
        <v>0.12886597938144345</v>
      </c>
      <c r="M109" s="13">
        <f t="shared" si="39"/>
        <v>4.2408821034775161E-2</v>
      </c>
      <c r="N109" s="13">
        <f t="shared" si="40"/>
        <v>23.580000000000041</v>
      </c>
      <c r="O109" s="85">
        <v>26</v>
      </c>
      <c r="P109" s="85">
        <f t="shared" si="41"/>
        <v>3.3505154639175299</v>
      </c>
      <c r="Q109" s="85"/>
      <c r="R109" s="85"/>
      <c r="S109" s="85"/>
    </row>
    <row r="110" spans="1:19" x14ac:dyDescent="0.35">
      <c r="A110" s="85"/>
      <c r="B110" s="85"/>
      <c r="C110" s="85"/>
      <c r="D110" s="85"/>
      <c r="E110" s="85"/>
      <c r="F110" s="85">
        <v>707.61</v>
      </c>
      <c r="G110" s="85">
        <v>715.43</v>
      </c>
      <c r="H110" s="13">
        <f t="shared" si="35"/>
        <v>7.8199999999999363</v>
      </c>
      <c r="I110" s="13">
        <f t="shared" si="43"/>
        <v>17.930000000000064</v>
      </c>
      <c r="J110" s="13">
        <f t="shared" si="36"/>
        <v>0.30368932038834706</v>
      </c>
      <c r="K110" s="13">
        <f t="shared" si="37"/>
        <v>0.69631067961165294</v>
      </c>
      <c r="L110" s="13">
        <f t="shared" si="38"/>
        <v>0.12787723785166344</v>
      </c>
      <c r="M110" s="13">
        <f t="shared" si="39"/>
        <v>3.8834951456310676E-2</v>
      </c>
      <c r="N110" s="13">
        <f t="shared" si="40"/>
        <v>25.75</v>
      </c>
      <c r="O110" s="85">
        <v>28</v>
      </c>
      <c r="P110" s="85">
        <f t="shared" si="41"/>
        <v>3.5805626598465765</v>
      </c>
      <c r="Q110" s="85"/>
      <c r="R110" s="85"/>
      <c r="S110" s="85"/>
    </row>
    <row r="111" spans="1:19" x14ac:dyDescent="0.35">
      <c r="A111" s="85"/>
      <c r="B111" s="85"/>
      <c r="C111" s="85"/>
      <c r="D111" s="85"/>
      <c r="E111" s="85"/>
      <c r="F111" s="85">
        <f>720+13.36</f>
        <v>733.36</v>
      </c>
      <c r="G111" s="85"/>
      <c r="H111" s="13"/>
      <c r="I111" s="13"/>
      <c r="J111" s="13"/>
      <c r="K111" s="13"/>
      <c r="L111" s="13"/>
      <c r="M111" s="13"/>
      <c r="N111" s="13"/>
      <c r="O111" s="85"/>
      <c r="P111" s="85"/>
      <c r="Q111" s="85"/>
      <c r="R111" t="s">
        <v>180</v>
      </c>
      <c r="S111" s="85"/>
    </row>
    <row r="112" spans="1:19" x14ac:dyDescent="0.35">
      <c r="A112" s="85"/>
      <c r="B112" s="85"/>
      <c r="C112" s="85"/>
      <c r="D112" s="85"/>
      <c r="E112" s="85"/>
      <c r="F112" s="85"/>
      <c r="G112" s="85"/>
      <c r="H112" s="13"/>
      <c r="I112" s="13"/>
      <c r="J112" s="13"/>
      <c r="K112" s="13"/>
      <c r="L112" s="13"/>
      <c r="M112" s="13"/>
      <c r="N112" s="13"/>
      <c r="O112" s="85"/>
      <c r="P112" s="85"/>
      <c r="Q112" s="85"/>
      <c r="R112" s="85"/>
      <c r="S112" s="85"/>
    </row>
    <row r="113" spans="1:19" ht="16" thickBot="1" x14ac:dyDescent="0.4">
      <c r="A113" s="85"/>
      <c r="B113" s="85"/>
      <c r="C113" s="85"/>
      <c r="D113" s="85"/>
      <c r="E113" s="85"/>
      <c r="F113" s="85"/>
      <c r="G113" s="85"/>
      <c r="H113" s="9" t="s">
        <v>3</v>
      </c>
      <c r="I113" s="9" t="s">
        <v>4</v>
      </c>
      <c r="J113" s="9" t="s">
        <v>5</v>
      </c>
      <c r="K113" s="9" t="s">
        <v>6</v>
      </c>
      <c r="L113" s="9" t="s">
        <v>7</v>
      </c>
      <c r="M113" s="9" t="s">
        <v>8</v>
      </c>
      <c r="N113" s="9" t="s">
        <v>9</v>
      </c>
      <c r="O113" s="9" t="s">
        <v>10</v>
      </c>
      <c r="P113" s="44" t="s">
        <v>139</v>
      </c>
      <c r="Q113" s="85"/>
      <c r="R113" s="85"/>
      <c r="S113" s="85"/>
    </row>
    <row r="114" spans="1:19" x14ac:dyDescent="0.35">
      <c r="A114" s="85"/>
      <c r="B114" s="85"/>
      <c r="C114" s="85"/>
      <c r="D114" s="85"/>
      <c r="E114" s="137" t="s">
        <v>192</v>
      </c>
      <c r="F114" s="85"/>
      <c r="G114" s="3" t="s">
        <v>77</v>
      </c>
      <c r="H114" s="13">
        <f>AVERAGE(H90,H93,H95,H97,H101,H105,H28)</f>
        <v>6.6757142857142844</v>
      </c>
      <c r="I114" s="13">
        <f t="shared" ref="I114:P114" si="44">AVERAGE(I90,I93,I95,I97,I101,I105,I28)</f>
        <v>34.381428571428565</v>
      </c>
      <c r="J114" s="13">
        <f t="shared" si="44"/>
        <v>0.20609414480659871</v>
      </c>
      <c r="K114" s="13">
        <f t="shared" si="44"/>
        <v>0.79390585519340129</v>
      </c>
      <c r="L114" s="13">
        <f t="shared" si="44"/>
        <v>0.15107659019295688</v>
      </c>
      <c r="M114" s="13">
        <f t="shared" si="44"/>
        <v>3.1839891306647682E-2</v>
      </c>
      <c r="N114" s="13">
        <f t="shared" si="44"/>
        <v>41.057142857142857</v>
      </c>
      <c r="O114" s="13">
        <f t="shared" si="44"/>
        <v>19.142857142857142</v>
      </c>
      <c r="P114" s="13">
        <f t="shared" si="44"/>
        <v>2.9076264077629381</v>
      </c>
      <c r="Q114" s="85"/>
      <c r="R114" s="85"/>
      <c r="S114" s="85"/>
    </row>
    <row r="115" spans="1:19" x14ac:dyDescent="0.35">
      <c r="A115" s="85"/>
      <c r="B115" s="85"/>
      <c r="C115" s="85"/>
      <c r="D115" s="85"/>
      <c r="E115" s="137"/>
      <c r="F115" s="85"/>
      <c r="G115" s="3" t="s">
        <v>94</v>
      </c>
      <c r="H115" s="13">
        <f>_xlfn.STDEV.S(H90,H93,H95,H97,H101,H105,H28)</f>
        <v>0.66630466362010565</v>
      </c>
      <c r="I115" s="13">
        <f t="shared" ref="I115:P115" si="45">_xlfn.STDEV.S(I90,I93,I95,I97,I101,I105,I28)</f>
        <v>20.315541200906139</v>
      </c>
      <c r="J115" s="13">
        <f t="shared" si="45"/>
        <v>0.11249907487690171</v>
      </c>
      <c r="K115" s="13">
        <f t="shared" si="45"/>
        <v>0.11249907487690129</v>
      </c>
      <c r="L115" s="13">
        <f t="shared" si="45"/>
        <v>1.4994583245578749E-2</v>
      </c>
      <c r="M115" s="13">
        <f t="shared" si="45"/>
        <v>2.0221241543531603E-2</v>
      </c>
      <c r="N115" s="13">
        <f t="shared" si="45"/>
        <v>20.435601870498559</v>
      </c>
      <c r="O115" s="13">
        <f t="shared" si="45"/>
        <v>5.0142653642240669</v>
      </c>
      <c r="P115" s="13">
        <f t="shared" si="45"/>
        <v>0.79200538596131975</v>
      </c>
      <c r="Q115" s="85"/>
      <c r="R115" s="85"/>
      <c r="S115" s="85"/>
    </row>
    <row r="116" spans="1:19" x14ac:dyDescent="0.35">
      <c r="A116" s="85"/>
      <c r="B116" s="85"/>
      <c r="C116" s="85"/>
      <c r="D116" s="85"/>
      <c r="E116" s="137"/>
      <c r="F116" s="85"/>
      <c r="G116" s="3" t="s">
        <v>95</v>
      </c>
      <c r="H116" s="85">
        <f>H115/SQRT(7)</f>
        <v>0.25183949104876363</v>
      </c>
      <c r="I116" s="85">
        <f t="shared" ref="I116:P116" si="46">I115/SQRT(7)</f>
        <v>7.6785528238977321</v>
      </c>
      <c r="J116" s="85">
        <f t="shared" si="46"/>
        <v>4.2520653549873749E-2</v>
      </c>
      <c r="K116" s="85">
        <f t="shared" si="46"/>
        <v>4.252065354987359E-2</v>
      </c>
      <c r="L116" s="85">
        <f t="shared" si="46"/>
        <v>5.6674197544081591E-3</v>
      </c>
      <c r="M116" s="85">
        <f t="shared" si="46"/>
        <v>7.6429109035932143E-3</v>
      </c>
      <c r="N116" s="85">
        <f t="shared" si="46"/>
        <v>7.723931491609366</v>
      </c>
      <c r="O116" s="85">
        <f t="shared" si="46"/>
        <v>1.8952141659173702</v>
      </c>
      <c r="P116" s="85">
        <f t="shared" si="46"/>
        <v>0.29934989832533981</v>
      </c>
      <c r="Q116" s="85"/>
      <c r="R116" s="85"/>
      <c r="S116" s="85"/>
    </row>
    <row r="117" spans="1:19" x14ac:dyDescent="0.35">
      <c r="A117" s="85"/>
      <c r="B117" s="85"/>
      <c r="C117" s="85"/>
      <c r="D117" s="85"/>
      <c r="E117" s="137"/>
      <c r="F117" s="85"/>
      <c r="G117" s="3"/>
      <c r="H117" s="85"/>
      <c r="I117" s="85"/>
      <c r="J117" s="85"/>
      <c r="K117" s="85"/>
      <c r="L117" s="85"/>
      <c r="M117" s="85"/>
      <c r="N117" s="85"/>
      <c r="O117" s="85"/>
      <c r="P117" s="85"/>
      <c r="Q117" s="85"/>
      <c r="R117" s="85"/>
      <c r="S117" s="85"/>
    </row>
    <row r="118" spans="1:19" x14ac:dyDescent="0.35">
      <c r="E118" s="137"/>
      <c r="F118" s="85"/>
      <c r="G118" s="3"/>
    </row>
    <row r="119" spans="1:19" x14ac:dyDescent="0.35">
      <c r="E119" s="137" t="s">
        <v>195</v>
      </c>
      <c r="F119" s="85"/>
      <c r="G119" s="3" t="s">
        <v>77</v>
      </c>
      <c r="H119">
        <f>AVERAGE(H91,H94,H96,H102,H106,H29)</f>
        <v>6.6450000000000058</v>
      </c>
      <c r="I119">
        <f t="shared" ref="I119:P119" si="47">AVERAGE(I91,I94,I96,I102,I106,I29)</f>
        <v>14.149999999999993</v>
      </c>
      <c r="J119">
        <f t="shared" si="47"/>
        <v>0.34255017575285868</v>
      </c>
      <c r="K119">
        <f t="shared" si="47"/>
        <v>0.65744982424714127</v>
      </c>
      <c r="L119">
        <f t="shared" si="47"/>
        <v>0.1518293575386101</v>
      </c>
      <c r="M119">
        <f t="shared" si="47"/>
        <v>5.0678865820166542E-2</v>
      </c>
      <c r="N119">
        <f t="shared" si="47"/>
        <v>20.795000000000002</v>
      </c>
      <c r="O119">
        <f t="shared" si="47"/>
        <v>18.666666666666668</v>
      </c>
      <c r="P119">
        <f t="shared" si="47"/>
        <v>2.8501938681564809</v>
      </c>
    </row>
    <row r="120" spans="1:19" x14ac:dyDescent="0.35">
      <c r="E120" s="137"/>
      <c r="F120" s="85"/>
      <c r="G120" s="3" t="s">
        <v>94</v>
      </c>
      <c r="H120">
        <f>_xlfn.STDEV.S(H91,H94,H96,H102,H106,H29)</f>
        <v>0.69145498768903058</v>
      </c>
      <c r="I120">
        <f t="shared" ref="I120:P120" si="48">_xlfn.STDEV.S(I91,I94,I96,I102,I106,I29)</f>
        <v>5.3236942060941477</v>
      </c>
      <c r="J120">
        <f t="shared" si="48"/>
        <v>0.12619154652851511</v>
      </c>
      <c r="K120">
        <f t="shared" si="48"/>
        <v>0.12619154652851572</v>
      </c>
      <c r="L120">
        <f t="shared" si="48"/>
        <v>1.5495754281543995E-2</v>
      </c>
      <c r="M120">
        <f t="shared" si="48"/>
        <v>1.3664443953750841E-2</v>
      </c>
      <c r="N120">
        <f t="shared" si="48"/>
        <v>4.8235951322638977</v>
      </c>
      <c r="O120">
        <f t="shared" si="48"/>
        <v>4.8027769744874371</v>
      </c>
      <c r="P120">
        <f t="shared" si="48"/>
        <v>0.76633606464654369</v>
      </c>
    </row>
    <row r="121" spans="1:19" x14ac:dyDescent="0.35">
      <c r="E121" s="137"/>
      <c r="F121" s="85"/>
      <c r="G121" s="3" t="s">
        <v>95</v>
      </c>
      <c r="H121">
        <f>H120/SQRT(6)</f>
        <v>0.28228531665675821</v>
      </c>
      <c r="I121">
        <f t="shared" ref="I121:P121" si="49">I120/SQRT(6)</f>
        <v>2.1733890585903084</v>
      </c>
      <c r="J121">
        <f t="shared" si="49"/>
        <v>5.1517483141257328E-2</v>
      </c>
      <c r="K121">
        <f t="shared" si="49"/>
        <v>5.1517483141257578E-2</v>
      </c>
      <c r="L121">
        <f t="shared" si="49"/>
        <v>6.3261151948884225E-3</v>
      </c>
      <c r="M121">
        <f t="shared" si="49"/>
        <v>5.5784858842580507E-3</v>
      </c>
      <c r="N121">
        <f t="shared" si="49"/>
        <v>1.9692244666365477</v>
      </c>
      <c r="O121">
        <f t="shared" si="49"/>
        <v>1.9607254893137007</v>
      </c>
      <c r="P121">
        <f t="shared" si="49"/>
        <v>0.31285538831275589</v>
      </c>
    </row>
    <row r="122" spans="1:19" x14ac:dyDescent="0.35">
      <c r="E122" s="137"/>
      <c r="F122" s="85"/>
      <c r="G122" s="3"/>
    </row>
    <row r="123" spans="1:19" x14ac:dyDescent="0.35">
      <c r="E123" s="137"/>
      <c r="F123" s="85"/>
      <c r="G123" s="3"/>
    </row>
    <row r="124" spans="1:19" x14ac:dyDescent="0.35">
      <c r="E124" s="137" t="s">
        <v>194</v>
      </c>
      <c r="F124" s="85"/>
      <c r="G124" s="3" t="s">
        <v>77</v>
      </c>
      <c r="H124">
        <f>AVERAGE(H86:H89,H92,H99:H100,H103:H104,H107:H110)</f>
        <v>7.089230769230765</v>
      </c>
      <c r="I124">
        <f t="shared" ref="I124:P124" si="50">AVERAGE(I86:I89,I92,I99:I100,I103:I104,I107:I110)</f>
        <v>16.799230769230775</v>
      </c>
      <c r="J124">
        <f t="shared" si="50"/>
        <v>0.30550828297258409</v>
      </c>
      <c r="K124">
        <f t="shared" si="50"/>
        <v>0.69449171702741586</v>
      </c>
      <c r="L124">
        <f t="shared" si="50"/>
        <v>0.14227212645110973</v>
      </c>
      <c r="M124">
        <f t="shared" si="50"/>
        <v>4.3514740733157101E-2</v>
      </c>
      <c r="N124">
        <f t="shared" si="50"/>
        <v>23.888461538461538</v>
      </c>
      <c r="O124">
        <f t="shared" si="50"/>
        <v>21.923076923076923</v>
      </c>
      <c r="P124">
        <f t="shared" si="50"/>
        <v>3.0705343557474567</v>
      </c>
    </row>
    <row r="125" spans="1:19" x14ac:dyDescent="0.35">
      <c r="E125" s="137"/>
      <c r="F125" s="85"/>
      <c r="G125" s="3" t="s">
        <v>94</v>
      </c>
      <c r="H125">
        <f>_xlfn.STDEV.S(H86:H89,H92,H99:H100,H103:H104,H107:H110)</f>
        <v>0.66640154984889954</v>
      </c>
      <c r="I125">
        <f t="shared" ref="I125:P125" si="51">_xlfn.STDEV.S(I86:I89,I92,I99:I100,I103:I104,I107:I110)</f>
        <v>4.8486775886806903</v>
      </c>
      <c r="J125">
        <f t="shared" si="51"/>
        <v>4.8860111301998625E-2</v>
      </c>
      <c r="K125">
        <f t="shared" si="51"/>
        <v>4.8860111301998577E-2</v>
      </c>
      <c r="L125">
        <f t="shared" si="51"/>
        <v>1.4024824169929149E-2</v>
      </c>
      <c r="M125">
        <f t="shared" si="51"/>
        <v>8.5767772341694554E-3</v>
      </c>
      <c r="N125">
        <f t="shared" si="51"/>
        <v>5.1256688118947729</v>
      </c>
      <c r="O125">
        <f t="shared" si="51"/>
        <v>5.2513734467206854</v>
      </c>
      <c r="P125">
        <f t="shared" si="51"/>
        <v>0.64413536982406006</v>
      </c>
    </row>
    <row r="126" spans="1:19" x14ac:dyDescent="0.35">
      <c r="E126" s="85"/>
      <c r="F126" s="85"/>
      <c r="G126" s="3" t="s">
        <v>95</v>
      </c>
      <c r="H126">
        <f>H125/SQRT(13)</f>
        <v>0.1848265352329907</v>
      </c>
      <c r="I126">
        <f t="shared" ref="I126:P126" si="52">I125/SQRT(13)</f>
        <v>1.3447812049370249</v>
      </c>
      <c r="J126">
        <f t="shared" si="52"/>
        <v>1.3551356663402587E-2</v>
      </c>
      <c r="K126">
        <f t="shared" si="52"/>
        <v>1.3551356663402573E-2</v>
      </c>
      <c r="L126">
        <f t="shared" si="52"/>
        <v>3.8897863595420178E-3</v>
      </c>
      <c r="M126">
        <f t="shared" si="52"/>
        <v>2.3787700073869375E-3</v>
      </c>
      <c r="N126">
        <f t="shared" si="52"/>
        <v>1.4216047478717839</v>
      </c>
      <c r="O126">
        <f t="shared" si="52"/>
        <v>1.456468940673961</v>
      </c>
      <c r="P126">
        <f t="shared" si="52"/>
        <v>0.17865100801850833</v>
      </c>
    </row>
    <row r="127" spans="1:19" x14ac:dyDescent="0.35">
      <c r="E127" s="85"/>
      <c r="F127" s="85"/>
      <c r="G127" s="85"/>
    </row>
    <row r="128" spans="1:19" x14ac:dyDescent="0.35">
      <c r="E128" s="137" t="s">
        <v>196</v>
      </c>
      <c r="F128" s="137"/>
      <c r="G128" s="3" t="s">
        <v>77</v>
      </c>
      <c r="H128">
        <f>AVERAGE(H101,H105)</f>
        <v>6.5999999999999943</v>
      </c>
      <c r="I128">
        <f t="shared" ref="I128:P128" si="53">AVERAGE(I101,I105)</f>
        <v>56.230000000000018</v>
      </c>
      <c r="J128">
        <f t="shared" si="53"/>
        <v>0.11330555585929836</v>
      </c>
      <c r="K128">
        <f t="shared" si="53"/>
        <v>0.88669444414070164</v>
      </c>
      <c r="L128">
        <f t="shared" si="53"/>
        <v>0.15257469802924356</v>
      </c>
      <c r="M128">
        <f t="shared" si="53"/>
        <v>1.6838974698066968E-2</v>
      </c>
      <c r="N128">
        <f t="shared" si="53"/>
        <v>62.830000000000013</v>
      </c>
      <c r="O128">
        <f t="shared" si="53"/>
        <v>20.5</v>
      </c>
      <c r="P128">
        <f t="shared" si="53"/>
        <v>3.1087094723458382</v>
      </c>
    </row>
    <row r="129" spans="5:16" x14ac:dyDescent="0.35">
      <c r="E129" s="137"/>
      <c r="F129" s="137"/>
      <c r="G129" s="3" t="s">
        <v>94</v>
      </c>
      <c r="H129">
        <f>_xlfn.STDEV.S(H101,H105)</f>
        <v>0.77781745930517809</v>
      </c>
      <c r="I129">
        <f t="shared" ref="I129:P129" si="54">_xlfn.STDEV.S(I101,I105)</f>
        <v>21.580898961813432</v>
      </c>
      <c r="J129">
        <f t="shared" si="54"/>
        <v>4.9895307536736606E-2</v>
      </c>
      <c r="K129">
        <f t="shared" si="54"/>
        <v>4.9895307536736593E-2</v>
      </c>
      <c r="L129">
        <f t="shared" si="54"/>
        <v>1.7981100602327438E-2</v>
      </c>
      <c r="M129">
        <f t="shared" si="54"/>
        <v>5.5754028817851546E-3</v>
      </c>
      <c r="N129">
        <f t="shared" si="54"/>
        <v>20.80308150250826</v>
      </c>
      <c r="O129">
        <f t="shared" si="54"/>
        <v>2.1213203435596424</v>
      </c>
      <c r="P129">
        <f t="shared" si="54"/>
        <v>4.4952751505808644E-2</v>
      </c>
    </row>
    <row r="130" spans="5:16" x14ac:dyDescent="0.35">
      <c r="E130" s="137"/>
      <c r="F130" s="137"/>
      <c r="G130" s="3" t="s">
        <v>95</v>
      </c>
      <c r="H130">
        <f>H129/SQRT(2)</f>
        <v>0.54999999999998284</v>
      </c>
      <c r="I130">
        <f t="shared" ref="I130:P130" si="55">I129/SQRT(2)</f>
        <v>15.26</v>
      </c>
      <c r="J130">
        <f t="shared" si="55"/>
        <v>3.5281310308614706E-2</v>
      </c>
      <c r="K130">
        <f t="shared" si="55"/>
        <v>3.5281310308614693E-2</v>
      </c>
      <c r="L130">
        <f t="shared" si="55"/>
        <v>1.2714558169103244E-2</v>
      </c>
      <c r="M130">
        <f t="shared" si="55"/>
        <v>3.9424051855573017E-3</v>
      </c>
      <c r="N130">
        <f t="shared" si="55"/>
        <v>14.71000000000002</v>
      </c>
      <c r="O130">
        <f t="shared" si="55"/>
        <v>1.4999999999999998</v>
      </c>
      <c r="P130">
        <f t="shared" si="55"/>
        <v>3.1786395422751072E-2</v>
      </c>
    </row>
    <row r="133" spans="5:16" x14ac:dyDescent="0.35">
      <c r="E133" s="137" t="s">
        <v>197</v>
      </c>
      <c r="F133" s="85"/>
      <c r="G133" s="3" t="s">
        <v>77</v>
      </c>
      <c r="H133">
        <f>AVERAGE(H90,H93,H95,H97,H28)</f>
        <v>6.7060000000000004</v>
      </c>
      <c r="I133">
        <f t="shared" ref="I133:P133" si="56">AVERAGE(I90,I93,I95,I97,I28)</f>
        <v>25.641999999999985</v>
      </c>
      <c r="J133">
        <f t="shared" si="56"/>
        <v>0.24320958038551885</v>
      </c>
      <c r="K133">
        <f t="shared" si="56"/>
        <v>0.75679041961448124</v>
      </c>
      <c r="L133">
        <f t="shared" si="56"/>
        <v>0.15047734705844221</v>
      </c>
      <c r="M133">
        <f t="shared" si="56"/>
        <v>3.7840257950079968E-2</v>
      </c>
      <c r="N133">
        <f t="shared" si="56"/>
        <v>32.347999999999992</v>
      </c>
      <c r="O133">
        <f t="shared" si="56"/>
        <v>18.600000000000001</v>
      </c>
      <c r="P133">
        <f t="shared" si="56"/>
        <v>2.8271931819297782</v>
      </c>
    </row>
    <row r="134" spans="5:16" x14ac:dyDescent="0.35">
      <c r="E134" s="85"/>
      <c r="F134" s="85"/>
      <c r="G134" s="3" t="s">
        <v>94</v>
      </c>
      <c r="H134">
        <f>_xlfn.STDEV.S(H90,H93,H95,H97,H28)</f>
        <v>0.71461877949015928</v>
      </c>
      <c r="I134">
        <f t="shared" ref="I134:P134" si="57">_xlfn.STDEV.S(I90,I93,I95,I97,I28)</f>
        <v>12.980599755019023</v>
      </c>
      <c r="J134">
        <f t="shared" si="57"/>
        <v>0.11106246790212239</v>
      </c>
      <c r="K134">
        <f t="shared" si="57"/>
        <v>0.11106246790212226</v>
      </c>
      <c r="L134">
        <f t="shared" si="57"/>
        <v>1.596418699410436E-2</v>
      </c>
      <c r="M134">
        <f t="shared" si="57"/>
        <v>2.11673660536899E-2</v>
      </c>
      <c r="N134">
        <f t="shared" si="57"/>
        <v>13.65241993201203</v>
      </c>
      <c r="O134">
        <f t="shared" si="57"/>
        <v>5.9413803110051804</v>
      </c>
      <c r="P134">
        <f t="shared" si="57"/>
        <v>0.95503902036366495</v>
      </c>
    </row>
    <row r="135" spans="5:16" x14ac:dyDescent="0.35">
      <c r="E135" s="85"/>
      <c r="F135" s="85"/>
      <c r="G135" s="3" t="s">
        <v>95</v>
      </c>
      <c r="H135">
        <f>H134/SQRT(5)</f>
        <v>0.31958723378758574</v>
      </c>
      <c r="I135">
        <f t="shared" ref="I135:P135" si="58">I134/SQRT(5)</f>
        <v>5.8051006881879301</v>
      </c>
      <c r="J135">
        <f t="shared" si="58"/>
        <v>4.9668645595606825E-2</v>
      </c>
      <c r="K135">
        <f t="shared" si="58"/>
        <v>4.9668645595606763E-2</v>
      </c>
      <c r="L135">
        <f t="shared" si="58"/>
        <v>7.1394014648670763E-3</v>
      </c>
      <c r="M135">
        <f t="shared" si="58"/>
        <v>9.4663338801344154E-3</v>
      </c>
      <c r="N135">
        <f t="shared" si="58"/>
        <v>6.1055478050703913</v>
      </c>
      <c r="O135">
        <f t="shared" si="58"/>
        <v>2.657066051117285</v>
      </c>
      <c r="P135">
        <f t="shared" si="58"/>
        <v>0.42710643413959215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13"/>
  <sheetViews>
    <sheetView topLeftCell="A73" workbookViewId="0">
      <selection activeCell="O100" sqref="O100:P100"/>
    </sheetView>
  </sheetViews>
  <sheetFormatPr defaultRowHeight="14.5" x14ac:dyDescent="0.35"/>
  <cols>
    <col min="2" max="2" width="10.54296875" customWidth="1"/>
    <col min="3" max="3" width="10.26953125" customWidth="1"/>
    <col min="13" max="13" width="11.1796875" customWidth="1"/>
  </cols>
  <sheetData>
    <row r="4" spans="2:19" ht="18.5" x14ac:dyDescent="0.45">
      <c r="B4" s="2"/>
      <c r="C4" s="1" t="s">
        <v>188</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46.49</v>
      </c>
      <c r="G7" s="2">
        <v>49.86</v>
      </c>
      <c r="H7" s="2">
        <f t="shared" ref="H7:H13" si="0">G7-F7</f>
        <v>3.3699999999999974</v>
      </c>
      <c r="I7" s="2">
        <f t="shared" ref="I7:I13" si="1">F8-G7</f>
        <v>15.579999999999998</v>
      </c>
      <c r="J7" s="2">
        <f t="shared" ref="J7:J13" si="2">H7/N7</f>
        <v>0.17783641160949859</v>
      </c>
      <c r="K7" s="2">
        <f t="shared" ref="K7:K13" si="3">I7/N7</f>
        <v>0.82216358839050141</v>
      </c>
      <c r="L7" s="2">
        <f t="shared" ref="L7:L13" si="4">1/H7</f>
        <v>0.29673590504451058</v>
      </c>
      <c r="M7" s="2">
        <f t="shared" ref="M7:M13" si="5">1/N7</f>
        <v>5.2770448548812673E-2</v>
      </c>
      <c r="N7" s="2">
        <f t="shared" ref="N7:N13" si="6">H7+I7</f>
        <v>18.949999999999996</v>
      </c>
      <c r="O7" s="2">
        <v>22</v>
      </c>
      <c r="P7">
        <f t="shared" ref="P7:P13" si="7">O7/H7</f>
        <v>6.5281899109792336</v>
      </c>
      <c r="R7" t="s">
        <v>189</v>
      </c>
    </row>
    <row r="8" spans="2:19" x14ac:dyDescent="0.35">
      <c r="B8" s="2"/>
      <c r="C8" s="2"/>
      <c r="D8" s="2"/>
      <c r="E8" s="2"/>
      <c r="F8" s="2">
        <v>65.44</v>
      </c>
      <c r="G8" s="2">
        <v>68.75</v>
      </c>
      <c r="H8" s="2">
        <f t="shared" si="0"/>
        <v>3.3100000000000023</v>
      </c>
      <c r="I8" s="2">
        <f t="shared" si="1"/>
        <v>9.5999999999999943</v>
      </c>
      <c r="J8" s="2">
        <f t="shared" si="2"/>
        <v>0.25639039504260286</v>
      </c>
      <c r="K8" s="2">
        <f t="shared" si="3"/>
        <v>0.74360960495739714</v>
      </c>
      <c r="L8" s="2">
        <f t="shared" si="4"/>
        <v>0.30211480362537746</v>
      </c>
      <c r="M8" s="2">
        <f t="shared" si="5"/>
        <v>7.7459333849728917E-2</v>
      </c>
      <c r="N8" s="2">
        <f t="shared" si="6"/>
        <v>12.909999999999997</v>
      </c>
      <c r="O8" s="2">
        <v>23</v>
      </c>
      <c r="P8">
        <f t="shared" si="7"/>
        <v>6.9486404833836808</v>
      </c>
    </row>
    <row r="9" spans="2:19" x14ac:dyDescent="0.35">
      <c r="B9" s="2"/>
      <c r="C9" s="2"/>
      <c r="D9" s="2"/>
      <c r="E9" s="2"/>
      <c r="F9" s="2">
        <v>78.349999999999994</v>
      </c>
      <c r="G9" s="2">
        <v>81.400000000000006</v>
      </c>
      <c r="H9" s="2">
        <f t="shared" si="0"/>
        <v>3.0500000000000114</v>
      </c>
      <c r="I9" s="2">
        <f t="shared" si="1"/>
        <v>8.61</v>
      </c>
      <c r="J9" s="2">
        <f t="shared" si="2"/>
        <v>0.26157804459691325</v>
      </c>
      <c r="K9" s="2">
        <f t="shared" si="3"/>
        <v>0.73842195540308675</v>
      </c>
      <c r="L9" s="2">
        <f t="shared" si="4"/>
        <v>0.32786885245901515</v>
      </c>
      <c r="M9" s="2">
        <f t="shared" si="5"/>
        <v>8.5763293310463048E-2</v>
      </c>
      <c r="N9" s="2">
        <f t="shared" si="6"/>
        <v>11.660000000000011</v>
      </c>
      <c r="O9" s="2">
        <v>20</v>
      </c>
      <c r="P9">
        <f t="shared" si="7"/>
        <v>6.5573770491803032</v>
      </c>
    </row>
    <row r="10" spans="2:19" x14ac:dyDescent="0.35">
      <c r="B10" s="2"/>
      <c r="C10" s="2"/>
      <c r="D10" s="2"/>
      <c r="E10" s="2"/>
      <c r="F10" s="13">
        <v>90.01</v>
      </c>
      <c r="G10" s="13">
        <v>93.89</v>
      </c>
      <c r="H10" s="2">
        <f t="shared" si="0"/>
        <v>3.8799999999999955</v>
      </c>
      <c r="I10" s="2">
        <f t="shared" si="1"/>
        <v>14.810000000000002</v>
      </c>
      <c r="J10" s="2">
        <f t="shared" si="2"/>
        <v>0.20759764579989276</v>
      </c>
      <c r="K10" s="2">
        <f t="shared" si="3"/>
        <v>0.79240235420010718</v>
      </c>
      <c r="L10" s="2">
        <f t="shared" si="4"/>
        <v>0.2577319587628869</v>
      </c>
      <c r="M10" s="2">
        <f t="shared" si="5"/>
        <v>5.3504547886570365E-2</v>
      </c>
      <c r="N10" s="2">
        <f t="shared" si="6"/>
        <v>18.689999999999998</v>
      </c>
      <c r="O10" s="13">
        <v>23</v>
      </c>
      <c r="P10">
        <f t="shared" si="7"/>
        <v>5.9278350515463991</v>
      </c>
    </row>
    <row r="11" spans="2:19" x14ac:dyDescent="0.35">
      <c r="B11" s="2"/>
      <c r="C11" s="2"/>
      <c r="D11" s="2"/>
      <c r="E11" s="2"/>
      <c r="F11" s="13">
        <v>108.7</v>
      </c>
      <c r="G11" s="13">
        <v>111.86</v>
      </c>
      <c r="H11" s="2">
        <f t="shared" si="0"/>
        <v>3.1599999999999966</v>
      </c>
      <c r="I11" s="2">
        <f t="shared" si="1"/>
        <v>10.209999999999994</v>
      </c>
      <c r="J11" s="2">
        <f t="shared" si="2"/>
        <v>0.23635003739715774</v>
      </c>
      <c r="K11" s="2">
        <f t="shared" si="3"/>
        <v>0.76364996260284224</v>
      </c>
      <c r="L11" s="2">
        <f t="shared" si="4"/>
        <v>0.316455696202532</v>
      </c>
      <c r="M11" s="2">
        <f t="shared" si="5"/>
        <v>7.4794315632012026E-2</v>
      </c>
      <c r="N11" s="2">
        <f t="shared" si="6"/>
        <v>13.36999999999999</v>
      </c>
      <c r="O11" s="13">
        <v>21</v>
      </c>
      <c r="P11">
        <f t="shared" si="7"/>
        <v>6.6455696202531715</v>
      </c>
    </row>
    <row r="12" spans="2:19" x14ac:dyDescent="0.35">
      <c r="B12" s="2"/>
      <c r="C12" s="2"/>
      <c r="D12" s="2"/>
      <c r="E12" s="2"/>
      <c r="F12" s="13">
        <f>120+2.07</f>
        <v>122.07</v>
      </c>
      <c r="G12" s="13">
        <f>120+6</f>
        <v>126</v>
      </c>
      <c r="H12" s="2">
        <f t="shared" si="0"/>
        <v>3.9300000000000068</v>
      </c>
      <c r="I12" s="2">
        <f t="shared" si="1"/>
        <v>20.77000000000001</v>
      </c>
      <c r="J12" s="2">
        <f t="shared" si="2"/>
        <v>0.15910931174089085</v>
      </c>
      <c r="K12" s="2">
        <f t="shared" si="3"/>
        <v>0.84089068825910918</v>
      </c>
      <c r="L12" s="2">
        <f t="shared" si="4"/>
        <v>0.25445292620865095</v>
      </c>
      <c r="M12" s="2">
        <f t="shared" si="5"/>
        <v>4.0485829959514143E-2</v>
      </c>
      <c r="N12" s="2">
        <f t="shared" si="6"/>
        <v>24.700000000000017</v>
      </c>
      <c r="O12" s="13">
        <v>23</v>
      </c>
      <c r="P12">
        <f t="shared" si="7"/>
        <v>5.8524173027989717</v>
      </c>
      <c r="R12" t="s">
        <v>190</v>
      </c>
    </row>
    <row r="13" spans="2:19" x14ac:dyDescent="0.35">
      <c r="B13" s="2"/>
      <c r="C13" s="2"/>
      <c r="D13" s="2"/>
      <c r="E13" s="2"/>
      <c r="F13" s="13">
        <f>120+26.77</f>
        <v>146.77000000000001</v>
      </c>
      <c r="G13" s="13">
        <f>120+29.95</f>
        <v>149.94999999999999</v>
      </c>
      <c r="H13" s="2">
        <f t="shared" si="0"/>
        <v>3.1799999999999784</v>
      </c>
      <c r="I13" s="2">
        <f t="shared" si="1"/>
        <v>16.02000000000001</v>
      </c>
      <c r="J13" s="2">
        <f t="shared" si="2"/>
        <v>0.16562499999999897</v>
      </c>
      <c r="K13" s="2">
        <f t="shared" si="3"/>
        <v>0.83437500000000098</v>
      </c>
      <c r="L13" s="2">
        <f t="shared" si="4"/>
        <v>0.3144654088050336</v>
      </c>
      <c r="M13" s="2">
        <f t="shared" si="5"/>
        <v>5.2083333333333363E-2</v>
      </c>
      <c r="N13" s="2">
        <f t="shared" si="6"/>
        <v>19.199999999999989</v>
      </c>
      <c r="O13" s="13">
        <v>20</v>
      </c>
      <c r="P13">
        <f t="shared" si="7"/>
        <v>6.2893081761006719</v>
      </c>
    </row>
    <row r="14" spans="2:19" x14ac:dyDescent="0.35">
      <c r="B14" s="2"/>
      <c r="C14" s="2"/>
      <c r="D14" s="2"/>
      <c r="E14" s="2"/>
      <c r="F14" s="13">
        <f>120+45.97</f>
        <v>165.97</v>
      </c>
      <c r="G14" s="13"/>
      <c r="H14" s="2"/>
      <c r="I14" s="2"/>
      <c r="J14" s="2"/>
      <c r="K14" s="2"/>
      <c r="L14" s="2"/>
      <c r="M14" s="2"/>
      <c r="N14" s="2"/>
      <c r="O14" s="13"/>
    </row>
    <row r="15" spans="2:19" x14ac:dyDescent="0.35">
      <c r="B15" s="2"/>
      <c r="C15" s="2"/>
      <c r="D15" s="2"/>
      <c r="E15" s="2"/>
      <c r="F15" s="13"/>
      <c r="G15" s="13"/>
      <c r="H15" s="2"/>
      <c r="I15" s="2"/>
      <c r="J15" s="2"/>
      <c r="K15" s="2"/>
      <c r="L15" s="2"/>
      <c r="M15" s="2"/>
      <c r="N15" s="2"/>
      <c r="O15" s="13"/>
    </row>
    <row r="16" spans="2:19" ht="16" thickBot="1" x14ac:dyDescent="0.4">
      <c r="B16" s="2"/>
      <c r="C16" s="2"/>
      <c r="D16" s="2"/>
      <c r="E16" s="2"/>
      <c r="F16" s="13"/>
      <c r="G16" s="13"/>
      <c r="H16" s="9" t="s">
        <v>3</v>
      </c>
      <c r="I16" s="9" t="s">
        <v>4</v>
      </c>
      <c r="J16" s="9" t="s">
        <v>5</v>
      </c>
      <c r="K16" s="9" t="s">
        <v>6</v>
      </c>
      <c r="L16" s="9" t="s">
        <v>7</v>
      </c>
      <c r="M16" s="9" t="s">
        <v>8</v>
      </c>
      <c r="N16" s="9" t="s">
        <v>9</v>
      </c>
      <c r="O16" s="9" t="s">
        <v>10</v>
      </c>
      <c r="P16" s="44" t="s">
        <v>139</v>
      </c>
    </row>
    <row r="17" spans="1:19" x14ac:dyDescent="0.35">
      <c r="B17" s="2"/>
      <c r="C17" s="2"/>
      <c r="D17" s="2"/>
      <c r="E17" s="2"/>
      <c r="F17" s="13"/>
      <c r="G17" s="49" t="s">
        <v>77</v>
      </c>
      <c r="H17" s="2">
        <f>AVERAGE(H7:H13)</f>
        <v>3.4114285714285697</v>
      </c>
      <c r="I17" s="2">
        <f t="shared" ref="I17:P17" si="8">AVERAGE(I7:I13)</f>
        <v>13.657142857142858</v>
      </c>
      <c r="J17" s="2">
        <f t="shared" si="8"/>
        <v>0.20921240659813642</v>
      </c>
      <c r="K17" s="2">
        <f t="shared" si="8"/>
        <v>0.79078759340186366</v>
      </c>
      <c r="L17" s="2">
        <f t="shared" si="8"/>
        <v>0.29568936444400101</v>
      </c>
      <c r="M17" s="2">
        <f t="shared" si="8"/>
        <v>6.2408728931490652E-2</v>
      </c>
      <c r="N17" s="2">
        <f t="shared" si="8"/>
        <v>17.068571428571428</v>
      </c>
      <c r="O17" s="2">
        <f t="shared" si="8"/>
        <v>21.714285714285715</v>
      </c>
      <c r="P17" s="2">
        <f t="shared" si="8"/>
        <v>6.3927625134632047</v>
      </c>
    </row>
    <row r="18" spans="1:19" x14ac:dyDescent="0.35">
      <c r="B18" s="2"/>
      <c r="C18" s="2"/>
      <c r="D18" s="2"/>
      <c r="E18" s="2"/>
      <c r="F18" s="13"/>
      <c r="G18" s="49" t="s">
        <v>94</v>
      </c>
      <c r="H18" s="2">
        <f>_xlfn.STDEV.S(H7:H13)</f>
        <v>0.35305469696297775</v>
      </c>
      <c r="I18" s="2">
        <f t="shared" ref="I18:P18" si="9">_xlfn.STDEV.S(I7:I13)</f>
        <v>4.3783395417506386</v>
      </c>
      <c r="J18" s="2">
        <f t="shared" si="9"/>
        <v>4.3014757708367407E-2</v>
      </c>
      <c r="K18" s="2">
        <f t="shared" si="9"/>
        <v>4.3014757708367199E-2</v>
      </c>
      <c r="L18" s="2">
        <f t="shared" si="9"/>
        <v>2.8875854462802976E-2</v>
      </c>
      <c r="M18" s="2">
        <f t="shared" si="9"/>
        <v>1.6756925563590923E-2</v>
      </c>
      <c r="N18" s="2">
        <f t="shared" si="9"/>
        <v>4.6399763956706721</v>
      </c>
      <c r="O18" s="2">
        <f t="shared" si="9"/>
        <v>1.3801311186847083</v>
      </c>
      <c r="P18" s="2">
        <f t="shared" si="9"/>
        <v>0.39521799206367142</v>
      </c>
    </row>
    <row r="19" spans="1:19" x14ac:dyDescent="0.35">
      <c r="B19" s="2"/>
      <c r="C19" s="2"/>
      <c r="D19" s="2"/>
      <c r="E19" s="2"/>
      <c r="F19" s="13"/>
      <c r="G19" s="49" t="s">
        <v>95</v>
      </c>
      <c r="H19" s="2">
        <f>H18/SQRT(7)</f>
        <v>0.13344213248104431</v>
      </c>
      <c r="I19" s="2">
        <f t="shared" ref="I19:P19" si="10">I18/SQRT(7)</f>
        <v>1.6548567975532416</v>
      </c>
      <c r="J19" s="2">
        <f t="shared" si="10"/>
        <v>1.6258050228862682E-2</v>
      </c>
      <c r="K19" s="2">
        <f t="shared" si="10"/>
        <v>1.6258050228862602E-2</v>
      </c>
      <c r="L19" s="2">
        <f t="shared" si="10"/>
        <v>1.0914047114724469E-2</v>
      </c>
      <c r="M19" s="2">
        <f t="shared" si="10"/>
        <v>6.3335225398974907E-3</v>
      </c>
      <c r="N19" s="2">
        <f t="shared" si="10"/>
        <v>1.7537462331649192</v>
      </c>
      <c r="O19" s="2">
        <f t="shared" si="10"/>
        <v>0.52164053095730101</v>
      </c>
      <c r="P19" s="2">
        <f t="shared" si="10"/>
        <v>0.14937836009411051</v>
      </c>
    </row>
    <row r="20" spans="1:19" x14ac:dyDescent="0.35">
      <c r="B20" s="2"/>
      <c r="C20" s="2"/>
      <c r="D20" s="2"/>
      <c r="E20" s="2"/>
      <c r="F20" s="13"/>
      <c r="G20" s="13"/>
      <c r="H20" s="2"/>
      <c r="I20" s="2"/>
      <c r="J20" s="2"/>
      <c r="K20" s="2"/>
      <c r="L20" s="2"/>
      <c r="M20" s="2"/>
      <c r="N20" s="2"/>
      <c r="O20" s="13"/>
    </row>
    <row r="21" spans="1:19" x14ac:dyDescent="0.35">
      <c r="B21" s="2"/>
      <c r="C21" s="2"/>
      <c r="D21" s="2"/>
      <c r="E21" s="2"/>
      <c r="F21" s="13"/>
      <c r="G21" s="13"/>
      <c r="H21" s="2"/>
      <c r="I21" s="2"/>
      <c r="J21" s="2"/>
      <c r="K21" s="2"/>
      <c r="L21" s="2"/>
      <c r="M21" s="2"/>
      <c r="N21" s="2"/>
      <c r="O21" s="13"/>
    </row>
    <row r="22" spans="1:19" x14ac:dyDescent="0.35">
      <c r="B22" s="2"/>
      <c r="C22" s="2"/>
      <c r="D22" s="2"/>
      <c r="E22" s="2"/>
      <c r="F22" s="2"/>
      <c r="G22" s="2"/>
      <c r="H22" s="2"/>
      <c r="I22" s="2"/>
      <c r="J22" s="2"/>
      <c r="K22" s="2"/>
      <c r="L22" s="2"/>
      <c r="M22" s="2"/>
      <c r="N22" s="2"/>
      <c r="O22" s="2"/>
    </row>
    <row r="23" spans="1:19" x14ac:dyDescent="0.35">
      <c r="B23" s="2"/>
      <c r="C23" s="2"/>
      <c r="D23" s="2"/>
      <c r="E23" s="2"/>
      <c r="F23" s="2"/>
      <c r="G23" s="2"/>
      <c r="H23" s="49"/>
      <c r="I23" s="49"/>
      <c r="J23" s="49"/>
      <c r="K23" s="49"/>
      <c r="L23" s="49"/>
      <c r="M23" s="49"/>
      <c r="N23" s="49"/>
      <c r="O23" s="2"/>
    </row>
    <row r="24" spans="1:19" x14ac:dyDescent="0.35">
      <c r="A24" s="8"/>
      <c r="B24" s="6" t="s">
        <v>24</v>
      </c>
      <c r="D24" s="2"/>
      <c r="E24" s="2"/>
      <c r="F24" s="2"/>
      <c r="G24" s="2"/>
      <c r="H24" s="2"/>
      <c r="I24" s="2"/>
      <c r="J24" s="2"/>
      <c r="K24" s="2"/>
      <c r="L24" s="2"/>
      <c r="M24" s="2"/>
      <c r="N24" s="2"/>
      <c r="O24" s="2"/>
    </row>
    <row r="25" spans="1:19" x14ac:dyDescent="0.35">
      <c r="A25" s="7"/>
      <c r="B25" s="6" t="s">
        <v>72</v>
      </c>
      <c r="D25" s="2"/>
      <c r="E25" s="2"/>
      <c r="F25" s="2"/>
      <c r="G25" s="2"/>
      <c r="H25" s="2"/>
      <c r="I25" s="2"/>
      <c r="J25" s="2"/>
      <c r="K25" s="2"/>
      <c r="L25" s="2"/>
      <c r="M25" s="2"/>
      <c r="N25" s="2"/>
      <c r="O25" s="2"/>
    </row>
    <row r="26" spans="1:19" x14ac:dyDescent="0.35">
      <c r="B26" s="2"/>
      <c r="C26" s="2"/>
      <c r="D26" s="2"/>
      <c r="E26" s="2"/>
      <c r="F26" s="2"/>
      <c r="G26" s="2"/>
      <c r="H26" s="2"/>
      <c r="I26" s="2"/>
      <c r="J26" s="2"/>
      <c r="K26" s="2"/>
      <c r="L26" s="2"/>
      <c r="M26" s="2"/>
      <c r="N26" s="2"/>
      <c r="O26" s="2"/>
    </row>
    <row r="27" spans="1:19" ht="18.5" x14ac:dyDescent="0.45">
      <c r="B27" s="2"/>
      <c r="C27" s="2"/>
      <c r="D27" s="2"/>
      <c r="E27" s="2"/>
      <c r="F27" s="1" t="s">
        <v>22</v>
      </c>
      <c r="G27" s="2"/>
      <c r="H27" s="2"/>
      <c r="I27" s="2"/>
      <c r="J27" s="2"/>
      <c r="K27" s="2"/>
      <c r="L27" s="2"/>
      <c r="M27" s="2"/>
      <c r="N27" s="2"/>
      <c r="O27" s="2"/>
    </row>
    <row r="28" spans="1:19" ht="16" thickBot="1" x14ac:dyDescent="0.4">
      <c r="B28" s="9" t="s">
        <v>18</v>
      </c>
      <c r="C28" s="9" t="s">
        <v>17</v>
      </c>
      <c r="D28" s="9" t="s">
        <v>20</v>
      </c>
      <c r="E28" s="5"/>
      <c r="F28" s="9" t="s">
        <v>1</v>
      </c>
      <c r="G28" s="9" t="s">
        <v>2</v>
      </c>
      <c r="H28" s="9" t="s">
        <v>3</v>
      </c>
      <c r="I28" s="9" t="s">
        <v>4</v>
      </c>
      <c r="J28" s="9" t="s">
        <v>5</v>
      </c>
      <c r="K28" s="9" t="s">
        <v>6</v>
      </c>
      <c r="L28" s="9" t="s">
        <v>7</v>
      </c>
      <c r="M28" s="9" t="s">
        <v>8</v>
      </c>
      <c r="N28" s="9" t="s">
        <v>9</v>
      </c>
      <c r="O28" s="9" t="s">
        <v>10</v>
      </c>
      <c r="P28" s="44" t="s">
        <v>139</v>
      </c>
      <c r="R28" s="44" t="s">
        <v>134</v>
      </c>
    </row>
    <row r="29" spans="1:19" x14ac:dyDescent="0.35">
      <c r="A29" s="85"/>
      <c r="B29" s="145"/>
      <c r="C29" s="146"/>
      <c r="D29" s="147"/>
      <c r="E29" s="13"/>
      <c r="F29" s="148">
        <v>45.97</v>
      </c>
      <c r="G29" s="13">
        <v>49.77</v>
      </c>
      <c r="H29" s="13">
        <f t="shared" ref="H29:H47" si="11">G29-F29</f>
        <v>3.8000000000000043</v>
      </c>
      <c r="I29" s="13">
        <f t="shared" ref="I29:I47" si="12">F30-G29</f>
        <v>16.189999999999991</v>
      </c>
      <c r="J29" s="13">
        <f t="shared" ref="J29:J47" si="13">H29/N29</f>
        <v>0.19009504752376213</v>
      </c>
      <c r="K29" s="13">
        <f t="shared" ref="K29:K47" si="14">I29/N29</f>
        <v>0.80990495247623784</v>
      </c>
      <c r="L29" s="13">
        <f t="shared" ref="L29:L47" si="15">1/H29</f>
        <v>0.26315789473684181</v>
      </c>
      <c r="M29" s="13">
        <f t="shared" ref="M29:M47" si="16">1/N29</f>
        <v>5.0025012506253137E-2</v>
      </c>
      <c r="N29" s="13">
        <f t="shared" ref="N29:N47" si="17">H29+I29</f>
        <v>19.989999999999995</v>
      </c>
      <c r="O29" s="13">
        <v>22</v>
      </c>
      <c r="P29" s="85">
        <f t="shared" ref="P29:P47" si="18">O29/H29</f>
        <v>5.7894736842105194</v>
      </c>
      <c r="Q29" s="85"/>
      <c r="R29" t="s">
        <v>190</v>
      </c>
      <c r="S29" s="85"/>
    </row>
    <row r="30" spans="1:19" x14ac:dyDescent="0.35">
      <c r="A30" s="85"/>
      <c r="B30" s="85"/>
      <c r="C30" s="85"/>
      <c r="D30" s="85"/>
      <c r="E30" s="85"/>
      <c r="F30" s="85">
        <v>65.959999999999994</v>
      </c>
      <c r="G30" s="85">
        <v>69.569999999999993</v>
      </c>
      <c r="H30" s="13">
        <f t="shared" si="11"/>
        <v>3.6099999999999994</v>
      </c>
      <c r="I30" s="13">
        <f t="shared" si="12"/>
        <v>10.38000000000001</v>
      </c>
      <c r="J30" s="13">
        <f t="shared" si="13"/>
        <v>0.25804145818441721</v>
      </c>
      <c r="K30" s="13">
        <f t="shared" si="14"/>
        <v>0.74195854181558274</v>
      </c>
      <c r="L30" s="13">
        <f t="shared" si="15"/>
        <v>0.2770083102493075</v>
      </c>
      <c r="M30" s="13">
        <f t="shared" si="16"/>
        <v>7.1479628305932769E-2</v>
      </c>
      <c r="N30" s="13">
        <f t="shared" si="17"/>
        <v>13.990000000000009</v>
      </c>
      <c r="O30" s="85">
        <v>23</v>
      </c>
      <c r="P30" s="85">
        <f t="shared" si="18"/>
        <v>6.3711911357340734</v>
      </c>
      <c r="Q30" s="85"/>
      <c r="R30" s="85"/>
      <c r="S30" s="85"/>
    </row>
    <row r="31" spans="1:19" x14ac:dyDescent="0.35">
      <c r="A31" s="85"/>
      <c r="B31" s="144">
        <v>81.239999999999995</v>
      </c>
      <c r="C31" s="144">
        <v>84.24</v>
      </c>
      <c r="D31" s="144">
        <f>C31-B31</f>
        <v>3</v>
      </c>
      <c r="E31" s="144"/>
      <c r="F31" s="144">
        <v>79.95</v>
      </c>
      <c r="G31" s="144">
        <v>82.19</v>
      </c>
      <c r="H31" s="91">
        <f t="shared" si="11"/>
        <v>2.2399999999999949</v>
      </c>
      <c r="I31" s="91">
        <f t="shared" si="12"/>
        <v>46.150000000000006</v>
      </c>
      <c r="J31" s="91">
        <f t="shared" si="13"/>
        <v>4.6290555899979227E-2</v>
      </c>
      <c r="K31" s="91">
        <f t="shared" si="14"/>
        <v>0.95370944410002079</v>
      </c>
      <c r="L31" s="91">
        <f t="shared" si="15"/>
        <v>0.44642857142857245</v>
      </c>
      <c r="M31" s="91">
        <f t="shared" si="16"/>
        <v>2.0665426741062202E-2</v>
      </c>
      <c r="N31" s="91">
        <f t="shared" si="17"/>
        <v>48.39</v>
      </c>
      <c r="O31" s="144">
        <v>17</v>
      </c>
      <c r="P31" s="144">
        <f t="shared" si="18"/>
        <v>7.5892857142857313</v>
      </c>
      <c r="Q31" s="85"/>
      <c r="R31" s="85"/>
      <c r="S31" s="85"/>
    </row>
    <row r="32" spans="1:19" x14ac:dyDescent="0.35">
      <c r="A32" s="85"/>
      <c r="B32" s="144">
        <v>9.84</v>
      </c>
      <c r="C32" s="144">
        <v>12.84</v>
      </c>
      <c r="D32" s="144">
        <f>C32-B32</f>
        <v>3</v>
      </c>
      <c r="E32" s="144"/>
      <c r="F32" s="91">
        <f>120+8.34</f>
        <v>128.34</v>
      </c>
      <c r="G32" s="144">
        <f>120+11.05</f>
        <v>131.05000000000001</v>
      </c>
      <c r="H32" s="91">
        <f t="shared" si="11"/>
        <v>2.710000000000008</v>
      </c>
      <c r="I32" s="91">
        <f t="shared" si="12"/>
        <v>13.70999999999998</v>
      </c>
      <c r="J32" s="91">
        <f t="shared" si="13"/>
        <v>0.16504263093788124</v>
      </c>
      <c r="K32" s="91">
        <f t="shared" si="14"/>
        <v>0.8349573690621187</v>
      </c>
      <c r="L32" s="91">
        <f t="shared" si="15"/>
        <v>0.36900369003689931</v>
      </c>
      <c r="M32" s="91">
        <f t="shared" si="16"/>
        <v>6.0901339829476292E-2</v>
      </c>
      <c r="N32" s="91">
        <f t="shared" si="17"/>
        <v>16.419999999999987</v>
      </c>
      <c r="O32" s="144">
        <v>19</v>
      </c>
      <c r="P32" s="144">
        <f t="shared" si="18"/>
        <v>7.0110701107010867</v>
      </c>
      <c r="Q32" s="85"/>
      <c r="R32" t="s">
        <v>191</v>
      </c>
      <c r="S32" s="85"/>
    </row>
    <row r="33" spans="1:19" x14ac:dyDescent="0.35">
      <c r="A33" s="85"/>
      <c r="B33" s="144">
        <v>25.77</v>
      </c>
      <c r="C33" s="144">
        <v>28.76</v>
      </c>
      <c r="D33" s="144">
        <f>C33-B33</f>
        <v>2.990000000000002</v>
      </c>
      <c r="E33" s="144"/>
      <c r="F33" s="91">
        <f>120+24.76</f>
        <v>144.76</v>
      </c>
      <c r="G33" s="144">
        <f>120+26.95</f>
        <v>146.94999999999999</v>
      </c>
      <c r="H33" s="91">
        <f t="shared" si="11"/>
        <v>2.1899999999999977</v>
      </c>
      <c r="I33" s="91">
        <f t="shared" si="12"/>
        <v>15.710000000000008</v>
      </c>
      <c r="J33" s="91">
        <f t="shared" si="13"/>
        <v>0.12234636871508363</v>
      </c>
      <c r="K33" s="91">
        <f t="shared" si="14"/>
        <v>0.87765363128491636</v>
      </c>
      <c r="L33" s="91">
        <f t="shared" si="15"/>
        <v>0.45662100456621052</v>
      </c>
      <c r="M33" s="91">
        <f t="shared" si="16"/>
        <v>5.586592178770948E-2</v>
      </c>
      <c r="N33" s="91">
        <f t="shared" si="17"/>
        <v>17.900000000000006</v>
      </c>
      <c r="O33" s="144">
        <v>14</v>
      </c>
      <c r="P33" s="144">
        <f t="shared" si="18"/>
        <v>6.3926940639269469</v>
      </c>
      <c r="Q33" s="85"/>
      <c r="R33" s="85"/>
      <c r="S33" s="85"/>
    </row>
    <row r="34" spans="1:19" x14ac:dyDescent="0.35">
      <c r="A34" s="85"/>
      <c r="B34" s="85"/>
      <c r="C34" s="85"/>
      <c r="D34" s="85"/>
      <c r="E34" s="85"/>
      <c r="F34" s="13">
        <f>120+42.66</f>
        <v>162.66</v>
      </c>
      <c r="G34" s="85">
        <f>120+46.16</f>
        <v>166.16</v>
      </c>
      <c r="H34" s="13">
        <f t="shared" si="11"/>
        <v>3.5</v>
      </c>
      <c r="I34" s="13"/>
      <c r="J34" s="13"/>
      <c r="K34" s="13"/>
      <c r="L34" s="13"/>
      <c r="M34" s="13"/>
      <c r="N34" s="13"/>
      <c r="O34" s="85">
        <v>25</v>
      </c>
      <c r="P34" s="85">
        <f t="shared" si="18"/>
        <v>7.1428571428571432</v>
      </c>
      <c r="Q34" s="85"/>
      <c r="R34" s="85"/>
      <c r="S34" s="85"/>
    </row>
    <row r="35" spans="1:19" x14ac:dyDescent="0.35">
      <c r="A35" s="85"/>
      <c r="B35" s="85"/>
      <c r="C35" s="85"/>
      <c r="D35" s="85"/>
      <c r="E35" s="85"/>
      <c r="F35" s="13"/>
      <c r="G35" s="85"/>
      <c r="H35" s="13"/>
      <c r="I35" s="13"/>
      <c r="J35" s="13"/>
      <c r="K35" s="13"/>
      <c r="L35" s="13"/>
      <c r="M35" s="13"/>
      <c r="N35" s="13"/>
      <c r="O35" s="85"/>
      <c r="P35" s="85"/>
      <c r="Q35" s="85"/>
      <c r="R35" s="85"/>
      <c r="S35" s="85"/>
    </row>
    <row r="36" spans="1:19" x14ac:dyDescent="0.35">
      <c r="A36" s="85"/>
      <c r="B36" s="85"/>
      <c r="C36" s="85"/>
      <c r="D36" s="85"/>
      <c r="E36" s="85"/>
      <c r="F36" s="13"/>
      <c r="G36" s="85"/>
      <c r="H36" s="13"/>
      <c r="I36" s="13"/>
      <c r="J36" s="13"/>
      <c r="K36" s="13"/>
      <c r="L36" s="13"/>
      <c r="M36" s="13"/>
      <c r="N36" s="13"/>
      <c r="O36" s="85"/>
      <c r="P36" s="85"/>
      <c r="Q36" s="85"/>
      <c r="R36" s="85"/>
      <c r="S36" s="85"/>
    </row>
    <row r="37" spans="1:19" x14ac:dyDescent="0.35">
      <c r="A37" s="85"/>
      <c r="B37" s="85"/>
      <c r="C37" s="85"/>
      <c r="D37" s="85"/>
      <c r="E37" s="85"/>
      <c r="F37" s="13">
        <v>9.98</v>
      </c>
      <c r="G37" s="85">
        <v>13.99</v>
      </c>
      <c r="H37" s="13">
        <f t="shared" si="11"/>
        <v>4.01</v>
      </c>
      <c r="I37" s="13">
        <f t="shared" si="12"/>
        <v>15.69</v>
      </c>
      <c r="J37" s="13">
        <f t="shared" si="13"/>
        <v>0.20355329949238579</v>
      </c>
      <c r="K37" s="13">
        <f t="shared" si="14"/>
        <v>0.79644670050761424</v>
      </c>
      <c r="L37" s="13">
        <f t="shared" si="15"/>
        <v>0.24937655860349128</v>
      </c>
      <c r="M37" s="13">
        <f t="shared" si="16"/>
        <v>5.0761421319796954E-2</v>
      </c>
      <c r="N37" s="13">
        <f t="shared" si="17"/>
        <v>19.7</v>
      </c>
      <c r="O37" s="85">
        <v>27</v>
      </c>
      <c r="P37" s="85">
        <f t="shared" si="18"/>
        <v>6.7331670822942646</v>
      </c>
      <c r="Q37" s="85"/>
      <c r="R37" t="s">
        <v>191</v>
      </c>
      <c r="S37" s="85"/>
    </row>
    <row r="38" spans="1:19" x14ac:dyDescent="0.35">
      <c r="A38" s="85"/>
      <c r="B38" s="85"/>
      <c r="C38" s="85"/>
      <c r="D38" s="85"/>
      <c r="E38" s="85"/>
      <c r="F38" s="13">
        <v>29.68</v>
      </c>
      <c r="G38" s="85">
        <v>33.61</v>
      </c>
      <c r="H38" s="13">
        <f t="shared" si="11"/>
        <v>3.9299999999999997</v>
      </c>
      <c r="I38" s="13">
        <f t="shared" si="12"/>
        <v>6.8599999999999994</v>
      </c>
      <c r="J38" s="13">
        <f t="shared" si="13"/>
        <v>0.36422613531047265</v>
      </c>
      <c r="K38" s="13">
        <f t="shared" si="14"/>
        <v>0.63577386468952735</v>
      </c>
      <c r="L38" s="13">
        <f t="shared" si="15"/>
        <v>0.2544529262086514</v>
      </c>
      <c r="M38" s="13">
        <f t="shared" si="16"/>
        <v>9.267840593141799E-2</v>
      </c>
      <c r="N38" s="13">
        <f t="shared" si="17"/>
        <v>10.79</v>
      </c>
      <c r="O38" s="85">
        <v>26</v>
      </c>
      <c r="P38" s="85">
        <f t="shared" si="18"/>
        <v>6.6157760814249365</v>
      </c>
      <c r="Q38" s="85"/>
      <c r="R38" s="85"/>
      <c r="S38" s="85"/>
    </row>
    <row r="39" spans="1:19" x14ac:dyDescent="0.35">
      <c r="A39" s="85"/>
      <c r="B39" s="85"/>
      <c r="C39" s="85"/>
      <c r="D39" s="85"/>
      <c r="E39" s="85"/>
      <c r="F39" s="13">
        <v>40.47</v>
      </c>
      <c r="G39" s="85">
        <v>43.82</v>
      </c>
      <c r="H39" s="13">
        <f t="shared" si="11"/>
        <v>3.3500000000000014</v>
      </c>
      <c r="I39" s="13">
        <f t="shared" si="12"/>
        <v>10.490000000000002</v>
      </c>
      <c r="J39" s="13">
        <f t="shared" si="13"/>
        <v>0.24205202312138732</v>
      </c>
      <c r="K39" s="13">
        <f t="shared" si="14"/>
        <v>0.75794797687861271</v>
      </c>
      <c r="L39" s="13">
        <f t="shared" si="15"/>
        <v>0.29850746268656703</v>
      </c>
      <c r="M39" s="13">
        <f t="shared" si="16"/>
        <v>7.2254335260115585E-2</v>
      </c>
      <c r="N39" s="13">
        <f t="shared" si="17"/>
        <v>13.840000000000003</v>
      </c>
      <c r="O39" s="85">
        <v>23</v>
      </c>
      <c r="P39" s="85">
        <f t="shared" si="18"/>
        <v>6.8656716417910415</v>
      </c>
      <c r="Q39" s="85"/>
      <c r="R39" s="85"/>
      <c r="S39" s="85"/>
    </row>
    <row r="40" spans="1:19" x14ac:dyDescent="0.35">
      <c r="A40" s="85"/>
      <c r="B40" s="144">
        <v>55.87</v>
      </c>
      <c r="C40" s="144">
        <v>58.86</v>
      </c>
      <c r="D40" s="144">
        <f>C40-B40</f>
        <v>2.990000000000002</v>
      </c>
      <c r="E40" s="144"/>
      <c r="F40" s="91">
        <v>54.31</v>
      </c>
      <c r="G40" s="144">
        <v>56.7</v>
      </c>
      <c r="H40" s="91">
        <f t="shared" si="11"/>
        <v>2.3900000000000006</v>
      </c>
      <c r="I40" s="91">
        <f t="shared" si="12"/>
        <v>14.519999999999996</v>
      </c>
      <c r="J40" s="91">
        <f t="shared" si="13"/>
        <v>0.14133648728562986</v>
      </c>
      <c r="K40" s="91">
        <f t="shared" si="14"/>
        <v>0.85866351271437014</v>
      </c>
      <c r="L40" s="91">
        <f t="shared" si="15"/>
        <v>0.41841004184100411</v>
      </c>
      <c r="M40" s="91">
        <f t="shared" si="16"/>
        <v>5.9136605558840934E-2</v>
      </c>
      <c r="N40" s="91">
        <f t="shared" si="17"/>
        <v>16.909999999999997</v>
      </c>
      <c r="O40" s="144">
        <v>16</v>
      </c>
      <c r="P40" s="144">
        <f t="shared" si="18"/>
        <v>6.6945606694560658</v>
      </c>
      <c r="Q40" s="85"/>
      <c r="R40" s="85"/>
      <c r="S40" s="85"/>
    </row>
    <row r="41" spans="1:19" x14ac:dyDescent="0.35">
      <c r="A41" s="85"/>
      <c r="B41" s="85"/>
      <c r="C41" s="85"/>
      <c r="D41" s="85"/>
      <c r="E41" s="85"/>
      <c r="F41" s="13">
        <v>71.22</v>
      </c>
      <c r="G41" s="85">
        <v>75.040000000000006</v>
      </c>
      <c r="H41" s="13">
        <f t="shared" si="11"/>
        <v>3.8200000000000074</v>
      </c>
      <c r="I41" s="13">
        <f t="shared" si="12"/>
        <v>13.419999999999987</v>
      </c>
      <c r="J41" s="13">
        <f t="shared" si="13"/>
        <v>0.22157772621809793</v>
      </c>
      <c r="K41" s="13">
        <f t="shared" si="14"/>
        <v>0.7784222737819021</v>
      </c>
      <c r="L41" s="13">
        <f t="shared" si="15"/>
        <v>0.26178010471204138</v>
      </c>
      <c r="M41" s="13">
        <f t="shared" si="16"/>
        <v>5.8004640371229717E-2</v>
      </c>
      <c r="N41" s="13">
        <f t="shared" si="17"/>
        <v>17.239999999999995</v>
      </c>
      <c r="O41" s="85">
        <v>25</v>
      </c>
      <c r="P41" s="85">
        <f t="shared" si="18"/>
        <v>6.5445026178010348</v>
      </c>
      <c r="Q41" s="85"/>
      <c r="R41" s="85"/>
      <c r="S41" s="85"/>
    </row>
    <row r="42" spans="1:19" x14ac:dyDescent="0.35">
      <c r="A42" s="85"/>
      <c r="B42" s="144">
        <v>89.48</v>
      </c>
      <c r="C42" s="144">
        <v>92.47</v>
      </c>
      <c r="D42" s="144">
        <f>C42-B42</f>
        <v>2.9899999999999949</v>
      </c>
      <c r="E42" s="144"/>
      <c r="F42" s="91">
        <v>88.46</v>
      </c>
      <c r="G42" s="144">
        <v>90.67</v>
      </c>
      <c r="H42" s="91">
        <f t="shared" si="11"/>
        <v>2.210000000000008</v>
      </c>
      <c r="I42" s="91">
        <f t="shared" si="12"/>
        <v>15.539999999999992</v>
      </c>
      <c r="J42" s="91">
        <f t="shared" si="13"/>
        <v>0.12450704225352158</v>
      </c>
      <c r="K42" s="91">
        <f t="shared" si="14"/>
        <v>0.8754929577464784</v>
      </c>
      <c r="L42" s="91">
        <f t="shared" si="15"/>
        <v>0.45248868778280382</v>
      </c>
      <c r="M42" s="91">
        <f t="shared" si="16"/>
        <v>5.6338028169014086E-2</v>
      </c>
      <c r="N42" s="91">
        <f t="shared" si="17"/>
        <v>17.75</v>
      </c>
      <c r="O42" s="144">
        <v>14</v>
      </c>
      <c r="P42" s="144">
        <f t="shared" si="18"/>
        <v>6.3348416289592535</v>
      </c>
      <c r="Q42" s="85"/>
      <c r="S42" s="85"/>
    </row>
    <row r="43" spans="1:19" x14ac:dyDescent="0.35">
      <c r="A43" s="85"/>
      <c r="B43" s="85"/>
      <c r="C43" s="85"/>
      <c r="D43" s="85"/>
      <c r="E43" s="85"/>
      <c r="F43" s="13">
        <v>106.21</v>
      </c>
      <c r="G43" s="85">
        <v>110.03</v>
      </c>
      <c r="H43" s="13">
        <f t="shared" si="11"/>
        <v>3.8200000000000074</v>
      </c>
      <c r="I43" s="13">
        <f t="shared" si="12"/>
        <v>-110.03</v>
      </c>
      <c r="J43" s="13">
        <f t="shared" si="13"/>
        <v>-3.5966481498917312E-2</v>
      </c>
      <c r="K43" s="13">
        <f t="shared" si="14"/>
        <v>1.0359664814989173</v>
      </c>
      <c r="L43" s="13">
        <f t="shared" si="15"/>
        <v>0.26178010471204138</v>
      </c>
      <c r="M43" s="13">
        <f t="shared" si="16"/>
        <v>-9.4153092929102726E-3</v>
      </c>
      <c r="N43" s="13">
        <f t="shared" si="17"/>
        <v>-106.21</v>
      </c>
      <c r="O43" s="85">
        <v>23</v>
      </c>
      <c r="P43" s="85">
        <f t="shared" si="18"/>
        <v>6.0209424083769516</v>
      </c>
      <c r="Q43" s="85"/>
      <c r="R43" s="85"/>
      <c r="S43" s="85"/>
    </row>
    <row r="44" spans="1:19" x14ac:dyDescent="0.35">
      <c r="A44" s="85"/>
      <c r="B44" s="85"/>
      <c r="C44" s="85"/>
      <c r="D44" s="85"/>
      <c r="E44" s="85"/>
      <c r="F44" s="85"/>
      <c r="G44" s="85"/>
      <c r="H44" s="13"/>
      <c r="I44" s="13"/>
      <c r="J44" s="13"/>
      <c r="K44" s="13"/>
      <c r="L44" s="13"/>
      <c r="M44" s="13"/>
      <c r="N44" s="13"/>
      <c r="O44" s="85"/>
      <c r="P44" s="85"/>
      <c r="Q44" s="85"/>
      <c r="R44" s="85"/>
      <c r="S44" s="85"/>
    </row>
    <row r="45" spans="1:19" x14ac:dyDescent="0.35">
      <c r="A45" s="85"/>
      <c r="B45" s="85"/>
      <c r="C45" s="85"/>
      <c r="D45" s="85"/>
      <c r="E45" s="85"/>
      <c r="F45" s="85">
        <v>9.98</v>
      </c>
      <c r="G45" s="85">
        <v>13.99</v>
      </c>
      <c r="H45" s="13">
        <f t="shared" si="11"/>
        <v>4.01</v>
      </c>
      <c r="I45" s="13">
        <f t="shared" si="12"/>
        <v>15.69</v>
      </c>
      <c r="J45" s="13">
        <f t="shared" si="13"/>
        <v>0.20355329949238579</v>
      </c>
      <c r="K45" s="13">
        <f t="shared" si="14"/>
        <v>0.79644670050761424</v>
      </c>
      <c r="L45" s="13">
        <f t="shared" si="15"/>
        <v>0.24937655860349128</v>
      </c>
      <c r="M45" s="13">
        <f t="shared" si="16"/>
        <v>5.0761421319796954E-2</v>
      </c>
      <c r="N45" s="13">
        <f t="shared" si="17"/>
        <v>19.7</v>
      </c>
      <c r="O45" s="85">
        <v>27</v>
      </c>
      <c r="P45" s="85">
        <f t="shared" si="18"/>
        <v>6.7331670822942646</v>
      </c>
      <c r="Q45" s="85"/>
      <c r="R45" t="s">
        <v>201</v>
      </c>
      <c r="S45" s="85"/>
    </row>
    <row r="46" spans="1:19" x14ac:dyDescent="0.35">
      <c r="A46" s="85"/>
      <c r="B46" s="85"/>
      <c r="C46" s="85"/>
      <c r="D46" s="85"/>
      <c r="E46" s="85"/>
      <c r="F46" s="85">
        <v>29.68</v>
      </c>
      <c r="G46" s="85">
        <v>33.61</v>
      </c>
      <c r="H46" s="13">
        <f t="shared" si="11"/>
        <v>3.9299999999999997</v>
      </c>
      <c r="I46" s="13">
        <f t="shared" si="12"/>
        <v>6.8599999999999994</v>
      </c>
      <c r="J46" s="13">
        <f t="shared" si="13"/>
        <v>0.36422613531047265</v>
      </c>
      <c r="K46" s="13">
        <f t="shared" si="14"/>
        <v>0.63577386468952735</v>
      </c>
      <c r="L46" s="13">
        <f t="shared" si="15"/>
        <v>0.2544529262086514</v>
      </c>
      <c r="M46" s="13">
        <f t="shared" si="16"/>
        <v>9.267840593141799E-2</v>
      </c>
      <c r="N46" s="13">
        <f t="shared" si="17"/>
        <v>10.79</v>
      </c>
      <c r="O46" s="85">
        <v>26</v>
      </c>
      <c r="P46" s="85">
        <f t="shared" si="18"/>
        <v>6.6157760814249365</v>
      </c>
      <c r="Q46" s="85"/>
      <c r="R46" s="85"/>
      <c r="S46" s="85"/>
    </row>
    <row r="47" spans="1:19" x14ac:dyDescent="0.35">
      <c r="A47" s="85"/>
      <c r="B47" s="85"/>
      <c r="C47" s="85"/>
      <c r="D47" s="85"/>
      <c r="E47" s="85"/>
      <c r="F47" s="85">
        <v>40.47</v>
      </c>
      <c r="G47" s="85">
        <v>43.82</v>
      </c>
      <c r="H47" s="13">
        <f t="shared" si="11"/>
        <v>3.3500000000000014</v>
      </c>
      <c r="I47" s="13">
        <f t="shared" si="12"/>
        <v>10.490000000000002</v>
      </c>
      <c r="J47" s="13">
        <f t="shared" si="13"/>
        <v>0.24205202312138732</v>
      </c>
      <c r="K47" s="13">
        <f t="shared" si="14"/>
        <v>0.75794797687861271</v>
      </c>
      <c r="L47" s="13">
        <f t="shared" si="15"/>
        <v>0.29850746268656703</v>
      </c>
      <c r="M47" s="13">
        <f t="shared" si="16"/>
        <v>7.2254335260115585E-2</v>
      </c>
      <c r="N47" s="13">
        <f t="shared" si="17"/>
        <v>13.840000000000003</v>
      </c>
      <c r="O47" s="85">
        <v>23</v>
      </c>
      <c r="P47" s="85">
        <f t="shared" si="18"/>
        <v>6.8656716417910415</v>
      </c>
      <c r="Q47" s="85"/>
      <c r="R47" s="85"/>
      <c r="S47" s="85"/>
    </row>
    <row r="48" spans="1:19" x14ac:dyDescent="0.35">
      <c r="A48" s="85"/>
      <c r="B48" s="144">
        <v>55.87</v>
      </c>
      <c r="C48" s="144">
        <v>58.86</v>
      </c>
      <c r="D48" s="144">
        <f>C48-B48</f>
        <v>2.990000000000002</v>
      </c>
      <c r="E48" s="144"/>
      <c r="F48" s="144">
        <v>54.31</v>
      </c>
      <c r="G48" s="144">
        <v>56.7</v>
      </c>
      <c r="H48" s="91">
        <f t="shared" ref="H48:H55" si="19">G48-F48</f>
        <v>2.3900000000000006</v>
      </c>
      <c r="I48" s="91">
        <f t="shared" ref="I48:I55" si="20">F49-G48</f>
        <v>14.519999999999996</v>
      </c>
      <c r="J48" s="91">
        <f t="shared" ref="J48:J55" si="21">H48/N48</f>
        <v>0.14133648728562986</v>
      </c>
      <c r="K48" s="91">
        <f t="shared" ref="K48:K55" si="22">I48/N48</f>
        <v>0.85866351271437014</v>
      </c>
      <c r="L48" s="91">
        <f t="shared" ref="L48:L55" si="23">1/H48</f>
        <v>0.41841004184100411</v>
      </c>
      <c r="M48" s="91">
        <f t="shared" ref="M48:M55" si="24">1/N48</f>
        <v>5.9136605558840934E-2</v>
      </c>
      <c r="N48" s="91">
        <f t="shared" ref="N48:N55" si="25">H48+I48</f>
        <v>16.909999999999997</v>
      </c>
      <c r="O48" s="144">
        <v>16</v>
      </c>
      <c r="P48" s="144">
        <f t="shared" ref="P48:P55" si="26">O48/H48</f>
        <v>6.6945606694560658</v>
      </c>
      <c r="Q48" s="85"/>
      <c r="R48" s="85"/>
      <c r="S48" s="85"/>
    </row>
    <row r="49" spans="1:19" x14ac:dyDescent="0.35">
      <c r="A49" s="85"/>
      <c r="B49" s="85"/>
      <c r="C49" s="85"/>
      <c r="D49" s="85"/>
      <c r="E49" s="85"/>
      <c r="F49" s="85">
        <v>71.22</v>
      </c>
      <c r="G49" s="85">
        <v>75.040000000000006</v>
      </c>
      <c r="H49" s="13">
        <f t="shared" si="19"/>
        <v>3.8200000000000074</v>
      </c>
      <c r="I49" s="13">
        <f t="shared" si="20"/>
        <v>13.419999999999987</v>
      </c>
      <c r="J49" s="13">
        <f t="shared" si="21"/>
        <v>0.22157772621809793</v>
      </c>
      <c r="K49" s="13">
        <f t="shared" si="22"/>
        <v>0.7784222737819021</v>
      </c>
      <c r="L49" s="13">
        <f t="shared" si="23"/>
        <v>0.26178010471204138</v>
      </c>
      <c r="M49" s="13">
        <f t="shared" si="24"/>
        <v>5.8004640371229717E-2</v>
      </c>
      <c r="N49" s="13">
        <f t="shared" si="25"/>
        <v>17.239999999999995</v>
      </c>
      <c r="O49" s="85">
        <v>25</v>
      </c>
      <c r="P49" s="85">
        <f t="shared" si="26"/>
        <v>6.5445026178010348</v>
      </c>
      <c r="Q49" s="85"/>
      <c r="R49" s="85"/>
      <c r="S49" s="85"/>
    </row>
    <row r="50" spans="1:19" x14ac:dyDescent="0.35">
      <c r="A50" s="85"/>
      <c r="B50" s="144">
        <v>89.48</v>
      </c>
      <c r="C50" s="144">
        <v>92.47</v>
      </c>
      <c r="D50" s="144">
        <f>C50-B50</f>
        <v>2.9899999999999949</v>
      </c>
      <c r="E50" s="144"/>
      <c r="F50" s="144">
        <v>88.46</v>
      </c>
      <c r="G50" s="144">
        <v>90.67</v>
      </c>
      <c r="H50" s="91">
        <f t="shared" si="19"/>
        <v>2.210000000000008</v>
      </c>
      <c r="I50" s="91">
        <f t="shared" si="20"/>
        <v>15.539999999999992</v>
      </c>
      <c r="J50" s="91">
        <f t="shared" si="21"/>
        <v>0.12450704225352158</v>
      </c>
      <c r="K50" s="91">
        <f t="shared" si="22"/>
        <v>0.8754929577464784</v>
      </c>
      <c r="L50" s="91">
        <f t="shared" si="23"/>
        <v>0.45248868778280382</v>
      </c>
      <c r="M50" s="91">
        <f t="shared" si="24"/>
        <v>5.6338028169014086E-2</v>
      </c>
      <c r="N50" s="91">
        <f t="shared" si="25"/>
        <v>17.75</v>
      </c>
      <c r="O50" s="144">
        <v>14</v>
      </c>
      <c r="P50" s="144">
        <f t="shared" si="26"/>
        <v>6.3348416289592535</v>
      </c>
      <c r="Q50" s="85"/>
      <c r="R50" s="85"/>
      <c r="S50" s="85"/>
    </row>
    <row r="51" spans="1:19" x14ac:dyDescent="0.35">
      <c r="A51" s="85"/>
      <c r="B51" s="85"/>
      <c r="C51" s="85"/>
      <c r="D51" s="85"/>
      <c r="E51" s="85"/>
      <c r="F51" s="85">
        <v>106.21</v>
      </c>
      <c r="G51" s="85">
        <v>110.03</v>
      </c>
      <c r="H51" s="13">
        <f t="shared" si="19"/>
        <v>3.8200000000000074</v>
      </c>
      <c r="I51" s="13">
        <f t="shared" si="20"/>
        <v>-110.03</v>
      </c>
      <c r="J51" s="13">
        <f t="shared" si="21"/>
        <v>-3.5966481498917312E-2</v>
      </c>
      <c r="K51" s="13">
        <f t="shared" si="22"/>
        <v>1.0359664814989173</v>
      </c>
      <c r="L51" s="13">
        <f t="shared" si="23"/>
        <v>0.26178010471204138</v>
      </c>
      <c r="M51" s="13">
        <f t="shared" si="24"/>
        <v>-9.4153092929102726E-3</v>
      </c>
      <c r="N51" s="13">
        <f t="shared" si="25"/>
        <v>-106.21</v>
      </c>
      <c r="O51" s="85">
        <v>23</v>
      </c>
      <c r="P51" s="85">
        <f t="shared" si="26"/>
        <v>6.0209424083769516</v>
      </c>
      <c r="Q51" s="85"/>
      <c r="R51" s="85"/>
      <c r="S51" s="85"/>
    </row>
    <row r="52" spans="1:19" x14ac:dyDescent="0.35">
      <c r="A52" s="85"/>
      <c r="B52" s="85"/>
      <c r="C52" s="85"/>
      <c r="D52" s="85"/>
      <c r="E52" s="85"/>
      <c r="F52" s="85"/>
      <c r="G52" s="85"/>
      <c r="H52" s="13"/>
      <c r="I52" s="13"/>
      <c r="J52" s="13"/>
      <c r="K52" s="13"/>
      <c r="L52" s="13"/>
      <c r="M52" s="13"/>
      <c r="N52" s="13"/>
      <c r="O52" s="85"/>
      <c r="P52" s="85"/>
      <c r="Q52" s="85"/>
      <c r="R52" s="85"/>
      <c r="S52" s="85"/>
    </row>
    <row r="53" spans="1:19" x14ac:dyDescent="0.35">
      <c r="A53" s="85"/>
      <c r="B53" s="144">
        <v>8.25</v>
      </c>
      <c r="C53" s="144">
        <v>11.25</v>
      </c>
      <c r="D53" s="144">
        <f>C53-B53</f>
        <v>3</v>
      </c>
      <c r="E53" s="144"/>
      <c r="F53" s="144">
        <v>7.16</v>
      </c>
      <c r="G53" s="144">
        <v>9.86</v>
      </c>
      <c r="H53" s="91">
        <f t="shared" si="19"/>
        <v>2.6999999999999993</v>
      </c>
      <c r="I53" s="91">
        <f t="shared" si="20"/>
        <v>9.7100000000000009</v>
      </c>
      <c r="J53" s="91">
        <f t="shared" si="21"/>
        <v>0.21756647864625298</v>
      </c>
      <c r="K53" s="91">
        <f t="shared" si="22"/>
        <v>0.782433521353747</v>
      </c>
      <c r="L53" s="91">
        <f t="shared" si="23"/>
        <v>0.37037037037037046</v>
      </c>
      <c r="M53" s="91">
        <f t="shared" si="24"/>
        <v>8.0580177276390011E-2</v>
      </c>
      <c r="N53" s="91">
        <f t="shared" si="25"/>
        <v>12.41</v>
      </c>
      <c r="O53" s="144">
        <v>18</v>
      </c>
      <c r="P53" s="144">
        <f t="shared" si="26"/>
        <v>6.6666666666666687</v>
      </c>
      <c r="Q53" s="85"/>
      <c r="R53" t="s">
        <v>202</v>
      </c>
      <c r="S53" s="85"/>
    </row>
    <row r="54" spans="1:19" x14ac:dyDescent="0.35">
      <c r="A54" s="85"/>
      <c r="B54" s="85"/>
      <c r="C54" s="85"/>
      <c r="D54" s="85"/>
      <c r="E54" s="85"/>
      <c r="F54" s="85">
        <v>19.57</v>
      </c>
      <c r="G54" s="85">
        <v>23.5</v>
      </c>
      <c r="H54" s="13">
        <f t="shared" si="19"/>
        <v>3.9299999999999997</v>
      </c>
      <c r="I54" s="13">
        <f t="shared" si="20"/>
        <v>15.259999999999998</v>
      </c>
      <c r="J54" s="13">
        <f t="shared" si="21"/>
        <v>0.20479416362688901</v>
      </c>
      <c r="K54" s="13">
        <f t="shared" si="22"/>
        <v>0.79520583637311104</v>
      </c>
      <c r="L54" s="13">
        <f t="shared" si="23"/>
        <v>0.2544529262086514</v>
      </c>
      <c r="M54" s="13">
        <f t="shared" si="24"/>
        <v>5.2110474205315276E-2</v>
      </c>
      <c r="N54" s="13">
        <f t="shared" si="25"/>
        <v>19.189999999999998</v>
      </c>
      <c r="O54" s="85">
        <v>28</v>
      </c>
      <c r="P54" s="85">
        <f t="shared" si="26"/>
        <v>7.1246819338422398</v>
      </c>
      <c r="Q54" s="85"/>
      <c r="R54" s="85"/>
      <c r="S54" s="85"/>
    </row>
    <row r="55" spans="1:19" x14ac:dyDescent="0.35">
      <c r="A55" s="85"/>
      <c r="B55" s="144">
        <v>39.76</v>
      </c>
      <c r="C55" s="144">
        <v>42.76</v>
      </c>
      <c r="D55" s="144">
        <f>C55-B55</f>
        <v>3</v>
      </c>
      <c r="E55" s="144"/>
      <c r="F55" s="144">
        <v>38.76</v>
      </c>
      <c r="G55" s="144">
        <v>40.9</v>
      </c>
      <c r="H55" s="91">
        <f t="shared" si="19"/>
        <v>2.1400000000000006</v>
      </c>
      <c r="I55" s="91">
        <f t="shared" si="20"/>
        <v>12.340000000000003</v>
      </c>
      <c r="J55" s="91">
        <f t="shared" si="21"/>
        <v>0.1477900552486188</v>
      </c>
      <c r="K55" s="91">
        <f t="shared" si="22"/>
        <v>0.85220994475138123</v>
      </c>
      <c r="L55" s="91">
        <f t="shared" si="23"/>
        <v>0.46728971962616811</v>
      </c>
      <c r="M55" s="91">
        <f t="shared" si="24"/>
        <v>6.906077348066296E-2</v>
      </c>
      <c r="N55" s="91">
        <f t="shared" si="25"/>
        <v>14.480000000000004</v>
      </c>
      <c r="O55" s="144">
        <v>13</v>
      </c>
      <c r="P55" s="144">
        <f t="shared" si="26"/>
        <v>6.0747663551401851</v>
      </c>
      <c r="Q55" s="85"/>
      <c r="R55" s="85"/>
      <c r="S55" s="85"/>
    </row>
    <row r="56" spans="1:19" x14ac:dyDescent="0.35">
      <c r="A56" s="85"/>
      <c r="B56" s="85"/>
      <c r="C56" s="85"/>
      <c r="D56" s="85"/>
      <c r="E56" s="85"/>
      <c r="F56" s="85">
        <v>53.24</v>
      </c>
      <c r="G56" s="85">
        <v>57.47</v>
      </c>
      <c r="H56" s="13">
        <f>G56-F56</f>
        <v>4.2299999999999969</v>
      </c>
      <c r="I56" s="13">
        <f>F57-G56</f>
        <v>10.620000000000005</v>
      </c>
      <c r="J56" s="13">
        <f>H56/N56</f>
        <v>0.28484848484848463</v>
      </c>
      <c r="K56" s="13">
        <f>I56/N56</f>
        <v>0.71515151515151543</v>
      </c>
      <c r="L56" s="13">
        <f>1/H56</f>
        <v>0.23640661938534296</v>
      </c>
      <c r="M56" s="13">
        <f>1/N56</f>
        <v>6.7340067340067339E-2</v>
      </c>
      <c r="N56" s="13">
        <f>H56+I56</f>
        <v>14.850000000000001</v>
      </c>
      <c r="O56" s="85">
        <v>32</v>
      </c>
      <c r="P56" s="85">
        <f>O56/H56</f>
        <v>7.5650118203309749</v>
      </c>
      <c r="Q56" s="85"/>
      <c r="R56" s="85"/>
      <c r="S56" s="85"/>
    </row>
    <row r="57" spans="1:19" x14ac:dyDescent="0.35">
      <c r="A57" s="85"/>
      <c r="B57" s="144">
        <v>69</v>
      </c>
      <c r="C57" s="144">
        <v>71.989999999999995</v>
      </c>
      <c r="D57" s="144">
        <f>C57-B57</f>
        <v>2.9899999999999949</v>
      </c>
      <c r="E57" s="144"/>
      <c r="F57" s="144">
        <v>68.09</v>
      </c>
      <c r="G57" s="144">
        <v>70.98</v>
      </c>
      <c r="H57" s="91">
        <f>G57-F57</f>
        <v>2.8900000000000006</v>
      </c>
      <c r="I57" s="91">
        <f>F58-G57</f>
        <v>14.489999999999995</v>
      </c>
      <c r="J57" s="91">
        <f>H57/N57</f>
        <v>0.16628308400460307</v>
      </c>
      <c r="K57" s="91">
        <f>I57/N57</f>
        <v>0.83371691599539688</v>
      </c>
      <c r="L57" s="91">
        <f>1/H57</f>
        <v>0.34602076124567466</v>
      </c>
      <c r="M57" s="91">
        <f>1/N57</f>
        <v>5.7537399309551221E-2</v>
      </c>
      <c r="N57" s="91">
        <f>H57+I57</f>
        <v>17.379999999999995</v>
      </c>
      <c r="O57" s="144">
        <v>18</v>
      </c>
      <c r="P57" s="144">
        <f>O57/H57</f>
        <v>6.2283737024221439</v>
      </c>
      <c r="Q57" s="85"/>
      <c r="R57" s="85"/>
      <c r="S57" s="85"/>
    </row>
    <row r="58" spans="1:19" x14ac:dyDescent="0.35">
      <c r="A58" s="85"/>
      <c r="B58" s="85"/>
      <c r="C58" s="85"/>
      <c r="D58" s="85"/>
      <c r="E58" s="85"/>
      <c r="F58" s="85">
        <v>85.47</v>
      </c>
      <c r="G58" s="85">
        <v>90.23</v>
      </c>
      <c r="H58" s="13">
        <f>G58-F58</f>
        <v>4.7600000000000051</v>
      </c>
      <c r="I58" s="13">
        <f>F59-G58</f>
        <v>9.769999999999996</v>
      </c>
      <c r="J58" s="13">
        <f>H58/N58</f>
        <v>0.32759807295251236</v>
      </c>
      <c r="K58" s="13">
        <f>I58/N58</f>
        <v>0.67240192704748758</v>
      </c>
      <c r="L58" s="13">
        <f>1/H58</f>
        <v>0.21008403361344516</v>
      </c>
      <c r="M58" s="13">
        <f>1/N58</f>
        <v>6.8823124569855468E-2</v>
      </c>
      <c r="N58" s="13">
        <f>H58+I58</f>
        <v>14.530000000000001</v>
      </c>
      <c r="O58" s="85">
        <v>30</v>
      </c>
      <c r="P58" s="85">
        <f>O58/H58</f>
        <v>6.3025210084033549</v>
      </c>
      <c r="Q58" s="85"/>
      <c r="R58" s="85"/>
      <c r="S58" s="85"/>
    </row>
    <row r="59" spans="1:19" x14ac:dyDescent="0.35">
      <c r="A59" s="85"/>
      <c r="B59" s="85"/>
      <c r="C59" s="85"/>
      <c r="D59" s="85"/>
      <c r="E59" s="85"/>
      <c r="F59" s="85">
        <v>100</v>
      </c>
      <c r="G59" s="85">
        <v>103.91</v>
      </c>
      <c r="H59" s="13">
        <f>G59-F59</f>
        <v>3.9099999999999966</v>
      </c>
      <c r="I59" s="13">
        <f>F60-G59</f>
        <v>-103.91</v>
      </c>
      <c r="J59" s="13">
        <f>H59/N59</f>
        <v>-3.9099999999999968E-2</v>
      </c>
      <c r="K59" s="13">
        <f>I59/N59</f>
        <v>1.0390999999999999</v>
      </c>
      <c r="L59" s="13">
        <f>1/H59</f>
        <v>0.25575447570332505</v>
      </c>
      <c r="M59" s="13">
        <f>1/N59</f>
        <v>-0.01</v>
      </c>
      <c r="N59" s="13">
        <f>H59+I59</f>
        <v>-100</v>
      </c>
      <c r="O59" s="85">
        <v>23</v>
      </c>
      <c r="P59" s="85">
        <f>O59/H59</f>
        <v>5.8823529411764754</v>
      </c>
      <c r="Q59" s="85"/>
      <c r="R59" s="85"/>
      <c r="S59" s="85"/>
    </row>
    <row r="60" spans="1:19" x14ac:dyDescent="0.35">
      <c r="A60" s="85"/>
      <c r="B60" s="85"/>
      <c r="C60" s="85"/>
      <c r="D60" s="85"/>
      <c r="E60" s="85"/>
      <c r="F60" s="85"/>
      <c r="G60" s="85"/>
      <c r="H60" s="13"/>
      <c r="I60" s="13"/>
      <c r="J60" s="13"/>
      <c r="K60" s="13"/>
      <c r="L60" s="13"/>
      <c r="M60" s="13"/>
      <c r="N60" s="13"/>
      <c r="O60" s="85"/>
      <c r="P60" s="85"/>
      <c r="Q60" s="85"/>
      <c r="R60" s="85"/>
      <c r="S60" s="85"/>
    </row>
    <row r="61" spans="1:19" x14ac:dyDescent="0.35">
      <c r="A61" s="85"/>
      <c r="B61" s="85"/>
      <c r="C61" s="85"/>
      <c r="D61" s="85"/>
      <c r="E61" s="85"/>
      <c r="F61" s="85"/>
      <c r="G61" s="85"/>
      <c r="H61" s="13"/>
      <c r="I61" s="13"/>
      <c r="J61" s="13"/>
      <c r="K61" s="13"/>
      <c r="L61" s="13"/>
      <c r="M61" s="13"/>
      <c r="N61" s="13"/>
      <c r="O61" s="85"/>
      <c r="P61" s="85"/>
      <c r="Q61" s="85"/>
      <c r="R61" s="85"/>
      <c r="S61" s="85"/>
    </row>
    <row r="62" spans="1:19" ht="16" thickBot="1" x14ac:dyDescent="0.4">
      <c r="A62" s="85"/>
      <c r="B62" s="85"/>
      <c r="C62" s="85"/>
      <c r="D62" s="85"/>
      <c r="E62" s="137" t="s">
        <v>192</v>
      </c>
      <c r="F62" s="85"/>
      <c r="G62" s="13"/>
      <c r="H62" s="9" t="s">
        <v>3</v>
      </c>
      <c r="I62" s="9" t="s">
        <v>4</v>
      </c>
      <c r="J62" s="9" t="s">
        <v>5</v>
      </c>
      <c r="K62" s="9" t="s">
        <v>6</v>
      </c>
      <c r="L62" s="9" t="s">
        <v>7</v>
      </c>
      <c r="M62" s="9" t="s">
        <v>8</v>
      </c>
      <c r="N62" s="9" t="s">
        <v>9</v>
      </c>
      <c r="O62" s="9" t="s">
        <v>10</v>
      </c>
      <c r="P62" s="44" t="s">
        <v>139</v>
      </c>
      <c r="Q62" s="85"/>
      <c r="R62" s="85"/>
      <c r="S62" s="85"/>
    </row>
    <row r="63" spans="1:19" x14ac:dyDescent="0.35">
      <c r="A63" s="85"/>
      <c r="B63" s="85"/>
      <c r="C63" s="85"/>
      <c r="D63" s="85"/>
      <c r="E63" s="137"/>
      <c r="F63" s="85"/>
      <c r="G63" s="49" t="s">
        <v>77</v>
      </c>
      <c r="H63" s="2">
        <f>AVERAGE(H31:H33,H40,H42,H48,H50,H53,H55,H57)</f>
        <v>2.4070000000000018</v>
      </c>
      <c r="I63" s="2">
        <f t="shared" ref="I63:P63" si="27">AVERAGE(I31:I33,I40,I42,I48,I50,I53,I55,I57)</f>
        <v>17.222999999999995</v>
      </c>
      <c r="J63" s="2">
        <f t="shared" si="27"/>
        <v>0.13970062325307217</v>
      </c>
      <c r="K63" s="2">
        <f t="shared" si="27"/>
        <v>0.86029937674692791</v>
      </c>
      <c r="L63" s="2">
        <f t="shared" si="27"/>
        <v>0.4197531576521511</v>
      </c>
      <c r="M63" s="2">
        <f t="shared" si="27"/>
        <v>5.7556030588056216E-2</v>
      </c>
      <c r="N63" s="2">
        <f t="shared" si="27"/>
        <v>19.629999999999995</v>
      </c>
      <c r="O63" s="2">
        <f>AVERAGE(O31:O33,O40,O42,O48,O50,O53,O55,O57)</f>
        <v>15.9</v>
      </c>
      <c r="P63" s="2">
        <f t="shared" si="27"/>
        <v>6.6021661209973406</v>
      </c>
      <c r="Q63" s="85"/>
      <c r="R63" s="85"/>
      <c r="S63" s="85"/>
    </row>
    <row r="64" spans="1:19" x14ac:dyDescent="0.35">
      <c r="A64" s="85"/>
      <c r="B64" s="85"/>
      <c r="C64" s="85"/>
      <c r="D64" s="85"/>
      <c r="E64" s="137"/>
      <c r="F64" s="85"/>
      <c r="G64" s="49" t="s">
        <v>94</v>
      </c>
      <c r="H64" s="2">
        <f>_xlfn.STDEV.S(H31:H33,H40,H42,H48,H50,H53,H55,H57)</f>
        <v>0.26570869596442026</v>
      </c>
      <c r="I64" s="2">
        <f t="shared" ref="I64:P64" si="28">_xlfn.STDEV.S(I31:I33,I40,I42,I48,I50,I53,I55,I57)</f>
        <v>10.324927817880592</v>
      </c>
      <c r="J64" s="2">
        <f t="shared" si="28"/>
        <v>4.3424298960823053E-2</v>
      </c>
      <c r="K64" s="2">
        <f t="shared" si="28"/>
        <v>4.3424298960823032E-2</v>
      </c>
      <c r="L64" s="2">
        <f t="shared" si="28"/>
        <v>4.3369232270196512E-2</v>
      </c>
      <c r="M64" s="2">
        <f t="shared" si="28"/>
        <v>1.5075360673817517E-2</v>
      </c>
      <c r="N64" s="2">
        <f t="shared" si="28"/>
        <v>10.25244469491167</v>
      </c>
      <c r="O64" s="2">
        <f t="shared" si="28"/>
        <v>2.0789954839350258</v>
      </c>
      <c r="P64" s="2">
        <f t="shared" si="28"/>
        <v>0.44315986403222302</v>
      </c>
      <c r="Q64" s="85"/>
      <c r="R64" s="85"/>
      <c r="S64" s="85"/>
    </row>
    <row r="65" spans="1:19" x14ac:dyDescent="0.35">
      <c r="A65" s="85"/>
      <c r="B65" s="85"/>
      <c r="C65" s="85"/>
      <c r="D65" s="85"/>
      <c r="E65" s="137"/>
      <c r="F65" s="85"/>
      <c r="G65" s="49" t="s">
        <v>95</v>
      </c>
      <c r="H65" s="2">
        <f>H64/SQRT(10)</f>
        <v>8.4024467336075812E-2</v>
      </c>
      <c r="I65" s="2">
        <f t="shared" ref="I65:P65" si="29">I64/SQRT(10)</f>
        <v>3.2650288581334848</v>
      </c>
      <c r="J65" s="2">
        <f t="shared" si="29"/>
        <v>1.3731969051228371E-2</v>
      </c>
      <c r="K65" s="2">
        <f t="shared" si="29"/>
        <v>1.3731969051228364E-2</v>
      </c>
      <c r="L65" s="2">
        <f t="shared" si="29"/>
        <v>1.3714555434669599E-2</v>
      </c>
      <c r="M65" s="2">
        <f t="shared" si="29"/>
        <v>4.7672476277794053E-3</v>
      </c>
      <c r="N65" s="2">
        <f t="shared" si="29"/>
        <v>3.2421076820830987</v>
      </c>
      <c r="O65" s="2">
        <f t="shared" si="29"/>
        <v>0.65743609744386799</v>
      </c>
      <c r="P65" s="2">
        <f t="shared" si="29"/>
        <v>0.14013945379123552</v>
      </c>
      <c r="Q65" s="85"/>
      <c r="R65" s="85"/>
      <c r="S65" s="85"/>
    </row>
    <row r="66" spans="1:19" x14ac:dyDescent="0.35">
      <c r="A66" s="85"/>
      <c r="B66" s="85"/>
      <c r="C66" s="85"/>
      <c r="D66" s="85"/>
      <c r="E66" s="137"/>
      <c r="F66" s="85"/>
      <c r="G66" s="49"/>
      <c r="H66" s="2"/>
      <c r="I66" s="2"/>
      <c r="J66" s="2"/>
      <c r="K66" s="2"/>
      <c r="L66" s="2"/>
      <c r="M66" s="2"/>
      <c r="N66" s="2"/>
      <c r="O66" s="2"/>
      <c r="P66" s="2"/>
      <c r="Q66" s="85"/>
      <c r="R66" s="85"/>
      <c r="S66" s="85"/>
    </row>
    <row r="67" spans="1:19" x14ac:dyDescent="0.35">
      <c r="A67" s="85"/>
      <c r="B67" s="85"/>
      <c r="C67" s="85"/>
      <c r="D67" s="85"/>
      <c r="E67" s="137"/>
      <c r="F67" s="85"/>
      <c r="G67" s="85"/>
      <c r="H67" s="13"/>
      <c r="I67" s="13"/>
      <c r="J67" s="13"/>
      <c r="K67" s="13"/>
      <c r="L67" s="13"/>
      <c r="M67" s="13"/>
      <c r="N67" s="13"/>
      <c r="O67" s="85"/>
      <c r="P67" s="85"/>
      <c r="Q67" s="85"/>
      <c r="R67" s="85"/>
      <c r="S67" s="85"/>
    </row>
    <row r="68" spans="1:19" x14ac:dyDescent="0.35">
      <c r="A68" s="85"/>
      <c r="B68" s="85"/>
      <c r="C68" s="85"/>
      <c r="D68" s="85"/>
      <c r="E68" s="137" t="s">
        <v>195</v>
      </c>
      <c r="F68" s="85"/>
      <c r="G68" s="49" t="s">
        <v>77</v>
      </c>
      <c r="H68" s="13">
        <f>AVERAGE(H41,H49,H54,H56,H58)</f>
        <v>4.1120000000000037</v>
      </c>
      <c r="I68" s="13">
        <f>AVERAGE(I41,I49,I54,I56,I58)</f>
        <v>12.497999999999994</v>
      </c>
      <c r="J68" s="13">
        <f t="shared" ref="J68:P68" si="30">AVERAGE(J41,J49,J54,J56,J58)</f>
        <v>0.25207923477281635</v>
      </c>
      <c r="K68" s="13">
        <f t="shared" si="30"/>
        <v>0.74792076522718365</v>
      </c>
      <c r="L68" s="13">
        <f t="shared" si="30"/>
        <v>0.24490075772630443</v>
      </c>
      <c r="M68" s="13">
        <f t="shared" si="30"/>
        <v>6.0856589371539503E-2</v>
      </c>
      <c r="N68" s="13">
        <f t="shared" si="30"/>
        <v>16.609999999999996</v>
      </c>
      <c r="O68" s="13">
        <f t="shared" si="30"/>
        <v>28</v>
      </c>
      <c r="P68" s="13">
        <f t="shared" si="30"/>
        <v>6.816243999635728</v>
      </c>
      <c r="Q68" s="85"/>
      <c r="R68" s="85"/>
      <c r="S68" s="85"/>
    </row>
    <row r="69" spans="1:19" x14ac:dyDescent="0.35">
      <c r="A69" s="85"/>
      <c r="B69" s="85"/>
      <c r="C69" s="85"/>
      <c r="D69" s="85"/>
      <c r="E69" s="137"/>
      <c r="F69" s="85"/>
      <c r="G69" s="49" t="s">
        <v>94</v>
      </c>
      <c r="H69" s="13">
        <f>_xlfn.STDEV.S(H41,H49,H54,H56,H58)</f>
        <v>0.39921172327475474</v>
      </c>
      <c r="I69" s="13">
        <f t="shared" ref="I69:P69" si="31">_xlfn.STDEV.S(I41,I49,I54,I56,I58)</f>
        <v>2.2526473314746815</v>
      </c>
      <c r="J69" s="13">
        <f t="shared" si="31"/>
        <v>5.2137991599301568E-2</v>
      </c>
      <c r="K69" s="13">
        <f t="shared" si="31"/>
        <v>5.213799159930152E-2</v>
      </c>
      <c r="L69" s="13">
        <f t="shared" si="31"/>
        <v>2.2053476461497544E-2</v>
      </c>
      <c r="M69" s="13">
        <f t="shared" si="31"/>
        <v>7.0402934302482463E-3</v>
      </c>
      <c r="N69" s="13">
        <f t="shared" si="31"/>
        <v>1.9283542205725717</v>
      </c>
      <c r="O69" s="13">
        <f t="shared" si="31"/>
        <v>3.082207001484488</v>
      </c>
      <c r="P69" s="13">
        <f t="shared" si="31"/>
        <v>0.51657169819152016</v>
      </c>
      <c r="Q69" s="85"/>
      <c r="R69" s="85"/>
      <c r="S69" s="85"/>
    </row>
    <row r="70" spans="1:19" x14ac:dyDescent="0.35">
      <c r="A70" s="85"/>
      <c r="B70" s="85"/>
      <c r="C70" s="85"/>
      <c r="D70" s="85"/>
      <c r="E70" s="137"/>
      <c r="F70" s="85"/>
      <c r="G70" s="49" t="s">
        <v>95</v>
      </c>
      <c r="H70" s="13">
        <f>H69/SQRT(5)</f>
        <v>0.17853291013143729</v>
      </c>
      <c r="I70" s="13">
        <f t="shared" ref="I70:P70" si="32">I69/SQRT(5)</f>
        <v>1.0074145125021778</v>
      </c>
      <c r="J70" s="13">
        <f t="shared" si="32"/>
        <v>2.3316818685270257E-2</v>
      </c>
      <c r="K70" s="13">
        <f t="shared" si="32"/>
        <v>2.3316818685270232E-2</v>
      </c>
      <c r="L70" s="13">
        <f t="shared" si="32"/>
        <v>9.8626145016200064E-3</v>
      </c>
      <c r="M70" s="13">
        <f t="shared" si="32"/>
        <v>3.1485149383160506E-3</v>
      </c>
      <c r="N70" s="13">
        <f t="shared" si="32"/>
        <v>0.86238622437977874</v>
      </c>
      <c r="O70" s="13">
        <f t="shared" si="32"/>
        <v>1.3784048752090221</v>
      </c>
      <c r="P70" s="13">
        <f t="shared" si="32"/>
        <v>0.23101788648174884</v>
      </c>
      <c r="Q70" s="85"/>
      <c r="R70" s="85"/>
      <c r="S70" s="85"/>
    </row>
    <row r="71" spans="1:19" x14ac:dyDescent="0.35">
      <c r="A71" s="85"/>
      <c r="B71" s="85"/>
      <c r="C71" s="85"/>
      <c r="D71" s="85"/>
      <c r="E71" s="137"/>
      <c r="F71" s="85"/>
      <c r="G71" s="85"/>
      <c r="H71" s="13"/>
      <c r="I71" s="13"/>
      <c r="J71" s="13"/>
      <c r="K71" s="13"/>
      <c r="L71" s="13"/>
      <c r="M71" s="13"/>
      <c r="N71" s="13"/>
      <c r="O71" s="85"/>
      <c r="P71" s="85"/>
      <c r="Q71" s="85"/>
      <c r="R71" s="85"/>
      <c r="S71" s="85"/>
    </row>
    <row r="72" spans="1:19" x14ac:dyDescent="0.35">
      <c r="A72" s="85"/>
      <c r="B72" s="85"/>
      <c r="C72" s="85"/>
      <c r="D72" s="85"/>
      <c r="E72" s="137"/>
      <c r="F72" s="85"/>
      <c r="G72" s="85"/>
      <c r="H72" s="13"/>
      <c r="I72" s="13"/>
      <c r="J72" s="13"/>
      <c r="K72" s="13"/>
      <c r="L72" s="13"/>
      <c r="M72" s="13"/>
      <c r="N72" s="13"/>
      <c r="O72" s="85"/>
      <c r="P72" s="85"/>
      <c r="Q72" s="85"/>
      <c r="R72" s="85"/>
      <c r="S72" s="85"/>
    </row>
    <row r="73" spans="1:19" x14ac:dyDescent="0.35">
      <c r="A73" s="85"/>
      <c r="B73" s="85"/>
      <c r="C73" s="85"/>
      <c r="D73" s="85"/>
      <c r="E73" s="137" t="s">
        <v>194</v>
      </c>
      <c r="F73" s="85"/>
      <c r="G73" s="49" t="s">
        <v>77</v>
      </c>
      <c r="H73" s="13">
        <f>AVERAGE(H29:H30,H37:H39,H45:H47)</f>
        <v>3.7487500000000002</v>
      </c>
      <c r="I73" s="13">
        <f>AVERAGE(I29:I30,I37:I39,I45:I47)</f>
        <v>11.581250000000001</v>
      </c>
      <c r="J73" s="13">
        <f t="shared" ref="J73:P73" si="33">AVERAGE(J29:J30,J37:J39,J45:J47)</f>
        <v>0.25847492769458386</v>
      </c>
      <c r="K73" s="13">
        <f t="shared" si="33"/>
        <v>0.7415250723054162</v>
      </c>
      <c r="L73" s="13">
        <f t="shared" si="33"/>
        <v>0.2681050124979461</v>
      </c>
      <c r="M73" s="13">
        <f t="shared" si="33"/>
        <v>6.911162072935588E-2</v>
      </c>
      <c r="N73" s="13">
        <f t="shared" si="33"/>
        <v>15.330000000000002</v>
      </c>
      <c r="O73" s="13">
        <f>AVERAGE(O29:O30,O37:O39,O45:O47)</f>
        <v>24.625</v>
      </c>
      <c r="P73" s="13">
        <f t="shared" si="33"/>
        <v>6.5737368038706343</v>
      </c>
      <c r="Q73" s="85"/>
      <c r="R73" s="85"/>
      <c r="S73" s="85"/>
    </row>
    <row r="74" spans="1:19" x14ac:dyDescent="0.35">
      <c r="A74" s="85"/>
      <c r="B74" s="85"/>
      <c r="C74" s="85"/>
      <c r="D74" s="85"/>
      <c r="E74" s="137"/>
      <c r="F74" s="85"/>
      <c r="G74" s="49" t="s">
        <v>94</v>
      </c>
      <c r="H74" s="13">
        <f>_xlfn.STDEV.S(H29:H30,H37:H39,H45:H47)</f>
        <v>0.27828235917601951</v>
      </c>
      <c r="I74" s="13">
        <f t="shared" ref="I74:P74" si="34">_xlfn.STDEV.S(I29:I30,I37:I39,I45:I47)</f>
        <v>3.8435342273931736</v>
      </c>
      <c r="J74" s="13">
        <f t="shared" si="34"/>
        <v>6.9297315769940096E-2</v>
      </c>
      <c r="K74" s="13">
        <f t="shared" si="34"/>
        <v>6.9297315769939999E-2</v>
      </c>
      <c r="L74" s="13">
        <f t="shared" si="34"/>
        <v>2.0793644395030626E-2</v>
      </c>
      <c r="M74" s="13">
        <f t="shared" si="34"/>
        <v>1.7622654854517111E-2</v>
      </c>
      <c r="N74" s="13">
        <f t="shared" si="34"/>
        <v>3.9164196477321989</v>
      </c>
      <c r="O74" s="13">
        <f t="shared" si="34"/>
        <v>2.0658792662827961</v>
      </c>
      <c r="P74" s="13">
        <f t="shared" si="34"/>
        <v>0.35474657288069306</v>
      </c>
      <c r="Q74" s="85"/>
      <c r="R74" s="85"/>
      <c r="S74" s="85"/>
    </row>
    <row r="75" spans="1:19" x14ac:dyDescent="0.35">
      <c r="A75" s="85"/>
      <c r="B75" s="85"/>
      <c r="C75" s="85"/>
      <c r="D75" s="85"/>
      <c r="E75" s="137"/>
      <c r="F75" s="85"/>
      <c r="G75" s="49" t="s">
        <v>95</v>
      </c>
      <c r="H75" s="13">
        <f>H74/SQRT(8)</f>
        <v>9.8387671628976922E-2</v>
      </c>
      <c r="I75" s="13">
        <f t="shared" ref="I75:P75" si="35">I74/SQRT(8)</f>
        <v>1.3588945579561553</v>
      </c>
      <c r="J75" s="13">
        <f t="shared" si="35"/>
        <v>2.450030094947506E-2</v>
      </c>
      <c r="K75" s="13">
        <f t="shared" si="35"/>
        <v>2.4500300949475026E-2</v>
      </c>
      <c r="L75" s="13">
        <f t="shared" si="35"/>
        <v>7.3516634786539E-3</v>
      </c>
      <c r="M75" s="13">
        <f t="shared" si="35"/>
        <v>6.2305493750695398E-3</v>
      </c>
      <c r="N75" s="13">
        <f t="shared" si="35"/>
        <v>1.3846634454418336</v>
      </c>
      <c r="O75" s="13">
        <f t="shared" si="35"/>
        <v>0.7303986191506272</v>
      </c>
      <c r="P75" s="13">
        <f t="shared" si="35"/>
        <v>0.12542185364331293</v>
      </c>
      <c r="Q75" s="85"/>
      <c r="R75" s="85"/>
      <c r="S75" s="85"/>
    </row>
    <row r="76" spans="1:19" x14ac:dyDescent="0.35">
      <c r="A76" s="85"/>
      <c r="B76" s="85"/>
      <c r="C76" s="85"/>
      <c r="D76" s="85"/>
      <c r="E76" s="137"/>
      <c r="F76" s="85"/>
      <c r="G76" s="85"/>
      <c r="H76" s="13"/>
      <c r="I76" s="13"/>
      <c r="J76" s="13"/>
      <c r="K76" s="13"/>
      <c r="L76" s="13"/>
      <c r="M76" s="13"/>
      <c r="N76" s="13"/>
      <c r="O76" s="85"/>
      <c r="P76" s="85"/>
      <c r="Q76" s="85"/>
      <c r="R76" s="85"/>
      <c r="S76" s="85"/>
    </row>
    <row r="77" spans="1:19" x14ac:dyDescent="0.35">
      <c r="A77" s="85"/>
      <c r="B77" s="85"/>
      <c r="C77" s="85"/>
      <c r="D77" s="85"/>
      <c r="E77" s="85"/>
      <c r="F77" s="85"/>
      <c r="G77" s="85"/>
      <c r="H77" s="85"/>
      <c r="I77" s="85"/>
      <c r="J77" s="85"/>
      <c r="K77" s="85"/>
      <c r="L77" s="85"/>
      <c r="M77" s="85"/>
      <c r="N77" s="85"/>
      <c r="O77" s="85"/>
      <c r="P77" s="85"/>
      <c r="Q77" s="85"/>
      <c r="R77" s="85"/>
      <c r="S77" s="85"/>
    </row>
    <row r="78" spans="1:19" x14ac:dyDescent="0.35">
      <c r="A78" s="85"/>
      <c r="B78" s="85"/>
      <c r="C78" s="85"/>
      <c r="D78" s="85"/>
      <c r="E78" s="85"/>
      <c r="F78" s="85"/>
      <c r="G78" s="85"/>
      <c r="H78" s="85"/>
      <c r="I78" s="85"/>
      <c r="J78" s="85"/>
      <c r="K78" s="85"/>
      <c r="L78" s="85"/>
      <c r="M78" s="85"/>
      <c r="N78" s="85"/>
      <c r="O78" s="85"/>
      <c r="P78" s="85"/>
      <c r="Q78" s="85"/>
      <c r="R78" s="85"/>
      <c r="S78" s="85"/>
    </row>
    <row r="79" spans="1:19" x14ac:dyDescent="0.35">
      <c r="A79" s="85"/>
      <c r="B79" s="85"/>
      <c r="C79" s="85"/>
      <c r="D79" s="85"/>
      <c r="E79" s="85"/>
      <c r="F79" s="85"/>
      <c r="G79" s="85"/>
      <c r="H79" s="85"/>
      <c r="I79" s="85"/>
      <c r="J79" s="85"/>
      <c r="K79" s="85"/>
      <c r="L79" s="85"/>
      <c r="M79" s="85"/>
      <c r="N79" s="85"/>
      <c r="O79" s="85"/>
      <c r="P79" s="85"/>
      <c r="Q79" s="85"/>
      <c r="R79" s="85"/>
      <c r="S79" s="85"/>
    </row>
    <row r="80" spans="1:19" ht="18.5" x14ac:dyDescent="0.45">
      <c r="A80" s="85"/>
      <c r="B80" s="13"/>
      <c r="C80" s="13"/>
      <c r="D80" s="13"/>
      <c r="E80" s="13"/>
      <c r="F80" s="149" t="s">
        <v>15</v>
      </c>
      <c r="G80" s="13"/>
      <c r="H80" s="13"/>
      <c r="I80" s="13"/>
      <c r="J80" s="13"/>
      <c r="K80" s="13"/>
      <c r="L80" s="13"/>
      <c r="M80" s="13"/>
      <c r="N80" s="13"/>
      <c r="O80" s="13"/>
      <c r="P80" s="85"/>
      <c r="Q80" s="85"/>
      <c r="R80" s="85"/>
      <c r="S80" s="85"/>
    </row>
    <row r="81" spans="1:19" ht="16" thickBot="1" x14ac:dyDescent="0.4">
      <c r="A81" s="85"/>
      <c r="B81" s="44" t="s">
        <v>18</v>
      </c>
      <c r="C81" s="44" t="s">
        <v>17</v>
      </c>
      <c r="D81" s="44" t="s">
        <v>20</v>
      </c>
      <c r="E81" s="14"/>
      <c r="F81" s="44" t="s">
        <v>1</v>
      </c>
      <c r="G81" s="44" t="s">
        <v>2</v>
      </c>
      <c r="H81" s="44" t="s">
        <v>3</v>
      </c>
      <c r="I81" s="44" t="s">
        <v>4</v>
      </c>
      <c r="J81" s="44" t="s">
        <v>5</v>
      </c>
      <c r="K81" s="44" t="s">
        <v>6</v>
      </c>
      <c r="L81" s="44" t="s">
        <v>7</v>
      </c>
      <c r="M81" s="44" t="s">
        <v>8</v>
      </c>
      <c r="N81" s="44" t="s">
        <v>9</v>
      </c>
      <c r="O81" s="44" t="s">
        <v>10</v>
      </c>
      <c r="P81" s="44" t="s">
        <v>139</v>
      </c>
      <c r="Q81" s="85"/>
      <c r="R81" s="44" t="s">
        <v>134</v>
      </c>
      <c r="S81" s="85"/>
    </row>
    <row r="82" spans="1:19" x14ac:dyDescent="0.35">
      <c r="A82" s="85"/>
      <c r="B82" s="85"/>
      <c r="C82" s="85"/>
      <c r="D82" s="85"/>
      <c r="E82" s="85"/>
      <c r="F82" s="85">
        <v>29.32</v>
      </c>
      <c r="G82" s="85">
        <v>32.39</v>
      </c>
      <c r="H82" s="13">
        <f t="shared" ref="H82:H95" si="36">G82-F82</f>
        <v>3.0700000000000003</v>
      </c>
      <c r="I82" s="13">
        <f t="shared" ref="I82:I95" si="37">F83-G82</f>
        <v>8.259999999999998</v>
      </c>
      <c r="J82" s="13">
        <f t="shared" ref="J82:J95" si="38">H82/N82</f>
        <v>0.27096204766107684</v>
      </c>
      <c r="K82" s="13">
        <f t="shared" ref="K82:K95" si="39">I82/N82</f>
        <v>0.7290379523389231</v>
      </c>
      <c r="L82" s="13">
        <f t="shared" ref="L82:L95" si="40">1/H82</f>
        <v>0.32573289902280128</v>
      </c>
      <c r="M82" s="13">
        <f t="shared" ref="M82:M95" si="41">1/N82</f>
        <v>8.8261253309797019E-2</v>
      </c>
      <c r="N82" s="13">
        <f t="shared" ref="N82:N95" si="42">H82+I82</f>
        <v>11.329999999999998</v>
      </c>
      <c r="O82" s="85">
        <v>18</v>
      </c>
      <c r="P82" s="85">
        <f t="shared" ref="P82:P95" si="43">O82/H82</f>
        <v>5.8631921824104225</v>
      </c>
      <c r="Q82" s="85"/>
      <c r="R82" t="s">
        <v>203</v>
      </c>
      <c r="S82" s="85"/>
    </row>
    <row r="83" spans="1:19" x14ac:dyDescent="0.35">
      <c r="A83" s="85"/>
      <c r="B83" s="85"/>
      <c r="C83" s="85"/>
      <c r="D83" s="85"/>
      <c r="E83" s="85"/>
      <c r="F83" s="85">
        <v>40.65</v>
      </c>
      <c r="G83" s="85">
        <v>44.85</v>
      </c>
      <c r="H83" s="13">
        <f t="shared" si="36"/>
        <v>4.2000000000000028</v>
      </c>
      <c r="I83" s="13">
        <f t="shared" si="37"/>
        <v>16.449999999999996</v>
      </c>
      <c r="J83" s="13">
        <f t="shared" si="38"/>
        <v>0.20338983050847473</v>
      </c>
      <c r="K83" s="13">
        <f t="shared" si="39"/>
        <v>0.7966101694915253</v>
      </c>
      <c r="L83" s="13">
        <f t="shared" si="40"/>
        <v>0.23809523809523794</v>
      </c>
      <c r="M83" s="13">
        <f t="shared" si="41"/>
        <v>4.8426150121065381E-2</v>
      </c>
      <c r="N83" s="13">
        <f t="shared" si="42"/>
        <v>20.65</v>
      </c>
      <c r="O83" s="85">
        <v>29</v>
      </c>
      <c r="P83" s="85">
        <f t="shared" si="43"/>
        <v>6.9047619047618998</v>
      </c>
      <c r="Q83" s="85"/>
      <c r="R83" s="85"/>
      <c r="S83" s="85"/>
    </row>
    <row r="84" spans="1:19" x14ac:dyDescent="0.35">
      <c r="A84" s="85"/>
      <c r="B84" s="144">
        <v>68.12</v>
      </c>
      <c r="C84" s="144">
        <v>72.08</v>
      </c>
      <c r="D84" s="144">
        <f>C84-B84</f>
        <v>3.9599999999999937</v>
      </c>
      <c r="E84" s="144"/>
      <c r="F84" s="144">
        <v>61.3</v>
      </c>
      <c r="G84" s="144">
        <v>64.52</v>
      </c>
      <c r="H84" s="91">
        <f t="shared" si="36"/>
        <v>3.2199999999999989</v>
      </c>
      <c r="I84" s="91">
        <f t="shared" si="37"/>
        <v>16.740000000000009</v>
      </c>
      <c r="J84" s="91">
        <f t="shared" si="38"/>
        <v>0.16132264529058105</v>
      </c>
      <c r="K84" s="91">
        <f t="shared" si="39"/>
        <v>0.83867735470941895</v>
      </c>
      <c r="L84" s="91">
        <f t="shared" si="40"/>
        <v>0.31055900621118021</v>
      </c>
      <c r="M84" s="91">
        <f t="shared" si="41"/>
        <v>5.0100200400801584E-2</v>
      </c>
      <c r="N84" s="91">
        <f t="shared" si="42"/>
        <v>19.960000000000008</v>
      </c>
      <c r="O84" s="144">
        <v>19</v>
      </c>
      <c r="P84" s="144">
        <f t="shared" si="43"/>
        <v>5.9006211180124248</v>
      </c>
      <c r="Q84" s="85"/>
      <c r="R84" s="85"/>
      <c r="S84" s="85"/>
    </row>
    <row r="85" spans="1:19" x14ac:dyDescent="0.35">
      <c r="A85" s="85"/>
      <c r="B85" s="144">
        <v>92.91</v>
      </c>
      <c r="C85" s="144">
        <v>96.61</v>
      </c>
      <c r="D85" s="144">
        <f>C85-B85</f>
        <v>3.7000000000000028</v>
      </c>
      <c r="E85" s="144"/>
      <c r="F85" s="144">
        <v>81.260000000000005</v>
      </c>
      <c r="G85" s="144">
        <v>85.14</v>
      </c>
      <c r="H85" s="91">
        <f t="shared" si="36"/>
        <v>3.8799999999999955</v>
      </c>
      <c r="I85" s="91">
        <f t="shared" si="37"/>
        <v>27.739999999999995</v>
      </c>
      <c r="J85" s="91">
        <f t="shared" si="38"/>
        <v>0.12270714737507896</v>
      </c>
      <c r="K85" s="91">
        <f t="shared" si="39"/>
        <v>0.87729285262492107</v>
      </c>
      <c r="L85" s="91">
        <f t="shared" si="40"/>
        <v>0.2577319587628869</v>
      </c>
      <c r="M85" s="91">
        <f t="shared" si="41"/>
        <v>3.1625553447185338E-2</v>
      </c>
      <c r="N85" s="91">
        <f t="shared" si="42"/>
        <v>31.61999999999999</v>
      </c>
      <c r="O85" s="144">
        <v>24</v>
      </c>
      <c r="P85" s="144">
        <f t="shared" si="43"/>
        <v>6.1855670103092857</v>
      </c>
      <c r="Q85" s="85"/>
      <c r="R85" s="85"/>
      <c r="S85" s="85"/>
    </row>
    <row r="86" spans="1:19" x14ac:dyDescent="0.35">
      <c r="A86" s="85"/>
      <c r="B86" s="85"/>
      <c r="C86" s="85"/>
      <c r="D86" s="85"/>
      <c r="E86" s="85"/>
      <c r="F86" s="85">
        <v>112.88</v>
      </c>
      <c r="G86" s="85">
        <v>116.84</v>
      </c>
      <c r="H86" s="13">
        <f t="shared" si="36"/>
        <v>3.960000000000008</v>
      </c>
      <c r="I86" s="13">
        <f t="shared" si="37"/>
        <v>7.6099999999999994</v>
      </c>
      <c r="J86" s="13">
        <f t="shared" si="38"/>
        <v>0.34226447709593821</v>
      </c>
      <c r="K86" s="13">
        <f t="shared" si="39"/>
        <v>0.65773552290406179</v>
      </c>
      <c r="L86" s="13">
        <f t="shared" si="40"/>
        <v>0.25252525252525204</v>
      </c>
      <c r="M86" s="13">
        <f t="shared" si="41"/>
        <v>8.6430423509075135E-2</v>
      </c>
      <c r="N86" s="13">
        <f t="shared" si="42"/>
        <v>11.570000000000007</v>
      </c>
      <c r="O86" s="85">
        <v>24</v>
      </c>
      <c r="P86" s="85">
        <f t="shared" si="43"/>
        <v>6.0606060606060481</v>
      </c>
      <c r="Q86" s="85"/>
      <c r="R86" s="85"/>
      <c r="S86" s="85"/>
    </row>
    <row r="87" spans="1:19" x14ac:dyDescent="0.35">
      <c r="A87" s="85"/>
      <c r="B87" s="85"/>
      <c r="C87" s="85"/>
      <c r="D87" s="85"/>
      <c r="E87" s="85"/>
      <c r="F87" s="85">
        <f>120+4.45</f>
        <v>124.45</v>
      </c>
      <c r="G87" s="85">
        <f>120+8.48</f>
        <v>128.47999999999999</v>
      </c>
      <c r="H87" s="13">
        <f t="shared" si="36"/>
        <v>4.0299999999999869</v>
      </c>
      <c r="I87" s="13">
        <f t="shared" si="37"/>
        <v>17.28</v>
      </c>
      <c r="J87" s="13">
        <f t="shared" si="38"/>
        <v>0.18911309244486105</v>
      </c>
      <c r="K87" s="13">
        <f t="shared" si="39"/>
        <v>0.81088690755513892</v>
      </c>
      <c r="L87" s="13">
        <f t="shared" si="40"/>
        <v>0.24813895781637799</v>
      </c>
      <c r="M87" s="13">
        <f t="shared" si="41"/>
        <v>4.692632566870017E-2</v>
      </c>
      <c r="N87" s="13">
        <f t="shared" si="42"/>
        <v>21.309999999999988</v>
      </c>
      <c r="O87" s="85">
        <v>25</v>
      </c>
      <c r="P87" s="85">
        <f t="shared" si="43"/>
        <v>6.2034739454094492</v>
      </c>
      <c r="Q87" s="85"/>
      <c r="R87" t="s">
        <v>204</v>
      </c>
      <c r="S87" s="85"/>
    </row>
    <row r="88" spans="1:19" x14ac:dyDescent="0.35">
      <c r="A88" s="137"/>
      <c r="B88" s="144">
        <v>34.03</v>
      </c>
      <c r="C88" s="144">
        <v>37</v>
      </c>
      <c r="D88" s="144">
        <f>C88-B88</f>
        <v>2.9699999999999989</v>
      </c>
      <c r="E88" s="144"/>
      <c r="F88" s="144">
        <f>120+25.76</f>
        <v>145.76</v>
      </c>
      <c r="G88" s="144">
        <f>120+29.71</f>
        <v>149.71</v>
      </c>
      <c r="H88" s="91">
        <f t="shared" si="36"/>
        <v>3.9500000000000171</v>
      </c>
      <c r="I88" s="91">
        <f t="shared" si="37"/>
        <v>14.650000000000006</v>
      </c>
      <c r="J88" s="91">
        <f t="shared" si="38"/>
        <v>0.21236559139785011</v>
      </c>
      <c r="K88" s="91">
        <f t="shared" si="39"/>
        <v>0.78763440860214984</v>
      </c>
      <c r="L88" s="91">
        <f t="shared" si="40"/>
        <v>0.25316455696202422</v>
      </c>
      <c r="M88" s="91">
        <f t="shared" si="41"/>
        <v>5.3763440860214985E-2</v>
      </c>
      <c r="N88" s="91">
        <f t="shared" si="42"/>
        <v>18.600000000000023</v>
      </c>
      <c r="O88" s="144">
        <v>24</v>
      </c>
      <c r="P88" s="144">
        <f t="shared" si="43"/>
        <v>6.0759493670885814</v>
      </c>
      <c r="Q88" s="85"/>
      <c r="R88" s="85"/>
      <c r="S88" s="85"/>
    </row>
    <row r="89" spans="1:19" x14ac:dyDescent="0.35">
      <c r="A89" s="85"/>
      <c r="B89" s="85"/>
      <c r="C89" s="85"/>
      <c r="D89" s="85"/>
      <c r="E89" s="85"/>
      <c r="F89" s="85">
        <f>120+44.36</f>
        <v>164.36</v>
      </c>
      <c r="G89" s="85">
        <f>48.48+120</f>
        <v>168.48</v>
      </c>
      <c r="H89" s="13">
        <f t="shared" si="36"/>
        <v>4.1199999999999761</v>
      </c>
      <c r="I89" s="13">
        <f t="shared" si="37"/>
        <v>26.800000000000011</v>
      </c>
      <c r="J89" s="13">
        <f t="shared" si="38"/>
        <v>0.13324708926261247</v>
      </c>
      <c r="K89" s="13">
        <f t="shared" si="39"/>
        <v>0.86675291073738747</v>
      </c>
      <c r="L89" s="13">
        <f t="shared" si="40"/>
        <v>0.24271844660194317</v>
      </c>
      <c r="M89" s="13">
        <f t="shared" si="41"/>
        <v>3.2341526520051761E-2</v>
      </c>
      <c r="N89" s="13">
        <f t="shared" si="42"/>
        <v>30.919999999999987</v>
      </c>
      <c r="O89" s="85">
        <v>23</v>
      </c>
      <c r="P89" s="85">
        <f t="shared" si="43"/>
        <v>5.5825242718446928</v>
      </c>
      <c r="Q89" s="85"/>
      <c r="R89" s="85"/>
      <c r="S89" s="85"/>
    </row>
    <row r="90" spans="1:19" x14ac:dyDescent="0.35">
      <c r="A90" s="85"/>
      <c r="B90" s="85"/>
      <c r="C90" s="85"/>
      <c r="D90" s="85"/>
      <c r="E90" s="85"/>
      <c r="F90" s="85">
        <f>120+75.28</f>
        <v>195.28</v>
      </c>
      <c r="G90" s="85">
        <f>120+78.63</f>
        <v>198.63</v>
      </c>
      <c r="H90" s="13">
        <f t="shared" si="36"/>
        <v>3.3499999999999943</v>
      </c>
      <c r="I90" s="13">
        <f t="shared" si="37"/>
        <v>11.650000000000006</v>
      </c>
      <c r="J90" s="13">
        <f t="shared" si="38"/>
        <v>0.22333333333333297</v>
      </c>
      <c r="K90" s="13">
        <f t="shared" si="39"/>
        <v>0.77666666666666706</v>
      </c>
      <c r="L90" s="13">
        <f t="shared" si="40"/>
        <v>0.29850746268656769</v>
      </c>
      <c r="M90" s="13">
        <f t="shared" si="41"/>
        <v>6.6666666666666666E-2</v>
      </c>
      <c r="N90" s="13">
        <f t="shared" si="42"/>
        <v>15</v>
      </c>
      <c r="O90" s="85">
        <v>21</v>
      </c>
      <c r="P90" s="85">
        <f t="shared" si="43"/>
        <v>6.2686567164179214</v>
      </c>
      <c r="Q90" s="85"/>
      <c r="R90" s="85"/>
      <c r="S90" s="85"/>
    </row>
    <row r="91" spans="1:19" x14ac:dyDescent="0.35">
      <c r="A91" s="85"/>
      <c r="B91" s="85"/>
      <c r="C91" s="85"/>
      <c r="D91" s="85"/>
      <c r="E91" s="85"/>
      <c r="F91" s="85">
        <f>120+90.28</f>
        <v>210.28</v>
      </c>
      <c r="G91" s="85">
        <f>120+93.47</f>
        <v>213.47</v>
      </c>
      <c r="H91" s="13">
        <f t="shared" si="36"/>
        <v>3.1899999999999977</v>
      </c>
      <c r="I91" s="13">
        <f t="shared" si="37"/>
        <v>12.210000000000008</v>
      </c>
      <c r="J91" s="13">
        <f t="shared" si="38"/>
        <v>0.20714285714285691</v>
      </c>
      <c r="K91" s="13">
        <f t="shared" si="39"/>
        <v>0.79285714285714304</v>
      </c>
      <c r="L91" s="13">
        <f t="shared" si="40"/>
        <v>0.31347962382445166</v>
      </c>
      <c r="M91" s="13">
        <f t="shared" si="41"/>
        <v>6.4935064935064915E-2</v>
      </c>
      <c r="N91" s="13">
        <f t="shared" si="42"/>
        <v>15.400000000000006</v>
      </c>
      <c r="O91" s="85">
        <v>18</v>
      </c>
      <c r="P91" s="85">
        <f t="shared" si="43"/>
        <v>5.6426332288401291</v>
      </c>
      <c r="Q91" s="85"/>
      <c r="R91" s="85"/>
      <c r="S91" s="85"/>
    </row>
    <row r="92" spans="1:19" x14ac:dyDescent="0.35">
      <c r="A92" s="85"/>
      <c r="B92" s="144">
        <v>113.84</v>
      </c>
      <c r="C92" s="144">
        <v>121.49</v>
      </c>
      <c r="D92" s="144">
        <f>C92-B92</f>
        <v>7.6499999999999915</v>
      </c>
      <c r="E92" s="144"/>
      <c r="F92" s="144">
        <f>120+105.68</f>
        <v>225.68</v>
      </c>
      <c r="G92" s="144">
        <f>120+110.01</f>
        <v>230.01</v>
      </c>
      <c r="H92" s="91">
        <f t="shared" si="36"/>
        <v>4.3299999999999841</v>
      </c>
      <c r="I92" s="91">
        <f t="shared" si="37"/>
        <v>21.670000000000016</v>
      </c>
      <c r="J92" s="91">
        <f t="shared" si="38"/>
        <v>0.16653846153846091</v>
      </c>
      <c r="K92" s="91">
        <f t="shared" si="39"/>
        <v>0.83346153846153903</v>
      </c>
      <c r="L92" s="91">
        <f t="shared" si="40"/>
        <v>0.23094688221709092</v>
      </c>
      <c r="M92" s="91">
        <f t="shared" si="41"/>
        <v>3.8461538461538464E-2</v>
      </c>
      <c r="N92" s="91">
        <f t="shared" si="42"/>
        <v>26</v>
      </c>
      <c r="O92" s="144">
        <v>26</v>
      </c>
      <c r="P92" s="144">
        <f t="shared" si="43"/>
        <v>6.0046189376443637</v>
      </c>
      <c r="Q92" s="85"/>
      <c r="R92" t="s">
        <v>205</v>
      </c>
      <c r="S92" s="85"/>
    </row>
    <row r="93" spans="1:19" x14ac:dyDescent="0.35">
      <c r="A93" s="85"/>
      <c r="B93" s="144">
        <v>17</v>
      </c>
      <c r="C93" s="144">
        <v>24.96</v>
      </c>
      <c r="D93" s="144">
        <f>C93-B93</f>
        <v>7.9600000000000009</v>
      </c>
      <c r="E93" s="144"/>
      <c r="F93" s="144">
        <f>240+11.68</f>
        <v>251.68</v>
      </c>
      <c r="G93" s="144">
        <f>240+15.65</f>
        <v>255.65</v>
      </c>
      <c r="H93" s="91">
        <f t="shared" si="36"/>
        <v>3.9699999999999989</v>
      </c>
      <c r="I93" s="91">
        <f t="shared" si="37"/>
        <v>28.619999999999976</v>
      </c>
      <c r="J93" s="91">
        <f t="shared" si="38"/>
        <v>0.12181650813132869</v>
      </c>
      <c r="K93" s="91">
        <f t="shared" si="39"/>
        <v>0.87818349186867128</v>
      </c>
      <c r="L93" s="91">
        <f t="shared" si="40"/>
        <v>0.25188916876574313</v>
      </c>
      <c r="M93" s="91">
        <f t="shared" si="41"/>
        <v>3.0684258975145772E-2</v>
      </c>
      <c r="N93" s="91">
        <f t="shared" si="42"/>
        <v>32.589999999999975</v>
      </c>
      <c r="O93" s="144">
        <v>26</v>
      </c>
      <c r="P93" s="144">
        <f t="shared" si="43"/>
        <v>6.5491183879093215</v>
      </c>
      <c r="Q93" s="85"/>
      <c r="R93" s="85"/>
      <c r="S93" s="85"/>
    </row>
    <row r="94" spans="1:19" x14ac:dyDescent="0.35">
      <c r="A94" s="85"/>
      <c r="B94" s="144">
        <v>48.94</v>
      </c>
      <c r="C94" s="144">
        <v>56.92</v>
      </c>
      <c r="D94" s="144">
        <f>C94-B94</f>
        <v>7.980000000000004</v>
      </c>
      <c r="E94" s="144"/>
      <c r="F94" s="144">
        <f>240+44.27</f>
        <v>284.27</v>
      </c>
      <c r="G94" s="144">
        <f>240+48.21</f>
        <v>288.20999999999998</v>
      </c>
      <c r="H94" s="91">
        <f t="shared" si="36"/>
        <v>3.9399999999999977</v>
      </c>
      <c r="I94" s="91">
        <f t="shared" si="37"/>
        <v>87.170000000000016</v>
      </c>
      <c r="J94" s="91">
        <f t="shared" si="38"/>
        <v>4.3244429810119604E-2</v>
      </c>
      <c r="K94" s="91">
        <f t="shared" si="39"/>
        <v>0.95675557018988044</v>
      </c>
      <c r="L94" s="91">
        <f t="shared" si="40"/>
        <v>0.25380710659898492</v>
      </c>
      <c r="M94" s="91">
        <f t="shared" si="41"/>
        <v>1.0975743606629347E-2</v>
      </c>
      <c r="N94" s="91">
        <f t="shared" si="42"/>
        <v>91.110000000000014</v>
      </c>
      <c r="O94" s="144">
        <v>25</v>
      </c>
      <c r="P94" s="144">
        <f t="shared" si="43"/>
        <v>6.3451776649746225</v>
      </c>
      <c r="Q94" s="85"/>
      <c r="R94" s="85"/>
      <c r="S94" s="85"/>
    </row>
    <row r="95" spans="1:19" x14ac:dyDescent="0.35">
      <c r="A95" s="85"/>
      <c r="B95" s="144">
        <v>28.51</v>
      </c>
      <c r="C95" s="144">
        <v>32.5</v>
      </c>
      <c r="D95" s="144">
        <f>C95-B95</f>
        <v>3.9899999999999984</v>
      </c>
      <c r="E95" s="144"/>
      <c r="F95" s="144">
        <f>360+15.38</f>
        <v>375.38</v>
      </c>
      <c r="G95" s="144">
        <f>360+19.33</f>
        <v>379.33</v>
      </c>
      <c r="H95" s="91">
        <f t="shared" si="36"/>
        <v>3.9499999999999886</v>
      </c>
      <c r="I95" s="91">
        <f t="shared" si="37"/>
        <v>62.100000000000023</v>
      </c>
      <c r="J95" s="91">
        <f t="shared" si="38"/>
        <v>5.9803179409538047E-2</v>
      </c>
      <c r="K95" s="91">
        <f t="shared" si="39"/>
        <v>0.94019682059046195</v>
      </c>
      <c r="L95" s="91">
        <f t="shared" si="40"/>
        <v>0.25316455696202605</v>
      </c>
      <c r="M95" s="91">
        <f t="shared" si="41"/>
        <v>1.5140045420136259E-2</v>
      </c>
      <c r="N95" s="91">
        <f t="shared" si="42"/>
        <v>66.050000000000011</v>
      </c>
      <c r="O95" s="144">
        <v>24</v>
      </c>
      <c r="P95" s="144">
        <f t="shared" si="43"/>
        <v>6.0759493670886249</v>
      </c>
      <c r="Q95" s="85"/>
      <c r="R95" t="s">
        <v>206</v>
      </c>
      <c r="S95" s="85"/>
    </row>
    <row r="96" spans="1:19" x14ac:dyDescent="0.35">
      <c r="A96" s="85"/>
      <c r="B96" s="85"/>
      <c r="C96" s="85"/>
      <c r="D96" s="85"/>
      <c r="E96" s="85"/>
      <c r="F96" s="85">
        <f>360+81.43</f>
        <v>441.43</v>
      </c>
      <c r="G96" s="85"/>
      <c r="H96" s="13"/>
      <c r="I96" s="13"/>
      <c r="J96" s="13"/>
      <c r="K96" s="13"/>
      <c r="L96" s="13"/>
      <c r="M96" s="13"/>
      <c r="N96" s="13"/>
      <c r="O96" s="85"/>
      <c r="P96" s="85"/>
      <c r="Q96" s="85"/>
      <c r="R96" s="85"/>
      <c r="S96" s="85"/>
    </row>
    <row r="97" spans="1:19" x14ac:dyDescent="0.35">
      <c r="A97" s="85"/>
      <c r="B97" s="85"/>
      <c r="C97" s="85"/>
      <c r="D97" s="85"/>
      <c r="E97" s="85"/>
      <c r="F97" s="85"/>
      <c r="G97" s="85"/>
      <c r="H97" s="13"/>
      <c r="I97" s="13"/>
      <c r="J97" s="13"/>
      <c r="K97" s="13"/>
      <c r="L97" s="13"/>
      <c r="M97" s="13"/>
      <c r="N97" s="13"/>
      <c r="O97" s="85"/>
      <c r="P97" s="85"/>
      <c r="Q97" s="85"/>
      <c r="R97" s="85"/>
      <c r="S97" s="85"/>
    </row>
    <row r="98" spans="1:19" x14ac:dyDescent="0.35">
      <c r="A98" s="85"/>
      <c r="B98" s="85"/>
      <c r="C98" s="85"/>
      <c r="D98" s="85"/>
      <c r="E98" s="85"/>
      <c r="F98" s="85"/>
      <c r="G98" s="85"/>
      <c r="H98" s="13"/>
      <c r="I98" s="13"/>
      <c r="J98" s="13"/>
      <c r="K98" s="13"/>
      <c r="L98" s="13"/>
      <c r="M98" s="13"/>
      <c r="N98" s="13"/>
      <c r="O98" s="85"/>
      <c r="P98" s="85"/>
      <c r="Q98" s="85"/>
      <c r="R98" s="85"/>
      <c r="S98" s="85"/>
    </row>
    <row r="99" spans="1:19" ht="16" thickBot="1" x14ac:dyDescent="0.4">
      <c r="A99" s="85"/>
      <c r="B99" s="85"/>
      <c r="C99" s="85"/>
      <c r="D99" s="85"/>
      <c r="E99" s="137" t="s">
        <v>192</v>
      </c>
      <c r="F99" s="85"/>
      <c r="G99" s="13"/>
      <c r="H99" s="9" t="s">
        <v>3</v>
      </c>
      <c r="I99" s="9" t="s">
        <v>4</v>
      </c>
      <c r="J99" s="9" t="s">
        <v>5</v>
      </c>
      <c r="K99" s="9" t="s">
        <v>6</v>
      </c>
      <c r="L99" s="9" t="s">
        <v>7</v>
      </c>
      <c r="M99" s="9" t="s">
        <v>8</v>
      </c>
      <c r="N99" s="9" t="s">
        <v>9</v>
      </c>
      <c r="O99" s="9" t="s">
        <v>10</v>
      </c>
      <c r="P99" s="44" t="s">
        <v>139</v>
      </c>
      <c r="Q99" s="85"/>
      <c r="R99" s="85"/>
      <c r="S99" s="85"/>
    </row>
    <row r="100" spans="1:19" x14ac:dyDescent="0.35">
      <c r="A100" s="85"/>
      <c r="B100" s="85"/>
      <c r="C100" s="85"/>
      <c r="D100" s="85"/>
      <c r="E100" s="137"/>
      <c r="F100" s="85"/>
      <c r="G100" s="49" t="s">
        <v>77</v>
      </c>
      <c r="H100" s="2">
        <f>AVERAGE(H84:H85,H88,H92:H95)</f>
        <v>3.8914285714285688</v>
      </c>
      <c r="I100" s="2">
        <f t="shared" ref="I100:P100" si="44">AVERAGE(I84:I85,I88,I92:I95)</f>
        <v>36.955714285714294</v>
      </c>
      <c r="J100" s="2">
        <f t="shared" si="44"/>
        <v>0.12682828042185104</v>
      </c>
      <c r="K100" s="2">
        <f t="shared" si="44"/>
        <v>0.87317171957814887</v>
      </c>
      <c r="L100" s="2">
        <f t="shared" si="44"/>
        <v>0.25875189092570522</v>
      </c>
      <c r="M100" s="2">
        <f t="shared" si="44"/>
        <v>3.2964397310235961E-2</v>
      </c>
      <c r="N100" s="2">
        <f t="shared" si="44"/>
        <v>40.847142857142856</v>
      </c>
      <c r="O100" s="2">
        <f t="shared" si="44"/>
        <v>24</v>
      </c>
      <c r="P100" s="2">
        <f t="shared" si="44"/>
        <v>6.1624288361467459</v>
      </c>
      <c r="Q100" s="85"/>
      <c r="R100" s="85"/>
      <c r="S100" s="85"/>
    </row>
    <row r="101" spans="1:19" x14ac:dyDescent="0.35">
      <c r="A101" s="85"/>
      <c r="B101" s="85"/>
      <c r="C101" s="85"/>
      <c r="D101" s="85"/>
      <c r="E101" s="137"/>
      <c r="F101" s="85"/>
      <c r="G101" s="49" t="s">
        <v>94</v>
      </c>
      <c r="H101" s="2">
        <f>_xlfn.STDEV.S(H84:H85,H88,H92:H95)</f>
        <v>0.33133208776233908</v>
      </c>
      <c r="I101" s="2">
        <f t="shared" ref="I101:P101" si="45">_xlfn.STDEV.S(I84:I85,I88,I92:I95)</f>
        <v>27.227425424341828</v>
      </c>
      <c r="J101" s="2">
        <f t="shared" si="45"/>
        <v>6.0005717934338114E-2</v>
      </c>
      <c r="K101" s="2">
        <f t="shared" si="45"/>
        <v>6.0005717934338093E-2</v>
      </c>
      <c r="L101" s="2">
        <f t="shared" si="45"/>
        <v>2.4468075848035686E-2</v>
      </c>
      <c r="M101" s="2">
        <f t="shared" si="45"/>
        <v>1.6148552394904824E-2</v>
      </c>
      <c r="N101" s="2">
        <f t="shared" si="45"/>
        <v>27.284015903263295</v>
      </c>
      <c r="O101" s="2">
        <f t="shared" si="45"/>
        <v>2.3804761428476167</v>
      </c>
      <c r="P101" s="2">
        <f t="shared" si="45"/>
        <v>0.22055458941082556</v>
      </c>
      <c r="Q101" s="85"/>
      <c r="R101" s="85"/>
      <c r="S101" s="85"/>
    </row>
    <row r="102" spans="1:19" x14ac:dyDescent="0.35">
      <c r="A102" s="85"/>
      <c r="B102" s="85"/>
      <c r="C102" s="85"/>
      <c r="D102" s="85"/>
      <c r="E102" s="137"/>
      <c r="F102" s="85"/>
      <c r="G102" s="49" t="s">
        <v>95</v>
      </c>
      <c r="H102" s="2">
        <f>H101/SQRT(7)</f>
        <v>0.1252317579421395</v>
      </c>
      <c r="I102" s="2">
        <f t="shared" ref="I102:P102" si="46">I101/SQRT(10)</f>
        <v>8.6100679163296707</v>
      </c>
      <c r="J102" s="2">
        <f t="shared" si="46"/>
        <v>1.8975474130612249E-2</v>
      </c>
      <c r="K102" s="2">
        <f t="shared" si="46"/>
        <v>1.8975474130612242E-2</v>
      </c>
      <c r="L102" s="2">
        <f t="shared" si="46"/>
        <v>7.7374849641548716E-3</v>
      </c>
      <c r="M102" s="2">
        <f t="shared" si="46"/>
        <v>5.1066206482466101E-3</v>
      </c>
      <c r="N102" s="2">
        <f t="shared" si="46"/>
        <v>8.6279633970568295</v>
      </c>
      <c r="O102" s="2">
        <f t="shared" si="46"/>
        <v>0.752772652709081</v>
      </c>
      <c r="P102" s="2">
        <f t="shared" si="46"/>
        <v>6.9745485094146298E-2</v>
      </c>
      <c r="Q102" s="85"/>
      <c r="S102" s="85"/>
    </row>
    <row r="103" spans="1:19" x14ac:dyDescent="0.35">
      <c r="A103" s="85"/>
      <c r="B103" s="85"/>
      <c r="C103" s="85"/>
      <c r="D103" s="85"/>
      <c r="E103" s="137"/>
      <c r="F103" s="85"/>
      <c r="G103" s="49"/>
      <c r="H103" s="2"/>
      <c r="I103" s="2"/>
      <c r="J103" s="2"/>
      <c r="K103" s="2"/>
      <c r="L103" s="2"/>
      <c r="M103" s="2"/>
      <c r="N103" s="2"/>
      <c r="O103" s="2"/>
      <c r="P103" s="2"/>
      <c r="Q103" s="85"/>
      <c r="R103" s="85"/>
      <c r="S103" s="85"/>
    </row>
    <row r="104" spans="1:19" x14ac:dyDescent="0.35">
      <c r="A104" s="85"/>
      <c r="B104" s="85"/>
      <c r="C104" s="85"/>
      <c r="D104" s="85"/>
      <c r="E104" s="137"/>
      <c r="F104" s="85"/>
      <c r="G104" s="85"/>
      <c r="H104" s="13"/>
      <c r="I104" s="13"/>
      <c r="J104" s="13"/>
      <c r="K104" s="13"/>
      <c r="L104" s="13"/>
      <c r="M104" s="13"/>
      <c r="N104" s="13"/>
      <c r="O104" s="85"/>
      <c r="P104" s="85"/>
      <c r="Q104" s="85"/>
      <c r="R104" s="85"/>
      <c r="S104" s="85"/>
    </row>
    <row r="105" spans="1:19" x14ac:dyDescent="0.35">
      <c r="A105" s="85"/>
      <c r="B105" s="85"/>
      <c r="C105" s="85"/>
      <c r="D105" s="85"/>
      <c r="E105" s="137" t="s">
        <v>195</v>
      </c>
      <c r="F105" s="85"/>
      <c r="G105" s="49" t="s">
        <v>77</v>
      </c>
      <c r="H105" s="13">
        <f>AVERAGE(H86,H89)</f>
        <v>4.039999999999992</v>
      </c>
      <c r="I105" s="13">
        <f t="shared" ref="I105:P105" si="47">AVERAGE(I86,I89)</f>
        <v>17.205000000000005</v>
      </c>
      <c r="J105" s="13">
        <f t="shared" si="47"/>
        <v>0.23775578317927534</v>
      </c>
      <c r="K105" s="13">
        <f t="shared" si="47"/>
        <v>0.76224421682072463</v>
      </c>
      <c r="L105" s="13">
        <f t="shared" si="47"/>
        <v>0.24762184956359762</v>
      </c>
      <c r="M105" s="13">
        <f t="shared" si="47"/>
        <v>5.9385975014563448E-2</v>
      </c>
      <c r="N105" s="13">
        <f t="shared" si="47"/>
        <v>21.244999999999997</v>
      </c>
      <c r="O105" s="13">
        <f t="shared" si="47"/>
        <v>23.5</v>
      </c>
      <c r="P105" s="13">
        <f t="shared" si="47"/>
        <v>5.8215651662253709</v>
      </c>
      <c r="Q105" s="85"/>
      <c r="R105" s="85"/>
      <c r="S105" s="85"/>
    </row>
    <row r="106" spans="1:19" x14ac:dyDescent="0.35">
      <c r="A106" s="85"/>
      <c r="B106" s="85"/>
      <c r="C106" s="85"/>
      <c r="D106" s="85"/>
      <c r="E106" s="137"/>
      <c r="F106" s="85"/>
      <c r="G106" s="49" t="s">
        <v>94</v>
      </c>
      <c r="H106" s="13">
        <f>_xlfn.STDEV.S(H86,H89)</f>
        <v>0.1131370849898251</v>
      </c>
      <c r="I106" s="13">
        <f t="shared" ref="I106:P106" si="48">_xlfn.STDEV.S(I86,I89)</f>
        <v>13.569379130969857</v>
      </c>
      <c r="J106" s="13">
        <f t="shared" si="48"/>
        <v>0.14779761232284319</v>
      </c>
      <c r="K106" s="13">
        <f t="shared" si="48"/>
        <v>0.14779761232284347</v>
      </c>
      <c r="L106" s="13">
        <f t="shared" si="48"/>
        <v>6.9344589701521072E-3</v>
      </c>
      <c r="M106" s="13">
        <f t="shared" si="48"/>
        <v>3.8246625847839041E-2</v>
      </c>
      <c r="N106" s="13">
        <f t="shared" si="48"/>
        <v>13.682516215959684</v>
      </c>
      <c r="O106" s="13">
        <f t="shared" si="48"/>
        <v>0.70710678118654757</v>
      </c>
      <c r="P106" s="13">
        <f t="shared" si="48"/>
        <v>0.33805487479494895</v>
      </c>
      <c r="Q106" s="85"/>
      <c r="R106" s="85"/>
      <c r="S106" s="85"/>
    </row>
    <row r="107" spans="1:19" x14ac:dyDescent="0.35">
      <c r="A107" s="85"/>
      <c r="B107" s="85"/>
      <c r="C107" s="85"/>
      <c r="D107" s="85"/>
      <c r="E107" s="137"/>
      <c r="F107" s="85"/>
      <c r="G107" s="49" t="s">
        <v>95</v>
      </c>
      <c r="H107" s="13">
        <f>H106/SQRT(2)</f>
        <v>7.9999999999984084E-2</v>
      </c>
      <c r="I107" s="13">
        <f t="shared" ref="I107:P107" si="49">I106/SQRT(2)</f>
        <v>9.595000000000006</v>
      </c>
      <c r="J107" s="13">
        <f t="shared" si="49"/>
        <v>0.10450869391666286</v>
      </c>
      <c r="K107" s="13">
        <f t="shared" si="49"/>
        <v>0.10450869391666305</v>
      </c>
      <c r="L107" s="13">
        <f t="shared" si="49"/>
        <v>4.9034029616544378E-3</v>
      </c>
      <c r="M107" s="13">
        <f t="shared" si="49"/>
        <v>2.7044448494511673E-2</v>
      </c>
      <c r="N107" s="13">
        <f t="shared" si="49"/>
        <v>9.6749999999999918</v>
      </c>
      <c r="O107" s="13">
        <f t="shared" si="49"/>
        <v>0.5</v>
      </c>
      <c r="P107" s="13">
        <f t="shared" si="49"/>
        <v>0.23904089438067766</v>
      </c>
      <c r="Q107" s="85"/>
      <c r="R107" s="85"/>
      <c r="S107" s="85"/>
    </row>
    <row r="108" spans="1:19" x14ac:dyDescent="0.35">
      <c r="A108" s="85"/>
      <c r="B108" s="85"/>
      <c r="C108" s="85"/>
      <c r="D108" s="85"/>
      <c r="E108" s="85"/>
      <c r="F108" s="85"/>
      <c r="G108" s="85"/>
      <c r="H108" s="13"/>
      <c r="I108" s="13"/>
      <c r="J108" s="13"/>
      <c r="K108" s="13"/>
      <c r="L108" s="13"/>
      <c r="M108" s="13"/>
      <c r="N108" s="13"/>
      <c r="O108" s="85"/>
      <c r="P108" s="85"/>
      <c r="Q108" s="85"/>
      <c r="R108" s="85"/>
      <c r="S108" s="85"/>
    </row>
    <row r="109" spans="1:19" x14ac:dyDescent="0.35">
      <c r="A109" s="85"/>
      <c r="B109" s="85"/>
      <c r="C109" s="85"/>
      <c r="D109" s="85"/>
      <c r="E109" s="85"/>
      <c r="F109" s="85"/>
      <c r="G109" s="85"/>
      <c r="H109" s="13"/>
      <c r="I109" s="13"/>
      <c r="J109" s="13"/>
      <c r="K109" s="13"/>
      <c r="L109" s="13"/>
      <c r="M109" s="13"/>
      <c r="N109" s="13"/>
      <c r="O109" s="85"/>
      <c r="P109" s="85"/>
      <c r="Q109" s="85"/>
      <c r="R109" s="85"/>
      <c r="S109" s="85"/>
    </row>
    <row r="110" spans="1:19" x14ac:dyDescent="0.35">
      <c r="A110" s="85"/>
      <c r="B110" s="85"/>
      <c r="C110" s="85"/>
      <c r="D110" s="85"/>
      <c r="E110" s="85"/>
      <c r="F110" s="85"/>
      <c r="G110" s="85"/>
      <c r="H110" s="13"/>
      <c r="I110" s="13"/>
      <c r="J110" s="13"/>
      <c r="K110" s="13"/>
      <c r="L110" s="13"/>
      <c r="M110" s="13"/>
      <c r="N110" s="13"/>
      <c r="O110" s="85"/>
      <c r="P110" s="85"/>
      <c r="Q110" s="85"/>
      <c r="R110" s="85"/>
      <c r="S110" s="85"/>
    </row>
    <row r="111" spans="1:19" x14ac:dyDescent="0.35">
      <c r="A111" s="85"/>
      <c r="B111" s="85"/>
      <c r="C111" s="85"/>
      <c r="D111" s="85"/>
      <c r="E111" s="85"/>
      <c r="F111" s="85"/>
      <c r="G111" s="85"/>
      <c r="H111" s="13"/>
      <c r="I111" s="13"/>
      <c r="J111" s="13"/>
      <c r="K111" s="13"/>
      <c r="L111" s="13"/>
      <c r="M111" s="13"/>
      <c r="N111" s="13"/>
      <c r="O111" s="85"/>
      <c r="P111" s="85"/>
      <c r="Q111" s="85"/>
      <c r="R111" s="85"/>
      <c r="S111" s="85"/>
    </row>
    <row r="112" spans="1:19" x14ac:dyDescent="0.35">
      <c r="A112" s="85"/>
      <c r="B112" s="85"/>
      <c r="C112" s="85"/>
      <c r="D112" s="85"/>
      <c r="E112" s="85"/>
      <c r="F112" s="85"/>
      <c r="G112" s="85"/>
      <c r="H112" s="85"/>
      <c r="I112" s="85"/>
      <c r="J112" s="85"/>
      <c r="K112" s="85"/>
      <c r="L112" s="85"/>
      <c r="M112" s="85"/>
      <c r="N112" s="85"/>
      <c r="O112" s="85"/>
      <c r="P112" s="85"/>
      <c r="Q112" s="85"/>
      <c r="R112" s="85"/>
      <c r="S112" s="85"/>
    </row>
    <row r="113" spans="1:19" x14ac:dyDescent="0.35">
      <c r="A113" s="85"/>
      <c r="B113" s="85"/>
      <c r="C113" s="85"/>
      <c r="D113" s="85"/>
      <c r="E113" s="85"/>
      <c r="F113" s="85"/>
      <c r="G113" s="85"/>
      <c r="H113" s="85"/>
      <c r="I113" s="85"/>
      <c r="J113" s="85"/>
      <c r="K113" s="85"/>
      <c r="L113" s="85"/>
      <c r="M113" s="85"/>
      <c r="N113" s="85"/>
      <c r="O113" s="85"/>
      <c r="P113" s="85"/>
      <c r="Q113" s="85"/>
      <c r="R113" s="85"/>
      <c r="S113" s="8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24"/>
  <sheetViews>
    <sheetView topLeftCell="A79" workbookViewId="0">
      <selection activeCell="E20" sqref="E20"/>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181</v>
      </c>
      <c r="D4" s="2"/>
      <c r="E4" s="2"/>
      <c r="F4" s="2"/>
      <c r="G4" s="2"/>
      <c r="H4" s="2"/>
      <c r="I4" s="2"/>
      <c r="J4" s="2"/>
      <c r="K4" s="2"/>
      <c r="L4" s="2"/>
      <c r="M4" s="2"/>
      <c r="N4" s="2"/>
      <c r="O4" s="2"/>
    </row>
    <row r="5" spans="2:19" ht="18.5" x14ac:dyDescent="0.45">
      <c r="B5" s="2"/>
      <c r="C5" s="2"/>
      <c r="D5" s="2"/>
      <c r="E5" s="2"/>
      <c r="F5" s="1" t="s">
        <v>0</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16.37</v>
      </c>
      <c r="G7" s="2">
        <v>19.66</v>
      </c>
      <c r="H7" s="2">
        <f t="shared" ref="H7:H19" si="0">G7-F7</f>
        <v>3.2899999999999991</v>
      </c>
      <c r="I7" s="2">
        <f t="shared" ref="I7:I19" si="1">F8-G7</f>
        <v>5.3500000000000014</v>
      </c>
      <c r="J7" s="2">
        <f t="shared" ref="J7:J19" si="2">H7/N7</f>
        <v>0.38078703703703692</v>
      </c>
      <c r="K7" s="2">
        <f t="shared" ref="K7:K19" si="3">I7/N7</f>
        <v>0.61921296296296313</v>
      </c>
      <c r="L7" s="2">
        <f t="shared" ref="L7:L19" si="4">1/H7</f>
        <v>0.30395136778115511</v>
      </c>
      <c r="M7" s="2">
        <f t="shared" ref="M7:M19" si="5">1/N7</f>
        <v>0.11574074074074073</v>
      </c>
      <c r="N7" s="2">
        <f t="shared" ref="N7:N19" si="6">H7+I7</f>
        <v>8.64</v>
      </c>
      <c r="O7" s="2">
        <v>12</v>
      </c>
      <c r="P7">
        <f t="shared" ref="P7:P19" si="7">O7/H7</f>
        <v>3.6474164133738611</v>
      </c>
      <c r="R7" t="s">
        <v>182</v>
      </c>
    </row>
    <row r="8" spans="2:19" x14ac:dyDescent="0.35">
      <c r="B8" s="2"/>
      <c r="C8" s="2"/>
      <c r="D8" s="2"/>
      <c r="E8" s="2"/>
      <c r="F8" s="2">
        <v>25.01</v>
      </c>
      <c r="G8" s="2">
        <v>29.1</v>
      </c>
      <c r="H8" s="2">
        <f t="shared" si="0"/>
        <v>4.09</v>
      </c>
      <c r="I8" s="2">
        <f t="shared" si="1"/>
        <v>4.3599999999999994</v>
      </c>
      <c r="J8" s="2">
        <f t="shared" si="2"/>
        <v>0.48402366863905327</v>
      </c>
      <c r="K8" s="2">
        <f t="shared" si="3"/>
        <v>0.51597633136094667</v>
      </c>
      <c r="L8" s="2">
        <f t="shared" si="4"/>
        <v>0.24449877750611249</v>
      </c>
      <c r="M8" s="2">
        <f t="shared" si="5"/>
        <v>0.1183431952662722</v>
      </c>
      <c r="N8" s="2">
        <f t="shared" si="6"/>
        <v>8.4499999999999993</v>
      </c>
      <c r="O8" s="2">
        <v>16</v>
      </c>
      <c r="P8">
        <f t="shared" si="7"/>
        <v>3.9119804400977998</v>
      </c>
    </row>
    <row r="9" spans="2:19" x14ac:dyDescent="0.35">
      <c r="B9" s="2"/>
      <c r="C9" s="2"/>
      <c r="D9" s="2"/>
      <c r="E9" s="2"/>
      <c r="F9" s="2">
        <v>33.46</v>
      </c>
      <c r="G9" s="2">
        <v>36.06</v>
      </c>
      <c r="H9" s="2">
        <f t="shared" si="0"/>
        <v>2.6000000000000014</v>
      </c>
      <c r="I9" s="2">
        <f t="shared" si="1"/>
        <v>3.6499999999999986</v>
      </c>
      <c r="J9" s="2">
        <f t="shared" si="2"/>
        <v>0.4160000000000002</v>
      </c>
      <c r="K9" s="2">
        <f t="shared" si="3"/>
        <v>0.58399999999999974</v>
      </c>
      <c r="L9" s="2">
        <f t="shared" si="4"/>
        <v>0.38461538461538441</v>
      </c>
      <c r="M9" s="2">
        <f t="shared" si="5"/>
        <v>0.16</v>
      </c>
      <c r="N9" s="2">
        <f t="shared" si="6"/>
        <v>6.25</v>
      </c>
      <c r="O9" s="2">
        <v>13</v>
      </c>
      <c r="P9">
        <f t="shared" si="7"/>
        <v>4.9999999999999973</v>
      </c>
    </row>
    <row r="10" spans="2:19" x14ac:dyDescent="0.35">
      <c r="B10" s="2"/>
      <c r="C10" s="2"/>
      <c r="D10" s="2"/>
      <c r="E10" s="2"/>
      <c r="F10" s="13">
        <v>39.71</v>
      </c>
      <c r="G10" s="13">
        <v>42.89</v>
      </c>
      <c r="H10" s="2">
        <f t="shared" si="0"/>
        <v>3.1799999999999997</v>
      </c>
      <c r="I10" s="2">
        <f t="shared" si="1"/>
        <v>4.8299999999999983</v>
      </c>
      <c r="J10" s="2">
        <f t="shared" si="2"/>
        <v>0.39700374531835214</v>
      </c>
      <c r="K10" s="2">
        <f t="shared" si="3"/>
        <v>0.60299625468164786</v>
      </c>
      <c r="L10" s="2">
        <f t="shared" si="4"/>
        <v>0.31446540880503149</v>
      </c>
      <c r="M10" s="2">
        <f t="shared" si="5"/>
        <v>0.1248439450686642</v>
      </c>
      <c r="N10" s="2">
        <f t="shared" si="6"/>
        <v>8.009999999999998</v>
      </c>
      <c r="O10" s="13">
        <v>13</v>
      </c>
      <c r="P10">
        <f t="shared" si="7"/>
        <v>4.0880503144654092</v>
      </c>
    </row>
    <row r="11" spans="2:19" x14ac:dyDescent="0.35">
      <c r="B11" s="2"/>
      <c r="C11" s="2"/>
      <c r="D11" s="2"/>
      <c r="E11" s="2"/>
      <c r="F11" s="13">
        <v>47.72</v>
      </c>
      <c r="G11" s="13">
        <v>51.4</v>
      </c>
      <c r="H11" s="2">
        <f t="shared" si="0"/>
        <v>3.6799999999999997</v>
      </c>
      <c r="I11" s="2">
        <f t="shared" si="1"/>
        <v>5.6499999999999986</v>
      </c>
      <c r="J11" s="2">
        <f t="shared" si="2"/>
        <v>0.39442658092175781</v>
      </c>
      <c r="K11" s="2">
        <f t="shared" si="3"/>
        <v>0.60557341907824214</v>
      </c>
      <c r="L11" s="2">
        <f t="shared" si="4"/>
        <v>0.27173913043478265</v>
      </c>
      <c r="M11" s="2">
        <f t="shared" si="5"/>
        <v>0.10718113612004289</v>
      </c>
      <c r="N11" s="2">
        <f t="shared" si="6"/>
        <v>9.3299999999999983</v>
      </c>
      <c r="O11" s="13">
        <v>16</v>
      </c>
      <c r="P11">
        <f t="shared" si="7"/>
        <v>4.3478260869565224</v>
      </c>
    </row>
    <row r="12" spans="2:19" x14ac:dyDescent="0.35">
      <c r="B12" s="2"/>
      <c r="C12" s="2"/>
      <c r="D12" s="2"/>
      <c r="E12" s="2"/>
      <c r="F12" s="13">
        <v>57.05</v>
      </c>
      <c r="G12" s="13">
        <v>59.93</v>
      </c>
      <c r="H12" s="2">
        <f t="shared" si="0"/>
        <v>2.8800000000000026</v>
      </c>
      <c r="I12" s="2">
        <f t="shared" si="1"/>
        <v>4.759999999999998</v>
      </c>
      <c r="J12" s="2">
        <f t="shared" si="2"/>
        <v>0.3769633507853406</v>
      </c>
      <c r="K12" s="2">
        <f t="shared" si="3"/>
        <v>0.6230366492146594</v>
      </c>
      <c r="L12" s="2">
        <f t="shared" si="4"/>
        <v>0.34722222222222193</v>
      </c>
      <c r="M12" s="2">
        <f t="shared" si="5"/>
        <v>0.13089005235602094</v>
      </c>
      <c r="N12" s="2">
        <f t="shared" si="6"/>
        <v>7.6400000000000006</v>
      </c>
      <c r="O12" s="13">
        <v>14</v>
      </c>
      <c r="P12">
        <f t="shared" si="7"/>
        <v>4.8611111111111072</v>
      </c>
    </row>
    <row r="13" spans="2:19" x14ac:dyDescent="0.35">
      <c r="B13" s="2"/>
      <c r="C13" s="2"/>
      <c r="D13" s="2"/>
      <c r="E13" s="2"/>
      <c r="F13" s="13">
        <v>64.69</v>
      </c>
      <c r="G13" s="13">
        <v>68.98</v>
      </c>
      <c r="H13" s="2">
        <f t="shared" si="0"/>
        <v>4.2900000000000063</v>
      </c>
      <c r="I13" s="2">
        <f t="shared" si="1"/>
        <v>4.3699999999999903</v>
      </c>
      <c r="J13" s="2">
        <f t="shared" si="2"/>
        <v>0.4953810623556591</v>
      </c>
      <c r="K13" s="2">
        <f t="shared" si="3"/>
        <v>0.50461893764434085</v>
      </c>
      <c r="L13" s="2">
        <f t="shared" si="4"/>
        <v>0.23310023310023276</v>
      </c>
      <c r="M13" s="2">
        <f t="shared" si="5"/>
        <v>0.11547344110854509</v>
      </c>
      <c r="N13" s="2">
        <f t="shared" si="6"/>
        <v>8.6599999999999966</v>
      </c>
      <c r="O13" s="13">
        <v>19</v>
      </c>
      <c r="P13">
        <f t="shared" si="7"/>
        <v>4.4289044289044224</v>
      </c>
    </row>
    <row r="14" spans="2:19" x14ac:dyDescent="0.35">
      <c r="B14" s="2"/>
      <c r="C14" s="2"/>
      <c r="D14" s="2"/>
      <c r="E14" s="2"/>
      <c r="F14" s="13">
        <v>73.349999999999994</v>
      </c>
      <c r="G14" s="13">
        <v>77.260000000000005</v>
      </c>
      <c r="H14" s="2">
        <f t="shared" si="0"/>
        <v>3.9100000000000108</v>
      </c>
      <c r="I14" s="2">
        <f t="shared" si="1"/>
        <v>4.3499999999999943</v>
      </c>
      <c r="J14" s="2">
        <f t="shared" si="2"/>
        <v>0.47336561743341504</v>
      </c>
      <c r="K14" s="2">
        <f t="shared" si="3"/>
        <v>0.5266343825665849</v>
      </c>
      <c r="L14" s="2">
        <f t="shared" si="4"/>
        <v>0.2557544757033241</v>
      </c>
      <c r="M14" s="2">
        <f t="shared" si="5"/>
        <v>0.12106537530266337</v>
      </c>
      <c r="N14" s="2">
        <f t="shared" si="6"/>
        <v>8.2600000000000051</v>
      </c>
      <c r="O14" s="13">
        <v>18</v>
      </c>
      <c r="P14">
        <f t="shared" si="7"/>
        <v>4.6035805626598334</v>
      </c>
    </row>
    <row r="15" spans="2:19" x14ac:dyDescent="0.35">
      <c r="B15" s="2"/>
      <c r="C15" s="2"/>
      <c r="D15" s="2"/>
      <c r="E15" s="2"/>
      <c r="F15" s="13">
        <v>81.61</v>
      </c>
      <c r="G15" s="13">
        <v>84.96</v>
      </c>
      <c r="H15" s="2">
        <f t="shared" si="0"/>
        <v>3.3499999999999943</v>
      </c>
      <c r="I15" s="2">
        <f t="shared" si="1"/>
        <v>4.2700000000000102</v>
      </c>
      <c r="J15" s="2">
        <f t="shared" si="2"/>
        <v>0.43963254593175755</v>
      </c>
      <c r="K15" s="2">
        <f t="shared" si="3"/>
        <v>0.56036745406824251</v>
      </c>
      <c r="L15" s="2">
        <f t="shared" si="4"/>
        <v>0.29850746268656769</v>
      </c>
      <c r="M15" s="2">
        <f t="shared" si="5"/>
        <v>0.13123359580052485</v>
      </c>
      <c r="N15" s="2">
        <f t="shared" si="6"/>
        <v>7.6200000000000045</v>
      </c>
      <c r="O15" s="13">
        <v>17</v>
      </c>
      <c r="P15">
        <f t="shared" si="7"/>
        <v>5.0746268656716502</v>
      </c>
    </row>
    <row r="16" spans="2:19" x14ac:dyDescent="0.35">
      <c r="B16" s="2"/>
      <c r="C16" s="2"/>
      <c r="D16" s="2"/>
      <c r="E16" s="2"/>
      <c r="F16" s="13">
        <v>89.23</v>
      </c>
      <c r="G16" s="13">
        <v>92.14</v>
      </c>
      <c r="H16" s="2">
        <f t="shared" si="0"/>
        <v>2.9099999999999966</v>
      </c>
      <c r="I16" s="2">
        <f t="shared" si="1"/>
        <v>5.1299999999999955</v>
      </c>
      <c r="J16" s="2">
        <f t="shared" si="2"/>
        <v>0.36194029850746262</v>
      </c>
      <c r="K16" s="2">
        <f t="shared" si="3"/>
        <v>0.63805970149253743</v>
      </c>
      <c r="L16" s="2">
        <f t="shared" si="4"/>
        <v>0.34364261168384919</v>
      </c>
      <c r="M16" s="2">
        <f t="shared" si="5"/>
        <v>0.12437810945273645</v>
      </c>
      <c r="N16" s="2">
        <f t="shared" si="6"/>
        <v>8.039999999999992</v>
      </c>
      <c r="O16" s="13">
        <v>14</v>
      </c>
      <c r="P16">
        <f t="shared" si="7"/>
        <v>4.8109965635738892</v>
      </c>
    </row>
    <row r="17" spans="1:18" x14ac:dyDescent="0.35">
      <c r="B17" s="2"/>
      <c r="C17" s="2"/>
      <c r="D17" s="2"/>
      <c r="E17" s="2"/>
      <c r="F17" s="13">
        <v>97.27</v>
      </c>
      <c r="G17" s="13">
        <v>99.89</v>
      </c>
      <c r="H17" s="2">
        <f t="shared" si="0"/>
        <v>2.6200000000000045</v>
      </c>
      <c r="I17" s="2">
        <f t="shared" si="1"/>
        <v>5.1700000000000017</v>
      </c>
      <c r="J17" s="2">
        <f t="shared" si="2"/>
        <v>0.33632862644415951</v>
      </c>
      <c r="K17" s="2">
        <f t="shared" si="3"/>
        <v>0.66367137355584049</v>
      </c>
      <c r="L17" s="2">
        <f t="shared" si="4"/>
        <v>0.38167938931297646</v>
      </c>
      <c r="M17" s="2">
        <f t="shared" si="5"/>
        <v>0.12836970474967896</v>
      </c>
      <c r="N17" s="2">
        <f t="shared" si="6"/>
        <v>7.7900000000000063</v>
      </c>
      <c r="O17" s="13">
        <v>12</v>
      </c>
      <c r="P17">
        <f t="shared" si="7"/>
        <v>4.5801526717557168</v>
      </c>
    </row>
    <row r="18" spans="1:18" x14ac:dyDescent="0.35">
      <c r="B18" s="2"/>
      <c r="C18" s="2"/>
      <c r="D18" s="2"/>
      <c r="E18" s="2"/>
      <c r="F18" s="13">
        <v>105.06</v>
      </c>
      <c r="G18" s="13">
        <v>108.8</v>
      </c>
      <c r="H18" s="2">
        <f t="shared" si="0"/>
        <v>3.7399999999999949</v>
      </c>
      <c r="I18" s="2">
        <f t="shared" si="1"/>
        <v>5.460000000000008</v>
      </c>
      <c r="J18" s="2">
        <f t="shared" si="2"/>
        <v>0.4065217391304341</v>
      </c>
      <c r="K18" s="2">
        <f t="shared" si="3"/>
        <v>0.5934782608695659</v>
      </c>
      <c r="L18" s="2">
        <f t="shared" si="4"/>
        <v>0.26737967914438537</v>
      </c>
      <c r="M18" s="2">
        <f t="shared" si="5"/>
        <v>0.10869565217391301</v>
      </c>
      <c r="N18" s="2">
        <f t="shared" si="6"/>
        <v>9.2000000000000028</v>
      </c>
      <c r="O18" s="13">
        <v>18</v>
      </c>
      <c r="P18">
        <f t="shared" si="7"/>
        <v>4.8128342245989373</v>
      </c>
    </row>
    <row r="19" spans="1:18" x14ac:dyDescent="0.35">
      <c r="B19" s="2"/>
      <c r="C19" s="2"/>
      <c r="D19" s="2"/>
      <c r="E19" s="2"/>
      <c r="F19" s="13">
        <v>114.26</v>
      </c>
      <c r="G19" s="13">
        <v>118.5</v>
      </c>
      <c r="H19" s="2">
        <f t="shared" si="0"/>
        <v>4.2399999999999949</v>
      </c>
      <c r="I19" s="2">
        <f t="shared" si="1"/>
        <v>4.1800000000000068</v>
      </c>
      <c r="J19" s="2">
        <f t="shared" si="2"/>
        <v>0.50356294536817037</v>
      </c>
      <c r="K19" s="2">
        <f t="shared" si="3"/>
        <v>0.49643705463182969</v>
      </c>
      <c r="L19" s="2">
        <f t="shared" si="4"/>
        <v>0.23584905660377387</v>
      </c>
      <c r="M19" s="2">
        <f t="shared" si="5"/>
        <v>0.11876484560570069</v>
      </c>
      <c r="N19" s="2">
        <f t="shared" si="6"/>
        <v>8.4200000000000017</v>
      </c>
      <c r="O19" s="13">
        <v>20</v>
      </c>
      <c r="P19">
        <f t="shared" si="7"/>
        <v>4.7169811320754773</v>
      </c>
    </row>
    <row r="20" spans="1:18" x14ac:dyDescent="0.35">
      <c r="B20" s="2"/>
      <c r="C20" s="2"/>
      <c r="D20" s="2"/>
      <c r="E20" s="2"/>
      <c r="F20" s="13">
        <v>122.68</v>
      </c>
      <c r="G20" s="13"/>
      <c r="H20" s="2"/>
      <c r="I20" s="2"/>
      <c r="J20" s="2"/>
      <c r="K20" s="2"/>
      <c r="L20" s="2"/>
      <c r="M20" s="2"/>
      <c r="N20" s="2"/>
      <c r="O20" s="13"/>
    </row>
    <row r="21" spans="1:18" ht="16" thickBot="1" x14ac:dyDescent="0.4">
      <c r="B21" s="2"/>
      <c r="C21" s="2"/>
      <c r="D21" s="2"/>
      <c r="E21" s="2"/>
      <c r="F21" s="13"/>
      <c r="G21" s="13"/>
      <c r="H21" s="9" t="s">
        <v>3</v>
      </c>
      <c r="I21" s="9" t="s">
        <v>4</v>
      </c>
      <c r="J21" s="9" t="s">
        <v>5</v>
      </c>
      <c r="K21" s="9" t="s">
        <v>6</v>
      </c>
      <c r="L21" s="9" t="s">
        <v>7</v>
      </c>
      <c r="M21" s="9" t="s">
        <v>8</v>
      </c>
      <c r="N21" s="9" t="s">
        <v>9</v>
      </c>
      <c r="O21" s="9" t="s">
        <v>10</v>
      </c>
      <c r="P21" s="44" t="s">
        <v>139</v>
      </c>
    </row>
    <row r="22" spans="1:18" x14ac:dyDescent="0.35">
      <c r="B22" s="2"/>
      <c r="C22" s="2"/>
      <c r="D22" s="2"/>
      <c r="E22" s="2"/>
      <c r="F22" s="13"/>
      <c r="G22" s="49" t="s">
        <v>77</v>
      </c>
      <c r="H22" s="2">
        <f>AVERAGE(H7:H19)</f>
        <v>3.4446153846153846</v>
      </c>
      <c r="I22" s="2">
        <f t="shared" ref="I22:P22" si="8">AVERAGE(I7:I19)</f>
        <v>4.733076923076923</v>
      </c>
      <c r="J22" s="2">
        <f t="shared" si="8"/>
        <v>0.42045670906712296</v>
      </c>
      <c r="K22" s="2">
        <f t="shared" si="8"/>
        <v>0.57954329093287693</v>
      </c>
      <c r="L22" s="2">
        <f t="shared" si="8"/>
        <v>0.29864655381536903</v>
      </c>
      <c r="M22" s="2">
        <f t="shared" si="8"/>
        <v>0.12345998413426952</v>
      </c>
      <c r="N22" s="2">
        <f t="shared" si="8"/>
        <v>8.1776923076923076</v>
      </c>
      <c r="O22" s="2">
        <f t="shared" si="8"/>
        <v>15.538461538461538</v>
      </c>
      <c r="P22" s="2">
        <f t="shared" si="8"/>
        <v>4.5295739088649718</v>
      </c>
    </row>
    <row r="23" spans="1:18" x14ac:dyDescent="0.35">
      <c r="B23" s="2"/>
      <c r="C23" s="2"/>
      <c r="D23" s="2"/>
      <c r="E23" s="2"/>
      <c r="F23" s="13"/>
      <c r="G23" s="49" t="s">
        <v>94</v>
      </c>
      <c r="H23" s="2">
        <f>_xlfn.STDEV.S(H7:H19)</f>
        <v>0.59329047670057278</v>
      </c>
      <c r="I23" s="2">
        <f t="shared" ref="I23:P23" si="9">_xlfn.STDEV.S(I7:I19)</f>
        <v>0.59297814202808174</v>
      </c>
      <c r="J23" s="2">
        <f t="shared" si="9"/>
        <v>5.4111646380375918E-2</v>
      </c>
      <c r="K23" s="2">
        <f t="shared" si="9"/>
        <v>5.4111646380375585E-2</v>
      </c>
      <c r="L23" s="2">
        <f t="shared" si="9"/>
        <v>5.2962969563271511E-2</v>
      </c>
      <c r="M23" s="2">
        <f t="shared" si="9"/>
        <v>1.3347875469620015E-2</v>
      </c>
      <c r="N23" s="2">
        <f t="shared" si="9"/>
        <v>0.78911505124573789</v>
      </c>
      <c r="O23" s="2">
        <f t="shared" si="9"/>
        <v>2.726884199209314</v>
      </c>
      <c r="P23" s="2">
        <f t="shared" si="9"/>
        <v>0.4309510189428008</v>
      </c>
    </row>
    <row r="24" spans="1:18" x14ac:dyDescent="0.35">
      <c r="B24" s="2"/>
      <c r="C24" s="2"/>
      <c r="D24" s="2"/>
      <c r="E24" s="2"/>
      <c r="F24" s="13"/>
      <c r="G24" s="49" t="s">
        <v>95</v>
      </c>
      <c r="H24" s="2">
        <f>H23/SQRT(13)</f>
        <v>0.16454917192218374</v>
      </c>
      <c r="I24" s="2">
        <f t="shared" ref="I24:P24" si="10">I23/SQRT(13)</f>
        <v>0.16446254587012438</v>
      </c>
      <c r="J24" s="2">
        <f t="shared" si="10"/>
        <v>1.5007870432632365E-2</v>
      </c>
      <c r="K24" s="2">
        <f t="shared" si="10"/>
        <v>1.5007870432632273E-2</v>
      </c>
      <c r="L24" s="2">
        <f t="shared" si="10"/>
        <v>1.4689284804708774E-2</v>
      </c>
      <c r="M24" s="2">
        <f t="shared" si="10"/>
        <v>3.7020345710940725E-3</v>
      </c>
      <c r="N24" s="2">
        <f t="shared" si="10"/>
        <v>0.21886113688514627</v>
      </c>
      <c r="O24" s="2">
        <f t="shared" si="10"/>
        <v>0.75630160019244164</v>
      </c>
      <c r="P24" s="2">
        <f t="shared" si="10"/>
        <v>0.11952430738551702</v>
      </c>
    </row>
    <row r="25" spans="1:18" x14ac:dyDescent="0.35">
      <c r="B25" s="2"/>
      <c r="C25" s="2"/>
      <c r="D25" s="2"/>
      <c r="E25" s="2"/>
      <c r="F25" s="13"/>
      <c r="G25" s="49"/>
      <c r="H25" s="2"/>
      <c r="I25" s="2"/>
      <c r="J25" s="2"/>
      <c r="K25" s="2"/>
      <c r="L25" s="2"/>
      <c r="M25" s="2"/>
      <c r="N25" s="2"/>
      <c r="O25" s="13"/>
    </row>
    <row r="26" spans="1:18" x14ac:dyDescent="0.35">
      <c r="B26" s="2"/>
      <c r="C26" s="2"/>
      <c r="D26" s="2"/>
      <c r="E26" s="2"/>
      <c r="F26" s="2"/>
      <c r="G26" s="2"/>
      <c r="H26" s="2"/>
      <c r="I26" s="2"/>
      <c r="J26" s="2"/>
      <c r="K26" s="2"/>
      <c r="L26" s="2"/>
      <c r="M26" s="2"/>
      <c r="N26" s="2"/>
      <c r="O26" s="2"/>
    </row>
    <row r="27" spans="1:18" x14ac:dyDescent="0.35">
      <c r="B27" s="2"/>
      <c r="C27" s="2"/>
      <c r="D27" s="2"/>
      <c r="E27" s="2"/>
      <c r="F27" s="2"/>
      <c r="G27" s="2"/>
      <c r="H27" s="49"/>
      <c r="I27" s="49"/>
      <c r="J27" s="49"/>
      <c r="K27" s="49"/>
      <c r="L27" s="49"/>
      <c r="M27" s="49"/>
      <c r="N27" s="49"/>
      <c r="O27" s="2"/>
    </row>
    <row r="28" spans="1:18" x14ac:dyDescent="0.35">
      <c r="A28" s="8"/>
      <c r="B28" s="6" t="s">
        <v>24</v>
      </c>
      <c r="D28" s="2"/>
      <c r="E28" s="2"/>
      <c r="F28" s="2"/>
      <c r="G28" s="2"/>
      <c r="H28" s="2"/>
      <c r="I28" s="2"/>
      <c r="J28" s="2"/>
      <c r="K28" s="2"/>
      <c r="L28" s="2"/>
      <c r="M28" s="2"/>
      <c r="N28" s="2"/>
      <c r="O28" s="2"/>
    </row>
    <row r="29" spans="1:18" x14ac:dyDescent="0.35">
      <c r="A29" s="7"/>
      <c r="B29" s="6" t="s">
        <v>72</v>
      </c>
      <c r="D29" s="2"/>
      <c r="E29" s="2"/>
      <c r="F29" s="2"/>
      <c r="G29" s="2"/>
      <c r="H29" s="2"/>
      <c r="I29" s="2"/>
      <c r="J29" s="2"/>
      <c r="K29" s="2"/>
      <c r="L29" s="2"/>
      <c r="M29" s="2"/>
      <c r="N29" s="2"/>
      <c r="O29" s="2"/>
    </row>
    <row r="30" spans="1:18" x14ac:dyDescent="0.35">
      <c r="B30" s="2"/>
      <c r="C30" s="2"/>
      <c r="D30" s="2"/>
      <c r="E30" s="2"/>
      <c r="F30" s="2"/>
      <c r="G30" s="2"/>
      <c r="H30" s="2"/>
      <c r="I30" s="2"/>
      <c r="J30" s="2"/>
      <c r="K30" s="2"/>
      <c r="L30" s="2"/>
      <c r="M30" s="2"/>
      <c r="N30" s="2"/>
      <c r="O30" s="2"/>
    </row>
    <row r="31" spans="1:18" ht="18.5" x14ac:dyDescent="0.45">
      <c r="B31" s="2"/>
      <c r="C31" s="2"/>
      <c r="D31" s="2"/>
      <c r="E31" s="2"/>
      <c r="F31" s="1" t="s">
        <v>22</v>
      </c>
      <c r="G31" s="2"/>
      <c r="H31" s="2"/>
      <c r="I31" s="2"/>
      <c r="J31" s="2"/>
      <c r="K31" s="2"/>
      <c r="L31" s="2"/>
      <c r="M31" s="2"/>
      <c r="N31" s="2"/>
      <c r="O31" s="2"/>
    </row>
    <row r="32" spans="1:18" ht="16" thickBot="1" x14ac:dyDescent="0.4">
      <c r="B32" s="9" t="s">
        <v>18</v>
      </c>
      <c r="C32" s="9" t="s">
        <v>17</v>
      </c>
      <c r="D32" s="9" t="s">
        <v>20</v>
      </c>
      <c r="E32" s="5"/>
      <c r="F32" s="9" t="s">
        <v>1</v>
      </c>
      <c r="G32" s="9" t="s">
        <v>2</v>
      </c>
      <c r="H32" s="9" t="s">
        <v>3</v>
      </c>
      <c r="I32" s="9" t="s">
        <v>4</v>
      </c>
      <c r="J32" s="9" t="s">
        <v>5</v>
      </c>
      <c r="K32" s="9" t="s">
        <v>6</v>
      </c>
      <c r="L32" s="9" t="s">
        <v>7</v>
      </c>
      <c r="M32" s="9" t="s">
        <v>8</v>
      </c>
      <c r="N32" s="9" t="s">
        <v>9</v>
      </c>
      <c r="O32" s="9" t="s">
        <v>10</v>
      </c>
      <c r="P32" s="44" t="s">
        <v>139</v>
      </c>
      <c r="R32" s="44" t="s">
        <v>134</v>
      </c>
    </row>
    <row r="33" spans="1:19" x14ac:dyDescent="0.35">
      <c r="A33" s="85"/>
      <c r="B33" s="145"/>
      <c r="C33" s="146"/>
      <c r="D33" s="147"/>
      <c r="E33" s="13"/>
      <c r="F33" s="148">
        <v>2.68</v>
      </c>
      <c r="G33" s="13">
        <v>6.72</v>
      </c>
      <c r="H33" s="13">
        <f t="shared" ref="H33:H51" si="11">G33-F33</f>
        <v>4.0399999999999991</v>
      </c>
      <c r="I33" s="13">
        <f t="shared" ref="I33:I51" si="12">F34-G33</f>
        <v>4.2500000000000009</v>
      </c>
      <c r="J33" s="13">
        <f t="shared" ref="J33:J51" si="13">H33/N33</f>
        <v>0.48733413751507837</v>
      </c>
      <c r="K33" s="13">
        <f t="shared" ref="K33:K51" si="14">I33/N33</f>
        <v>0.51266586248492174</v>
      </c>
      <c r="L33" s="13">
        <f t="shared" ref="L33:L51" si="15">1/H33</f>
        <v>0.24752475247524758</v>
      </c>
      <c r="M33" s="13">
        <f t="shared" ref="M33:M51" si="16">1/N33</f>
        <v>0.12062726176115804</v>
      </c>
      <c r="N33" s="13">
        <f t="shared" ref="N33:N51" si="17">H33+I33</f>
        <v>8.2899999999999991</v>
      </c>
      <c r="O33" s="13">
        <v>17</v>
      </c>
      <c r="P33" s="85">
        <f t="shared" ref="P33:P51" si="18">O33/H33</f>
        <v>4.207920792079209</v>
      </c>
      <c r="Q33" s="85"/>
      <c r="R33" t="s">
        <v>183</v>
      </c>
      <c r="S33" s="85"/>
    </row>
    <row r="34" spans="1:19" x14ac:dyDescent="0.35">
      <c r="A34" s="85"/>
      <c r="B34" s="85"/>
      <c r="C34" s="85"/>
      <c r="D34" s="85"/>
      <c r="E34" s="85"/>
      <c r="F34" s="85">
        <v>10.97</v>
      </c>
      <c r="G34" s="85">
        <v>13.58</v>
      </c>
      <c r="H34" s="13">
        <f t="shared" si="11"/>
        <v>2.6099999999999994</v>
      </c>
      <c r="I34" s="13">
        <f t="shared" si="12"/>
        <v>4.8600000000000012</v>
      </c>
      <c r="J34" s="13">
        <f t="shared" si="13"/>
        <v>0.34939759036144569</v>
      </c>
      <c r="K34" s="13">
        <f t="shared" si="14"/>
        <v>0.65060240963855431</v>
      </c>
      <c r="L34" s="13">
        <f t="shared" si="15"/>
        <v>0.38314176245210735</v>
      </c>
      <c r="M34" s="13">
        <f t="shared" si="16"/>
        <v>0.13386880856760375</v>
      </c>
      <c r="N34" s="13">
        <f t="shared" si="17"/>
        <v>7.4700000000000006</v>
      </c>
      <c r="O34" s="85">
        <v>13</v>
      </c>
      <c r="P34" s="85">
        <f t="shared" si="18"/>
        <v>4.9808429118773958</v>
      </c>
      <c r="Q34" s="85"/>
      <c r="R34" s="85"/>
      <c r="S34" s="85"/>
    </row>
    <row r="35" spans="1:19" x14ac:dyDescent="0.35">
      <c r="A35" s="85"/>
      <c r="B35" s="85"/>
      <c r="C35" s="85"/>
      <c r="D35" s="85"/>
      <c r="E35" s="85"/>
      <c r="F35" s="85">
        <v>18.440000000000001</v>
      </c>
      <c r="G35" s="85">
        <v>21.43</v>
      </c>
      <c r="H35" s="13">
        <f t="shared" si="11"/>
        <v>2.9899999999999984</v>
      </c>
      <c r="I35" s="13">
        <f t="shared" si="12"/>
        <v>5.129999999999999</v>
      </c>
      <c r="J35" s="13">
        <f t="shared" si="13"/>
        <v>0.36822660098522159</v>
      </c>
      <c r="K35" s="13">
        <f t="shared" si="14"/>
        <v>0.63177339901477836</v>
      </c>
      <c r="L35" s="13">
        <f t="shared" si="15"/>
        <v>0.33444816053511722</v>
      </c>
      <c r="M35" s="13">
        <f t="shared" si="16"/>
        <v>0.12315270935960596</v>
      </c>
      <c r="N35" s="13">
        <f t="shared" si="17"/>
        <v>8.1199999999999974</v>
      </c>
      <c r="O35" s="85">
        <v>16</v>
      </c>
      <c r="P35" s="85">
        <f t="shared" si="18"/>
        <v>5.3511705685618756</v>
      </c>
      <c r="Q35" s="85"/>
      <c r="R35" s="85"/>
      <c r="S35" s="85"/>
    </row>
    <row r="36" spans="1:19" x14ac:dyDescent="0.35">
      <c r="A36" s="85"/>
      <c r="B36" s="144">
        <v>26.99</v>
      </c>
      <c r="C36" s="144">
        <v>30.88</v>
      </c>
      <c r="D36" s="144">
        <f>C36-B36</f>
        <v>3.8900000000000006</v>
      </c>
      <c r="E36" s="144"/>
      <c r="F36" s="91">
        <v>26.56</v>
      </c>
      <c r="G36" s="144">
        <v>28.63</v>
      </c>
      <c r="H36" s="91">
        <f t="shared" si="11"/>
        <v>2.0700000000000003</v>
      </c>
      <c r="I36" s="91">
        <f t="shared" si="12"/>
        <v>7.1800000000000033</v>
      </c>
      <c r="J36" s="91">
        <f t="shared" si="13"/>
        <v>0.22378378378378372</v>
      </c>
      <c r="K36" s="91">
        <f t="shared" si="14"/>
        <v>0.77621621621621628</v>
      </c>
      <c r="L36" s="91">
        <f t="shared" si="15"/>
        <v>0.48309178743961345</v>
      </c>
      <c r="M36" s="91">
        <f t="shared" si="16"/>
        <v>0.10810810810810807</v>
      </c>
      <c r="N36" s="91">
        <f t="shared" si="17"/>
        <v>9.2500000000000036</v>
      </c>
      <c r="O36" s="144">
        <v>11</v>
      </c>
      <c r="P36" s="144">
        <f t="shared" si="18"/>
        <v>5.3140096618357484</v>
      </c>
      <c r="Q36" s="85"/>
      <c r="R36" s="85"/>
      <c r="S36" s="85"/>
    </row>
    <row r="37" spans="1:19" x14ac:dyDescent="0.35">
      <c r="A37" s="85"/>
      <c r="B37" s="85"/>
      <c r="C37" s="85"/>
      <c r="D37" s="85"/>
      <c r="E37" s="85"/>
      <c r="F37" s="13">
        <v>35.81</v>
      </c>
      <c r="G37" s="85">
        <v>41.43</v>
      </c>
      <c r="H37" s="13">
        <f t="shared" si="11"/>
        <v>5.6199999999999974</v>
      </c>
      <c r="I37" s="13">
        <f t="shared" si="12"/>
        <v>4.6700000000000017</v>
      </c>
      <c r="J37" s="13">
        <f t="shared" si="13"/>
        <v>0.54616132167152553</v>
      </c>
      <c r="K37" s="13">
        <f t="shared" si="14"/>
        <v>0.45383867832847447</v>
      </c>
      <c r="L37" s="13">
        <f t="shared" si="15"/>
        <v>0.17793594306049831</v>
      </c>
      <c r="M37" s="13">
        <f t="shared" si="16"/>
        <v>9.7181729834791064E-2</v>
      </c>
      <c r="N37" s="13">
        <f t="shared" si="17"/>
        <v>10.29</v>
      </c>
      <c r="O37" s="85">
        <v>26</v>
      </c>
      <c r="P37" s="85">
        <f t="shared" si="18"/>
        <v>4.6263345195729562</v>
      </c>
      <c r="Q37" s="85"/>
      <c r="R37" s="85"/>
      <c r="S37" s="85"/>
    </row>
    <row r="38" spans="1:19" x14ac:dyDescent="0.35">
      <c r="A38" s="85"/>
      <c r="B38" s="85"/>
      <c r="C38" s="85"/>
      <c r="D38" s="85"/>
      <c r="E38" s="85"/>
      <c r="F38" s="13">
        <v>46.1</v>
      </c>
      <c r="G38" s="85">
        <v>50.86</v>
      </c>
      <c r="H38" s="13">
        <f t="shared" si="11"/>
        <v>4.759999999999998</v>
      </c>
      <c r="I38" s="13">
        <f t="shared" si="12"/>
        <v>4.93</v>
      </c>
      <c r="J38" s="13">
        <f t="shared" si="13"/>
        <v>0.49122807017543851</v>
      </c>
      <c r="K38" s="13">
        <f t="shared" si="14"/>
        <v>0.50877192982456154</v>
      </c>
      <c r="L38" s="13">
        <f t="shared" si="15"/>
        <v>0.21008403361344546</v>
      </c>
      <c r="M38" s="13">
        <f t="shared" si="16"/>
        <v>0.10319917440660477</v>
      </c>
      <c r="N38" s="13">
        <f t="shared" si="17"/>
        <v>9.6899999999999977</v>
      </c>
      <c r="O38" s="85">
        <v>20</v>
      </c>
      <c r="P38" s="85">
        <f t="shared" si="18"/>
        <v>4.2016806722689095</v>
      </c>
      <c r="Q38" s="85"/>
      <c r="R38" s="85"/>
      <c r="S38" s="85"/>
    </row>
    <row r="39" spans="1:19" x14ac:dyDescent="0.35">
      <c r="A39" s="85"/>
      <c r="B39" s="144">
        <v>56.43</v>
      </c>
      <c r="C39" s="144">
        <v>60.31</v>
      </c>
      <c r="D39" s="144">
        <f>C39-B39</f>
        <v>3.8800000000000026</v>
      </c>
      <c r="E39" s="144"/>
      <c r="F39" s="91">
        <v>55.79</v>
      </c>
      <c r="G39" s="144">
        <v>57.92</v>
      </c>
      <c r="H39" s="91">
        <f t="shared" si="11"/>
        <v>2.1300000000000026</v>
      </c>
      <c r="I39" s="91">
        <f t="shared" si="12"/>
        <v>6.0799999999999983</v>
      </c>
      <c r="J39" s="91">
        <f t="shared" si="13"/>
        <v>0.25943970767356911</v>
      </c>
      <c r="K39" s="91">
        <f t="shared" si="14"/>
        <v>0.74056029232643095</v>
      </c>
      <c r="L39" s="91">
        <f t="shared" si="15"/>
        <v>0.46948356807511682</v>
      </c>
      <c r="M39" s="91">
        <f t="shared" si="16"/>
        <v>0.12180267965895249</v>
      </c>
      <c r="N39" s="91">
        <f t="shared" si="17"/>
        <v>8.2100000000000009</v>
      </c>
      <c r="O39" s="144">
        <v>12</v>
      </c>
      <c r="P39" s="144">
        <f t="shared" si="18"/>
        <v>5.6338028169014018</v>
      </c>
      <c r="Q39" s="85"/>
      <c r="R39" s="85"/>
      <c r="S39" s="85"/>
    </row>
    <row r="40" spans="1:19" x14ac:dyDescent="0.35">
      <c r="A40" s="85"/>
      <c r="B40" s="85"/>
      <c r="C40" s="85"/>
      <c r="D40" s="85"/>
      <c r="E40" s="85"/>
      <c r="F40" s="13">
        <v>64</v>
      </c>
      <c r="G40" s="85">
        <v>68.87</v>
      </c>
      <c r="H40" s="13">
        <f t="shared" si="11"/>
        <v>4.8700000000000045</v>
      </c>
      <c r="I40" s="13">
        <f t="shared" si="12"/>
        <v>5.0799999999999983</v>
      </c>
      <c r="J40" s="13">
        <f t="shared" si="13"/>
        <v>0.48944723618090485</v>
      </c>
      <c r="K40" s="13">
        <f t="shared" si="14"/>
        <v>0.5105527638190952</v>
      </c>
      <c r="L40" s="13">
        <f t="shared" si="15"/>
        <v>0.20533880903490739</v>
      </c>
      <c r="M40" s="13">
        <f t="shared" si="16"/>
        <v>0.10050251256281405</v>
      </c>
      <c r="N40" s="13">
        <f t="shared" si="17"/>
        <v>9.9500000000000028</v>
      </c>
      <c r="O40" s="85">
        <v>23</v>
      </c>
      <c r="P40" s="85">
        <f t="shared" si="18"/>
        <v>4.7227926078028704</v>
      </c>
      <c r="Q40" s="85"/>
      <c r="R40" s="85"/>
      <c r="S40" s="85"/>
    </row>
    <row r="41" spans="1:19" x14ac:dyDescent="0.35">
      <c r="A41" s="85"/>
      <c r="B41" s="85"/>
      <c r="C41" s="85"/>
      <c r="D41" s="85"/>
      <c r="E41" s="85"/>
      <c r="F41" s="13">
        <v>73.95</v>
      </c>
      <c r="G41" s="85">
        <v>78.05</v>
      </c>
      <c r="H41" s="13">
        <f t="shared" si="11"/>
        <v>4.0999999999999943</v>
      </c>
      <c r="I41" s="13">
        <f t="shared" si="12"/>
        <v>5.8200000000000074</v>
      </c>
      <c r="J41" s="13">
        <f t="shared" si="13"/>
        <v>0.41330645161290258</v>
      </c>
      <c r="K41" s="13">
        <f t="shared" si="14"/>
        <v>0.58669354838709742</v>
      </c>
      <c r="L41" s="13">
        <f t="shared" si="15"/>
        <v>0.24390243902439057</v>
      </c>
      <c r="M41" s="13">
        <f t="shared" si="16"/>
        <v>0.10080645161290321</v>
      </c>
      <c r="N41" s="13">
        <f t="shared" si="17"/>
        <v>9.9200000000000017</v>
      </c>
      <c r="O41" s="85">
        <v>21</v>
      </c>
      <c r="P41" s="85">
        <f t="shared" si="18"/>
        <v>5.1219512195122023</v>
      </c>
      <c r="Q41" s="85"/>
      <c r="R41" s="85"/>
      <c r="S41" s="85"/>
    </row>
    <row r="42" spans="1:19" x14ac:dyDescent="0.35">
      <c r="A42" s="85"/>
      <c r="B42" s="144">
        <v>84.62</v>
      </c>
      <c r="C42" s="144">
        <v>88.5</v>
      </c>
      <c r="D42" s="144">
        <f>C42-B42</f>
        <v>3.8799999999999955</v>
      </c>
      <c r="E42" s="144"/>
      <c r="F42" s="91">
        <v>83.87</v>
      </c>
      <c r="G42" s="144">
        <v>86.03</v>
      </c>
      <c r="H42" s="91">
        <f t="shared" si="11"/>
        <v>2.1599999999999966</v>
      </c>
      <c r="I42" s="91">
        <f t="shared" si="12"/>
        <v>6.1299999999999955</v>
      </c>
      <c r="J42" s="91">
        <f t="shared" si="13"/>
        <v>0.26055488540410116</v>
      </c>
      <c r="K42" s="91">
        <f t="shared" si="14"/>
        <v>0.73944511459589879</v>
      </c>
      <c r="L42" s="91">
        <f t="shared" si="15"/>
        <v>0.46296296296296369</v>
      </c>
      <c r="M42" s="91">
        <f t="shared" si="16"/>
        <v>0.12062726176115814</v>
      </c>
      <c r="N42" s="91">
        <f t="shared" si="17"/>
        <v>8.289999999999992</v>
      </c>
      <c r="O42" s="144">
        <v>12</v>
      </c>
      <c r="P42" s="144">
        <f t="shared" si="18"/>
        <v>5.5555555555555642</v>
      </c>
      <c r="Q42" s="85"/>
      <c r="R42" s="85"/>
      <c r="S42" s="85"/>
    </row>
    <row r="43" spans="1:19" x14ac:dyDescent="0.35">
      <c r="A43" s="85"/>
      <c r="B43" s="144">
        <v>93.15</v>
      </c>
      <c r="C43" s="144">
        <v>97.03</v>
      </c>
      <c r="D43" s="144">
        <f>C43-B43</f>
        <v>3.8799999999999955</v>
      </c>
      <c r="E43" s="144"/>
      <c r="F43" s="91">
        <v>92.16</v>
      </c>
      <c r="G43" s="144">
        <v>95.85</v>
      </c>
      <c r="H43" s="91">
        <f t="shared" si="11"/>
        <v>3.6899999999999977</v>
      </c>
      <c r="I43" s="91">
        <f t="shared" si="12"/>
        <v>5.5600000000000023</v>
      </c>
      <c r="J43" s="91">
        <f t="shared" si="13"/>
        <v>0.39891891891891867</v>
      </c>
      <c r="K43" s="91">
        <f t="shared" si="14"/>
        <v>0.60108108108108138</v>
      </c>
      <c r="L43" s="91">
        <f t="shared" si="15"/>
        <v>0.27100271002710041</v>
      </c>
      <c r="M43" s="91">
        <f t="shared" si="16"/>
        <v>0.10810810810810811</v>
      </c>
      <c r="N43" s="91">
        <f t="shared" si="17"/>
        <v>9.25</v>
      </c>
      <c r="O43" s="144">
        <v>19</v>
      </c>
      <c r="P43" s="144">
        <f t="shared" si="18"/>
        <v>5.1490514905149087</v>
      </c>
      <c r="Q43" s="85"/>
      <c r="R43" s="85"/>
      <c r="S43" s="85"/>
    </row>
    <row r="44" spans="1:19" x14ac:dyDescent="0.35">
      <c r="A44" s="85"/>
      <c r="B44" s="144">
        <v>102.09</v>
      </c>
      <c r="C44" s="144">
        <v>105.96</v>
      </c>
      <c r="D44" s="144">
        <f>C44-B44</f>
        <v>3.8699999999999903</v>
      </c>
      <c r="E44" s="144"/>
      <c r="F44" s="91">
        <v>101.41</v>
      </c>
      <c r="G44" s="144">
        <v>104.46</v>
      </c>
      <c r="H44" s="91">
        <f t="shared" si="11"/>
        <v>3.0499999999999972</v>
      </c>
      <c r="I44" s="91">
        <f t="shared" si="12"/>
        <v>5.8800000000000097</v>
      </c>
      <c r="J44" s="91">
        <f t="shared" si="13"/>
        <v>0.34154535274356046</v>
      </c>
      <c r="K44" s="91">
        <f t="shared" si="14"/>
        <v>0.65845464725643954</v>
      </c>
      <c r="L44" s="91">
        <f t="shared" si="15"/>
        <v>0.3278688524590167</v>
      </c>
      <c r="M44" s="91">
        <f t="shared" si="16"/>
        <v>0.11198208286674123</v>
      </c>
      <c r="N44" s="91">
        <f t="shared" si="17"/>
        <v>8.9300000000000068</v>
      </c>
      <c r="O44" s="144">
        <v>15</v>
      </c>
      <c r="P44" s="144">
        <f t="shared" si="18"/>
        <v>4.9180327868852505</v>
      </c>
      <c r="Q44" s="85"/>
      <c r="R44" s="85"/>
      <c r="S44" s="85"/>
    </row>
    <row r="45" spans="1:19" x14ac:dyDescent="0.35">
      <c r="A45" s="85"/>
      <c r="B45" s="85"/>
      <c r="C45" s="85"/>
      <c r="D45" s="85"/>
      <c r="E45" s="85"/>
      <c r="F45" s="13">
        <v>110.34</v>
      </c>
      <c r="G45" s="85">
        <v>115.87</v>
      </c>
      <c r="H45" s="13">
        <f t="shared" si="11"/>
        <v>5.5300000000000011</v>
      </c>
      <c r="I45" s="13">
        <f t="shared" si="12"/>
        <v>3.9200000000000017</v>
      </c>
      <c r="J45" s="13">
        <f t="shared" si="13"/>
        <v>0.58518518518518514</v>
      </c>
      <c r="K45" s="13">
        <f t="shared" si="14"/>
        <v>0.41481481481481486</v>
      </c>
      <c r="L45" s="13">
        <f t="shared" si="15"/>
        <v>0.18083182640144663</v>
      </c>
      <c r="M45" s="13">
        <f t="shared" si="16"/>
        <v>0.10582010582010579</v>
      </c>
      <c r="N45" s="13">
        <f t="shared" si="17"/>
        <v>9.4500000000000028</v>
      </c>
      <c r="O45" s="85">
        <v>29</v>
      </c>
      <c r="P45" s="85">
        <f t="shared" si="18"/>
        <v>5.2441229656419521</v>
      </c>
      <c r="Q45" s="85"/>
      <c r="R45" s="85"/>
      <c r="S45" s="85"/>
    </row>
    <row r="46" spans="1:19" x14ac:dyDescent="0.35">
      <c r="A46" s="85"/>
      <c r="B46" s="85"/>
      <c r="C46" s="85"/>
      <c r="D46" s="85"/>
      <c r="E46" s="85"/>
      <c r="F46" s="13">
        <v>119.79</v>
      </c>
      <c r="G46" s="85">
        <v>123.38</v>
      </c>
      <c r="H46" s="13">
        <f t="shared" si="11"/>
        <v>3.5899999999999892</v>
      </c>
      <c r="I46" s="13">
        <f t="shared" si="12"/>
        <v>5.4000000000000057</v>
      </c>
      <c r="J46" s="13">
        <f t="shared" si="13"/>
        <v>0.39933259176863084</v>
      </c>
      <c r="K46" s="13">
        <f t="shared" si="14"/>
        <v>0.60066740823136922</v>
      </c>
      <c r="L46" s="13">
        <f t="shared" si="15"/>
        <v>0.27855153203342703</v>
      </c>
      <c r="M46" s="13">
        <f t="shared" si="16"/>
        <v>0.11123470522803121</v>
      </c>
      <c r="N46" s="13">
        <f t="shared" si="17"/>
        <v>8.9899999999999949</v>
      </c>
      <c r="O46" s="85">
        <v>18</v>
      </c>
      <c r="P46" s="85">
        <f t="shared" si="18"/>
        <v>5.0139275766016862</v>
      </c>
      <c r="Q46" s="85"/>
      <c r="R46" t="s">
        <v>184</v>
      </c>
      <c r="S46" s="85"/>
    </row>
    <row r="47" spans="1:19" x14ac:dyDescent="0.35">
      <c r="A47" s="85"/>
      <c r="B47" s="144">
        <v>9.32</v>
      </c>
      <c r="C47" s="144">
        <v>13.2</v>
      </c>
      <c r="D47" s="144">
        <f>C47-B47</f>
        <v>3.879999999999999</v>
      </c>
      <c r="E47" s="144"/>
      <c r="F47" s="144">
        <f>120+8.78</f>
        <v>128.78</v>
      </c>
      <c r="G47" s="144">
        <f>120+10.85</f>
        <v>130.85</v>
      </c>
      <c r="H47" s="91">
        <f t="shared" si="11"/>
        <v>2.0699999999999932</v>
      </c>
      <c r="I47" s="91">
        <f t="shared" si="12"/>
        <v>5.3100000000000023</v>
      </c>
      <c r="J47" s="91">
        <f t="shared" si="13"/>
        <v>0.28048780487804803</v>
      </c>
      <c r="K47" s="91">
        <f t="shared" si="14"/>
        <v>0.71951219512195197</v>
      </c>
      <c r="L47" s="91">
        <f t="shared" si="15"/>
        <v>0.48309178743961512</v>
      </c>
      <c r="M47" s="91">
        <f t="shared" si="16"/>
        <v>0.13550135501355021</v>
      </c>
      <c r="N47" s="91">
        <f t="shared" si="17"/>
        <v>7.3799999999999955</v>
      </c>
      <c r="O47" s="144">
        <v>11</v>
      </c>
      <c r="P47" s="144">
        <f t="shared" si="18"/>
        <v>5.3140096618357662</v>
      </c>
      <c r="Q47" s="85"/>
      <c r="R47" s="85"/>
      <c r="S47" s="85"/>
    </row>
    <row r="48" spans="1:19" x14ac:dyDescent="0.35">
      <c r="A48" s="85"/>
      <c r="B48" s="144">
        <v>17.02</v>
      </c>
      <c r="C48" s="144">
        <v>20.91</v>
      </c>
      <c r="D48" s="144">
        <f>C48-B48</f>
        <v>3.8900000000000006</v>
      </c>
      <c r="E48" s="144"/>
      <c r="F48" s="144">
        <f>16.16+120</f>
        <v>136.16</v>
      </c>
      <c r="G48" s="144">
        <f>19.82+120</f>
        <v>139.82</v>
      </c>
      <c r="H48" s="91">
        <f t="shared" si="11"/>
        <v>3.6599999999999966</v>
      </c>
      <c r="I48" s="91">
        <f t="shared" si="12"/>
        <v>5.5900000000000034</v>
      </c>
      <c r="J48" s="91">
        <f t="shared" si="13"/>
        <v>0.3956756756756753</v>
      </c>
      <c r="K48" s="91">
        <f t="shared" si="14"/>
        <v>0.6043243243243247</v>
      </c>
      <c r="L48" s="91">
        <f t="shared" si="15"/>
        <v>0.27322404371584724</v>
      </c>
      <c r="M48" s="91">
        <f t="shared" si="16"/>
        <v>0.10810810810810811</v>
      </c>
      <c r="N48" s="91">
        <f t="shared" si="17"/>
        <v>9.25</v>
      </c>
      <c r="O48" s="144">
        <v>16</v>
      </c>
      <c r="P48" s="144">
        <f t="shared" si="18"/>
        <v>4.3715846994535559</v>
      </c>
      <c r="Q48" s="85"/>
      <c r="R48" s="85"/>
      <c r="S48" s="85"/>
    </row>
    <row r="49" spans="1:19" x14ac:dyDescent="0.35">
      <c r="A49" s="85"/>
      <c r="B49" s="85"/>
      <c r="C49" s="85"/>
      <c r="D49" s="85"/>
      <c r="E49" s="85"/>
      <c r="F49" s="85">
        <f>120+25.41</f>
        <v>145.41</v>
      </c>
      <c r="G49" s="85">
        <f>120+31.52</f>
        <v>151.52000000000001</v>
      </c>
      <c r="H49" s="13">
        <f t="shared" si="11"/>
        <v>6.1100000000000136</v>
      </c>
      <c r="I49" s="13">
        <f t="shared" si="12"/>
        <v>3.9199999999999875</v>
      </c>
      <c r="J49" s="13">
        <f t="shared" si="13"/>
        <v>0.60917248255234424</v>
      </c>
      <c r="K49" s="13">
        <f t="shared" si="14"/>
        <v>0.39082751744765576</v>
      </c>
      <c r="L49" s="13">
        <f t="shared" si="15"/>
        <v>0.16366612111292925</v>
      </c>
      <c r="M49" s="13">
        <f t="shared" si="16"/>
        <v>9.9700897308075756E-2</v>
      </c>
      <c r="N49" s="13">
        <f t="shared" si="17"/>
        <v>10.030000000000001</v>
      </c>
      <c r="O49" s="85">
        <v>28</v>
      </c>
      <c r="P49" s="85">
        <f t="shared" si="18"/>
        <v>4.5826513911620195</v>
      </c>
      <c r="Q49" s="85"/>
      <c r="R49" s="85"/>
      <c r="S49" s="85"/>
    </row>
    <row r="50" spans="1:19" x14ac:dyDescent="0.35">
      <c r="A50" s="85"/>
      <c r="B50" s="85"/>
      <c r="C50" s="85"/>
      <c r="D50" s="85"/>
      <c r="E50" s="85"/>
      <c r="F50" s="85">
        <f>120+35.44</f>
        <v>155.44</v>
      </c>
      <c r="G50" s="85">
        <f>120+40.24</f>
        <v>160.24</v>
      </c>
      <c r="H50" s="13">
        <f t="shared" si="11"/>
        <v>4.8000000000000114</v>
      </c>
      <c r="I50" s="13">
        <f t="shared" si="12"/>
        <v>5.1599999999999966</v>
      </c>
      <c r="J50" s="13">
        <f t="shared" si="13"/>
        <v>0.48192771084337427</v>
      </c>
      <c r="K50" s="13">
        <f t="shared" si="14"/>
        <v>0.51807228915662573</v>
      </c>
      <c r="L50" s="13">
        <f t="shared" si="15"/>
        <v>0.20833333333333284</v>
      </c>
      <c r="M50" s="13">
        <f t="shared" si="16"/>
        <v>0.10040160642570273</v>
      </c>
      <c r="N50" s="13">
        <f t="shared" si="17"/>
        <v>9.960000000000008</v>
      </c>
      <c r="O50" s="85">
        <v>26</v>
      </c>
      <c r="P50" s="85">
        <f t="shared" si="18"/>
        <v>5.4166666666666536</v>
      </c>
      <c r="Q50" s="85"/>
      <c r="R50" s="85"/>
      <c r="S50" s="85"/>
    </row>
    <row r="51" spans="1:19" x14ac:dyDescent="0.35">
      <c r="A51" s="85"/>
      <c r="B51" s="85"/>
      <c r="C51" s="85"/>
      <c r="D51" s="85"/>
      <c r="E51" s="85"/>
      <c r="F51" s="85">
        <f>120+45.4</f>
        <v>165.4</v>
      </c>
      <c r="G51" s="85">
        <f>120+50.08</f>
        <v>170.07999999999998</v>
      </c>
      <c r="H51" s="13">
        <f t="shared" si="11"/>
        <v>4.6799999999999784</v>
      </c>
      <c r="I51" s="13">
        <f t="shared" si="12"/>
        <v>4.3500000000000227</v>
      </c>
      <c r="J51" s="13">
        <f t="shared" si="13"/>
        <v>0.51827242524916695</v>
      </c>
      <c r="K51" s="13">
        <f t="shared" si="14"/>
        <v>0.481727574750833</v>
      </c>
      <c r="L51" s="13">
        <f t="shared" si="15"/>
        <v>0.21367521367521466</v>
      </c>
      <c r="M51" s="13">
        <f t="shared" si="16"/>
        <v>0.11074197120708747</v>
      </c>
      <c r="N51" s="13">
        <f t="shared" si="17"/>
        <v>9.0300000000000011</v>
      </c>
      <c r="O51" s="85">
        <v>23</v>
      </c>
      <c r="P51" s="85">
        <f t="shared" si="18"/>
        <v>4.914529914529937</v>
      </c>
      <c r="Q51" s="85"/>
      <c r="R51" s="85"/>
      <c r="S51" s="85"/>
    </row>
    <row r="52" spans="1:19" x14ac:dyDescent="0.35">
      <c r="A52" s="85"/>
      <c r="B52" s="85"/>
      <c r="C52" s="85"/>
      <c r="D52" s="85"/>
      <c r="E52" s="85"/>
      <c r="F52" s="85">
        <f>120+54.43</f>
        <v>174.43</v>
      </c>
      <c r="G52" s="85">
        <f>120+59.49</f>
        <v>179.49</v>
      </c>
      <c r="H52" s="13">
        <f t="shared" ref="H52:H59" si="19">G52-F52</f>
        <v>5.0600000000000023</v>
      </c>
      <c r="I52" s="13">
        <f t="shared" ref="I52:I59" si="20">F53-G52</f>
        <v>3.9499999999999886</v>
      </c>
      <c r="J52" s="13">
        <f t="shared" ref="J52:J59" si="21">H52/N52</f>
        <v>0.56159822419533934</v>
      </c>
      <c r="K52" s="13">
        <f t="shared" ref="K52:K59" si="22">I52/N52</f>
        <v>0.43840177580466066</v>
      </c>
      <c r="L52" s="13">
        <f t="shared" ref="L52:L59" si="23">1/H52</f>
        <v>0.19762845849802363</v>
      </c>
      <c r="M52" s="13">
        <f t="shared" ref="M52:M59" si="24">1/N52</f>
        <v>0.11098779134295239</v>
      </c>
      <c r="N52" s="13">
        <f t="shared" ref="N52:N59" si="25">H52+I52</f>
        <v>9.0099999999999909</v>
      </c>
      <c r="O52" s="85">
        <v>23</v>
      </c>
      <c r="P52" s="85">
        <f t="shared" ref="P52:P59" si="26">O52/H52</f>
        <v>4.5454545454545432</v>
      </c>
      <c r="Q52" s="85"/>
      <c r="R52" s="85"/>
      <c r="S52" s="85"/>
    </row>
    <row r="53" spans="1:19" x14ac:dyDescent="0.35">
      <c r="A53" s="85"/>
      <c r="B53" s="85"/>
      <c r="C53" s="85"/>
      <c r="D53" s="85"/>
      <c r="E53" s="85"/>
      <c r="F53" s="85">
        <f>120+63.44</f>
        <v>183.44</v>
      </c>
      <c r="G53" s="85">
        <f>120+67.55</f>
        <v>187.55</v>
      </c>
      <c r="H53" s="13">
        <f t="shared" si="19"/>
        <v>4.1100000000000136</v>
      </c>
      <c r="I53" s="13">
        <f t="shared" si="20"/>
        <v>4.5799999999999841</v>
      </c>
      <c r="J53" s="13">
        <f t="shared" si="21"/>
        <v>0.4729574223245126</v>
      </c>
      <c r="K53" s="13">
        <f t="shared" si="22"/>
        <v>0.52704257767548734</v>
      </c>
      <c r="L53" s="13">
        <f t="shared" si="23"/>
        <v>0.24330900243308923</v>
      </c>
      <c r="M53" s="13">
        <f t="shared" si="24"/>
        <v>0.11507479861910244</v>
      </c>
      <c r="N53" s="13">
        <f t="shared" si="25"/>
        <v>8.6899999999999977</v>
      </c>
      <c r="O53" s="85">
        <v>20</v>
      </c>
      <c r="P53" s="85">
        <f t="shared" si="26"/>
        <v>4.8661800486617848</v>
      </c>
      <c r="Q53" s="85"/>
      <c r="R53" s="85"/>
      <c r="S53" s="85"/>
    </row>
    <row r="54" spans="1:19" x14ac:dyDescent="0.35">
      <c r="A54" s="85"/>
      <c r="B54" s="144">
        <v>72.680000000000007</v>
      </c>
      <c r="C54" s="144">
        <v>76.56</v>
      </c>
      <c r="D54" s="144">
        <f>C54-B54</f>
        <v>3.8799999999999955</v>
      </c>
      <c r="E54" s="144"/>
      <c r="F54" s="144">
        <f>120+72.13</f>
        <v>192.13</v>
      </c>
      <c r="G54" s="144">
        <f>120+74.03</f>
        <v>194.03</v>
      </c>
      <c r="H54" s="91">
        <f t="shared" si="19"/>
        <v>1.9000000000000057</v>
      </c>
      <c r="I54" s="91">
        <f t="shared" si="20"/>
        <v>7</v>
      </c>
      <c r="J54" s="91">
        <f t="shared" si="21"/>
        <v>0.21348314606741622</v>
      </c>
      <c r="K54" s="91">
        <f t="shared" si="22"/>
        <v>0.78651685393258375</v>
      </c>
      <c r="L54" s="91">
        <f t="shared" si="23"/>
        <v>0.52631578947368263</v>
      </c>
      <c r="M54" s="91">
        <f t="shared" si="24"/>
        <v>0.11235955056179768</v>
      </c>
      <c r="N54" s="91">
        <f t="shared" si="25"/>
        <v>8.9000000000000057</v>
      </c>
      <c r="O54" s="144">
        <v>11</v>
      </c>
      <c r="P54" s="144">
        <f t="shared" si="26"/>
        <v>5.7894736842105088</v>
      </c>
      <c r="Q54" s="85"/>
      <c r="R54" s="85"/>
      <c r="S54" s="85"/>
    </row>
    <row r="55" spans="1:19" x14ac:dyDescent="0.35">
      <c r="A55" s="85"/>
      <c r="B55" s="85"/>
      <c r="C55" s="85"/>
      <c r="D55" s="85"/>
      <c r="E55" s="85"/>
      <c r="F55" s="85">
        <f>120+81.03</f>
        <v>201.03</v>
      </c>
      <c r="G55" s="85">
        <f>120+87.05</f>
        <v>207.05</v>
      </c>
      <c r="H55" s="13">
        <f t="shared" si="19"/>
        <v>6.0200000000000102</v>
      </c>
      <c r="I55" s="13">
        <f t="shared" si="20"/>
        <v>5.4900000000000091</v>
      </c>
      <c r="J55" s="13">
        <f t="shared" si="21"/>
        <v>0.52302345786272808</v>
      </c>
      <c r="K55" s="13">
        <f t="shared" si="22"/>
        <v>0.47697654213727192</v>
      </c>
      <c r="L55" s="13">
        <f t="shared" si="23"/>
        <v>0.16611295681063096</v>
      </c>
      <c r="M55" s="13">
        <f t="shared" si="24"/>
        <v>8.6880973066898209E-2</v>
      </c>
      <c r="N55" s="13">
        <f t="shared" si="25"/>
        <v>11.510000000000019</v>
      </c>
      <c r="O55" s="85">
        <v>29</v>
      </c>
      <c r="P55" s="85">
        <f t="shared" si="26"/>
        <v>4.8172757475082975</v>
      </c>
      <c r="Q55" s="85"/>
      <c r="R55" s="85"/>
      <c r="S55" s="85"/>
    </row>
    <row r="56" spans="1:19" x14ac:dyDescent="0.35">
      <c r="A56" s="85"/>
      <c r="B56" s="85"/>
      <c r="C56" s="85"/>
      <c r="D56" s="85"/>
      <c r="E56" s="85"/>
      <c r="F56" s="85">
        <f>120+92.54</f>
        <v>212.54000000000002</v>
      </c>
      <c r="G56" s="85">
        <f>120+94.91</f>
        <v>214.91</v>
      </c>
      <c r="H56" s="13">
        <f t="shared" si="19"/>
        <v>2.3699999999999761</v>
      </c>
      <c r="I56" s="13">
        <f t="shared" si="20"/>
        <v>5.0100000000000193</v>
      </c>
      <c r="J56" s="13">
        <f t="shared" si="21"/>
        <v>0.32113821138211079</v>
      </c>
      <c r="K56" s="13">
        <f t="shared" si="22"/>
        <v>0.67886178861788926</v>
      </c>
      <c r="L56" s="13">
        <f t="shared" si="23"/>
        <v>0.42194092827004642</v>
      </c>
      <c r="M56" s="13">
        <f t="shared" si="24"/>
        <v>0.13550135501355021</v>
      </c>
      <c r="N56" s="13">
        <f t="shared" si="25"/>
        <v>7.3799999999999955</v>
      </c>
      <c r="O56" s="85">
        <v>13</v>
      </c>
      <c r="P56" s="85">
        <f t="shared" si="26"/>
        <v>5.4852320675106041</v>
      </c>
      <c r="Q56" s="85"/>
      <c r="R56" s="85"/>
      <c r="S56" s="85"/>
    </row>
    <row r="57" spans="1:19" x14ac:dyDescent="0.35">
      <c r="A57" s="85"/>
      <c r="B57" s="85"/>
      <c r="C57" s="85"/>
      <c r="D57" s="85"/>
      <c r="E57" s="85"/>
      <c r="F57" s="85">
        <f>120+99.92</f>
        <v>219.92000000000002</v>
      </c>
      <c r="G57" s="85">
        <f>120+104.78</f>
        <v>224.78</v>
      </c>
      <c r="H57" s="13">
        <f t="shared" si="19"/>
        <v>4.8599999999999852</v>
      </c>
      <c r="I57" s="13">
        <f t="shared" si="20"/>
        <v>5.2199999999999989</v>
      </c>
      <c r="J57" s="13">
        <f t="shared" si="21"/>
        <v>0.48214285714285643</v>
      </c>
      <c r="K57" s="13">
        <f t="shared" si="22"/>
        <v>0.51785714285714357</v>
      </c>
      <c r="L57" s="13">
        <f t="shared" si="23"/>
        <v>0.2057613168724286</v>
      </c>
      <c r="M57" s="13">
        <f t="shared" si="24"/>
        <v>9.9206349206349367E-2</v>
      </c>
      <c r="N57" s="13">
        <f t="shared" si="25"/>
        <v>10.079999999999984</v>
      </c>
      <c r="O57" s="85">
        <v>26</v>
      </c>
      <c r="P57" s="85">
        <f t="shared" si="26"/>
        <v>5.3497942386831436</v>
      </c>
      <c r="Q57" s="85"/>
      <c r="R57" s="85"/>
      <c r="S57" s="85"/>
    </row>
    <row r="58" spans="1:19" x14ac:dyDescent="0.35">
      <c r="A58" s="85"/>
      <c r="B58" s="85"/>
      <c r="C58" s="85"/>
      <c r="D58" s="85"/>
      <c r="E58" s="85"/>
      <c r="F58" s="85">
        <f>120+110</f>
        <v>230</v>
      </c>
      <c r="G58" s="85">
        <f>120+112.24</f>
        <v>232.24</v>
      </c>
      <c r="H58" s="13">
        <f t="shared" si="19"/>
        <v>2.2400000000000091</v>
      </c>
      <c r="I58" s="13">
        <f t="shared" si="20"/>
        <v>5.1999999999999886</v>
      </c>
      <c r="J58" s="13">
        <f t="shared" si="21"/>
        <v>0.30107526881720559</v>
      </c>
      <c r="K58" s="13">
        <f t="shared" si="22"/>
        <v>0.69892473118279441</v>
      </c>
      <c r="L58" s="13">
        <f t="shared" si="23"/>
        <v>0.44642857142856962</v>
      </c>
      <c r="M58" s="13">
        <f t="shared" si="24"/>
        <v>0.13440860215053768</v>
      </c>
      <c r="N58" s="13">
        <f t="shared" si="25"/>
        <v>7.4399999999999977</v>
      </c>
      <c r="O58" s="85">
        <v>13</v>
      </c>
      <c r="P58" s="85">
        <f t="shared" si="26"/>
        <v>5.8035714285714048</v>
      </c>
      <c r="Q58" s="85"/>
      <c r="R58" s="85"/>
      <c r="S58" s="85"/>
    </row>
    <row r="59" spans="1:19" x14ac:dyDescent="0.35">
      <c r="A59" s="85"/>
      <c r="B59" s="85"/>
      <c r="C59" s="85"/>
      <c r="D59" s="85"/>
      <c r="E59" s="85"/>
      <c r="F59" s="85">
        <f>120+117.44</f>
        <v>237.44</v>
      </c>
      <c r="G59" s="85">
        <f>120+122.96</f>
        <v>242.95999999999998</v>
      </c>
      <c r="H59" s="13">
        <f t="shared" si="19"/>
        <v>5.5199999999999818</v>
      </c>
      <c r="I59" s="13">
        <f t="shared" si="20"/>
        <v>5.4500000000000171</v>
      </c>
      <c r="J59" s="13">
        <f t="shared" si="21"/>
        <v>0.50319051959890448</v>
      </c>
      <c r="K59" s="13">
        <f t="shared" si="22"/>
        <v>0.49680948040109552</v>
      </c>
      <c r="L59" s="13">
        <f t="shared" si="23"/>
        <v>0.18115942028985568</v>
      </c>
      <c r="M59" s="13">
        <f t="shared" si="24"/>
        <v>9.1157702825888795E-2</v>
      </c>
      <c r="N59" s="13">
        <f t="shared" si="25"/>
        <v>10.969999999999999</v>
      </c>
      <c r="O59" s="85">
        <v>27</v>
      </c>
      <c r="P59" s="85">
        <f t="shared" si="26"/>
        <v>4.8913043478261029</v>
      </c>
      <c r="Q59" s="85"/>
      <c r="R59" s="85"/>
      <c r="S59" s="85"/>
    </row>
    <row r="60" spans="1:19" x14ac:dyDescent="0.35">
      <c r="A60" s="85"/>
      <c r="B60" s="85"/>
      <c r="C60" s="85"/>
      <c r="D60" s="85"/>
      <c r="E60" s="85"/>
      <c r="F60" s="85">
        <f>248.41</f>
        <v>248.41</v>
      </c>
      <c r="G60" s="85"/>
      <c r="H60" s="13"/>
      <c r="I60" s="13"/>
      <c r="J60" s="13"/>
      <c r="K60" s="13"/>
      <c r="L60" s="13"/>
      <c r="M60" s="13"/>
      <c r="N60" s="13"/>
      <c r="O60" s="85"/>
      <c r="P60" s="85"/>
      <c r="Q60" s="85"/>
      <c r="R60" s="85"/>
      <c r="S60" s="85"/>
    </row>
    <row r="61" spans="1:19" x14ac:dyDescent="0.35">
      <c r="A61" s="85"/>
      <c r="B61" s="85"/>
      <c r="C61" s="85"/>
      <c r="D61" s="85"/>
      <c r="E61" s="85"/>
      <c r="F61" s="85"/>
      <c r="G61" s="85"/>
      <c r="H61" s="13"/>
      <c r="I61" s="13"/>
      <c r="J61" s="13"/>
      <c r="K61" s="13"/>
      <c r="L61" s="13"/>
      <c r="M61" s="13"/>
      <c r="N61" s="13"/>
      <c r="O61" s="85"/>
      <c r="P61" s="85"/>
      <c r="Q61" s="85"/>
      <c r="R61" s="85"/>
      <c r="S61" s="85"/>
    </row>
    <row r="62" spans="1:19" x14ac:dyDescent="0.35">
      <c r="A62" s="85"/>
      <c r="B62" s="85"/>
      <c r="C62" s="85"/>
      <c r="D62" s="85"/>
      <c r="E62" s="85"/>
      <c r="F62" s="85"/>
      <c r="G62" s="85"/>
      <c r="H62" s="13"/>
      <c r="I62" s="13"/>
      <c r="J62" s="13"/>
      <c r="K62" s="13"/>
      <c r="L62" s="13"/>
      <c r="M62" s="13"/>
      <c r="N62" s="13"/>
      <c r="O62" s="85"/>
      <c r="P62" s="85"/>
      <c r="Q62" s="85"/>
      <c r="R62" s="85"/>
      <c r="S62" s="85"/>
    </row>
    <row r="63" spans="1:19" ht="16" thickBot="1" x14ac:dyDescent="0.4">
      <c r="A63" s="85"/>
      <c r="B63" s="85"/>
      <c r="C63" s="85"/>
      <c r="D63" s="85"/>
      <c r="E63" s="85"/>
      <c r="F63" s="85"/>
      <c r="G63" s="85"/>
      <c r="H63" s="9" t="s">
        <v>3</v>
      </c>
      <c r="I63" s="9" t="s">
        <v>4</v>
      </c>
      <c r="J63" s="9" t="s">
        <v>5</v>
      </c>
      <c r="K63" s="9" t="s">
        <v>6</v>
      </c>
      <c r="L63" s="9" t="s">
        <v>7</v>
      </c>
      <c r="M63" s="9" t="s">
        <v>8</v>
      </c>
      <c r="N63" s="9" t="s">
        <v>9</v>
      </c>
      <c r="O63" s="9" t="s">
        <v>10</v>
      </c>
      <c r="P63" s="44" t="s">
        <v>139</v>
      </c>
      <c r="Q63" s="85"/>
      <c r="R63" s="85"/>
      <c r="S63" s="85"/>
    </row>
    <row r="64" spans="1:19" x14ac:dyDescent="0.35">
      <c r="A64" s="85"/>
      <c r="B64" s="85"/>
      <c r="C64" s="85"/>
      <c r="D64" s="85"/>
      <c r="E64" s="137" t="s">
        <v>198</v>
      </c>
      <c r="F64" s="85"/>
      <c r="G64" s="49" t="s">
        <v>77</v>
      </c>
      <c r="H64" s="13">
        <f>AVERAGE(H36,H39,H42:H44,H47:H48,H54)</f>
        <v>2.5912499999999987</v>
      </c>
      <c r="I64" s="13">
        <f t="shared" ref="I64:P64" si="27">AVERAGE(I36,I39,I42:I44,I47:I48,I54)</f>
        <v>6.0912500000000023</v>
      </c>
      <c r="J64" s="13">
        <f t="shared" si="27"/>
        <v>0.29673615939313408</v>
      </c>
      <c r="K64" s="13">
        <f t="shared" si="27"/>
        <v>0.70326384060686598</v>
      </c>
      <c r="L64" s="13">
        <f t="shared" si="27"/>
        <v>0.41213018769911952</v>
      </c>
      <c r="M64" s="13">
        <f t="shared" si="27"/>
        <v>0.11582465677331551</v>
      </c>
      <c r="N64" s="13">
        <f t="shared" si="27"/>
        <v>8.682500000000001</v>
      </c>
      <c r="O64" s="13">
        <f t="shared" si="27"/>
        <v>13.375</v>
      </c>
      <c r="P64" s="13">
        <f t="shared" si="27"/>
        <v>5.2556900446490866</v>
      </c>
      <c r="Q64" s="85"/>
      <c r="R64" s="85"/>
      <c r="S64" s="85"/>
    </row>
    <row r="65" spans="1:19" x14ac:dyDescent="0.35">
      <c r="A65" s="85"/>
      <c r="B65" s="85"/>
      <c r="C65" s="85"/>
      <c r="D65" s="85"/>
      <c r="E65" s="137"/>
      <c r="F65" s="85"/>
      <c r="G65" s="49" t="s">
        <v>94</v>
      </c>
      <c r="H65" s="13">
        <f>_xlfn.STDEV.S(H36,H39,H42:H44,H47:H48,H54)</f>
        <v>0.75402609844942015</v>
      </c>
      <c r="I65" s="13">
        <f t="shared" ref="I65:P65" si="28">_xlfn.STDEV.S(I36,I39,I42:I44,I47:I48,I54)</f>
        <v>0.67625940711702814</v>
      </c>
      <c r="J65" s="13">
        <f t="shared" si="28"/>
        <v>7.3149006723937537E-2</v>
      </c>
      <c r="K65" s="13">
        <f t="shared" si="28"/>
        <v>7.3149006723937496E-2</v>
      </c>
      <c r="L65" s="13">
        <f t="shared" si="28"/>
        <v>0.10371298624877516</v>
      </c>
      <c r="M65" s="13">
        <f t="shared" si="28"/>
        <v>9.646479232784758E-3</v>
      </c>
      <c r="N65" s="13">
        <f t="shared" si="28"/>
        <v>0.67066598030827618</v>
      </c>
      <c r="O65" s="13">
        <f t="shared" si="28"/>
        <v>2.9730936268953445</v>
      </c>
      <c r="P65" s="13">
        <f t="shared" si="28"/>
        <v>0.45223925224286537</v>
      </c>
      <c r="Q65" s="85"/>
      <c r="R65" s="85"/>
      <c r="S65" s="85"/>
    </row>
    <row r="66" spans="1:19" x14ac:dyDescent="0.35">
      <c r="A66" s="85"/>
      <c r="B66" s="85"/>
      <c r="C66" s="85"/>
      <c r="D66" s="85"/>
      <c r="E66" s="137"/>
      <c r="F66" s="85"/>
      <c r="G66" s="49" t="s">
        <v>95</v>
      </c>
      <c r="H66" s="13">
        <f>H65/SQRT(8)</f>
        <v>0.26658848370261012</v>
      </c>
      <c r="I66" s="13">
        <f t="shared" ref="I66:P66" si="29">I65/SQRT(8)</f>
        <v>0.23909380630682237</v>
      </c>
      <c r="J66" s="13">
        <f t="shared" si="29"/>
        <v>2.5862079345778295E-2</v>
      </c>
      <c r="K66" s="13">
        <f t="shared" si="29"/>
        <v>2.5862079345778281E-2</v>
      </c>
      <c r="L66" s="13">
        <f t="shared" si="29"/>
        <v>3.6668077936808034E-2</v>
      </c>
      <c r="M66" s="13">
        <f t="shared" si="29"/>
        <v>3.4105454400386532E-3</v>
      </c>
      <c r="N66" s="13">
        <f t="shared" si="29"/>
        <v>0.2371162312935528</v>
      </c>
      <c r="O66" s="13">
        <f t="shared" si="29"/>
        <v>1.0511473323401026</v>
      </c>
      <c r="P66" s="13">
        <f t="shared" si="29"/>
        <v>0.15989072098983184</v>
      </c>
      <c r="Q66" s="85"/>
      <c r="R66" s="85"/>
      <c r="S66" s="85"/>
    </row>
    <row r="67" spans="1:19" x14ac:dyDescent="0.35">
      <c r="A67" s="85"/>
      <c r="B67" s="85"/>
      <c r="C67" s="85"/>
      <c r="D67" s="85"/>
      <c r="E67" s="137"/>
      <c r="F67" s="85"/>
      <c r="G67" s="49"/>
      <c r="H67" s="13"/>
      <c r="I67" s="13"/>
      <c r="J67" s="13"/>
      <c r="K67" s="13"/>
      <c r="L67" s="13"/>
      <c r="M67" s="13"/>
      <c r="N67" s="13"/>
      <c r="O67" s="85"/>
      <c r="P67" s="85"/>
      <c r="Q67" s="85"/>
      <c r="R67" s="85"/>
      <c r="S67" s="85"/>
    </row>
    <row r="68" spans="1:19" x14ac:dyDescent="0.35">
      <c r="A68" s="85"/>
      <c r="B68" s="85"/>
      <c r="C68" s="85"/>
      <c r="D68" s="85"/>
      <c r="E68" s="137"/>
      <c r="F68" s="85"/>
      <c r="G68" s="85"/>
      <c r="H68" s="13"/>
      <c r="I68" s="13"/>
      <c r="J68" s="13"/>
      <c r="K68" s="13"/>
      <c r="L68" s="13"/>
      <c r="M68" s="13"/>
      <c r="N68" s="13"/>
      <c r="O68" s="85"/>
      <c r="P68" s="85"/>
      <c r="Q68" s="85"/>
      <c r="R68" s="85"/>
      <c r="S68" s="85"/>
    </row>
    <row r="69" spans="1:19" x14ac:dyDescent="0.35">
      <c r="A69" s="85"/>
      <c r="B69" s="85"/>
      <c r="C69" s="85"/>
      <c r="D69" s="85"/>
      <c r="E69" s="137" t="s">
        <v>199</v>
      </c>
      <c r="F69" s="85"/>
      <c r="G69" s="49" t="s">
        <v>77</v>
      </c>
      <c r="H69" s="13">
        <f>AVERAGE(H37,H40,H45,H49,H55)</f>
        <v>5.6300000000000052</v>
      </c>
      <c r="I69" s="13">
        <f t="shared" ref="I69:P69" si="30">AVERAGE(I37,I40,I45,I49,I55)</f>
        <v>4.6159999999999997</v>
      </c>
      <c r="J69" s="13">
        <f t="shared" si="30"/>
        <v>0.55059793669053758</v>
      </c>
      <c r="K69" s="13">
        <f t="shared" si="30"/>
        <v>0.44940206330946247</v>
      </c>
      <c r="L69" s="13">
        <f t="shared" si="30"/>
        <v>0.17877713128408251</v>
      </c>
      <c r="M69" s="13">
        <f t="shared" si="30"/>
        <v>9.801724371853697E-2</v>
      </c>
      <c r="N69" s="13">
        <f t="shared" si="30"/>
        <v>10.246000000000006</v>
      </c>
      <c r="O69" s="13">
        <f t="shared" si="30"/>
        <v>27</v>
      </c>
      <c r="P69" s="13">
        <f t="shared" si="30"/>
        <v>4.7986354463376193</v>
      </c>
      <c r="Q69" s="85"/>
      <c r="R69" s="85"/>
      <c r="S69" s="85"/>
    </row>
    <row r="70" spans="1:19" x14ac:dyDescent="0.35">
      <c r="A70" s="85"/>
      <c r="B70" s="85"/>
      <c r="C70" s="85"/>
      <c r="D70" s="85"/>
      <c r="E70" s="137"/>
      <c r="F70" s="85"/>
      <c r="G70" s="49" t="s">
        <v>94</v>
      </c>
      <c r="H70" s="13">
        <f>_xlfn.STDEV.S(H37,H40,H45,H49,H55)</f>
        <v>0.49249365478146362</v>
      </c>
      <c r="I70" s="13">
        <f t="shared" ref="I70:P70" si="31">_xlfn.STDEV.S(I37,I40,I45,I49,I55)</f>
        <v>0.69837668918715334</v>
      </c>
      <c r="J70" s="13">
        <f t="shared" si="31"/>
        <v>4.78191875443802E-2</v>
      </c>
      <c r="K70" s="13">
        <f t="shared" si="31"/>
        <v>4.7819187544380214E-2</v>
      </c>
      <c r="L70" s="13">
        <f t="shared" si="31"/>
        <v>1.657691194159969E-2</v>
      </c>
      <c r="M70" s="13">
        <f t="shared" si="31"/>
        <v>6.9751436381354009E-3</v>
      </c>
      <c r="N70" s="13">
        <f t="shared" si="31"/>
        <v>0.76933737722796913</v>
      </c>
      <c r="O70" s="13">
        <f t="shared" si="31"/>
        <v>2.5495097567963922</v>
      </c>
      <c r="P70" s="13">
        <f t="shared" si="31"/>
        <v>0.26499785296051376</v>
      </c>
      <c r="Q70" s="85"/>
      <c r="R70" s="85"/>
      <c r="S70" s="85"/>
    </row>
    <row r="71" spans="1:19" x14ac:dyDescent="0.35">
      <c r="A71" s="85"/>
      <c r="B71" s="85"/>
      <c r="C71" s="85"/>
      <c r="D71" s="85"/>
      <c r="E71" s="137"/>
      <c r="F71" s="85"/>
      <c r="G71" s="49" t="s">
        <v>95</v>
      </c>
      <c r="H71" s="13">
        <f>H70/SQRT(5)</f>
        <v>0.22024985811573339</v>
      </c>
      <c r="I71" s="13">
        <f t="shared" ref="I71:P71" si="32">I70/SQRT(5)</f>
        <v>0.31232355018474345</v>
      </c>
      <c r="J71" s="13">
        <f t="shared" si="32"/>
        <v>2.1385390795609072E-2</v>
      </c>
      <c r="K71" s="13">
        <f t="shared" si="32"/>
        <v>2.1385390795609079E-2</v>
      </c>
      <c r="L71" s="13">
        <f t="shared" si="32"/>
        <v>7.4134203916889864E-3</v>
      </c>
      <c r="M71" s="13">
        <f t="shared" si="32"/>
        <v>3.1193790655391902E-3</v>
      </c>
      <c r="N71" s="13">
        <f t="shared" si="32"/>
        <v>0.34405813462262752</v>
      </c>
      <c r="O71" s="13">
        <f t="shared" si="32"/>
        <v>1.1401754250991378</v>
      </c>
      <c r="P71" s="13">
        <f t="shared" si="32"/>
        <v>0.11851064262224052</v>
      </c>
      <c r="Q71" s="85"/>
      <c r="R71" s="85"/>
      <c r="S71" s="85"/>
    </row>
    <row r="72" spans="1:19" x14ac:dyDescent="0.35">
      <c r="A72" s="85"/>
      <c r="B72" s="85"/>
      <c r="C72" s="85"/>
      <c r="D72" s="85"/>
      <c r="E72" s="137"/>
      <c r="F72" s="85"/>
      <c r="G72" s="85"/>
      <c r="H72" s="13"/>
      <c r="I72" s="13"/>
      <c r="J72" s="13"/>
      <c r="K72" s="13"/>
      <c r="L72" s="13"/>
      <c r="M72" s="13"/>
      <c r="N72" s="13"/>
      <c r="O72" s="85"/>
      <c r="P72" s="85"/>
      <c r="Q72" s="85"/>
      <c r="R72" s="85"/>
      <c r="S72" s="85"/>
    </row>
    <row r="73" spans="1:19" x14ac:dyDescent="0.35">
      <c r="A73" s="85"/>
      <c r="B73" s="85"/>
      <c r="C73" s="85"/>
      <c r="D73" s="85"/>
      <c r="E73" s="137"/>
      <c r="F73" s="85"/>
      <c r="G73" s="85"/>
      <c r="H73" s="13"/>
      <c r="I73" s="13"/>
      <c r="J73" s="13"/>
      <c r="K73" s="13"/>
      <c r="L73" s="13"/>
      <c r="M73" s="13"/>
      <c r="N73" s="13"/>
      <c r="O73" s="85"/>
      <c r="P73" s="85"/>
      <c r="Q73" s="85"/>
      <c r="R73" s="85"/>
      <c r="S73" s="85"/>
    </row>
    <row r="74" spans="1:19" x14ac:dyDescent="0.35">
      <c r="A74" s="85"/>
      <c r="B74" s="85"/>
      <c r="C74" s="85"/>
      <c r="D74" s="85"/>
      <c r="E74" s="137" t="s">
        <v>200</v>
      </c>
      <c r="F74" s="85"/>
      <c r="G74" s="49" t="s">
        <v>77</v>
      </c>
      <c r="H74" s="13">
        <f>AVERAGE(H33:H35,H38,H41,H46,H50:H53,H56:H59)</f>
        <v>3.980714285714281</v>
      </c>
      <c r="I74" s="13">
        <f t="shared" ref="I74:P74" si="33">AVERAGE(I33:I35,I38,I41,I46,I50:I53,I56:I59)</f>
        <v>4.9507142857142883</v>
      </c>
      <c r="J74" s="13">
        <f t="shared" si="33"/>
        <v>0.43936629156944201</v>
      </c>
      <c r="K74" s="13">
        <f t="shared" si="33"/>
        <v>0.56063370843055804</v>
      </c>
      <c r="L74" s="13">
        <f t="shared" si="33"/>
        <v>0.27256349463816398</v>
      </c>
      <c r="M74" s="13">
        <f t="shared" si="33"/>
        <v>0.11359780626621986</v>
      </c>
      <c r="N74" s="13">
        <f t="shared" si="33"/>
        <v>8.9314285714285688</v>
      </c>
      <c r="O74" s="13">
        <f t="shared" si="33"/>
        <v>19.714285714285715</v>
      </c>
      <c r="P74" s="13">
        <f t="shared" si="33"/>
        <v>5.0107304999146747</v>
      </c>
      <c r="Q74" s="85"/>
      <c r="R74" s="85"/>
      <c r="S74" s="85"/>
    </row>
    <row r="75" spans="1:19" x14ac:dyDescent="0.35">
      <c r="A75" s="85"/>
      <c r="B75" s="85"/>
      <c r="C75" s="85"/>
      <c r="D75" s="85"/>
      <c r="E75" s="85"/>
      <c r="F75" s="85"/>
      <c r="G75" s="49" t="s">
        <v>94</v>
      </c>
      <c r="H75" s="85">
        <f>_xlfn.STDEV.S(H33:H35,H38,H41,H46,H50:H53,H56:H59)</f>
        <v>1.0650710650592152</v>
      </c>
      <c r="I75" s="85">
        <f t="shared" ref="I75:P75" si="34">_xlfn.STDEV.S(I33:I35,I38,I41,I46,I50:I53,I56:I59)</f>
        <v>0.51293220853193966</v>
      </c>
      <c r="J75" s="85">
        <f t="shared" si="34"/>
        <v>8.0163250645566175E-2</v>
      </c>
      <c r="K75" s="85">
        <f t="shared" si="34"/>
        <v>8.0163250645567036E-2</v>
      </c>
      <c r="L75" s="85">
        <f t="shared" si="34"/>
        <v>8.8086297775231193E-2</v>
      </c>
      <c r="M75" s="85">
        <f t="shared" si="34"/>
        <v>1.4260687266661133E-2</v>
      </c>
      <c r="N75" s="85">
        <f t="shared" si="34"/>
        <v>1.1094063356509234</v>
      </c>
      <c r="O75" s="85">
        <f t="shared" si="34"/>
        <v>4.9213595905786276</v>
      </c>
      <c r="P75" s="85">
        <f t="shared" si="34"/>
        <v>0.46596703416338636</v>
      </c>
      <c r="Q75" s="85"/>
      <c r="R75" s="85"/>
      <c r="S75" s="85"/>
    </row>
    <row r="76" spans="1:19" x14ac:dyDescent="0.35">
      <c r="A76" s="85"/>
      <c r="B76" s="85"/>
      <c r="C76" s="85"/>
      <c r="D76" s="85"/>
      <c r="E76" s="85"/>
      <c r="F76" s="85"/>
      <c r="G76" s="49" t="s">
        <v>95</v>
      </c>
      <c r="H76" s="85">
        <f>H75/SQRT(14)</f>
        <v>0.28465221557271442</v>
      </c>
      <c r="I76" s="85">
        <f t="shared" ref="I76:P76" si="35">I75/SQRT(14)</f>
        <v>0.13708689906912883</v>
      </c>
      <c r="J76" s="85">
        <f t="shared" si="35"/>
        <v>2.1424529923270971E-2</v>
      </c>
      <c r="K76" s="85">
        <f t="shared" si="35"/>
        <v>2.1424529923271204E-2</v>
      </c>
      <c r="L76" s="85">
        <f t="shared" si="35"/>
        <v>2.3542053338875914E-2</v>
      </c>
      <c r="M76" s="85">
        <f t="shared" si="35"/>
        <v>3.8113289894125511E-3</v>
      </c>
      <c r="N76" s="85">
        <f t="shared" si="35"/>
        <v>0.29650131505157773</v>
      </c>
      <c r="O76" s="85">
        <f t="shared" si="35"/>
        <v>1.3152886760756644</v>
      </c>
      <c r="P76" s="85">
        <f t="shared" si="35"/>
        <v>0.12453492824075572</v>
      </c>
      <c r="Q76" s="85"/>
      <c r="R76" s="85"/>
      <c r="S76" s="85"/>
    </row>
    <row r="77" spans="1:19" x14ac:dyDescent="0.35">
      <c r="A77" s="85"/>
      <c r="B77" s="85"/>
      <c r="C77" s="85"/>
      <c r="D77" s="85"/>
      <c r="E77" s="85"/>
      <c r="F77" s="85"/>
      <c r="G77" s="49"/>
      <c r="H77" s="85"/>
      <c r="I77" s="85"/>
      <c r="J77" s="85"/>
      <c r="K77" s="85"/>
      <c r="L77" s="85"/>
      <c r="M77" s="85"/>
      <c r="N77" s="85"/>
      <c r="O77" s="85"/>
      <c r="P77" s="85"/>
      <c r="Q77" s="85"/>
      <c r="R77" s="85"/>
      <c r="S77" s="85"/>
    </row>
    <row r="78" spans="1:19" x14ac:dyDescent="0.35">
      <c r="A78" s="85"/>
      <c r="B78" s="85"/>
      <c r="C78" s="85"/>
      <c r="D78" s="85"/>
      <c r="E78" s="85"/>
      <c r="F78" s="85"/>
      <c r="G78" s="49"/>
      <c r="H78" s="85"/>
      <c r="I78" s="85"/>
      <c r="J78" s="85"/>
      <c r="K78" s="85"/>
      <c r="L78" s="85"/>
      <c r="M78" s="85"/>
      <c r="N78" s="85"/>
      <c r="O78" s="85"/>
      <c r="P78" s="85"/>
      <c r="Q78" s="85"/>
      <c r="R78" s="85"/>
      <c r="S78" s="85"/>
    </row>
    <row r="79" spans="1:19" x14ac:dyDescent="0.35">
      <c r="A79" s="85"/>
      <c r="B79" s="85"/>
      <c r="C79" s="85"/>
      <c r="D79" s="85"/>
      <c r="E79" s="85"/>
      <c r="F79" s="85"/>
      <c r="G79" s="85"/>
      <c r="H79" s="85"/>
      <c r="I79" s="85"/>
      <c r="J79" s="85"/>
      <c r="K79" s="85"/>
      <c r="L79" s="85"/>
      <c r="M79" s="85"/>
      <c r="N79" s="85"/>
      <c r="O79" s="85"/>
      <c r="P79" s="85"/>
      <c r="Q79" s="85"/>
      <c r="R79" s="85"/>
      <c r="S79" s="85"/>
    </row>
    <row r="80" spans="1:19" ht="18.5" x14ac:dyDescent="0.45">
      <c r="A80" s="85"/>
      <c r="B80" s="13"/>
      <c r="C80" s="13"/>
      <c r="D80" s="13"/>
      <c r="E80" s="13"/>
      <c r="F80" s="149" t="s">
        <v>15</v>
      </c>
      <c r="G80" s="13"/>
      <c r="H80" s="13"/>
      <c r="I80" s="13"/>
      <c r="J80" s="13"/>
      <c r="K80" s="13"/>
      <c r="L80" s="13"/>
      <c r="M80" s="13"/>
      <c r="N80" s="13"/>
      <c r="O80" s="13"/>
      <c r="P80" s="85"/>
      <c r="Q80" s="85"/>
      <c r="R80" s="85"/>
      <c r="S80" s="85"/>
    </row>
    <row r="81" spans="1:19" ht="16" thickBot="1" x14ac:dyDescent="0.4">
      <c r="A81" s="85"/>
      <c r="B81" s="44" t="s">
        <v>18</v>
      </c>
      <c r="C81" s="44" t="s">
        <v>17</v>
      </c>
      <c r="D81" s="44" t="s">
        <v>20</v>
      </c>
      <c r="E81" s="14"/>
      <c r="F81" s="44" t="s">
        <v>1</v>
      </c>
      <c r="G81" s="44" t="s">
        <v>2</v>
      </c>
      <c r="H81" s="44" t="s">
        <v>3</v>
      </c>
      <c r="I81" s="44" t="s">
        <v>4</v>
      </c>
      <c r="J81" s="44" t="s">
        <v>5</v>
      </c>
      <c r="K81" s="44" t="s">
        <v>6</v>
      </c>
      <c r="L81" s="44" t="s">
        <v>7</v>
      </c>
      <c r="M81" s="44" t="s">
        <v>8</v>
      </c>
      <c r="N81" s="44" t="s">
        <v>9</v>
      </c>
      <c r="O81" s="44" t="s">
        <v>10</v>
      </c>
      <c r="P81" s="44" t="s">
        <v>139</v>
      </c>
      <c r="Q81" s="85"/>
      <c r="R81" s="44" t="s">
        <v>134</v>
      </c>
      <c r="S81" s="85"/>
    </row>
    <row r="82" spans="1:19" x14ac:dyDescent="0.35">
      <c r="A82" s="85"/>
      <c r="B82" s="85"/>
      <c r="C82" s="85"/>
      <c r="D82" s="85"/>
      <c r="E82" s="85"/>
      <c r="F82" s="85">
        <v>8.41</v>
      </c>
      <c r="G82" s="85">
        <v>14.05</v>
      </c>
      <c r="H82" s="13">
        <f t="shared" ref="H82:H107" si="36">G82-F82</f>
        <v>5.6400000000000006</v>
      </c>
      <c r="I82" s="13">
        <f t="shared" ref="I82:I107" si="37">F83-G82</f>
        <v>4.3599999999999994</v>
      </c>
      <c r="J82" s="13">
        <f t="shared" ref="J82:J107" si="38">H82/N82</f>
        <v>0.56400000000000006</v>
      </c>
      <c r="K82" s="13">
        <f t="shared" ref="K82:K107" si="39">I82/N82</f>
        <v>0.43599999999999994</v>
      </c>
      <c r="L82" s="13">
        <f t="shared" ref="L82:L107" si="40">1/H82</f>
        <v>0.17730496453900707</v>
      </c>
      <c r="M82" s="13">
        <f t="shared" ref="M82:M107" si="41">1/N82</f>
        <v>0.1</v>
      </c>
      <c r="N82" s="13">
        <f t="shared" ref="N82:N107" si="42">H82+I82</f>
        <v>10</v>
      </c>
      <c r="O82" s="85">
        <v>27</v>
      </c>
      <c r="P82" s="85">
        <f t="shared" ref="P82:P107" si="43">O82/H82</f>
        <v>4.787234042553191</v>
      </c>
      <c r="Q82" s="85"/>
      <c r="R82" t="s">
        <v>185</v>
      </c>
      <c r="S82" s="85"/>
    </row>
    <row r="83" spans="1:19" x14ac:dyDescent="0.35">
      <c r="A83" s="85"/>
      <c r="B83" s="85"/>
      <c r="C83" s="85"/>
      <c r="D83" s="85"/>
      <c r="E83" s="85"/>
      <c r="F83" s="85">
        <v>18.41</v>
      </c>
      <c r="G83" s="85">
        <v>24.15</v>
      </c>
      <c r="H83" s="13">
        <f t="shared" si="36"/>
        <v>5.7399999999999984</v>
      </c>
      <c r="I83" s="13">
        <f t="shared" si="37"/>
        <v>5.5800000000000018</v>
      </c>
      <c r="J83" s="13">
        <f t="shared" si="38"/>
        <v>0.50706713780918711</v>
      </c>
      <c r="K83" s="13">
        <f t="shared" si="39"/>
        <v>0.49293286219081289</v>
      </c>
      <c r="L83" s="13">
        <f t="shared" si="40"/>
        <v>0.1742160278745645</v>
      </c>
      <c r="M83" s="13">
        <f t="shared" si="41"/>
        <v>8.8339222614840993E-2</v>
      </c>
      <c r="N83" s="13">
        <f t="shared" si="42"/>
        <v>11.32</v>
      </c>
      <c r="O83" s="85">
        <v>30</v>
      </c>
      <c r="P83" s="85">
        <f t="shared" si="43"/>
        <v>5.2264808362369353</v>
      </c>
      <c r="Q83" s="85"/>
      <c r="R83" s="85"/>
      <c r="S83" s="85"/>
    </row>
    <row r="84" spans="1:19" x14ac:dyDescent="0.35">
      <c r="A84" s="85"/>
      <c r="B84" s="144">
        <v>35.33</v>
      </c>
      <c r="C84" s="144">
        <v>39.24</v>
      </c>
      <c r="D84" s="144">
        <f>C84-B84</f>
        <v>3.9100000000000037</v>
      </c>
      <c r="E84" s="144"/>
      <c r="F84" s="144">
        <v>29.73</v>
      </c>
      <c r="G84" s="144">
        <v>33.89</v>
      </c>
      <c r="H84" s="91">
        <f t="shared" si="36"/>
        <v>4.16</v>
      </c>
      <c r="I84" s="91">
        <f t="shared" si="37"/>
        <v>7.75</v>
      </c>
      <c r="J84" s="91">
        <f t="shared" si="38"/>
        <v>0.34928631402183041</v>
      </c>
      <c r="K84" s="91">
        <f t="shared" si="39"/>
        <v>0.65071368597816959</v>
      </c>
      <c r="L84" s="91">
        <f t="shared" si="40"/>
        <v>0.24038461538461536</v>
      </c>
      <c r="M84" s="91">
        <f t="shared" si="41"/>
        <v>8.3963056255247692E-2</v>
      </c>
      <c r="N84" s="91">
        <f t="shared" si="42"/>
        <v>11.91</v>
      </c>
      <c r="O84" s="144">
        <v>21</v>
      </c>
      <c r="P84" s="144">
        <f t="shared" si="43"/>
        <v>5.0480769230769225</v>
      </c>
      <c r="Q84" s="85"/>
      <c r="R84" s="85"/>
      <c r="S84" s="85"/>
    </row>
    <row r="85" spans="1:19" x14ac:dyDescent="0.35">
      <c r="A85" s="85"/>
      <c r="B85" s="144">
        <v>49.53</v>
      </c>
      <c r="C85" s="144">
        <v>53.4</v>
      </c>
      <c r="D85" s="144">
        <f>C85-B85</f>
        <v>3.8699999999999974</v>
      </c>
      <c r="E85" s="144"/>
      <c r="F85" s="144">
        <v>41.64</v>
      </c>
      <c r="G85" s="144">
        <v>46.69</v>
      </c>
      <c r="H85" s="91">
        <f t="shared" si="36"/>
        <v>5.0499999999999972</v>
      </c>
      <c r="I85" s="91">
        <f t="shared" si="37"/>
        <v>8.07</v>
      </c>
      <c r="J85" s="91">
        <f t="shared" si="38"/>
        <v>0.38490853658536572</v>
      </c>
      <c r="K85" s="91">
        <f t="shared" si="39"/>
        <v>0.61509146341463428</v>
      </c>
      <c r="L85" s="91">
        <f t="shared" si="40"/>
        <v>0.19801980198019814</v>
      </c>
      <c r="M85" s="91">
        <f t="shared" si="41"/>
        <v>7.6219512195121963E-2</v>
      </c>
      <c r="N85" s="91">
        <f t="shared" si="42"/>
        <v>13.119999999999997</v>
      </c>
      <c r="O85" s="144">
        <v>24</v>
      </c>
      <c r="P85" s="144">
        <f t="shared" si="43"/>
        <v>4.7524752475247549</v>
      </c>
      <c r="Q85" s="85"/>
      <c r="R85" s="85"/>
      <c r="S85" s="85"/>
    </row>
    <row r="86" spans="1:19" x14ac:dyDescent="0.35">
      <c r="A86" s="85"/>
      <c r="B86" s="85"/>
      <c r="C86" s="85"/>
      <c r="D86" s="85"/>
      <c r="E86" s="85"/>
      <c r="F86" s="85">
        <v>54.76</v>
      </c>
      <c r="G86" s="85">
        <v>60.65</v>
      </c>
      <c r="H86" s="13">
        <f t="shared" si="36"/>
        <v>5.8900000000000006</v>
      </c>
      <c r="I86" s="13">
        <f t="shared" si="37"/>
        <v>5.3500000000000014</v>
      </c>
      <c r="J86" s="13">
        <f t="shared" si="38"/>
        <v>0.52402135231316727</v>
      </c>
      <c r="K86" s="13">
        <f t="shared" si="39"/>
        <v>0.47597864768683279</v>
      </c>
      <c r="L86" s="13">
        <f t="shared" si="40"/>
        <v>0.1697792869269949</v>
      </c>
      <c r="M86" s="13">
        <f t="shared" si="41"/>
        <v>8.8967971530249101E-2</v>
      </c>
      <c r="N86" s="13">
        <f t="shared" si="42"/>
        <v>11.240000000000002</v>
      </c>
      <c r="O86" s="85">
        <v>26</v>
      </c>
      <c r="P86" s="85">
        <f t="shared" si="43"/>
        <v>4.4142614601018675</v>
      </c>
      <c r="Q86" s="85"/>
      <c r="R86" s="85"/>
      <c r="S86" s="85"/>
    </row>
    <row r="87" spans="1:19" x14ac:dyDescent="0.35">
      <c r="A87" s="85"/>
      <c r="B87" s="144">
        <v>71.56</v>
      </c>
      <c r="C87" s="144">
        <v>75.459999999999994</v>
      </c>
      <c r="D87" s="144">
        <f>C87-B87</f>
        <v>3.8999999999999915</v>
      </c>
      <c r="E87" s="144"/>
      <c r="F87" s="144">
        <v>66</v>
      </c>
      <c r="G87" s="144">
        <v>70.650000000000006</v>
      </c>
      <c r="H87" s="91">
        <f t="shared" si="36"/>
        <v>4.6500000000000057</v>
      </c>
      <c r="I87" s="91">
        <f t="shared" si="37"/>
        <v>6.4299999999999926</v>
      </c>
      <c r="J87" s="91">
        <f t="shared" si="38"/>
        <v>0.41967509025270816</v>
      </c>
      <c r="K87" s="91">
        <f t="shared" si="39"/>
        <v>0.58032490974729189</v>
      </c>
      <c r="L87" s="91">
        <f t="shared" si="40"/>
        <v>0.21505376344085994</v>
      </c>
      <c r="M87" s="91">
        <f t="shared" si="41"/>
        <v>9.0252707581227457E-2</v>
      </c>
      <c r="N87" s="91">
        <f t="shared" si="42"/>
        <v>11.079999999999998</v>
      </c>
      <c r="O87" s="144">
        <v>23</v>
      </c>
      <c r="P87" s="144">
        <f t="shared" si="43"/>
        <v>4.9462365591397788</v>
      </c>
      <c r="Q87" s="85"/>
      <c r="R87" s="85"/>
      <c r="S87" s="85"/>
    </row>
    <row r="88" spans="1:19" x14ac:dyDescent="0.35">
      <c r="A88" s="137"/>
      <c r="B88" s="85"/>
      <c r="C88" s="85"/>
      <c r="D88" s="85"/>
      <c r="E88" s="85"/>
      <c r="F88" s="85">
        <v>77.08</v>
      </c>
      <c r="G88" s="85">
        <v>81.95</v>
      </c>
      <c r="H88" s="13">
        <f t="shared" si="36"/>
        <v>4.8700000000000045</v>
      </c>
      <c r="I88" s="13">
        <f t="shared" si="37"/>
        <v>5.0300000000000011</v>
      </c>
      <c r="J88" s="13">
        <f t="shared" si="38"/>
        <v>0.49191919191919209</v>
      </c>
      <c r="K88" s="13">
        <f t="shared" si="39"/>
        <v>0.50808080808080791</v>
      </c>
      <c r="L88" s="13">
        <f t="shared" si="40"/>
        <v>0.20533880903490739</v>
      </c>
      <c r="M88" s="13">
        <f t="shared" si="41"/>
        <v>0.10101010101010095</v>
      </c>
      <c r="N88" s="13">
        <f t="shared" si="42"/>
        <v>9.9000000000000057</v>
      </c>
      <c r="O88" s="85">
        <v>24</v>
      </c>
      <c r="P88" s="85">
        <f t="shared" si="43"/>
        <v>4.9281314168377781</v>
      </c>
      <c r="Q88" s="85"/>
      <c r="R88" s="85"/>
      <c r="S88" s="85"/>
    </row>
    <row r="89" spans="1:19" x14ac:dyDescent="0.35">
      <c r="A89" s="85"/>
      <c r="B89" s="144">
        <v>93.47</v>
      </c>
      <c r="C89" s="144">
        <v>98.41</v>
      </c>
      <c r="D89" s="144">
        <f>C89-B89</f>
        <v>4.9399999999999977</v>
      </c>
      <c r="E89" s="144"/>
      <c r="F89" s="144">
        <v>86.98</v>
      </c>
      <c r="G89" s="144">
        <v>90.59</v>
      </c>
      <c r="H89" s="91">
        <f t="shared" si="36"/>
        <v>3.6099999999999994</v>
      </c>
      <c r="I89" s="91">
        <f t="shared" si="37"/>
        <v>8.14</v>
      </c>
      <c r="J89" s="91">
        <f t="shared" si="38"/>
        <v>0.30723404255319142</v>
      </c>
      <c r="K89" s="91">
        <f t="shared" si="39"/>
        <v>0.69276595744680858</v>
      </c>
      <c r="L89" s="91">
        <f t="shared" si="40"/>
        <v>0.2770083102493075</v>
      </c>
      <c r="M89" s="91">
        <f t="shared" si="41"/>
        <v>8.5106382978723402E-2</v>
      </c>
      <c r="N89" s="91">
        <f t="shared" si="42"/>
        <v>11.75</v>
      </c>
      <c r="O89" s="144">
        <v>20</v>
      </c>
      <c r="P89" s="144">
        <f t="shared" si="43"/>
        <v>5.5401662049861509</v>
      </c>
      <c r="Q89" s="85"/>
      <c r="R89" s="85"/>
      <c r="S89" s="85"/>
    </row>
    <row r="90" spans="1:19" x14ac:dyDescent="0.35">
      <c r="A90" s="85"/>
      <c r="B90" s="85"/>
      <c r="C90" s="85"/>
      <c r="D90" s="85"/>
      <c r="E90" s="85"/>
      <c r="F90" s="85">
        <v>98.73</v>
      </c>
      <c r="G90" s="85">
        <v>103.44</v>
      </c>
      <c r="H90" s="13">
        <f t="shared" si="36"/>
        <v>4.7099999999999937</v>
      </c>
      <c r="I90" s="13">
        <f t="shared" si="37"/>
        <v>4.9900000000000091</v>
      </c>
      <c r="J90" s="13">
        <f t="shared" si="38"/>
        <v>0.48556701030927757</v>
      </c>
      <c r="K90" s="13">
        <f t="shared" si="39"/>
        <v>0.51443298969072249</v>
      </c>
      <c r="L90" s="13">
        <f t="shared" si="40"/>
        <v>0.21231422505307884</v>
      </c>
      <c r="M90" s="13">
        <f t="shared" si="41"/>
        <v>0.10309278350515461</v>
      </c>
      <c r="N90" s="13">
        <f t="shared" si="42"/>
        <v>9.7000000000000028</v>
      </c>
      <c r="O90" s="85">
        <v>23</v>
      </c>
      <c r="P90" s="85">
        <f t="shared" si="43"/>
        <v>4.8832271762208137</v>
      </c>
      <c r="Q90" s="85"/>
      <c r="R90" s="85"/>
      <c r="S90" s="85"/>
    </row>
    <row r="91" spans="1:19" x14ac:dyDescent="0.35">
      <c r="A91" s="85"/>
      <c r="B91" s="144">
        <v>115.09</v>
      </c>
      <c r="C91" s="144">
        <v>120</v>
      </c>
      <c r="D91" s="144">
        <f>C91-B91</f>
        <v>4.9099999999999966</v>
      </c>
      <c r="E91" s="144"/>
      <c r="F91" s="144">
        <v>108.43</v>
      </c>
      <c r="G91" s="144">
        <v>113.5</v>
      </c>
      <c r="H91" s="91">
        <f t="shared" si="36"/>
        <v>5.0699999999999932</v>
      </c>
      <c r="I91" s="91">
        <f t="shared" si="37"/>
        <v>7.4599999999999937</v>
      </c>
      <c r="J91" s="91">
        <f t="shared" si="38"/>
        <v>0.40462889066241009</v>
      </c>
      <c r="K91" s="91">
        <f t="shared" si="39"/>
        <v>0.59537110933758985</v>
      </c>
      <c r="L91" s="91">
        <f t="shared" si="40"/>
        <v>0.19723865877712057</v>
      </c>
      <c r="M91" s="91">
        <f t="shared" si="41"/>
        <v>7.9808459696727937E-2</v>
      </c>
      <c r="N91" s="91">
        <f t="shared" si="42"/>
        <v>12.529999999999987</v>
      </c>
      <c r="O91" s="144">
        <v>25</v>
      </c>
      <c r="P91" s="144">
        <f t="shared" si="43"/>
        <v>4.9309664694280144</v>
      </c>
      <c r="Q91" s="85"/>
      <c r="R91" s="85"/>
      <c r="S91" s="85"/>
    </row>
    <row r="92" spans="1:19" x14ac:dyDescent="0.35">
      <c r="A92" s="85"/>
      <c r="B92" s="85"/>
      <c r="C92" s="85"/>
      <c r="D92" s="85"/>
      <c r="E92" s="85"/>
      <c r="F92" s="85">
        <f>120+0.96</f>
        <v>120.96</v>
      </c>
      <c r="G92" s="85">
        <f>120+5.7</f>
        <v>125.7</v>
      </c>
      <c r="H92" s="13">
        <f t="shared" si="36"/>
        <v>4.7400000000000091</v>
      </c>
      <c r="I92" s="13">
        <f t="shared" si="37"/>
        <v>6.4899999999999949</v>
      </c>
      <c r="J92" s="13">
        <f t="shared" si="38"/>
        <v>0.42208370436331322</v>
      </c>
      <c r="K92" s="13">
        <f t="shared" si="39"/>
        <v>0.57791629563668678</v>
      </c>
      <c r="L92" s="13">
        <f t="shared" si="40"/>
        <v>0.21097046413502069</v>
      </c>
      <c r="M92" s="13">
        <f t="shared" si="41"/>
        <v>8.9047195013357047E-2</v>
      </c>
      <c r="N92" s="13">
        <f t="shared" si="42"/>
        <v>11.230000000000004</v>
      </c>
      <c r="O92" s="85">
        <v>24</v>
      </c>
      <c r="P92" s="85">
        <f t="shared" si="43"/>
        <v>5.0632911392404969</v>
      </c>
      <c r="Q92" s="85"/>
      <c r="R92" t="s">
        <v>186</v>
      </c>
      <c r="S92" s="85"/>
    </row>
    <row r="93" spans="1:19" x14ac:dyDescent="0.35">
      <c r="A93" s="85"/>
      <c r="B93" s="144">
        <v>18.489999999999998</v>
      </c>
      <c r="C93" s="144">
        <v>23.35</v>
      </c>
      <c r="D93" s="144">
        <f>C93-B93</f>
        <v>4.860000000000003</v>
      </c>
      <c r="E93" s="144"/>
      <c r="F93" s="144">
        <f>120+12.19</f>
        <v>132.19</v>
      </c>
      <c r="G93" s="144">
        <f>120+16.71</f>
        <v>136.71</v>
      </c>
      <c r="H93" s="91">
        <f t="shared" si="36"/>
        <v>4.5200000000000102</v>
      </c>
      <c r="I93" s="91">
        <f t="shared" si="37"/>
        <v>8.5499999999999829</v>
      </c>
      <c r="J93" s="91">
        <f t="shared" si="38"/>
        <v>0.34583014537107976</v>
      </c>
      <c r="K93" s="91">
        <f t="shared" si="39"/>
        <v>0.65416985462892019</v>
      </c>
      <c r="L93" s="91">
        <f t="shared" si="40"/>
        <v>0.22123893805309686</v>
      </c>
      <c r="M93" s="91">
        <f t="shared" si="41"/>
        <v>7.6511094108645789E-2</v>
      </c>
      <c r="N93" s="91">
        <f t="shared" si="42"/>
        <v>13.069999999999993</v>
      </c>
      <c r="O93" s="144">
        <v>22</v>
      </c>
      <c r="P93" s="144">
        <f t="shared" si="43"/>
        <v>4.867256637168131</v>
      </c>
      <c r="Q93" s="85"/>
      <c r="R93" s="85"/>
      <c r="S93" s="85"/>
    </row>
    <row r="94" spans="1:19" x14ac:dyDescent="0.35">
      <c r="A94" s="85"/>
      <c r="B94" s="85"/>
      <c r="C94" s="85"/>
      <c r="D94" s="85"/>
      <c r="E94" s="85"/>
      <c r="F94" s="85">
        <f>120+25.26</f>
        <v>145.26</v>
      </c>
      <c r="G94" s="85">
        <f>120+29.8</f>
        <v>149.80000000000001</v>
      </c>
      <c r="H94" s="13">
        <f t="shared" si="36"/>
        <v>4.5400000000000205</v>
      </c>
      <c r="I94" s="13">
        <f t="shared" si="37"/>
        <v>5.2999999999999829</v>
      </c>
      <c r="J94" s="13">
        <f t="shared" si="38"/>
        <v>0.46138211382114014</v>
      </c>
      <c r="K94" s="13">
        <f t="shared" si="39"/>
        <v>0.53861788617885986</v>
      </c>
      <c r="L94" s="13">
        <f t="shared" si="40"/>
        <v>0.22026431718061576</v>
      </c>
      <c r="M94" s="13">
        <f t="shared" si="41"/>
        <v>0.10162601626016257</v>
      </c>
      <c r="N94" s="13">
        <f t="shared" si="42"/>
        <v>9.8400000000000034</v>
      </c>
      <c r="O94" s="85">
        <v>22</v>
      </c>
      <c r="P94" s="85">
        <f t="shared" si="43"/>
        <v>4.8458149779735464</v>
      </c>
      <c r="Q94" s="85"/>
      <c r="R94" s="85"/>
      <c r="S94" s="85"/>
    </row>
    <row r="95" spans="1:19" x14ac:dyDescent="0.35">
      <c r="A95" s="85"/>
      <c r="B95" s="144">
        <v>40.86</v>
      </c>
      <c r="C95" s="144">
        <v>45.73</v>
      </c>
      <c r="D95" s="144">
        <f>C95-B95</f>
        <v>4.8699999999999974</v>
      </c>
      <c r="E95" s="144"/>
      <c r="F95" s="144">
        <f>120+35.1</f>
        <v>155.1</v>
      </c>
      <c r="G95" s="144">
        <f>120+39.98</f>
        <v>159.97999999999999</v>
      </c>
      <c r="H95" s="91">
        <f t="shared" si="36"/>
        <v>4.8799999999999955</v>
      </c>
      <c r="I95" s="91">
        <f t="shared" si="37"/>
        <v>7.8400000000000034</v>
      </c>
      <c r="J95" s="91">
        <f t="shared" si="38"/>
        <v>0.38364779874213806</v>
      </c>
      <c r="K95" s="91">
        <f t="shared" si="39"/>
        <v>0.61635220125786194</v>
      </c>
      <c r="L95" s="91">
        <f t="shared" si="40"/>
        <v>0.20491803278688545</v>
      </c>
      <c r="M95" s="91">
        <f t="shared" si="41"/>
        <v>7.8616352201257872E-2</v>
      </c>
      <c r="N95" s="91">
        <f t="shared" si="42"/>
        <v>12.719999999999999</v>
      </c>
      <c r="O95" s="144">
        <v>23</v>
      </c>
      <c r="P95" s="144">
        <f t="shared" si="43"/>
        <v>4.7131147540983651</v>
      </c>
      <c r="Q95" s="85"/>
      <c r="R95" s="85"/>
      <c r="S95" s="85"/>
    </row>
    <row r="96" spans="1:19" x14ac:dyDescent="0.35">
      <c r="A96" s="85"/>
      <c r="B96" s="85"/>
      <c r="C96" s="85"/>
      <c r="D96" s="85"/>
      <c r="E96" s="85"/>
      <c r="F96" s="85">
        <f>120+47.82</f>
        <v>167.82</v>
      </c>
      <c r="G96" s="85">
        <f>120+53.26</f>
        <v>173.26</v>
      </c>
      <c r="H96" s="13">
        <f t="shared" si="36"/>
        <v>5.4399999999999977</v>
      </c>
      <c r="I96" s="13">
        <f t="shared" si="37"/>
        <v>5.4900000000000091</v>
      </c>
      <c r="J96" s="13">
        <f t="shared" si="38"/>
        <v>0.49771271729185673</v>
      </c>
      <c r="K96" s="13">
        <f t="shared" si="39"/>
        <v>0.50228728270814327</v>
      </c>
      <c r="L96" s="13">
        <f t="shared" si="40"/>
        <v>0.18382352941176477</v>
      </c>
      <c r="M96" s="13">
        <f t="shared" si="41"/>
        <v>9.1491308325708995E-2</v>
      </c>
      <c r="N96" s="13">
        <f t="shared" si="42"/>
        <v>10.930000000000007</v>
      </c>
      <c r="O96" s="85">
        <v>22</v>
      </c>
      <c r="P96" s="85">
        <f t="shared" si="43"/>
        <v>4.0441176470588251</v>
      </c>
      <c r="Q96" s="85"/>
      <c r="R96" s="85"/>
      <c r="S96" s="85"/>
    </row>
    <row r="97" spans="1:19" x14ac:dyDescent="0.35">
      <c r="A97" s="85"/>
      <c r="B97" s="144">
        <v>63.29</v>
      </c>
      <c r="C97" s="144">
        <v>68.2</v>
      </c>
      <c r="D97" s="144">
        <f>C97-B97</f>
        <v>4.9100000000000037</v>
      </c>
      <c r="E97" s="144"/>
      <c r="F97" s="144">
        <f>120+58.75</f>
        <v>178.75</v>
      </c>
      <c r="G97" s="144">
        <f>120+62.03</f>
        <v>182.03</v>
      </c>
      <c r="H97" s="91">
        <f t="shared" si="36"/>
        <v>3.2800000000000011</v>
      </c>
      <c r="I97" s="91">
        <f t="shared" si="37"/>
        <v>8.1099999999999852</v>
      </c>
      <c r="J97" s="91">
        <f t="shared" si="38"/>
        <v>0.28797190517998289</v>
      </c>
      <c r="K97" s="91">
        <f t="shared" si="39"/>
        <v>0.71202809482001717</v>
      </c>
      <c r="L97" s="91">
        <f t="shared" si="40"/>
        <v>0.30487804878048769</v>
      </c>
      <c r="M97" s="91">
        <f t="shared" si="41"/>
        <v>8.7796312554872802E-2</v>
      </c>
      <c r="N97" s="91">
        <f t="shared" si="42"/>
        <v>11.389999999999986</v>
      </c>
      <c r="O97" s="144">
        <v>16</v>
      </c>
      <c r="P97" s="144">
        <f t="shared" si="43"/>
        <v>4.878048780487803</v>
      </c>
      <c r="Q97" s="85"/>
      <c r="R97" s="85"/>
      <c r="S97" s="85"/>
    </row>
    <row r="98" spans="1:19" x14ac:dyDescent="0.35">
      <c r="A98" s="85"/>
      <c r="B98" s="85"/>
      <c r="C98" s="85"/>
      <c r="D98" s="85"/>
      <c r="E98" s="85"/>
      <c r="F98" s="85">
        <f>120+70.14</f>
        <v>190.14</v>
      </c>
      <c r="G98" s="85">
        <f>120+74.24</f>
        <v>194.24</v>
      </c>
      <c r="H98" s="13">
        <f t="shared" si="36"/>
        <v>4.1000000000000227</v>
      </c>
      <c r="I98" s="13">
        <f t="shared" si="37"/>
        <v>4.339999999999975</v>
      </c>
      <c r="J98" s="13">
        <f t="shared" si="38"/>
        <v>0.48578199052132987</v>
      </c>
      <c r="K98" s="13">
        <f t="shared" si="39"/>
        <v>0.51421800947867013</v>
      </c>
      <c r="L98" s="13">
        <f t="shared" si="40"/>
        <v>0.24390243902438888</v>
      </c>
      <c r="M98" s="13">
        <f t="shared" si="41"/>
        <v>0.11848341232227491</v>
      </c>
      <c r="N98" s="13">
        <f t="shared" si="42"/>
        <v>8.4399999999999977</v>
      </c>
      <c r="O98" s="85">
        <v>20</v>
      </c>
      <c r="P98" s="85">
        <f t="shared" si="43"/>
        <v>4.8780487804877781</v>
      </c>
      <c r="Q98" s="85"/>
      <c r="R98" s="85"/>
      <c r="S98" s="85"/>
    </row>
    <row r="99" spans="1:19" x14ac:dyDescent="0.35">
      <c r="A99" s="85"/>
      <c r="B99" s="144">
        <v>85.08</v>
      </c>
      <c r="C99" s="144">
        <v>89.96</v>
      </c>
      <c r="D99" s="144">
        <f>C99-B99</f>
        <v>4.8799999999999955</v>
      </c>
      <c r="E99" s="144"/>
      <c r="F99" s="144">
        <f>120+78.58</f>
        <v>198.57999999999998</v>
      </c>
      <c r="G99" s="144">
        <f>120+83.48</f>
        <v>203.48000000000002</v>
      </c>
      <c r="H99" s="91">
        <f t="shared" si="36"/>
        <v>4.9000000000000341</v>
      </c>
      <c r="I99" s="91">
        <f t="shared" si="37"/>
        <v>7.8199999999999932</v>
      </c>
      <c r="J99" s="91">
        <f t="shared" si="38"/>
        <v>0.38522012578616538</v>
      </c>
      <c r="K99" s="91">
        <f t="shared" si="39"/>
        <v>0.61477987421383462</v>
      </c>
      <c r="L99" s="91">
        <f t="shared" si="40"/>
        <v>0.20408163265305981</v>
      </c>
      <c r="M99" s="91">
        <f t="shared" si="41"/>
        <v>7.8616352201257692E-2</v>
      </c>
      <c r="N99" s="91">
        <f t="shared" si="42"/>
        <v>12.720000000000027</v>
      </c>
      <c r="O99" s="144">
        <v>27</v>
      </c>
      <c r="P99" s="144">
        <f t="shared" si="43"/>
        <v>5.5102040816326143</v>
      </c>
      <c r="Q99" s="85"/>
      <c r="R99" s="85"/>
      <c r="S99" s="85"/>
    </row>
    <row r="100" spans="1:19" x14ac:dyDescent="0.35">
      <c r="A100" s="85"/>
      <c r="B100" s="85"/>
      <c r="C100" s="85"/>
      <c r="D100" s="85"/>
      <c r="E100" s="85"/>
      <c r="F100" s="85">
        <f>120+91.3</f>
        <v>211.3</v>
      </c>
      <c r="G100" s="85">
        <f>120+97.14</f>
        <v>217.14</v>
      </c>
      <c r="H100" s="13">
        <f t="shared" si="36"/>
        <v>5.839999999999975</v>
      </c>
      <c r="I100" s="13">
        <f t="shared" si="37"/>
        <v>5.2000000000000171</v>
      </c>
      <c r="J100" s="13">
        <f t="shared" si="38"/>
        <v>0.52898550724637494</v>
      </c>
      <c r="K100" s="13">
        <f t="shared" si="39"/>
        <v>0.47101449275362506</v>
      </c>
      <c r="L100" s="13">
        <f t="shared" si="40"/>
        <v>0.17123287671232951</v>
      </c>
      <c r="M100" s="13">
        <f t="shared" si="41"/>
        <v>9.0579710144927605E-2</v>
      </c>
      <c r="N100" s="13">
        <f t="shared" si="42"/>
        <v>11.039999999999992</v>
      </c>
      <c r="O100" s="85">
        <v>32</v>
      </c>
      <c r="P100" s="85">
        <f t="shared" si="43"/>
        <v>5.4794520547945442</v>
      </c>
      <c r="Q100" s="85"/>
      <c r="R100" s="85"/>
      <c r="S100" s="85"/>
    </row>
    <row r="101" spans="1:19" x14ac:dyDescent="0.35">
      <c r="A101" s="85"/>
      <c r="B101" s="144">
        <v>109.78</v>
      </c>
      <c r="C101" s="144">
        <v>114.65</v>
      </c>
      <c r="D101" s="144">
        <f>C101-B101</f>
        <v>4.8700000000000045</v>
      </c>
      <c r="E101" s="144"/>
      <c r="F101" s="144">
        <f>120+102.34</f>
        <v>222.34</v>
      </c>
      <c r="G101" s="144">
        <f>120+108.42</f>
        <v>228.42000000000002</v>
      </c>
      <c r="H101" s="91">
        <f t="shared" si="36"/>
        <v>6.0800000000000125</v>
      </c>
      <c r="I101" s="91">
        <f t="shared" si="37"/>
        <v>6.3199999999999932</v>
      </c>
      <c r="J101" s="91">
        <f t="shared" si="38"/>
        <v>0.4903225806451621</v>
      </c>
      <c r="K101" s="91">
        <f t="shared" si="39"/>
        <v>0.5096774193548379</v>
      </c>
      <c r="L101" s="91">
        <f t="shared" si="40"/>
        <v>0.16447368421052597</v>
      </c>
      <c r="M101" s="91">
        <f t="shared" si="41"/>
        <v>8.0645161290322537E-2</v>
      </c>
      <c r="N101" s="91">
        <f t="shared" si="42"/>
        <v>12.400000000000006</v>
      </c>
      <c r="O101" s="144">
        <v>36</v>
      </c>
      <c r="P101" s="144">
        <f t="shared" si="43"/>
        <v>5.9210526315789354</v>
      </c>
      <c r="Q101" s="85"/>
      <c r="R101" s="85"/>
      <c r="S101" s="85"/>
    </row>
    <row r="102" spans="1:19" x14ac:dyDescent="0.35">
      <c r="A102" s="85"/>
      <c r="B102" s="85"/>
      <c r="C102" s="85"/>
      <c r="D102" s="85"/>
      <c r="E102" s="85"/>
      <c r="F102" s="85">
        <f>120+114.74</f>
        <v>234.74</v>
      </c>
      <c r="G102" s="85">
        <f>120+120.01</f>
        <v>240.01</v>
      </c>
      <c r="H102" s="13">
        <f t="shared" si="36"/>
        <v>5.2699999999999818</v>
      </c>
      <c r="I102" s="13">
        <f t="shared" si="37"/>
        <v>4.1800000000000068</v>
      </c>
      <c r="J102" s="13">
        <f t="shared" si="38"/>
        <v>0.55767195767195643</v>
      </c>
      <c r="K102" s="13">
        <f t="shared" si="39"/>
        <v>0.44232804232804357</v>
      </c>
      <c r="L102" s="13">
        <f t="shared" si="40"/>
        <v>0.1897533206831126</v>
      </c>
      <c r="M102" s="13">
        <f t="shared" si="41"/>
        <v>0.10582010582010595</v>
      </c>
      <c r="N102" s="13">
        <f t="shared" si="42"/>
        <v>9.4499999999999886</v>
      </c>
      <c r="O102" s="85">
        <v>30</v>
      </c>
      <c r="P102" s="85">
        <f t="shared" si="43"/>
        <v>5.692599620493378</v>
      </c>
      <c r="Q102" s="85"/>
      <c r="R102" t="s">
        <v>187</v>
      </c>
      <c r="S102" s="85"/>
    </row>
    <row r="103" spans="1:19" x14ac:dyDescent="0.35">
      <c r="A103" s="85"/>
      <c r="B103" s="144">
        <v>10.23</v>
      </c>
      <c r="C103" s="144">
        <v>15.12</v>
      </c>
      <c r="D103" s="144">
        <f>C103-B103</f>
        <v>4.8899999999999988</v>
      </c>
      <c r="E103" s="144"/>
      <c r="F103" s="144">
        <f>240+4.19</f>
        <v>244.19</v>
      </c>
      <c r="G103" s="144">
        <f>240+8.59</f>
        <v>248.59</v>
      </c>
      <c r="H103" s="91">
        <f t="shared" si="36"/>
        <v>4.4000000000000057</v>
      </c>
      <c r="I103" s="91">
        <f t="shared" si="37"/>
        <v>8.2800000000000011</v>
      </c>
      <c r="J103" s="91">
        <f t="shared" si="38"/>
        <v>0.34700315457413278</v>
      </c>
      <c r="K103" s="91">
        <f t="shared" si="39"/>
        <v>0.65299684542586722</v>
      </c>
      <c r="L103" s="91">
        <f t="shared" si="40"/>
        <v>0.22727272727272699</v>
      </c>
      <c r="M103" s="91">
        <f t="shared" si="41"/>
        <v>7.8864353312302793E-2</v>
      </c>
      <c r="N103" s="91">
        <f t="shared" si="42"/>
        <v>12.680000000000007</v>
      </c>
      <c r="O103" s="144">
        <v>25</v>
      </c>
      <c r="P103" s="144">
        <f t="shared" si="43"/>
        <v>5.6818181818181746</v>
      </c>
      <c r="Q103" s="85"/>
      <c r="R103" s="85"/>
      <c r="S103" s="85"/>
    </row>
    <row r="104" spans="1:19" x14ac:dyDescent="0.35">
      <c r="A104" s="85"/>
      <c r="B104" s="85"/>
      <c r="C104" s="85"/>
      <c r="D104" s="85"/>
      <c r="E104" s="85"/>
      <c r="F104" s="85">
        <f>240+16.87</f>
        <v>256.87</v>
      </c>
      <c r="G104" s="85">
        <f>240+22.85</f>
        <v>262.85000000000002</v>
      </c>
      <c r="H104" s="13">
        <f t="shared" si="36"/>
        <v>5.9800000000000182</v>
      </c>
      <c r="I104" s="13">
        <f t="shared" si="37"/>
        <v>5.3100000000000023</v>
      </c>
      <c r="J104" s="13">
        <f t="shared" si="38"/>
        <v>0.52967227635075353</v>
      </c>
      <c r="K104" s="13">
        <f t="shared" si="39"/>
        <v>0.47032772364924647</v>
      </c>
      <c r="L104" s="13">
        <f t="shared" si="40"/>
        <v>0.16722408026755803</v>
      </c>
      <c r="M104" s="13">
        <f t="shared" si="41"/>
        <v>8.8573959255978579E-2</v>
      </c>
      <c r="N104" s="13">
        <f t="shared" si="42"/>
        <v>11.29000000000002</v>
      </c>
      <c r="O104" s="85">
        <v>35</v>
      </c>
      <c r="P104" s="85">
        <f t="shared" si="43"/>
        <v>5.8528428093645308</v>
      </c>
      <c r="Q104" s="85"/>
      <c r="R104" s="85"/>
      <c r="S104" s="85"/>
    </row>
    <row r="105" spans="1:19" x14ac:dyDescent="0.35">
      <c r="A105" s="85"/>
      <c r="B105" s="85"/>
      <c r="C105" s="85"/>
      <c r="D105" s="85"/>
      <c r="E105" s="85"/>
      <c r="F105" s="85">
        <f>240+28.16</f>
        <v>268.16000000000003</v>
      </c>
      <c r="G105" s="85">
        <f>240+34.38</f>
        <v>274.38</v>
      </c>
      <c r="H105" s="13">
        <f t="shared" si="36"/>
        <v>6.2199999999999704</v>
      </c>
      <c r="I105" s="13">
        <f t="shared" si="37"/>
        <v>4.8299999999999841</v>
      </c>
      <c r="J105" s="13">
        <f t="shared" si="38"/>
        <v>0.56289592760180962</v>
      </c>
      <c r="K105" s="13">
        <f t="shared" si="39"/>
        <v>0.43710407239819038</v>
      </c>
      <c r="L105" s="13">
        <f t="shared" si="40"/>
        <v>0.16077170418006506</v>
      </c>
      <c r="M105" s="13">
        <f t="shared" si="41"/>
        <v>9.0497737556561458E-2</v>
      </c>
      <c r="N105" s="13">
        <f t="shared" si="42"/>
        <v>11.049999999999955</v>
      </c>
      <c r="O105" s="85">
        <v>37</v>
      </c>
      <c r="P105" s="85">
        <f t="shared" si="43"/>
        <v>5.9485530546624075</v>
      </c>
      <c r="Q105" s="85"/>
      <c r="R105" s="85"/>
      <c r="S105" s="85"/>
    </row>
    <row r="106" spans="1:19" x14ac:dyDescent="0.35">
      <c r="A106" s="85"/>
      <c r="B106" s="85"/>
      <c r="C106" s="85"/>
      <c r="D106" s="85"/>
      <c r="E106" s="85"/>
      <c r="F106" s="85">
        <f>240+39.21</f>
        <v>279.20999999999998</v>
      </c>
      <c r="G106" s="85">
        <f>240+43.77</f>
        <v>283.77</v>
      </c>
      <c r="H106" s="13">
        <f t="shared" si="36"/>
        <v>4.5600000000000023</v>
      </c>
      <c r="I106" s="13">
        <f t="shared" si="37"/>
        <v>5.2800000000000296</v>
      </c>
      <c r="J106" s="13">
        <f t="shared" si="38"/>
        <v>0.46341463414634021</v>
      </c>
      <c r="K106" s="13">
        <f t="shared" si="39"/>
        <v>0.53658536585365979</v>
      </c>
      <c r="L106" s="13">
        <f t="shared" si="40"/>
        <v>0.21929824561403496</v>
      </c>
      <c r="M106" s="13">
        <f t="shared" si="41"/>
        <v>0.10162601626016227</v>
      </c>
      <c r="N106" s="13">
        <f t="shared" si="42"/>
        <v>9.8400000000000318</v>
      </c>
      <c r="O106" s="85">
        <v>28</v>
      </c>
      <c r="P106" s="85">
        <f t="shared" si="43"/>
        <v>6.1403508771929793</v>
      </c>
      <c r="Q106" s="85"/>
      <c r="R106" s="85"/>
      <c r="S106" s="85"/>
    </row>
    <row r="107" spans="1:19" x14ac:dyDescent="0.35">
      <c r="A107" s="85"/>
      <c r="B107" s="85"/>
      <c r="C107" s="85"/>
      <c r="D107" s="85"/>
      <c r="E107" s="85"/>
      <c r="F107" s="85">
        <f>240+49.05</f>
        <v>289.05</v>
      </c>
      <c r="G107" s="85">
        <f>240+54.04</f>
        <v>294.04000000000002</v>
      </c>
      <c r="H107" s="13">
        <f t="shared" si="36"/>
        <v>4.9900000000000091</v>
      </c>
      <c r="I107" s="13">
        <f t="shared" si="37"/>
        <v>3.7199999999999704</v>
      </c>
      <c r="J107" s="13">
        <f t="shared" si="38"/>
        <v>0.57290470723306786</v>
      </c>
      <c r="K107" s="13">
        <f t="shared" si="39"/>
        <v>0.42709529276693214</v>
      </c>
      <c r="L107" s="13">
        <f t="shared" si="40"/>
        <v>0.20040080160320606</v>
      </c>
      <c r="M107" s="13">
        <f t="shared" si="41"/>
        <v>0.11481056257175687</v>
      </c>
      <c r="N107" s="13">
        <f t="shared" si="42"/>
        <v>8.7099999999999795</v>
      </c>
      <c r="O107" s="85">
        <v>29</v>
      </c>
      <c r="P107" s="85">
        <f t="shared" si="43"/>
        <v>5.8116232464929753</v>
      </c>
      <c r="Q107" s="85"/>
      <c r="R107" s="85"/>
      <c r="S107" s="85"/>
    </row>
    <row r="108" spans="1:19" x14ac:dyDescent="0.35">
      <c r="A108" s="85"/>
      <c r="B108" s="85"/>
      <c r="C108" s="85"/>
      <c r="D108" s="85"/>
      <c r="E108" s="85"/>
      <c r="F108" s="85">
        <f>240+57.76</f>
        <v>297.76</v>
      </c>
      <c r="G108" s="85"/>
      <c r="H108" s="13"/>
      <c r="I108" s="13"/>
      <c r="J108" s="13"/>
      <c r="K108" s="13"/>
      <c r="L108" s="13"/>
      <c r="M108" s="13"/>
      <c r="N108" s="13"/>
      <c r="O108" s="85"/>
      <c r="P108" s="85"/>
      <c r="Q108" s="85"/>
      <c r="R108" s="85"/>
      <c r="S108" s="85"/>
    </row>
    <row r="109" spans="1:19" x14ac:dyDescent="0.35">
      <c r="A109" s="85"/>
      <c r="B109" s="85"/>
      <c r="C109" s="85"/>
      <c r="D109" s="85"/>
      <c r="E109" s="85"/>
      <c r="F109" s="85"/>
      <c r="G109" s="85"/>
      <c r="H109" s="13"/>
      <c r="I109" s="13"/>
      <c r="J109" s="13"/>
      <c r="K109" s="13"/>
      <c r="L109" s="13"/>
      <c r="M109" s="13"/>
      <c r="N109" s="13"/>
      <c r="O109" s="85"/>
      <c r="P109" s="85"/>
      <c r="Q109" s="85"/>
      <c r="R109" s="85"/>
      <c r="S109" s="85"/>
    </row>
    <row r="110" spans="1:19" ht="16" thickBot="1" x14ac:dyDescent="0.4">
      <c r="A110" s="85"/>
      <c r="B110" s="85"/>
      <c r="C110" s="85"/>
      <c r="D110" s="85"/>
      <c r="E110" s="85"/>
      <c r="F110" s="85"/>
      <c r="G110" s="85"/>
      <c r="H110" s="9" t="s">
        <v>3</v>
      </c>
      <c r="I110" s="9" t="s">
        <v>4</v>
      </c>
      <c r="J110" s="9" t="s">
        <v>5</v>
      </c>
      <c r="K110" s="9" t="s">
        <v>6</v>
      </c>
      <c r="L110" s="9" t="s">
        <v>7</v>
      </c>
      <c r="M110" s="9" t="s">
        <v>8</v>
      </c>
      <c r="N110" s="9" t="s">
        <v>9</v>
      </c>
      <c r="O110" s="9" t="s">
        <v>10</v>
      </c>
      <c r="P110" s="44" t="s">
        <v>139</v>
      </c>
      <c r="Q110" s="85"/>
      <c r="R110" s="85"/>
      <c r="S110" s="85"/>
    </row>
    <row r="111" spans="1:19" x14ac:dyDescent="0.35">
      <c r="A111" s="85"/>
      <c r="B111" s="85"/>
      <c r="C111" s="85"/>
      <c r="D111" s="85"/>
      <c r="E111" s="137" t="s">
        <v>198</v>
      </c>
      <c r="F111" s="85"/>
      <c r="G111" s="49" t="s">
        <v>77</v>
      </c>
      <c r="H111" s="13">
        <f>AVERAGE(H84:H85,H87,H89,H91,H93,H95,H97,H99,H101,H103)</f>
        <v>4.600000000000005</v>
      </c>
      <c r="I111" s="13">
        <f t="shared" ref="I111:P111" si="44">AVERAGE(I84:I85,I87,I89,I91,I93,I95,I97,I99,I101,I103)</f>
        <v>7.7063636363636325</v>
      </c>
      <c r="J111" s="13">
        <f t="shared" si="44"/>
        <v>0.37324805312492426</v>
      </c>
      <c r="K111" s="13">
        <f t="shared" si="44"/>
        <v>0.62675194687507563</v>
      </c>
      <c r="L111" s="13">
        <f t="shared" si="44"/>
        <v>0.22314256487171677</v>
      </c>
      <c r="M111" s="13">
        <f t="shared" si="44"/>
        <v>8.1490885852337089E-2</v>
      </c>
      <c r="N111" s="13">
        <f t="shared" si="44"/>
        <v>12.306363636363637</v>
      </c>
      <c r="O111" s="13">
        <f t="shared" si="44"/>
        <v>23.818181818181817</v>
      </c>
      <c r="P111" s="13">
        <f t="shared" si="44"/>
        <v>5.1626742246308766</v>
      </c>
      <c r="Q111" s="85"/>
      <c r="R111" s="85"/>
      <c r="S111" s="85"/>
    </row>
    <row r="112" spans="1:19" x14ac:dyDescent="0.35">
      <c r="A112" s="85"/>
      <c r="B112" s="85"/>
      <c r="C112" s="85"/>
      <c r="D112" s="85"/>
      <c r="E112" s="137"/>
      <c r="F112" s="85"/>
      <c r="G112" s="49" t="s">
        <v>94</v>
      </c>
      <c r="H112" s="85">
        <f>_xlfn.STDEV.S(H84:H85,H87,H89,H91,H93,H95,H97,H99,H101,H103)</f>
        <v>0.75810289539086173</v>
      </c>
      <c r="I112" s="85">
        <f t="shared" ref="I112:P112" si="45">_xlfn.STDEV.S(I84:I85,I87,I89,I91,I93,I95,I97,I99,I101,I103)</f>
        <v>0.71891964401138375</v>
      </c>
      <c r="J112" s="85">
        <f t="shared" si="45"/>
        <v>5.5568602779647765E-2</v>
      </c>
      <c r="K112" s="85">
        <f t="shared" si="45"/>
        <v>5.5568602779647473E-2</v>
      </c>
      <c r="L112" s="85">
        <f t="shared" si="45"/>
        <v>3.9249538515679659E-2</v>
      </c>
      <c r="M112" s="85">
        <f t="shared" si="45"/>
        <v>4.6396922994576314E-3</v>
      </c>
      <c r="N112" s="85">
        <f t="shared" si="45"/>
        <v>0.67794207314892185</v>
      </c>
      <c r="O112" s="85">
        <f t="shared" si="45"/>
        <v>4.9963623130870323</v>
      </c>
      <c r="P112" s="85">
        <f t="shared" si="45"/>
        <v>0.41955236316072908</v>
      </c>
      <c r="Q112" s="85"/>
      <c r="R112" s="85"/>
      <c r="S112" s="85"/>
    </row>
    <row r="113" spans="1:19" x14ac:dyDescent="0.35">
      <c r="A113" s="85"/>
      <c r="B113" s="85"/>
      <c r="C113" s="85"/>
      <c r="D113" s="85"/>
      <c r="E113" s="137"/>
      <c r="F113" s="85"/>
      <c r="G113" s="49" t="s">
        <v>95</v>
      </c>
      <c r="H113" s="85">
        <f>H112/SQRT(11)</f>
        <v>0.2285766233175944</v>
      </c>
      <c r="I113" s="85">
        <f t="shared" ref="I113:P113" si="46">I112/SQRT(11)</f>
        <v>0.21676242850923949</v>
      </c>
      <c r="J113" s="85">
        <f t="shared" si="46"/>
        <v>1.6754564140399251E-2</v>
      </c>
      <c r="K113" s="85">
        <f t="shared" si="46"/>
        <v>1.6754564140399164E-2</v>
      </c>
      <c r="L113" s="85">
        <f t="shared" si="46"/>
        <v>1.1834181131919294E-2</v>
      </c>
      <c r="M113" s="85">
        <f t="shared" si="46"/>
        <v>1.3989198636365663E-3</v>
      </c>
      <c r="N113" s="85">
        <f t="shared" si="46"/>
        <v>0.204407226020968</v>
      </c>
      <c r="O113" s="85">
        <f t="shared" si="46"/>
        <v>1.5064599190165362</v>
      </c>
      <c r="P113" s="85">
        <f t="shared" si="46"/>
        <v>0.12649979713736961</v>
      </c>
      <c r="Q113" s="85"/>
      <c r="R113" s="85"/>
      <c r="S113" s="85"/>
    </row>
    <row r="114" spans="1:19" x14ac:dyDescent="0.35">
      <c r="E114" s="137"/>
      <c r="F114" s="85"/>
      <c r="G114" s="49"/>
    </row>
    <row r="115" spans="1:19" x14ac:dyDescent="0.35">
      <c r="E115" s="137"/>
      <c r="F115" s="85"/>
      <c r="G115" s="85"/>
    </row>
    <row r="116" spans="1:19" x14ac:dyDescent="0.35">
      <c r="E116" s="137" t="s">
        <v>199</v>
      </c>
      <c r="F116" s="85"/>
      <c r="G116" s="49" t="s">
        <v>77</v>
      </c>
      <c r="H116">
        <f>AVERAGE(H86,H88,H90,H92,H94,H96,H98,H100,H102,H104)</f>
        <v>5.1380000000000026</v>
      </c>
      <c r="I116">
        <f t="shared" ref="I116:P116" si="47">AVERAGE(I86,I88,I90,I92,I94,I96,I98,I100,I102,I104)</f>
        <v>5.1680000000000001</v>
      </c>
      <c r="J116">
        <f t="shared" si="47"/>
        <v>0.49847978218083622</v>
      </c>
      <c r="K116">
        <f t="shared" si="47"/>
        <v>0.50152021781916378</v>
      </c>
      <c r="L116">
        <f t="shared" si="47"/>
        <v>0.19746033484297712</v>
      </c>
      <c r="M116">
        <f t="shared" si="47"/>
        <v>9.7869256318802028E-2</v>
      </c>
      <c r="N116">
        <f t="shared" si="47"/>
        <v>10.306000000000003</v>
      </c>
      <c r="O116">
        <f t="shared" si="47"/>
        <v>25.8</v>
      </c>
      <c r="P116">
        <f t="shared" si="47"/>
        <v>5.0081787082573559</v>
      </c>
    </row>
    <row r="117" spans="1:19" x14ac:dyDescent="0.35">
      <c r="E117" s="137"/>
      <c r="F117" s="85"/>
      <c r="G117" s="49" t="s">
        <v>94</v>
      </c>
      <c r="H117">
        <f>_xlfn.STDEV.S(H86,H88,H90,H92,H94,H96,H98,H100,H102,H104)</f>
        <v>0.64328669951878403</v>
      </c>
      <c r="I117">
        <f t="shared" ref="I117:P117" si="48">_xlfn.STDEV.S(I86,I88,I90,I92,I94,I96,I98,I100,I102,I104)</f>
        <v>0.63557148387188089</v>
      </c>
      <c r="J117">
        <f t="shared" si="48"/>
        <v>3.8935641235388806E-2</v>
      </c>
      <c r="K117">
        <f t="shared" si="48"/>
        <v>3.8935641235388799E-2</v>
      </c>
      <c r="L117">
        <f t="shared" si="48"/>
        <v>2.5289071528159658E-2</v>
      </c>
      <c r="M117">
        <f t="shared" si="48"/>
        <v>9.8697219959726235E-3</v>
      </c>
      <c r="N117">
        <f t="shared" si="48"/>
        <v>0.97675426228345485</v>
      </c>
      <c r="O117">
        <f t="shared" si="48"/>
        <v>4.9170903772228778</v>
      </c>
      <c r="P117">
        <f t="shared" si="48"/>
        <v>0.5532221812678908</v>
      </c>
    </row>
    <row r="118" spans="1:19" x14ac:dyDescent="0.35">
      <c r="E118" s="137"/>
      <c r="F118" s="85"/>
      <c r="G118" s="49" t="s">
        <v>95</v>
      </c>
      <c r="H118">
        <f>H117/SQRT(10)</f>
        <v>0.20342511589716997</v>
      </c>
      <c r="I118">
        <f t="shared" ref="I118:P118" si="49">I117/SQRT(10)</f>
        <v>0.20098535048881161</v>
      </c>
      <c r="J118">
        <f t="shared" si="49"/>
        <v>1.2312530846300077E-2</v>
      </c>
      <c r="K118">
        <f t="shared" si="49"/>
        <v>1.2312530846300076E-2</v>
      </c>
      <c r="L118">
        <f t="shared" si="49"/>
        <v>7.9971065939899496E-3</v>
      </c>
      <c r="M118">
        <f t="shared" si="49"/>
        <v>3.1210801379936695E-3</v>
      </c>
      <c r="N118">
        <f t="shared" si="49"/>
        <v>0.30887681830932151</v>
      </c>
      <c r="O118">
        <f t="shared" si="49"/>
        <v>1.5549205052920814</v>
      </c>
      <c r="P118">
        <f t="shared" si="49"/>
        <v>0.17494421449330727</v>
      </c>
    </row>
    <row r="119" spans="1:19" x14ac:dyDescent="0.35">
      <c r="E119" s="137"/>
      <c r="F119" s="85"/>
      <c r="G119" s="85"/>
    </row>
    <row r="120" spans="1:19" x14ac:dyDescent="0.35">
      <c r="E120" s="137"/>
      <c r="F120" s="85"/>
      <c r="G120" s="85"/>
    </row>
    <row r="121" spans="1:19" x14ac:dyDescent="0.35">
      <c r="E121" s="137" t="s">
        <v>200</v>
      </c>
      <c r="F121" s="85"/>
      <c r="G121" s="49" t="s">
        <v>77</v>
      </c>
      <c r="H121">
        <f>AVERAGE(H82:H83,H105:H107)</f>
        <v>5.4299999999999962</v>
      </c>
      <c r="I121">
        <f t="shared" ref="I121:P121" si="50">AVERAGE(I82:I83,I105:I107)</f>
        <v>4.7539999999999969</v>
      </c>
      <c r="J121">
        <f t="shared" si="50"/>
        <v>0.53405648135808093</v>
      </c>
      <c r="K121">
        <f t="shared" si="50"/>
        <v>0.46594351864191907</v>
      </c>
      <c r="L121">
        <f t="shared" si="50"/>
        <v>0.18639834876217554</v>
      </c>
      <c r="M121">
        <f t="shared" si="50"/>
        <v>9.9054707800664318E-2</v>
      </c>
      <c r="N121">
        <f t="shared" si="50"/>
        <v>10.183999999999994</v>
      </c>
      <c r="O121">
        <f t="shared" si="50"/>
        <v>30.2</v>
      </c>
      <c r="P121">
        <f t="shared" si="50"/>
        <v>5.5828484114276975</v>
      </c>
    </row>
    <row r="122" spans="1:19" x14ac:dyDescent="0.35">
      <c r="E122" s="85"/>
      <c r="F122" s="85"/>
      <c r="G122" s="49" t="s">
        <v>94</v>
      </c>
      <c r="H122">
        <f>_xlfn.STDEV.S(H82:H83,H105:H107)</f>
        <v>0.65475186139482255</v>
      </c>
      <c r="I122">
        <f t="shared" ref="I122:P122" si="51">_xlfn.STDEV.S(I82:I83,I105:I107)</f>
        <v>0.73978375218710068</v>
      </c>
      <c r="J122">
        <f t="shared" si="51"/>
        <v>4.7318621769407591E-2</v>
      </c>
      <c r="K122">
        <f t="shared" si="51"/>
        <v>4.7318621769407591E-2</v>
      </c>
      <c r="L122">
        <f t="shared" si="51"/>
        <v>2.3271739244225768E-2</v>
      </c>
      <c r="M122">
        <f t="shared" si="51"/>
        <v>1.0533227504305499E-2</v>
      </c>
      <c r="N122">
        <f t="shared" si="51"/>
        <v>1.0446674111888385</v>
      </c>
      <c r="O122">
        <f t="shared" si="51"/>
        <v>3.9623225512317957</v>
      </c>
      <c r="P122">
        <f t="shared" si="51"/>
        <v>0.56055483299670683</v>
      </c>
    </row>
    <row r="123" spans="1:19" x14ac:dyDescent="0.35">
      <c r="E123" s="85"/>
      <c r="F123" s="85"/>
      <c r="G123" s="49" t="s">
        <v>95</v>
      </c>
      <c r="H123">
        <f>H122/SQRT(5)</f>
        <v>0.29281393409466866</v>
      </c>
      <c r="I123">
        <f t="shared" ref="I123:P123" si="52">I122/SQRT(5)</f>
        <v>0.33084135170804313</v>
      </c>
      <c r="J123">
        <f t="shared" si="52"/>
        <v>2.1161530975599349E-2</v>
      </c>
      <c r="K123">
        <f t="shared" si="52"/>
        <v>2.1161530975599349E-2</v>
      </c>
      <c r="L123">
        <f t="shared" si="52"/>
        <v>1.0407438180947678E-2</v>
      </c>
      <c r="M123">
        <f t="shared" si="52"/>
        <v>4.7106025444195107E-3</v>
      </c>
      <c r="N123">
        <f t="shared" si="52"/>
        <v>0.46718946905939346</v>
      </c>
      <c r="O123">
        <f t="shared" si="52"/>
        <v>1.7720045146669376</v>
      </c>
      <c r="P123">
        <f t="shared" si="52"/>
        <v>0.25068774233933572</v>
      </c>
    </row>
    <row r="124" spans="1:19" x14ac:dyDescent="0.35">
      <c r="E124" s="85"/>
      <c r="F124" s="85"/>
      <c r="G124" s="49"/>
    </row>
  </sheetData>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V238"/>
  <sheetViews>
    <sheetView workbookViewId="0">
      <selection activeCell="C99" sqref="C99"/>
    </sheetView>
  </sheetViews>
  <sheetFormatPr defaultRowHeight="14.5" x14ac:dyDescent="0.35"/>
  <cols>
    <col min="2" max="2" width="10.54296875" customWidth="1"/>
    <col min="3" max="3" width="10.26953125" customWidth="1"/>
    <col min="13" max="13" width="10.54296875" customWidth="1"/>
  </cols>
  <sheetData>
    <row r="4" spans="1:19" ht="18.5" x14ac:dyDescent="0.45">
      <c r="B4" s="2"/>
      <c r="C4" s="1" t="s">
        <v>305</v>
      </c>
      <c r="D4" s="2"/>
      <c r="E4" s="2"/>
      <c r="F4" s="2"/>
      <c r="G4" s="2"/>
      <c r="H4" s="2"/>
      <c r="I4" s="2"/>
      <c r="J4" s="2"/>
      <c r="K4" s="2"/>
      <c r="L4" s="2"/>
      <c r="M4" s="2"/>
      <c r="N4" s="2"/>
      <c r="O4" s="2"/>
    </row>
    <row r="5" spans="1:19" ht="18.5" x14ac:dyDescent="0.45">
      <c r="B5" s="2"/>
      <c r="C5" s="2"/>
      <c r="D5" s="2"/>
      <c r="E5" s="2"/>
      <c r="F5" s="1" t="s">
        <v>299</v>
      </c>
      <c r="G5" s="3"/>
      <c r="H5" s="3"/>
      <c r="I5" s="3"/>
      <c r="J5" s="3"/>
      <c r="K5" s="3"/>
      <c r="L5" s="3"/>
      <c r="M5" s="3"/>
      <c r="N5" s="3"/>
      <c r="O5" s="3"/>
    </row>
    <row r="6" spans="1:19" ht="16" thickBot="1" x14ac:dyDescent="0.4">
      <c r="A6" s="157"/>
      <c r="B6" s="170" t="s">
        <v>308</v>
      </c>
      <c r="C6" s="4"/>
      <c r="D6" s="4"/>
      <c r="E6" s="4"/>
      <c r="F6" s="9" t="s">
        <v>1</v>
      </c>
      <c r="G6" s="9" t="s">
        <v>2</v>
      </c>
      <c r="H6" s="9" t="s">
        <v>3</v>
      </c>
      <c r="I6" s="9" t="s">
        <v>4</v>
      </c>
      <c r="J6" s="9" t="s">
        <v>5</v>
      </c>
      <c r="K6" s="9" t="s">
        <v>6</v>
      </c>
      <c r="L6" s="9" t="s">
        <v>7</v>
      </c>
      <c r="M6" s="9" t="s">
        <v>8</v>
      </c>
      <c r="N6" s="9" t="s">
        <v>9</v>
      </c>
      <c r="O6" s="9" t="s">
        <v>10</v>
      </c>
      <c r="P6" s="44" t="s">
        <v>139</v>
      </c>
      <c r="R6" s="44" t="s">
        <v>138</v>
      </c>
      <c r="S6" s="14"/>
    </row>
    <row r="7" spans="1:19" x14ac:dyDescent="0.35">
      <c r="A7" s="144"/>
      <c r="B7" s="6" t="s">
        <v>309</v>
      </c>
      <c r="C7" s="2"/>
      <c r="D7" s="2"/>
      <c r="E7" s="2"/>
      <c r="F7" s="2">
        <v>69.499520000000004</v>
      </c>
      <c r="G7" s="2">
        <v>75.419690000000003</v>
      </c>
      <c r="H7" s="2">
        <f>G7-F7</f>
        <v>5.9201699999999988</v>
      </c>
      <c r="I7" s="2">
        <f>F8-G7</f>
        <v>6.4607900000000029</v>
      </c>
      <c r="J7" s="2">
        <f>H7/N7</f>
        <v>0.47816728266628744</v>
      </c>
      <c r="K7" s="2">
        <f>I7/N7</f>
        <v>0.52183271733371261</v>
      </c>
      <c r="L7" s="2">
        <f>1/H7</f>
        <v>0.16891406834601036</v>
      </c>
      <c r="M7" s="2">
        <f>1/N7</f>
        <v>8.0769181065119336E-2</v>
      </c>
      <c r="N7" s="2">
        <f>H7+I7</f>
        <v>12.380960000000002</v>
      </c>
      <c r="O7" s="2">
        <v>34</v>
      </c>
      <c r="P7">
        <f>O7/H7</f>
        <v>5.7430783237643528</v>
      </c>
      <c r="R7" t="s">
        <v>306</v>
      </c>
    </row>
    <row r="8" spans="1:19" x14ac:dyDescent="0.35">
      <c r="B8" s="2"/>
      <c r="C8" s="2"/>
      <c r="D8" s="2"/>
      <c r="E8" s="2"/>
      <c r="F8" s="2">
        <v>81.880480000000006</v>
      </c>
      <c r="G8" s="2">
        <v>90.018990000000002</v>
      </c>
      <c r="H8" s="2">
        <f t="shared" ref="H8:H30" si="0">G8-F8</f>
        <v>8.1385099999999966</v>
      </c>
      <c r="I8" s="2">
        <f t="shared" ref="I8:I30" si="1">F9-G8</f>
        <v>6.1559400000000011</v>
      </c>
      <c r="J8" s="2">
        <f t="shared" ref="J8:J30" si="2">H8/N8</f>
        <v>0.56934754397685805</v>
      </c>
      <c r="K8" s="2">
        <f t="shared" ref="K8:K30" si="3">I8/N8</f>
        <v>0.43065245602314201</v>
      </c>
      <c r="L8" s="2">
        <f t="shared" ref="L8:L30" si="4">1/H8</f>
        <v>0.12287261427460314</v>
      </c>
      <c r="M8" s="2">
        <f t="shared" ref="M8:M30" si="5">1/N8</f>
        <v>6.9957221159261118E-2</v>
      </c>
      <c r="N8" s="2">
        <f t="shared" ref="N8:N30" si="6">H8+I8</f>
        <v>14.294449999999998</v>
      </c>
      <c r="O8" s="2">
        <v>46</v>
      </c>
      <c r="P8">
        <f t="shared" ref="P8:P71" si="7">O8/H8</f>
        <v>5.6521402566317445</v>
      </c>
    </row>
    <row r="9" spans="1:19" x14ac:dyDescent="0.35">
      <c r="B9" s="2"/>
      <c r="C9" s="2"/>
      <c r="D9" s="2"/>
      <c r="E9" s="2"/>
      <c r="F9" s="2">
        <v>96.174930000000003</v>
      </c>
      <c r="G9" s="2">
        <v>106.79233000000001</v>
      </c>
      <c r="H9" s="2">
        <f t="shared" si="0"/>
        <v>10.617400000000004</v>
      </c>
      <c r="I9" s="2">
        <f t="shared" si="1"/>
        <v>4.8850199999999973</v>
      </c>
      <c r="J9" s="2">
        <f t="shared" si="2"/>
        <v>0.68488661770226866</v>
      </c>
      <c r="K9" s="2">
        <f t="shared" si="3"/>
        <v>0.31511338229773139</v>
      </c>
      <c r="L9" s="2">
        <f t="shared" si="4"/>
        <v>9.4185017047488051E-2</v>
      </c>
      <c r="M9" s="2">
        <f t="shared" si="5"/>
        <v>6.45060577638846E-2</v>
      </c>
      <c r="N9" s="2">
        <f t="shared" si="6"/>
        <v>15.502420000000001</v>
      </c>
      <c r="O9" s="2">
        <v>61</v>
      </c>
      <c r="P9">
        <f t="shared" si="7"/>
        <v>5.7452860398967713</v>
      </c>
    </row>
    <row r="10" spans="1:19" ht="16" thickBot="1" x14ac:dyDescent="0.4">
      <c r="B10" s="44" t="s">
        <v>18</v>
      </c>
      <c r="C10" s="44" t="s">
        <v>17</v>
      </c>
      <c r="D10" s="44" t="s">
        <v>20</v>
      </c>
      <c r="E10" s="2"/>
      <c r="F10" s="2">
        <v>111.67735</v>
      </c>
      <c r="G10" s="2">
        <v>118.27348000000001</v>
      </c>
      <c r="H10" s="2">
        <f t="shared" si="0"/>
        <v>6.5961300000000023</v>
      </c>
      <c r="I10" s="2">
        <f t="shared" si="1"/>
        <v>10.734160000000003</v>
      </c>
      <c r="J10" s="2">
        <f t="shared" si="2"/>
        <v>0.38061278836072565</v>
      </c>
      <c r="K10" s="2">
        <f t="shared" si="3"/>
        <v>0.61938721163927435</v>
      </c>
      <c r="L10" s="2">
        <f t="shared" si="4"/>
        <v>0.15160404661521221</v>
      </c>
      <c r="M10" s="2">
        <f t="shared" si="5"/>
        <v>5.7702438908985347E-2</v>
      </c>
      <c r="N10" s="2">
        <f t="shared" si="6"/>
        <v>17.330290000000005</v>
      </c>
      <c r="O10" s="2">
        <v>44</v>
      </c>
      <c r="P10">
        <f t="shared" si="7"/>
        <v>6.6705780510693371</v>
      </c>
    </row>
    <row r="11" spans="1:19" x14ac:dyDescent="0.35">
      <c r="B11" s="2"/>
      <c r="C11" s="2"/>
      <c r="D11" s="2"/>
      <c r="E11" s="2"/>
      <c r="F11" s="2">
        <v>129.00764000000001</v>
      </c>
      <c r="G11" s="2">
        <v>141.01506000000001</v>
      </c>
      <c r="H11" s="2">
        <f t="shared" si="0"/>
        <v>12.007419999999996</v>
      </c>
      <c r="I11" s="2">
        <f t="shared" si="1"/>
        <v>5.199860000000001</v>
      </c>
      <c r="J11" s="2">
        <f t="shared" si="2"/>
        <v>0.69781046161857063</v>
      </c>
      <c r="K11" s="2">
        <f t="shared" si="3"/>
        <v>0.30218953838142937</v>
      </c>
      <c r="L11" s="2">
        <f t="shared" si="4"/>
        <v>8.3281837397209416E-2</v>
      </c>
      <c r="M11" s="2">
        <f t="shared" si="5"/>
        <v>5.8114937398589445E-2</v>
      </c>
      <c r="N11" s="2">
        <f t="shared" si="6"/>
        <v>17.207279999999997</v>
      </c>
      <c r="O11" s="2">
        <v>72</v>
      </c>
      <c r="P11">
        <f t="shared" si="7"/>
        <v>5.9962922925990778</v>
      </c>
      <c r="R11" t="s">
        <v>307</v>
      </c>
    </row>
    <row r="12" spans="1:19" x14ac:dyDescent="0.35">
      <c r="B12" s="132">
        <v>147.26722000000001</v>
      </c>
      <c r="C12" s="132">
        <v>150.10058000000001</v>
      </c>
      <c r="D12" s="132">
        <f>C12-B12</f>
        <v>2.833359999999999</v>
      </c>
      <c r="E12" s="132"/>
      <c r="F12" s="132">
        <v>146.21492000000001</v>
      </c>
      <c r="G12" s="132">
        <v>147.85864000000001</v>
      </c>
      <c r="H12" s="132">
        <f t="shared" si="0"/>
        <v>1.6437200000000018</v>
      </c>
      <c r="I12" s="132">
        <f t="shared" si="1"/>
        <v>6.9548599999999965</v>
      </c>
      <c r="J12" s="132">
        <f t="shared" si="2"/>
        <v>0.19116179648267531</v>
      </c>
      <c r="K12" s="132">
        <f t="shared" si="3"/>
        <v>0.80883820351732472</v>
      </c>
      <c r="L12" s="132">
        <f t="shared" si="4"/>
        <v>0.60837612245394523</v>
      </c>
      <c r="M12" s="132">
        <f t="shared" si="5"/>
        <v>0.11629827250546022</v>
      </c>
      <c r="N12" s="132">
        <f t="shared" si="6"/>
        <v>8.5985799999999983</v>
      </c>
      <c r="O12" s="132">
        <v>14</v>
      </c>
      <c r="P12">
        <f t="shared" si="7"/>
        <v>8.5172657143552328</v>
      </c>
    </row>
    <row r="13" spans="1:19" x14ac:dyDescent="0.35">
      <c r="B13" s="2"/>
      <c r="C13" s="2"/>
      <c r="D13" s="2"/>
      <c r="E13" s="2"/>
      <c r="F13" s="2">
        <v>154.8135</v>
      </c>
      <c r="G13" s="2">
        <v>166.13711000000001</v>
      </c>
      <c r="H13" s="2">
        <f t="shared" si="0"/>
        <v>11.323610000000002</v>
      </c>
      <c r="I13" s="2">
        <f t="shared" si="1"/>
        <v>5.1973099999999874</v>
      </c>
      <c r="J13" s="2">
        <f t="shared" si="2"/>
        <v>0.68541037666183291</v>
      </c>
      <c r="K13" s="2">
        <f t="shared" si="3"/>
        <v>0.31458962333816703</v>
      </c>
      <c r="L13" s="2">
        <f t="shared" si="4"/>
        <v>8.8311059812197681E-2</v>
      </c>
      <c r="M13" s="2">
        <f t="shared" si="5"/>
        <v>6.0529316769284074E-2</v>
      </c>
      <c r="N13" s="2">
        <f t="shared" si="6"/>
        <v>16.52091999999999</v>
      </c>
      <c r="O13" s="2">
        <v>74</v>
      </c>
      <c r="P13">
        <f t="shared" si="7"/>
        <v>6.5350184261026287</v>
      </c>
    </row>
    <row r="14" spans="1:19" x14ac:dyDescent="0.35">
      <c r="B14" s="2"/>
      <c r="C14" s="2"/>
      <c r="D14" s="2"/>
      <c r="E14" s="2"/>
      <c r="F14" s="2">
        <v>171.33441999999999</v>
      </c>
      <c r="G14" s="2">
        <v>178.70625999999999</v>
      </c>
      <c r="H14" s="2">
        <f t="shared" si="0"/>
        <v>7.3718399999999917</v>
      </c>
      <c r="I14" s="2">
        <f t="shared" si="1"/>
        <v>6.3804800000000341</v>
      </c>
      <c r="J14" s="2">
        <f t="shared" si="2"/>
        <v>0.53604337304541905</v>
      </c>
      <c r="K14" s="2">
        <f t="shared" si="3"/>
        <v>0.4639566269545809</v>
      </c>
      <c r="L14" s="2">
        <f t="shared" si="4"/>
        <v>0.13565134349090607</v>
      </c>
      <c r="M14" s="2">
        <f t="shared" si="5"/>
        <v>7.2715003723008056E-2</v>
      </c>
      <c r="N14" s="2">
        <f t="shared" si="6"/>
        <v>13.752320000000026</v>
      </c>
      <c r="O14" s="2">
        <v>56</v>
      </c>
      <c r="P14">
        <f t="shared" si="7"/>
        <v>7.5964752354907406</v>
      </c>
    </row>
    <row r="15" spans="1:19" x14ac:dyDescent="0.35">
      <c r="B15" s="132">
        <v>186.24322000000001</v>
      </c>
      <c r="C15" s="132">
        <v>189.07658000000001</v>
      </c>
      <c r="D15" s="132">
        <f>C15-B15</f>
        <v>2.833359999999999</v>
      </c>
      <c r="E15" s="132"/>
      <c r="F15" s="132">
        <v>185.08674000000002</v>
      </c>
      <c r="G15" s="132">
        <v>186.72045</v>
      </c>
      <c r="H15" s="132">
        <f t="shared" si="0"/>
        <v>1.6337099999999793</v>
      </c>
      <c r="I15" s="132">
        <f t="shared" si="1"/>
        <v>6.3945899999999938</v>
      </c>
      <c r="J15" s="132">
        <f t="shared" si="2"/>
        <v>0.20349389036283955</v>
      </c>
      <c r="K15" s="132">
        <f t="shared" si="3"/>
        <v>0.7965061096371604</v>
      </c>
      <c r="L15" s="132">
        <f t="shared" si="4"/>
        <v>0.61210373934175133</v>
      </c>
      <c r="M15" s="132">
        <f t="shared" si="5"/>
        <v>0.12455937122429447</v>
      </c>
      <c r="N15" s="132">
        <f t="shared" si="6"/>
        <v>8.0282999999999731</v>
      </c>
      <c r="O15" s="132">
        <v>16</v>
      </c>
      <c r="P15">
        <f t="shared" si="7"/>
        <v>9.7936598294680213</v>
      </c>
    </row>
    <row r="16" spans="1:19" x14ac:dyDescent="0.35">
      <c r="B16" s="132">
        <v>196.29128</v>
      </c>
      <c r="C16" s="132">
        <v>199.12463</v>
      </c>
      <c r="D16" s="132">
        <f>C16-B16</f>
        <v>2.8333499999999958</v>
      </c>
      <c r="E16" s="132"/>
      <c r="F16" s="132">
        <v>193.11503999999999</v>
      </c>
      <c r="G16" s="132">
        <v>197.06103999999999</v>
      </c>
      <c r="H16" s="132">
        <f t="shared" si="0"/>
        <v>3.945999999999998</v>
      </c>
      <c r="I16" s="132">
        <f t="shared" si="1"/>
        <v>6.4498399999999947</v>
      </c>
      <c r="J16" s="132">
        <f t="shared" si="2"/>
        <v>0.37957490688583134</v>
      </c>
      <c r="K16" s="132">
        <f t="shared" si="3"/>
        <v>0.62042509311416871</v>
      </c>
      <c r="L16" s="132">
        <f t="shared" si="4"/>
        <v>0.25342118601115066</v>
      </c>
      <c r="M16" s="132">
        <f t="shared" si="5"/>
        <v>9.6192323083079456E-2</v>
      </c>
      <c r="N16" s="132">
        <f t="shared" si="6"/>
        <v>10.395839999999993</v>
      </c>
      <c r="O16" s="132">
        <v>37</v>
      </c>
      <c r="P16">
        <f t="shared" si="7"/>
        <v>9.3765838824125751</v>
      </c>
    </row>
    <row r="17" spans="1:18" x14ac:dyDescent="0.35">
      <c r="B17" s="132">
        <v>205.05925000000002</v>
      </c>
      <c r="C17" s="132">
        <v>207.89260999999999</v>
      </c>
      <c r="D17" s="132">
        <f>C17-B17</f>
        <v>2.8333599999999706</v>
      </c>
      <c r="E17" s="132"/>
      <c r="F17" s="132">
        <v>203.51087999999999</v>
      </c>
      <c r="G17" s="132">
        <v>206.13319999999999</v>
      </c>
      <c r="H17" s="132">
        <f t="shared" si="0"/>
        <v>2.622320000000002</v>
      </c>
      <c r="I17" s="132">
        <f t="shared" si="1"/>
        <v>4.9426200000000051</v>
      </c>
      <c r="J17" s="132">
        <f t="shared" si="2"/>
        <v>0.3466412159250436</v>
      </c>
      <c r="K17" s="132">
        <f t="shared" si="3"/>
        <v>0.6533587840749564</v>
      </c>
      <c r="L17" s="132">
        <f t="shared" si="4"/>
        <v>0.3813417126818997</v>
      </c>
      <c r="M17" s="132">
        <f t="shared" si="5"/>
        <v>0.13218875496699234</v>
      </c>
      <c r="N17" s="132">
        <f t="shared" si="6"/>
        <v>7.5649400000000071</v>
      </c>
      <c r="O17" s="132">
        <v>18</v>
      </c>
      <c r="P17">
        <f t="shared" si="7"/>
        <v>6.8641508282741945</v>
      </c>
    </row>
    <row r="18" spans="1:18" x14ac:dyDescent="0.35">
      <c r="B18" s="2"/>
      <c r="C18" s="2"/>
      <c r="D18" s="2"/>
      <c r="E18" s="2"/>
      <c r="F18" s="2">
        <v>211.07581999999999</v>
      </c>
      <c r="G18" s="2">
        <v>220.17122999999998</v>
      </c>
      <c r="H18" s="2">
        <f t="shared" si="0"/>
        <v>9.0954099999999869</v>
      </c>
      <c r="I18" s="2">
        <f t="shared" si="1"/>
        <v>4.9930000000000234</v>
      </c>
      <c r="J18" s="2">
        <f t="shared" si="2"/>
        <v>0.64559520911160173</v>
      </c>
      <c r="K18" s="2">
        <f t="shared" si="3"/>
        <v>0.35440479088839832</v>
      </c>
      <c r="L18" s="2">
        <f t="shared" si="4"/>
        <v>0.10994556595029817</v>
      </c>
      <c r="M18" s="2">
        <f t="shared" si="5"/>
        <v>7.0980330640576142E-2</v>
      </c>
      <c r="N18" s="2">
        <f t="shared" si="6"/>
        <v>14.08841000000001</v>
      </c>
      <c r="O18" s="2">
        <v>63</v>
      </c>
      <c r="P18">
        <f t="shared" si="7"/>
        <v>6.9265706548687849</v>
      </c>
    </row>
    <row r="19" spans="1:18" x14ac:dyDescent="0.35">
      <c r="B19" s="2"/>
      <c r="C19" s="2"/>
      <c r="D19" s="2"/>
      <c r="E19" s="2"/>
      <c r="F19" s="2">
        <v>225.16423</v>
      </c>
      <c r="G19" s="2">
        <v>236.41714999999999</v>
      </c>
      <c r="H19" s="2">
        <f t="shared" si="0"/>
        <v>11.252919999999989</v>
      </c>
      <c r="I19" s="2">
        <f t="shared" si="1"/>
        <v>4.4710800000000006</v>
      </c>
      <c r="J19" s="2">
        <f t="shared" si="2"/>
        <v>0.71565250572373418</v>
      </c>
      <c r="K19" s="2">
        <f t="shared" si="3"/>
        <v>0.28434749427626582</v>
      </c>
      <c r="L19" s="2">
        <f t="shared" si="4"/>
        <v>8.8865823270760036E-2</v>
      </c>
      <c r="M19" s="2">
        <f t="shared" si="5"/>
        <v>6.3597049096921945E-2</v>
      </c>
      <c r="N19" s="2">
        <f t="shared" si="6"/>
        <v>15.72399999999999</v>
      </c>
      <c r="O19" s="2">
        <v>75</v>
      </c>
      <c r="P19">
        <f t="shared" si="7"/>
        <v>6.6649367453070028</v>
      </c>
    </row>
    <row r="20" spans="1:18" x14ac:dyDescent="0.35">
      <c r="B20" s="2"/>
      <c r="C20" s="2"/>
      <c r="D20" s="2"/>
      <c r="E20" s="2"/>
      <c r="F20" s="2">
        <v>240.88822999999999</v>
      </c>
      <c r="G20" s="2">
        <v>246.76179999999999</v>
      </c>
      <c r="H20" s="2">
        <f t="shared" si="0"/>
        <v>5.8735700000000008</v>
      </c>
      <c r="I20" s="2">
        <f t="shared" si="1"/>
        <v>5.6937700000000007</v>
      </c>
      <c r="J20" s="2">
        <f t="shared" si="2"/>
        <v>0.50777188186739564</v>
      </c>
      <c r="K20" s="2">
        <f t="shared" si="3"/>
        <v>0.49222811813260436</v>
      </c>
      <c r="L20" s="2">
        <f t="shared" si="4"/>
        <v>0.17025420655580845</v>
      </c>
      <c r="M20" s="2">
        <f t="shared" si="5"/>
        <v>8.6450298858683147E-2</v>
      </c>
      <c r="N20" s="2">
        <f t="shared" si="6"/>
        <v>11.567340000000002</v>
      </c>
      <c r="O20" s="2">
        <v>47</v>
      </c>
      <c r="P20">
        <f t="shared" si="7"/>
        <v>8.0019477081229979</v>
      </c>
      <c r="R20" t="s">
        <v>310</v>
      </c>
    </row>
    <row r="21" spans="1:18" x14ac:dyDescent="0.35">
      <c r="B21" s="132">
        <v>253.49583999999999</v>
      </c>
      <c r="C21" s="132">
        <v>256.32919000000004</v>
      </c>
      <c r="D21" s="132">
        <f>C21-B21</f>
        <v>2.8333500000000527</v>
      </c>
      <c r="E21" s="132"/>
      <c r="F21" s="132">
        <v>252.45556999999999</v>
      </c>
      <c r="G21" s="132">
        <v>254.05873</v>
      </c>
      <c r="H21" s="132">
        <f t="shared" si="0"/>
        <v>1.6031600000000026</v>
      </c>
      <c r="I21" s="132">
        <f t="shared" si="1"/>
        <v>6.8300700000000063</v>
      </c>
      <c r="J21" s="132">
        <f t="shared" si="2"/>
        <v>0.19010035300827807</v>
      </c>
      <c r="K21" s="132">
        <f t="shared" si="3"/>
        <v>0.8098996469917219</v>
      </c>
      <c r="L21" s="132">
        <f t="shared" si="4"/>
        <v>0.62376805808528057</v>
      </c>
      <c r="M21" s="132">
        <f t="shared" si="5"/>
        <v>0.11857852803729994</v>
      </c>
      <c r="N21" s="132">
        <f t="shared" si="6"/>
        <v>8.4332300000000089</v>
      </c>
      <c r="O21" s="132">
        <v>16</v>
      </c>
      <c r="P21">
        <f t="shared" si="7"/>
        <v>9.9802889293644892</v>
      </c>
    </row>
    <row r="22" spans="1:18" x14ac:dyDescent="0.35">
      <c r="A22" s="85"/>
      <c r="B22" s="13"/>
      <c r="C22" s="13"/>
      <c r="D22" s="13"/>
      <c r="E22" s="13"/>
      <c r="F22" s="13">
        <v>260.8888</v>
      </c>
      <c r="G22" s="13">
        <v>266.73275000000001</v>
      </c>
      <c r="H22" s="13">
        <f t="shared" si="0"/>
        <v>5.8439500000000066</v>
      </c>
      <c r="I22" s="13">
        <f t="shared" si="1"/>
        <v>6.0432999999999879</v>
      </c>
      <c r="J22" s="13">
        <f t="shared" si="2"/>
        <v>0.49161496561441959</v>
      </c>
      <c r="K22" s="13">
        <f t="shared" si="3"/>
        <v>0.50838503438558036</v>
      </c>
      <c r="L22" s="13">
        <f t="shared" si="4"/>
        <v>0.17111713823697994</v>
      </c>
      <c r="M22" s="13">
        <f t="shared" si="5"/>
        <v>8.412374603041077E-2</v>
      </c>
      <c r="N22" s="13">
        <f t="shared" si="6"/>
        <v>11.887249999999995</v>
      </c>
      <c r="O22" s="13">
        <v>48</v>
      </c>
      <c r="P22">
        <f t="shared" si="7"/>
        <v>8.213622635375037</v>
      </c>
      <c r="Q22" s="85"/>
    </row>
    <row r="23" spans="1:18" x14ac:dyDescent="0.35">
      <c r="A23" s="85"/>
      <c r="B23" s="132">
        <v>273.75192000000004</v>
      </c>
      <c r="C23" s="132">
        <v>276.58527000000004</v>
      </c>
      <c r="D23" s="132">
        <f>C23-B23</f>
        <v>2.8333499999999958</v>
      </c>
      <c r="E23" s="132"/>
      <c r="F23" s="132">
        <v>272.77605</v>
      </c>
      <c r="G23" s="132">
        <v>274.24340000000001</v>
      </c>
      <c r="H23" s="132">
        <f t="shared" si="0"/>
        <v>1.4673500000000104</v>
      </c>
      <c r="I23" s="132">
        <f t="shared" si="1"/>
        <v>5.9864600000000223</v>
      </c>
      <c r="J23" s="132">
        <f t="shared" si="2"/>
        <v>0.19685905597271783</v>
      </c>
      <c r="K23" s="132">
        <f t="shared" si="3"/>
        <v>0.8031409440272822</v>
      </c>
      <c r="L23" s="132">
        <f t="shared" si="4"/>
        <v>0.68150066446314306</v>
      </c>
      <c r="M23" s="132">
        <f t="shared" si="5"/>
        <v>0.13415957745099427</v>
      </c>
      <c r="N23" s="132">
        <f t="shared" si="6"/>
        <v>7.4538100000000327</v>
      </c>
      <c r="O23" s="132">
        <v>14</v>
      </c>
      <c r="P23">
        <f t="shared" si="7"/>
        <v>9.541009302484003</v>
      </c>
      <c r="Q23" s="85"/>
    </row>
    <row r="24" spans="1:18" ht="15.5" x14ac:dyDescent="0.35">
      <c r="A24" s="85"/>
      <c r="B24" s="14"/>
      <c r="C24" s="14"/>
      <c r="D24" s="14"/>
      <c r="E24" s="13"/>
      <c r="F24" s="13">
        <v>280.22986000000003</v>
      </c>
      <c r="G24" s="13">
        <v>286.88049999999998</v>
      </c>
      <c r="H24" s="13">
        <f t="shared" si="0"/>
        <v>6.650639999999953</v>
      </c>
      <c r="I24" s="13">
        <f t="shared" si="1"/>
        <v>5.8458699999999908</v>
      </c>
      <c r="J24" s="13">
        <f t="shared" si="2"/>
        <v>0.53219979018141728</v>
      </c>
      <c r="K24" s="13">
        <f t="shared" si="3"/>
        <v>0.46780020981858272</v>
      </c>
      <c r="L24" s="13">
        <f t="shared" si="4"/>
        <v>0.15036146897140831</v>
      </c>
      <c r="M24" s="13">
        <f t="shared" si="5"/>
        <v>8.0022342237953195E-2</v>
      </c>
      <c r="N24" s="13">
        <f t="shared" si="6"/>
        <v>12.496509999999944</v>
      </c>
      <c r="O24" s="13">
        <v>49</v>
      </c>
      <c r="P24">
        <f t="shared" si="7"/>
        <v>7.367711979599008</v>
      </c>
      <c r="Q24" s="85"/>
    </row>
    <row r="25" spans="1:18" ht="15.5" x14ac:dyDescent="0.35">
      <c r="A25" s="85"/>
      <c r="B25" s="13"/>
      <c r="C25" s="164"/>
      <c r="D25" s="13"/>
      <c r="E25" s="13"/>
      <c r="F25" s="13">
        <v>292.72636999999997</v>
      </c>
      <c r="G25" s="13">
        <v>298.14501999999999</v>
      </c>
      <c r="H25" s="13">
        <f t="shared" si="0"/>
        <v>5.4186500000000137</v>
      </c>
      <c r="I25" s="13">
        <f t="shared" si="1"/>
        <v>1.9856699999999705</v>
      </c>
      <c r="J25" s="13">
        <f t="shared" si="2"/>
        <v>0.73182277373209492</v>
      </c>
      <c r="K25" s="13">
        <f t="shared" si="3"/>
        <v>0.26817722626790508</v>
      </c>
      <c r="L25" s="13">
        <f t="shared" si="4"/>
        <v>0.184547811724322</v>
      </c>
      <c r="M25" s="13">
        <f t="shared" si="5"/>
        <v>0.13505629146228176</v>
      </c>
      <c r="N25" s="13">
        <f t="shared" si="6"/>
        <v>7.4043199999999842</v>
      </c>
      <c r="O25" s="13">
        <v>42</v>
      </c>
      <c r="P25">
        <f t="shared" si="7"/>
        <v>7.7510080924215243</v>
      </c>
      <c r="Q25" s="85"/>
    </row>
    <row r="26" spans="1:18" x14ac:dyDescent="0.35">
      <c r="A26" s="85"/>
      <c r="B26" s="13"/>
      <c r="C26" s="13"/>
      <c r="D26" s="13"/>
      <c r="E26" s="13"/>
      <c r="F26" s="13">
        <v>300.13068999999996</v>
      </c>
      <c r="G26" s="13">
        <v>303.46377000000001</v>
      </c>
      <c r="H26" s="13">
        <f t="shared" si="0"/>
        <v>3.3330800000000522</v>
      </c>
      <c r="I26" s="13">
        <f t="shared" si="1"/>
        <v>4.9105900000000133</v>
      </c>
      <c r="J26" s="13">
        <f t="shared" si="2"/>
        <v>0.40431992061788324</v>
      </c>
      <c r="K26" s="13">
        <f t="shared" si="3"/>
        <v>0.59568007938211676</v>
      </c>
      <c r="L26" s="13">
        <f t="shared" si="4"/>
        <v>0.300022801732927</v>
      </c>
      <c r="M26" s="13">
        <f t="shared" si="5"/>
        <v>0.12130519538021198</v>
      </c>
      <c r="N26" s="13">
        <f t="shared" si="6"/>
        <v>8.2436700000000656</v>
      </c>
      <c r="O26" s="13">
        <v>23</v>
      </c>
      <c r="P26">
        <f t="shared" si="7"/>
        <v>6.9005244398573211</v>
      </c>
      <c r="Q26" s="85"/>
    </row>
    <row r="27" spans="1:18" x14ac:dyDescent="0.35">
      <c r="A27" s="85"/>
      <c r="B27" s="85"/>
      <c r="C27" s="13"/>
      <c r="D27" s="13"/>
      <c r="E27" s="13"/>
      <c r="F27" s="13">
        <v>308.37436000000002</v>
      </c>
      <c r="G27" s="13">
        <v>313.85248999999999</v>
      </c>
      <c r="H27" s="13">
        <f t="shared" si="0"/>
        <v>5.4781299999999646</v>
      </c>
      <c r="I27" s="13">
        <f t="shared" si="1"/>
        <v>1.0226200000000176</v>
      </c>
      <c r="J27" s="13">
        <f t="shared" si="2"/>
        <v>0.84269199707725717</v>
      </c>
      <c r="K27" s="13">
        <f t="shared" si="3"/>
        <v>0.15730800292274283</v>
      </c>
      <c r="L27" s="13">
        <f t="shared" si="4"/>
        <v>0.18254404331405177</v>
      </c>
      <c r="M27" s="13">
        <f t="shared" si="5"/>
        <v>0.15382840441487564</v>
      </c>
      <c r="N27" s="13">
        <f t="shared" si="6"/>
        <v>6.5007499999999823</v>
      </c>
      <c r="O27" s="13">
        <v>40</v>
      </c>
      <c r="P27">
        <f t="shared" si="7"/>
        <v>7.3017617325620714</v>
      </c>
      <c r="Q27" s="85"/>
    </row>
    <row r="28" spans="1:18" x14ac:dyDescent="0.35">
      <c r="A28" s="85"/>
      <c r="B28" s="91">
        <v>319.83194000000003</v>
      </c>
      <c r="C28" s="91">
        <v>322.66529000000003</v>
      </c>
      <c r="D28" s="91">
        <f>C28-B28</f>
        <v>2.8333499999999958</v>
      </c>
      <c r="E28" s="91"/>
      <c r="F28" s="91">
        <v>314.87511000000001</v>
      </c>
      <c r="G28" s="91">
        <v>318.24825999999996</v>
      </c>
      <c r="H28" s="91">
        <f t="shared" si="0"/>
        <v>3.3731499999999528</v>
      </c>
      <c r="I28" s="91">
        <f t="shared" si="1"/>
        <v>7.1801300000000765</v>
      </c>
      <c r="J28" s="91">
        <f t="shared" si="2"/>
        <v>0.31963048455076937</v>
      </c>
      <c r="K28" s="91">
        <f t="shared" si="3"/>
        <v>0.68036951544923063</v>
      </c>
      <c r="L28" s="91">
        <f t="shared" si="4"/>
        <v>0.29645879963832439</v>
      </c>
      <c r="M28" s="91">
        <f t="shared" si="5"/>
        <v>9.4757269777737088E-2</v>
      </c>
      <c r="N28" s="91">
        <f t="shared" si="6"/>
        <v>10.553280000000029</v>
      </c>
      <c r="O28" s="91">
        <v>20</v>
      </c>
      <c r="P28">
        <f t="shared" si="7"/>
        <v>5.9291759927664884</v>
      </c>
      <c r="Q28" s="85"/>
    </row>
    <row r="29" spans="1:18" x14ac:dyDescent="0.35">
      <c r="A29" s="85"/>
      <c r="B29" s="85"/>
      <c r="C29" s="13"/>
      <c r="D29" s="13"/>
      <c r="E29" s="13"/>
      <c r="F29" s="13">
        <v>325.42839000000004</v>
      </c>
      <c r="G29" s="13">
        <v>330.17479000000003</v>
      </c>
      <c r="H29" s="13">
        <f t="shared" si="0"/>
        <v>4.7463999999999942</v>
      </c>
      <c r="I29" s="13">
        <f t="shared" si="1"/>
        <v>2.7287499999999909</v>
      </c>
      <c r="J29" s="13">
        <f t="shared" si="2"/>
        <v>0.63495715805034059</v>
      </c>
      <c r="K29" s="13">
        <f t="shared" si="3"/>
        <v>0.36504284194965936</v>
      </c>
      <c r="L29" s="13">
        <f t="shared" si="4"/>
        <v>0.21068599359514606</v>
      </c>
      <c r="M29" s="13">
        <f t="shared" si="5"/>
        <v>0.13377657973418619</v>
      </c>
      <c r="N29" s="13">
        <f t="shared" si="6"/>
        <v>7.4751499999999851</v>
      </c>
      <c r="O29" s="13">
        <v>39</v>
      </c>
      <c r="P29">
        <f t="shared" si="7"/>
        <v>8.216753750210696</v>
      </c>
      <c r="Q29" s="85"/>
    </row>
    <row r="30" spans="1:18" x14ac:dyDescent="0.35">
      <c r="A30" s="85"/>
      <c r="B30" s="13"/>
      <c r="C30" s="13"/>
      <c r="D30" s="13"/>
      <c r="E30" s="13"/>
      <c r="F30" s="13">
        <v>332.90354000000002</v>
      </c>
      <c r="G30" s="13">
        <v>336.21888000000001</v>
      </c>
      <c r="H30" s="13">
        <f t="shared" si="0"/>
        <v>3.315339999999992</v>
      </c>
      <c r="I30" s="13">
        <f t="shared" si="1"/>
        <v>5.0190499999999929</v>
      </c>
      <c r="J30" s="13">
        <f t="shared" si="2"/>
        <v>0.39779036018232866</v>
      </c>
      <c r="K30" s="13">
        <f t="shared" si="3"/>
        <v>0.60220963981767139</v>
      </c>
      <c r="L30" s="13">
        <f t="shared" si="4"/>
        <v>0.30162818896402854</v>
      </c>
      <c r="M30" s="13">
        <f t="shared" si="5"/>
        <v>0.1199847859291444</v>
      </c>
      <c r="N30" s="13">
        <f t="shared" si="6"/>
        <v>8.3343899999999849</v>
      </c>
      <c r="O30" s="13">
        <v>22</v>
      </c>
      <c r="P30">
        <f t="shared" si="7"/>
        <v>6.6358201572086282</v>
      </c>
      <c r="Q30" s="85"/>
    </row>
    <row r="31" spans="1:18" x14ac:dyDescent="0.35">
      <c r="A31" s="85"/>
      <c r="B31" s="13"/>
      <c r="C31" s="13"/>
      <c r="D31" s="13"/>
      <c r="E31" s="13"/>
      <c r="F31" s="13">
        <v>341.23793000000001</v>
      </c>
      <c r="G31" s="13">
        <v>346.84649000000002</v>
      </c>
      <c r="H31" s="13">
        <f t="shared" ref="H31:H64" si="8">G31-F31</f>
        <v>5.6085600000000113</v>
      </c>
      <c r="I31" s="13">
        <f t="shared" ref="I31:I64" si="9">F32-G31</f>
        <v>1.9059199999999805</v>
      </c>
      <c r="J31" s="13">
        <f t="shared" ref="J31:J64" si="10">H31/N31</f>
        <v>0.74636701408480921</v>
      </c>
      <c r="K31" s="13">
        <f t="shared" ref="K31:K64" si="11">I31/N31</f>
        <v>0.25363298591519073</v>
      </c>
      <c r="L31" s="13">
        <f t="shared" ref="L31:L64" si="12">1/H31</f>
        <v>0.17829888598855997</v>
      </c>
      <c r="M31" s="13">
        <f t="shared" ref="M31:M64" si="13">1/N31</f>
        <v>0.13307640714992935</v>
      </c>
      <c r="N31" s="13">
        <f t="shared" ref="N31:N64" si="14">H31+I31</f>
        <v>7.5144799999999918</v>
      </c>
      <c r="O31" s="13">
        <v>44</v>
      </c>
      <c r="P31">
        <f t="shared" si="7"/>
        <v>7.8451509834966391</v>
      </c>
      <c r="Q31" s="85"/>
    </row>
    <row r="32" spans="1:18" x14ac:dyDescent="0.35">
      <c r="A32" s="85"/>
      <c r="B32" s="85"/>
      <c r="C32" s="13"/>
      <c r="D32" s="13"/>
      <c r="E32" s="13"/>
      <c r="F32" s="13">
        <v>348.75241</v>
      </c>
      <c r="G32" s="13">
        <v>352.19987000000003</v>
      </c>
      <c r="H32" s="13">
        <f t="shared" si="8"/>
        <v>3.4474600000000351</v>
      </c>
      <c r="I32" s="13">
        <f t="shared" si="9"/>
        <v>4.9031199999999444</v>
      </c>
      <c r="J32" s="13">
        <f t="shared" si="10"/>
        <v>0.41284078471196534</v>
      </c>
      <c r="K32" s="13">
        <f t="shared" si="11"/>
        <v>0.58715921528803461</v>
      </c>
      <c r="L32" s="13">
        <f t="shared" si="12"/>
        <v>0.29006863023791135</v>
      </c>
      <c r="M32" s="13">
        <f t="shared" si="13"/>
        <v>0.11975216092774424</v>
      </c>
      <c r="N32" s="13">
        <f t="shared" si="14"/>
        <v>8.3505799999999795</v>
      </c>
      <c r="O32" s="13">
        <v>21</v>
      </c>
      <c r="P32">
        <f t="shared" si="7"/>
        <v>6.0914412349961378</v>
      </c>
      <c r="Q32" s="85"/>
    </row>
    <row r="33" spans="1:18" x14ac:dyDescent="0.35">
      <c r="A33" s="85"/>
      <c r="B33" s="85"/>
      <c r="C33" s="13"/>
      <c r="D33" s="13"/>
      <c r="E33" s="13"/>
      <c r="F33" s="13">
        <v>357.10298999999998</v>
      </c>
      <c r="G33" s="13">
        <v>362.17698000000001</v>
      </c>
      <c r="H33" s="13">
        <f t="shared" si="8"/>
        <v>5.0739900000000375</v>
      </c>
      <c r="I33" s="13">
        <f t="shared" si="9"/>
        <v>0.99296999999995705</v>
      </c>
      <c r="J33" s="13">
        <f t="shared" si="10"/>
        <v>0.83633154001345689</v>
      </c>
      <c r="K33" s="13">
        <f t="shared" si="11"/>
        <v>0.16366845998654317</v>
      </c>
      <c r="L33" s="13">
        <f t="shared" si="12"/>
        <v>0.19708355751587855</v>
      </c>
      <c r="M33" s="13">
        <f t="shared" si="13"/>
        <v>0.16482719516858541</v>
      </c>
      <c r="N33" s="13">
        <f t="shared" si="14"/>
        <v>6.0669599999999946</v>
      </c>
      <c r="O33" s="13">
        <v>34</v>
      </c>
      <c r="P33">
        <f t="shared" si="7"/>
        <v>6.7008409555398707</v>
      </c>
      <c r="Q33" s="85"/>
      <c r="R33" t="s">
        <v>311</v>
      </c>
    </row>
    <row r="34" spans="1:18" ht="14.5" customHeight="1" x14ac:dyDescent="0.35">
      <c r="A34" s="85"/>
      <c r="B34" s="144">
        <v>368.42626000000001</v>
      </c>
      <c r="C34" s="144">
        <v>374.25961999999998</v>
      </c>
      <c r="D34" s="91"/>
      <c r="E34" s="91"/>
      <c r="F34" s="91">
        <v>363.16994999999997</v>
      </c>
      <c r="G34" s="91">
        <v>365.57369999999997</v>
      </c>
      <c r="H34" s="91">
        <f t="shared" si="8"/>
        <v>2.4037500000000023</v>
      </c>
      <c r="I34" s="91">
        <f t="shared" si="9"/>
        <v>9.2744500000000016</v>
      </c>
      <c r="J34" s="91">
        <f t="shared" si="10"/>
        <v>0.20583223441968809</v>
      </c>
      <c r="K34" s="91">
        <f t="shared" si="11"/>
        <v>0.79416776558031188</v>
      </c>
      <c r="L34" s="91">
        <f t="shared" si="12"/>
        <v>0.41601664066562621</v>
      </c>
      <c r="M34" s="91">
        <f t="shared" si="13"/>
        <v>8.562963470397833E-2</v>
      </c>
      <c r="N34" s="91">
        <f t="shared" si="14"/>
        <v>11.678200000000004</v>
      </c>
      <c r="O34" s="13">
        <v>16</v>
      </c>
      <c r="P34">
        <f t="shared" si="7"/>
        <v>6.6562662506500194</v>
      </c>
      <c r="Q34" s="85"/>
    </row>
    <row r="35" spans="1:18" x14ac:dyDescent="0.35">
      <c r="A35" s="85"/>
      <c r="B35" s="85"/>
      <c r="C35" s="13"/>
      <c r="D35" s="13"/>
      <c r="E35" s="13"/>
      <c r="F35" s="13">
        <v>374.84814999999998</v>
      </c>
      <c r="G35" s="13">
        <v>380.44405</v>
      </c>
      <c r="H35" s="13">
        <f t="shared" si="8"/>
        <v>5.5959000000000287</v>
      </c>
      <c r="I35" s="13">
        <f t="shared" si="9"/>
        <v>2.0042599999999879</v>
      </c>
      <c r="J35" s="13">
        <f t="shared" si="10"/>
        <v>0.7362871307972485</v>
      </c>
      <c r="K35" s="13">
        <f t="shared" si="11"/>
        <v>0.26371286920275144</v>
      </c>
      <c r="L35" s="13">
        <f t="shared" si="12"/>
        <v>0.17870226415768595</v>
      </c>
      <c r="M35" s="13">
        <f t="shared" si="13"/>
        <v>0.13157617734363458</v>
      </c>
      <c r="N35" s="13">
        <f t="shared" si="14"/>
        <v>7.6001600000000167</v>
      </c>
      <c r="O35" s="13">
        <v>38</v>
      </c>
      <c r="P35">
        <f t="shared" si="7"/>
        <v>6.7906860379920664</v>
      </c>
      <c r="Q35" s="85"/>
    </row>
    <row r="36" spans="1:18" x14ac:dyDescent="0.35">
      <c r="A36" s="85"/>
      <c r="B36" s="91">
        <v>387.56225000000001</v>
      </c>
      <c r="C36" s="91">
        <v>393.39562000000001</v>
      </c>
      <c r="D36" s="91"/>
      <c r="E36" s="91"/>
      <c r="F36" s="91">
        <v>382.44830999999999</v>
      </c>
      <c r="G36" s="91">
        <v>384.83978999999999</v>
      </c>
      <c r="H36" s="91">
        <f t="shared" si="8"/>
        <v>2.3914800000000014</v>
      </c>
      <c r="I36" s="91">
        <f t="shared" si="9"/>
        <v>9.3451600000000212</v>
      </c>
      <c r="J36" s="91">
        <f t="shared" si="10"/>
        <v>0.20376189437522124</v>
      </c>
      <c r="K36" s="91">
        <f t="shared" si="11"/>
        <v>0.7962381056247787</v>
      </c>
      <c r="L36" s="91">
        <f t="shared" si="12"/>
        <v>0.41815110308260967</v>
      </c>
      <c r="M36" s="91">
        <f t="shared" si="13"/>
        <v>8.5203260899200967E-2</v>
      </c>
      <c r="N36" s="91">
        <f t="shared" si="14"/>
        <v>11.736640000000023</v>
      </c>
      <c r="O36" s="13">
        <v>18</v>
      </c>
      <c r="P36">
        <f t="shared" si="7"/>
        <v>7.5267198554869745</v>
      </c>
      <c r="Q36" s="85"/>
    </row>
    <row r="37" spans="1:18" x14ac:dyDescent="0.35">
      <c r="A37" s="85"/>
      <c r="B37" s="13"/>
      <c r="C37" s="13"/>
      <c r="D37" s="13"/>
      <c r="E37" s="13"/>
      <c r="F37" s="13">
        <v>394.18495000000001</v>
      </c>
      <c r="G37" s="13">
        <v>398.79077000000001</v>
      </c>
      <c r="H37" s="13">
        <f t="shared" si="8"/>
        <v>4.6058199999999943</v>
      </c>
      <c r="I37" s="13">
        <f t="shared" si="9"/>
        <v>2.9045800000000099</v>
      </c>
      <c r="J37" s="13">
        <f t="shared" si="10"/>
        <v>0.61325894759267041</v>
      </c>
      <c r="K37" s="13">
        <f t="shared" si="11"/>
        <v>0.38674105240732959</v>
      </c>
      <c r="L37" s="13">
        <f t="shared" si="12"/>
        <v>0.2171166046436902</v>
      </c>
      <c r="M37" s="13">
        <f t="shared" si="13"/>
        <v>0.13314870046868335</v>
      </c>
      <c r="N37" s="13">
        <f t="shared" si="14"/>
        <v>7.5104000000000042</v>
      </c>
      <c r="O37" s="13">
        <v>35</v>
      </c>
      <c r="P37">
        <f t="shared" si="7"/>
        <v>7.5990811625291572</v>
      </c>
      <c r="Q37" s="85"/>
    </row>
    <row r="38" spans="1:18" x14ac:dyDescent="0.35">
      <c r="A38" s="85"/>
      <c r="B38" s="85"/>
      <c r="C38" s="13"/>
      <c r="D38" s="13"/>
      <c r="E38" s="13"/>
      <c r="F38" s="13">
        <v>401.69535000000002</v>
      </c>
      <c r="G38" s="13">
        <v>405.05511000000001</v>
      </c>
      <c r="H38" s="13">
        <f t="shared" si="8"/>
        <v>3.3597599999999943</v>
      </c>
      <c r="I38" s="13">
        <f t="shared" si="9"/>
        <v>4.9543699999999831</v>
      </c>
      <c r="J38" s="13">
        <f t="shared" si="10"/>
        <v>0.40410241360190463</v>
      </c>
      <c r="K38" s="13">
        <f t="shared" si="11"/>
        <v>0.59589758639809531</v>
      </c>
      <c r="L38" s="13">
        <f t="shared" si="12"/>
        <v>0.29764030764102251</v>
      </c>
      <c r="M38" s="13">
        <f t="shared" si="13"/>
        <v>0.12027716670295061</v>
      </c>
      <c r="N38" s="13">
        <f t="shared" si="14"/>
        <v>8.3141299999999774</v>
      </c>
      <c r="O38" s="13">
        <v>23</v>
      </c>
      <c r="P38">
        <f t="shared" si="7"/>
        <v>6.8457270757435174</v>
      </c>
      <c r="Q38" s="85"/>
    </row>
    <row r="39" spans="1:18" x14ac:dyDescent="0.35">
      <c r="A39" s="85"/>
      <c r="B39" s="85"/>
      <c r="C39" s="13"/>
      <c r="D39" s="13"/>
      <c r="E39" s="13"/>
      <c r="F39" s="13">
        <v>410.00948</v>
      </c>
      <c r="G39" s="13">
        <v>415.64992999999998</v>
      </c>
      <c r="H39" s="13">
        <f t="shared" si="8"/>
        <v>5.6404499999999871</v>
      </c>
      <c r="I39" s="13">
        <f t="shared" si="9"/>
        <v>1.87272999999999</v>
      </c>
      <c r="J39" s="13">
        <f t="shared" si="10"/>
        <v>0.75074069834610702</v>
      </c>
      <c r="K39" s="13">
        <f t="shared" si="11"/>
        <v>0.24925930165389298</v>
      </c>
      <c r="L39" s="13">
        <f t="shared" si="12"/>
        <v>0.17729081899493876</v>
      </c>
      <c r="M39" s="13">
        <f t="shared" si="13"/>
        <v>0.13309943326261359</v>
      </c>
      <c r="N39" s="13">
        <f t="shared" si="14"/>
        <v>7.5131799999999771</v>
      </c>
      <c r="O39" s="13">
        <v>38</v>
      </c>
      <c r="P39">
        <f t="shared" si="7"/>
        <v>6.7370511218076725</v>
      </c>
      <c r="Q39" s="85"/>
    </row>
    <row r="40" spans="1:18" x14ac:dyDescent="0.35">
      <c r="A40" s="85"/>
      <c r="B40" s="144">
        <v>422.41034000000002</v>
      </c>
      <c r="C40" s="91">
        <v>428.24370999999996</v>
      </c>
      <c r="D40" s="91"/>
      <c r="E40" s="91"/>
      <c r="F40" s="91">
        <v>417.52265999999997</v>
      </c>
      <c r="G40" s="91">
        <v>419.88560999999999</v>
      </c>
      <c r="H40" s="91">
        <f t="shared" si="8"/>
        <v>2.3629500000000121</v>
      </c>
      <c r="I40" s="91">
        <f t="shared" si="9"/>
        <v>9.231269999999995</v>
      </c>
      <c r="J40" s="91">
        <f t="shared" si="10"/>
        <v>0.20380413688889901</v>
      </c>
      <c r="K40" s="91">
        <f t="shared" si="11"/>
        <v>0.79619586311110102</v>
      </c>
      <c r="L40" s="91">
        <f t="shared" si="12"/>
        <v>0.42319981379207977</v>
      </c>
      <c r="M40" s="91">
        <f t="shared" si="13"/>
        <v>8.62498727814376E-2</v>
      </c>
      <c r="N40" s="91">
        <f t="shared" si="14"/>
        <v>11.594220000000007</v>
      </c>
      <c r="O40" s="13">
        <v>18</v>
      </c>
      <c r="P40">
        <f t="shared" si="7"/>
        <v>7.617596648257436</v>
      </c>
      <c r="Q40" s="85"/>
    </row>
    <row r="41" spans="1:18" x14ac:dyDescent="0.35">
      <c r="A41" s="85"/>
      <c r="B41" s="85"/>
      <c r="C41" s="13"/>
      <c r="D41" s="13"/>
      <c r="E41" s="13"/>
      <c r="F41" s="13">
        <v>429.11687999999998</v>
      </c>
      <c r="G41" s="13">
        <v>433.6386</v>
      </c>
      <c r="H41" s="13">
        <f t="shared" si="8"/>
        <v>4.5217200000000162</v>
      </c>
      <c r="I41" s="13">
        <f t="shared" si="9"/>
        <v>3.0233799999999746</v>
      </c>
      <c r="J41" s="13">
        <f t="shared" si="10"/>
        <v>0.59929225590118373</v>
      </c>
      <c r="K41" s="13">
        <f t="shared" si="11"/>
        <v>0.40070774409881621</v>
      </c>
      <c r="L41" s="13">
        <f t="shared" si="12"/>
        <v>0.22115478180869147</v>
      </c>
      <c r="M41" s="13">
        <f t="shared" si="13"/>
        <v>0.13253634809346479</v>
      </c>
      <c r="N41" s="13">
        <f t="shared" si="14"/>
        <v>7.5450999999999908</v>
      </c>
      <c r="O41" s="13">
        <v>33</v>
      </c>
      <c r="P41">
        <f t="shared" si="7"/>
        <v>7.2981077996868189</v>
      </c>
      <c r="Q41" s="85"/>
    </row>
    <row r="42" spans="1:18" x14ac:dyDescent="0.35">
      <c r="A42" s="85"/>
      <c r="B42" s="85"/>
      <c r="C42" s="13"/>
      <c r="D42" s="13"/>
      <c r="E42" s="13"/>
      <c r="F42" s="13">
        <v>436.66197999999997</v>
      </c>
      <c r="G42" s="13">
        <v>440.06771000000003</v>
      </c>
      <c r="H42" s="13">
        <f t="shared" si="8"/>
        <v>3.4057300000000623</v>
      </c>
      <c r="I42" s="13">
        <f t="shared" si="9"/>
        <v>5.0572099999999409</v>
      </c>
      <c r="J42" s="13">
        <f t="shared" si="10"/>
        <v>0.40242870680875215</v>
      </c>
      <c r="K42" s="13">
        <f t="shared" si="11"/>
        <v>0.5975712931912478</v>
      </c>
      <c r="L42" s="13">
        <f t="shared" si="12"/>
        <v>0.29362280627060328</v>
      </c>
      <c r="M42" s="13">
        <f t="shared" si="13"/>
        <v>0.11816224621703564</v>
      </c>
      <c r="N42" s="13">
        <f t="shared" si="14"/>
        <v>8.4629400000000032</v>
      </c>
      <c r="O42" s="13">
        <v>22</v>
      </c>
      <c r="P42">
        <f t="shared" si="7"/>
        <v>6.4597017379532717</v>
      </c>
      <c r="Q42" s="85"/>
    </row>
    <row r="43" spans="1:18" x14ac:dyDescent="0.35">
      <c r="A43" s="85"/>
      <c r="B43" s="144">
        <v>451.24239999999998</v>
      </c>
      <c r="C43" s="91">
        <v>457.07577000000003</v>
      </c>
      <c r="D43" s="91"/>
      <c r="E43" s="91"/>
      <c r="F43" s="91">
        <v>445.12491999999997</v>
      </c>
      <c r="G43" s="91">
        <v>449.79479000000003</v>
      </c>
      <c r="H43" s="91">
        <f t="shared" si="8"/>
        <v>4.6698700000000599</v>
      </c>
      <c r="I43" s="91">
        <f t="shared" si="9"/>
        <v>9.2098199999999792</v>
      </c>
      <c r="J43" s="91">
        <f t="shared" si="10"/>
        <v>0.33645347986879004</v>
      </c>
      <c r="K43" s="91">
        <f t="shared" si="11"/>
        <v>0.66354652013120996</v>
      </c>
      <c r="L43" s="91">
        <f t="shared" si="12"/>
        <v>0.21413872334775641</v>
      </c>
      <c r="M43" s="91">
        <f t="shared" si="13"/>
        <v>7.2047718645012762E-2</v>
      </c>
      <c r="N43" s="91">
        <f t="shared" si="14"/>
        <v>13.879690000000039</v>
      </c>
      <c r="O43" s="13">
        <v>36</v>
      </c>
      <c r="P43">
        <f t="shared" si="7"/>
        <v>7.7089940405192303</v>
      </c>
      <c r="Q43" s="85"/>
    </row>
    <row r="44" spans="1:18" x14ac:dyDescent="0.35">
      <c r="A44" s="85"/>
      <c r="B44" s="85"/>
      <c r="C44" s="13"/>
      <c r="D44" s="13"/>
      <c r="E44" s="13"/>
      <c r="F44" s="13">
        <v>459.00461000000001</v>
      </c>
      <c r="G44" s="13">
        <v>464.41125999999997</v>
      </c>
      <c r="H44" s="13">
        <f t="shared" si="8"/>
        <v>5.4066499999999564</v>
      </c>
      <c r="I44" s="13">
        <f t="shared" si="9"/>
        <v>1.9836900000000242</v>
      </c>
      <c r="J44" s="13">
        <f t="shared" si="10"/>
        <v>0.73158339129187167</v>
      </c>
      <c r="K44" s="13">
        <f t="shared" si="11"/>
        <v>0.26841660870812839</v>
      </c>
      <c r="L44" s="13">
        <f t="shared" si="12"/>
        <v>0.18495741355553033</v>
      </c>
      <c r="M44" s="13">
        <f t="shared" si="13"/>
        <v>0.13531177185352808</v>
      </c>
      <c r="N44" s="13">
        <f t="shared" si="14"/>
        <v>7.3903399999999806</v>
      </c>
      <c r="O44" s="13">
        <v>35</v>
      </c>
      <c r="P44">
        <f t="shared" si="7"/>
        <v>6.4735094744435617</v>
      </c>
      <c r="Q44" s="85"/>
    </row>
    <row r="45" spans="1:18" x14ac:dyDescent="0.35">
      <c r="A45" s="85"/>
      <c r="B45" s="85"/>
      <c r="C45" s="13"/>
      <c r="D45" s="13"/>
      <c r="E45" s="13"/>
      <c r="F45" s="13">
        <v>466.39494999999999</v>
      </c>
      <c r="G45" s="13">
        <v>469.60338000000002</v>
      </c>
      <c r="H45" s="13">
        <f t="shared" si="8"/>
        <v>3.2084300000000212</v>
      </c>
      <c r="I45" s="13">
        <f t="shared" si="9"/>
        <v>5.1297399999999698</v>
      </c>
      <c r="J45" s="13">
        <f t="shared" si="10"/>
        <v>0.38478826888873996</v>
      </c>
      <c r="K45" s="13">
        <f t="shared" si="11"/>
        <v>0.61521173111126004</v>
      </c>
      <c r="L45" s="13">
        <f t="shared" si="12"/>
        <v>0.31167892084290244</v>
      </c>
      <c r="M45" s="13">
        <f t="shared" si="13"/>
        <v>0.11993039240025102</v>
      </c>
      <c r="N45" s="13">
        <f t="shared" si="14"/>
        <v>8.338169999999991</v>
      </c>
      <c r="O45" s="13">
        <v>19</v>
      </c>
      <c r="P45">
        <f t="shared" si="7"/>
        <v>5.9218994960151461</v>
      </c>
      <c r="Q45" s="85"/>
    </row>
    <row r="46" spans="1:18" x14ac:dyDescent="0.35">
      <c r="A46" s="85"/>
      <c r="B46" s="85"/>
      <c r="C46" s="13"/>
      <c r="D46" s="13"/>
      <c r="E46" s="13"/>
      <c r="F46" s="13">
        <v>474.73311999999999</v>
      </c>
      <c r="G46" s="13">
        <v>479.30398000000002</v>
      </c>
      <c r="H46" s="13">
        <f t="shared" si="8"/>
        <v>4.5708600000000388</v>
      </c>
      <c r="I46" s="13">
        <f t="shared" si="9"/>
        <v>6.756559999999979</v>
      </c>
      <c r="J46" s="13">
        <f t="shared" si="10"/>
        <v>0.40352171986207203</v>
      </c>
      <c r="K46" s="13">
        <f t="shared" si="11"/>
        <v>0.59647828013792803</v>
      </c>
      <c r="L46" s="13">
        <f t="shared" si="12"/>
        <v>0.21877721041554357</v>
      </c>
      <c r="M46" s="13">
        <f t="shared" si="13"/>
        <v>8.8281356213506551E-2</v>
      </c>
      <c r="N46" s="13">
        <f t="shared" si="14"/>
        <v>11.327420000000018</v>
      </c>
      <c r="O46" s="13">
        <v>34</v>
      </c>
      <c r="P46">
        <f t="shared" si="7"/>
        <v>7.438425154128482</v>
      </c>
      <c r="Q46" s="85"/>
    </row>
    <row r="47" spans="1:18" x14ac:dyDescent="0.35">
      <c r="A47" s="85"/>
      <c r="B47" s="85"/>
      <c r="C47" s="13"/>
      <c r="D47" s="13"/>
      <c r="E47" s="13"/>
      <c r="F47" s="13">
        <v>486.06054</v>
      </c>
      <c r="G47" s="13">
        <v>490.75713999999999</v>
      </c>
      <c r="H47" s="13">
        <f t="shared" si="8"/>
        <v>4.6965999999999894</v>
      </c>
      <c r="I47" s="13">
        <f t="shared" si="9"/>
        <v>2.972660000000019</v>
      </c>
      <c r="J47" s="13">
        <f t="shared" si="10"/>
        <v>0.61239285146154709</v>
      </c>
      <c r="K47" s="13">
        <f t="shared" si="11"/>
        <v>0.38760714853845296</v>
      </c>
      <c r="L47" s="13">
        <f t="shared" si="12"/>
        <v>0.21291998466976159</v>
      </c>
      <c r="M47" s="13">
        <f t="shared" si="13"/>
        <v>0.13039067654506417</v>
      </c>
      <c r="N47" s="13">
        <f t="shared" si="14"/>
        <v>7.6692600000000084</v>
      </c>
      <c r="O47" s="13">
        <v>35</v>
      </c>
      <c r="P47">
        <f t="shared" si="7"/>
        <v>7.4521994634416551</v>
      </c>
      <c r="Q47" s="85"/>
      <c r="R47" t="s">
        <v>635</v>
      </c>
    </row>
    <row r="48" spans="1:18" x14ac:dyDescent="0.35">
      <c r="A48" s="85"/>
      <c r="B48" s="144">
        <v>499.83913000000001</v>
      </c>
      <c r="C48" s="91">
        <v>505.67250999999999</v>
      </c>
      <c r="D48" s="91"/>
      <c r="E48" s="91"/>
      <c r="F48" s="91">
        <v>493.72980000000001</v>
      </c>
      <c r="G48" s="91">
        <v>497.32154000000003</v>
      </c>
      <c r="H48" s="91">
        <f t="shared" si="8"/>
        <v>3.5917400000000157</v>
      </c>
      <c r="I48" s="91">
        <f t="shared" si="9"/>
        <v>9.5009999999999764</v>
      </c>
      <c r="J48" s="91">
        <f t="shared" si="10"/>
        <v>0.27433065958691749</v>
      </c>
      <c r="K48" s="91">
        <f t="shared" si="11"/>
        <v>0.72566934041308251</v>
      </c>
      <c r="L48" s="91">
        <f t="shared" si="12"/>
        <v>0.27841658917404816</v>
      </c>
      <c r="M48" s="91">
        <f t="shared" si="13"/>
        <v>7.6378206548056451E-2</v>
      </c>
      <c r="N48" s="91">
        <f t="shared" si="14"/>
        <v>13.092739999999992</v>
      </c>
      <c r="O48" s="13">
        <v>22</v>
      </c>
      <c r="P48">
        <f t="shared" si="7"/>
        <v>6.1251649618290589</v>
      </c>
      <c r="Q48" s="85"/>
    </row>
    <row r="49" spans="1:18" x14ac:dyDescent="0.35">
      <c r="A49" s="85"/>
      <c r="B49" s="85"/>
      <c r="C49" s="13"/>
      <c r="D49" s="13"/>
      <c r="E49" s="13"/>
      <c r="F49" s="13">
        <v>506.82254</v>
      </c>
      <c r="G49" s="13">
        <v>511.38261999999997</v>
      </c>
      <c r="H49" s="13">
        <f t="shared" si="8"/>
        <v>4.5600799999999708</v>
      </c>
      <c r="I49" s="13">
        <f t="shared" si="9"/>
        <v>1.8657100000000355</v>
      </c>
      <c r="J49" s="13">
        <f t="shared" si="10"/>
        <v>0.70965282089828119</v>
      </c>
      <c r="K49" s="13">
        <f t="shared" si="11"/>
        <v>0.29034717910171881</v>
      </c>
      <c r="L49" s="13">
        <f t="shared" si="12"/>
        <v>0.21929439834389011</v>
      </c>
      <c r="M49" s="13">
        <f t="shared" si="13"/>
        <v>0.15562288839193297</v>
      </c>
      <c r="N49" s="13">
        <f t="shared" si="14"/>
        <v>6.4257900000000063</v>
      </c>
      <c r="O49" s="13">
        <v>32</v>
      </c>
      <c r="P49">
        <f t="shared" si="7"/>
        <v>7.0174207470044836</v>
      </c>
      <c r="Q49" s="85"/>
    </row>
    <row r="50" spans="1:18" x14ac:dyDescent="0.35">
      <c r="A50" s="85"/>
      <c r="B50" s="85"/>
      <c r="C50" s="13"/>
      <c r="D50" s="13"/>
      <c r="E50" s="13"/>
      <c r="F50" s="13">
        <v>513.24833000000001</v>
      </c>
      <c r="G50" s="13">
        <v>516.63321999999994</v>
      </c>
      <c r="H50" s="13">
        <f t="shared" si="8"/>
        <v>3.3848899999999276</v>
      </c>
      <c r="I50" s="13">
        <f t="shared" si="9"/>
        <v>5.0691200000001118</v>
      </c>
      <c r="J50" s="13">
        <f t="shared" si="10"/>
        <v>0.40038869128377086</v>
      </c>
      <c r="K50" s="13">
        <f t="shared" si="11"/>
        <v>0.59961130871622914</v>
      </c>
      <c r="L50" s="13">
        <f t="shared" si="12"/>
        <v>0.29543057529196559</v>
      </c>
      <c r="M50" s="13">
        <f t="shared" si="13"/>
        <v>0.11828706140636164</v>
      </c>
      <c r="N50" s="13">
        <f t="shared" si="14"/>
        <v>8.4540100000000393</v>
      </c>
      <c r="O50" s="13">
        <v>18</v>
      </c>
      <c r="P50">
        <f t="shared" si="7"/>
        <v>5.3177503552553809</v>
      </c>
      <c r="Q50" s="85"/>
    </row>
    <row r="51" spans="1:18" x14ac:dyDescent="0.35">
      <c r="A51" s="85"/>
      <c r="B51" s="85"/>
      <c r="C51" s="13"/>
      <c r="D51" s="13"/>
      <c r="E51" s="13"/>
      <c r="F51" s="13">
        <v>521.70234000000005</v>
      </c>
      <c r="G51" s="13">
        <v>526.18439999999998</v>
      </c>
      <c r="H51" s="13">
        <f t="shared" si="8"/>
        <v>4.4820599999999331</v>
      </c>
      <c r="I51" s="13">
        <f t="shared" si="9"/>
        <v>2.0222899999999981</v>
      </c>
      <c r="J51" s="13">
        <f t="shared" si="10"/>
        <v>0.68908653439620882</v>
      </c>
      <c r="K51" s="13">
        <f t="shared" si="11"/>
        <v>0.31091346560379124</v>
      </c>
      <c r="L51" s="13">
        <f t="shared" si="12"/>
        <v>0.22311169417634188</v>
      </c>
      <c r="M51" s="13">
        <f t="shared" si="13"/>
        <v>0.15374326412324221</v>
      </c>
      <c r="N51" s="13">
        <f t="shared" si="14"/>
        <v>6.5043499999999312</v>
      </c>
      <c r="O51" s="13">
        <v>32</v>
      </c>
      <c r="P51">
        <f t="shared" si="7"/>
        <v>7.1395742136429403</v>
      </c>
      <c r="Q51" s="85"/>
    </row>
    <row r="52" spans="1:18" x14ac:dyDescent="0.35">
      <c r="A52" s="85"/>
      <c r="B52" s="85"/>
      <c r="C52" s="13"/>
      <c r="D52" s="13"/>
      <c r="E52" s="13"/>
      <c r="F52" s="13">
        <v>528.20668999999998</v>
      </c>
      <c r="G52" s="13">
        <v>530.54768999999999</v>
      </c>
      <c r="H52" s="13">
        <f t="shared" si="8"/>
        <v>2.3410000000000082</v>
      </c>
      <c r="I52" s="13">
        <f t="shared" si="9"/>
        <v>6.2222699999999804</v>
      </c>
      <c r="J52" s="13">
        <f t="shared" si="10"/>
        <v>0.27337687588970233</v>
      </c>
      <c r="K52" s="13">
        <f t="shared" si="11"/>
        <v>0.72662312411029761</v>
      </c>
      <c r="L52" s="13">
        <f t="shared" si="12"/>
        <v>0.42716787697564995</v>
      </c>
      <c r="M52" s="13">
        <f t="shared" si="13"/>
        <v>0.11677781968803989</v>
      </c>
      <c r="N52" s="13">
        <f t="shared" si="14"/>
        <v>8.5632699999999886</v>
      </c>
      <c r="O52" s="13">
        <v>17</v>
      </c>
      <c r="P52">
        <f t="shared" si="7"/>
        <v>7.2618539085860485</v>
      </c>
      <c r="Q52" s="85"/>
    </row>
    <row r="53" spans="1:18" x14ac:dyDescent="0.35">
      <c r="A53" s="85"/>
      <c r="B53" s="85"/>
      <c r="C53" s="13"/>
      <c r="D53" s="13"/>
      <c r="E53" s="13"/>
      <c r="F53" s="13">
        <v>536.76995999999997</v>
      </c>
      <c r="G53" s="13">
        <v>541.45248000000004</v>
      </c>
      <c r="H53" s="13">
        <f t="shared" si="8"/>
        <v>4.6825200000000677</v>
      </c>
      <c r="I53" s="13">
        <f t="shared" si="9"/>
        <v>2.073880000000031</v>
      </c>
      <c r="J53" s="13">
        <f t="shared" si="10"/>
        <v>0.69304955301639914</v>
      </c>
      <c r="K53" s="13">
        <f t="shared" si="11"/>
        <v>0.30695044698360086</v>
      </c>
      <c r="L53" s="13">
        <f t="shared" si="12"/>
        <v>0.21356021971075095</v>
      </c>
      <c r="M53" s="13">
        <f t="shared" si="13"/>
        <v>0.14800781481261993</v>
      </c>
      <c r="N53" s="13">
        <f t="shared" si="14"/>
        <v>6.7564000000000988</v>
      </c>
      <c r="O53" s="13">
        <v>33</v>
      </c>
      <c r="P53">
        <f t="shared" si="7"/>
        <v>7.0474872504547816</v>
      </c>
      <c r="Q53" s="85"/>
    </row>
    <row r="54" spans="1:18" x14ac:dyDescent="0.35">
      <c r="A54" s="85"/>
      <c r="B54" s="144">
        <v>548.57519000000002</v>
      </c>
      <c r="C54" s="91">
        <v>554.50857999999994</v>
      </c>
      <c r="D54" s="91"/>
      <c r="E54" s="91"/>
      <c r="F54" s="91">
        <v>543.52636000000007</v>
      </c>
      <c r="G54" s="91">
        <v>544.87943999999993</v>
      </c>
      <c r="H54" s="91">
        <f t="shared" si="8"/>
        <v>1.3530799999998635</v>
      </c>
      <c r="I54" s="91">
        <f t="shared" si="9"/>
        <v>10.867190000000051</v>
      </c>
      <c r="J54" s="91">
        <f t="shared" si="10"/>
        <v>0.11072423113399893</v>
      </c>
      <c r="K54" s="91">
        <f t="shared" si="11"/>
        <v>0.88927576886600113</v>
      </c>
      <c r="L54" s="91">
        <f t="shared" si="12"/>
        <v>0.73905460135402257</v>
      </c>
      <c r="M54" s="91">
        <f t="shared" si="13"/>
        <v>8.1831252500968232E-2</v>
      </c>
      <c r="N54" s="91">
        <f t="shared" si="14"/>
        <v>12.220269999999914</v>
      </c>
      <c r="O54" s="13">
        <v>11</v>
      </c>
      <c r="P54">
        <f t="shared" si="7"/>
        <v>8.1296006148942492</v>
      </c>
      <c r="Q54" s="85"/>
    </row>
    <row r="55" spans="1:18" x14ac:dyDescent="0.35">
      <c r="A55" s="85"/>
      <c r="B55" s="85"/>
      <c r="C55" s="13"/>
      <c r="D55" s="13"/>
      <c r="E55" s="13"/>
      <c r="F55" s="13">
        <v>555.74662999999998</v>
      </c>
      <c r="G55" s="13">
        <v>560.44585000000006</v>
      </c>
      <c r="H55" s="13">
        <f t="shared" si="8"/>
        <v>4.6992200000000821</v>
      </c>
      <c r="I55" s="13">
        <f t="shared" si="9"/>
        <v>1.9377700000000004</v>
      </c>
      <c r="J55" s="13">
        <f t="shared" si="10"/>
        <v>0.70803481698782489</v>
      </c>
      <c r="K55" s="13">
        <f t="shared" si="11"/>
        <v>0.29196518301217517</v>
      </c>
      <c r="L55" s="13">
        <f t="shared" si="12"/>
        <v>0.21280127340281632</v>
      </c>
      <c r="M55" s="13">
        <f t="shared" si="13"/>
        <v>0.15067071066853913</v>
      </c>
      <c r="N55" s="13">
        <f t="shared" si="14"/>
        <v>6.6369900000000825</v>
      </c>
      <c r="O55" s="13">
        <v>31</v>
      </c>
      <c r="P55">
        <f t="shared" si="7"/>
        <v>6.5968394754873056</v>
      </c>
      <c r="Q55" s="85"/>
    </row>
    <row r="56" spans="1:18" x14ac:dyDescent="0.35">
      <c r="A56" s="85"/>
      <c r="B56" s="85"/>
      <c r="C56" s="13"/>
      <c r="D56" s="13"/>
      <c r="E56" s="13"/>
      <c r="F56" s="13">
        <v>562.38362000000006</v>
      </c>
      <c r="G56" s="13">
        <v>565.74932000000001</v>
      </c>
      <c r="H56" s="13">
        <f t="shared" si="8"/>
        <v>3.3656999999999471</v>
      </c>
      <c r="I56" s="13">
        <f t="shared" si="9"/>
        <v>5.1811900000000151</v>
      </c>
      <c r="J56" s="13">
        <f t="shared" si="10"/>
        <v>0.39379236190005512</v>
      </c>
      <c r="K56" s="13">
        <f t="shared" si="11"/>
        <v>0.60620763809994493</v>
      </c>
      <c r="L56" s="13">
        <f t="shared" si="12"/>
        <v>0.29711501322162276</v>
      </c>
      <c r="M56" s="13">
        <f t="shared" si="13"/>
        <v>0.11700162281250893</v>
      </c>
      <c r="N56" s="13">
        <f t="shared" si="14"/>
        <v>8.5468899999999621</v>
      </c>
      <c r="O56" s="13">
        <v>17</v>
      </c>
      <c r="P56">
        <f t="shared" si="7"/>
        <v>5.0509552247675868</v>
      </c>
      <c r="Q56" s="85"/>
    </row>
    <row r="57" spans="1:18" x14ac:dyDescent="0.35">
      <c r="A57" s="85"/>
      <c r="B57" s="85"/>
      <c r="C57" s="13"/>
      <c r="D57" s="13"/>
      <c r="E57" s="13"/>
      <c r="F57" s="13">
        <v>570.93051000000003</v>
      </c>
      <c r="G57" s="13">
        <v>574.69072000000006</v>
      </c>
      <c r="H57" s="13">
        <f t="shared" si="8"/>
        <v>3.7602100000000291</v>
      </c>
      <c r="I57" s="13">
        <f t="shared" si="9"/>
        <v>2.7711499999999205</v>
      </c>
      <c r="J57" s="13">
        <f t="shared" si="10"/>
        <v>0.57571623674090211</v>
      </c>
      <c r="K57" s="13">
        <f t="shared" si="11"/>
        <v>0.42428376325909795</v>
      </c>
      <c r="L57" s="13">
        <f t="shared" si="12"/>
        <v>0.26594259363173661</v>
      </c>
      <c r="M57" s="13">
        <f t="shared" si="13"/>
        <v>0.15310746919477838</v>
      </c>
      <c r="N57" s="13">
        <f t="shared" si="14"/>
        <v>6.5313599999999497</v>
      </c>
      <c r="O57" s="13">
        <v>30</v>
      </c>
      <c r="P57">
        <f t="shared" si="7"/>
        <v>7.9782778089520976</v>
      </c>
      <c r="Q57" s="85"/>
    </row>
    <row r="58" spans="1:18" x14ac:dyDescent="0.35">
      <c r="A58" s="85"/>
      <c r="B58" s="85"/>
      <c r="C58" s="13"/>
      <c r="D58" s="13"/>
      <c r="E58" s="13"/>
      <c r="F58" s="13">
        <v>577.46186999999998</v>
      </c>
      <c r="G58" s="13">
        <v>580.07272999999998</v>
      </c>
      <c r="H58" s="13">
        <f t="shared" si="8"/>
        <v>2.6108600000000024</v>
      </c>
      <c r="I58" s="13">
        <f t="shared" si="9"/>
        <v>5.9393499999999904</v>
      </c>
      <c r="J58" s="13">
        <f t="shared" si="10"/>
        <v>0.30535624271216782</v>
      </c>
      <c r="K58" s="13">
        <f t="shared" si="11"/>
        <v>0.69464375728783212</v>
      </c>
      <c r="L58" s="13">
        <f t="shared" si="12"/>
        <v>0.38301555809196935</v>
      </c>
      <c r="M58" s="13">
        <f t="shared" si="13"/>
        <v>0.11695619171926781</v>
      </c>
      <c r="N58" s="13">
        <f t="shared" si="14"/>
        <v>8.5502099999999928</v>
      </c>
      <c r="O58" s="13">
        <v>18</v>
      </c>
      <c r="P58">
        <f t="shared" si="7"/>
        <v>6.8942800456554485</v>
      </c>
      <c r="Q58" s="85"/>
    </row>
    <row r="59" spans="1:18" x14ac:dyDescent="0.35">
      <c r="A59" s="85"/>
      <c r="B59" s="85"/>
      <c r="C59" s="13"/>
      <c r="D59" s="13"/>
      <c r="E59" s="13"/>
      <c r="F59" s="13">
        <v>586.01207999999997</v>
      </c>
      <c r="G59" s="13">
        <v>590.71368000000007</v>
      </c>
      <c r="H59" s="13">
        <f t="shared" si="8"/>
        <v>4.7016000000000986</v>
      </c>
      <c r="I59" s="13">
        <f t="shared" si="9"/>
        <v>3.1521299999999428</v>
      </c>
      <c r="J59" s="13">
        <f t="shared" si="10"/>
        <v>0.59864548437494969</v>
      </c>
      <c r="K59" s="13">
        <f t="shared" si="11"/>
        <v>0.40135451562505031</v>
      </c>
      <c r="L59" s="13">
        <f t="shared" si="12"/>
        <v>0.21269355113152524</v>
      </c>
      <c r="M59" s="13">
        <f t="shared" si="13"/>
        <v>0.12732803394056005</v>
      </c>
      <c r="N59" s="13">
        <f t="shared" si="14"/>
        <v>7.8537300000000414</v>
      </c>
      <c r="O59" s="13">
        <v>32</v>
      </c>
      <c r="P59">
        <f t="shared" si="7"/>
        <v>6.8061936362088078</v>
      </c>
      <c r="Q59" s="85"/>
    </row>
    <row r="60" spans="1:18" x14ac:dyDescent="0.35">
      <c r="A60" s="85"/>
      <c r="B60" s="85"/>
      <c r="C60" s="13"/>
      <c r="D60" s="13"/>
      <c r="E60" s="13"/>
      <c r="F60" s="13">
        <v>593.86581000000001</v>
      </c>
      <c r="G60" s="13">
        <v>596.49473</v>
      </c>
      <c r="H60" s="13">
        <f t="shared" si="8"/>
        <v>2.6289199999999937</v>
      </c>
      <c r="I60" s="13">
        <f t="shared" si="9"/>
        <v>5.9131800000000112</v>
      </c>
      <c r="J60" s="13">
        <f t="shared" si="10"/>
        <v>0.30776038679013268</v>
      </c>
      <c r="K60" s="13">
        <f t="shared" si="11"/>
        <v>0.69223961320986738</v>
      </c>
      <c r="L60" s="13">
        <f t="shared" si="12"/>
        <v>0.38038434033747792</v>
      </c>
      <c r="M60" s="13">
        <f t="shared" si="13"/>
        <v>0.11706723171117166</v>
      </c>
      <c r="N60" s="13">
        <f t="shared" si="14"/>
        <v>8.5421000000000049</v>
      </c>
      <c r="O60" s="13">
        <v>17</v>
      </c>
      <c r="P60">
        <f t="shared" si="7"/>
        <v>6.4665337857371243</v>
      </c>
      <c r="Q60" s="85"/>
    </row>
    <row r="61" spans="1:18" x14ac:dyDescent="0.35">
      <c r="A61" s="85"/>
      <c r="B61" s="85"/>
      <c r="C61" s="13"/>
      <c r="D61" s="13"/>
      <c r="E61" s="13"/>
      <c r="F61" s="13">
        <v>602.40791000000002</v>
      </c>
      <c r="G61" s="13">
        <v>607.04737</v>
      </c>
      <c r="H61" s="13">
        <f t="shared" si="8"/>
        <v>4.6394599999999855</v>
      </c>
      <c r="I61" s="13">
        <f t="shared" si="9"/>
        <v>3.1544000000000096</v>
      </c>
      <c r="J61" s="13">
        <f t="shared" si="10"/>
        <v>0.5952711493406333</v>
      </c>
      <c r="K61" s="13">
        <f t="shared" si="11"/>
        <v>0.4047288506593667</v>
      </c>
      <c r="L61" s="13">
        <f t="shared" si="12"/>
        <v>0.21554232604656645</v>
      </c>
      <c r="M61" s="13">
        <f t="shared" si="13"/>
        <v>0.12830612815729314</v>
      </c>
      <c r="N61" s="13">
        <f t="shared" si="14"/>
        <v>7.7938599999999951</v>
      </c>
      <c r="O61" s="13">
        <v>31</v>
      </c>
      <c r="P61">
        <f t="shared" si="7"/>
        <v>6.6818121074435597</v>
      </c>
      <c r="Q61" s="85"/>
      <c r="R61" t="s">
        <v>636</v>
      </c>
    </row>
    <row r="62" spans="1:18" x14ac:dyDescent="0.35">
      <c r="A62" s="85"/>
      <c r="B62" s="144">
        <v>616.05763000000002</v>
      </c>
      <c r="C62" s="91">
        <v>621.99101999999993</v>
      </c>
      <c r="D62" s="91"/>
      <c r="E62" s="91"/>
      <c r="F62" s="91">
        <v>610.20177000000001</v>
      </c>
      <c r="G62" s="91">
        <v>612.75954000000002</v>
      </c>
      <c r="H62" s="91">
        <f t="shared" si="8"/>
        <v>2.557770000000005</v>
      </c>
      <c r="I62" s="91">
        <f t="shared" si="9"/>
        <v>10.80618000000004</v>
      </c>
      <c r="J62" s="91">
        <f t="shared" si="10"/>
        <v>0.19139326321933234</v>
      </c>
      <c r="K62" s="91">
        <f t="shared" si="11"/>
        <v>0.80860673678066763</v>
      </c>
      <c r="L62" s="91">
        <f t="shared" si="12"/>
        <v>0.39096556766245522</v>
      </c>
      <c r="M62" s="91">
        <f t="shared" si="13"/>
        <v>7.4828175801315969E-2</v>
      </c>
      <c r="N62" s="91">
        <f t="shared" si="14"/>
        <v>13.363950000000045</v>
      </c>
      <c r="O62" s="13">
        <v>17</v>
      </c>
      <c r="P62">
        <f t="shared" si="7"/>
        <v>6.6464146502617387</v>
      </c>
      <c r="Q62" s="85"/>
    </row>
    <row r="63" spans="1:18" x14ac:dyDescent="0.35">
      <c r="A63" s="85"/>
      <c r="B63" s="85"/>
      <c r="C63" s="13"/>
      <c r="D63" s="13"/>
      <c r="E63" s="13"/>
      <c r="F63" s="13">
        <v>623.56572000000006</v>
      </c>
      <c r="G63" s="13">
        <v>627.30435999999997</v>
      </c>
      <c r="H63" s="13">
        <f t="shared" si="8"/>
        <v>3.7386399999999185</v>
      </c>
      <c r="I63" s="13">
        <f t="shared" si="9"/>
        <v>2.9231300000000147</v>
      </c>
      <c r="J63" s="13">
        <f t="shared" si="10"/>
        <v>0.56120820742834954</v>
      </c>
      <c r="K63" s="13">
        <f t="shared" si="11"/>
        <v>0.43879179257165046</v>
      </c>
      <c r="L63" s="13">
        <f t="shared" si="12"/>
        <v>0.26747694348747719</v>
      </c>
      <c r="M63" s="13">
        <f t="shared" si="13"/>
        <v>0.15011025598302102</v>
      </c>
      <c r="N63" s="13">
        <f t="shared" si="14"/>
        <v>6.6617699999999331</v>
      </c>
      <c r="O63" s="13">
        <v>29</v>
      </c>
      <c r="P63">
        <f t="shared" si="7"/>
        <v>7.7568313611368396</v>
      </c>
      <c r="Q63" s="85"/>
    </row>
    <row r="64" spans="1:18" x14ac:dyDescent="0.35">
      <c r="A64" s="85"/>
      <c r="B64" s="85"/>
      <c r="C64" s="13"/>
      <c r="D64" s="13"/>
      <c r="E64" s="13"/>
      <c r="F64" s="13">
        <v>630.22748999999999</v>
      </c>
      <c r="G64" s="13">
        <v>633.88750000000005</v>
      </c>
      <c r="H64" s="13">
        <f t="shared" si="8"/>
        <v>3.6600100000000566</v>
      </c>
      <c r="I64" s="13">
        <f t="shared" si="9"/>
        <v>6.0309799999999996</v>
      </c>
      <c r="J64" s="13">
        <f t="shared" si="10"/>
        <v>0.37767142469448789</v>
      </c>
      <c r="K64" s="13">
        <f t="shared" si="11"/>
        <v>0.62232857530551211</v>
      </c>
      <c r="L64" s="13">
        <f t="shared" si="12"/>
        <v>0.27322329720410177</v>
      </c>
      <c r="M64" s="13">
        <f t="shared" si="13"/>
        <v>0.10318863191479861</v>
      </c>
      <c r="N64" s="13">
        <f t="shared" si="14"/>
        <v>9.6909900000000562</v>
      </c>
      <c r="O64" s="13">
        <v>22</v>
      </c>
      <c r="P64">
        <f t="shared" si="7"/>
        <v>6.0109125384902393</v>
      </c>
      <c r="Q64" s="85"/>
    </row>
    <row r="65" spans="1:17" x14ac:dyDescent="0.35">
      <c r="A65" s="85"/>
      <c r="B65" s="85"/>
      <c r="C65" s="13"/>
      <c r="D65" s="13"/>
      <c r="E65" s="13"/>
      <c r="F65" s="13">
        <v>639.91848000000005</v>
      </c>
      <c r="G65" s="13">
        <v>644.63246000000004</v>
      </c>
      <c r="H65" s="13">
        <f t="shared" ref="H65:H73" si="15">G65-F65</f>
        <v>4.7139799999999923</v>
      </c>
      <c r="I65" s="13">
        <f t="shared" ref="I65:I72" si="16">F66-G65</f>
        <v>3.2451699999999164</v>
      </c>
      <c r="J65" s="13">
        <f t="shared" ref="J65:J72" si="17">H65/N65</f>
        <v>0.59227178781654399</v>
      </c>
      <c r="K65" s="13">
        <f t="shared" ref="K65:K72" si="18">I65/N65</f>
        <v>0.40772821218345595</v>
      </c>
      <c r="L65" s="13">
        <f t="shared" ref="L65:L72" si="19">1/H65</f>
        <v>0.21213496875251944</v>
      </c>
      <c r="M65" s="13">
        <f t="shared" ref="M65:M72" si="20">1/N65</f>
        <v>0.12564155720146139</v>
      </c>
      <c r="N65" s="13">
        <f t="shared" ref="N65:N72" si="21">H65+I65</f>
        <v>7.9591499999999087</v>
      </c>
      <c r="O65" s="13">
        <v>33</v>
      </c>
      <c r="P65">
        <f t="shared" si="7"/>
        <v>7.000453968833142</v>
      </c>
      <c r="Q65" s="85"/>
    </row>
    <row r="66" spans="1:17" x14ac:dyDescent="0.35">
      <c r="A66" s="85"/>
      <c r="B66" s="144">
        <v>653.01769999999999</v>
      </c>
      <c r="C66" s="91">
        <v>658.95109000000002</v>
      </c>
      <c r="D66" s="91"/>
      <c r="E66" s="91"/>
      <c r="F66" s="91">
        <v>647.87762999999995</v>
      </c>
      <c r="G66" s="91">
        <v>650.50335999999993</v>
      </c>
      <c r="H66" s="91">
        <f t="shared" si="15"/>
        <v>2.6257299999999759</v>
      </c>
      <c r="I66" s="91">
        <f t="shared" si="16"/>
        <v>9.9503600000000461</v>
      </c>
      <c r="J66" s="91">
        <f t="shared" si="17"/>
        <v>0.20878746891919281</v>
      </c>
      <c r="K66" s="91">
        <f t="shared" si="18"/>
        <v>0.79121253108080725</v>
      </c>
      <c r="L66" s="91">
        <f t="shared" si="19"/>
        <v>0.38084646936280925</v>
      </c>
      <c r="M66" s="91">
        <f t="shared" si="20"/>
        <v>7.9515970385071855E-2</v>
      </c>
      <c r="N66" s="91">
        <f t="shared" si="21"/>
        <v>12.576090000000022</v>
      </c>
      <c r="O66" s="13">
        <v>17</v>
      </c>
      <c r="P66">
        <f t="shared" si="7"/>
        <v>6.4743899791677579</v>
      </c>
      <c r="Q66" s="85"/>
    </row>
    <row r="67" spans="1:17" x14ac:dyDescent="0.35">
      <c r="A67" s="85"/>
      <c r="B67" s="85"/>
      <c r="C67" s="13"/>
      <c r="D67" s="13"/>
      <c r="E67" s="13"/>
      <c r="F67" s="13">
        <v>660.45371999999998</v>
      </c>
      <c r="G67" s="13">
        <v>665.00799000000006</v>
      </c>
      <c r="H67" s="13">
        <f t="shared" si="15"/>
        <v>4.5542700000000877</v>
      </c>
      <c r="I67" s="13">
        <f t="shared" si="16"/>
        <v>2.0559200000000146</v>
      </c>
      <c r="J67" s="13">
        <f t="shared" si="17"/>
        <v>0.68897717009647486</v>
      </c>
      <c r="K67" s="13">
        <f t="shared" si="18"/>
        <v>0.31102282990352514</v>
      </c>
      <c r="L67" s="13">
        <f t="shared" si="19"/>
        <v>0.21957415787820678</v>
      </c>
      <c r="M67" s="13">
        <f t="shared" si="20"/>
        <v>0.1512815819212435</v>
      </c>
      <c r="N67" s="13">
        <f t="shared" si="21"/>
        <v>6.6101900000001024</v>
      </c>
      <c r="O67" s="13">
        <v>31</v>
      </c>
      <c r="P67">
        <f t="shared" si="7"/>
        <v>6.8067988942244098</v>
      </c>
      <c r="Q67" s="85"/>
    </row>
    <row r="68" spans="1:17" x14ac:dyDescent="0.35">
      <c r="A68" s="85"/>
      <c r="B68" s="85"/>
      <c r="C68" s="13"/>
      <c r="D68" s="13"/>
      <c r="E68" s="13"/>
      <c r="F68" s="13">
        <v>667.06391000000008</v>
      </c>
      <c r="G68" s="13">
        <v>670.44119000000001</v>
      </c>
      <c r="H68" s="13">
        <f t="shared" si="15"/>
        <v>3.3772799999999279</v>
      </c>
      <c r="I68" s="13">
        <f t="shared" si="16"/>
        <v>5.2928200000000061</v>
      </c>
      <c r="J68" s="13">
        <f t="shared" si="17"/>
        <v>0.3895318393098065</v>
      </c>
      <c r="K68" s="13">
        <f t="shared" si="18"/>
        <v>0.6104681606901935</v>
      </c>
      <c r="L68" s="13">
        <f t="shared" si="19"/>
        <v>0.29609626681827428</v>
      </c>
      <c r="M68" s="13">
        <f t="shared" si="20"/>
        <v>0.11533892342648962</v>
      </c>
      <c r="N68" s="13">
        <f t="shared" si="21"/>
        <v>8.670099999999934</v>
      </c>
      <c r="O68" s="13">
        <v>18</v>
      </c>
      <c r="P68">
        <f t="shared" si="7"/>
        <v>5.3297328027289366</v>
      </c>
      <c r="Q68" s="85"/>
    </row>
    <row r="69" spans="1:17" x14ac:dyDescent="0.35">
      <c r="A69" s="85"/>
      <c r="B69" s="85"/>
      <c r="C69" s="13"/>
      <c r="D69" s="13"/>
      <c r="E69" s="13"/>
      <c r="F69" s="13">
        <v>675.73401000000001</v>
      </c>
      <c r="G69" s="13">
        <v>679.45183999999995</v>
      </c>
      <c r="H69" s="13">
        <f t="shared" si="15"/>
        <v>3.7178299999999354</v>
      </c>
      <c r="I69" s="13">
        <f t="shared" si="16"/>
        <v>2.8658700000000863</v>
      </c>
      <c r="J69" s="13">
        <f t="shared" si="17"/>
        <v>0.56470221911689822</v>
      </c>
      <c r="K69" s="13">
        <f t="shared" si="18"/>
        <v>0.43529778088310173</v>
      </c>
      <c r="L69" s="13">
        <f t="shared" si="19"/>
        <v>0.26897410586283327</v>
      </c>
      <c r="M69" s="13">
        <f t="shared" si="20"/>
        <v>0.15189027446572545</v>
      </c>
      <c r="N69" s="13">
        <f t="shared" si="21"/>
        <v>6.5837000000000216</v>
      </c>
      <c r="O69" s="13">
        <v>30</v>
      </c>
      <c r="P69">
        <f t="shared" si="7"/>
        <v>8.0692231758849982</v>
      </c>
      <c r="Q69" s="85"/>
    </row>
    <row r="70" spans="1:17" x14ac:dyDescent="0.35">
      <c r="A70" s="85"/>
      <c r="B70" s="85"/>
      <c r="C70" s="13"/>
      <c r="D70" s="13"/>
      <c r="E70" s="13"/>
      <c r="F70" s="13">
        <v>682.31771000000003</v>
      </c>
      <c r="G70" s="13">
        <v>685.01085</v>
      </c>
      <c r="H70" s="13">
        <f t="shared" si="15"/>
        <v>2.6931399999999712</v>
      </c>
      <c r="I70" s="13">
        <f t="shared" si="16"/>
        <v>6.0418899999999667</v>
      </c>
      <c r="J70" s="13">
        <f t="shared" si="17"/>
        <v>0.30831491133974243</v>
      </c>
      <c r="K70" s="13">
        <f t="shared" si="18"/>
        <v>0.69168508866025757</v>
      </c>
      <c r="L70" s="13">
        <f t="shared" si="19"/>
        <v>0.37131378242498003</v>
      </c>
      <c r="M70" s="13">
        <f t="shared" si="20"/>
        <v>0.11448157590758212</v>
      </c>
      <c r="N70" s="13">
        <f t="shared" si="21"/>
        <v>8.7350299999999379</v>
      </c>
      <c r="O70" s="13">
        <v>17</v>
      </c>
      <c r="P70">
        <f t="shared" si="7"/>
        <v>6.3123343012246602</v>
      </c>
      <c r="Q70" s="85"/>
    </row>
    <row r="71" spans="1:17" x14ac:dyDescent="0.35">
      <c r="A71" s="85"/>
      <c r="B71" s="85"/>
      <c r="C71" s="13"/>
      <c r="D71" s="13"/>
      <c r="E71" s="13"/>
      <c r="F71" s="13">
        <v>691.05273999999997</v>
      </c>
      <c r="G71" s="13">
        <v>694.66377999999997</v>
      </c>
      <c r="H71" s="13">
        <f t="shared" si="15"/>
        <v>3.6110400000000027</v>
      </c>
      <c r="I71" s="13">
        <f t="shared" si="16"/>
        <v>2.9847600000000511</v>
      </c>
      <c r="J71" s="13">
        <f t="shared" si="17"/>
        <v>0.54747566633311706</v>
      </c>
      <c r="K71" s="13">
        <f t="shared" si="18"/>
        <v>0.45252433366688299</v>
      </c>
      <c r="L71" s="13">
        <f t="shared" si="19"/>
        <v>0.27692853028490388</v>
      </c>
      <c r="M71" s="13">
        <f t="shared" si="20"/>
        <v>0.15161163164437852</v>
      </c>
      <c r="N71" s="13">
        <f t="shared" si="21"/>
        <v>6.5958000000000538</v>
      </c>
      <c r="O71" s="13">
        <v>27</v>
      </c>
      <c r="P71">
        <f t="shared" si="7"/>
        <v>7.4770703176924043</v>
      </c>
      <c r="Q71" s="85"/>
    </row>
    <row r="72" spans="1:17" x14ac:dyDescent="0.35">
      <c r="B72" s="91">
        <v>703.00181999999995</v>
      </c>
      <c r="C72" s="91">
        <v>708.93520999999998</v>
      </c>
      <c r="D72" s="91"/>
      <c r="E72" s="91"/>
      <c r="F72" s="91">
        <v>697.64854000000003</v>
      </c>
      <c r="G72" s="91">
        <v>700.22924</v>
      </c>
      <c r="H72" s="91">
        <f t="shared" si="15"/>
        <v>2.5806999999999789</v>
      </c>
      <c r="I72" s="91">
        <f t="shared" si="16"/>
        <v>11.178899999999999</v>
      </c>
      <c r="J72" s="91">
        <f t="shared" si="17"/>
        <v>0.18755632431175201</v>
      </c>
      <c r="K72" s="91">
        <f t="shared" si="18"/>
        <v>0.81244367568824793</v>
      </c>
      <c r="L72" s="91">
        <f t="shared" si="19"/>
        <v>0.3874917657999799</v>
      </c>
      <c r="M72" s="91">
        <f t="shared" si="20"/>
        <v>7.2676531294514499E-2</v>
      </c>
      <c r="N72" s="91">
        <f t="shared" si="21"/>
        <v>13.759599999999978</v>
      </c>
      <c r="O72" s="13">
        <v>15</v>
      </c>
      <c r="P72">
        <f>O72/H72</f>
        <v>5.8123764869996988</v>
      </c>
    </row>
    <row r="73" spans="1:17" x14ac:dyDescent="0.35">
      <c r="B73" s="2"/>
      <c r="C73" s="2"/>
      <c r="D73" s="2"/>
      <c r="E73" s="2"/>
      <c r="F73" s="13">
        <v>711.40814</v>
      </c>
      <c r="G73" s="13">
        <v>715.11625000000004</v>
      </c>
      <c r="H73" s="13">
        <f t="shared" si="15"/>
        <v>3.7081100000000333</v>
      </c>
      <c r="I73" s="13"/>
      <c r="J73" s="13"/>
      <c r="K73" s="13"/>
      <c r="L73" s="13"/>
      <c r="M73" s="13"/>
      <c r="N73" s="13"/>
      <c r="O73" s="2">
        <v>27</v>
      </c>
      <c r="P73">
        <f>O73/H73</f>
        <v>7.2813373929035974</v>
      </c>
    </row>
    <row r="74" spans="1:17" x14ac:dyDescent="0.35">
      <c r="B74" s="2"/>
      <c r="C74" s="2"/>
      <c r="D74" s="2"/>
      <c r="E74" s="2"/>
      <c r="F74" s="2"/>
      <c r="G74" s="2"/>
      <c r="H74" s="2"/>
      <c r="I74" s="2"/>
      <c r="J74" s="2"/>
      <c r="K74" s="2"/>
      <c r="L74" s="2"/>
      <c r="M74" s="2"/>
      <c r="N74" s="2"/>
      <c r="O74" s="2"/>
    </row>
    <row r="75" spans="1:17" ht="16" thickBot="1" x14ac:dyDescent="0.4">
      <c r="B75" s="2"/>
      <c r="C75" s="2"/>
      <c r="D75" s="2"/>
      <c r="E75" s="2" t="s">
        <v>75</v>
      </c>
      <c r="F75" s="2"/>
      <c r="G75" s="2"/>
      <c r="H75" s="9" t="s">
        <v>3</v>
      </c>
      <c r="I75" s="9" t="s">
        <v>4</v>
      </c>
      <c r="J75" s="9" t="s">
        <v>5</v>
      </c>
      <c r="K75" s="9" t="s">
        <v>6</v>
      </c>
      <c r="L75" s="9" t="s">
        <v>7</v>
      </c>
      <c r="M75" s="9" t="s">
        <v>8</v>
      </c>
      <c r="N75" s="9" t="s">
        <v>9</v>
      </c>
      <c r="O75" s="9" t="s">
        <v>10</v>
      </c>
      <c r="P75" s="44" t="s">
        <v>139</v>
      </c>
    </row>
    <row r="76" spans="1:17" x14ac:dyDescent="0.35">
      <c r="B76" s="2"/>
      <c r="C76" s="2"/>
      <c r="D76" s="2"/>
      <c r="E76" s="2"/>
      <c r="F76" s="2"/>
      <c r="G76" s="3" t="s">
        <v>77</v>
      </c>
      <c r="H76" s="3">
        <f>AVERAGE(H7:H11)</f>
        <v>8.6559259999999991</v>
      </c>
      <c r="I76" s="3">
        <f t="shared" ref="I76:P76" si="22">AVERAGE(I7:I11)</f>
        <v>6.6871540000000014</v>
      </c>
      <c r="J76" s="3">
        <f t="shared" si="22"/>
        <v>0.56216493886494212</v>
      </c>
      <c r="K76" s="3">
        <f t="shared" si="22"/>
        <v>0.43783506113505799</v>
      </c>
      <c r="L76" s="3">
        <f t="shared" si="22"/>
        <v>0.12417151673610463</v>
      </c>
      <c r="M76" s="3">
        <f t="shared" si="22"/>
        <v>6.6209967259167973E-2</v>
      </c>
      <c r="N76" s="3">
        <f t="shared" si="22"/>
        <v>15.34308</v>
      </c>
      <c r="O76" s="3">
        <f t="shared" si="22"/>
        <v>51.4</v>
      </c>
      <c r="P76" s="3">
        <f t="shared" si="22"/>
        <v>5.9614749927922572</v>
      </c>
      <c r="Q76" s="104"/>
    </row>
    <row r="77" spans="1:17" x14ac:dyDescent="0.35">
      <c r="B77" s="2"/>
      <c r="C77" s="2"/>
      <c r="D77" s="2"/>
      <c r="E77" s="2"/>
      <c r="F77" s="2"/>
      <c r="G77" s="3" t="s">
        <v>94</v>
      </c>
      <c r="H77" s="3">
        <f>_xlfn.STDEV.S(H7:H11)</f>
        <v>2.6016692744716798</v>
      </c>
      <c r="I77" s="3">
        <f t="shared" ref="I77:P77" si="23">_xlfn.STDEV.S(I7:I11)</f>
        <v>2.3543267049583418</v>
      </c>
      <c r="J77" s="3">
        <f t="shared" si="23"/>
        <v>0.13558087781424399</v>
      </c>
      <c r="K77" s="3">
        <f t="shared" si="23"/>
        <v>0.13558087781424369</v>
      </c>
      <c r="L77" s="3">
        <f t="shared" si="23"/>
        <v>3.6494118730799573E-2</v>
      </c>
      <c r="M77" s="3">
        <f t="shared" si="23"/>
        <v>9.5763180956996933E-3</v>
      </c>
      <c r="N77" s="3">
        <f t="shared" si="23"/>
        <v>2.0810702914005579</v>
      </c>
      <c r="O77" s="3">
        <f t="shared" si="23"/>
        <v>15.026643005009475</v>
      </c>
      <c r="P77" s="3">
        <f t="shared" si="23"/>
        <v>0.41658196642910816</v>
      </c>
      <c r="Q77" s="104"/>
    </row>
    <row r="78" spans="1:17" x14ac:dyDescent="0.35">
      <c r="A78" s="13"/>
      <c r="B78" s="13"/>
      <c r="C78" s="13"/>
      <c r="D78" s="13"/>
      <c r="E78" s="13"/>
      <c r="F78" s="2"/>
      <c r="G78" s="3" t="s">
        <v>95</v>
      </c>
      <c r="H78" s="49">
        <f>H77/(SQRT(5))</f>
        <v>1.1635018705382467</v>
      </c>
      <c r="I78" s="49">
        <f t="shared" ref="I78:P78" si="24">I77/(SQRT(5))</f>
        <v>1.0528869107059886</v>
      </c>
      <c r="J78" s="49">
        <f t="shared" si="24"/>
        <v>6.0633611848348534E-2</v>
      </c>
      <c r="K78" s="49">
        <f t="shared" si="24"/>
        <v>6.0633611848348395E-2</v>
      </c>
      <c r="L78" s="49">
        <f t="shared" si="24"/>
        <v>1.6320666052203239E-2</v>
      </c>
      <c r="M78" s="49">
        <f t="shared" si="24"/>
        <v>4.2826596472291699E-3</v>
      </c>
      <c r="N78" s="49">
        <f t="shared" si="24"/>
        <v>0.93068292750538861</v>
      </c>
      <c r="O78" s="49">
        <f t="shared" si="24"/>
        <v>6.7201190465645793</v>
      </c>
      <c r="P78" s="49">
        <f t="shared" si="24"/>
        <v>0.18630111902720423</v>
      </c>
      <c r="Q78" s="104"/>
    </row>
    <row r="79" spans="1:17" x14ac:dyDescent="0.35">
      <c r="A79" s="13"/>
      <c r="B79" s="13"/>
      <c r="C79" s="13"/>
      <c r="D79" s="13"/>
      <c r="E79" s="13"/>
      <c r="F79" s="2"/>
      <c r="G79" s="3"/>
      <c r="H79" s="49"/>
      <c r="I79" s="49"/>
      <c r="J79" s="49"/>
      <c r="K79" s="49"/>
      <c r="L79" s="49"/>
      <c r="M79" s="49"/>
      <c r="N79" s="49"/>
      <c r="O79" s="49"/>
      <c r="P79" s="49"/>
      <c r="Q79" s="104"/>
    </row>
    <row r="80" spans="1:17" ht="16" thickBot="1" x14ac:dyDescent="0.4">
      <c r="A80" s="13"/>
      <c r="B80" s="13"/>
      <c r="C80" s="13"/>
      <c r="D80" s="13"/>
      <c r="E80" s="13" t="s">
        <v>312</v>
      </c>
      <c r="F80" s="2"/>
      <c r="G80" s="2"/>
      <c r="H80" s="9" t="s">
        <v>3</v>
      </c>
      <c r="I80" s="9" t="s">
        <v>4</v>
      </c>
      <c r="J80" s="9" t="s">
        <v>5</v>
      </c>
      <c r="K80" s="9" t="s">
        <v>6</v>
      </c>
      <c r="L80" s="9" t="s">
        <v>7</v>
      </c>
      <c r="M80" s="9" t="s">
        <v>8</v>
      </c>
      <c r="N80" s="9" t="s">
        <v>9</v>
      </c>
      <c r="O80" s="9" t="s">
        <v>10</v>
      </c>
      <c r="P80" s="44" t="s">
        <v>139</v>
      </c>
      <c r="Q80" s="104"/>
    </row>
    <row r="81" spans="1:16" x14ac:dyDescent="0.35">
      <c r="A81" s="13"/>
      <c r="B81" s="13"/>
      <c r="C81" s="13"/>
      <c r="D81" s="13"/>
      <c r="E81" s="13"/>
      <c r="F81" s="2"/>
      <c r="G81" s="3" t="s">
        <v>77</v>
      </c>
      <c r="H81" s="2">
        <f>AVERAGE(H12,H15,H16,H17,H21,H23)</f>
        <v>2.152709999999999</v>
      </c>
      <c r="I81" s="2">
        <f t="shared" ref="I81:P81" si="25">AVERAGE(I12,I15,I16,I17,I21,I23)</f>
        <v>6.2597400000000034</v>
      </c>
      <c r="J81" s="2">
        <f t="shared" si="25"/>
        <v>0.251305203106231</v>
      </c>
      <c r="K81" s="2">
        <f t="shared" si="25"/>
        <v>0.74869479689376905</v>
      </c>
      <c r="L81" s="2">
        <f t="shared" si="25"/>
        <v>0.52675191383952835</v>
      </c>
      <c r="M81" s="2">
        <f t="shared" si="25"/>
        <v>0.12032947121135346</v>
      </c>
      <c r="N81" s="2">
        <f t="shared" si="25"/>
        <v>8.4124500000000015</v>
      </c>
      <c r="O81" s="2">
        <f t="shared" si="25"/>
        <v>19.166666666666668</v>
      </c>
      <c r="P81" s="2">
        <f t="shared" si="25"/>
        <v>9.0121597477264199</v>
      </c>
    </row>
    <row r="82" spans="1:16" x14ac:dyDescent="0.35">
      <c r="A82" s="13"/>
      <c r="B82" s="13"/>
      <c r="C82" s="13"/>
      <c r="D82" s="13"/>
      <c r="E82" s="13"/>
      <c r="F82" s="2"/>
      <c r="G82" s="3" t="s">
        <v>94</v>
      </c>
      <c r="H82" s="2">
        <f>_xlfn.STDEV.S(H12,H15,H16,H17,H21,H23)</f>
        <v>0.97330138481356276</v>
      </c>
      <c r="I82" s="2">
        <f t="shared" ref="I82:P82" si="26">_xlfn.STDEV.S(I12,I15,I16,I17,I21,I23)</f>
        <v>0.73106466315914609</v>
      </c>
      <c r="J82" s="2">
        <f t="shared" si="26"/>
        <v>8.7356327587216023E-2</v>
      </c>
      <c r="K82" s="2">
        <f t="shared" si="26"/>
        <v>8.7356327587216842E-2</v>
      </c>
      <c r="L82" s="2">
        <f t="shared" si="26"/>
        <v>0.16921026386615379</v>
      </c>
      <c r="M82" s="2">
        <f t="shared" si="26"/>
        <v>1.3796556010014921E-2</v>
      </c>
      <c r="N82" s="2">
        <f t="shared" si="26"/>
        <v>1.0727298960688956</v>
      </c>
      <c r="O82" s="2">
        <f t="shared" si="26"/>
        <v>8.8637839925545734</v>
      </c>
      <c r="P82" s="2">
        <f t="shared" si="26"/>
        <v>1.1678497946159947</v>
      </c>
    </row>
    <row r="83" spans="1:16" x14ac:dyDescent="0.35">
      <c r="A83" s="13"/>
      <c r="B83" s="13"/>
      <c r="C83" s="13"/>
      <c r="D83" s="13"/>
      <c r="E83" s="13"/>
      <c r="F83" s="2"/>
      <c r="G83" s="3" t="s">
        <v>95</v>
      </c>
      <c r="H83" s="49">
        <f>H82/(SQRT(6))</f>
        <v>0.39734862645624752</v>
      </c>
      <c r="I83" s="49">
        <f t="shared" ref="I83:O83" si="27">I82/(SQRT(6))</f>
        <v>0.2984558989532613</v>
      </c>
      <c r="J83" s="49">
        <f t="shared" si="27"/>
        <v>3.566307139868214E-2</v>
      </c>
      <c r="K83" s="49">
        <f t="shared" si="27"/>
        <v>3.5663071398682474E-2</v>
      </c>
      <c r="L83" s="49">
        <f t="shared" si="27"/>
        <v>6.9079800952296461E-2</v>
      </c>
      <c r="M83" s="49">
        <f t="shared" si="27"/>
        <v>5.6324204053775266E-3</v>
      </c>
      <c r="N83" s="49">
        <f t="shared" si="27"/>
        <v>0.43794014619960409</v>
      </c>
      <c r="O83" s="49">
        <f t="shared" si="27"/>
        <v>3.6186246620013591</v>
      </c>
      <c r="P83" s="49">
        <f>P82/(SQRT(6))</f>
        <v>0.47677268217055341</v>
      </c>
    </row>
    <row r="84" spans="1:16" x14ac:dyDescent="0.35">
      <c r="A84" s="13"/>
      <c r="B84" s="13"/>
      <c r="C84" s="13"/>
      <c r="D84" s="13"/>
      <c r="E84" s="13"/>
      <c r="F84" s="2"/>
      <c r="G84" s="3"/>
      <c r="H84" s="49"/>
      <c r="I84" s="49"/>
      <c r="J84" s="49"/>
      <c r="K84" s="49"/>
      <c r="L84" s="49"/>
      <c r="M84" s="49"/>
      <c r="N84" s="49"/>
      <c r="O84" s="49"/>
      <c r="P84" s="49"/>
    </row>
    <row r="85" spans="1:16" ht="16" thickBot="1" x14ac:dyDescent="0.4">
      <c r="A85" s="13"/>
      <c r="B85" s="13"/>
      <c r="C85" s="13"/>
      <c r="D85" s="13"/>
      <c r="E85" s="13" t="s">
        <v>301</v>
      </c>
      <c r="F85" s="2"/>
      <c r="G85" s="2"/>
      <c r="H85" s="9" t="s">
        <v>3</v>
      </c>
      <c r="I85" s="9" t="s">
        <v>4</v>
      </c>
      <c r="J85" s="9" t="s">
        <v>5</v>
      </c>
      <c r="K85" s="9" t="s">
        <v>6</v>
      </c>
      <c r="L85" s="9" t="s">
        <v>7</v>
      </c>
      <c r="M85" s="9" t="s">
        <v>8</v>
      </c>
      <c r="N85" s="9" t="s">
        <v>9</v>
      </c>
      <c r="O85" s="9" t="s">
        <v>10</v>
      </c>
      <c r="P85" s="44" t="s">
        <v>139</v>
      </c>
    </row>
    <row r="86" spans="1:16" x14ac:dyDescent="0.35">
      <c r="A86" s="13"/>
      <c r="B86" s="13"/>
      <c r="C86" s="13"/>
      <c r="D86" s="13"/>
      <c r="E86" s="13"/>
      <c r="F86" s="2"/>
      <c r="G86" s="3" t="s">
        <v>77</v>
      </c>
      <c r="H86" s="2">
        <f>AVERAGE(H13,H18,H22,H24)</f>
        <v>8.2284024999999872</v>
      </c>
      <c r="I86" s="2">
        <f t="shared" ref="I86:P86" si="28">AVERAGE(I13,I18,I22,I24)</f>
        <v>5.5198699999999974</v>
      </c>
      <c r="J86" s="2">
        <f t="shared" si="28"/>
        <v>0.58870508539231792</v>
      </c>
      <c r="K86" s="2">
        <f t="shared" si="28"/>
        <v>0.41129491460768214</v>
      </c>
      <c r="L86" s="2">
        <f t="shared" si="28"/>
        <v>0.12993380824272102</v>
      </c>
      <c r="M86" s="2">
        <f t="shared" si="28"/>
        <v>7.3913933919556044E-2</v>
      </c>
      <c r="N86" s="2">
        <f t="shared" si="28"/>
        <v>13.748272499999985</v>
      </c>
      <c r="O86" s="2">
        <f t="shared" si="28"/>
        <v>58.5</v>
      </c>
      <c r="P86" s="2">
        <f t="shared" si="28"/>
        <v>7.2607309239863653</v>
      </c>
    </row>
    <row r="87" spans="1:16" x14ac:dyDescent="0.35">
      <c r="A87" s="13"/>
      <c r="B87" s="13"/>
      <c r="C87" s="13"/>
      <c r="D87" s="13"/>
      <c r="E87" s="13"/>
      <c r="F87" s="2"/>
      <c r="G87" s="3" t="s">
        <v>94</v>
      </c>
      <c r="H87" s="2">
        <f>_xlfn.STDEV.S(H13,H18,H22,H24)</f>
        <v>2.4837444651355955</v>
      </c>
      <c r="I87" s="2">
        <f t="shared" ref="I87:P87" si="29">_xlfn.STDEV.S(I13,I18,I22,I24)</f>
        <v>0.50394838207894688</v>
      </c>
      <c r="J87" s="2">
        <f t="shared" si="29"/>
        <v>9.1665586566378604E-2</v>
      </c>
      <c r="K87" s="2">
        <f t="shared" si="29"/>
        <v>9.1665586566378604E-2</v>
      </c>
      <c r="L87" s="2">
        <f t="shared" si="29"/>
        <v>3.7617987759021289E-2</v>
      </c>
      <c r="M87" s="2">
        <f t="shared" si="29"/>
        <v>1.0477068928235812E-2</v>
      </c>
      <c r="N87" s="2">
        <f t="shared" si="29"/>
        <v>2.0682989613105631</v>
      </c>
      <c r="O87" s="2">
        <f t="shared" si="29"/>
        <v>12.396235987858034</v>
      </c>
      <c r="P87" s="2">
        <f t="shared" si="29"/>
        <v>0.72059449413536614</v>
      </c>
    </row>
    <row r="88" spans="1:16" x14ac:dyDescent="0.35">
      <c r="A88" s="13"/>
      <c r="B88" s="13"/>
      <c r="C88" s="13"/>
      <c r="D88" s="13"/>
      <c r="E88" s="13"/>
      <c r="F88" s="2"/>
      <c r="G88" s="3" t="s">
        <v>95</v>
      </c>
      <c r="H88" s="49">
        <f>H87/(SQRT(4))</f>
        <v>1.2418722325677978</v>
      </c>
      <c r="I88" s="49">
        <f t="shared" ref="I88:P88" si="30">I87/(SQRT(4))</f>
        <v>0.25197419103947344</v>
      </c>
      <c r="J88" s="49">
        <f t="shared" si="30"/>
        <v>4.5832793283189302E-2</v>
      </c>
      <c r="K88" s="49">
        <f t="shared" si="30"/>
        <v>4.5832793283189302E-2</v>
      </c>
      <c r="L88" s="49">
        <f t="shared" si="30"/>
        <v>1.8808993879510644E-2</v>
      </c>
      <c r="M88" s="49">
        <f t="shared" si="30"/>
        <v>5.238534464117906E-3</v>
      </c>
      <c r="N88" s="49">
        <f t="shared" si="30"/>
        <v>1.0341494806552816</v>
      </c>
      <c r="O88" s="49">
        <f t="shared" si="30"/>
        <v>6.1981179939290172</v>
      </c>
      <c r="P88" s="49">
        <f t="shared" si="30"/>
        <v>0.36029724706768307</v>
      </c>
    </row>
    <row r="89" spans="1:16" x14ac:dyDescent="0.35">
      <c r="A89" s="13"/>
      <c r="B89" s="13"/>
      <c r="C89" s="13"/>
      <c r="D89" s="13"/>
      <c r="E89" s="13"/>
      <c r="F89" s="2"/>
      <c r="G89" s="3"/>
      <c r="H89" s="49"/>
      <c r="I89" s="49"/>
      <c r="J89" s="49"/>
      <c r="K89" s="49"/>
      <c r="L89" s="49"/>
      <c r="M89" s="49"/>
      <c r="N89" s="49"/>
      <c r="O89" s="49"/>
      <c r="P89" s="49"/>
    </row>
    <row r="90" spans="1:16" x14ac:dyDescent="0.35">
      <c r="A90" s="13"/>
      <c r="B90" s="13"/>
      <c r="C90" s="13"/>
      <c r="D90" s="13"/>
      <c r="E90" s="13"/>
      <c r="F90" s="2"/>
      <c r="G90" s="3"/>
      <c r="H90" s="49"/>
      <c r="I90" s="49"/>
      <c r="J90" s="49"/>
      <c r="K90" s="49"/>
      <c r="L90" s="49"/>
      <c r="M90" s="49"/>
      <c r="N90" s="49"/>
      <c r="O90" s="49"/>
      <c r="P90" s="49"/>
    </row>
    <row r="91" spans="1:16" ht="16" thickBot="1" x14ac:dyDescent="0.4">
      <c r="A91" s="13"/>
      <c r="B91" s="13"/>
      <c r="C91" s="13"/>
      <c r="D91" s="13"/>
      <c r="E91" s="13" t="s">
        <v>300</v>
      </c>
      <c r="F91" s="2"/>
      <c r="G91" s="2"/>
      <c r="H91" s="9" t="s">
        <v>3</v>
      </c>
      <c r="I91" s="9" t="s">
        <v>4</v>
      </c>
      <c r="J91" s="9" t="s">
        <v>5</v>
      </c>
      <c r="K91" s="9" t="s">
        <v>6</v>
      </c>
      <c r="L91" s="9" t="s">
        <v>7</v>
      </c>
      <c r="M91" s="9" t="s">
        <v>8</v>
      </c>
      <c r="N91" s="9" t="s">
        <v>9</v>
      </c>
      <c r="O91" s="9" t="s">
        <v>10</v>
      </c>
      <c r="P91" s="44" t="s">
        <v>139</v>
      </c>
    </row>
    <row r="92" spans="1:16" x14ac:dyDescent="0.35">
      <c r="A92" s="13"/>
      <c r="B92" s="13"/>
      <c r="C92" s="13"/>
      <c r="D92" s="13"/>
      <c r="E92" s="13"/>
      <c r="F92" s="2"/>
      <c r="G92" s="3" t="s">
        <v>77</v>
      </c>
      <c r="H92" s="2">
        <f>AVERAGE(H28,H34,H36,H40,H43,H48,H54,H62,H66,H72)</f>
        <v>2.7910219999999866</v>
      </c>
      <c r="I92" s="2">
        <f t="shared" ref="I92:P92" si="31">AVERAGE(I28,I34,I36,I40,I43,I48,I54,I62,I66,I72)</f>
        <v>9.6544460000000178</v>
      </c>
      <c r="J92" s="2">
        <f t="shared" si="31"/>
        <v>0.22422741772745614</v>
      </c>
      <c r="K92" s="2">
        <f t="shared" si="31"/>
        <v>0.77577258227254398</v>
      </c>
      <c r="L92" s="2">
        <f t="shared" si="31"/>
        <v>0.39447400738797117</v>
      </c>
      <c r="M92" s="2">
        <f t="shared" si="31"/>
        <v>8.0911789333729361E-2</v>
      </c>
      <c r="N92" s="2">
        <f t="shared" si="31"/>
        <v>12.445468000000005</v>
      </c>
      <c r="O92" s="2">
        <f t="shared" si="31"/>
        <v>19</v>
      </c>
      <c r="P92" s="2">
        <f t="shared" si="31"/>
        <v>6.8626699480832656</v>
      </c>
    </row>
    <row r="93" spans="1:16" x14ac:dyDescent="0.35">
      <c r="A93" s="13"/>
      <c r="B93" s="28"/>
      <c r="C93" s="85"/>
      <c r="D93" s="13"/>
      <c r="E93" s="13"/>
      <c r="F93" s="2"/>
      <c r="G93" s="3" t="s">
        <v>94</v>
      </c>
      <c r="H93" s="2">
        <f>_xlfn.STDEV.S(H28,H34,H36,H40,H43,H48,H54,H62,H66,H72)</f>
        <v>0.89421546370489224</v>
      </c>
      <c r="I93" s="2">
        <f t="shared" ref="I93:P93" si="32">_xlfn.STDEV.S(I28,I34,I36,I40,I43,I48,I54,I62,I66,I72)</f>
        <v>1.1533224782359865</v>
      </c>
      <c r="J93" s="2">
        <f t="shared" si="32"/>
        <v>6.7433354773210608E-2</v>
      </c>
      <c r="K93" s="2">
        <f t="shared" si="32"/>
        <v>6.7433354773210649E-2</v>
      </c>
      <c r="L93" s="2">
        <f t="shared" si="32"/>
        <v>0.14001172101042603</v>
      </c>
      <c r="M93" s="2">
        <f t="shared" si="32"/>
        <v>7.2081430066711447E-3</v>
      </c>
      <c r="N93" s="2">
        <f t="shared" si="32"/>
        <v>1.0806591627006594</v>
      </c>
      <c r="O93" s="2">
        <f t="shared" si="32"/>
        <v>6.6499791144200007</v>
      </c>
      <c r="P93" s="2">
        <f t="shared" si="32"/>
        <v>0.82265326057898236</v>
      </c>
    </row>
    <row r="94" spans="1:16" x14ac:dyDescent="0.35">
      <c r="A94" s="13"/>
      <c r="B94" s="28"/>
      <c r="C94" s="85"/>
      <c r="D94" s="13"/>
      <c r="E94" s="13"/>
      <c r="F94" s="2"/>
      <c r="G94" s="3" t="s">
        <v>95</v>
      </c>
      <c r="H94" s="49">
        <f>H93/(SQRT(10))</f>
        <v>0.28277575842510888</v>
      </c>
      <c r="I94" s="49">
        <f t="shared" ref="I94:P94" si="33">I93/(SQRT(10))</f>
        <v>0.36471259078956919</v>
      </c>
      <c r="J94" s="49">
        <f t="shared" si="33"/>
        <v>2.1324299134953265E-2</v>
      </c>
      <c r="K94" s="49">
        <f t="shared" si="33"/>
        <v>2.1324299134953276E-2</v>
      </c>
      <c r="L94" s="49">
        <f t="shared" si="33"/>
        <v>4.4275593751299788E-2</v>
      </c>
      <c r="M94" s="49">
        <f t="shared" si="33"/>
        <v>2.2794149601295093E-3</v>
      </c>
      <c r="N94" s="49">
        <f t="shared" si="33"/>
        <v>0.3417344328464561</v>
      </c>
      <c r="O94" s="49">
        <f t="shared" si="33"/>
        <v>2.102908039411667</v>
      </c>
      <c r="P94" s="49">
        <f t="shared" si="33"/>
        <v>0.26014580279935923</v>
      </c>
    </row>
    <row r="95" spans="1:16" x14ac:dyDescent="0.35">
      <c r="A95" s="2"/>
      <c r="B95" s="2"/>
      <c r="C95" s="2"/>
      <c r="D95" s="2"/>
      <c r="E95" s="13"/>
      <c r="F95" s="2"/>
      <c r="G95" s="3"/>
      <c r="H95" s="49"/>
      <c r="I95" s="49"/>
      <c r="J95" s="49"/>
      <c r="K95" s="49"/>
      <c r="L95" s="49"/>
      <c r="M95" s="49"/>
      <c r="N95" s="49"/>
      <c r="O95" s="49"/>
      <c r="P95" s="49"/>
    </row>
    <row r="96" spans="1:16" ht="16" thickBot="1" x14ac:dyDescent="0.4">
      <c r="B96" s="2"/>
      <c r="C96" s="2"/>
      <c r="D96" s="2"/>
      <c r="E96" s="13" t="s">
        <v>301</v>
      </c>
      <c r="F96" s="2"/>
      <c r="G96" s="2"/>
      <c r="H96" s="9" t="s">
        <v>3</v>
      </c>
      <c r="I96" s="9" t="s">
        <v>4</v>
      </c>
      <c r="J96" s="9" t="s">
        <v>5</v>
      </c>
      <c r="K96" s="9" t="s">
        <v>6</v>
      </c>
      <c r="L96" s="9" t="s">
        <v>7</v>
      </c>
      <c r="M96" s="9" t="s">
        <v>8</v>
      </c>
      <c r="N96" s="9" t="s">
        <v>9</v>
      </c>
      <c r="O96" s="9" t="s">
        <v>10</v>
      </c>
      <c r="P96" s="44" t="s">
        <v>139</v>
      </c>
    </row>
    <row r="97" spans="1:21" ht="16" thickBot="1" x14ac:dyDescent="0.4">
      <c r="B97" s="5"/>
      <c r="C97" s="5"/>
      <c r="D97" s="5"/>
      <c r="E97" s="13"/>
      <c r="F97" s="2"/>
      <c r="G97" s="3" t="s">
        <v>77</v>
      </c>
      <c r="H97" s="2">
        <f>AVERAGE(H29,H35,H37,H41,H44,H49,H55,H63,H67)</f>
        <v>4.714300000000005</v>
      </c>
      <c r="I97" s="2">
        <f t="shared" ref="I97:P97" si="34">AVERAGE(I29,I35,I37,I41,I44,I49,I55,I63,I67)</f>
        <v>2.3807988888888949</v>
      </c>
      <c r="J97" s="2">
        <f t="shared" si="34"/>
        <v>0.66480576656047174</v>
      </c>
      <c r="K97" s="2">
        <f t="shared" si="34"/>
        <v>0.33519423343952831</v>
      </c>
      <c r="L97" s="2">
        <f t="shared" si="34"/>
        <v>0.21464042565257049</v>
      </c>
      <c r="M97" s="2">
        <f t="shared" si="34"/>
        <v>0.14155944605091483</v>
      </c>
      <c r="N97" s="2">
        <f t="shared" si="34"/>
        <v>7.0950988888889004</v>
      </c>
      <c r="O97" s="2">
        <f t="shared" si="34"/>
        <v>33.666666666666664</v>
      </c>
      <c r="P97" s="2">
        <f t="shared" si="34"/>
        <v>7.1728920780794816</v>
      </c>
      <c r="R97" s="44"/>
    </row>
    <row r="98" spans="1:21" x14ac:dyDescent="0.35">
      <c r="A98" s="13"/>
      <c r="B98" s="13"/>
      <c r="C98" s="13"/>
      <c r="D98" s="13"/>
      <c r="E98" s="13"/>
      <c r="F98" s="2"/>
      <c r="G98" s="3" t="s">
        <v>94</v>
      </c>
      <c r="H98" s="2">
        <f>_xlfn.STDEV.S(H29,H35,H37,H41,H44,H49,H55,H63,H67)</f>
        <v>0.53712029734968281</v>
      </c>
      <c r="I98" s="2">
        <f t="shared" ref="I98:P98" si="35">_xlfn.STDEV.S(I29,I35,I37,I41,I44,I49,I55,I63,I67)</f>
        <v>0.49611800553003693</v>
      </c>
      <c r="J98" s="2">
        <f t="shared" si="35"/>
        <v>6.3841200199377862E-2</v>
      </c>
      <c r="K98" s="2">
        <f t="shared" si="35"/>
        <v>6.3841200199377876E-2</v>
      </c>
      <c r="L98" s="2">
        <f t="shared" si="35"/>
        <v>2.5194046329463066E-2</v>
      </c>
      <c r="M98" s="2">
        <f t="shared" si="35"/>
        <v>9.9991303549917497E-3</v>
      </c>
      <c r="N98" s="2">
        <f t="shared" si="35"/>
        <v>0.4927496320253259</v>
      </c>
      <c r="O98" s="2">
        <f t="shared" si="35"/>
        <v>3.3541019662496847</v>
      </c>
      <c r="P98" s="2">
        <f t="shared" si="35"/>
        <v>0.58664278183536345</v>
      </c>
      <c r="Q98" s="85"/>
      <c r="R98" s="85"/>
      <c r="S98" s="85"/>
      <c r="T98" s="85"/>
    </row>
    <row r="99" spans="1:21" x14ac:dyDescent="0.35">
      <c r="A99" s="13"/>
      <c r="B99" s="13"/>
      <c r="C99" s="13"/>
      <c r="D99" s="13"/>
      <c r="E99" s="13"/>
      <c r="F99" s="2"/>
      <c r="G99" s="3" t="s">
        <v>95</v>
      </c>
      <c r="H99" s="49">
        <f>H98/(SQRT(8))</f>
        <v>0.18990070228444775</v>
      </c>
      <c r="I99" s="49">
        <f t="shared" ref="I99:P99" si="36">I98/(SQRT(8))</f>
        <v>0.17540420298951709</v>
      </c>
      <c r="J99" s="49">
        <f t="shared" si="36"/>
        <v>2.2571272790034028E-2</v>
      </c>
      <c r="K99" s="49">
        <f t="shared" si="36"/>
        <v>2.2571272790034031E-2</v>
      </c>
      <c r="L99" s="49">
        <f t="shared" si="36"/>
        <v>8.9074405025456899E-3</v>
      </c>
      <c r="M99" s="49">
        <f t="shared" si="36"/>
        <v>3.535226439991458E-3</v>
      </c>
      <c r="N99" s="49">
        <f t="shared" si="36"/>
        <v>0.17421330311614194</v>
      </c>
      <c r="O99" s="49">
        <f t="shared" si="36"/>
        <v>1.1858541225631423</v>
      </c>
      <c r="P99" s="49">
        <f t="shared" si="36"/>
        <v>0.20740954458496291</v>
      </c>
      <c r="Q99" s="85"/>
      <c r="R99" s="85"/>
      <c r="S99" s="85"/>
      <c r="T99" s="85"/>
    </row>
    <row r="100" spans="1:21" x14ac:dyDescent="0.35">
      <c r="A100" s="13"/>
      <c r="B100" s="13"/>
      <c r="C100" s="13"/>
      <c r="D100" s="13"/>
      <c r="E100" s="13"/>
      <c r="F100" s="2"/>
      <c r="G100" s="3"/>
      <c r="H100" s="49"/>
      <c r="I100" s="49"/>
      <c r="J100" s="49"/>
      <c r="K100" s="49"/>
      <c r="L100" s="49"/>
      <c r="M100" s="49"/>
      <c r="N100" s="49"/>
      <c r="O100" s="49"/>
      <c r="P100" s="49"/>
      <c r="Q100" s="85"/>
      <c r="R100" s="85"/>
      <c r="S100" s="85"/>
      <c r="T100" s="85"/>
    </row>
    <row r="101" spans="1:21" x14ac:dyDescent="0.35">
      <c r="A101" s="13"/>
      <c r="B101" s="13"/>
      <c r="C101" s="13"/>
      <c r="D101" s="13"/>
      <c r="E101" s="13"/>
      <c r="F101" s="2"/>
      <c r="G101" s="3"/>
      <c r="H101" s="49"/>
      <c r="I101" s="49"/>
      <c r="J101" s="49"/>
      <c r="K101" s="49"/>
      <c r="L101" s="49"/>
      <c r="M101" s="49"/>
      <c r="N101" s="49"/>
      <c r="O101" s="49"/>
      <c r="P101" s="49"/>
      <c r="Q101" s="85"/>
      <c r="R101" s="85"/>
      <c r="S101" s="85"/>
      <c r="T101" s="85"/>
    </row>
    <row r="102" spans="1:21" ht="16" thickBot="1" x14ac:dyDescent="0.4">
      <c r="A102" s="13"/>
      <c r="B102" s="13"/>
      <c r="C102" s="13"/>
      <c r="D102" s="13"/>
      <c r="E102" s="13" t="s">
        <v>313</v>
      </c>
      <c r="F102" s="13"/>
      <c r="G102" s="2"/>
      <c r="H102" s="9" t="s">
        <v>3</v>
      </c>
      <c r="I102" s="9" t="s">
        <v>4</v>
      </c>
      <c r="J102" s="9" t="s">
        <v>5</v>
      </c>
      <c r="K102" s="9" t="s">
        <v>6</v>
      </c>
      <c r="L102" s="9" t="s">
        <v>7</v>
      </c>
      <c r="M102" s="9" t="s">
        <v>8</v>
      </c>
      <c r="N102" s="9" t="s">
        <v>9</v>
      </c>
      <c r="O102" s="9" t="s">
        <v>10</v>
      </c>
      <c r="P102" s="44" t="s">
        <v>139</v>
      </c>
      <c r="Q102" s="13"/>
      <c r="R102" s="13"/>
      <c r="S102" s="13"/>
      <c r="T102" s="13"/>
      <c r="U102" s="13"/>
    </row>
    <row r="103" spans="1:21" x14ac:dyDescent="0.35">
      <c r="A103" s="13"/>
      <c r="B103" s="13"/>
      <c r="C103" s="13"/>
      <c r="D103" s="13"/>
      <c r="E103" s="13"/>
      <c r="F103" s="13"/>
      <c r="G103" s="3" t="s">
        <v>77</v>
      </c>
      <c r="H103" s="2">
        <f>AVERAGE(H7:H11,H13:H14,H18:H20,H22,H24:H27,H29:H33,H35,H37:H39,H41:H42,H44:H47,H49:H53,H55:H61,H63:H65,H67:H71)</f>
        <v>5.1609562000000002</v>
      </c>
      <c r="I103" s="2">
        <f t="shared" ref="I103:P103" si="37">AVERAGE(I7:I11,I13:I14,I18:I20,I22,I24:I27,I29:I33,I35,I37:I39,I41:I42,I44:I47,I49:I53,I55:I61,I63:I65,I67:I71)</f>
        <v>4.178628599999997</v>
      </c>
      <c r="J103" s="2">
        <f t="shared" si="37"/>
        <v>0.5570183022003844</v>
      </c>
      <c r="K103" s="2">
        <f t="shared" si="37"/>
        <v>0.44298169779961577</v>
      </c>
      <c r="L103" s="2">
        <f t="shared" si="37"/>
        <v>0.22451773378235373</v>
      </c>
      <c r="M103" s="2">
        <f t="shared" si="37"/>
        <v>0.11680419764022773</v>
      </c>
      <c r="N103" s="2">
        <f t="shared" si="37"/>
        <v>9.339584799999999</v>
      </c>
      <c r="O103" s="2">
        <f t="shared" si="37"/>
        <v>35.22</v>
      </c>
      <c r="P103" s="2">
        <f t="shared" si="37"/>
        <v>6.8519136827654572</v>
      </c>
      <c r="Q103" s="13"/>
      <c r="R103" s="13"/>
      <c r="S103" s="13"/>
      <c r="T103" s="13"/>
      <c r="U103" s="13"/>
    </row>
    <row r="104" spans="1:21" x14ac:dyDescent="0.35">
      <c r="A104" s="13"/>
      <c r="B104" s="13"/>
      <c r="C104" s="13"/>
      <c r="D104" s="13"/>
      <c r="E104" s="13"/>
      <c r="F104" s="13"/>
      <c r="G104" s="3" t="s">
        <v>94</v>
      </c>
      <c r="H104" s="2">
        <f>_xlfn.STDEV.S(H7:H11,H13:H14,H18:H20,H22,H24:H27,H29:H33,H35,H37:H39,H41:H42,H44:H47,H49:H53,H55:H61,H63:H65,H67:H71)</f>
        <v>2.2967649765915361</v>
      </c>
      <c r="I104" s="2">
        <f t="shared" ref="I104:P104" si="38">_xlfn.STDEV.S(I7:I11,I13:I14,I18:I20,I22,I24:I27,I29:I33,I35,I37:I39,I41:I42,I44:I47,I49:I53,I55:I61,I63:I65,I67:I71)</f>
        <v>1.9422136467800899</v>
      </c>
      <c r="J104" s="2">
        <f t="shared" si="38"/>
        <v>0.15150425346018781</v>
      </c>
      <c r="K104" s="2">
        <f t="shared" si="38"/>
        <v>0.15150425346018831</v>
      </c>
      <c r="L104" s="2">
        <f t="shared" si="38"/>
        <v>7.9536212701362977E-2</v>
      </c>
      <c r="M104" s="2">
        <f t="shared" si="38"/>
        <v>3.0331910634589326E-2</v>
      </c>
      <c r="N104" s="2">
        <f t="shared" si="38"/>
        <v>3.1653758398662784</v>
      </c>
      <c r="O104" s="2">
        <f t="shared" si="38"/>
        <v>14.94109522527088</v>
      </c>
      <c r="P104" s="2">
        <f t="shared" si="38"/>
        <v>0.77469387319980787</v>
      </c>
      <c r="Q104" s="13"/>
      <c r="R104" s="13"/>
      <c r="S104" s="13"/>
      <c r="T104" s="13"/>
      <c r="U104" s="13"/>
    </row>
    <row r="105" spans="1:21" ht="18.5" x14ac:dyDescent="0.45">
      <c r="A105" s="13"/>
      <c r="B105" s="13"/>
      <c r="C105" s="13"/>
      <c r="D105" s="13"/>
      <c r="E105" s="13"/>
      <c r="F105" s="149"/>
      <c r="G105" s="3" t="s">
        <v>95</v>
      </c>
      <c r="H105" s="49">
        <f>H104/(SQRT(50))</f>
        <v>0.32481161794792746</v>
      </c>
      <c r="I105" s="49">
        <f t="shared" ref="I105:P105" si="39">I104/(SQRT(50))</f>
        <v>0.27467048803025107</v>
      </c>
      <c r="J105" s="49">
        <f t="shared" si="39"/>
        <v>2.142593700006085E-2</v>
      </c>
      <c r="K105" s="49">
        <f t="shared" si="39"/>
        <v>2.1425937000060923E-2</v>
      </c>
      <c r="L105" s="49">
        <f t="shared" si="39"/>
        <v>1.1248119070205873E-2</v>
      </c>
      <c r="M105" s="49">
        <f t="shared" si="39"/>
        <v>4.2895799392124933E-3</v>
      </c>
      <c r="N105" s="49">
        <f t="shared" si="39"/>
        <v>0.44765174427470172</v>
      </c>
      <c r="O105" s="49">
        <f t="shared" si="39"/>
        <v>2.1129899504285969</v>
      </c>
      <c r="P105" s="49">
        <f t="shared" si="39"/>
        <v>0.10955825821665111</v>
      </c>
      <c r="Q105" s="13"/>
      <c r="R105" s="13"/>
      <c r="S105" s="13"/>
      <c r="T105" s="13"/>
      <c r="U105" s="13"/>
    </row>
    <row r="106" spans="1:21" ht="15.5" x14ac:dyDescent="0.35">
      <c r="A106" s="13"/>
      <c r="B106" s="13"/>
      <c r="C106" s="13"/>
      <c r="D106" s="13"/>
      <c r="E106" s="14"/>
      <c r="F106" s="14"/>
      <c r="G106" s="14"/>
      <c r="H106" s="14"/>
      <c r="I106" s="14"/>
      <c r="J106" s="14"/>
      <c r="K106" s="14"/>
      <c r="L106" s="14"/>
      <c r="M106" s="14"/>
      <c r="N106" s="14"/>
      <c r="O106" s="14"/>
      <c r="P106" s="14"/>
      <c r="Q106" s="13"/>
      <c r="R106" s="13"/>
      <c r="S106" s="13"/>
      <c r="T106" s="13"/>
      <c r="U106" s="13"/>
    </row>
    <row r="107" spans="1:21" x14ac:dyDescent="0.35">
      <c r="A107" s="13"/>
      <c r="B107" s="13"/>
      <c r="C107" s="13"/>
      <c r="D107" s="13"/>
      <c r="E107" s="13"/>
      <c r="F107" s="13"/>
      <c r="G107" s="13"/>
      <c r="H107" s="13"/>
      <c r="I107" s="13"/>
      <c r="J107" s="13"/>
      <c r="K107" s="13"/>
      <c r="L107" s="13"/>
      <c r="M107" s="13"/>
      <c r="N107" s="13"/>
      <c r="O107" s="13"/>
      <c r="P107" s="13"/>
      <c r="Q107" s="13"/>
      <c r="R107" s="13"/>
      <c r="S107" s="13"/>
      <c r="T107" s="13"/>
      <c r="U107" s="13"/>
    </row>
    <row r="108" spans="1:21" x14ac:dyDescent="0.35">
      <c r="A108" s="13"/>
      <c r="B108" s="13"/>
      <c r="C108" s="13"/>
      <c r="D108" s="13"/>
      <c r="E108" s="13"/>
      <c r="F108" s="13"/>
      <c r="G108" s="13"/>
      <c r="H108" s="13"/>
      <c r="I108" s="13"/>
      <c r="J108" s="13"/>
      <c r="K108" s="13"/>
      <c r="L108" s="13"/>
      <c r="M108" s="13"/>
      <c r="N108" s="13"/>
      <c r="O108" s="13"/>
      <c r="P108" s="13"/>
      <c r="Q108" s="13"/>
      <c r="R108" s="13"/>
      <c r="S108" s="13"/>
      <c r="T108" s="13"/>
      <c r="U108" s="13"/>
    </row>
    <row r="109" spans="1:21" x14ac:dyDescent="0.35">
      <c r="A109" s="13"/>
      <c r="B109" s="13"/>
      <c r="C109" s="13"/>
      <c r="D109" s="13"/>
      <c r="E109" s="13"/>
      <c r="F109" s="13"/>
      <c r="G109" s="13"/>
      <c r="H109" s="13"/>
      <c r="I109" s="13"/>
      <c r="J109" s="13"/>
      <c r="K109" s="13"/>
      <c r="L109" s="13"/>
      <c r="M109" s="13"/>
      <c r="N109" s="13"/>
      <c r="O109" s="13"/>
      <c r="P109" s="13"/>
      <c r="Q109" s="13"/>
      <c r="R109" s="13"/>
      <c r="S109" s="13"/>
      <c r="T109" s="13"/>
      <c r="U109" s="13"/>
    </row>
    <row r="110" spans="1:21" x14ac:dyDescent="0.35">
      <c r="A110" s="13"/>
      <c r="B110" s="13"/>
      <c r="C110" s="13"/>
      <c r="D110" s="13"/>
      <c r="E110" s="13"/>
      <c r="F110" s="13"/>
      <c r="G110" s="13"/>
      <c r="H110" s="13"/>
      <c r="I110" s="13"/>
      <c r="J110" s="13"/>
      <c r="K110" s="13"/>
      <c r="L110" s="13"/>
      <c r="M110" s="13"/>
      <c r="N110" s="13"/>
      <c r="O110" s="13"/>
      <c r="P110" s="13"/>
      <c r="Q110" s="13"/>
      <c r="R110" s="13"/>
      <c r="S110" s="13"/>
      <c r="T110" s="13"/>
      <c r="U110" s="13"/>
    </row>
    <row r="111" spans="1:21" x14ac:dyDescent="0.35">
      <c r="A111" s="13"/>
      <c r="B111" s="13"/>
      <c r="C111" s="13"/>
      <c r="D111" s="13"/>
      <c r="E111" s="13"/>
      <c r="F111" s="13"/>
      <c r="G111" s="13"/>
      <c r="H111" s="13"/>
      <c r="I111" s="13"/>
      <c r="J111" s="13"/>
      <c r="K111" s="13"/>
      <c r="L111" s="13"/>
      <c r="M111" s="13"/>
      <c r="N111" s="13"/>
      <c r="O111" s="13"/>
      <c r="P111" s="13"/>
      <c r="Q111" s="13"/>
      <c r="R111" s="13"/>
      <c r="S111" s="13"/>
      <c r="T111" s="13"/>
      <c r="U111" s="13"/>
    </row>
    <row r="112" spans="1:21" x14ac:dyDescent="0.35">
      <c r="A112" s="13"/>
      <c r="B112" s="13"/>
      <c r="C112" s="13"/>
      <c r="D112" s="13"/>
      <c r="E112" s="13"/>
      <c r="F112" s="13"/>
      <c r="G112" s="13"/>
      <c r="H112" s="13"/>
      <c r="I112" s="13"/>
      <c r="J112" s="13"/>
      <c r="K112" s="13"/>
      <c r="L112" s="13"/>
      <c r="M112" s="13"/>
      <c r="N112" s="13"/>
      <c r="O112" s="13"/>
      <c r="P112" s="13"/>
      <c r="Q112" s="13"/>
      <c r="R112" s="13"/>
      <c r="S112" s="13"/>
      <c r="T112" s="13"/>
      <c r="U112" s="13"/>
    </row>
    <row r="113" spans="1:21" x14ac:dyDescent="0.35">
      <c r="A113" s="13"/>
      <c r="B113" s="13"/>
      <c r="C113" s="13"/>
      <c r="D113" s="13"/>
      <c r="E113" s="13"/>
      <c r="F113" s="13"/>
      <c r="G113" s="13"/>
      <c r="H113" s="13"/>
      <c r="I113" s="13"/>
      <c r="J113" s="13"/>
      <c r="K113" s="13"/>
      <c r="L113" s="13"/>
      <c r="M113" s="13"/>
      <c r="N113" s="13"/>
      <c r="O113" s="13"/>
      <c r="P113" s="13"/>
      <c r="Q113" s="13"/>
      <c r="R113" s="13"/>
      <c r="S113" s="13"/>
      <c r="T113" s="13"/>
      <c r="U113" s="13"/>
    </row>
    <row r="114" spans="1:21" x14ac:dyDescent="0.35">
      <c r="A114" s="13"/>
      <c r="B114" s="13"/>
      <c r="C114" s="13"/>
      <c r="D114" s="13"/>
      <c r="E114" s="13"/>
      <c r="F114" s="13"/>
      <c r="G114" s="13"/>
      <c r="H114" s="13"/>
      <c r="I114" s="13"/>
      <c r="J114" s="13"/>
      <c r="K114" s="13"/>
      <c r="L114" s="13"/>
      <c r="M114" s="13"/>
      <c r="N114" s="13"/>
      <c r="O114" s="13"/>
      <c r="P114" s="13"/>
      <c r="Q114" s="13"/>
      <c r="R114" s="13"/>
      <c r="S114" s="13"/>
      <c r="T114" s="13"/>
      <c r="U114" s="13"/>
    </row>
    <row r="115" spans="1:21" x14ac:dyDescent="0.35">
      <c r="A115" s="13"/>
      <c r="B115" s="13"/>
      <c r="C115" s="13"/>
      <c r="D115" s="13"/>
      <c r="E115" s="13"/>
      <c r="F115" s="13"/>
      <c r="G115" s="13"/>
      <c r="H115" s="13"/>
      <c r="I115" s="13"/>
      <c r="J115" s="13"/>
      <c r="K115" s="13"/>
      <c r="L115" s="13"/>
      <c r="M115" s="13"/>
      <c r="N115" s="13"/>
      <c r="O115" s="13"/>
      <c r="P115" s="13"/>
      <c r="Q115" s="13"/>
      <c r="R115" s="13"/>
      <c r="S115" s="13"/>
      <c r="T115" s="13"/>
      <c r="U115" s="13"/>
    </row>
    <row r="116" spans="1:21" x14ac:dyDescent="0.35">
      <c r="A116" s="13"/>
      <c r="B116" s="13"/>
      <c r="C116" s="13"/>
      <c r="D116" s="13"/>
      <c r="E116" s="13"/>
      <c r="F116" s="13"/>
      <c r="G116" s="13"/>
      <c r="H116" s="13"/>
      <c r="I116" s="13"/>
      <c r="J116" s="13"/>
      <c r="K116" s="13"/>
      <c r="L116" s="13"/>
      <c r="M116" s="13"/>
      <c r="N116" s="13"/>
      <c r="O116" s="13"/>
      <c r="P116" s="13"/>
      <c r="Q116" s="13"/>
      <c r="R116" s="13"/>
      <c r="S116" s="13"/>
      <c r="T116" s="13"/>
      <c r="U116" s="13"/>
    </row>
    <row r="117" spans="1:21" x14ac:dyDescent="0.35">
      <c r="A117" s="13"/>
      <c r="B117" s="13"/>
      <c r="C117" s="13"/>
      <c r="D117" s="13"/>
      <c r="E117" s="13"/>
      <c r="F117" s="13"/>
      <c r="G117" s="13"/>
      <c r="H117" s="13"/>
      <c r="I117" s="13"/>
      <c r="J117" s="13"/>
      <c r="K117" s="13"/>
      <c r="L117" s="13"/>
      <c r="M117" s="13"/>
      <c r="N117" s="13"/>
      <c r="O117" s="13"/>
      <c r="P117" s="13"/>
      <c r="Q117" s="13"/>
      <c r="R117" s="13"/>
      <c r="S117" s="13"/>
      <c r="T117" s="13"/>
      <c r="U117" s="13"/>
    </row>
    <row r="118" spans="1:21" x14ac:dyDescent="0.35">
      <c r="A118" s="13"/>
      <c r="B118" s="13"/>
      <c r="C118" s="13"/>
      <c r="D118" s="13"/>
      <c r="E118" s="13"/>
      <c r="F118" s="13"/>
      <c r="G118" s="13"/>
      <c r="H118" s="13"/>
      <c r="I118" s="13"/>
      <c r="J118" s="13"/>
      <c r="K118" s="13"/>
      <c r="L118" s="13"/>
      <c r="M118" s="13"/>
      <c r="N118" s="13"/>
      <c r="O118" s="13"/>
      <c r="P118" s="13"/>
      <c r="Q118" s="13"/>
      <c r="R118" s="13"/>
      <c r="S118" s="13"/>
      <c r="T118" s="13"/>
      <c r="U118" s="13"/>
    </row>
    <row r="119" spans="1:21" x14ac:dyDescent="0.35">
      <c r="A119" s="13"/>
      <c r="B119" s="13"/>
      <c r="C119" s="13"/>
      <c r="D119" s="13"/>
      <c r="E119" s="13"/>
      <c r="F119" s="13"/>
      <c r="G119" s="13"/>
      <c r="H119" s="13"/>
      <c r="I119" s="13"/>
      <c r="J119" s="13"/>
      <c r="K119" s="13"/>
      <c r="L119" s="13"/>
      <c r="M119" s="13"/>
      <c r="N119" s="13"/>
      <c r="O119" s="13"/>
      <c r="P119" s="13"/>
      <c r="Q119" s="13"/>
      <c r="R119" s="13"/>
      <c r="S119" s="13"/>
      <c r="T119" s="13"/>
      <c r="U119" s="13"/>
    </row>
    <row r="120" spans="1:21" x14ac:dyDescent="0.35">
      <c r="A120" s="13"/>
      <c r="B120" s="13"/>
      <c r="C120" s="13"/>
      <c r="D120" s="13"/>
      <c r="E120" s="13"/>
      <c r="F120" s="13"/>
      <c r="G120" s="13"/>
      <c r="H120" s="13"/>
      <c r="I120" s="13"/>
      <c r="J120" s="13"/>
      <c r="K120" s="13"/>
      <c r="L120" s="13"/>
      <c r="M120" s="13"/>
      <c r="N120" s="13"/>
      <c r="O120" s="13"/>
      <c r="P120" s="13"/>
      <c r="Q120" s="13"/>
      <c r="R120" s="13"/>
      <c r="S120" s="13"/>
      <c r="T120" s="13"/>
      <c r="U120" s="13"/>
    </row>
    <row r="121" spans="1:21" x14ac:dyDescent="0.35">
      <c r="A121" s="13"/>
      <c r="B121" s="13"/>
      <c r="C121" s="13"/>
      <c r="D121" s="13"/>
      <c r="E121" s="13"/>
      <c r="F121" s="13"/>
      <c r="G121" s="13"/>
      <c r="H121" s="13"/>
      <c r="I121" s="13"/>
      <c r="J121" s="13"/>
      <c r="K121" s="13"/>
      <c r="L121" s="13"/>
      <c r="M121" s="13"/>
      <c r="N121" s="13"/>
      <c r="O121" s="13"/>
      <c r="P121" s="13"/>
      <c r="Q121" s="13"/>
      <c r="R121" s="13"/>
      <c r="S121" s="13"/>
      <c r="T121" s="13"/>
      <c r="U121" s="13"/>
    </row>
    <row r="122" spans="1:21" x14ac:dyDescent="0.35">
      <c r="A122" s="13"/>
      <c r="B122" s="13"/>
      <c r="C122" s="13"/>
      <c r="D122" s="13"/>
      <c r="E122" s="13"/>
      <c r="F122" s="13"/>
      <c r="G122" s="13"/>
      <c r="H122" s="13"/>
      <c r="I122" s="13"/>
      <c r="J122" s="13"/>
      <c r="K122" s="13"/>
      <c r="L122" s="13"/>
      <c r="M122" s="13"/>
      <c r="N122" s="13"/>
      <c r="O122" s="13"/>
      <c r="P122" s="13"/>
      <c r="Q122" s="13"/>
      <c r="R122" s="13"/>
      <c r="S122" s="13"/>
      <c r="T122" s="13"/>
      <c r="U122" s="13"/>
    </row>
    <row r="123" spans="1:21" x14ac:dyDescent="0.35">
      <c r="A123" s="13"/>
      <c r="B123" s="13"/>
      <c r="C123" s="13"/>
      <c r="D123" s="13"/>
      <c r="E123" s="13"/>
      <c r="F123" s="13"/>
      <c r="G123" s="13"/>
      <c r="H123" s="13"/>
      <c r="I123" s="13"/>
      <c r="J123" s="13"/>
      <c r="K123" s="13"/>
      <c r="L123" s="13"/>
      <c r="M123" s="13"/>
      <c r="N123" s="13"/>
      <c r="O123" s="13"/>
      <c r="P123" s="13"/>
      <c r="Q123" s="13"/>
      <c r="R123" s="13"/>
      <c r="S123" s="13"/>
      <c r="T123" s="13"/>
      <c r="U123" s="13"/>
    </row>
    <row r="124" spans="1:21" x14ac:dyDescent="0.35">
      <c r="A124" s="13"/>
      <c r="B124" s="13"/>
      <c r="C124" s="13"/>
      <c r="D124" s="13"/>
      <c r="E124" s="13"/>
      <c r="F124" s="13"/>
      <c r="G124" s="13"/>
      <c r="H124" s="13"/>
      <c r="I124" s="13"/>
      <c r="J124" s="13"/>
      <c r="K124" s="13"/>
      <c r="L124" s="13"/>
      <c r="M124" s="13"/>
      <c r="N124" s="13"/>
      <c r="O124" s="13"/>
      <c r="P124" s="13"/>
      <c r="Q124" s="13"/>
      <c r="R124" s="13"/>
      <c r="S124" s="13"/>
      <c r="T124" s="13"/>
      <c r="U124" s="13"/>
    </row>
    <row r="125" spans="1:21" x14ac:dyDescent="0.35">
      <c r="A125" s="13"/>
      <c r="B125" s="13"/>
      <c r="C125" s="13"/>
      <c r="D125" s="13"/>
      <c r="E125" s="13"/>
      <c r="F125" s="13"/>
      <c r="G125" s="13"/>
      <c r="H125" s="13"/>
      <c r="I125" s="13"/>
      <c r="J125" s="13"/>
      <c r="K125" s="13"/>
      <c r="L125" s="13"/>
      <c r="M125" s="13"/>
      <c r="N125" s="13"/>
      <c r="O125" s="13"/>
      <c r="P125" s="13"/>
      <c r="Q125" s="13"/>
      <c r="R125" s="13"/>
      <c r="S125" s="13"/>
      <c r="T125" s="13"/>
      <c r="U125" s="13"/>
    </row>
    <row r="126" spans="1:21" x14ac:dyDescent="0.35">
      <c r="A126" s="13"/>
      <c r="B126" s="13"/>
      <c r="C126" s="13"/>
      <c r="D126" s="13"/>
      <c r="E126" s="13"/>
      <c r="F126" s="13"/>
      <c r="G126" s="13"/>
      <c r="H126" s="13"/>
      <c r="I126" s="13"/>
      <c r="J126" s="13"/>
      <c r="K126" s="13"/>
      <c r="L126" s="13"/>
      <c r="M126" s="13"/>
      <c r="N126" s="13"/>
      <c r="O126" s="13"/>
      <c r="P126" s="13"/>
      <c r="Q126" s="13"/>
      <c r="R126" s="13"/>
      <c r="S126" s="13"/>
      <c r="T126" s="13"/>
      <c r="U126" s="13"/>
    </row>
    <row r="127" spans="1:21" x14ac:dyDescent="0.35">
      <c r="A127" s="13"/>
      <c r="B127" s="13"/>
      <c r="C127" s="13"/>
      <c r="D127" s="13"/>
      <c r="E127" s="13"/>
      <c r="F127" s="13"/>
      <c r="G127" s="13"/>
      <c r="H127" s="13"/>
      <c r="I127" s="13"/>
      <c r="J127" s="13"/>
      <c r="K127" s="13"/>
      <c r="L127" s="13"/>
      <c r="M127" s="13"/>
      <c r="N127" s="13"/>
      <c r="O127" s="13"/>
      <c r="P127" s="13"/>
      <c r="Q127" s="13"/>
      <c r="R127" s="13"/>
      <c r="S127" s="13"/>
      <c r="T127" s="13"/>
      <c r="U127" s="13"/>
    </row>
    <row r="128" spans="1:21" x14ac:dyDescent="0.35">
      <c r="A128" s="13"/>
      <c r="B128" s="13"/>
      <c r="C128" s="13"/>
      <c r="D128" s="13"/>
      <c r="E128" s="13"/>
      <c r="F128" s="13"/>
      <c r="G128" s="13"/>
      <c r="H128" s="13"/>
      <c r="I128" s="13"/>
      <c r="J128" s="13"/>
      <c r="K128" s="13"/>
      <c r="L128" s="13"/>
      <c r="M128" s="13"/>
      <c r="N128" s="13"/>
      <c r="O128" s="13"/>
      <c r="P128" s="13"/>
      <c r="Q128" s="13"/>
      <c r="R128" s="13"/>
      <c r="S128" s="13"/>
      <c r="T128" s="13"/>
      <c r="U128" s="13"/>
    </row>
    <row r="129" spans="1:21" x14ac:dyDescent="0.35">
      <c r="A129" s="13"/>
      <c r="B129" s="13"/>
      <c r="C129" s="13"/>
      <c r="D129" s="13"/>
      <c r="E129" s="13"/>
      <c r="F129" s="13"/>
      <c r="G129" s="13"/>
      <c r="H129" s="13"/>
      <c r="I129" s="13"/>
      <c r="J129" s="13"/>
      <c r="K129" s="13"/>
      <c r="L129" s="13"/>
      <c r="M129" s="13"/>
      <c r="N129" s="13"/>
      <c r="O129" s="13"/>
      <c r="P129" s="13"/>
      <c r="Q129" s="13"/>
      <c r="R129" s="13"/>
      <c r="S129" s="13"/>
      <c r="T129" s="13"/>
      <c r="U129" s="13"/>
    </row>
    <row r="130" spans="1:21" x14ac:dyDescent="0.35">
      <c r="A130" s="13"/>
      <c r="B130" s="13"/>
      <c r="C130" s="13"/>
      <c r="D130" s="13"/>
      <c r="E130" s="13"/>
      <c r="F130" s="13"/>
      <c r="G130" s="13"/>
      <c r="H130" s="13"/>
      <c r="I130" s="13"/>
      <c r="J130" s="13"/>
      <c r="K130" s="13"/>
      <c r="L130" s="13"/>
      <c r="M130" s="13"/>
      <c r="N130" s="13"/>
      <c r="O130" s="13"/>
      <c r="P130" s="13"/>
      <c r="Q130" s="13"/>
      <c r="R130" s="13"/>
      <c r="S130" s="13"/>
      <c r="T130" s="13"/>
      <c r="U130" s="13"/>
    </row>
    <row r="131" spans="1:21" x14ac:dyDescent="0.35">
      <c r="A131" s="13"/>
      <c r="B131" s="13"/>
      <c r="C131" s="13"/>
      <c r="D131" s="13"/>
      <c r="E131" s="13"/>
      <c r="F131" s="13"/>
      <c r="G131" s="13"/>
      <c r="H131" s="13"/>
      <c r="I131" s="13"/>
      <c r="J131" s="13"/>
      <c r="K131" s="13"/>
      <c r="L131" s="13"/>
      <c r="M131" s="13"/>
      <c r="N131" s="13"/>
      <c r="O131" s="13"/>
      <c r="P131" s="13"/>
      <c r="Q131" s="13"/>
      <c r="R131" s="13"/>
      <c r="S131" s="13"/>
      <c r="T131" s="13"/>
      <c r="U131" s="13"/>
    </row>
    <row r="132" spans="1:21" x14ac:dyDescent="0.35">
      <c r="A132" s="13"/>
      <c r="B132" s="13"/>
      <c r="C132" s="13"/>
      <c r="D132" s="13"/>
      <c r="E132" s="13"/>
      <c r="F132" s="13"/>
      <c r="G132" s="13"/>
      <c r="H132" s="13"/>
      <c r="I132" s="13"/>
      <c r="J132" s="13"/>
      <c r="K132" s="13"/>
      <c r="L132" s="13"/>
      <c r="M132" s="13"/>
      <c r="N132" s="13"/>
      <c r="O132" s="13"/>
      <c r="P132" s="13"/>
      <c r="Q132" s="13"/>
      <c r="R132" s="13"/>
      <c r="S132" s="13"/>
      <c r="T132" s="13"/>
      <c r="U132" s="13"/>
    </row>
    <row r="133" spans="1:21" x14ac:dyDescent="0.35">
      <c r="A133" s="13"/>
      <c r="B133" s="13"/>
      <c r="C133" s="13"/>
      <c r="D133" s="13"/>
      <c r="E133" s="13"/>
      <c r="F133" s="13"/>
      <c r="G133" s="13"/>
      <c r="H133" s="13"/>
      <c r="I133" s="13"/>
      <c r="J133" s="13"/>
      <c r="K133" s="13"/>
      <c r="L133" s="13"/>
      <c r="M133" s="13"/>
      <c r="N133" s="13"/>
      <c r="O133" s="13"/>
      <c r="P133" s="13"/>
      <c r="Q133" s="13"/>
      <c r="R133" s="13"/>
      <c r="S133" s="13"/>
      <c r="T133" s="13"/>
      <c r="U133" s="13"/>
    </row>
    <row r="134" spans="1:21" x14ac:dyDescent="0.35">
      <c r="A134" s="13"/>
      <c r="B134" s="13"/>
      <c r="C134" s="13"/>
      <c r="D134" s="49"/>
      <c r="E134" s="13"/>
      <c r="F134" s="13"/>
      <c r="G134" s="13"/>
      <c r="H134" s="13"/>
      <c r="I134" s="13"/>
      <c r="J134" s="13"/>
      <c r="K134" s="13"/>
      <c r="L134" s="13"/>
      <c r="M134" s="13"/>
      <c r="N134" s="13"/>
      <c r="O134" s="13"/>
      <c r="P134" s="13"/>
      <c r="Q134" s="13"/>
      <c r="R134" s="13"/>
      <c r="S134" s="13"/>
      <c r="T134" s="13"/>
      <c r="U134" s="13"/>
    </row>
    <row r="135" spans="1:21" x14ac:dyDescent="0.35">
      <c r="A135" s="13"/>
      <c r="B135" s="13"/>
      <c r="C135" s="13"/>
      <c r="D135" s="49"/>
      <c r="E135" s="13"/>
      <c r="F135" s="13"/>
      <c r="G135" s="13"/>
      <c r="H135" s="13"/>
      <c r="I135" s="13"/>
      <c r="J135" s="13"/>
      <c r="K135" s="13"/>
      <c r="L135" s="13"/>
      <c r="M135" s="13"/>
      <c r="N135" s="13"/>
      <c r="O135" s="13"/>
      <c r="P135" s="13"/>
      <c r="Q135" s="13"/>
      <c r="R135" s="13"/>
      <c r="S135" s="13"/>
      <c r="T135" s="13"/>
      <c r="U135" s="13"/>
    </row>
    <row r="136" spans="1:21" x14ac:dyDescent="0.35">
      <c r="A136" s="13"/>
      <c r="B136" s="13"/>
      <c r="C136" s="13"/>
      <c r="D136" s="49"/>
      <c r="E136" s="13"/>
      <c r="F136" s="13"/>
      <c r="G136" s="13"/>
      <c r="H136" s="13"/>
      <c r="I136" s="13"/>
      <c r="J136" s="13"/>
      <c r="K136" s="13"/>
      <c r="L136" s="13"/>
      <c r="M136" s="13"/>
      <c r="N136" s="13"/>
      <c r="O136" s="13"/>
      <c r="P136" s="13"/>
      <c r="Q136" s="13"/>
      <c r="R136" s="13"/>
      <c r="S136" s="13"/>
      <c r="T136" s="13"/>
      <c r="U136" s="13"/>
    </row>
    <row r="137" spans="1:21" x14ac:dyDescent="0.35">
      <c r="A137" s="13"/>
      <c r="B137" s="13"/>
      <c r="C137" s="13"/>
      <c r="D137" s="49"/>
      <c r="E137" s="13"/>
      <c r="F137" s="13"/>
      <c r="G137" s="13"/>
      <c r="H137" s="13"/>
      <c r="I137" s="13"/>
      <c r="J137" s="13"/>
      <c r="K137" s="13"/>
      <c r="L137" s="13"/>
      <c r="M137" s="13"/>
      <c r="N137" s="13"/>
      <c r="O137" s="13"/>
      <c r="P137" s="13"/>
      <c r="Q137" s="13"/>
      <c r="R137" s="13"/>
      <c r="S137" s="13"/>
      <c r="T137" s="13"/>
      <c r="U137" s="13"/>
    </row>
    <row r="138" spans="1:21" x14ac:dyDescent="0.35">
      <c r="A138" s="13"/>
      <c r="B138" s="13"/>
      <c r="C138" s="13"/>
      <c r="D138" s="49"/>
      <c r="E138" s="13"/>
      <c r="F138" s="13"/>
      <c r="G138" s="13"/>
      <c r="H138" s="13"/>
      <c r="I138" s="13"/>
      <c r="J138" s="13"/>
      <c r="K138" s="13"/>
      <c r="L138" s="13"/>
      <c r="M138" s="13"/>
      <c r="N138" s="13"/>
      <c r="O138" s="13"/>
      <c r="P138" s="13"/>
      <c r="Q138" s="13"/>
      <c r="R138" s="13"/>
      <c r="S138" s="13"/>
      <c r="T138" s="13"/>
      <c r="U138" s="13"/>
    </row>
    <row r="139" spans="1:21" x14ac:dyDescent="0.35">
      <c r="A139" s="13"/>
      <c r="B139" s="13"/>
      <c r="C139" s="13"/>
      <c r="D139" s="49"/>
      <c r="E139" s="13"/>
      <c r="F139" s="13"/>
      <c r="G139" s="13"/>
      <c r="H139" s="13"/>
      <c r="I139" s="13"/>
      <c r="J139" s="13"/>
      <c r="K139" s="13"/>
      <c r="L139" s="13"/>
      <c r="M139" s="13"/>
      <c r="N139" s="13"/>
      <c r="O139" s="13"/>
      <c r="P139" s="13"/>
      <c r="Q139" s="13"/>
      <c r="R139" s="13"/>
      <c r="S139" s="13"/>
      <c r="T139" s="13"/>
      <c r="U139" s="13"/>
    </row>
    <row r="140" spans="1:21" x14ac:dyDescent="0.35">
      <c r="A140" s="13"/>
      <c r="B140" s="13"/>
      <c r="C140" s="13"/>
      <c r="D140" s="49"/>
      <c r="E140" s="13"/>
      <c r="F140" s="13"/>
      <c r="G140" s="13"/>
      <c r="H140" s="13"/>
      <c r="I140" s="13"/>
      <c r="J140" s="13"/>
      <c r="K140" s="13"/>
      <c r="L140" s="13"/>
      <c r="M140" s="13"/>
      <c r="N140" s="13"/>
      <c r="O140" s="13"/>
      <c r="P140" s="13"/>
      <c r="Q140" s="13"/>
      <c r="R140" s="13"/>
      <c r="S140" s="13"/>
      <c r="T140" s="13"/>
      <c r="U140" s="13"/>
    </row>
    <row r="141" spans="1:21" x14ac:dyDescent="0.35">
      <c r="A141" s="13"/>
      <c r="B141" s="13"/>
      <c r="C141" s="13"/>
      <c r="D141" s="49"/>
      <c r="E141" s="13"/>
      <c r="F141" s="13"/>
      <c r="G141" s="13"/>
      <c r="H141" s="13"/>
      <c r="I141" s="13"/>
      <c r="J141" s="13"/>
      <c r="K141" s="13"/>
      <c r="L141" s="13"/>
      <c r="M141" s="13"/>
      <c r="N141" s="13"/>
      <c r="O141" s="13"/>
      <c r="P141" s="13"/>
      <c r="Q141" s="13"/>
      <c r="R141" s="13"/>
      <c r="S141" s="13"/>
      <c r="T141" s="13"/>
      <c r="U141" s="13"/>
    </row>
    <row r="142" spans="1:21" x14ac:dyDescent="0.35">
      <c r="A142" s="13"/>
      <c r="B142" s="13"/>
      <c r="C142" s="13"/>
      <c r="D142" s="49"/>
      <c r="E142" s="13"/>
      <c r="F142" s="13"/>
      <c r="G142" s="13"/>
      <c r="H142" s="13"/>
      <c r="I142" s="13"/>
      <c r="J142" s="13"/>
      <c r="K142" s="13"/>
      <c r="L142" s="13"/>
      <c r="M142" s="13"/>
      <c r="N142" s="13"/>
      <c r="O142" s="13"/>
      <c r="P142" s="13"/>
      <c r="Q142" s="13"/>
      <c r="R142" s="13"/>
      <c r="S142" s="13"/>
      <c r="T142" s="13"/>
      <c r="U142" s="13"/>
    </row>
    <row r="143" spans="1:21" ht="15.5" x14ac:dyDescent="0.35">
      <c r="A143" s="13"/>
      <c r="B143" s="13"/>
      <c r="C143" s="13"/>
      <c r="D143" s="49"/>
      <c r="E143" s="49"/>
      <c r="F143" s="13"/>
      <c r="G143" s="13"/>
      <c r="H143" s="14"/>
      <c r="I143" s="14"/>
      <c r="J143" s="14"/>
      <c r="K143" s="14"/>
      <c r="L143" s="14"/>
      <c r="M143" s="14"/>
      <c r="N143" s="14"/>
      <c r="O143" s="14"/>
      <c r="P143" s="14"/>
      <c r="Q143" s="13"/>
      <c r="R143" s="13"/>
      <c r="S143" s="13"/>
      <c r="T143" s="13"/>
      <c r="U143" s="13"/>
    </row>
    <row r="144" spans="1:21" x14ac:dyDescent="0.35">
      <c r="A144" s="13"/>
      <c r="B144" s="13"/>
      <c r="C144" s="13"/>
      <c r="D144" s="49"/>
      <c r="E144" s="49"/>
      <c r="F144" s="13"/>
      <c r="G144" s="49"/>
      <c r="H144" s="13"/>
      <c r="I144" s="13"/>
      <c r="J144" s="13"/>
      <c r="K144" s="13"/>
      <c r="L144" s="13"/>
      <c r="M144" s="13"/>
      <c r="N144" s="13"/>
      <c r="O144" s="13"/>
      <c r="P144" s="13"/>
      <c r="Q144" s="13"/>
      <c r="R144" s="13"/>
      <c r="S144" s="13"/>
      <c r="T144" s="13"/>
      <c r="U144" s="13"/>
    </row>
    <row r="145" spans="1:21" x14ac:dyDescent="0.35">
      <c r="A145" s="13"/>
      <c r="B145" s="13"/>
      <c r="C145" s="13"/>
      <c r="D145" s="49"/>
      <c r="E145" s="49"/>
      <c r="F145" s="13"/>
      <c r="G145" s="49"/>
      <c r="H145" s="13"/>
      <c r="I145" s="13"/>
      <c r="J145" s="13"/>
      <c r="K145" s="13"/>
      <c r="L145" s="13"/>
      <c r="M145" s="13"/>
      <c r="N145" s="13"/>
      <c r="O145" s="13"/>
      <c r="P145" s="13"/>
      <c r="Q145" s="13"/>
      <c r="R145" s="13"/>
      <c r="S145" s="13"/>
      <c r="T145" s="13"/>
      <c r="U145" s="13"/>
    </row>
    <row r="146" spans="1:21" x14ac:dyDescent="0.35">
      <c r="A146" s="13"/>
      <c r="B146" s="13"/>
      <c r="C146" s="13"/>
      <c r="D146" s="49"/>
      <c r="E146" s="49"/>
      <c r="F146" s="13"/>
      <c r="G146" s="49"/>
      <c r="H146" s="49"/>
      <c r="I146" s="49"/>
      <c r="J146" s="49"/>
      <c r="K146" s="49"/>
      <c r="L146" s="49"/>
      <c r="M146" s="49"/>
      <c r="N146" s="49"/>
      <c r="O146" s="49"/>
      <c r="P146" s="49"/>
      <c r="Q146" s="13"/>
      <c r="R146" s="13"/>
      <c r="S146" s="13"/>
      <c r="T146" s="13"/>
      <c r="U146" s="13"/>
    </row>
    <row r="147" spans="1:21" x14ac:dyDescent="0.35">
      <c r="A147" s="13"/>
      <c r="B147" s="13"/>
      <c r="C147" s="13"/>
      <c r="D147" s="49"/>
      <c r="E147" s="49"/>
      <c r="F147" s="13"/>
      <c r="G147" s="49"/>
      <c r="H147" s="49"/>
      <c r="I147" s="49"/>
      <c r="J147" s="49"/>
      <c r="K147" s="49"/>
      <c r="L147" s="49"/>
      <c r="M147" s="49"/>
      <c r="N147" s="49"/>
      <c r="O147" s="49"/>
      <c r="P147" s="49"/>
      <c r="Q147" s="13"/>
      <c r="R147" s="13"/>
      <c r="S147" s="13"/>
      <c r="T147" s="13"/>
      <c r="U147" s="13"/>
    </row>
    <row r="148" spans="1:21" ht="15.5" x14ac:dyDescent="0.35">
      <c r="A148" s="13"/>
      <c r="B148" s="13"/>
      <c r="C148" s="13"/>
      <c r="D148" s="49"/>
      <c r="E148" s="49"/>
      <c r="F148" s="13"/>
      <c r="G148" s="13"/>
      <c r="H148" s="14"/>
      <c r="I148" s="14"/>
      <c r="J148" s="14"/>
      <c r="K148" s="14"/>
      <c r="L148" s="14"/>
      <c r="M148" s="14"/>
      <c r="N148" s="14"/>
      <c r="O148" s="14"/>
      <c r="P148" s="14"/>
      <c r="Q148" s="13"/>
      <c r="R148" s="13"/>
      <c r="S148" s="13"/>
      <c r="T148" s="13"/>
      <c r="U148" s="13"/>
    </row>
    <row r="149" spans="1:21" x14ac:dyDescent="0.35">
      <c r="A149" s="13"/>
      <c r="B149" s="13"/>
      <c r="C149" s="13"/>
      <c r="D149" s="49"/>
      <c r="E149" s="49"/>
      <c r="F149" s="13"/>
      <c r="G149" s="49"/>
      <c r="H149" s="13"/>
      <c r="I149" s="13"/>
      <c r="J149" s="13"/>
      <c r="K149" s="13"/>
      <c r="L149" s="13"/>
      <c r="M149" s="13"/>
      <c r="N149" s="13"/>
      <c r="O149" s="13"/>
      <c r="P149" s="13"/>
      <c r="Q149" s="13"/>
      <c r="R149" s="13"/>
      <c r="S149" s="13"/>
      <c r="T149" s="13"/>
      <c r="U149" s="13"/>
    </row>
    <row r="150" spans="1:21" x14ac:dyDescent="0.35">
      <c r="A150" s="13"/>
      <c r="B150" s="13"/>
      <c r="C150" s="13"/>
      <c r="D150" s="49"/>
      <c r="E150" s="49"/>
      <c r="F150" s="13"/>
      <c r="G150" s="49"/>
      <c r="H150" s="13"/>
      <c r="I150" s="13"/>
      <c r="J150" s="13"/>
      <c r="K150" s="13"/>
      <c r="L150" s="13"/>
      <c r="M150" s="13"/>
      <c r="N150" s="13"/>
      <c r="O150" s="13"/>
      <c r="P150" s="13"/>
      <c r="Q150" s="13"/>
      <c r="R150" s="13"/>
      <c r="S150" s="13"/>
      <c r="T150" s="13"/>
      <c r="U150" s="13"/>
    </row>
    <row r="151" spans="1:21" x14ac:dyDescent="0.35">
      <c r="A151" s="13"/>
      <c r="B151" s="13"/>
      <c r="C151" s="13"/>
      <c r="D151" s="49"/>
      <c r="E151" s="49"/>
      <c r="F151" s="13"/>
      <c r="G151" s="49"/>
      <c r="H151" s="49"/>
      <c r="I151" s="49"/>
      <c r="J151" s="49"/>
      <c r="K151" s="49"/>
      <c r="L151" s="49"/>
      <c r="M151" s="49"/>
      <c r="N151" s="49"/>
      <c r="O151" s="49"/>
      <c r="P151" s="49"/>
      <c r="Q151" s="13"/>
      <c r="R151" s="13"/>
      <c r="S151" s="13"/>
      <c r="T151" s="13"/>
      <c r="U151" s="13"/>
    </row>
    <row r="152" spans="1:21" x14ac:dyDescent="0.35">
      <c r="A152" s="13"/>
      <c r="B152" s="13"/>
      <c r="C152" s="13"/>
      <c r="D152" s="49"/>
      <c r="E152" s="49"/>
      <c r="F152" s="13"/>
      <c r="G152" s="49"/>
      <c r="H152" s="49"/>
      <c r="I152" s="49"/>
      <c r="J152" s="49"/>
      <c r="K152" s="49"/>
      <c r="L152" s="49"/>
      <c r="M152" s="49"/>
      <c r="N152" s="49"/>
      <c r="O152" s="49"/>
      <c r="P152" s="49"/>
      <c r="Q152" s="13"/>
      <c r="R152" s="13"/>
      <c r="S152" s="13"/>
      <c r="T152" s="13"/>
      <c r="U152" s="13"/>
    </row>
    <row r="153" spans="1:21" ht="15.5" x14ac:dyDescent="0.35">
      <c r="A153" s="13"/>
      <c r="B153" s="13"/>
      <c r="C153" s="13"/>
      <c r="D153" s="49"/>
      <c r="E153" s="49"/>
      <c r="F153" s="13"/>
      <c r="G153" s="13"/>
      <c r="H153" s="14"/>
      <c r="I153" s="14"/>
      <c r="J153" s="14"/>
      <c r="K153" s="14"/>
      <c r="L153" s="14"/>
      <c r="M153" s="14"/>
      <c r="N153" s="14"/>
      <c r="O153" s="14"/>
      <c r="P153" s="14"/>
      <c r="Q153" s="13"/>
      <c r="R153" s="13"/>
      <c r="S153" s="13"/>
      <c r="T153" s="13"/>
      <c r="U153" s="13"/>
    </row>
    <row r="154" spans="1:21" x14ac:dyDescent="0.35">
      <c r="A154" s="13"/>
      <c r="B154" s="13"/>
      <c r="C154" s="13"/>
      <c r="D154" s="49"/>
      <c r="E154" s="49"/>
      <c r="F154" s="13"/>
      <c r="G154" s="49"/>
      <c r="H154" s="13"/>
      <c r="I154" s="13"/>
      <c r="J154" s="13"/>
      <c r="K154" s="13"/>
      <c r="L154" s="13"/>
      <c r="M154" s="13"/>
      <c r="N154" s="13"/>
      <c r="O154" s="13"/>
      <c r="P154" s="13"/>
      <c r="Q154" s="13"/>
      <c r="R154" s="13"/>
      <c r="S154" s="13"/>
      <c r="T154" s="13"/>
      <c r="U154" s="13"/>
    </row>
    <row r="155" spans="1:21" x14ac:dyDescent="0.35">
      <c r="A155" s="13"/>
      <c r="B155" s="13"/>
      <c r="C155" s="13"/>
      <c r="D155" s="49"/>
      <c r="E155" s="49"/>
      <c r="F155" s="13"/>
      <c r="G155" s="49"/>
      <c r="H155" s="13"/>
      <c r="I155" s="13"/>
      <c r="J155" s="13"/>
      <c r="K155" s="13"/>
      <c r="L155" s="13"/>
      <c r="M155" s="13"/>
      <c r="N155" s="13"/>
      <c r="O155" s="13"/>
      <c r="P155" s="13"/>
      <c r="Q155" s="13"/>
      <c r="R155" s="13"/>
      <c r="S155" s="13"/>
      <c r="T155" s="13"/>
      <c r="U155" s="13"/>
    </row>
    <row r="156" spans="1:21" x14ac:dyDescent="0.35">
      <c r="A156" s="13"/>
      <c r="B156" s="13"/>
      <c r="C156" s="13"/>
      <c r="D156" s="49"/>
      <c r="E156" s="49"/>
      <c r="F156" s="13"/>
      <c r="G156" s="49"/>
      <c r="H156" s="49"/>
      <c r="I156" s="49"/>
      <c r="J156" s="49"/>
      <c r="K156" s="49"/>
      <c r="L156" s="49"/>
      <c r="M156" s="49"/>
      <c r="N156" s="49"/>
      <c r="O156" s="49"/>
      <c r="P156" s="49"/>
      <c r="Q156" s="13"/>
      <c r="R156" s="13"/>
      <c r="S156" s="13"/>
      <c r="T156" s="13"/>
      <c r="U156" s="13"/>
    </row>
    <row r="157" spans="1:21" x14ac:dyDescent="0.35">
      <c r="A157" s="13"/>
      <c r="B157" s="13"/>
      <c r="C157" s="13"/>
      <c r="D157" s="49"/>
      <c r="E157" s="49"/>
      <c r="F157" s="13"/>
      <c r="G157" s="13"/>
      <c r="H157" s="13"/>
      <c r="I157" s="13"/>
      <c r="J157" s="13"/>
      <c r="K157" s="13"/>
      <c r="L157" s="13"/>
      <c r="M157" s="13"/>
      <c r="N157" s="13"/>
      <c r="O157" s="13"/>
      <c r="P157" s="13"/>
      <c r="Q157" s="13"/>
      <c r="R157" s="13"/>
      <c r="S157" s="13"/>
      <c r="T157" s="13"/>
      <c r="U157" s="13"/>
    </row>
    <row r="158" spans="1:21" x14ac:dyDescent="0.35">
      <c r="A158" s="13"/>
      <c r="B158" s="13"/>
      <c r="C158" s="13"/>
      <c r="D158" s="49"/>
      <c r="E158" s="49"/>
      <c r="F158" s="13"/>
      <c r="G158" s="13"/>
      <c r="H158" s="13"/>
      <c r="I158" s="13"/>
      <c r="J158" s="13"/>
      <c r="K158" s="13"/>
      <c r="L158" s="13"/>
      <c r="M158" s="13"/>
      <c r="N158" s="13"/>
      <c r="O158" s="13"/>
      <c r="P158" s="13"/>
      <c r="Q158" s="13"/>
      <c r="R158" s="13"/>
      <c r="S158" s="13"/>
      <c r="T158" s="13"/>
      <c r="U158" s="13"/>
    </row>
    <row r="159" spans="1:21" ht="15.5" x14ac:dyDescent="0.35">
      <c r="A159" s="13"/>
      <c r="B159" s="13"/>
      <c r="C159" s="13"/>
      <c r="D159" s="49"/>
      <c r="E159" s="49"/>
      <c r="F159" s="13"/>
      <c r="G159" s="13"/>
      <c r="H159" s="14"/>
      <c r="I159" s="14"/>
      <c r="J159" s="14"/>
      <c r="K159" s="14"/>
      <c r="L159" s="14"/>
      <c r="M159" s="14"/>
      <c r="N159" s="14"/>
      <c r="O159" s="14"/>
      <c r="P159" s="14"/>
      <c r="Q159" s="13"/>
      <c r="R159" s="13"/>
      <c r="S159" s="13"/>
      <c r="T159" s="13"/>
      <c r="U159" s="13"/>
    </row>
    <row r="160" spans="1:21" x14ac:dyDescent="0.35">
      <c r="A160" s="13"/>
      <c r="B160" s="13"/>
      <c r="C160" s="13"/>
      <c r="D160" s="49"/>
      <c r="E160" s="49"/>
      <c r="F160" s="13"/>
      <c r="G160" s="49"/>
      <c r="H160" s="13"/>
      <c r="I160" s="13"/>
      <c r="J160" s="13"/>
      <c r="K160" s="13"/>
      <c r="L160" s="13"/>
      <c r="M160" s="13"/>
      <c r="N160" s="13"/>
      <c r="O160" s="13"/>
      <c r="P160" s="13"/>
      <c r="Q160" s="13"/>
      <c r="R160" s="13"/>
      <c r="S160" s="13"/>
      <c r="T160" s="13"/>
      <c r="U160" s="13"/>
    </row>
    <row r="161" spans="1:21" x14ac:dyDescent="0.35">
      <c r="A161" s="13"/>
      <c r="B161" s="13"/>
      <c r="C161" s="13"/>
      <c r="D161" s="49"/>
      <c r="E161" s="49"/>
      <c r="F161" s="13"/>
      <c r="G161" s="49"/>
      <c r="H161" s="13"/>
      <c r="I161" s="13"/>
      <c r="J161" s="13"/>
      <c r="K161" s="13"/>
      <c r="L161" s="13"/>
      <c r="M161" s="13"/>
      <c r="N161" s="13"/>
      <c r="O161" s="13"/>
      <c r="P161" s="13"/>
      <c r="Q161" s="13"/>
      <c r="R161" s="13"/>
      <c r="S161" s="13"/>
      <c r="T161" s="13"/>
      <c r="U161" s="13"/>
    </row>
    <row r="162" spans="1:21" x14ac:dyDescent="0.35">
      <c r="A162" s="13"/>
      <c r="B162" s="13"/>
      <c r="C162" s="13"/>
      <c r="D162" s="13"/>
      <c r="E162" s="49"/>
      <c r="F162" s="13"/>
      <c r="G162" s="49"/>
      <c r="H162" s="13"/>
      <c r="I162" s="13"/>
      <c r="J162" s="13"/>
      <c r="K162" s="13"/>
      <c r="L162" s="13"/>
      <c r="M162" s="13"/>
      <c r="N162" s="13"/>
      <c r="O162" s="13"/>
      <c r="P162" s="13"/>
      <c r="Q162" s="13"/>
      <c r="R162" s="13"/>
      <c r="S162" s="13"/>
      <c r="T162" s="13"/>
      <c r="U162" s="13"/>
    </row>
    <row r="163" spans="1:21" x14ac:dyDescent="0.35">
      <c r="A163" s="13"/>
      <c r="B163" s="13"/>
      <c r="C163" s="13"/>
      <c r="D163" s="13"/>
      <c r="E163" s="49"/>
      <c r="F163" s="13"/>
      <c r="G163" s="49"/>
      <c r="H163" s="13"/>
      <c r="I163" s="13"/>
      <c r="J163" s="13"/>
      <c r="K163" s="13"/>
      <c r="L163" s="13"/>
      <c r="M163" s="13"/>
      <c r="N163" s="13"/>
      <c r="O163" s="13"/>
      <c r="P163" s="13"/>
      <c r="Q163" s="13"/>
      <c r="R163" s="13"/>
      <c r="S163" s="13"/>
      <c r="T163" s="13"/>
      <c r="U163" s="13"/>
    </row>
    <row r="164" spans="1:21" ht="15.5" x14ac:dyDescent="0.35">
      <c r="A164" s="13"/>
      <c r="B164" s="13"/>
      <c r="C164" s="13"/>
      <c r="D164" s="13"/>
      <c r="E164" s="49"/>
      <c r="F164" s="13"/>
      <c r="G164" s="49"/>
      <c r="H164" s="14"/>
      <c r="I164" s="14"/>
      <c r="J164" s="14"/>
      <c r="K164" s="14"/>
      <c r="L164" s="14"/>
      <c r="M164" s="14"/>
      <c r="N164" s="14"/>
      <c r="O164" s="14"/>
      <c r="P164" s="14"/>
      <c r="Q164" s="13"/>
      <c r="R164" s="13"/>
      <c r="S164" s="13"/>
      <c r="T164" s="13"/>
      <c r="U164" s="13"/>
    </row>
    <row r="165" spans="1:21" x14ac:dyDescent="0.35">
      <c r="A165" s="13"/>
      <c r="B165" s="13"/>
      <c r="C165" s="13"/>
      <c r="D165" s="13"/>
      <c r="E165" s="49"/>
      <c r="F165" s="13"/>
      <c r="G165" s="49"/>
      <c r="H165" s="13"/>
      <c r="I165" s="13"/>
      <c r="J165" s="13"/>
      <c r="K165" s="13"/>
      <c r="L165" s="13"/>
      <c r="M165" s="13"/>
      <c r="N165" s="13"/>
      <c r="O165" s="13"/>
      <c r="P165" s="13"/>
      <c r="Q165" s="13"/>
      <c r="R165" s="13"/>
      <c r="S165" s="13"/>
      <c r="T165" s="13"/>
      <c r="U165" s="13"/>
    </row>
    <row r="166" spans="1:21" x14ac:dyDescent="0.35">
      <c r="A166" s="13"/>
      <c r="B166" s="13"/>
      <c r="C166" s="13"/>
      <c r="D166" s="13"/>
      <c r="E166" s="49"/>
      <c r="F166" s="13"/>
      <c r="G166" s="49"/>
      <c r="H166" s="13"/>
      <c r="I166" s="13"/>
      <c r="J166" s="13"/>
      <c r="K166" s="13"/>
      <c r="L166" s="13"/>
      <c r="M166" s="13"/>
      <c r="N166" s="13"/>
      <c r="O166" s="13"/>
      <c r="P166" s="13"/>
      <c r="Q166" s="13"/>
      <c r="R166" s="13"/>
      <c r="S166" s="13"/>
      <c r="T166" s="13"/>
      <c r="U166" s="13"/>
    </row>
    <row r="167" spans="1:21" x14ac:dyDescent="0.35">
      <c r="A167" s="13"/>
      <c r="B167" s="13"/>
      <c r="C167" s="13"/>
      <c r="D167" s="13"/>
      <c r="E167" s="49"/>
      <c r="F167" s="13"/>
      <c r="G167" s="49"/>
      <c r="H167" s="13"/>
      <c r="I167" s="13"/>
      <c r="J167" s="13"/>
      <c r="K167" s="13"/>
      <c r="L167" s="13"/>
      <c r="M167" s="13"/>
      <c r="N167" s="13"/>
      <c r="O167" s="13"/>
      <c r="P167" s="13"/>
      <c r="Q167" s="13"/>
      <c r="R167" s="13"/>
      <c r="S167" s="13"/>
      <c r="T167" s="13"/>
      <c r="U167" s="13"/>
    </row>
    <row r="168" spans="1:21" x14ac:dyDescent="0.35">
      <c r="A168" s="13"/>
      <c r="B168" s="13"/>
      <c r="C168" s="13"/>
      <c r="D168" s="13"/>
      <c r="E168" s="49"/>
      <c r="F168" s="13"/>
      <c r="G168" s="49"/>
      <c r="H168" s="13"/>
      <c r="I168" s="13"/>
      <c r="J168" s="13"/>
      <c r="K168" s="13"/>
      <c r="L168" s="13"/>
      <c r="M168" s="13"/>
      <c r="N168" s="13"/>
      <c r="O168" s="13"/>
      <c r="P168" s="13"/>
      <c r="Q168" s="13"/>
      <c r="R168" s="13"/>
      <c r="S168" s="13"/>
      <c r="T168" s="13"/>
      <c r="U168" s="13"/>
    </row>
    <row r="169" spans="1:21" x14ac:dyDescent="0.35">
      <c r="A169" s="13"/>
      <c r="B169" s="13"/>
      <c r="C169" s="13"/>
      <c r="D169" s="13"/>
      <c r="E169" s="49"/>
      <c r="F169" s="13"/>
      <c r="G169" s="49"/>
      <c r="H169" s="13"/>
      <c r="I169" s="13"/>
      <c r="J169" s="13"/>
      <c r="K169" s="13"/>
      <c r="L169" s="13"/>
      <c r="M169" s="13"/>
      <c r="N169" s="13"/>
      <c r="O169" s="13"/>
      <c r="P169" s="13"/>
      <c r="Q169" s="13"/>
      <c r="R169" s="13"/>
      <c r="S169" s="13"/>
      <c r="T169" s="13"/>
      <c r="U169" s="13"/>
    </row>
    <row r="170" spans="1:21" x14ac:dyDescent="0.35">
      <c r="A170" s="13"/>
      <c r="B170" s="13"/>
      <c r="C170" s="13"/>
      <c r="D170" s="13"/>
      <c r="E170" s="49"/>
      <c r="F170" s="13"/>
      <c r="G170" s="49"/>
      <c r="H170" s="13"/>
      <c r="I170" s="13"/>
      <c r="J170" s="13"/>
      <c r="K170" s="13"/>
      <c r="L170" s="13"/>
      <c r="M170" s="13"/>
      <c r="N170" s="13"/>
      <c r="O170" s="13"/>
      <c r="P170" s="13"/>
      <c r="Q170" s="13"/>
      <c r="R170" s="13"/>
      <c r="S170" s="13"/>
      <c r="T170" s="13"/>
      <c r="U170" s="13"/>
    </row>
    <row r="171" spans="1:21" x14ac:dyDescent="0.35">
      <c r="A171" s="13"/>
      <c r="B171" s="13"/>
      <c r="C171" s="13"/>
      <c r="D171" s="13"/>
      <c r="E171" s="49"/>
      <c r="F171" s="13"/>
      <c r="G171" s="49"/>
      <c r="H171" s="13"/>
      <c r="I171" s="13"/>
      <c r="J171" s="13"/>
      <c r="K171" s="13"/>
      <c r="L171" s="13"/>
      <c r="M171" s="13"/>
      <c r="N171" s="13"/>
      <c r="O171" s="13"/>
      <c r="P171" s="13"/>
      <c r="Q171" s="13"/>
      <c r="R171" s="13"/>
      <c r="S171" s="13"/>
      <c r="T171" s="13"/>
      <c r="U171" s="13"/>
    </row>
    <row r="172" spans="1:21" x14ac:dyDescent="0.35">
      <c r="A172" s="13"/>
      <c r="B172" s="13"/>
      <c r="C172" s="13"/>
      <c r="D172" s="13"/>
      <c r="E172" s="13"/>
      <c r="F172" s="13"/>
      <c r="G172" s="49"/>
      <c r="H172" s="13"/>
      <c r="I172" s="13"/>
      <c r="J172" s="13"/>
      <c r="K172" s="13"/>
      <c r="L172" s="13"/>
      <c r="M172" s="13"/>
      <c r="N172" s="13"/>
      <c r="O172" s="13"/>
      <c r="P172" s="13"/>
      <c r="Q172" s="13"/>
      <c r="R172" s="13"/>
      <c r="S172" s="13"/>
      <c r="T172" s="13"/>
      <c r="U172" s="13"/>
    </row>
    <row r="173" spans="1:21" x14ac:dyDescent="0.35">
      <c r="A173" s="13"/>
      <c r="B173" s="13"/>
      <c r="C173" s="13"/>
      <c r="D173" s="13"/>
      <c r="E173" s="13"/>
      <c r="F173" s="13"/>
      <c r="G173" s="13"/>
      <c r="H173" s="13"/>
      <c r="I173" s="13"/>
      <c r="J173" s="13"/>
      <c r="K173" s="13"/>
      <c r="L173" s="13"/>
      <c r="M173" s="13"/>
      <c r="N173" s="13"/>
      <c r="O173" s="13"/>
      <c r="P173" s="13"/>
      <c r="Q173" s="13"/>
      <c r="R173" s="13"/>
      <c r="S173" s="13"/>
      <c r="T173" s="13"/>
      <c r="U173" s="13"/>
    </row>
    <row r="174" spans="1:21" x14ac:dyDescent="0.35">
      <c r="A174" s="13"/>
      <c r="B174" s="13"/>
      <c r="C174" s="13"/>
      <c r="D174" s="13"/>
      <c r="E174" s="13"/>
      <c r="F174" s="13"/>
      <c r="G174" s="13"/>
      <c r="H174" s="13"/>
      <c r="I174" s="13"/>
      <c r="J174" s="13"/>
      <c r="K174" s="13"/>
      <c r="L174" s="13"/>
      <c r="M174" s="13"/>
      <c r="N174" s="13"/>
      <c r="O174" s="13"/>
      <c r="P174" s="13"/>
      <c r="Q174" s="13"/>
      <c r="R174" s="13"/>
      <c r="S174" s="13"/>
      <c r="T174" s="13"/>
      <c r="U174" s="13"/>
    </row>
    <row r="175" spans="1:21" x14ac:dyDescent="0.35">
      <c r="A175" s="13"/>
      <c r="B175" s="13"/>
      <c r="C175" s="13"/>
      <c r="D175" s="13"/>
      <c r="E175" s="49"/>
      <c r="F175" s="13"/>
      <c r="G175" s="49"/>
      <c r="H175" s="13"/>
      <c r="I175" s="13"/>
      <c r="J175" s="13"/>
      <c r="K175" s="13"/>
      <c r="L175" s="13"/>
      <c r="M175" s="13"/>
      <c r="N175" s="13"/>
      <c r="O175" s="13"/>
      <c r="P175" s="13"/>
      <c r="Q175" s="13"/>
      <c r="R175" s="13"/>
      <c r="S175" s="13"/>
      <c r="T175" s="13"/>
      <c r="U175" s="13"/>
    </row>
    <row r="176" spans="1:21" x14ac:dyDescent="0.35">
      <c r="A176" s="13"/>
      <c r="B176" s="13"/>
      <c r="C176" s="13"/>
      <c r="D176" s="13"/>
      <c r="E176" s="49"/>
      <c r="F176" s="13"/>
      <c r="G176" s="49"/>
      <c r="H176" s="13"/>
      <c r="I176" s="13"/>
      <c r="J176" s="13"/>
      <c r="K176" s="13"/>
      <c r="L176" s="13"/>
      <c r="M176" s="13"/>
      <c r="N176" s="13"/>
      <c r="O176" s="13"/>
      <c r="P176" s="13"/>
      <c r="Q176" s="13"/>
      <c r="R176" s="13"/>
      <c r="S176" s="13"/>
      <c r="T176" s="13"/>
      <c r="U176" s="13"/>
    </row>
    <row r="177" spans="1:22" x14ac:dyDescent="0.35">
      <c r="A177" s="13"/>
      <c r="B177" s="13"/>
      <c r="C177" s="13"/>
      <c r="D177" s="13"/>
      <c r="E177" s="49"/>
      <c r="F177" s="13"/>
      <c r="G177" s="49"/>
      <c r="H177" s="13"/>
      <c r="I177" s="13"/>
      <c r="J177" s="13"/>
      <c r="K177" s="13"/>
      <c r="L177" s="13"/>
      <c r="M177" s="13"/>
      <c r="N177" s="13"/>
      <c r="O177" s="13"/>
      <c r="P177" s="13"/>
      <c r="Q177" s="13"/>
      <c r="R177" s="13"/>
      <c r="S177" s="13"/>
      <c r="T177" s="13"/>
      <c r="U177" s="13"/>
    </row>
    <row r="178" spans="1:22" x14ac:dyDescent="0.35">
      <c r="A178" s="13"/>
      <c r="B178" s="13"/>
      <c r="C178" s="13"/>
      <c r="D178" s="13"/>
      <c r="E178" s="49"/>
      <c r="F178" s="13"/>
      <c r="G178" s="49"/>
      <c r="H178" s="13"/>
      <c r="I178" s="13"/>
      <c r="J178" s="13"/>
      <c r="K178" s="13"/>
      <c r="L178" s="13"/>
      <c r="M178" s="13"/>
      <c r="N178" s="13"/>
      <c r="O178" s="13"/>
      <c r="P178" s="13"/>
      <c r="Q178" s="13"/>
      <c r="R178" s="13"/>
      <c r="S178" s="13"/>
      <c r="T178" s="13"/>
      <c r="U178" s="13"/>
      <c r="V178" s="13"/>
    </row>
    <row r="179" spans="1:22" x14ac:dyDescent="0.35">
      <c r="A179" s="13"/>
      <c r="B179" s="13"/>
      <c r="C179" s="13"/>
      <c r="D179" s="13"/>
      <c r="E179" s="49"/>
      <c r="F179" s="13"/>
      <c r="G179" s="49"/>
      <c r="H179" s="13"/>
      <c r="I179" s="13"/>
      <c r="J179" s="13"/>
      <c r="K179" s="13"/>
      <c r="L179" s="13"/>
      <c r="M179" s="13"/>
      <c r="N179" s="13"/>
      <c r="O179" s="13"/>
      <c r="P179" s="13"/>
      <c r="Q179" s="13"/>
      <c r="R179" s="13"/>
      <c r="S179" s="13"/>
      <c r="T179" s="13"/>
      <c r="U179" s="13"/>
      <c r="V179" s="13"/>
    </row>
    <row r="180" spans="1:22" x14ac:dyDescent="0.35">
      <c r="A180" s="13"/>
      <c r="B180" s="13"/>
      <c r="C180" s="13"/>
      <c r="D180" s="13"/>
      <c r="E180" s="49"/>
      <c r="F180" s="13"/>
      <c r="G180" s="49"/>
      <c r="H180" s="13"/>
      <c r="I180" s="13"/>
      <c r="J180" s="13"/>
      <c r="K180" s="13"/>
      <c r="L180" s="13"/>
      <c r="M180" s="13"/>
      <c r="N180" s="13"/>
      <c r="O180" s="13"/>
      <c r="P180" s="13"/>
      <c r="Q180" s="13"/>
      <c r="R180" s="13"/>
      <c r="S180" s="13"/>
      <c r="T180" s="13"/>
      <c r="U180" s="13"/>
      <c r="V180" s="13"/>
    </row>
    <row r="181" spans="1:22" x14ac:dyDescent="0.35">
      <c r="A181" s="13"/>
      <c r="B181" s="13"/>
      <c r="C181" s="13"/>
      <c r="D181" s="13"/>
      <c r="E181" s="49"/>
      <c r="F181" s="13"/>
      <c r="G181" s="49"/>
      <c r="H181" s="13"/>
      <c r="I181" s="13"/>
      <c r="J181" s="13"/>
      <c r="K181" s="13"/>
      <c r="L181" s="13"/>
      <c r="M181" s="13"/>
      <c r="N181" s="13"/>
      <c r="O181" s="13"/>
      <c r="P181" s="13"/>
      <c r="Q181" s="13"/>
      <c r="R181" s="13"/>
      <c r="S181" s="13"/>
      <c r="T181" s="13"/>
      <c r="U181" s="13"/>
      <c r="V181" s="13"/>
    </row>
    <row r="182" spans="1:22" ht="15.5" x14ac:dyDescent="0.35">
      <c r="A182" s="13"/>
      <c r="B182" s="14"/>
      <c r="C182" s="14"/>
      <c r="D182" s="14"/>
      <c r="E182" s="49"/>
      <c r="F182" s="13"/>
      <c r="G182" s="49"/>
      <c r="H182" s="13"/>
      <c r="I182" s="13"/>
      <c r="J182" s="13"/>
      <c r="K182" s="13"/>
      <c r="L182" s="13"/>
      <c r="M182" s="13"/>
      <c r="N182" s="13"/>
      <c r="O182" s="13"/>
      <c r="P182" s="13"/>
      <c r="Q182" s="13"/>
      <c r="R182" s="14"/>
      <c r="S182" s="13"/>
      <c r="T182" s="13"/>
      <c r="U182" s="13"/>
      <c r="V182" s="13"/>
    </row>
    <row r="183" spans="1:22" x14ac:dyDescent="0.35">
      <c r="A183" s="13"/>
      <c r="B183" s="13"/>
      <c r="C183" s="13"/>
      <c r="D183" s="13"/>
      <c r="E183" s="49"/>
      <c r="F183" s="13"/>
      <c r="G183" s="49"/>
      <c r="H183" s="13"/>
      <c r="I183" s="13"/>
      <c r="J183" s="13"/>
      <c r="K183" s="13"/>
      <c r="L183" s="13"/>
      <c r="M183" s="13"/>
      <c r="N183" s="13"/>
      <c r="O183" s="13"/>
      <c r="P183" s="13"/>
      <c r="Q183" s="13"/>
      <c r="R183" s="13"/>
      <c r="S183" s="13"/>
      <c r="T183" s="13"/>
      <c r="U183" s="13"/>
      <c r="V183" s="13"/>
    </row>
    <row r="184" spans="1:22" x14ac:dyDescent="0.35">
      <c r="A184" s="13"/>
      <c r="B184" s="13"/>
      <c r="C184" s="13"/>
      <c r="D184" s="13"/>
      <c r="E184" s="49"/>
      <c r="F184" s="13"/>
      <c r="G184" s="49"/>
      <c r="H184" s="13"/>
      <c r="I184" s="13"/>
      <c r="J184" s="13"/>
      <c r="K184" s="13"/>
      <c r="L184" s="13"/>
      <c r="M184" s="13"/>
      <c r="N184" s="13"/>
      <c r="O184" s="13"/>
      <c r="P184" s="13"/>
      <c r="Q184" s="13"/>
      <c r="R184" s="13"/>
      <c r="S184" s="13"/>
      <c r="T184" s="13"/>
      <c r="U184" s="13"/>
      <c r="V184" s="13"/>
    </row>
    <row r="185" spans="1:22" x14ac:dyDescent="0.35">
      <c r="A185" s="13"/>
      <c r="B185" s="13"/>
      <c r="C185" s="13"/>
      <c r="D185" s="13"/>
      <c r="E185" s="49"/>
      <c r="F185" s="13"/>
      <c r="G185" s="49"/>
      <c r="H185" s="13"/>
      <c r="I185" s="13"/>
      <c r="J185" s="13"/>
      <c r="K185" s="13"/>
      <c r="L185" s="13"/>
      <c r="M185" s="13"/>
      <c r="N185" s="13"/>
      <c r="O185" s="13"/>
      <c r="P185" s="13"/>
      <c r="Q185" s="13"/>
      <c r="R185" s="13"/>
      <c r="S185" s="13"/>
      <c r="T185" s="13"/>
      <c r="U185" s="13"/>
      <c r="V185" s="13"/>
    </row>
    <row r="186" spans="1:22" x14ac:dyDescent="0.35">
      <c r="A186" s="13"/>
      <c r="B186" s="13"/>
      <c r="C186" s="13"/>
      <c r="D186" s="13"/>
      <c r="E186" s="49"/>
      <c r="F186" s="13"/>
      <c r="G186" s="49"/>
      <c r="H186" s="13"/>
      <c r="I186" s="13"/>
      <c r="J186" s="13"/>
      <c r="K186" s="13"/>
      <c r="L186" s="13"/>
      <c r="M186" s="13"/>
      <c r="N186" s="13"/>
      <c r="O186" s="13"/>
      <c r="P186" s="13"/>
      <c r="Q186" s="13"/>
      <c r="R186" s="13"/>
      <c r="S186" s="13"/>
      <c r="T186" s="13"/>
      <c r="U186" s="13"/>
      <c r="V186" s="13"/>
    </row>
    <row r="187" spans="1:22" x14ac:dyDescent="0.35">
      <c r="A187" s="13"/>
      <c r="B187" s="13"/>
      <c r="C187" s="13"/>
      <c r="D187" s="13"/>
      <c r="E187" s="13"/>
      <c r="F187" s="13"/>
      <c r="G187" s="49"/>
      <c r="H187" s="13"/>
      <c r="I187" s="13"/>
      <c r="J187" s="13"/>
      <c r="K187" s="13"/>
      <c r="L187" s="13"/>
      <c r="M187" s="13"/>
      <c r="N187" s="13"/>
      <c r="O187" s="13"/>
      <c r="P187" s="13"/>
      <c r="Q187" s="13"/>
      <c r="R187" s="13"/>
      <c r="S187" s="13"/>
      <c r="T187" s="13"/>
      <c r="U187" s="13"/>
      <c r="V187" s="13"/>
    </row>
    <row r="188" spans="1:22" x14ac:dyDescent="0.35">
      <c r="A188" s="13"/>
      <c r="B188" s="13"/>
      <c r="C188" s="13"/>
      <c r="D188" s="13"/>
      <c r="E188" s="13"/>
      <c r="F188" s="13"/>
      <c r="G188" s="13"/>
      <c r="H188" s="13"/>
      <c r="I188" s="13"/>
      <c r="J188" s="13"/>
      <c r="K188" s="13"/>
      <c r="L188" s="13"/>
      <c r="M188" s="13"/>
      <c r="N188" s="13"/>
      <c r="O188" s="13"/>
      <c r="P188" s="13"/>
      <c r="Q188" s="13"/>
      <c r="R188" s="13"/>
      <c r="S188" s="13"/>
      <c r="T188" s="13"/>
      <c r="U188" s="13"/>
      <c r="V188" s="13"/>
    </row>
    <row r="189" spans="1:22" x14ac:dyDescent="0.35">
      <c r="A189" s="49"/>
      <c r="B189" s="13"/>
      <c r="C189" s="13"/>
      <c r="D189" s="13"/>
      <c r="E189" s="13"/>
      <c r="F189" s="13"/>
      <c r="G189" s="13"/>
      <c r="H189" s="13"/>
      <c r="I189" s="13"/>
      <c r="J189" s="13"/>
      <c r="K189" s="13"/>
      <c r="L189" s="13"/>
      <c r="M189" s="13"/>
      <c r="N189" s="13"/>
      <c r="O189" s="13"/>
      <c r="P189" s="13"/>
      <c r="Q189" s="13"/>
      <c r="R189" s="13"/>
      <c r="S189" s="13"/>
      <c r="T189" s="13"/>
      <c r="U189" s="13"/>
      <c r="V189" s="13"/>
    </row>
    <row r="190" spans="1:22" ht="18.5" x14ac:dyDescent="0.45">
      <c r="A190" s="13"/>
      <c r="B190" s="13"/>
      <c r="C190" s="13"/>
      <c r="D190" s="13"/>
      <c r="E190" s="13"/>
      <c r="F190" s="149"/>
      <c r="G190" s="13"/>
      <c r="H190" s="13"/>
      <c r="I190" s="13"/>
      <c r="J190" s="13"/>
      <c r="K190" s="13"/>
      <c r="L190" s="13"/>
      <c r="M190" s="13"/>
      <c r="N190" s="13"/>
      <c r="O190" s="13"/>
      <c r="P190" s="13"/>
      <c r="Q190" s="13"/>
      <c r="R190" s="13"/>
      <c r="S190" s="13"/>
      <c r="T190" s="13"/>
      <c r="U190" s="13"/>
      <c r="V190" s="13"/>
    </row>
    <row r="191" spans="1:22" ht="15.5" x14ac:dyDescent="0.35">
      <c r="A191" s="13"/>
      <c r="B191" s="13"/>
      <c r="C191" s="13"/>
      <c r="D191" s="13"/>
      <c r="E191" s="14"/>
      <c r="F191" s="14"/>
      <c r="G191" s="14"/>
      <c r="H191" s="14"/>
      <c r="I191" s="14"/>
      <c r="J191" s="14"/>
      <c r="K191" s="14"/>
      <c r="L191" s="14"/>
      <c r="M191" s="14"/>
      <c r="N191" s="14"/>
      <c r="O191" s="14"/>
      <c r="P191" s="14"/>
      <c r="Q191" s="13"/>
      <c r="R191" s="13"/>
      <c r="S191" s="13"/>
      <c r="T191" s="13"/>
      <c r="U191" s="13"/>
      <c r="V191" s="13"/>
    </row>
    <row r="192" spans="1:22" x14ac:dyDescent="0.35">
      <c r="A192" s="13"/>
      <c r="B192" s="13"/>
      <c r="C192" s="13"/>
      <c r="D192" s="13"/>
      <c r="E192" s="13"/>
      <c r="F192" s="13"/>
      <c r="G192" s="13"/>
      <c r="H192" s="13"/>
      <c r="I192" s="13"/>
      <c r="J192" s="13"/>
      <c r="K192" s="13"/>
      <c r="L192" s="13"/>
      <c r="M192" s="13"/>
      <c r="N192" s="13"/>
      <c r="O192" s="13"/>
      <c r="P192" s="13"/>
      <c r="Q192" s="13"/>
      <c r="R192" s="13"/>
      <c r="S192" s="13"/>
      <c r="T192" s="13"/>
      <c r="U192" s="13"/>
      <c r="V192" s="13"/>
    </row>
    <row r="193" spans="1:22" x14ac:dyDescent="0.35">
      <c r="A193" s="13"/>
      <c r="B193" s="13"/>
      <c r="C193" s="13"/>
      <c r="D193" s="13"/>
      <c r="E193" s="13"/>
      <c r="F193" s="13"/>
      <c r="G193" s="13"/>
      <c r="H193" s="13"/>
      <c r="I193" s="13"/>
      <c r="J193" s="13"/>
      <c r="K193" s="13"/>
      <c r="L193" s="13"/>
      <c r="M193" s="13"/>
      <c r="N193" s="13"/>
      <c r="O193" s="13"/>
      <c r="P193" s="13"/>
      <c r="Q193" s="13"/>
      <c r="R193" s="13"/>
      <c r="S193" s="13"/>
      <c r="T193" s="13"/>
      <c r="U193" s="13"/>
      <c r="V193" s="13"/>
    </row>
    <row r="194" spans="1:22" x14ac:dyDescent="0.35">
      <c r="A194" s="13"/>
      <c r="B194" s="13"/>
      <c r="C194" s="13"/>
      <c r="D194" s="13"/>
      <c r="E194" s="13"/>
      <c r="F194" s="13"/>
      <c r="G194" s="13"/>
      <c r="H194" s="13"/>
      <c r="I194" s="13"/>
      <c r="J194" s="13"/>
      <c r="K194" s="13"/>
      <c r="L194" s="13"/>
      <c r="M194" s="13"/>
      <c r="N194" s="13"/>
      <c r="O194" s="13"/>
      <c r="P194" s="13"/>
      <c r="Q194" s="13"/>
      <c r="R194" s="13"/>
      <c r="S194" s="13"/>
      <c r="T194" s="13"/>
      <c r="U194" s="13"/>
      <c r="V194" s="13"/>
    </row>
    <row r="195" spans="1:22" x14ac:dyDescent="0.35">
      <c r="A195" s="13"/>
      <c r="B195" s="13"/>
      <c r="C195" s="13"/>
      <c r="D195" s="13"/>
      <c r="E195" s="13"/>
      <c r="F195" s="13"/>
      <c r="G195" s="13"/>
      <c r="H195" s="13"/>
      <c r="I195" s="13"/>
      <c r="J195" s="13"/>
      <c r="K195" s="13"/>
      <c r="L195" s="13"/>
      <c r="M195" s="13"/>
      <c r="N195" s="13"/>
      <c r="O195" s="13"/>
      <c r="P195" s="13"/>
      <c r="Q195" s="13"/>
      <c r="R195" s="13"/>
      <c r="S195" s="13"/>
      <c r="T195" s="13"/>
      <c r="U195" s="13"/>
      <c r="V195" s="13"/>
    </row>
    <row r="196" spans="1:22" x14ac:dyDescent="0.35">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x14ac:dyDescent="0.35">
      <c r="A197" s="13"/>
      <c r="B197" s="13"/>
      <c r="C197" s="13"/>
      <c r="D197" s="13"/>
      <c r="E197" s="13"/>
      <c r="F197" s="13"/>
      <c r="G197" s="13"/>
      <c r="H197" s="13"/>
      <c r="I197" s="13"/>
      <c r="J197" s="13"/>
      <c r="K197" s="13"/>
      <c r="L197" s="13"/>
      <c r="M197" s="13"/>
      <c r="N197" s="13"/>
      <c r="O197" s="13"/>
      <c r="P197" s="13"/>
      <c r="Q197" s="13"/>
      <c r="R197" s="13"/>
      <c r="S197" s="13"/>
      <c r="T197" s="13"/>
      <c r="U197" s="13"/>
      <c r="V197" s="13"/>
    </row>
    <row r="198" spans="1:22" x14ac:dyDescent="0.35">
      <c r="A198" s="13"/>
      <c r="B198" s="13"/>
      <c r="C198" s="13"/>
      <c r="D198" s="13"/>
      <c r="E198" s="13"/>
      <c r="F198" s="13"/>
      <c r="G198" s="13"/>
      <c r="H198" s="13"/>
      <c r="I198" s="13"/>
      <c r="J198" s="13"/>
      <c r="K198" s="13"/>
      <c r="L198" s="13"/>
      <c r="M198" s="13"/>
      <c r="N198" s="13"/>
      <c r="O198" s="13"/>
      <c r="P198" s="13"/>
      <c r="Q198" s="13"/>
      <c r="R198" s="13"/>
      <c r="S198" s="13"/>
      <c r="T198" s="13"/>
      <c r="U198" s="13"/>
      <c r="V198" s="13"/>
    </row>
    <row r="199" spans="1:22" x14ac:dyDescent="0.35">
      <c r="A199" s="13"/>
      <c r="B199" s="13"/>
      <c r="C199" s="13"/>
      <c r="D199" s="13"/>
      <c r="E199" s="13"/>
      <c r="F199" s="13"/>
      <c r="G199" s="13"/>
      <c r="H199" s="13"/>
      <c r="I199" s="13"/>
      <c r="J199" s="13"/>
      <c r="K199" s="13"/>
      <c r="L199" s="13"/>
      <c r="M199" s="13"/>
      <c r="N199" s="13"/>
      <c r="O199" s="13"/>
      <c r="P199" s="13"/>
      <c r="Q199" s="13"/>
      <c r="R199" s="13"/>
      <c r="S199" s="13"/>
      <c r="T199" s="13"/>
      <c r="U199" s="13"/>
      <c r="V199" s="13"/>
    </row>
    <row r="200" spans="1:22" x14ac:dyDescent="0.35">
      <c r="A200" s="13"/>
      <c r="B200" s="13"/>
      <c r="C200" s="13"/>
      <c r="D200" s="13"/>
      <c r="E200" s="13"/>
      <c r="F200" s="13"/>
      <c r="G200" s="13"/>
      <c r="H200" s="13"/>
      <c r="I200" s="13"/>
      <c r="J200" s="13"/>
      <c r="K200" s="13"/>
      <c r="L200" s="13"/>
      <c r="M200" s="13"/>
      <c r="N200" s="13"/>
      <c r="O200" s="13"/>
      <c r="P200" s="13"/>
      <c r="Q200" s="13"/>
      <c r="R200" s="13"/>
      <c r="S200" s="13"/>
      <c r="T200" s="13"/>
      <c r="U200" s="13"/>
      <c r="V200" s="13"/>
    </row>
    <row r="201" spans="1:22" x14ac:dyDescent="0.35">
      <c r="A201" s="13"/>
      <c r="B201" s="13"/>
      <c r="C201" s="13"/>
      <c r="D201" s="13"/>
      <c r="E201" s="13"/>
      <c r="F201" s="13"/>
      <c r="G201" s="13"/>
      <c r="H201" s="13"/>
      <c r="I201" s="13"/>
      <c r="J201" s="13"/>
      <c r="K201" s="13"/>
      <c r="L201" s="13"/>
      <c r="M201" s="13"/>
      <c r="N201" s="13"/>
      <c r="O201" s="13"/>
      <c r="P201" s="13"/>
      <c r="Q201" s="13"/>
      <c r="R201" s="13"/>
      <c r="S201" s="13"/>
      <c r="T201" s="13"/>
      <c r="U201" s="13"/>
      <c r="V201" s="13"/>
    </row>
    <row r="202" spans="1:22" x14ac:dyDescent="0.35">
      <c r="A202" s="13"/>
      <c r="B202" s="13"/>
      <c r="C202" s="13"/>
      <c r="D202" s="13"/>
      <c r="E202" s="13"/>
      <c r="F202" s="13"/>
      <c r="G202" s="13"/>
      <c r="H202" s="13"/>
      <c r="I202" s="13"/>
      <c r="J202" s="13"/>
      <c r="K202" s="13"/>
      <c r="L202" s="13"/>
      <c r="M202" s="13"/>
      <c r="N202" s="13"/>
      <c r="O202" s="13"/>
      <c r="P202" s="13"/>
      <c r="Q202" s="13"/>
      <c r="R202" s="13"/>
      <c r="S202" s="13"/>
      <c r="T202" s="13"/>
      <c r="U202" s="13"/>
      <c r="V202" s="13"/>
    </row>
    <row r="203" spans="1:22" x14ac:dyDescent="0.35">
      <c r="A203" s="13"/>
      <c r="B203" s="13"/>
      <c r="C203" s="13"/>
      <c r="D203" s="13"/>
      <c r="E203" s="13"/>
      <c r="F203" s="13"/>
      <c r="G203" s="13"/>
      <c r="H203" s="13"/>
      <c r="I203" s="13"/>
      <c r="J203" s="13"/>
      <c r="K203" s="13"/>
      <c r="L203" s="13"/>
      <c r="M203" s="13"/>
      <c r="N203" s="13"/>
      <c r="O203" s="13"/>
      <c r="P203" s="13"/>
      <c r="Q203" s="13"/>
      <c r="R203" s="13"/>
      <c r="S203" s="13"/>
      <c r="T203" s="13"/>
      <c r="U203" s="13"/>
      <c r="V203" s="13"/>
    </row>
    <row r="204" spans="1:22" x14ac:dyDescent="0.35">
      <c r="A204" s="13"/>
      <c r="B204" s="13"/>
      <c r="C204" s="13"/>
      <c r="D204" s="13"/>
      <c r="E204" s="13"/>
      <c r="F204" s="13"/>
      <c r="G204" s="13"/>
      <c r="H204" s="13"/>
      <c r="I204" s="13"/>
      <c r="J204" s="13"/>
      <c r="K204" s="13"/>
      <c r="L204" s="13"/>
      <c r="M204" s="13"/>
      <c r="N204" s="13"/>
      <c r="O204" s="13"/>
      <c r="P204" s="13"/>
      <c r="Q204" s="13"/>
      <c r="R204" s="13"/>
      <c r="S204" s="13"/>
      <c r="T204" s="13"/>
      <c r="U204" s="13"/>
      <c r="V204" s="13"/>
    </row>
    <row r="205" spans="1:22" x14ac:dyDescent="0.35">
      <c r="A205" s="13"/>
      <c r="B205" s="13"/>
      <c r="C205" s="13"/>
      <c r="D205" s="13"/>
      <c r="E205" s="13"/>
      <c r="F205" s="13"/>
      <c r="G205" s="13"/>
      <c r="H205" s="13"/>
      <c r="I205" s="13"/>
      <c r="J205" s="13"/>
      <c r="K205" s="13"/>
      <c r="L205" s="13"/>
      <c r="M205" s="13"/>
      <c r="N205" s="13"/>
      <c r="O205" s="13"/>
      <c r="P205" s="13"/>
      <c r="Q205" s="13"/>
      <c r="R205" s="13"/>
      <c r="S205" s="13"/>
      <c r="T205" s="13"/>
      <c r="U205" s="13"/>
      <c r="V205" s="13"/>
    </row>
    <row r="206" spans="1:22" x14ac:dyDescent="0.35">
      <c r="A206" s="13"/>
      <c r="B206" s="13"/>
      <c r="C206" s="13"/>
      <c r="D206" s="13"/>
      <c r="E206" s="13"/>
      <c r="F206" s="13"/>
      <c r="G206" s="13"/>
      <c r="H206" s="13"/>
      <c r="I206" s="13"/>
      <c r="J206" s="13"/>
      <c r="K206" s="13"/>
      <c r="L206" s="13"/>
      <c r="M206" s="13"/>
      <c r="N206" s="13"/>
      <c r="O206" s="13"/>
      <c r="P206" s="13"/>
      <c r="Q206" s="13"/>
      <c r="R206" s="13"/>
      <c r="S206" s="13"/>
      <c r="T206" s="13"/>
      <c r="U206" s="13"/>
      <c r="V206" s="13"/>
    </row>
    <row r="207" spans="1:22" x14ac:dyDescent="0.35">
      <c r="A207" s="13"/>
      <c r="B207" s="13"/>
      <c r="C207" s="13"/>
      <c r="D207" s="13"/>
      <c r="E207" s="13"/>
      <c r="F207" s="13"/>
      <c r="G207" s="13"/>
      <c r="H207" s="13"/>
      <c r="I207" s="13"/>
      <c r="J207" s="13"/>
      <c r="K207" s="13"/>
      <c r="L207" s="13"/>
      <c r="M207" s="13"/>
      <c r="N207" s="13"/>
      <c r="O207" s="13"/>
      <c r="P207" s="13"/>
      <c r="Q207" s="13"/>
      <c r="R207" s="13"/>
      <c r="S207" s="13"/>
      <c r="T207" s="13"/>
      <c r="U207" s="13"/>
      <c r="V207" s="13"/>
    </row>
    <row r="208" spans="1:22" x14ac:dyDescent="0.35">
      <c r="A208" s="13"/>
      <c r="B208" s="13"/>
      <c r="C208" s="13"/>
      <c r="D208" s="13"/>
      <c r="E208" s="13"/>
      <c r="F208" s="13"/>
      <c r="G208" s="13"/>
      <c r="H208" s="13"/>
      <c r="I208" s="13"/>
      <c r="J208" s="13"/>
      <c r="K208" s="13"/>
      <c r="L208" s="13"/>
      <c r="M208" s="13"/>
      <c r="N208" s="13"/>
      <c r="O208" s="13"/>
      <c r="P208" s="13"/>
      <c r="Q208" s="13"/>
      <c r="R208" s="13"/>
      <c r="S208" s="13"/>
      <c r="T208" s="13"/>
      <c r="U208" s="13"/>
      <c r="V208" s="13"/>
    </row>
    <row r="209" spans="1:22" x14ac:dyDescent="0.35">
      <c r="A209" s="13"/>
      <c r="B209" s="13"/>
      <c r="C209" s="13"/>
      <c r="D209" s="13"/>
      <c r="E209" s="13"/>
      <c r="F209" s="13"/>
      <c r="G209" s="13"/>
      <c r="H209" s="13"/>
      <c r="I209" s="13"/>
      <c r="J209" s="13"/>
      <c r="K209" s="13"/>
      <c r="L209" s="13"/>
      <c r="M209" s="13"/>
      <c r="N209" s="13"/>
      <c r="O209" s="13"/>
      <c r="P209" s="13"/>
      <c r="Q209" s="13"/>
      <c r="R209" s="13"/>
      <c r="S209" s="13"/>
      <c r="T209" s="13"/>
      <c r="U209" s="13"/>
      <c r="V209" s="13"/>
    </row>
    <row r="210" spans="1:22" x14ac:dyDescent="0.35">
      <c r="A210" s="13"/>
      <c r="B210" s="13"/>
      <c r="C210" s="13"/>
      <c r="D210" s="13"/>
      <c r="E210" s="13"/>
      <c r="F210" s="13"/>
      <c r="G210" s="13"/>
      <c r="H210" s="13"/>
      <c r="I210" s="13"/>
      <c r="J210" s="13"/>
      <c r="K210" s="13"/>
      <c r="L210" s="13"/>
      <c r="M210" s="13"/>
      <c r="N210" s="13"/>
      <c r="O210" s="13"/>
      <c r="P210" s="13"/>
      <c r="Q210" s="13"/>
      <c r="R210" s="13"/>
      <c r="S210" s="13"/>
      <c r="T210" s="13"/>
      <c r="U210" s="13"/>
      <c r="V210" s="13"/>
    </row>
    <row r="211" spans="1:22" x14ac:dyDescent="0.35">
      <c r="A211" s="13"/>
      <c r="B211" s="13"/>
      <c r="C211" s="13"/>
      <c r="D211" s="13"/>
      <c r="E211" s="13"/>
      <c r="F211" s="13"/>
      <c r="G211" s="13"/>
      <c r="H211" s="13"/>
      <c r="I211" s="13"/>
      <c r="J211" s="13"/>
      <c r="K211" s="13"/>
      <c r="L211" s="13"/>
      <c r="M211" s="13"/>
      <c r="N211" s="13"/>
      <c r="O211" s="13"/>
      <c r="P211" s="13"/>
      <c r="Q211" s="13"/>
      <c r="R211" s="13"/>
      <c r="S211" s="13"/>
      <c r="T211" s="13"/>
      <c r="U211" s="13"/>
      <c r="V211" s="13"/>
    </row>
    <row r="212" spans="1:22" x14ac:dyDescent="0.35">
      <c r="A212" s="13"/>
      <c r="B212" s="13"/>
      <c r="C212" s="13"/>
      <c r="D212" s="13"/>
      <c r="E212" s="13"/>
      <c r="F212" s="13"/>
      <c r="G212" s="13"/>
      <c r="H212" s="13"/>
      <c r="I212" s="13"/>
      <c r="J212" s="13"/>
      <c r="K212" s="13"/>
      <c r="L212" s="13"/>
      <c r="M212" s="13"/>
      <c r="N212" s="13"/>
      <c r="O212" s="13"/>
      <c r="P212" s="13"/>
      <c r="Q212" s="13"/>
      <c r="R212" s="13"/>
      <c r="S212" s="13"/>
      <c r="T212" s="13"/>
      <c r="U212" s="13"/>
      <c r="V212" s="13"/>
    </row>
    <row r="213" spans="1:22" x14ac:dyDescent="0.35">
      <c r="A213" s="13"/>
      <c r="B213" s="13"/>
      <c r="C213" s="13"/>
      <c r="D213" s="13"/>
      <c r="E213" s="13"/>
      <c r="F213" s="13"/>
      <c r="G213" s="13"/>
      <c r="H213" s="13"/>
      <c r="I213" s="13"/>
      <c r="J213" s="13"/>
      <c r="K213" s="13"/>
      <c r="L213" s="13"/>
      <c r="M213" s="13"/>
      <c r="N213" s="13"/>
      <c r="O213" s="13"/>
      <c r="P213" s="13"/>
      <c r="Q213" s="13"/>
      <c r="R213" s="13"/>
      <c r="S213" s="13"/>
      <c r="T213" s="13"/>
      <c r="U213" s="13"/>
      <c r="V213" s="13"/>
    </row>
    <row r="214" spans="1:22" x14ac:dyDescent="0.35">
      <c r="A214" s="13"/>
      <c r="B214" s="13"/>
      <c r="C214" s="13"/>
      <c r="D214" s="13"/>
      <c r="E214" s="13"/>
      <c r="F214" s="13"/>
      <c r="G214" s="13"/>
      <c r="H214" s="13"/>
      <c r="I214" s="13"/>
      <c r="J214" s="13"/>
      <c r="K214" s="13"/>
      <c r="L214" s="13"/>
      <c r="M214" s="13"/>
      <c r="N214" s="13"/>
      <c r="O214" s="13"/>
      <c r="P214" s="13"/>
      <c r="Q214" s="13"/>
      <c r="R214" s="13"/>
      <c r="S214" s="13"/>
      <c r="T214" s="13"/>
      <c r="U214" s="13"/>
      <c r="V214" s="13"/>
    </row>
    <row r="215" spans="1:22" x14ac:dyDescent="0.35">
      <c r="A215" s="13"/>
      <c r="B215" s="13"/>
      <c r="C215" s="13"/>
      <c r="D215" s="13"/>
      <c r="E215" s="13"/>
      <c r="F215" s="13"/>
      <c r="G215" s="13"/>
      <c r="H215" s="13"/>
      <c r="I215" s="13"/>
      <c r="J215" s="13"/>
      <c r="K215" s="13"/>
      <c r="L215" s="13"/>
      <c r="M215" s="13"/>
      <c r="N215" s="13"/>
      <c r="O215" s="13"/>
      <c r="P215" s="13"/>
      <c r="Q215" s="13"/>
      <c r="R215" s="13"/>
      <c r="S215" s="13"/>
      <c r="T215" s="13"/>
      <c r="U215" s="13"/>
      <c r="V215" s="13"/>
    </row>
    <row r="216" spans="1:22" x14ac:dyDescent="0.35">
      <c r="A216" s="13"/>
      <c r="B216" s="13"/>
      <c r="C216" s="13"/>
      <c r="D216" s="13"/>
      <c r="E216" s="13"/>
      <c r="F216" s="13"/>
      <c r="G216" s="13"/>
      <c r="H216" s="13"/>
      <c r="I216" s="13"/>
      <c r="J216" s="13"/>
      <c r="K216" s="13"/>
      <c r="L216" s="13"/>
      <c r="M216" s="13"/>
      <c r="N216" s="13"/>
      <c r="O216" s="13"/>
      <c r="P216" s="13"/>
      <c r="Q216" s="13"/>
      <c r="R216" s="13"/>
      <c r="S216" s="13"/>
      <c r="T216" s="13"/>
      <c r="U216" s="13"/>
      <c r="V216" s="13"/>
    </row>
    <row r="217" spans="1:22" x14ac:dyDescent="0.35">
      <c r="A217" s="13"/>
      <c r="B217" s="13"/>
      <c r="C217" s="13"/>
      <c r="D217" s="13"/>
      <c r="E217" s="13"/>
      <c r="F217" s="13"/>
      <c r="G217" s="13"/>
      <c r="H217" s="13"/>
      <c r="I217" s="13"/>
      <c r="J217" s="13"/>
      <c r="K217" s="13"/>
      <c r="L217" s="13"/>
      <c r="M217" s="13"/>
      <c r="N217" s="13"/>
      <c r="O217" s="13"/>
      <c r="P217" s="13"/>
      <c r="Q217" s="13"/>
      <c r="R217" s="13"/>
      <c r="S217" s="13"/>
      <c r="T217" s="13"/>
      <c r="U217" s="13"/>
      <c r="V217" s="13"/>
    </row>
    <row r="218" spans="1:22" x14ac:dyDescent="0.35">
      <c r="A218" s="13"/>
      <c r="B218" s="13"/>
      <c r="C218" s="13"/>
      <c r="D218" s="13"/>
      <c r="E218" s="13"/>
      <c r="F218" s="13"/>
      <c r="G218" s="13"/>
      <c r="H218" s="13"/>
      <c r="I218" s="13"/>
      <c r="J218" s="13"/>
      <c r="K218" s="13"/>
      <c r="L218" s="13"/>
      <c r="M218" s="13"/>
      <c r="N218" s="13"/>
      <c r="O218" s="13"/>
      <c r="P218" s="13"/>
      <c r="Q218" s="13"/>
      <c r="R218" s="13"/>
      <c r="S218" s="13"/>
      <c r="T218" s="13"/>
      <c r="U218" s="13"/>
      <c r="V218" s="13"/>
    </row>
    <row r="219" spans="1:22" x14ac:dyDescent="0.35">
      <c r="A219" s="13"/>
      <c r="B219" s="13"/>
      <c r="C219" s="13"/>
      <c r="D219" s="13"/>
      <c r="E219" s="13"/>
      <c r="F219" s="13"/>
      <c r="G219" s="13"/>
      <c r="H219" s="13"/>
      <c r="I219" s="13"/>
      <c r="J219" s="13"/>
      <c r="K219" s="13"/>
      <c r="L219" s="13"/>
      <c r="M219" s="13"/>
      <c r="N219" s="13"/>
      <c r="O219" s="13"/>
      <c r="P219" s="13"/>
      <c r="Q219" s="13"/>
      <c r="R219" s="13"/>
      <c r="S219" s="13"/>
      <c r="T219" s="13"/>
      <c r="U219" s="13"/>
      <c r="V219" s="13"/>
    </row>
    <row r="220" spans="1:22" x14ac:dyDescent="0.35">
      <c r="A220" s="13"/>
      <c r="B220" s="13"/>
      <c r="C220" s="13"/>
      <c r="D220" s="13"/>
      <c r="E220" s="13"/>
      <c r="F220" s="13"/>
      <c r="G220" s="13"/>
      <c r="H220" s="13"/>
      <c r="I220" s="13"/>
      <c r="J220" s="13"/>
      <c r="K220" s="13"/>
      <c r="L220" s="13"/>
      <c r="M220" s="13"/>
      <c r="N220" s="13"/>
      <c r="O220" s="13"/>
      <c r="P220" s="13"/>
      <c r="Q220" s="13"/>
      <c r="R220" s="13"/>
      <c r="S220" s="13"/>
      <c r="T220" s="13"/>
      <c r="U220" s="13"/>
      <c r="V220" s="13"/>
    </row>
    <row r="221" spans="1:22" x14ac:dyDescent="0.35">
      <c r="A221" s="13"/>
      <c r="B221" s="13"/>
      <c r="C221" s="13"/>
      <c r="D221" s="13"/>
      <c r="E221" s="13"/>
      <c r="F221" s="13"/>
      <c r="G221" s="13"/>
      <c r="H221" s="13"/>
      <c r="I221" s="13"/>
      <c r="J221" s="13"/>
      <c r="K221" s="13"/>
      <c r="L221" s="13"/>
      <c r="M221" s="13"/>
      <c r="N221" s="13"/>
      <c r="O221" s="13"/>
      <c r="P221" s="13"/>
      <c r="Q221" s="13"/>
      <c r="R221" s="13"/>
      <c r="S221" s="13"/>
      <c r="T221" s="13"/>
      <c r="U221" s="13"/>
      <c r="V221" s="13"/>
    </row>
    <row r="222" spans="1:22" x14ac:dyDescent="0.35">
      <c r="A222" s="13"/>
      <c r="B222" s="13"/>
      <c r="C222" s="13"/>
      <c r="D222" s="13"/>
      <c r="E222" s="13"/>
      <c r="F222" s="13"/>
      <c r="G222" s="13"/>
      <c r="H222" s="13"/>
      <c r="I222" s="13"/>
      <c r="J222" s="13"/>
      <c r="K222" s="13"/>
      <c r="L222" s="13"/>
      <c r="M222" s="13"/>
      <c r="N222" s="13"/>
      <c r="O222" s="13"/>
      <c r="P222" s="13"/>
      <c r="Q222" s="13"/>
      <c r="R222" s="13"/>
      <c r="S222" s="13"/>
      <c r="T222" s="13"/>
      <c r="U222" s="13"/>
      <c r="V222" s="13"/>
    </row>
    <row r="223" spans="1:22" ht="15.5" x14ac:dyDescent="0.35">
      <c r="A223" s="13"/>
      <c r="B223" s="13"/>
      <c r="C223" s="13"/>
      <c r="D223" s="13"/>
      <c r="E223" s="13"/>
      <c r="F223" s="13"/>
      <c r="G223" s="13"/>
      <c r="H223" s="14"/>
      <c r="I223" s="14"/>
      <c r="J223" s="14"/>
      <c r="K223" s="14"/>
      <c r="L223" s="14"/>
      <c r="M223" s="14"/>
      <c r="N223" s="14"/>
      <c r="O223" s="14"/>
      <c r="P223" s="14"/>
      <c r="Q223" s="13"/>
      <c r="R223" s="13"/>
      <c r="S223" s="13"/>
      <c r="T223" s="13"/>
      <c r="U223" s="13"/>
      <c r="V223" s="13"/>
    </row>
    <row r="224" spans="1:22" x14ac:dyDescent="0.35">
      <c r="A224" s="13"/>
      <c r="B224" s="13"/>
      <c r="C224" s="13"/>
      <c r="D224" s="13"/>
      <c r="E224" s="49"/>
      <c r="F224" s="13"/>
      <c r="G224" s="49"/>
      <c r="H224" s="13"/>
      <c r="I224" s="13"/>
      <c r="J224" s="13"/>
      <c r="K224" s="13"/>
      <c r="L224" s="13"/>
      <c r="M224" s="13"/>
      <c r="N224" s="13"/>
      <c r="O224" s="13"/>
      <c r="P224" s="13"/>
      <c r="Q224" s="13"/>
      <c r="R224" s="13"/>
      <c r="S224" s="13"/>
      <c r="T224" s="13"/>
      <c r="U224" s="13"/>
      <c r="V224" s="13"/>
    </row>
    <row r="225" spans="1:22" x14ac:dyDescent="0.35">
      <c r="A225" s="13"/>
      <c r="B225" s="13"/>
      <c r="C225" s="13"/>
      <c r="D225" s="13"/>
      <c r="E225" s="49"/>
      <c r="F225" s="13"/>
      <c r="G225" s="49"/>
      <c r="H225" s="13"/>
      <c r="I225" s="13"/>
      <c r="J225" s="13"/>
      <c r="K225" s="13"/>
      <c r="L225" s="13"/>
      <c r="M225" s="13"/>
      <c r="N225" s="13"/>
      <c r="O225" s="13"/>
      <c r="P225" s="13"/>
      <c r="Q225" s="13"/>
      <c r="R225" s="13"/>
      <c r="S225" s="13"/>
      <c r="T225" s="13"/>
      <c r="U225" s="13"/>
      <c r="V225" s="13"/>
    </row>
    <row r="226" spans="1:22" x14ac:dyDescent="0.35">
      <c r="A226" s="13"/>
      <c r="B226" s="13"/>
      <c r="C226" s="13"/>
      <c r="D226" s="13"/>
      <c r="E226" s="49"/>
      <c r="F226" s="13"/>
      <c r="G226" s="49"/>
      <c r="H226" s="13"/>
      <c r="I226" s="13"/>
      <c r="J226" s="13"/>
      <c r="K226" s="13"/>
      <c r="L226" s="13"/>
      <c r="M226" s="13"/>
      <c r="N226" s="13"/>
      <c r="O226" s="13"/>
      <c r="P226" s="13"/>
      <c r="Q226" s="13"/>
      <c r="R226" s="13"/>
      <c r="S226" s="13"/>
      <c r="T226" s="13"/>
      <c r="U226" s="13"/>
      <c r="V226" s="13"/>
    </row>
    <row r="227" spans="1:22" x14ac:dyDescent="0.35">
      <c r="A227" s="13"/>
      <c r="B227" s="13"/>
      <c r="C227" s="13"/>
      <c r="D227" s="13"/>
      <c r="E227" s="49"/>
      <c r="F227" s="13"/>
      <c r="G227" s="49"/>
      <c r="H227" s="13"/>
      <c r="I227" s="13"/>
      <c r="J227" s="13"/>
      <c r="K227" s="13"/>
      <c r="L227" s="13"/>
      <c r="M227" s="13"/>
      <c r="N227" s="13"/>
      <c r="O227" s="13"/>
      <c r="P227" s="13"/>
      <c r="Q227" s="13"/>
      <c r="R227" s="13"/>
      <c r="S227" s="13"/>
      <c r="T227" s="13"/>
      <c r="U227" s="13"/>
      <c r="V227" s="13"/>
    </row>
    <row r="228" spans="1:22" x14ac:dyDescent="0.35">
      <c r="A228" s="13"/>
      <c r="B228" s="13"/>
      <c r="C228" s="13"/>
      <c r="D228" s="13"/>
      <c r="E228" s="49"/>
      <c r="F228" s="13"/>
      <c r="G228" s="49"/>
      <c r="H228" s="13"/>
      <c r="I228" s="13"/>
      <c r="J228" s="13"/>
      <c r="K228" s="13"/>
      <c r="L228" s="13"/>
      <c r="M228" s="13"/>
      <c r="N228" s="13"/>
      <c r="O228" s="13"/>
      <c r="P228" s="13"/>
      <c r="Q228" s="13"/>
      <c r="R228" s="13"/>
      <c r="S228" s="13"/>
      <c r="T228" s="13"/>
      <c r="U228" s="13"/>
      <c r="V228" s="13"/>
    </row>
    <row r="229" spans="1:22" x14ac:dyDescent="0.35">
      <c r="A229" s="13"/>
      <c r="B229" s="13"/>
      <c r="C229" s="13"/>
      <c r="D229" s="13"/>
      <c r="E229" s="49"/>
      <c r="F229" s="13"/>
      <c r="G229" s="49"/>
      <c r="H229" s="13"/>
      <c r="I229" s="13"/>
      <c r="J229" s="13"/>
      <c r="K229" s="13"/>
      <c r="L229" s="13"/>
      <c r="M229" s="13"/>
      <c r="N229" s="13"/>
      <c r="O229" s="13"/>
      <c r="P229" s="13"/>
      <c r="Q229" s="13"/>
      <c r="R229" s="13"/>
      <c r="S229" s="13"/>
      <c r="T229" s="13"/>
      <c r="U229" s="13"/>
      <c r="V229" s="13"/>
    </row>
    <row r="230" spans="1:22" x14ac:dyDescent="0.35">
      <c r="E230" s="49"/>
      <c r="F230" s="13"/>
      <c r="G230" s="49"/>
      <c r="H230" s="13"/>
      <c r="I230" s="13"/>
      <c r="J230" s="13"/>
      <c r="K230" s="13"/>
      <c r="L230" s="13"/>
      <c r="M230" s="13"/>
      <c r="N230" s="13"/>
      <c r="O230" s="13"/>
      <c r="P230" s="13"/>
    </row>
    <row r="231" spans="1:22" x14ac:dyDescent="0.35">
      <c r="E231" s="49"/>
      <c r="F231" s="13"/>
      <c r="G231" s="49"/>
      <c r="H231" s="13"/>
      <c r="I231" s="13"/>
      <c r="J231" s="13"/>
      <c r="K231" s="13"/>
      <c r="L231" s="13"/>
      <c r="M231" s="13"/>
      <c r="N231" s="13"/>
      <c r="O231" s="13"/>
      <c r="P231" s="13"/>
    </row>
    <row r="232" spans="1:22" x14ac:dyDescent="0.35">
      <c r="E232" s="49"/>
      <c r="F232" s="13"/>
      <c r="G232" s="49"/>
      <c r="H232" s="13"/>
      <c r="I232" s="13"/>
      <c r="J232" s="13"/>
      <c r="K232" s="13"/>
      <c r="L232" s="13"/>
      <c r="M232" s="13"/>
      <c r="N232" s="13"/>
      <c r="O232" s="13"/>
      <c r="P232" s="13"/>
    </row>
    <row r="233" spans="1:22" x14ac:dyDescent="0.35">
      <c r="E233" s="49"/>
      <c r="F233" s="13"/>
      <c r="G233" s="49"/>
      <c r="H233" s="13"/>
      <c r="I233" s="13"/>
      <c r="J233" s="13"/>
      <c r="K233" s="13"/>
      <c r="L233" s="13"/>
      <c r="M233" s="13"/>
      <c r="N233" s="13"/>
      <c r="O233" s="13"/>
      <c r="P233" s="13"/>
    </row>
    <row r="234" spans="1:22" x14ac:dyDescent="0.35">
      <c r="E234" s="49"/>
      <c r="F234" s="13"/>
      <c r="G234" s="49"/>
      <c r="H234" s="13"/>
      <c r="I234" s="13"/>
      <c r="J234" s="13"/>
      <c r="K234" s="13"/>
      <c r="L234" s="13"/>
      <c r="M234" s="13"/>
      <c r="N234" s="13"/>
      <c r="O234" s="13"/>
      <c r="P234" s="13"/>
    </row>
    <row r="235" spans="1:22" x14ac:dyDescent="0.35">
      <c r="E235" s="49"/>
      <c r="F235" s="13"/>
      <c r="G235" s="49"/>
      <c r="H235" s="13"/>
      <c r="I235" s="13"/>
      <c r="J235" s="13"/>
      <c r="K235" s="13"/>
      <c r="L235" s="13"/>
      <c r="M235" s="13"/>
      <c r="N235" s="13"/>
      <c r="O235" s="13"/>
      <c r="P235" s="13"/>
    </row>
    <row r="236" spans="1:22" x14ac:dyDescent="0.35">
      <c r="E236" s="13"/>
      <c r="F236" s="13"/>
      <c r="G236" s="49"/>
      <c r="H236" s="13"/>
      <c r="I236" s="13"/>
      <c r="J236" s="13"/>
      <c r="K236" s="13"/>
      <c r="L236" s="13"/>
      <c r="M236" s="13"/>
      <c r="N236" s="13"/>
      <c r="O236" s="13"/>
      <c r="P236" s="13"/>
    </row>
    <row r="237" spans="1:22" x14ac:dyDescent="0.35">
      <c r="E237" s="13"/>
      <c r="F237" s="13"/>
      <c r="G237" s="13"/>
      <c r="H237" s="13"/>
      <c r="I237" s="13"/>
      <c r="J237" s="13"/>
      <c r="K237" s="13"/>
      <c r="L237" s="13"/>
      <c r="M237" s="13"/>
      <c r="N237" s="13"/>
      <c r="O237" s="13"/>
      <c r="P237" s="13"/>
    </row>
    <row r="238" spans="1:22" x14ac:dyDescent="0.35">
      <c r="E238" s="13"/>
      <c r="F238" s="13"/>
      <c r="G238" s="13"/>
      <c r="H238" s="13"/>
      <c r="I238" s="13"/>
      <c r="J238" s="13"/>
      <c r="K238" s="13"/>
      <c r="L238" s="13"/>
      <c r="M238" s="13"/>
      <c r="N238" s="13"/>
      <c r="O238" s="13"/>
      <c r="P238" s="13"/>
    </row>
  </sheetData>
  <pageMargins left="0.7" right="0.7" top="0.75" bottom="0.75" header="0.3" footer="0.3"/>
  <pageSetup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V197"/>
  <sheetViews>
    <sheetView topLeftCell="A97" workbookViewId="0">
      <selection activeCell="D49" sqref="D49"/>
    </sheetView>
  </sheetViews>
  <sheetFormatPr defaultRowHeight="14.5" x14ac:dyDescent="0.35"/>
  <cols>
    <col min="2" max="2" width="10.54296875" customWidth="1"/>
    <col min="3" max="3" width="10.26953125" customWidth="1"/>
    <col min="13" max="13" width="10.54296875" customWidth="1"/>
  </cols>
  <sheetData>
    <row r="4" spans="2:19" ht="18.5" x14ac:dyDescent="0.45">
      <c r="B4" s="2"/>
      <c r="C4" s="1" t="s">
        <v>298</v>
      </c>
      <c r="D4" s="2"/>
      <c r="E4" s="2"/>
      <c r="F4" s="2"/>
      <c r="G4" s="2"/>
      <c r="H4" s="2"/>
      <c r="I4" s="2"/>
      <c r="J4" s="2"/>
      <c r="K4" s="2"/>
      <c r="L4" s="2"/>
      <c r="M4" s="2"/>
      <c r="N4" s="2"/>
      <c r="O4" s="2"/>
    </row>
    <row r="5" spans="2:19" ht="18.5" x14ac:dyDescent="0.45">
      <c r="B5" s="2"/>
      <c r="C5" s="2"/>
      <c r="D5" s="2"/>
      <c r="E5" s="2"/>
      <c r="F5" s="1" t="s">
        <v>299</v>
      </c>
      <c r="G5" s="3"/>
      <c r="H5" s="3"/>
      <c r="I5" s="3"/>
      <c r="J5" s="3"/>
      <c r="K5" s="3"/>
      <c r="L5" s="3"/>
      <c r="M5" s="3"/>
      <c r="N5" s="3"/>
      <c r="O5" s="3"/>
    </row>
    <row r="6" spans="2:1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row>
    <row r="7" spans="2:19" x14ac:dyDescent="0.35">
      <c r="B7" s="2"/>
      <c r="C7" s="2"/>
      <c r="D7" s="2"/>
      <c r="E7" s="2"/>
      <c r="F7" s="2">
        <v>5.7635550000000002</v>
      </c>
      <c r="G7" s="2">
        <v>11.521239</v>
      </c>
      <c r="H7" s="2">
        <f>G7-F7</f>
        <v>5.7576839999999994</v>
      </c>
      <c r="I7" s="2">
        <f>F8-G7</f>
        <v>5.0672140000000017</v>
      </c>
      <c r="J7" s="2">
        <f>H7/N7</f>
        <v>0.53189267926589223</v>
      </c>
      <c r="K7" s="2">
        <f>I7/N7</f>
        <v>0.46810732073410771</v>
      </c>
      <c r="L7" s="2">
        <f>1/H7</f>
        <v>0.1736809453245437</v>
      </c>
      <c r="M7" s="2">
        <f>1/N7</f>
        <v>9.23796233461045E-2</v>
      </c>
      <c r="N7" s="2">
        <f>H7+I7</f>
        <v>10.824898000000001</v>
      </c>
      <c r="O7" s="2">
        <v>21</v>
      </c>
      <c r="P7">
        <f>O7/H7</f>
        <v>3.647299851815418</v>
      </c>
    </row>
    <row r="8" spans="2:19" x14ac:dyDescent="0.35">
      <c r="B8" s="2"/>
      <c r="C8" s="2"/>
      <c r="D8" s="2"/>
      <c r="E8" s="2"/>
      <c r="F8" s="2">
        <v>16.588453000000001</v>
      </c>
      <c r="G8" s="2">
        <v>21.240773999999998</v>
      </c>
      <c r="H8" s="2">
        <f>G8-F8</f>
        <v>4.652320999999997</v>
      </c>
      <c r="I8" s="2">
        <f>F9-G8</f>
        <v>8.815411000000001</v>
      </c>
      <c r="J8" s="2">
        <f>H8/N8</f>
        <v>0.34544205364347891</v>
      </c>
      <c r="K8" s="2">
        <f>I8/N8</f>
        <v>0.65455794635652109</v>
      </c>
      <c r="L8" s="2">
        <f>1/H8</f>
        <v>0.21494647510350223</v>
      </c>
      <c r="M8" s="2">
        <f>1/N8</f>
        <v>7.4251551783180728E-2</v>
      </c>
      <c r="N8" s="2">
        <f>H8+I8</f>
        <v>13.467731999999998</v>
      </c>
      <c r="O8" s="2">
        <v>18</v>
      </c>
      <c r="P8">
        <f t="shared" ref="P8:P41" si="0">O8/H8</f>
        <v>3.8690365518630401</v>
      </c>
    </row>
    <row r="9" spans="2:19" x14ac:dyDescent="0.35">
      <c r="B9" s="2"/>
      <c r="C9" s="2"/>
      <c r="D9" s="2"/>
      <c r="E9" s="2"/>
      <c r="F9" s="2">
        <v>30.056184999999999</v>
      </c>
      <c r="G9" s="2">
        <v>35.598427999999998</v>
      </c>
      <c r="H9" s="2">
        <f t="shared" ref="H9:H41" si="1">G9-F9</f>
        <v>5.5422429999999991</v>
      </c>
      <c r="I9" s="2">
        <f t="shared" ref="I9:I40" si="2">F10-G9</f>
        <v>4.3646140000000031</v>
      </c>
      <c r="J9" s="2">
        <f t="shared" ref="J9:J40" si="3">H9/N9</f>
        <v>0.55943504584753756</v>
      </c>
      <c r="K9" s="2">
        <f t="shared" ref="K9:K40" si="4">I9/N9</f>
        <v>0.4405649541524625</v>
      </c>
      <c r="L9" s="2">
        <f t="shared" ref="L9:L40" si="5">1/H9</f>
        <v>0.18043236285381212</v>
      </c>
      <c r="M9" s="2">
        <f t="shared" ref="M9:M40" si="6">1/N9</f>
        <v>0.10094018718550189</v>
      </c>
      <c r="N9" s="2">
        <f t="shared" ref="N9:N40" si="7">H9+I9</f>
        <v>9.9068570000000022</v>
      </c>
      <c r="O9" s="2">
        <v>23</v>
      </c>
      <c r="P9">
        <f t="shared" si="0"/>
        <v>4.1499443456376781</v>
      </c>
    </row>
    <row r="10" spans="2:19" x14ac:dyDescent="0.35">
      <c r="B10" s="2"/>
      <c r="C10" s="2"/>
      <c r="D10" s="2"/>
      <c r="E10" s="2"/>
      <c r="F10" s="2">
        <v>39.963042000000002</v>
      </c>
      <c r="G10" s="2">
        <v>45.400033999999998</v>
      </c>
      <c r="H10" s="2">
        <f t="shared" si="1"/>
        <v>5.4369919999999965</v>
      </c>
      <c r="I10" s="2">
        <f t="shared" si="2"/>
        <v>6.1818400000000011</v>
      </c>
      <c r="J10" s="2">
        <f t="shared" si="3"/>
        <v>0.46794651992558267</v>
      </c>
      <c r="K10" s="2">
        <f t="shared" si="4"/>
        <v>0.53205348007441733</v>
      </c>
      <c r="L10" s="2">
        <f t="shared" si="5"/>
        <v>0.18392522924440585</v>
      </c>
      <c r="M10" s="2">
        <f t="shared" si="6"/>
        <v>8.6067170951434721E-2</v>
      </c>
      <c r="N10" s="2">
        <f t="shared" si="7"/>
        <v>11.618831999999998</v>
      </c>
      <c r="O10" s="2">
        <v>18</v>
      </c>
      <c r="P10">
        <f t="shared" si="0"/>
        <v>3.3106541263993052</v>
      </c>
    </row>
    <row r="11" spans="2:19" x14ac:dyDescent="0.35">
      <c r="B11" s="2"/>
      <c r="C11" s="2"/>
      <c r="D11" s="2"/>
      <c r="E11" s="2"/>
      <c r="F11" s="2">
        <v>51.581873999999999</v>
      </c>
      <c r="G11" s="2">
        <v>56.19097</v>
      </c>
      <c r="H11" s="2">
        <f t="shared" si="1"/>
        <v>4.609096000000001</v>
      </c>
      <c r="I11" s="2">
        <f t="shared" si="2"/>
        <v>8.0403540000000007</v>
      </c>
      <c r="J11" s="2">
        <f t="shared" si="3"/>
        <v>0.36437125724833891</v>
      </c>
      <c r="K11" s="2">
        <f t="shared" si="4"/>
        <v>0.63562874275166115</v>
      </c>
      <c r="L11" s="2">
        <f t="shared" si="5"/>
        <v>0.21696228501207174</v>
      </c>
      <c r="M11" s="2">
        <f t="shared" si="6"/>
        <v>7.905482056532101E-2</v>
      </c>
      <c r="N11" s="2">
        <f t="shared" si="7"/>
        <v>12.649450000000002</v>
      </c>
      <c r="O11" s="2">
        <v>17</v>
      </c>
      <c r="P11">
        <f t="shared" si="0"/>
        <v>3.6883588452052196</v>
      </c>
    </row>
    <row r="12" spans="2:19" x14ac:dyDescent="0.35">
      <c r="B12" s="2"/>
      <c r="C12" s="2"/>
      <c r="D12" s="2"/>
      <c r="E12" s="2"/>
      <c r="F12" s="2">
        <v>64.231324000000001</v>
      </c>
      <c r="G12" s="2">
        <v>69.066006999999999</v>
      </c>
      <c r="H12" s="2">
        <f t="shared" si="1"/>
        <v>4.8346829999999983</v>
      </c>
      <c r="I12" s="2">
        <f t="shared" si="2"/>
        <v>5.1978579999999965</v>
      </c>
      <c r="J12" s="2">
        <f t="shared" si="3"/>
        <v>0.48190014872603071</v>
      </c>
      <c r="K12" s="2">
        <f t="shared" si="4"/>
        <v>0.51809985127396929</v>
      </c>
      <c r="L12" s="2">
        <f t="shared" si="5"/>
        <v>0.20683879377406963</v>
      </c>
      <c r="M12" s="2">
        <f t="shared" si="6"/>
        <v>9.9675645482036959E-2</v>
      </c>
      <c r="N12" s="2">
        <f t="shared" si="7"/>
        <v>10.032540999999995</v>
      </c>
      <c r="O12" s="2">
        <v>19</v>
      </c>
      <c r="P12">
        <f t="shared" si="0"/>
        <v>3.9299370817073234</v>
      </c>
    </row>
    <row r="13" spans="2:19" x14ac:dyDescent="0.35">
      <c r="B13" s="2"/>
      <c r="C13" s="2"/>
      <c r="D13" s="2"/>
      <c r="E13" s="2"/>
      <c r="F13" s="2">
        <v>74.263864999999996</v>
      </c>
      <c r="G13" s="2">
        <v>79.441451000000001</v>
      </c>
      <c r="H13" s="2">
        <f t="shared" si="1"/>
        <v>5.1775860000000051</v>
      </c>
      <c r="I13" s="2">
        <f t="shared" si="2"/>
        <v>8.4633029999999962</v>
      </c>
      <c r="J13" s="2">
        <f t="shared" si="3"/>
        <v>0.37956367799781998</v>
      </c>
      <c r="K13" s="2">
        <f t="shared" si="4"/>
        <v>0.62043632200218002</v>
      </c>
      <c r="L13" s="2">
        <f t="shared" si="5"/>
        <v>0.19314020085808309</v>
      </c>
      <c r="M13" s="2">
        <f t="shared" si="6"/>
        <v>7.3309005006931729E-2</v>
      </c>
      <c r="N13" s="2">
        <f t="shared" si="7"/>
        <v>13.640889000000001</v>
      </c>
      <c r="O13" s="2">
        <v>19</v>
      </c>
      <c r="P13">
        <f t="shared" si="0"/>
        <v>3.6696638163035789</v>
      </c>
    </row>
    <row r="14" spans="2:19" x14ac:dyDescent="0.35">
      <c r="B14" s="2"/>
      <c r="C14" s="2"/>
      <c r="D14" s="2"/>
      <c r="E14" s="2"/>
      <c r="F14" s="2">
        <v>87.904753999999997</v>
      </c>
      <c r="G14" s="2">
        <v>92.528032999999994</v>
      </c>
      <c r="H14" s="2">
        <f t="shared" si="1"/>
        <v>4.6232789999999966</v>
      </c>
      <c r="I14" s="2">
        <f t="shared" si="2"/>
        <v>9.8357210000000066</v>
      </c>
      <c r="J14" s="2">
        <f t="shared" si="3"/>
        <v>0.31975095096479672</v>
      </c>
      <c r="K14" s="2">
        <f t="shared" si="4"/>
        <v>0.68024904903520333</v>
      </c>
      <c r="L14" s="2">
        <f t="shared" si="5"/>
        <v>0.21629670197277748</v>
      </c>
      <c r="M14" s="2">
        <f t="shared" si="6"/>
        <v>6.9161076146344827E-2</v>
      </c>
      <c r="N14" s="2">
        <f t="shared" si="7"/>
        <v>14.459000000000003</v>
      </c>
      <c r="O14" s="2">
        <v>21</v>
      </c>
      <c r="P14">
        <f t="shared" si="0"/>
        <v>4.5422307414283276</v>
      </c>
    </row>
    <row r="15" spans="2:19" x14ac:dyDescent="0.35">
      <c r="B15" s="2"/>
      <c r="C15" s="2"/>
      <c r="D15" s="2"/>
      <c r="E15" s="2"/>
      <c r="F15" s="2">
        <v>102.363754</v>
      </c>
      <c r="G15" s="2">
        <v>107.135594</v>
      </c>
      <c r="H15" s="2">
        <f t="shared" si="1"/>
        <v>4.7718399999999974</v>
      </c>
      <c r="I15" s="2">
        <f t="shared" si="2"/>
        <v>5.2323630000000065</v>
      </c>
      <c r="J15" s="2">
        <f t="shared" si="3"/>
        <v>0.47698352382493592</v>
      </c>
      <c r="K15" s="2">
        <f t="shared" si="4"/>
        <v>0.52301647617506408</v>
      </c>
      <c r="L15" s="2">
        <f t="shared" si="5"/>
        <v>0.20956276824034345</v>
      </c>
      <c r="M15" s="2">
        <f t="shared" si="6"/>
        <v>9.9957987657787392E-2</v>
      </c>
      <c r="N15" s="2">
        <f t="shared" si="7"/>
        <v>10.004203000000004</v>
      </c>
      <c r="O15" s="2">
        <v>20</v>
      </c>
      <c r="P15">
        <f t="shared" si="0"/>
        <v>4.1912553648068691</v>
      </c>
    </row>
    <row r="16" spans="2:19" x14ac:dyDescent="0.35">
      <c r="B16" s="2"/>
      <c r="C16" s="2"/>
      <c r="D16" s="2"/>
      <c r="E16" s="2"/>
      <c r="F16" s="2">
        <v>112.367957</v>
      </c>
      <c r="G16" s="2">
        <v>116.382248</v>
      </c>
      <c r="H16" s="2">
        <f t="shared" si="1"/>
        <v>4.0142910000000001</v>
      </c>
      <c r="I16" s="2">
        <f t="shared" si="2"/>
        <v>5.7733970000000028</v>
      </c>
      <c r="J16" s="2">
        <f t="shared" si="3"/>
        <v>0.41013679635068045</v>
      </c>
      <c r="K16" s="2">
        <f t="shared" si="4"/>
        <v>0.58986320364931955</v>
      </c>
      <c r="L16" s="2">
        <f t="shared" si="5"/>
        <v>0.24910999227509914</v>
      </c>
      <c r="M16" s="2">
        <f t="shared" si="6"/>
        <v>0.10216917417065191</v>
      </c>
      <c r="N16" s="2">
        <f t="shared" si="7"/>
        <v>9.7876880000000028</v>
      </c>
      <c r="O16" s="2">
        <v>15</v>
      </c>
      <c r="P16">
        <f t="shared" si="0"/>
        <v>3.736649884126487</v>
      </c>
    </row>
    <row r="17" spans="2:16" x14ac:dyDescent="0.35">
      <c r="B17" s="2"/>
      <c r="C17" s="2"/>
      <c r="D17" s="2"/>
      <c r="E17" s="2"/>
      <c r="F17" s="2">
        <v>122.15564500000001</v>
      </c>
      <c r="G17" s="2">
        <v>126.805601</v>
      </c>
      <c r="H17" s="2">
        <f t="shared" si="1"/>
        <v>4.6499559999999889</v>
      </c>
      <c r="I17" s="2">
        <f t="shared" si="2"/>
        <v>6.2717760000000169</v>
      </c>
      <c r="J17" s="2">
        <f t="shared" si="3"/>
        <v>0.42575261872384218</v>
      </c>
      <c r="K17" s="2">
        <f t="shared" si="4"/>
        <v>0.57424738127615782</v>
      </c>
      <c r="L17" s="2">
        <f t="shared" si="5"/>
        <v>0.21505579837744754</v>
      </c>
      <c r="M17" s="2">
        <f t="shared" si="6"/>
        <v>9.1560569330944891E-2</v>
      </c>
      <c r="N17" s="2">
        <f t="shared" si="7"/>
        <v>10.921732000000006</v>
      </c>
      <c r="O17" s="2">
        <v>15</v>
      </c>
      <c r="P17">
        <f t="shared" si="0"/>
        <v>3.2258369756617129</v>
      </c>
    </row>
    <row r="18" spans="2:16" x14ac:dyDescent="0.35">
      <c r="B18" s="2"/>
      <c r="C18" s="2"/>
      <c r="D18" s="2"/>
      <c r="E18" s="2"/>
      <c r="F18" s="2">
        <v>133.07737700000001</v>
      </c>
      <c r="G18" s="2">
        <v>136.93662900000001</v>
      </c>
      <c r="H18" s="2">
        <f t="shared" si="1"/>
        <v>3.8592519999999979</v>
      </c>
      <c r="I18" s="2">
        <f t="shared" si="2"/>
        <v>5.4461220000000026</v>
      </c>
      <c r="J18" s="2">
        <f t="shared" si="3"/>
        <v>0.41473367969949382</v>
      </c>
      <c r="K18" s="2">
        <f t="shared" si="4"/>
        <v>0.58526632030050618</v>
      </c>
      <c r="L18" s="2">
        <f t="shared" si="5"/>
        <v>0.25911756993324109</v>
      </c>
      <c r="M18" s="2">
        <f t="shared" si="6"/>
        <v>0.10746478325320401</v>
      </c>
      <c r="N18" s="2">
        <f t="shared" si="7"/>
        <v>9.3053740000000005</v>
      </c>
      <c r="O18" s="2">
        <v>13</v>
      </c>
      <c r="P18">
        <f t="shared" si="0"/>
        <v>3.3685284091321344</v>
      </c>
    </row>
    <row r="19" spans="2:16" x14ac:dyDescent="0.35">
      <c r="B19" s="2"/>
      <c r="C19" s="2"/>
      <c r="D19" s="2"/>
      <c r="E19" s="2"/>
      <c r="F19" s="2">
        <v>142.38275100000001</v>
      </c>
      <c r="G19" s="2">
        <v>147.338416</v>
      </c>
      <c r="H19" s="2">
        <f t="shared" si="1"/>
        <v>4.955664999999982</v>
      </c>
      <c r="I19" s="2">
        <f t="shared" si="2"/>
        <v>7.0823929999999962</v>
      </c>
      <c r="J19" s="2">
        <f t="shared" si="3"/>
        <v>0.41166648308223724</v>
      </c>
      <c r="K19" s="2">
        <f t="shared" si="4"/>
        <v>0.5883335169177627</v>
      </c>
      <c r="L19" s="2">
        <f t="shared" si="5"/>
        <v>0.20178926541644837</v>
      </c>
      <c r="M19" s="2">
        <f t="shared" si="6"/>
        <v>8.3069877217737426E-2</v>
      </c>
      <c r="N19" s="2">
        <f t="shared" si="7"/>
        <v>12.038057999999978</v>
      </c>
      <c r="O19" s="2">
        <v>14</v>
      </c>
      <c r="P19">
        <f t="shared" si="0"/>
        <v>2.8250497158302772</v>
      </c>
    </row>
    <row r="20" spans="2:16" x14ac:dyDescent="0.35">
      <c r="B20" s="2"/>
      <c r="C20" s="2"/>
      <c r="D20" s="2"/>
      <c r="E20" s="2"/>
      <c r="F20" s="2">
        <v>154.42080899999999</v>
      </c>
      <c r="G20" s="2">
        <v>158.42250300000001</v>
      </c>
      <c r="H20" s="2">
        <f t="shared" si="1"/>
        <v>4.0016940000000147</v>
      </c>
      <c r="I20" s="2">
        <f t="shared" si="2"/>
        <v>7.0721139999999991</v>
      </c>
      <c r="J20" s="2">
        <f t="shared" si="3"/>
        <v>0.36136566572221673</v>
      </c>
      <c r="K20" s="2">
        <f t="shared" si="4"/>
        <v>0.63863433427778327</v>
      </c>
      <c r="L20" s="2">
        <f t="shared" si="5"/>
        <v>0.24989416981908069</v>
      </c>
      <c r="M20" s="2">
        <f t="shared" si="6"/>
        <v>9.030317303677278E-2</v>
      </c>
      <c r="N20" s="2">
        <f t="shared" si="7"/>
        <v>11.073808000000014</v>
      </c>
      <c r="O20" s="2">
        <v>13</v>
      </c>
      <c r="P20">
        <f t="shared" si="0"/>
        <v>3.2486242076480489</v>
      </c>
    </row>
    <row r="21" spans="2:16" x14ac:dyDescent="0.35">
      <c r="B21" s="2"/>
      <c r="C21" s="2"/>
      <c r="D21" s="2"/>
      <c r="E21" s="2"/>
      <c r="F21" s="2">
        <v>165.49461700000001</v>
      </c>
      <c r="G21" s="2">
        <v>171.13764499999999</v>
      </c>
      <c r="H21" s="2">
        <f t="shared" si="1"/>
        <v>5.6430279999999868</v>
      </c>
      <c r="I21" s="2">
        <f t="shared" si="2"/>
        <v>8.1482359999999971</v>
      </c>
      <c r="J21" s="2">
        <f t="shared" si="3"/>
        <v>0.4091740974576365</v>
      </c>
      <c r="K21" s="2">
        <f t="shared" si="4"/>
        <v>0.59082590254236356</v>
      </c>
      <c r="L21" s="2">
        <f t="shared" si="5"/>
        <v>0.17720982422911996</v>
      </c>
      <c r="M21" s="2">
        <f t="shared" si="6"/>
        <v>7.2509669889576564E-2</v>
      </c>
      <c r="N21" s="2">
        <f t="shared" si="7"/>
        <v>13.791263999999984</v>
      </c>
      <c r="O21" s="2">
        <v>14</v>
      </c>
      <c r="P21">
        <f t="shared" si="0"/>
        <v>2.4809375392076793</v>
      </c>
    </row>
    <row r="22" spans="2:16" x14ac:dyDescent="0.35">
      <c r="B22" s="2"/>
      <c r="C22" s="2"/>
      <c r="D22" s="2"/>
      <c r="E22" s="2"/>
      <c r="F22" s="2">
        <v>179.28588099999999</v>
      </c>
      <c r="G22" s="2">
        <v>183.07280900000001</v>
      </c>
      <c r="H22" s="2">
        <f t="shared" si="1"/>
        <v>3.7869280000000174</v>
      </c>
      <c r="I22" s="2">
        <f t="shared" si="2"/>
        <v>10.942536999999987</v>
      </c>
      <c r="J22" s="2">
        <f t="shared" si="3"/>
        <v>0.25709881519797334</v>
      </c>
      <c r="K22" s="2">
        <f t="shared" si="4"/>
        <v>0.74290118480202672</v>
      </c>
      <c r="L22" s="2">
        <f t="shared" si="5"/>
        <v>0.26406628274949917</v>
      </c>
      <c r="M22" s="2">
        <f t="shared" si="6"/>
        <v>6.7891128428629266E-2</v>
      </c>
      <c r="N22" s="2">
        <f t="shared" si="7"/>
        <v>14.729465000000005</v>
      </c>
      <c r="O22" s="2">
        <v>11</v>
      </c>
      <c r="P22">
        <f t="shared" si="0"/>
        <v>2.904729110244491</v>
      </c>
    </row>
    <row r="23" spans="2:16" x14ac:dyDescent="0.35">
      <c r="B23" s="2"/>
      <c r="C23" s="2"/>
      <c r="D23" s="2"/>
      <c r="E23" s="2"/>
      <c r="F23" s="2">
        <v>194.01534599999999</v>
      </c>
      <c r="G23" s="2">
        <v>197.808705</v>
      </c>
      <c r="H23" s="2">
        <f t="shared" si="1"/>
        <v>3.7933590000000095</v>
      </c>
      <c r="I23" s="2">
        <f t="shared" si="2"/>
        <v>7.1856290000000058</v>
      </c>
      <c r="J23" s="2">
        <f t="shared" si="3"/>
        <v>0.34551080664265271</v>
      </c>
      <c r="K23" s="2">
        <f t="shared" si="4"/>
        <v>0.65448919335734734</v>
      </c>
      <c r="L23" s="2">
        <f t="shared" si="5"/>
        <v>0.26361860293212364</v>
      </c>
      <c r="M23" s="2">
        <f t="shared" si="6"/>
        <v>9.1083076145087205E-2</v>
      </c>
      <c r="N23" s="2">
        <f t="shared" si="7"/>
        <v>10.978988000000015</v>
      </c>
      <c r="O23" s="2">
        <v>13</v>
      </c>
      <c r="P23">
        <f t="shared" si="0"/>
        <v>3.4270418381176069</v>
      </c>
    </row>
    <row r="24" spans="2:16" ht="16" thickBot="1" x14ac:dyDescent="0.4">
      <c r="B24" s="9" t="s">
        <v>18</v>
      </c>
      <c r="C24" s="9" t="s">
        <v>17</v>
      </c>
      <c r="D24" s="9" t="s">
        <v>20</v>
      </c>
      <c r="E24" s="2"/>
      <c r="F24" s="2">
        <v>204.99433400000001</v>
      </c>
      <c r="G24" s="2">
        <v>209.728374</v>
      </c>
      <c r="H24" s="2">
        <f t="shared" si="1"/>
        <v>4.7340399999999931</v>
      </c>
      <c r="I24" s="2">
        <f t="shared" si="2"/>
        <v>8.0611969999999928</v>
      </c>
      <c r="J24" s="2">
        <f t="shared" si="3"/>
        <v>0.36998454971955569</v>
      </c>
      <c r="K24" s="2">
        <f t="shared" si="4"/>
        <v>0.63001545028044437</v>
      </c>
      <c r="L24" s="2">
        <f t="shared" si="5"/>
        <v>0.211236068981251</v>
      </c>
      <c r="M24" s="2">
        <f t="shared" si="6"/>
        <v>7.8154081866557146E-2</v>
      </c>
      <c r="N24" s="2">
        <f t="shared" si="7"/>
        <v>12.795236999999986</v>
      </c>
      <c r="O24" s="2">
        <v>14</v>
      </c>
      <c r="P24">
        <f t="shared" si="0"/>
        <v>2.9573049657375141</v>
      </c>
    </row>
    <row r="25" spans="2:16" ht="15.5" x14ac:dyDescent="0.35">
      <c r="B25" s="144">
        <v>223.36621299999999</v>
      </c>
      <c r="C25" s="165">
        <v>228.24123299999999</v>
      </c>
      <c r="D25" s="91">
        <f>C25-B25</f>
        <v>4.8750200000000063</v>
      </c>
      <c r="E25" s="91"/>
      <c r="F25" s="91">
        <v>217.789571</v>
      </c>
      <c r="G25" s="91">
        <v>221.626564</v>
      </c>
      <c r="H25" s="91">
        <f t="shared" si="1"/>
        <v>3.8369930000000068</v>
      </c>
      <c r="I25" s="91">
        <f t="shared" si="2"/>
        <v>13.486113999999986</v>
      </c>
      <c r="J25" s="91">
        <f t="shared" si="3"/>
        <v>0.22149565894847895</v>
      </c>
      <c r="K25" s="91">
        <f t="shared" si="4"/>
        <v>0.778504341051521</v>
      </c>
      <c r="L25" s="91">
        <f t="shared" si="5"/>
        <v>0.26062075171885857</v>
      </c>
      <c r="M25" s="91">
        <f t="shared" si="6"/>
        <v>5.7726365137616503E-2</v>
      </c>
      <c r="N25" s="91">
        <f t="shared" si="7"/>
        <v>17.323106999999993</v>
      </c>
      <c r="O25" s="2">
        <v>11</v>
      </c>
      <c r="P25">
        <f t="shared" si="0"/>
        <v>2.8668282689074442</v>
      </c>
    </row>
    <row r="26" spans="2:16" x14ac:dyDescent="0.35">
      <c r="B26" s="2"/>
      <c r="C26" s="2"/>
      <c r="D26" s="2"/>
      <c r="E26" s="2"/>
      <c r="F26" s="2">
        <v>235.11267799999999</v>
      </c>
      <c r="G26" s="2">
        <v>239.93559099999999</v>
      </c>
      <c r="H26" s="2">
        <f t="shared" si="1"/>
        <v>4.8229129999999998</v>
      </c>
      <c r="I26" s="2">
        <f t="shared" si="2"/>
        <v>5.7746030000000133</v>
      </c>
      <c r="J26" s="2">
        <f t="shared" si="3"/>
        <v>0.45509844004953554</v>
      </c>
      <c r="K26" s="2">
        <f t="shared" si="4"/>
        <v>0.54490155995046441</v>
      </c>
      <c r="L26" s="2">
        <f t="shared" si="5"/>
        <v>0.20734357016185032</v>
      </c>
      <c r="M26" s="2">
        <f t="shared" si="6"/>
        <v>9.4361735334959507E-2</v>
      </c>
      <c r="N26" s="2">
        <f t="shared" si="7"/>
        <v>10.597516000000013</v>
      </c>
      <c r="O26" s="2">
        <v>16</v>
      </c>
      <c r="P26">
        <f t="shared" si="0"/>
        <v>3.3174971225896051</v>
      </c>
    </row>
    <row r="27" spans="2:16" x14ac:dyDescent="0.35">
      <c r="B27" s="144">
        <v>251.810372</v>
      </c>
      <c r="C27" s="91">
        <v>256.68539199999998</v>
      </c>
      <c r="D27" s="91">
        <f>C27-B27</f>
        <v>4.8750199999999779</v>
      </c>
      <c r="E27" s="91"/>
      <c r="F27" s="91">
        <v>245.710194</v>
      </c>
      <c r="G27" s="91">
        <v>249.59613100000001</v>
      </c>
      <c r="H27" s="91">
        <f t="shared" si="1"/>
        <v>3.8859370000000126</v>
      </c>
      <c r="I27" s="91">
        <f t="shared" si="2"/>
        <v>12.348223999999959</v>
      </c>
      <c r="J27" s="91">
        <f t="shared" si="3"/>
        <v>0.23936789834719635</v>
      </c>
      <c r="K27" s="91">
        <f t="shared" si="4"/>
        <v>0.7606321016528037</v>
      </c>
      <c r="L27" s="91">
        <f t="shared" si="5"/>
        <v>0.2573381915352711</v>
      </c>
      <c r="M27" s="91">
        <f t="shared" si="6"/>
        <v>6.1598502072266116E-2</v>
      </c>
      <c r="N27" s="91">
        <f t="shared" si="7"/>
        <v>16.234160999999972</v>
      </c>
      <c r="O27" s="2">
        <v>15</v>
      </c>
      <c r="P27">
        <f t="shared" si="0"/>
        <v>3.8600728730290665</v>
      </c>
    </row>
    <row r="28" spans="2:16" x14ac:dyDescent="0.35">
      <c r="B28" s="2"/>
      <c r="C28" s="2"/>
      <c r="D28" s="2"/>
      <c r="E28" s="2"/>
      <c r="F28" s="2">
        <v>261.94435499999997</v>
      </c>
      <c r="G28" s="2">
        <v>266.87419899999998</v>
      </c>
      <c r="H28" s="2">
        <f t="shared" si="1"/>
        <v>4.9298440000000028</v>
      </c>
      <c r="I28" s="2">
        <f t="shared" si="2"/>
        <v>6.014013000000034</v>
      </c>
      <c r="J28" s="2">
        <f t="shared" si="3"/>
        <v>0.45046677784623707</v>
      </c>
      <c r="K28" s="2">
        <f t="shared" si="4"/>
        <v>0.54953322215376299</v>
      </c>
      <c r="L28" s="2">
        <f t="shared" si="5"/>
        <v>0.20284617525422699</v>
      </c>
      <c r="M28" s="2">
        <f t="shared" si="6"/>
        <v>9.137546296520474E-2</v>
      </c>
      <c r="N28" s="2">
        <f t="shared" si="7"/>
        <v>10.943857000000037</v>
      </c>
      <c r="O28" s="2">
        <v>17</v>
      </c>
      <c r="P28">
        <f t="shared" si="0"/>
        <v>3.4483849793218591</v>
      </c>
    </row>
    <row r="29" spans="2:16" x14ac:dyDescent="0.35">
      <c r="B29" s="144">
        <v>279.33042799999998</v>
      </c>
      <c r="C29" s="91">
        <v>284.20544799999999</v>
      </c>
      <c r="D29" s="91">
        <f>C29-B29</f>
        <v>4.8750200000000063</v>
      </c>
      <c r="E29" s="91"/>
      <c r="F29" s="91">
        <v>272.88821200000001</v>
      </c>
      <c r="G29" s="91">
        <v>277.71268300000003</v>
      </c>
      <c r="H29" s="91">
        <f t="shared" si="1"/>
        <v>4.8244710000000168</v>
      </c>
      <c r="I29" s="91">
        <f t="shared" si="2"/>
        <v>9.7188229999999862</v>
      </c>
      <c r="J29" s="91">
        <f t="shared" si="3"/>
        <v>0.33173165584083053</v>
      </c>
      <c r="K29" s="91">
        <f t="shared" si="4"/>
        <v>0.66826834415916947</v>
      </c>
      <c r="L29" s="91">
        <f t="shared" si="5"/>
        <v>0.20727661125955499</v>
      </c>
      <c r="M29" s="91">
        <f t="shared" si="6"/>
        <v>6.8760213470208317E-2</v>
      </c>
      <c r="N29" s="91">
        <f t="shared" si="7"/>
        <v>14.543294000000003</v>
      </c>
      <c r="O29" s="2">
        <v>17</v>
      </c>
      <c r="P29">
        <f t="shared" si="0"/>
        <v>3.5237023914124346</v>
      </c>
    </row>
    <row r="30" spans="2:16" x14ac:dyDescent="0.35">
      <c r="B30" s="2"/>
      <c r="C30" s="2"/>
      <c r="D30" s="2"/>
      <c r="E30" s="2"/>
      <c r="F30" s="2">
        <v>287.43150600000001</v>
      </c>
      <c r="G30" s="2">
        <v>293.19483300000002</v>
      </c>
      <c r="H30" s="2">
        <f t="shared" si="1"/>
        <v>5.7633270000000039</v>
      </c>
      <c r="I30" s="2">
        <f t="shared" si="2"/>
        <v>5.3466569999999933</v>
      </c>
      <c r="J30" s="2">
        <f t="shared" si="3"/>
        <v>0.51875205220817644</v>
      </c>
      <c r="K30" s="2">
        <f t="shared" si="4"/>
        <v>0.4812479477918235</v>
      </c>
      <c r="L30" s="2">
        <f t="shared" si="5"/>
        <v>0.17351089049779742</v>
      </c>
      <c r="M30" s="2">
        <f t="shared" si="6"/>
        <v>9.0009130526200604E-2</v>
      </c>
      <c r="N30" s="2">
        <f t="shared" si="7"/>
        <v>11.109983999999997</v>
      </c>
      <c r="O30" s="2">
        <v>20</v>
      </c>
      <c r="P30">
        <f t="shared" si="0"/>
        <v>3.4702178099559484</v>
      </c>
    </row>
    <row r="31" spans="2:16" x14ac:dyDescent="0.35">
      <c r="B31" s="2"/>
      <c r="C31" s="2"/>
      <c r="D31" s="2"/>
      <c r="E31" s="2"/>
      <c r="F31" s="2">
        <v>298.54149000000001</v>
      </c>
      <c r="G31" s="2">
        <v>302.44996099999997</v>
      </c>
      <c r="H31" s="2">
        <f t="shared" si="1"/>
        <v>3.9084709999999632</v>
      </c>
      <c r="I31" s="2">
        <f t="shared" si="2"/>
        <v>9.7983380000000011</v>
      </c>
      <c r="J31" s="2">
        <f t="shared" si="3"/>
        <v>0.28514813331096783</v>
      </c>
      <c r="K31" s="2">
        <f t="shared" si="4"/>
        <v>0.71485186668903222</v>
      </c>
      <c r="L31" s="2">
        <f t="shared" si="5"/>
        <v>0.25585452725631314</v>
      </c>
      <c r="M31" s="2">
        <f t="shared" si="6"/>
        <v>7.2956440846297821E-2</v>
      </c>
      <c r="N31" s="2">
        <f t="shared" si="7"/>
        <v>13.706808999999964</v>
      </c>
      <c r="O31" s="2">
        <v>16</v>
      </c>
      <c r="P31">
        <f t="shared" si="0"/>
        <v>4.0936724361010102</v>
      </c>
    </row>
    <row r="32" spans="2:16" x14ac:dyDescent="0.35">
      <c r="B32" s="144">
        <v>318.43454700000001</v>
      </c>
      <c r="C32" s="91">
        <v>321.30955999999998</v>
      </c>
      <c r="D32" s="91">
        <f>C32-B32</f>
        <v>2.8750129999999672</v>
      </c>
      <c r="E32" s="91"/>
      <c r="F32" s="91">
        <v>312.24829899999997</v>
      </c>
      <c r="G32" s="91">
        <v>316.47248300000001</v>
      </c>
      <c r="H32" s="91">
        <f t="shared" si="1"/>
        <v>4.2241840000000366</v>
      </c>
      <c r="I32" s="91">
        <f t="shared" si="2"/>
        <v>9.2106400000000122</v>
      </c>
      <c r="J32" s="91">
        <f t="shared" si="3"/>
        <v>0.31442049408313955</v>
      </c>
      <c r="K32" s="91">
        <f t="shared" si="4"/>
        <v>0.68557950591686045</v>
      </c>
      <c r="L32" s="91">
        <f t="shared" si="5"/>
        <v>0.23673211204814737</v>
      </c>
      <c r="M32" s="91">
        <f t="shared" si="6"/>
        <v>7.4433427635523644E-2</v>
      </c>
      <c r="N32" s="91">
        <f t="shared" si="7"/>
        <v>13.434824000000049</v>
      </c>
      <c r="O32" s="2">
        <v>19</v>
      </c>
      <c r="P32">
        <f t="shared" si="0"/>
        <v>4.4979101289147998</v>
      </c>
    </row>
    <row r="33" spans="1:16" x14ac:dyDescent="0.35">
      <c r="B33" s="144">
        <v>332.322587</v>
      </c>
      <c r="C33" s="91">
        <v>335.19760100000002</v>
      </c>
      <c r="D33" s="91">
        <f>C33-B33</f>
        <v>2.8750140000000215</v>
      </c>
      <c r="E33" s="91"/>
      <c r="F33" s="91">
        <v>325.68312300000002</v>
      </c>
      <c r="G33" s="91">
        <v>331.44842599999998</v>
      </c>
      <c r="H33" s="91">
        <f t="shared" si="1"/>
        <v>5.7653029999999603</v>
      </c>
      <c r="I33" s="91">
        <f t="shared" si="2"/>
        <v>8.4240680000000339</v>
      </c>
      <c r="J33" s="91">
        <f t="shared" si="3"/>
        <v>0.4063113861777215</v>
      </c>
      <c r="K33" s="91">
        <f t="shared" si="4"/>
        <v>0.59368861382227844</v>
      </c>
      <c r="L33" s="91">
        <f t="shared" si="5"/>
        <v>0.17345142137369135</v>
      </c>
      <c r="M33" s="91">
        <f t="shared" si="6"/>
        <v>7.047528745284061E-2</v>
      </c>
      <c r="N33" s="91">
        <f t="shared" si="7"/>
        <v>14.189370999999994</v>
      </c>
      <c r="O33" s="2">
        <v>21</v>
      </c>
      <c r="P33">
        <f t="shared" si="0"/>
        <v>3.6424798488475183</v>
      </c>
    </row>
    <row r="34" spans="1:16" ht="14.5" customHeight="1" x14ac:dyDescent="0.35">
      <c r="B34" s="144">
        <v>345.82664699999998</v>
      </c>
      <c r="C34" s="91">
        <v>348.701661</v>
      </c>
      <c r="D34" s="91">
        <f>C34-B34</f>
        <v>2.8750140000000215</v>
      </c>
      <c r="E34" s="91"/>
      <c r="F34" s="91">
        <v>339.87249400000002</v>
      </c>
      <c r="G34" s="91">
        <v>344.87775900000003</v>
      </c>
      <c r="H34" s="91">
        <f t="shared" si="1"/>
        <v>5.0052650000000085</v>
      </c>
      <c r="I34" s="91">
        <f t="shared" si="2"/>
        <v>9.1145279999999502</v>
      </c>
      <c r="J34" s="91">
        <f t="shared" si="3"/>
        <v>0.35448572086007374</v>
      </c>
      <c r="K34" s="91">
        <f t="shared" si="4"/>
        <v>0.64551427913992632</v>
      </c>
      <c r="L34" s="91">
        <f t="shared" si="5"/>
        <v>0.19978962152853011</v>
      </c>
      <c r="M34" s="91">
        <f t="shared" si="6"/>
        <v>7.0822568007902306E-2</v>
      </c>
      <c r="N34" s="91">
        <f t="shared" si="7"/>
        <v>14.119792999999959</v>
      </c>
      <c r="O34" s="2">
        <v>21</v>
      </c>
      <c r="P34">
        <f t="shared" si="0"/>
        <v>4.195582052099132</v>
      </c>
    </row>
    <row r="35" spans="1:16" x14ac:dyDescent="0.35">
      <c r="B35" s="144">
        <v>360.10923200000002</v>
      </c>
      <c r="C35" s="91">
        <v>362.48423200000002</v>
      </c>
      <c r="D35" s="91">
        <f>C35-B35</f>
        <v>2.375</v>
      </c>
      <c r="E35" s="91"/>
      <c r="F35" s="91">
        <v>353.99228699999998</v>
      </c>
      <c r="G35" s="91">
        <v>359.00385</v>
      </c>
      <c r="H35" s="91">
        <f t="shared" si="1"/>
        <v>5.0115630000000237</v>
      </c>
      <c r="I35" s="91">
        <f t="shared" si="2"/>
        <v>6.0460279999999784</v>
      </c>
      <c r="J35" s="91">
        <f t="shared" si="3"/>
        <v>0.45322376275266674</v>
      </c>
      <c r="K35" s="91">
        <f t="shared" si="4"/>
        <v>0.54677623724733326</v>
      </c>
      <c r="L35" s="91">
        <f t="shared" si="5"/>
        <v>0.19953854715584643</v>
      </c>
      <c r="M35" s="91">
        <f t="shared" si="6"/>
        <v>9.0435611156173143E-2</v>
      </c>
      <c r="N35" s="91">
        <f t="shared" si="7"/>
        <v>11.057591000000002</v>
      </c>
      <c r="O35" s="2">
        <v>23</v>
      </c>
      <c r="P35">
        <f t="shared" si="0"/>
        <v>4.5893865845844681</v>
      </c>
    </row>
    <row r="36" spans="1:16" x14ac:dyDescent="0.35">
      <c r="B36" s="2"/>
      <c r="C36" s="2"/>
      <c r="D36" s="2"/>
      <c r="E36" s="2"/>
      <c r="F36" s="2">
        <v>365.04987799999998</v>
      </c>
      <c r="G36" s="2">
        <v>370.63217300000002</v>
      </c>
      <c r="H36" s="2">
        <f t="shared" si="1"/>
        <v>5.5822950000000446</v>
      </c>
      <c r="I36" s="2">
        <f t="shared" si="2"/>
        <v>10.679453999999964</v>
      </c>
      <c r="J36" s="2">
        <f t="shared" si="3"/>
        <v>0.34327765113088643</v>
      </c>
      <c r="K36" s="2">
        <f t="shared" si="4"/>
        <v>0.65672234886911351</v>
      </c>
      <c r="L36" s="2">
        <f t="shared" si="5"/>
        <v>0.17913779189383436</v>
      </c>
      <c r="M36" s="2">
        <f t="shared" si="6"/>
        <v>6.1494000430089006E-2</v>
      </c>
      <c r="N36" s="2">
        <f t="shared" si="7"/>
        <v>16.261749000000009</v>
      </c>
      <c r="O36" s="2">
        <v>19</v>
      </c>
      <c r="P36">
        <f t="shared" si="0"/>
        <v>3.4036180459828524</v>
      </c>
    </row>
    <row r="37" spans="1:16" x14ac:dyDescent="0.35">
      <c r="B37" s="2"/>
      <c r="C37" s="2"/>
      <c r="D37" s="2"/>
      <c r="E37" s="2"/>
      <c r="F37" s="2">
        <v>381.31162699999999</v>
      </c>
      <c r="G37" s="2">
        <v>385.546537</v>
      </c>
      <c r="H37" s="2">
        <f t="shared" si="1"/>
        <v>4.2349100000000135</v>
      </c>
      <c r="I37" s="2">
        <f t="shared" si="2"/>
        <v>5.9327880000000164</v>
      </c>
      <c r="J37" s="2">
        <f t="shared" si="3"/>
        <v>0.41650627310134519</v>
      </c>
      <c r="K37" s="2">
        <f t="shared" si="4"/>
        <v>0.58349372689865486</v>
      </c>
      <c r="L37" s="2">
        <f t="shared" si="5"/>
        <v>0.23613252701946366</v>
      </c>
      <c r="M37" s="2">
        <f t="shared" si="6"/>
        <v>9.8350678786879489E-2</v>
      </c>
      <c r="N37" s="2">
        <f t="shared" si="7"/>
        <v>10.16769800000003</v>
      </c>
      <c r="O37" s="2">
        <v>20</v>
      </c>
      <c r="P37">
        <f t="shared" si="0"/>
        <v>4.7226505403892727</v>
      </c>
    </row>
    <row r="38" spans="1:16" x14ac:dyDescent="0.35">
      <c r="B38" s="144">
        <v>397.43324999999999</v>
      </c>
      <c r="C38" s="91">
        <v>400.30826400000001</v>
      </c>
      <c r="D38" s="91">
        <f>C38-B38</f>
        <v>2.8750140000000215</v>
      </c>
      <c r="E38" s="91"/>
      <c r="F38" s="91">
        <v>391.47932500000002</v>
      </c>
      <c r="G38" s="91">
        <v>396.37568199999998</v>
      </c>
      <c r="H38" s="91">
        <f t="shared" si="1"/>
        <v>4.8963569999999663</v>
      </c>
      <c r="I38" s="91">
        <f t="shared" si="2"/>
        <v>8.0212680000000205</v>
      </c>
      <c r="J38" s="91">
        <f t="shared" si="3"/>
        <v>0.37904467733038938</v>
      </c>
      <c r="K38" s="91">
        <f t="shared" si="4"/>
        <v>0.62095532266961062</v>
      </c>
      <c r="L38" s="91">
        <f t="shared" si="5"/>
        <v>0.20423347398892827</v>
      </c>
      <c r="M38" s="91">
        <f t="shared" si="6"/>
        <v>7.7413611248197789E-2</v>
      </c>
      <c r="N38" s="91">
        <f t="shared" si="7"/>
        <v>12.917624999999987</v>
      </c>
      <c r="O38" s="2">
        <v>19</v>
      </c>
      <c r="P38">
        <f t="shared" si="0"/>
        <v>3.8804360057896372</v>
      </c>
    </row>
    <row r="39" spans="1:16" x14ac:dyDescent="0.35">
      <c r="B39" s="144">
        <v>410.297257</v>
      </c>
      <c r="C39" s="91">
        <v>413.17226099999999</v>
      </c>
      <c r="D39" s="91">
        <f>C39-B39</f>
        <v>2.8750039999999899</v>
      </c>
      <c r="E39" s="91"/>
      <c r="F39" s="91">
        <v>404.39695</v>
      </c>
      <c r="G39" s="91">
        <v>409.46412600000002</v>
      </c>
      <c r="H39" s="91">
        <f t="shared" si="1"/>
        <v>5.0671760000000177</v>
      </c>
      <c r="I39" s="91">
        <f t="shared" si="2"/>
        <v>8.1562250000000063</v>
      </c>
      <c r="J39" s="91">
        <f t="shared" si="3"/>
        <v>0.38319763576707749</v>
      </c>
      <c r="K39" s="91">
        <f t="shared" si="4"/>
        <v>0.61680236423292245</v>
      </c>
      <c r="L39" s="91">
        <f t="shared" si="5"/>
        <v>0.19734858232672331</v>
      </c>
      <c r="M39" s="91">
        <f t="shared" si="6"/>
        <v>7.5623510169584823E-2</v>
      </c>
      <c r="N39" s="91">
        <f t="shared" si="7"/>
        <v>13.223401000000024</v>
      </c>
      <c r="O39" s="2">
        <v>22</v>
      </c>
      <c r="P39">
        <f t="shared" si="0"/>
        <v>4.3416688111879127</v>
      </c>
    </row>
    <row r="40" spans="1:16" x14ac:dyDescent="0.35">
      <c r="B40" s="144">
        <v>424.31336700000003</v>
      </c>
      <c r="C40" s="91">
        <v>427.18838099999999</v>
      </c>
      <c r="D40" s="91">
        <f>C40-B40</f>
        <v>2.8750139999999647</v>
      </c>
      <c r="E40" s="91"/>
      <c r="F40" s="91">
        <v>417.62035100000003</v>
      </c>
      <c r="G40" s="91">
        <v>423.29448300000001</v>
      </c>
      <c r="H40" s="91">
        <f t="shared" si="1"/>
        <v>5.674131999999986</v>
      </c>
      <c r="I40" s="91">
        <f t="shared" si="2"/>
        <v>7.9777859999999805</v>
      </c>
      <c r="J40" s="91">
        <f t="shared" si="3"/>
        <v>0.41562892481481356</v>
      </c>
      <c r="K40" s="91">
        <f t="shared" si="4"/>
        <v>0.58437107518518649</v>
      </c>
      <c r="L40" s="91">
        <f t="shared" si="5"/>
        <v>0.17623840968098778</v>
      </c>
      <c r="M40" s="91">
        <f t="shared" si="6"/>
        <v>7.324978072678158E-2</v>
      </c>
      <c r="N40" s="91">
        <f t="shared" si="7"/>
        <v>13.651917999999966</v>
      </c>
      <c r="O40" s="13">
        <v>21</v>
      </c>
      <c r="P40">
        <f t="shared" si="0"/>
        <v>3.7010066033007432</v>
      </c>
    </row>
    <row r="41" spans="1:16" x14ac:dyDescent="0.35">
      <c r="B41" s="144">
        <v>437.401432</v>
      </c>
      <c r="C41" s="91">
        <v>440.27644500000002</v>
      </c>
      <c r="D41" s="91">
        <f>C41-B41</f>
        <v>2.875013000000024</v>
      </c>
      <c r="E41" s="91"/>
      <c r="F41" s="91">
        <v>431.27226899999999</v>
      </c>
      <c r="G41" s="91">
        <v>435.97816999999998</v>
      </c>
      <c r="H41" s="91">
        <f t="shared" si="1"/>
        <v>4.705900999999983</v>
      </c>
      <c r="I41" s="91"/>
      <c r="J41" s="91"/>
      <c r="K41" s="91"/>
      <c r="L41" s="91"/>
      <c r="M41" s="91"/>
      <c r="N41" s="91"/>
      <c r="O41" s="13">
        <v>16</v>
      </c>
      <c r="P41">
        <f t="shared" si="0"/>
        <v>3.3999865275533967</v>
      </c>
    </row>
    <row r="42" spans="1:16" x14ac:dyDescent="0.35">
      <c r="B42" s="2"/>
      <c r="C42" s="2"/>
      <c r="D42" s="2"/>
      <c r="E42" s="2"/>
      <c r="F42" s="13"/>
      <c r="G42" s="13"/>
      <c r="H42" s="2"/>
      <c r="I42" s="2"/>
      <c r="J42" s="2"/>
      <c r="K42" s="2"/>
      <c r="L42" s="2"/>
      <c r="M42" s="2"/>
      <c r="N42" s="2"/>
      <c r="O42" s="13"/>
    </row>
    <row r="43" spans="1:16" x14ac:dyDescent="0.35">
      <c r="B43" s="2"/>
      <c r="C43" s="2"/>
      <c r="D43" s="2"/>
      <c r="E43" s="2"/>
      <c r="F43" s="13"/>
      <c r="G43" s="13"/>
      <c r="H43" s="2"/>
      <c r="I43" s="2"/>
      <c r="J43" s="2"/>
      <c r="K43" s="2"/>
      <c r="L43" s="2"/>
      <c r="M43" s="2"/>
      <c r="N43" s="2"/>
      <c r="O43" s="13"/>
    </row>
    <row r="44" spans="1:16" x14ac:dyDescent="0.35">
      <c r="B44" s="2"/>
      <c r="C44" s="2"/>
      <c r="D44" s="2"/>
      <c r="E44" s="2"/>
      <c r="F44" s="2"/>
      <c r="G44" s="2"/>
      <c r="H44" s="2"/>
      <c r="I44" s="2"/>
      <c r="J44" s="2"/>
      <c r="K44" s="2"/>
      <c r="L44" s="2"/>
      <c r="M44" s="2"/>
      <c r="N44" s="2"/>
      <c r="O44" s="2"/>
    </row>
    <row r="45" spans="1:16" ht="16" thickBot="1" x14ac:dyDescent="0.4">
      <c r="B45" s="2"/>
      <c r="C45" s="2"/>
      <c r="D45" s="2"/>
      <c r="E45" s="2" t="s">
        <v>75</v>
      </c>
      <c r="F45" s="2"/>
      <c r="G45" s="2"/>
      <c r="H45" s="9" t="s">
        <v>3</v>
      </c>
      <c r="I45" s="9" t="s">
        <v>4</v>
      </c>
      <c r="J45" s="9" t="s">
        <v>5</v>
      </c>
      <c r="K45" s="9" t="s">
        <v>6</v>
      </c>
      <c r="L45" s="9" t="s">
        <v>7</v>
      </c>
      <c r="M45" s="9" t="s">
        <v>8</v>
      </c>
      <c r="N45" s="9" t="s">
        <v>9</v>
      </c>
      <c r="O45" s="9" t="s">
        <v>10</v>
      </c>
      <c r="P45" s="44" t="s">
        <v>139</v>
      </c>
    </row>
    <row r="46" spans="1:16" x14ac:dyDescent="0.35">
      <c r="B46" s="2"/>
      <c r="C46" s="2"/>
      <c r="D46" s="2"/>
      <c r="E46" s="2"/>
      <c r="F46" s="2"/>
      <c r="G46" s="3" t="s">
        <v>77</v>
      </c>
      <c r="H46" s="2">
        <f>AVERAGE(H7:H24)</f>
        <v>4.7135520555555548</v>
      </c>
      <c r="I46" s="2">
        <f t="shared" ref="I46:P46" si="8">AVERAGE(I7:I24)</f>
        <v>7.0656710555555566</v>
      </c>
      <c r="J46" s="2">
        <f t="shared" si="8"/>
        <v>0.4073727427800391</v>
      </c>
      <c r="K46" s="2">
        <f t="shared" si="8"/>
        <v>0.5926272572199609</v>
      </c>
      <c r="L46" s="2">
        <f t="shared" si="8"/>
        <v>0.21593796317205113</v>
      </c>
      <c r="M46" s="2">
        <f t="shared" si="8"/>
        <v>8.6611255636878048E-2</v>
      </c>
      <c r="N46" s="2">
        <f t="shared" si="8"/>
        <v>11.779223111111111</v>
      </c>
      <c r="O46" s="2">
        <f t="shared" si="8"/>
        <v>16.555555555555557</v>
      </c>
      <c r="P46" s="2">
        <f t="shared" si="8"/>
        <v>3.5096157428262615</v>
      </c>
    </row>
    <row r="47" spans="1:16" x14ac:dyDescent="0.35">
      <c r="B47" s="2"/>
      <c r="C47" s="2"/>
      <c r="D47" s="2"/>
      <c r="E47" s="2"/>
      <c r="F47" s="2"/>
      <c r="G47" s="3" t="s">
        <v>94</v>
      </c>
      <c r="H47" s="2">
        <f>_xlfn.STDEV.S(H7:H24)</f>
        <v>0.63775548980535723</v>
      </c>
      <c r="I47" s="2">
        <f t="shared" ref="I47:P47" si="9">_xlfn.STDEV.S(I7:I24)</f>
        <v>1.793609403199244</v>
      </c>
      <c r="J47" s="2">
        <f t="shared" si="9"/>
        <v>7.5606489579402678E-2</v>
      </c>
      <c r="K47" s="2">
        <f t="shared" si="9"/>
        <v>7.5606489579403718E-2</v>
      </c>
      <c r="L47" s="2">
        <f t="shared" si="9"/>
        <v>2.9849682409126128E-2</v>
      </c>
      <c r="M47" s="2">
        <f t="shared" si="9"/>
        <v>1.2479223090648812E-2</v>
      </c>
      <c r="N47" s="2">
        <f t="shared" si="9"/>
        <v>1.7271211551750316</v>
      </c>
      <c r="O47" s="2">
        <f t="shared" si="9"/>
        <v>3.4508689821588616</v>
      </c>
      <c r="P47" s="2">
        <f t="shared" si="9"/>
        <v>0.53068033902120326</v>
      </c>
    </row>
    <row r="48" spans="1:16" x14ac:dyDescent="0.35">
      <c r="A48" s="13"/>
      <c r="B48" s="13"/>
      <c r="C48" s="13"/>
      <c r="D48" s="13"/>
      <c r="E48" s="13"/>
      <c r="F48" s="2"/>
      <c r="G48" s="3" t="s">
        <v>95</v>
      </c>
      <c r="H48" s="49">
        <f>H47/(SQRT(18))</f>
        <v>0.15032041052677209</v>
      </c>
      <c r="I48" s="49">
        <f t="shared" ref="I48:P48" si="10">I47/(SQRT(18))</f>
        <v>0.422757790600714</v>
      </c>
      <c r="J48" s="49">
        <f t="shared" si="10"/>
        <v>1.7820620494435228E-2</v>
      </c>
      <c r="K48" s="49">
        <f t="shared" si="10"/>
        <v>1.7820620494435471E-2</v>
      </c>
      <c r="L48" s="49">
        <f t="shared" si="10"/>
        <v>7.0356376159192956E-3</v>
      </c>
      <c r="M48" s="49">
        <f t="shared" si="10"/>
        <v>2.9413810904458408E-3</v>
      </c>
      <c r="N48" s="49">
        <f t="shared" si="10"/>
        <v>0.40708636025166944</v>
      </c>
      <c r="O48" s="49">
        <f t="shared" si="10"/>
        <v>0.81337761942361675</v>
      </c>
      <c r="P48" s="49">
        <f t="shared" si="10"/>
        <v>0.1250825554547563</v>
      </c>
    </row>
    <row r="49" spans="1:16" x14ac:dyDescent="0.35">
      <c r="A49" s="13"/>
      <c r="B49" s="13"/>
      <c r="C49" s="13"/>
      <c r="D49" s="13"/>
      <c r="E49" s="13"/>
      <c r="F49" s="2"/>
      <c r="G49" s="3"/>
      <c r="H49" s="49"/>
      <c r="I49" s="49"/>
      <c r="J49" s="49"/>
      <c r="K49" s="49"/>
      <c r="L49" s="49"/>
      <c r="M49" s="49"/>
      <c r="N49" s="49"/>
      <c r="O49" s="49"/>
      <c r="P49" s="49"/>
    </row>
    <row r="50" spans="1:16" ht="16" thickBot="1" x14ac:dyDescent="0.4">
      <c r="A50" s="13"/>
      <c r="B50" s="13"/>
      <c r="C50" s="13"/>
      <c r="D50" s="13"/>
      <c r="E50" s="13" t="s">
        <v>300</v>
      </c>
      <c r="F50" s="2"/>
      <c r="G50" s="2"/>
      <c r="H50" s="9" t="s">
        <v>3</v>
      </c>
      <c r="I50" s="9" t="s">
        <v>4</v>
      </c>
      <c r="J50" s="9" t="s">
        <v>5</v>
      </c>
      <c r="K50" s="9" t="s">
        <v>6</v>
      </c>
      <c r="L50" s="9" t="s">
        <v>7</v>
      </c>
      <c r="M50" s="9" t="s">
        <v>8</v>
      </c>
      <c r="N50" s="9" t="s">
        <v>9</v>
      </c>
      <c r="O50" s="9" t="s">
        <v>10</v>
      </c>
      <c r="P50" s="44" t="s">
        <v>139</v>
      </c>
    </row>
    <row r="51" spans="1:16" x14ac:dyDescent="0.35">
      <c r="A51" s="13"/>
      <c r="B51" s="13"/>
      <c r="C51" s="13"/>
      <c r="D51" s="13"/>
      <c r="E51" s="13"/>
      <c r="F51" s="2"/>
      <c r="G51" s="3" t="s">
        <v>77</v>
      </c>
      <c r="H51" s="2">
        <f>AVERAGE(H25,H27,H29,H32,H33,H34,H35,H38,H39,H40,H41)</f>
        <v>4.8088438181818196</v>
      </c>
      <c r="I51" s="2">
        <f t="shared" ref="I51:P51" si="11">AVERAGE(I25,I27,I29,I32,I33,I34,I35,I38,I39,I40,I41)</f>
        <v>9.2503703999999907</v>
      </c>
      <c r="J51" s="2">
        <f t="shared" si="11"/>
        <v>0.34989078149223884</v>
      </c>
      <c r="K51" s="2">
        <f t="shared" si="11"/>
        <v>0.65010921850776138</v>
      </c>
      <c r="L51" s="2">
        <f t="shared" si="11"/>
        <v>0.21125677226165393</v>
      </c>
      <c r="M51" s="2">
        <f t="shared" si="11"/>
        <v>7.2053887707709485E-2</v>
      </c>
      <c r="N51" s="2">
        <f t="shared" si="11"/>
        <v>14.069508499999994</v>
      </c>
      <c r="O51" s="2">
        <f t="shared" si="11"/>
        <v>18.636363636363637</v>
      </c>
      <c r="P51" s="2">
        <f t="shared" si="11"/>
        <v>3.8635509177842313</v>
      </c>
    </row>
    <row r="52" spans="1:16" x14ac:dyDescent="0.35">
      <c r="A52" s="13"/>
      <c r="B52" s="13"/>
      <c r="C52" s="13"/>
      <c r="D52" s="13"/>
      <c r="E52" s="13"/>
      <c r="F52" s="2"/>
      <c r="G52" s="3" t="s">
        <v>94</v>
      </c>
      <c r="H52" s="2">
        <f>_xlfn.STDEV.S(H25,H27,H29,H32,H33,H34,H35,H38,H39,H40,H41)</f>
        <v>0.62980376055144793</v>
      </c>
      <c r="I52" s="2">
        <f t="shared" ref="I52:P52" si="12">_xlfn.STDEV.S(I25,I27,I29,I32,I33,I34,I35,I38,I39,I40,I41)</f>
        <v>2.1872256416285309</v>
      </c>
      <c r="J52" s="2">
        <f t="shared" si="12"/>
        <v>7.4871306708237856E-2</v>
      </c>
      <c r="K52" s="2">
        <f t="shared" si="12"/>
        <v>7.4871306708237023E-2</v>
      </c>
      <c r="L52" s="2">
        <f t="shared" si="12"/>
        <v>3.0536392448674884E-2</v>
      </c>
      <c r="M52" s="2">
        <f t="shared" si="12"/>
        <v>8.9187591127456948E-3</v>
      </c>
      <c r="N52" s="2">
        <f t="shared" si="12"/>
        <v>1.7386002882581006</v>
      </c>
      <c r="O52" s="2">
        <f t="shared" si="12"/>
        <v>3.5853236192212066</v>
      </c>
      <c r="P52" s="2">
        <f t="shared" si="12"/>
        <v>0.51648094798626543</v>
      </c>
    </row>
    <row r="53" spans="1:16" x14ac:dyDescent="0.35">
      <c r="A53" s="13"/>
      <c r="B53" s="13"/>
      <c r="C53" s="13"/>
      <c r="D53" s="13"/>
      <c r="E53" s="13"/>
      <c r="F53" s="2"/>
      <c r="G53" s="3" t="s">
        <v>95</v>
      </c>
      <c r="H53" s="49">
        <f>H52/(SQRT(11))</f>
        <v>0.18989297866399896</v>
      </c>
      <c r="I53" s="49">
        <f t="shared" ref="I53:P53" si="13">I52/(SQRT(11))</f>
        <v>0.65947334410238012</v>
      </c>
      <c r="J53" s="49">
        <f t="shared" si="13"/>
        <v>2.2574548355894928E-2</v>
      </c>
      <c r="K53" s="49">
        <f t="shared" si="13"/>
        <v>2.2574548355894678E-2</v>
      </c>
      <c r="L53" s="49">
        <f t="shared" si="13"/>
        <v>9.2070687457542315E-3</v>
      </c>
      <c r="M53" s="49">
        <f t="shared" si="13"/>
        <v>2.6891070520491367E-3</v>
      </c>
      <c r="N53" s="49">
        <f t="shared" si="13"/>
        <v>0.52420771059598736</v>
      </c>
      <c r="O53" s="49">
        <f t="shared" si="13"/>
        <v>1.0810157451777997</v>
      </c>
      <c r="P53" s="49">
        <f t="shared" si="13"/>
        <v>0.15572486507613689</v>
      </c>
    </row>
    <row r="54" spans="1:16" x14ac:dyDescent="0.35">
      <c r="A54" s="13"/>
      <c r="B54" s="13"/>
      <c r="C54" s="13"/>
      <c r="D54" s="13"/>
      <c r="E54" s="13"/>
      <c r="F54" s="2"/>
      <c r="G54" s="3"/>
      <c r="H54" s="49"/>
      <c r="I54" s="49"/>
      <c r="J54" s="49"/>
      <c r="K54" s="49"/>
      <c r="L54" s="49"/>
      <c r="M54" s="49"/>
      <c r="N54" s="49"/>
      <c r="O54" s="49"/>
      <c r="P54" s="49"/>
    </row>
    <row r="55" spans="1:16" ht="16" thickBot="1" x14ac:dyDescent="0.4">
      <c r="A55" s="13"/>
      <c r="B55" s="13"/>
      <c r="C55" s="13"/>
      <c r="D55" s="13"/>
      <c r="E55" s="13" t="s">
        <v>301</v>
      </c>
      <c r="F55" s="2"/>
      <c r="G55" s="2"/>
      <c r="H55" s="9" t="s">
        <v>3</v>
      </c>
      <c r="I55" s="9" t="s">
        <v>4</v>
      </c>
      <c r="J55" s="9" t="s">
        <v>5</v>
      </c>
      <c r="K55" s="9" t="s">
        <v>6</v>
      </c>
      <c r="L55" s="9" t="s">
        <v>7</v>
      </c>
      <c r="M55" s="9" t="s">
        <v>8</v>
      </c>
      <c r="N55" s="9" t="s">
        <v>9</v>
      </c>
      <c r="O55" s="9" t="s">
        <v>10</v>
      </c>
      <c r="P55" s="44" t="s">
        <v>139</v>
      </c>
    </row>
    <row r="56" spans="1:16" x14ac:dyDescent="0.35">
      <c r="A56" s="13"/>
      <c r="B56" s="13"/>
      <c r="C56" s="13"/>
      <c r="D56" s="13"/>
      <c r="E56" s="13"/>
      <c r="F56" s="2"/>
      <c r="G56" s="3" t="s">
        <v>77</v>
      </c>
      <c r="H56" s="2">
        <f>AVERAGE(H26,H28,H30,H36)</f>
        <v>5.2745947500000128</v>
      </c>
      <c r="I56" s="2">
        <f t="shared" ref="I56:P56" si="14">AVERAGE(I26,I28,I30,I36)</f>
        <v>6.9536817500000012</v>
      </c>
      <c r="J56" s="2">
        <f t="shared" si="14"/>
        <v>0.44189873030870885</v>
      </c>
      <c r="K56" s="2">
        <f t="shared" si="14"/>
        <v>0.55810126969129104</v>
      </c>
      <c r="L56" s="2">
        <f t="shared" si="14"/>
        <v>0.19070960695192729</v>
      </c>
      <c r="M56" s="2">
        <f t="shared" si="14"/>
        <v>8.4310082314113466E-2</v>
      </c>
      <c r="N56" s="2">
        <f t="shared" si="14"/>
        <v>12.228276500000014</v>
      </c>
      <c r="O56" s="2">
        <f t="shared" si="14"/>
        <v>18</v>
      </c>
      <c r="P56" s="2">
        <f t="shared" si="14"/>
        <v>3.4099294894625665</v>
      </c>
    </row>
    <row r="57" spans="1:16" x14ac:dyDescent="0.35">
      <c r="A57" s="13"/>
      <c r="B57" s="13"/>
      <c r="C57" s="13"/>
      <c r="D57" s="13"/>
      <c r="E57" s="13"/>
      <c r="F57" s="2"/>
      <c r="G57" s="3" t="s">
        <v>94</v>
      </c>
      <c r="H57" s="2">
        <f>_xlfn.STDEV.S(H26,H28,H30,H36)</f>
        <v>0.46776352250140935</v>
      </c>
      <c r="I57" s="2">
        <f t="shared" ref="I57:P57" si="15">_xlfn.STDEV.S(I26,I28,I30,I36)</f>
        <v>2.4991406165860557</v>
      </c>
      <c r="J57" s="2">
        <f t="shared" si="15"/>
        <v>7.2755742318685562E-2</v>
      </c>
      <c r="K57" s="2">
        <f t="shared" si="15"/>
        <v>7.2755742318686589E-2</v>
      </c>
      <c r="L57" s="2">
        <f t="shared" si="15"/>
        <v>1.6868983111356796E-2</v>
      </c>
      <c r="M57" s="2">
        <f t="shared" si="15"/>
        <v>1.5318921581478899E-2</v>
      </c>
      <c r="N57" s="2">
        <f t="shared" si="15"/>
        <v>2.6974427262472749</v>
      </c>
      <c r="O57" s="2">
        <f t="shared" si="15"/>
        <v>1.8257418583505538</v>
      </c>
      <c r="P57" s="2">
        <f t="shared" si="15"/>
        <v>6.7569921939588509E-2</v>
      </c>
    </row>
    <row r="58" spans="1:16" x14ac:dyDescent="0.35">
      <c r="A58" s="13"/>
      <c r="B58" s="13"/>
      <c r="C58" s="13"/>
      <c r="D58" s="13"/>
      <c r="E58" s="13"/>
      <c r="F58" s="2"/>
      <c r="G58" s="3" t="s">
        <v>95</v>
      </c>
      <c r="H58" s="49">
        <f>H57/(SQRT(4))</f>
        <v>0.23388176125070467</v>
      </c>
      <c r="I58" s="49">
        <f t="shared" ref="I58:P58" si="16">I57/(SQRT(4))</f>
        <v>1.2495703082930278</v>
      </c>
      <c r="J58" s="49">
        <f t="shared" si="16"/>
        <v>3.6377871159342781E-2</v>
      </c>
      <c r="K58" s="49">
        <f t="shared" si="16"/>
        <v>3.6377871159343295E-2</v>
      </c>
      <c r="L58" s="49">
        <f t="shared" si="16"/>
        <v>8.434491555678398E-3</v>
      </c>
      <c r="M58" s="49">
        <f t="shared" si="16"/>
        <v>7.6594607907394495E-3</v>
      </c>
      <c r="N58" s="49">
        <f t="shared" si="16"/>
        <v>1.3487213631236374</v>
      </c>
      <c r="O58" s="49">
        <f t="shared" si="16"/>
        <v>0.9128709291752769</v>
      </c>
      <c r="P58" s="49">
        <f t="shared" si="16"/>
        <v>3.3784960969794255E-2</v>
      </c>
    </row>
    <row r="59" spans="1:16" x14ac:dyDescent="0.35">
      <c r="A59" s="13"/>
      <c r="B59" s="13"/>
      <c r="C59" s="13"/>
      <c r="D59" s="13"/>
      <c r="E59" s="13"/>
      <c r="F59" s="2"/>
      <c r="G59" s="3"/>
      <c r="H59" s="49"/>
      <c r="I59" s="49"/>
      <c r="J59" s="49"/>
      <c r="K59" s="49"/>
      <c r="L59" s="49"/>
      <c r="M59" s="49"/>
      <c r="N59" s="49"/>
      <c r="O59" s="49"/>
      <c r="P59" s="49"/>
    </row>
    <row r="60" spans="1:16" x14ac:dyDescent="0.35">
      <c r="A60" s="13"/>
      <c r="B60" s="13"/>
      <c r="C60" s="13"/>
      <c r="D60" s="13"/>
      <c r="E60" s="13"/>
      <c r="F60" s="2"/>
      <c r="G60" s="3"/>
      <c r="H60" s="49"/>
      <c r="I60" s="49"/>
      <c r="J60" s="49"/>
      <c r="K60" s="49"/>
      <c r="L60" s="49"/>
      <c r="M60" s="49"/>
      <c r="N60" s="49"/>
      <c r="O60" s="49"/>
      <c r="P60" s="49"/>
    </row>
    <row r="61" spans="1:16" x14ac:dyDescent="0.35">
      <c r="A61" s="13"/>
      <c r="B61" s="28"/>
      <c r="C61" s="85"/>
      <c r="D61" s="13"/>
      <c r="E61" s="13"/>
      <c r="F61" s="2"/>
      <c r="G61" s="2"/>
      <c r="H61" s="2"/>
      <c r="I61" s="2"/>
      <c r="J61" s="2"/>
      <c r="K61" s="2"/>
      <c r="L61" s="2"/>
      <c r="M61" s="2"/>
      <c r="N61" s="2"/>
      <c r="O61" s="2"/>
    </row>
    <row r="62" spans="1:16" x14ac:dyDescent="0.35">
      <c r="A62" s="13"/>
      <c r="B62" s="28"/>
      <c r="C62" s="85"/>
      <c r="D62" s="13"/>
      <c r="E62" s="13"/>
      <c r="F62" s="2"/>
      <c r="G62" s="2"/>
      <c r="H62" s="2"/>
      <c r="I62" s="2"/>
      <c r="J62" s="2"/>
      <c r="K62" s="2"/>
      <c r="L62" s="2"/>
      <c r="M62" s="2"/>
      <c r="N62" s="2"/>
      <c r="O62" s="2"/>
    </row>
    <row r="63" spans="1:16" x14ac:dyDescent="0.35">
      <c r="A63" s="2"/>
      <c r="B63" s="2"/>
      <c r="C63" s="2"/>
      <c r="D63" s="2"/>
      <c r="E63" s="2"/>
      <c r="F63" s="2"/>
      <c r="G63" s="2"/>
      <c r="H63" s="2"/>
      <c r="I63" s="2"/>
      <c r="J63" s="2"/>
      <c r="K63" s="2"/>
      <c r="L63" s="2"/>
      <c r="M63" s="2"/>
      <c r="N63" s="2"/>
      <c r="O63" s="2"/>
    </row>
    <row r="64" spans="1:16" ht="18.5" x14ac:dyDescent="0.45">
      <c r="B64" s="2"/>
      <c r="C64" s="2"/>
      <c r="D64" s="2"/>
      <c r="E64" s="2"/>
      <c r="F64" s="1" t="s">
        <v>22</v>
      </c>
      <c r="G64" s="2"/>
      <c r="H64" s="2"/>
      <c r="I64" s="2"/>
      <c r="J64" s="2"/>
      <c r="K64" s="2"/>
      <c r="L64" s="2"/>
      <c r="M64" s="2"/>
      <c r="N64" s="2"/>
      <c r="O64" s="2"/>
    </row>
    <row r="65" spans="1:22" ht="16" thickBot="1" x14ac:dyDescent="0.4">
      <c r="B65" s="9" t="s">
        <v>18</v>
      </c>
      <c r="C65" s="9" t="s">
        <v>17</v>
      </c>
      <c r="D65" s="9" t="s">
        <v>20</v>
      </c>
      <c r="E65" s="5"/>
      <c r="F65" s="9" t="s">
        <v>1</v>
      </c>
      <c r="G65" s="9" t="s">
        <v>2</v>
      </c>
      <c r="H65" s="9" t="s">
        <v>3</v>
      </c>
      <c r="I65" s="9" t="s">
        <v>4</v>
      </c>
      <c r="J65" s="9" t="s">
        <v>5</v>
      </c>
      <c r="K65" s="9" t="s">
        <v>6</v>
      </c>
      <c r="L65" s="9" t="s">
        <v>7</v>
      </c>
      <c r="M65" s="9" t="s">
        <v>8</v>
      </c>
      <c r="N65" s="9" t="s">
        <v>9</v>
      </c>
      <c r="O65" s="9" t="s">
        <v>10</v>
      </c>
      <c r="P65" s="44" t="s">
        <v>139</v>
      </c>
      <c r="R65" s="44" t="s">
        <v>134</v>
      </c>
    </row>
    <row r="66" spans="1:22" x14ac:dyDescent="0.35">
      <c r="B66" s="157">
        <v>13.907382</v>
      </c>
      <c r="C66" s="157">
        <v>16.740748</v>
      </c>
      <c r="D66" s="167">
        <f>C66-B66</f>
        <v>2.8333659999999998</v>
      </c>
      <c r="E66" s="132"/>
      <c r="F66" s="166">
        <v>13.211802</v>
      </c>
      <c r="G66" s="132">
        <v>15.600482</v>
      </c>
      <c r="H66" s="132">
        <f>G66-F66</f>
        <v>2.388679999999999</v>
      </c>
      <c r="I66" s="132">
        <f>F67-G66</f>
        <v>8.4556840000000015</v>
      </c>
      <c r="J66" s="132">
        <f>H66/N66</f>
        <v>0.22026925691538932</v>
      </c>
      <c r="K66" s="132">
        <f>I66/N66</f>
        <v>0.77973074308461066</v>
      </c>
      <c r="L66" s="132">
        <f>1/H66</f>
        <v>0.41864125793325202</v>
      </c>
      <c r="M66" s="132">
        <f>1/N66</f>
        <v>9.2213798799081245E-2</v>
      </c>
      <c r="N66" s="132">
        <f>H66+I66</f>
        <v>10.844364000000001</v>
      </c>
      <c r="O66" s="13">
        <v>9</v>
      </c>
      <c r="P66">
        <f>O66/H66</f>
        <v>3.7677713213992683</v>
      </c>
      <c r="Q66" s="85"/>
      <c r="R66" s="85"/>
      <c r="S66" s="85"/>
      <c r="T66" s="85"/>
    </row>
    <row r="67" spans="1:22" x14ac:dyDescent="0.35">
      <c r="B67" s="157">
        <v>25.043434000000001</v>
      </c>
      <c r="C67" s="132">
        <v>27.87679</v>
      </c>
      <c r="D67" s="132">
        <f>C67-B67</f>
        <v>2.8333559999999984</v>
      </c>
      <c r="E67" s="132"/>
      <c r="F67" s="132">
        <v>24.056166000000001</v>
      </c>
      <c r="G67" s="132">
        <v>27.570661999999999</v>
      </c>
      <c r="H67" s="132">
        <f t="shared" ref="H67:H99" si="17">G67-F67</f>
        <v>3.5144959999999976</v>
      </c>
      <c r="I67" s="132">
        <f t="shared" ref="I67:I98" si="18">F68-G67</f>
        <v>8.0995670000000004</v>
      </c>
      <c r="J67" s="132">
        <f t="shared" ref="J67:J98" si="19">H67/N67</f>
        <v>0.30260693436913494</v>
      </c>
      <c r="K67" s="132">
        <f t="shared" ref="K67:K98" si="20">I67/N67</f>
        <v>0.69739306563086512</v>
      </c>
      <c r="L67" s="132">
        <f t="shared" ref="L67:L98" si="21">1/H67</f>
        <v>0.2845358196452637</v>
      </c>
      <c r="M67" s="132">
        <f t="shared" ref="M67:M98" si="22">1/N67</f>
        <v>8.6102512101062317E-2</v>
      </c>
      <c r="N67" s="132">
        <f t="shared" ref="N67:N98" si="23">H67+I67</f>
        <v>11.614062999999998</v>
      </c>
      <c r="O67" s="13">
        <v>17</v>
      </c>
      <c r="P67">
        <f t="shared" ref="P67:P98" si="24">O67/H67</f>
        <v>4.8371089339694828</v>
      </c>
      <c r="Q67" s="85"/>
      <c r="R67" s="85"/>
      <c r="S67" s="85"/>
      <c r="T67" s="85"/>
      <c r="U67">
        <v>13.907382</v>
      </c>
      <c r="V67">
        <v>16.740748</v>
      </c>
    </row>
    <row r="68" spans="1:22" x14ac:dyDescent="0.35">
      <c r="B68" s="13"/>
      <c r="C68" s="13"/>
      <c r="D68" s="13"/>
      <c r="E68" s="13"/>
      <c r="F68" s="13">
        <v>35.670228999999999</v>
      </c>
      <c r="G68" s="13">
        <v>40.277453999999999</v>
      </c>
      <c r="H68" s="2">
        <f t="shared" si="17"/>
        <v>4.6072249999999997</v>
      </c>
      <c r="I68" s="2">
        <f t="shared" si="18"/>
        <v>6.9221750000000029</v>
      </c>
      <c r="J68" s="2">
        <f t="shared" si="19"/>
        <v>0.39960665776189558</v>
      </c>
      <c r="K68" s="2">
        <f t="shared" si="20"/>
        <v>0.60039334223810448</v>
      </c>
      <c r="L68" s="2">
        <f t="shared" si="21"/>
        <v>0.21705039367515155</v>
      </c>
      <c r="M68" s="2">
        <f t="shared" si="22"/>
        <v>8.6734782382430986E-2</v>
      </c>
      <c r="N68" s="2">
        <f t="shared" si="23"/>
        <v>11.529400000000003</v>
      </c>
      <c r="O68" s="13">
        <v>18</v>
      </c>
      <c r="P68">
        <f t="shared" si="24"/>
        <v>3.906907086152728</v>
      </c>
      <c r="Q68" s="85"/>
      <c r="R68" s="85"/>
      <c r="S68" s="85"/>
      <c r="T68" s="85"/>
      <c r="U68">
        <v>25.043434000000001</v>
      </c>
      <c r="V68">
        <v>27.87679</v>
      </c>
    </row>
    <row r="69" spans="1:22" x14ac:dyDescent="0.35">
      <c r="B69" s="157">
        <v>47.987492000000003</v>
      </c>
      <c r="C69" s="132">
        <v>50.820838999999999</v>
      </c>
      <c r="D69" s="132">
        <f>C69-B69</f>
        <v>2.8333469999999963</v>
      </c>
      <c r="E69" s="132"/>
      <c r="F69" s="132">
        <v>47.199629000000002</v>
      </c>
      <c r="G69" s="132">
        <v>50.015039000000002</v>
      </c>
      <c r="H69" s="132">
        <f t="shared" si="17"/>
        <v>2.81541</v>
      </c>
      <c r="I69" s="132">
        <f t="shared" si="18"/>
        <v>6.3031170000000003</v>
      </c>
      <c r="J69" s="132">
        <f t="shared" si="19"/>
        <v>0.30875710517718485</v>
      </c>
      <c r="K69" s="132">
        <f t="shared" si="20"/>
        <v>0.69124289482281509</v>
      </c>
      <c r="L69" s="132">
        <f t="shared" si="21"/>
        <v>0.35518805431535727</v>
      </c>
      <c r="M69" s="132">
        <f t="shared" si="22"/>
        <v>0.10966683544392641</v>
      </c>
      <c r="N69" s="132">
        <f t="shared" si="23"/>
        <v>9.1185270000000003</v>
      </c>
      <c r="O69" s="13">
        <v>17</v>
      </c>
      <c r="P69">
        <f t="shared" si="24"/>
        <v>6.0381969233610739</v>
      </c>
      <c r="Q69" s="85"/>
      <c r="R69" s="85"/>
      <c r="S69" s="85"/>
      <c r="T69" s="85"/>
      <c r="U69">
        <v>47.987492000000003</v>
      </c>
      <c r="V69">
        <v>50.820838999999999</v>
      </c>
    </row>
    <row r="70" spans="1:22" x14ac:dyDescent="0.35">
      <c r="B70" s="13"/>
      <c r="C70" s="13"/>
      <c r="D70" s="13"/>
      <c r="E70" s="13"/>
      <c r="F70" s="13">
        <v>56.318156000000002</v>
      </c>
      <c r="G70" s="13">
        <v>61.170822999999999</v>
      </c>
      <c r="H70" s="2">
        <f t="shared" si="17"/>
        <v>4.8526669999999967</v>
      </c>
      <c r="I70" s="2">
        <f t="shared" si="18"/>
        <v>7.7264349999999951</v>
      </c>
      <c r="J70" s="2">
        <f t="shared" si="19"/>
        <v>0.38577213222374696</v>
      </c>
      <c r="K70" s="2">
        <f t="shared" si="20"/>
        <v>0.61422786777625304</v>
      </c>
      <c r="L70" s="2">
        <f t="shared" si="21"/>
        <v>0.20607224851818612</v>
      </c>
      <c r="M70" s="2">
        <f t="shared" si="22"/>
        <v>7.9496930703002538E-2</v>
      </c>
      <c r="N70" s="2">
        <f t="shared" si="23"/>
        <v>12.579101999999992</v>
      </c>
      <c r="O70" s="13">
        <v>18</v>
      </c>
      <c r="P70">
        <f t="shared" si="24"/>
        <v>3.70930047332735</v>
      </c>
      <c r="Q70" s="85"/>
      <c r="R70" s="85"/>
      <c r="S70" s="85"/>
      <c r="T70" s="85"/>
      <c r="U70">
        <v>69.779551999999995</v>
      </c>
      <c r="V70">
        <v>72.612908000000004</v>
      </c>
    </row>
    <row r="71" spans="1:22" x14ac:dyDescent="0.35">
      <c r="B71" s="157">
        <v>69.779551999999995</v>
      </c>
      <c r="C71" s="132">
        <v>72.612908000000004</v>
      </c>
      <c r="D71" s="132">
        <f>C71-B71</f>
        <v>2.8333560000000091</v>
      </c>
      <c r="E71" s="132"/>
      <c r="F71" s="132">
        <v>68.897257999999994</v>
      </c>
      <c r="G71" s="132">
        <v>71.806871000000001</v>
      </c>
      <c r="H71" s="132">
        <f t="shared" si="17"/>
        <v>2.9096130000000073</v>
      </c>
      <c r="I71" s="132">
        <f t="shared" si="18"/>
        <v>7.2006669999999957</v>
      </c>
      <c r="J71" s="132">
        <f t="shared" si="19"/>
        <v>0.28778757858338311</v>
      </c>
      <c r="K71" s="132">
        <f t="shared" si="20"/>
        <v>0.71221242141661689</v>
      </c>
      <c r="L71" s="132">
        <f t="shared" si="21"/>
        <v>0.34368831868705474</v>
      </c>
      <c r="M71" s="132">
        <f t="shared" si="22"/>
        <v>9.8909229022341588E-2</v>
      </c>
      <c r="N71" s="132">
        <f t="shared" si="23"/>
        <v>10.110280000000003</v>
      </c>
      <c r="O71" s="13">
        <v>19</v>
      </c>
      <c r="P71">
        <f t="shared" si="24"/>
        <v>6.5300780550540409</v>
      </c>
      <c r="Q71" s="85"/>
      <c r="R71" s="85"/>
      <c r="S71" s="85"/>
      <c r="T71" s="85"/>
      <c r="U71">
        <v>114.80364299999999</v>
      </c>
      <c r="V71">
        <v>117.636999</v>
      </c>
    </row>
    <row r="72" spans="1:22" x14ac:dyDescent="0.35">
      <c r="B72" s="13"/>
      <c r="C72" s="13"/>
      <c r="D72" s="13"/>
      <c r="E72" s="13"/>
      <c r="F72" s="13">
        <v>79.007537999999997</v>
      </c>
      <c r="G72" s="13">
        <v>83.657122999999999</v>
      </c>
      <c r="H72" s="2">
        <f t="shared" si="17"/>
        <v>4.6495850000000019</v>
      </c>
      <c r="I72" s="2">
        <f t="shared" si="18"/>
        <v>7.8727640000000036</v>
      </c>
      <c r="J72" s="2">
        <f t="shared" si="19"/>
        <v>0.37130294004743036</v>
      </c>
      <c r="K72" s="2">
        <f t="shared" si="20"/>
        <v>0.62869705995256964</v>
      </c>
      <c r="L72" s="2">
        <f t="shared" si="21"/>
        <v>0.21507295812421962</v>
      </c>
      <c r="M72" s="2">
        <f t="shared" si="22"/>
        <v>7.9857221676220613E-2</v>
      </c>
      <c r="N72" s="2">
        <f t="shared" si="23"/>
        <v>12.522349000000006</v>
      </c>
      <c r="O72" s="13">
        <v>18</v>
      </c>
      <c r="P72">
        <f t="shared" si="24"/>
        <v>3.8713132462359527</v>
      </c>
      <c r="Q72" s="85"/>
      <c r="R72" s="85"/>
      <c r="S72" s="85"/>
      <c r="T72" s="85"/>
      <c r="U72">
        <v>127.772254</v>
      </c>
      <c r="V72">
        <v>130.60561000000001</v>
      </c>
    </row>
    <row r="73" spans="1:22" x14ac:dyDescent="0.35">
      <c r="B73" s="13"/>
      <c r="C73" s="13"/>
      <c r="D73" s="13"/>
      <c r="E73" s="13"/>
      <c r="F73" s="13">
        <v>91.529887000000002</v>
      </c>
      <c r="G73" s="13">
        <v>95.436591000000007</v>
      </c>
      <c r="H73" s="2">
        <f t="shared" si="17"/>
        <v>3.9067040000000048</v>
      </c>
      <c r="I73" s="2">
        <f t="shared" si="18"/>
        <v>6.8657639999999986</v>
      </c>
      <c r="J73" s="2">
        <f t="shared" si="19"/>
        <v>0.36265635692767928</v>
      </c>
      <c r="K73" s="2">
        <f t="shared" si="20"/>
        <v>0.63734364307232072</v>
      </c>
      <c r="L73" s="2">
        <f t="shared" si="21"/>
        <v>0.25597025011365049</v>
      </c>
      <c r="M73" s="2">
        <f t="shared" si="22"/>
        <v>9.2829238388083365E-2</v>
      </c>
      <c r="N73" s="2">
        <f t="shared" si="23"/>
        <v>10.772468000000003</v>
      </c>
      <c r="O73" s="13">
        <v>14</v>
      </c>
      <c r="P73">
        <f t="shared" si="24"/>
        <v>3.5835835015911068</v>
      </c>
      <c r="Q73" s="85"/>
      <c r="R73" s="85"/>
      <c r="S73" s="85"/>
      <c r="T73" s="85"/>
      <c r="U73">
        <v>139.16430299999999</v>
      </c>
      <c r="V73">
        <v>141.997659</v>
      </c>
    </row>
    <row r="74" spans="1:22" x14ac:dyDescent="0.35">
      <c r="B74" s="13"/>
      <c r="C74" s="13"/>
      <c r="D74" s="13"/>
      <c r="E74" s="13"/>
      <c r="F74" s="13">
        <v>102.30235500000001</v>
      </c>
      <c r="G74" s="13">
        <v>106.080287</v>
      </c>
      <c r="H74" s="2">
        <f t="shared" si="17"/>
        <v>3.7779319999999927</v>
      </c>
      <c r="I74" s="2">
        <f t="shared" si="18"/>
        <v>7.9594419999999957</v>
      </c>
      <c r="J74" s="2">
        <f t="shared" si="19"/>
        <v>0.32187199624038532</v>
      </c>
      <c r="K74" s="2">
        <f t="shared" si="20"/>
        <v>0.67812800375961468</v>
      </c>
      <c r="L74" s="2">
        <f t="shared" si="21"/>
        <v>0.26469507656569835</v>
      </c>
      <c r="M74" s="2">
        <f t="shared" si="22"/>
        <v>8.5197932689202963E-2</v>
      </c>
      <c r="N74" s="2">
        <f t="shared" si="23"/>
        <v>11.737373999999988</v>
      </c>
      <c r="O74" s="13">
        <v>13</v>
      </c>
      <c r="P74">
        <f t="shared" si="24"/>
        <v>3.4410359953540786</v>
      </c>
      <c r="Q74" s="85"/>
      <c r="R74" s="85"/>
      <c r="S74" s="85"/>
      <c r="T74" s="85"/>
      <c r="U74">
        <v>156.70032399999999</v>
      </c>
      <c r="V74">
        <v>159.53368</v>
      </c>
    </row>
    <row r="75" spans="1:22" x14ac:dyDescent="0.35">
      <c r="B75" s="157">
        <v>114.80364299999999</v>
      </c>
      <c r="C75" s="132">
        <v>117.636999</v>
      </c>
      <c r="D75" s="132">
        <f>C75-B75</f>
        <v>2.8333560000000091</v>
      </c>
      <c r="E75" s="132"/>
      <c r="F75" s="132">
        <v>114.03972899999999</v>
      </c>
      <c r="G75" s="132">
        <v>116.998561</v>
      </c>
      <c r="H75" s="132">
        <f t="shared" si="17"/>
        <v>2.958832000000001</v>
      </c>
      <c r="I75" s="132">
        <f t="shared" si="18"/>
        <v>8.9530749999999983</v>
      </c>
      <c r="J75" s="132">
        <f t="shared" si="19"/>
        <v>0.24839280561878138</v>
      </c>
      <c r="K75" s="132">
        <f t="shared" si="20"/>
        <v>0.75160719438121859</v>
      </c>
      <c r="L75" s="132">
        <f t="shared" si="21"/>
        <v>0.33797119944626786</v>
      </c>
      <c r="M75" s="132">
        <f t="shared" si="22"/>
        <v>8.3949614448803209E-2</v>
      </c>
      <c r="N75" s="132">
        <f t="shared" si="23"/>
        <v>11.911906999999999</v>
      </c>
      <c r="O75" s="13">
        <v>16</v>
      </c>
      <c r="P75">
        <f t="shared" si="24"/>
        <v>5.4075391911402857</v>
      </c>
      <c r="Q75" s="85"/>
      <c r="R75" s="85"/>
      <c r="S75" s="85"/>
      <c r="T75" s="85"/>
      <c r="U75">
        <v>181.40440000000001</v>
      </c>
      <c r="V75">
        <v>186.23777200000001</v>
      </c>
    </row>
    <row r="76" spans="1:22" x14ac:dyDescent="0.35">
      <c r="B76" s="157">
        <v>127.772254</v>
      </c>
      <c r="C76" s="132">
        <v>130.60561000000001</v>
      </c>
      <c r="D76" s="132">
        <f t="shared" ref="D76:D85" si="25">C76-B76</f>
        <v>2.8333560000000091</v>
      </c>
      <c r="E76" s="132"/>
      <c r="F76" s="132">
        <v>125.95163599999999</v>
      </c>
      <c r="G76" s="132">
        <v>129.79921200000001</v>
      </c>
      <c r="H76" s="132">
        <f t="shared" si="17"/>
        <v>3.8475760000000179</v>
      </c>
      <c r="I76" s="132">
        <f t="shared" si="18"/>
        <v>7.5473039999999969</v>
      </c>
      <c r="J76" s="132">
        <f t="shared" si="19"/>
        <v>0.33765831671768487</v>
      </c>
      <c r="K76" s="132">
        <f t="shared" si="20"/>
        <v>0.66234168328231513</v>
      </c>
      <c r="L76" s="132">
        <f t="shared" si="21"/>
        <v>0.25990389793469848</v>
      </c>
      <c r="M76" s="132">
        <f t="shared" si="22"/>
        <v>8.7758712684995258E-2</v>
      </c>
      <c r="N76" s="132">
        <f t="shared" si="23"/>
        <v>11.394880000000015</v>
      </c>
      <c r="O76" s="13">
        <v>19</v>
      </c>
      <c r="P76">
        <f t="shared" si="24"/>
        <v>4.9381740607592706</v>
      </c>
      <c r="Q76" s="85"/>
      <c r="R76" s="85"/>
      <c r="S76" s="85"/>
      <c r="T76" s="85"/>
      <c r="U76">
        <v>198.748379</v>
      </c>
      <c r="V76">
        <v>203.58173199999999</v>
      </c>
    </row>
    <row r="77" spans="1:22" x14ac:dyDescent="0.35">
      <c r="B77" s="157">
        <v>139.16430299999999</v>
      </c>
      <c r="C77" s="132">
        <v>141.997659</v>
      </c>
      <c r="D77" s="132">
        <f t="shared" si="25"/>
        <v>2.8333560000000091</v>
      </c>
      <c r="E77" s="132"/>
      <c r="F77" s="132">
        <v>137.34651600000001</v>
      </c>
      <c r="G77" s="132">
        <v>141.191441</v>
      </c>
      <c r="H77" s="132">
        <f t="shared" si="17"/>
        <v>3.8449249999999893</v>
      </c>
      <c r="I77" s="132">
        <f t="shared" si="18"/>
        <v>9.2585960000000114</v>
      </c>
      <c r="J77" s="132">
        <f t="shared" si="19"/>
        <v>0.29342685832304072</v>
      </c>
      <c r="K77" s="132">
        <f t="shared" si="20"/>
        <v>0.70657314167695928</v>
      </c>
      <c r="L77" s="132">
        <f t="shared" si="21"/>
        <v>0.26008309654934825</v>
      </c>
      <c r="M77" s="132">
        <f t="shared" si="22"/>
        <v>7.6315365923403336E-2</v>
      </c>
      <c r="N77" s="132">
        <f t="shared" si="23"/>
        <v>13.103521000000001</v>
      </c>
      <c r="O77" s="13">
        <v>18</v>
      </c>
      <c r="P77">
        <f t="shared" si="24"/>
        <v>4.6814957378882687</v>
      </c>
      <c r="Q77" s="85"/>
      <c r="R77" s="85"/>
      <c r="S77" s="85"/>
      <c r="T77" s="85"/>
      <c r="U77">
        <v>224.15651800000001</v>
      </c>
      <c r="V77">
        <v>228.98989</v>
      </c>
    </row>
    <row r="78" spans="1:22" x14ac:dyDescent="0.35">
      <c r="A78" s="144" t="s">
        <v>302</v>
      </c>
      <c r="B78" s="144">
        <v>156.70032399999999</v>
      </c>
      <c r="C78" s="91">
        <v>159.53368</v>
      </c>
      <c r="D78" s="91">
        <f t="shared" si="25"/>
        <v>2.8333560000000091</v>
      </c>
      <c r="E78" s="91"/>
      <c r="F78" s="91">
        <v>150.45003700000001</v>
      </c>
      <c r="G78" s="91">
        <v>154.60147000000001</v>
      </c>
      <c r="H78" s="91">
        <f t="shared" si="17"/>
        <v>4.1514329999999973</v>
      </c>
      <c r="I78" s="91">
        <f t="shared" si="18"/>
        <v>8.9328030000000069</v>
      </c>
      <c r="J78" s="91">
        <f t="shared" si="19"/>
        <v>0.31728509024141693</v>
      </c>
      <c r="K78" s="91">
        <f t="shared" si="20"/>
        <v>0.68271490975858307</v>
      </c>
      <c r="L78" s="91">
        <f t="shared" si="21"/>
        <v>0.24088067903299912</v>
      </c>
      <c r="M78" s="91">
        <f t="shared" si="22"/>
        <v>7.6427847984398917E-2</v>
      </c>
      <c r="N78" s="91">
        <f t="shared" si="23"/>
        <v>13.084236000000004</v>
      </c>
      <c r="O78" s="13">
        <v>16</v>
      </c>
      <c r="P78">
        <f t="shared" si="24"/>
        <v>3.8540908645279859</v>
      </c>
      <c r="Q78" s="85"/>
      <c r="R78" s="85"/>
      <c r="S78" s="85"/>
      <c r="T78" s="85"/>
      <c r="U78">
        <v>254.59719699999999</v>
      </c>
      <c r="V78">
        <v>257.43055299999997</v>
      </c>
    </row>
    <row r="79" spans="1:22" x14ac:dyDescent="0.35">
      <c r="B79" s="13"/>
      <c r="C79" s="13"/>
      <c r="D79" s="13"/>
      <c r="E79" s="13"/>
      <c r="F79" s="13">
        <v>163.53427300000001</v>
      </c>
      <c r="G79" s="13">
        <v>167.670962</v>
      </c>
      <c r="H79" s="2">
        <f t="shared" si="17"/>
        <v>4.1366889999999898</v>
      </c>
      <c r="I79" s="2">
        <f t="shared" si="18"/>
        <v>7.0510810000000106</v>
      </c>
      <c r="J79" s="2">
        <f t="shared" si="19"/>
        <v>0.36975098701528453</v>
      </c>
      <c r="K79" s="2">
        <f t="shared" si="20"/>
        <v>0.63024901298471547</v>
      </c>
      <c r="L79" s="2">
        <f t="shared" si="21"/>
        <v>0.24173922671005785</v>
      </c>
      <c r="M79" s="2">
        <f t="shared" si="22"/>
        <v>8.9383317676355517E-2</v>
      </c>
      <c r="N79" s="2">
        <f t="shared" si="23"/>
        <v>11.18777</v>
      </c>
      <c r="O79" s="13">
        <v>15</v>
      </c>
      <c r="P79">
        <f t="shared" si="24"/>
        <v>3.6260884006508678</v>
      </c>
      <c r="Q79" s="85"/>
      <c r="R79" s="85"/>
      <c r="S79" s="85"/>
      <c r="T79" s="85"/>
    </row>
    <row r="80" spans="1:22" x14ac:dyDescent="0.35">
      <c r="B80" s="144">
        <v>181.40440000000001</v>
      </c>
      <c r="C80" s="91">
        <v>186.23777200000001</v>
      </c>
      <c r="D80" s="91">
        <f t="shared" si="25"/>
        <v>4.8333719999999971</v>
      </c>
      <c r="E80" s="91"/>
      <c r="F80" s="91">
        <v>174.72204300000001</v>
      </c>
      <c r="G80" s="91">
        <v>178.91601700000001</v>
      </c>
      <c r="H80" s="91">
        <f t="shared" si="17"/>
        <v>4.1939739999999972</v>
      </c>
      <c r="I80" s="91">
        <f t="shared" si="18"/>
        <v>12.742891999999983</v>
      </c>
      <c r="J80" s="91">
        <f t="shared" si="19"/>
        <v>0.24762397010167064</v>
      </c>
      <c r="K80" s="91">
        <f t="shared" si="20"/>
        <v>0.75237602989832941</v>
      </c>
      <c r="L80" s="91">
        <f t="shared" si="21"/>
        <v>0.23843733890577307</v>
      </c>
      <c r="M80" s="91">
        <f t="shared" si="22"/>
        <v>5.9042800480325057E-2</v>
      </c>
      <c r="N80" s="91">
        <f t="shared" si="23"/>
        <v>16.936865999999981</v>
      </c>
      <c r="O80" s="13">
        <v>14</v>
      </c>
      <c r="P80">
        <f t="shared" si="24"/>
        <v>3.338122744680823</v>
      </c>
      <c r="Q80" s="85"/>
      <c r="R80" s="85"/>
      <c r="S80" s="85"/>
      <c r="T80" s="85"/>
    </row>
    <row r="81" spans="2:20" x14ac:dyDescent="0.35">
      <c r="B81" s="144">
        <v>198.748379</v>
      </c>
      <c r="C81" s="91">
        <v>203.58173199999999</v>
      </c>
      <c r="D81" s="91">
        <f t="shared" si="25"/>
        <v>4.8333529999999882</v>
      </c>
      <c r="E81" s="91"/>
      <c r="F81" s="91">
        <v>191.65890899999999</v>
      </c>
      <c r="G81" s="91">
        <v>195.626745</v>
      </c>
      <c r="H81" s="91">
        <f t="shared" si="17"/>
        <v>3.9678360000000055</v>
      </c>
      <c r="I81" s="91">
        <f t="shared" si="18"/>
        <v>11.996239000000003</v>
      </c>
      <c r="J81" s="91">
        <f t="shared" si="19"/>
        <v>0.24854781752152902</v>
      </c>
      <c r="K81" s="91">
        <f t="shared" si="20"/>
        <v>0.75145218247847101</v>
      </c>
      <c r="L81" s="91">
        <f t="shared" si="21"/>
        <v>0.252026545451979</v>
      </c>
      <c r="M81" s="91">
        <f t="shared" si="22"/>
        <v>6.2640647829579815E-2</v>
      </c>
      <c r="N81" s="91">
        <f t="shared" si="23"/>
        <v>15.964075000000008</v>
      </c>
      <c r="O81" s="13">
        <v>12</v>
      </c>
      <c r="P81">
        <f t="shared" si="24"/>
        <v>3.024318545423748</v>
      </c>
      <c r="Q81" s="85"/>
      <c r="R81" s="85"/>
      <c r="S81" s="85"/>
      <c r="T81" s="85"/>
    </row>
    <row r="82" spans="2:20" x14ac:dyDescent="0.35">
      <c r="B82" s="13"/>
      <c r="C82" s="13"/>
      <c r="D82" s="13"/>
      <c r="E82" s="13"/>
      <c r="F82" s="13">
        <v>207.622984</v>
      </c>
      <c r="G82" s="13">
        <v>211.59861100000001</v>
      </c>
      <c r="H82" s="2">
        <f t="shared" si="17"/>
        <v>3.9756270000000029</v>
      </c>
      <c r="I82" s="2">
        <f t="shared" si="18"/>
        <v>7.2572869999999909</v>
      </c>
      <c r="J82" s="2">
        <f t="shared" si="19"/>
        <v>0.35392659464854848</v>
      </c>
      <c r="K82" s="2">
        <f t="shared" si="20"/>
        <v>0.64607340535145152</v>
      </c>
      <c r="L82" s="2">
        <f t="shared" si="21"/>
        <v>0.25153265132770236</v>
      </c>
      <c r="M82" s="2">
        <f t="shared" si="22"/>
        <v>8.9024094727334385E-2</v>
      </c>
      <c r="N82" s="2">
        <f t="shared" si="23"/>
        <v>11.232913999999994</v>
      </c>
      <c r="O82" s="13">
        <v>14</v>
      </c>
      <c r="P82">
        <f t="shared" si="24"/>
        <v>3.5214571185878327</v>
      </c>
      <c r="Q82" s="85"/>
      <c r="R82" s="85"/>
      <c r="S82" s="85"/>
      <c r="T82" s="85"/>
    </row>
    <row r="83" spans="2:20" x14ac:dyDescent="0.35">
      <c r="B83" s="144">
        <v>224.15651800000001</v>
      </c>
      <c r="C83" s="91">
        <v>228.98989</v>
      </c>
      <c r="D83" s="91">
        <f t="shared" si="25"/>
        <v>4.8333719999999971</v>
      </c>
      <c r="E83" s="91"/>
      <c r="F83" s="91">
        <v>218.855898</v>
      </c>
      <c r="G83" s="91">
        <v>222.688987</v>
      </c>
      <c r="H83" s="91">
        <f t="shared" si="17"/>
        <v>3.8330890000000011</v>
      </c>
      <c r="I83" s="91">
        <f t="shared" si="18"/>
        <v>12.225027000000011</v>
      </c>
      <c r="J83" s="91">
        <f t="shared" si="19"/>
        <v>0.23870104064511666</v>
      </c>
      <c r="K83" s="91">
        <f t="shared" si="20"/>
        <v>0.76129895935488334</v>
      </c>
      <c r="L83" s="91">
        <f t="shared" si="21"/>
        <v>0.26088619387653134</v>
      </c>
      <c r="M83" s="91">
        <f t="shared" si="22"/>
        <v>6.2273805968271694E-2</v>
      </c>
      <c r="N83" s="91">
        <f t="shared" si="23"/>
        <v>16.058116000000012</v>
      </c>
      <c r="O83" s="13">
        <v>11</v>
      </c>
      <c r="P83">
        <f t="shared" si="24"/>
        <v>2.869748132641845</v>
      </c>
      <c r="Q83" s="85"/>
      <c r="R83" s="85"/>
      <c r="S83" s="85"/>
      <c r="T83" s="85"/>
    </row>
    <row r="84" spans="2:20" x14ac:dyDescent="0.35">
      <c r="B84" s="13"/>
      <c r="C84" s="13"/>
      <c r="D84" s="13"/>
      <c r="E84" s="13"/>
      <c r="F84" s="13">
        <v>234.91401400000001</v>
      </c>
      <c r="G84" s="13">
        <v>238.86482699999999</v>
      </c>
      <c r="H84" s="2">
        <f t="shared" si="17"/>
        <v>3.9508129999999824</v>
      </c>
      <c r="I84" s="2">
        <f t="shared" si="18"/>
        <v>14.485429000000011</v>
      </c>
      <c r="J84" s="2">
        <f t="shared" si="19"/>
        <v>0.21429600457620288</v>
      </c>
      <c r="K84" s="2">
        <f t="shared" si="20"/>
        <v>0.7857039954237971</v>
      </c>
      <c r="L84" s="2">
        <f t="shared" si="21"/>
        <v>0.25311246065050519</v>
      </c>
      <c r="M84" s="2">
        <f t="shared" si="22"/>
        <v>5.4240989025854641E-2</v>
      </c>
      <c r="N84" s="2">
        <f t="shared" si="23"/>
        <v>18.436241999999993</v>
      </c>
      <c r="O84" s="13">
        <v>11</v>
      </c>
      <c r="P84">
        <f t="shared" si="24"/>
        <v>2.7842370671555572</v>
      </c>
      <c r="Q84" s="85"/>
      <c r="R84" s="85"/>
      <c r="S84" s="85"/>
      <c r="T84" s="85"/>
    </row>
    <row r="85" spans="2:20" x14ac:dyDescent="0.35">
      <c r="B85" s="157">
        <v>254.59719699999999</v>
      </c>
      <c r="C85" s="132">
        <v>257.43055299999997</v>
      </c>
      <c r="D85" s="132">
        <f t="shared" si="25"/>
        <v>2.8333559999999807</v>
      </c>
      <c r="E85" s="132"/>
      <c r="F85" s="132">
        <v>253.350256</v>
      </c>
      <c r="G85" s="132">
        <v>256.45783899999998</v>
      </c>
      <c r="H85" s="132">
        <f t="shared" si="17"/>
        <v>3.1075829999999769</v>
      </c>
      <c r="I85" s="132">
        <f t="shared" si="18"/>
        <v>16.76423200000005</v>
      </c>
      <c r="J85" s="132">
        <f t="shared" si="19"/>
        <v>0.15638143772976815</v>
      </c>
      <c r="K85" s="132">
        <f t="shared" si="20"/>
        <v>0.8436185622702318</v>
      </c>
      <c r="L85" s="132">
        <f t="shared" si="21"/>
        <v>0.32179349674650926</v>
      </c>
      <c r="M85" s="132">
        <f t="shared" si="22"/>
        <v>5.0322529673308587E-2</v>
      </c>
      <c r="N85" s="132">
        <f t="shared" si="23"/>
        <v>19.871815000000026</v>
      </c>
      <c r="O85" s="13">
        <v>17</v>
      </c>
      <c r="P85">
        <f t="shared" si="24"/>
        <v>5.4704894446906573</v>
      </c>
      <c r="Q85" s="85"/>
      <c r="R85" s="85"/>
      <c r="S85" s="85"/>
      <c r="T85" s="85"/>
    </row>
    <row r="86" spans="2:20" x14ac:dyDescent="0.35">
      <c r="B86" s="13"/>
      <c r="C86" s="13"/>
      <c r="D86" s="13"/>
      <c r="E86" s="13"/>
      <c r="F86" s="13">
        <v>273.22207100000003</v>
      </c>
      <c r="G86" s="13">
        <v>277.227508</v>
      </c>
      <c r="H86" s="2">
        <f t="shared" si="17"/>
        <v>4.0054369999999722</v>
      </c>
      <c r="I86" s="2">
        <f t="shared" si="18"/>
        <v>24.334516000000008</v>
      </c>
      <c r="J86" s="2">
        <f t="shared" si="19"/>
        <v>0.14133534378126791</v>
      </c>
      <c r="K86" s="2">
        <f t="shared" si="20"/>
        <v>0.85866465621873211</v>
      </c>
      <c r="L86" s="2">
        <f t="shared" si="21"/>
        <v>0.2496606487631704</v>
      </c>
      <c r="M86" s="2">
        <f t="shared" si="22"/>
        <v>3.5285873621597068E-2</v>
      </c>
      <c r="N86" s="2">
        <f t="shared" si="23"/>
        <v>28.33995299999998</v>
      </c>
      <c r="O86" s="13">
        <v>14</v>
      </c>
      <c r="P86">
        <f t="shared" si="24"/>
        <v>3.4952490826843854</v>
      </c>
      <c r="Q86" s="85"/>
      <c r="R86" s="85"/>
      <c r="S86" s="85"/>
      <c r="T86" s="85"/>
    </row>
    <row r="87" spans="2:20" x14ac:dyDescent="0.35">
      <c r="B87" s="13"/>
      <c r="C87" s="13"/>
      <c r="D87" s="13"/>
      <c r="E87" s="13"/>
      <c r="F87" s="13">
        <v>301.56202400000001</v>
      </c>
      <c r="G87" s="13">
        <v>304.90326900000002</v>
      </c>
      <c r="H87" s="2">
        <f t="shared" si="17"/>
        <v>3.3412450000000149</v>
      </c>
      <c r="I87" s="2">
        <f t="shared" si="18"/>
        <v>11.700827000000004</v>
      </c>
      <c r="J87" s="2">
        <f t="shared" si="19"/>
        <v>0.22212664585038622</v>
      </c>
      <c r="K87" s="2">
        <f t="shared" si="20"/>
        <v>0.77787335414961378</v>
      </c>
      <c r="L87" s="2">
        <f t="shared" si="21"/>
        <v>0.29928963604883674</v>
      </c>
      <c r="M87" s="2">
        <f t="shared" si="22"/>
        <v>6.648020299331095E-2</v>
      </c>
      <c r="N87" s="2">
        <f t="shared" si="23"/>
        <v>15.042072000000019</v>
      </c>
      <c r="O87" s="13">
        <v>12</v>
      </c>
      <c r="P87">
        <f t="shared" si="24"/>
        <v>3.5914756325860409</v>
      </c>
      <c r="Q87" s="85"/>
      <c r="R87" s="85"/>
      <c r="S87" s="85"/>
      <c r="T87" s="85"/>
    </row>
    <row r="88" spans="2:20" x14ac:dyDescent="0.35">
      <c r="B88" s="13"/>
      <c r="C88" s="13"/>
      <c r="D88" s="13"/>
      <c r="E88" s="13"/>
      <c r="F88" s="13">
        <v>316.60409600000003</v>
      </c>
      <c r="G88" s="13">
        <v>319.73579000000001</v>
      </c>
      <c r="H88" s="2">
        <f t="shared" si="17"/>
        <v>3.1316939999999818</v>
      </c>
      <c r="I88" s="2">
        <f t="shared" si="18"/>
        <v>10.08662499999997</v>
      </c>
      <c r="J88" s="2">
        <f t="shared" si="19"/>
        <v>0.23692074612513084</v>
      </c>
      <c r="K88" s="2">
        <f t="shared" si="20"/>
        <v>0.76307925387486919</v>
      </c>
      <c r="L88" s="2">
        <f t="shared" si="21"/>
        <v>0.31931599958361379</v>
      </c>
      <c r="M88" s="2">
        <f t="shared" si="22"/>
        <v>7.5652584871041748E-2</v>
      </c>
      <c r="N88" s="2">
        <f t="shared" si="23"/>
        <v>13.218318999999951</v>
      </c>
      <c r="O88" s="13">
        <v>10</v>
      </c>
      <c r="P88">
        <f t="shared" si="24"/>
        <v>3.1931599958361381</v>
      </c>
      <c r="Q88" s="85"/>
      <c r="R88" s="85"/>
      <c r="S88" s="85"/>
      <c r="T88" s="85"/>
    </row>
    <row r="89" spans="2:20" x14ac:dyDescent="0.35">
      <c r="B89" s="13"/>
      <c r="C89" s="13"/>
      <c r="D89" s="13"/>
      <c r="E89" s="13"/>
      <c r="F89" s="13">
        <v>329.82241499999998</v>
      </c>
      <c r="G89" s="13">
        <v>332.989687</v>
      </c>
      <c r="H89" s="2">
        <f t="shared" si="17"/>
        <v>3.1672720000000254</v>
      </c>
      <c r="I89" s="2">
        <f t="shared" si="18"/>
        <v>11.818171000000007</v>
      </c>
      <c r="J89" s="2">
        <f t="shared" si="19"/>
        <v>0.2113565811834871</v>
      </c>
      <c r="K89" s="2">
        <f t="shared" si="20"/>
        <v>0.7886434188165129</v>
      </c>
      <c r="L89" s="2">
        <f t="shared" si="21"/>
        <v>0.31572911957040378</v>
      </c>
      <c r="M89" s="2">
        <f t="shared" si="22"/>
        <v>6.6731427292472958E-2</v>
      </c>
      <c r="N89" s="2">
        <f t="shared" si="23"/>
        <v>14.985443000000032</v>
      </c>
      <c r="O89" s="13">
        <v>11</v>
      </c>
      <c r="P89">
        <f t="shared" si="24"/>
        <v>3.4730203152744417</v>
      </c>
      <c r="Q89" s="85"/>
      <c r="R89" s="85"/>
      <c r="S89" s="85"/>
      <c r="T89" s="85"/>
    </row>
    <row r="90" spans="2:20" x14ac:dyDescent="0.35">
      <c r="B90" s="13"/>
      <c r="C90" s="13"/>
      <c r="D90" s="13"/>
      <c r="E90" s="13"/>
      <c r="F90" s="13">
        <v>344.80785800000001</v>
      </c>
      <c r="G90" s="13">
        <v>347.80138399999998</v>
      </c>
      <c r="H90" s="2">
        <f t="shared" si="17"/>
        <v>2.9935259999999744</v>
      </c>
      <c r="I90" s="2">
        <f t="shared" si="18"/>
        <v>14.580790000000036</v>
      </c>
      <c r="J90" s="2">
        <f t="shared" si="19"/>
        <v>0.17033527791351724</v>
      </c>
      <c r="K90" s="2">
        <f t="shared" si="20"/>
        <v>0.82966472208648279</v>
      </c>
      <c r="L90" s="2">
        <f t="shared" si="21"/>
        <v>0.33405422234515703</v>
      </c>
      <c r="M90" s="2">
        <f t="shared" si="22"/>
        <v>5.6901218801346201E-2</v>
      </c>
      <c r="N90" s="2">
        <f t="shared" si="23"/>
        <v>17.57431600000001</v>
      </c>
      <c r="O90" s="13">
        <v>12</v>
      </c>
      <c r="P90">
        <f t="shared" si="24"/>
        <v>4.0086506681418843</v>
      </c>
      <c r="Q90" s="85"/>
      <c r="R90" s="85"/>
      <c r="S90" s="85"/>
      <c r="T90" s="85"/>
    </row>
    <row r="91" spans="2:20" x14ac:dyDescent="0.35">
      <c r="B91" s="13"/>
      <c r="C91" s="13"/>
      <c r="D91" s="13"/>
      <c r="E91" s="13"/>
      <c r="F91" s="13">
        <v>362.38217400000002</v>
      </c>
      <c r="G91" s="13">
        <v>366.29713299999997</v>
      </c>
      <c r="H91" s="2">
        <f t="shared" si="17"/>
        <v>3.9149589999999534</v>
      </c>
      <c r="I91" s="2">
        <f t="shared" si="18"/>
        <v>9.1149840000000495</v>
      </c>
      <c r="J91" s="2">
        <f t="shared" si="19"/>
        <v>0.30045864360265834</v>
      </c>
      <c r="K91" s="2">
        <f t="shared" si="20"/>
        <v>0.69954135639734172</v>
      </c>
      <c r="L91" s="2">
        <f t="shared" si="21"/>
        <v>0.25543051664142891</v>
      </c>
      <c r="M91" s="2">
        <f t="shared" si="22"/>
        <v>7.6746306564809977E-2</v>
      </c>
      <c r="N91" s="2">
        <f t="shared" si="23"/>
        <v>13.029943000000003</v>
      </c>
      <c r="O91" s="13">
        <v>12</v>
      </c>
      <c r="P91">
        <f t="shared" si="24"/>
        <v>3.0651661996971469</v>
      </c>
      <c r="Q91" s="85"/>
      <c r="R91" s="85"/>
      <c r="S91" s="85"/>
      <c r="T91" s="85"/>
    </row>
    <row r="92" spans="2:20" x14ac:dyDescent="0.35">
      <c r="B92" s="13"/>
      <c r="C92" s="13"/>
      <c r="D92" s="13"/>
      <c r="E92" s="13"/>
      <c r="F92" s="13">
        <v>375.41211700000002</v>
      </c>
      <c r="G92" s="13">
        <v>379.18943100000001</v>
      </c>
      <c r="H92" s="2">
        <f t="shared" si="17"/>
        <v>3.7773139999999898</v>
      </c>
      <c r="I92" s="2">
        <f t="shared" si="18"/>
        <v>14.550229000000002</v>
      </c>
      <c r="J92" s="2">
        <f t="shared" si="19"/>
        <v>0.20610040309276545</v>
      </c>
      <c r="K92" s="2">
        <f t="shared" si="20"/>
        <v>0.79389959690723455</v>
      </c>
      <c r="L92" s="2">
        <f t="shared" si="21"/>
        <v>0.26473838288265222</v>
      </c>
      <c r="M92" s="2">
        <f t="shared" si="22"/>
        <v>5.4562687426241499E-2</v>
      </c>
      <c r="N92" s="2">
        <f t="shared" si="23"/>
        <v>18.327542999999991</v>
      </c>
      <c r="O92" s="13">
        <v>11</v>
      </c>
      <c r="P92">
        <f t="shared" si="24"/>
        <v>2.9121222117091747</v>
      </c>
      <c r="Q92" s="85"/>
      <c r="R92" s="85"/>
      <c r="S92" s="85"/>
      <c r="T92" s="85"/>
    </row>
    <row r="93" spans="2:20" x14ac:dyDescent="0.35">
      <c r="B93" s="13"/>
      <c r="C93" s="13"/>
      <c r="D93" s="13"/>
      <c r="E93" s="13"/>
      <c r="F93" s="13">
        <v>393.73966000000001</v>
      </c>
      <c r="G93" s="13">
        <v>397.75980299999998</v>
      </c>
      <c r="H93" s="2">
        <f t="shared" si="17"/>
        <v>4.0201429999999618</v>
      </c>
      <c r="I93" s="2">
        <f t="shared" si="18"/>
        <v>14.354984999999999</v>
      </c>
      <c r="J93" s="2">
        <f t="shared" si="19"/>
        <v>0.21878176848618253</v>
      </c>
      <c r="K93" s="2">
        <f t="shared" si="20"/>
        <v>0.78121823151381742</v>
      </c>
      <c r="L93" s="2">
        <f t="shared" si="21"/>
        <v>0.24874737042936271</v>
      </c>
      <c r="M93" s="2">
        <f t="shared" si="22"/>
        <v>5.442138960882352E-2</v>
      </c>
      <c r="N93" s="2">
        <f t="shared" si="23"/>
        <v>18.375127999999961</v>
      </c>
      <c r="O93" s="13">
        <v>14</v>
      </c>
      <c r="P93">
        <f t="shared" si="24"/>
        <v>3.4824631860110777</v>
      </c>
      <c r="Q93" s="85"/>
      <c r="R93" s="85"/>
      <c r="S93" s="85"/>
      <c r="T93" s="85"/>
    </row>
    <row r="94" spans="2:20" x14ac:dyDescent="0.35">
      <c r="B94" s="13"/>
      <c r="C94" s="13"/>
      <c r="D94" s="13"/>
      <c r="E94" s="13"/>
      <c r="F94" s="13">
        <v>412.11478799999998</v>
      </c>
      <c r="G94" s="13">
        <v>415.79361499999999</v>
      </c>
      <c r="H94" s="2">
        <f t="shared" si="17"/>
        <v>3.6788270000000125</v>
      </c>
      <c r="I94" s="2">
        <f t="shared" si="18"/>
        <v>9.9889080000000376</v>
      </c>
      <c r="J94" s="2">
        <f t="shared" si="19"/>
        <v>0.26916142286926098</v>
      </c>
      <c r="K94" s="2">
        <f t="shared" si="20"/>
        <v>0.73083857713073896</v>
      </c>
      <c r="L94" s="2">
        <f t="shared" si="21"/>
        <v>0.27182577490053123</v>
      </c>
      <c r="M94" s="2">
        <f t="shared" si="22"/>
        <v>7.3165012344766439E-2</v>
      </c>
      <c r="N94" s="2">
        <f t="shared" si="23"/>
        <v>13.66773500000005</v>
      </c>
      <c r="O94" s="13">
        <v>12</v>
      </c>
      <c r="P94">
        <f t="shared" si="24"/>
        <v>3.2619092988063749</v>
      </c>
      <c r="Q94" s="85"/>
      <c r="R94" s="85"/>
      <c r="S94" s="85"/>
      <c r="T94" s="85"/>
    </row>
    <row r="95" spans="2:20" x14ac:dyDescent="0.35">
      <c r="B95" s="13"/>
      <c r="C95" s="13"/>
      <c r="D95" s="13"/>
      <c r="E95" s="13"/>
      <c r="F95" s="13">
        <v>425.78252300000003</v>
      </c>
      <c r="G95" s="13">
        <v>427.76618000000002</v>
      </c>
      <c r="H95" s="2">
        <f t="shared" si="17"/>
        <v>1.9836569999999938</v>
      </c>
      <c r="I95" s="2">
        <f t="shared" si="18"/>
        <v>14.468176999999969</v>
      </c>
      <c r="J95" s="2">
        <f t="shared" si="19"/>
        <v>0.12057360899702722</v>
      </c>
      <c r="K95" s="2">
        <f t="shared" si="20"/>
        <v>0.87942639100297282</v>
      </c>
      <c r="L95" s="2">
        <f t="shared" si="21"/>
        <v>0.5041194117733071</v>
      </c>
      <c r="M95" s="2">
        <f t="shared" si="22"/>
        <v>6.0783496842966099E-2</v>
      </c>
      <c r="N95" s="2">
        <f t="shared" si="23"/>
        <v>16.451833999999963</v>
      </c>
      <c r="O95" s="13">
        <v>6</v>
      </c>
      <c r="P95">
        <f t="shared" si="24"/>
        <v>3.0247164706398428</v>
      </c>
      <c r="Q95" s="85"/>
      <c r="R95" s="85"/>
      <c r="S95" s="85"/>
      <c r="T95" s="85"/>
    </row>
    <row r="96" spans="2:20" x14ac:dyDescent="0.35">
      <c r="B96" s="13"/>
      <c r="C96" s="13"/>
      <c r="D96" s="13"/>
      <c r="E96" s="13"/>
      <c r="F96" s="13">
        <v>442.23435699999999</v>
      </c>
      <c r="G96" s="13">
        <v>446.026995</v>
      </c>
      <c r="H96" s="2">
        <f t="shared" si="17"/>
        <v>3.7926380000000108</v>
      </c>
      <c r="I96" s="2">
        <f t="shared" si="18"/>
        <v>8.1304129999999759</v>
      </c>
      <c r="J96" s="2">
        <f t="shared" si="19"/>
        <v>0.31809291095039477</v>
      </c>
      <c r="K96" s="2">
        <f t="shared" si="20"/>
        <v>0.68190708904960529</v>
      </c>
      <c r="L96" s="2">
        <f t="shared" si="21"/>
        <v>0.26366871818507254</v>
      </c>
      <c r="M96" s="2">
        <f t="shared" si="22"/>
        <v>8.387115009404901E-2</v>
      </c>
      <c r="N96" s="2">
        <f t="shared" si="23"/>
        <v>11.923050999999987</v>
      </c>
      <c r="O96" s="13">
        <v>13</v>
      </c>
      <c r="P96">
        <f t="shared" si="24"/>
        <v>3.4276933364059432</v>
      </c>
      <c r="Q96" s="85"/>
      <c r="R96" s="85"/>
      <c r="S96" s="85"/>
      <c r="T96" s="85"/>
    </row>
    <row r="97" spans="2:20" x14ac:dyDescent="0.35">
      <c r="B97" s="13"/>
      <c r="C97" s="13"/>
      <c r="D97" s="13"/>
      <c r="E97" s="13"/>
      <c r="F97" s="13">
        <v>454.15740799999998</v>
      </c>
      <c r="G97" s="13">
        <v>457.91112399999997</v>
      </c>
      <c r="H97" s="2">
        <f t="shared" si="17"/>
        <v>3.7537159999999972</v>
      </c>
      <c r="I97" s="2">
        <f t="shared" si="18"/>
        <v>9.0585540000000151</v>
      </c>
      <c r="J97" s="2">
        <f t="shared" si="19"/>
        <v>0.29297821541381763</v>
      </c>
      <c r="K97" s="2">
        <f t="shared" si="20"/>
        <v>0.70702178458618237</v>
      </c>
      <c r="L97" s="2">
        <f t="shared" si="21"/>
        <v>0.26640267937158824</v>
      </c>
      <c r="M97" s="2">
        <f t="shared" si="22"/>
        <v>7.805018158374738E-2</v>
      </c>
      <c r="N97" s="2">
        <f t="shared" si="23"/>
        <v>12.812270000000012</v>
      </c>
      <c r="O97" s="13">
        <v>10</v>
      </c>
      <c r="P97">
        <f t="shared" si="24"/>
        <v>2.6640267937158826</v>
      </c>
      <c r="Q97" s="85"/>
      <c r="R97" s="85"/>
      <c r="S97" s="85"/>
      <c r="T97" s="85"/>
    </row>
    <row r="98" spans="2:20" x14ac:dyDescent="0.35">
      <c r="B98" s="13"/>
      <c r="C98" s="13"/>
      <c r="D98" s="13"/>
      <c r="E98" s="13"/>
      <c r="F98" s="13">
        <v>466.96967799999999</v>
      </c>
      <c r="G98" s="13">
        <v>469.64704399999999</v>
      </c>
      <c r="H98" s="2">
        <f t="shared" si="17"/>
        <v>2.6773660000000064</v>
      </c>
      <c r="I98" s="2">
        <f t="shared" si="18"/>
        <v>8.8682979999999816</v>
      </c>
      <c r="J98" s="2">
        <f t="shared" si="19"/>
        <v>0.23189363556743112</v>
      </c>
      <c r="K98" s="2">
        <f t="shared" si="20"/>
        <v>0.76810636443256886</v>
      </c>
      <c r="L98" s="2">
        <f t="shared" si="21"/>
        <v>0.37350141893188965</v>
      </c>
      <c r="M98" s="2">
        <f t="shared" si="22"/>
        <v>8.6612601925710034E-2</v>
      </c>
      <c r="N98" s="2">
        <f t="shared" si="23"/>
        <v>11.545663999999988</v>
      </c>
      <c r="O98" s="13">
        <v>8</v>
      </c>
      <c r="P98">
        <f t="shared" si="24"/>
        <v>2.9880113514551172</v>
      </c>
      <c r="Q98" s="85"/>
      <c r="R98" s="85"/>
      <c r="S98" s="85"/>
      <c r="T98" s="85"/>
    </row>
    <row r="99" spans="2:20" x14ac:dyDescent="0.35">
      <c r="B99" s="13"/>
      <c r="C99" s="13"/>
      <c r="D99" s="13"/>
      <c r="E99" s="13"/>
      <c r="F99" s="13">
        <v>478.51534199999998</v>
      </c>
      <c r="G99" s="13">
        <v>479.86360100000002</v>
      </c>
      <c r="H99" s="2">
        <f t="shared" si="17"/>
        <v>1.3482590000000414</v>
      </c>
      <c r="I99" s="2"/>
      <c r="J99" s="2"/>
      <c r="K99" s="2"/>
      <c r="L99" s="2"/>
      <c r="M99" s="2"/>
      <c r="N99" s="2"/>
      <c r="O99" s="13"/>
      <c r="P99" s="85"/>
      <c r="Q99" s="85"/>
      <c r="R99" s="85"/>
      <c r="S99" s="85"/>
      <c r="T99" s="85"/>
    </row>
    <row r="100" spans="2:20" x14ac:dyDescent="0.35">
      <c r="B100" s="13"/>
      <c r="C100" s="13"/>
      <c r="D100" s="13"/>
      <c r="E100" s="13"/>
      <c r="F100" s="13"/>
      <c r="G100" s="13"/>
      <c r="H100" s="13"/>
      <c r="I100" s="13"/>
      <c r="J100" s="13"/>
      <c r="K100" s="13"/>
      <c r="L100" s="13"/>
      <c r="M100" s="13"/>
      <c r="N100" s="13"/>
      <c r="O100" s="13"/>
      <c r="P100" s="85"/>
      <c r="Q100" s="85"/>
      <c r="R100" s="85"/>
      <c r="S100" s="85"/>
      <c r="T100" s="85"/>
    </row>
    <row r="101" spans="2:20" x14ac:dyDescent="0.35">
      <c r="B101" s="13"/>
      <c r="C101" s="13"/>
      <c r="D101" s="13"/>
      <c r="E101" s="13"/>
      <c r="F101" s="13"/>
      <c r="G101" s="13"/>
      <c r="H101" s="13"/>
      <c r="I101" s="13"/>
      <c r="J101" s="13"/>
      <c r="K101" s="13"/>
      <c r="L101" s="13"/>
      <c r="M101" s="13"/>
      <c r="N101" s="13"/>
      <c r="O101" s="13"/>
      <c r="P101" s="85"/>
      <c r="Q101" s="85"/>
      <c r="R101" s="85"/>
      <c r="S101" s="85"/>
      <c r="T101" s="85"/>
    </row>
    <row r="102" spans="2:20" ht="16" thickBot="1" x14ac:dyDescent="0.4">
      <c r="B102" s="13"/>
      <c r="C102" s="13"/>
      <c r="D102" s="49"/>
      <c r="E102" s="3" t="s">
        <v>75</v>
      </c>
      <c r="F102" s="2"/>
      <c r="G102" s="2"/>
      <c r="H102" s="9" t="s">
        <v>3</v>
      </c>
      <c r="I102" s="9" t="s">
        <v>4</v>
      </c>
      <c r="J102" s="9" t="s">
        <v>5</v>
      </c>
      <c r="K102" s="9" t="s">
        <v>6</v>
      </c>
      <c r="L102" s="9" t="s">
        <v>7</v>
      </c>
      <c r="M102" s="9" t="s">
        <v>8</v>
      </c>
      <c r="N102" s="9" t="s">
        <v>9</v>
      </c>
      <c r="O102" s="9" t="s">
        <v>10</v>
      </c>
      <c r="P102" s="44" t="s">
        <v>139</v>
      </c>
      <c r="Q102" s="85"/>
      <c r="R102" s="85"/>
      <c r="S102" s="85"/>
      <c r="T102" s="85"/>
    </row>
    <row r="103" spans="2:20" x14ac:dyDescent="0.35">
      <c r="B103" s="13"/>
      <c r="C103" s="13"/>
      <c r="D103" s="49"/>
      <c r="E103" s="3"/>
      <c r="F103" s="2"/>
      <c r="G103" s="3" t="s">
        <v>77</v>
      </c>
      <c r="H103" s="2">
        <f>AVERAGE(H73:H74,H87:H98)</f>
        <v>3.4226423571428515</v>
      </c>
      <c r="I103" s="2">
        <f t="shared" ref="I103:P103" si="26">AVERAGE(I73:I74,I87:I98)</f>
        <v>10.824726214285716</v>
      </c>
      <c r="J103" s="2">
        <f t="shared" si="26"/>
        <v>0.24880772951572314</v>
      </c>
      <c r="K103" s="2">
        <f t="shared" si="26"/>
        <v>0.75119227048427695</v>
      </c>
      <c r="L103" s="2">
        <f t="shared" si="26"/>
        <v>0.30267775552451376</v>
      </c>
      <c r="M103" s="2">
        <f t="shared" si="26"/>
        <v>7.2286102244755152E-2</v>
      </c>
      <c r="N103" s="2">
        <f t="shared" si="26"/>
        <v>14.247368571428568</v>
      </c>
      <c r="O103" s="2">
        <f t="shared" si="26"/>
        <v>11.285714285714286</v>
      </c>
      <c r="P103" s="2">
        <f t="shared" si="26"/>
        <v>3.2940739255160181</v>
      </c>
      <c r="Q103" s="85"/>
      <c r="R103" s="85"/>
      <c r="S103" s="85"/>
      <c r="T103" s="85"/>
    </row>
    <row r="104" spans="2:20" x14ac:dyDescent="0.35">
      <c r="B104" s="13"/>
      <c r="C104" s="13"/>
      <c r="D104" s="49"/>
      <c r="E104" s="3"/>
      <c r="F104" s="2"/>
      <c r="G104" s="3" t="s">
        <v>94</v>
      </c>
      <c r="H104" s="2">
        <f>_xlfn.STDEV.S(H73:H74,H87:H98)</f>
        <v>0.57942977458633127</v>
      </c>
      <c r="I104" s="2">
        <f t="shared" ref="I104:P104" si="27">_xlfn.STDEV.S(I73:I74,I87:I98)</f>
        <v>2.7419177838841007</v>
      </c>
      <c r="J104" s="2">
        <f t="shared" si="27"/>
        <v>6.5634594573313679E-2</v>
      </c>
      <c r="K104" s="2">
        <f t="shared" si="27"/>
        <v>6.5634594573313582E-2</v>
      </c>
      <c r="L104" s="2">
        <f t="shared" si="27"/>
        <v>6.851824759387759E-2</v>
      </c>
      <c r="M104" s="2">
        <f t="shared" si="27"/>
        <v>1.258893377345489E-2</v>
      </c>
      <c r="N104" s="2">
        <f t="shared" si="27"/>
        <v>2.5840337163015454</v>
      </c>
      <c r="O104" s="2">
        <f t="shared" si="27"/>
        <v>2.2336094083368723</v>
      </c>
      <c r="P104" s="2">
        <f t="shared" si="27"/>
        <v>0.34669194716594209</v>
      </c>
      <c r="Q104" s="85"/>
      <c r="R104" s="85"/>
      <c r="S104" s="85"/>
      <c r="T104" s="85"/>
    </row>
    <row r="105" spans="2:20" x14ac:dyDescent="0.35">
      <c r="B105" s="13"/>
      <c r="C105" s="13"/>
      <c r="D105" s="49"/>
      <c r="E105" s="49"/>
      <c r="F105" s="2"/>
      <c r="G105" s="3" t="s">
        <v>95</v>
      </c>
      <c r="H105" s="49">
        <f>H104/(SQRT(14))</f>
        <v>0.154859121156979</v>
      </c>
      <c r="I105" s="49">
        <f t="shared" ref="I105:P105" si="28">I104/(SQRT(14))</f>
        <v>0.73280835214262718</v>
      </c>
      <c r="J105" s="49">
        <f t="shared" si="28"/>
        <v>1.7541583258082284E-2</v>
      </c>
      <c r="K105" s="49">
        <f t="shared" si="28"/>
        <v>1.7541583258082256E-2</v>
      </c>
      <c r="L105" s="49">
        <f t="shared" si="28"/>
        <v>1.8312271945602709E-2</v>
      </c>
      <c r="M105" s="49">
        <f t="shared" si="28"/>
        <v>3.3645340746468171E-3</v>
      </c>
      <c r="N105" s="49">
        <f t="shared" si="28"/>
        <v>0.69061206016232835</v>
      </c>
      <c r="O105" s="49">
        <f t="shared" si="28"/>
        <v>0.59695722441938792</v>
      </c>
      <c r="P105" s="49">
        <f t="shared" si="28"/>
        <v>9.265732036060631E-2</v>
      </c>
      <c r="Q105" s="85"/>
      <c r="R105" s="85"/>
      <c r="S105" s="85"/>
      <c r="T105" s="85"/>
    </row>
    <row r="106" spans="2:20" x14ac:dyDescent="0.35">
      <c r="B106" s="13"/>
      <c r="C106" s="13"/>
      <c r="D106" s="49"/>
      <c r="E106" s="49"/>
      <c r="F106" s="2"/>
      <c r="G106" s="3"/>
      <c r="H106" s="49"/>
      <c r="I106" s="49"/>
      <c r="J106" s="49"/>
      <c r="K106" s="49"/>
      <c r="L106" s="49"/>
      <c r="M106" s="49"/>
      <c r="N106" s="49"/>
      <c r="O106" s="49"/>
      <c r="P106" s="49"/>
      <c r="Q106" s="85"/>
      <c r="R106" s="85"/>
      <c r="S106" s="85"/>
      <c r="T106" s="85"/>
    </row>
    <row r="107" spans="2:20" ht="16" thickBot="1" x14ac:dyDescent="0.4">
      <c r="B107" s="13"/>
      <c r="C107" s="13"/>
      <c r="D107" s="49"/>
      <c r="E107" s="49" t="s">
        <v>300</v>
      </c>
      <c r="F107" s="2"/>
      <c r="G107" s="2"/>
      <c r="H107" s="9" t="s">
        <v>3</v>
      </c>
      <c r="I107" s="9" t="s">
        <v>4</v>
      </c>
      <c r="J107" s="9" t="s">
        <v>5</v>
      </c>
      <c r="K107" s="9" t="s">
        <v>6</v>
      </c>
      <c r="L107" s="9" t="s">
        <v>7</v>
      </c>
      <c r="M107" s="9" t="s">
        <v>8</v>
      </c>
      <c r="N107" s="9" t="s">
        <v>9</v>
      </c>
      <c r="O107" s="9" t="s">
        <v>10</v>
      </c>
      <c r="P107" s="44" t="s">
        <v>139</v>
      </c>
      <c r="Q107" s="85"/>
      <c r="R107" s="85"/>
      <c r="S107" s="85"/>
      <c r="T107" s="85"/>
    </row>
    <row r="108" spans="2:20" x14ac:dyDescent="0.35">
      <c r="B108" s="13"/>
      <c r="C108" s="13"/>
      <c r="D108" s="49"/>
      <c r="E108" s="49"/>
      <c r="F108" s="2"/>
      <c r="G108" s="3" t="s">
        <v>77</v>
      </c>
      <c r="H108" s="2">
        <f>AVERAGE(H78,H80,H81,H83)</f>
        <v>4.0365830000000003</v>
      </c>
      <c r="I108" s="2">
        <f t="shared" ref="I108:P108" si="29">AVERAGE(I78,I80,I81,I83)</f>
        <v>11.474240250000001</v>
      </c>
      <c r="J108" s="2">
        <f t="shared" si="29"/>
        <v>0.26303947962743329</v>
      </c>
      <c r="K108" s="2">
        <f t="shared" si="29"/>
        <v>0.73696052037256665</v>
      </c>
      <c r="L108" s="2">
        <f t="shared" si="29"/>
        <v>0.24805768931682062</v>
      </c>
      <c r="M108" s="2">
        <f t="shared" si="29"/>
        <v>6.5096275565643874E-2</v>
      </c>
      <c r="N108" s="2">
        <f t="shared" si="29"/>
        <v>15.510823250000001</v>
      </c>
      <c r="O108" s="2">
        <f t="shared" si="29"/>
        <v>13.25</v>
      </c>
      <c r="P108" s="2">
        <f t="shared" si="29"/>
        <v>3.2715700718186005</v>
      </c>
      <c r="Q108" s="85"/>
      <c r="R108" s="85"/>
      <c r="S108" s="85"/>
      <c r="T108" s="85"/>
    </row>
    <row r="109" spans="2:20" x14ac:dyDescent="0.35">
      <c r="B109" s="13"/>
      <c r="C109" s="13"/>
      <c r="D109" s="49"/>
      <c r="E109" s="49"/>
      <c r="F109" s="2"/>
      <c r="G109" s="3" t="s">
        <v>94</v>
      </c>
      <c r="H109" s="2">
        <f>_xlfn.STDEV.S(H82,H84,H86,H89,H90,H91,H92,H95,H96,H97,H98)</f>
        <v>0.66361427578466881</v>
      </c>
      <c r="I109" s="2">
        <f t="shared" ref="I109:P109" si="30">_xlfn.STDEV.S(I82,I84,I86,I89,I90,I91,I92,I95,I96,I97,I98)</f>
        <v>4.8977219638414429</v>
      </c>
      <c r="J109" s="2">
        <f t="shared" si="30"/>
        <v>7.5182385397243173E-2</v>
      </c>
      <c r="K109" s="2">
        <f t="shared" si="30"/>
        <v>7.518238539724309E-2</v>
      </c>
      <c r="L109" s="2">
        <f t="shared" si="30"/>
        <v>7.819311001652017E-2</v>
      </c>
      <c r="M109" s="2">
        <f t="shared" si="30"/>
        <v>1.6829575718767219E-2</v>
      </c>
      <c r="N109" s="2">
        <f t="shared" si="30"/>
        <v>4.9532441569464325</v>
      </c>
      <c r="O109" s="2">
        <f t="shared" si="30"/>
        <v>2.4271195048676732</v>
      </c>
      <c r="P109" s="2">
        <f t="shared" si="30"/>
        <v>0.40064881952315967</v>
      </c>
      <c r="Q109" s="85"/>
      <c r="R109" s="85"/>
      <c r="S109" s="85"/>
      <c r="T109" s="85"/>
    </row>
    <row r="110" spans="2:20" x14ac:dyDescent="0.35">
      <c r="B110" s="13"/>
      <c r="C110" s="13"/>
      <c r="D110" s="49"/>
      <c r="E110" s="49"/>
      <c r="F110" s="2"/>
      <c r="G110" s="3" t="s">
        <v>95</v>
      </c>
      <c r="H110" s="49">
        <f t="shared" ref="H110:P110" si="31">H109/(SQRT(11))</f>
        <v>0.20008723257283434</v>
      </c>
      <c r="I110" s="49">
        <f t="shared" si="31"/>
        <v>1.4767187346858786</v>
      </c>
      <c r="J110" s="49">
        <f t="shared" si="31"/>
        <v>2.266834210968641E-2</v>
      </c>
      <c r="K110" s="49">
        <f t="shared" si="31"/>
        <v>2.2668342109686386E-2</v>
      </c>
      <c r="L110" s="49">
        <f t="shared" si="31"/>
        <v>2.3576109737797994E-2</v>
      </c>
      <c r="M110" s="49">
        <f t="shared" si="31"/>
        <v>5.0743080036387868E-3</v>
      </c>
      <c r="N110" s="49">
        <f t="shared" si="31"/>
        <v>1.49345930578287</v>
      </c>
      <c r="O110" s="49">
        <f t="shared" si="31"/>
        <v>0.73180406536356812</v>
      </c>
      <c r="P110" s="49">
        <f t="shared" si="31"/>
        <v>0.12080016427792163</v>
      </c>
      <c r="Q110" s="85"/>
      <c r="R110" s="85"/>
      <c r="S110" s="85"/>
      <c r="T110" s="85"/>
    </row>
    <row r="111" spans="2:20" x14ac:dyDescent="0.35">
      <c r="B111" s="85"/>
      <c r="C111" s="85"/>
      <c r="D111" s="137"/>
      <c r="E111" s="49"/>
      <c r="F111" s="2"/>
      <c r="G111" s="3"/>
      <c r="H111" s="49"/>
      <c r="I111" s="49"/>
      <c r="J111" s="49"/>
      <c r="K111" s="49"/>
      <c r="L111" s="49"/>
      <c r="M111" s="49"/>
      <c r="N111" s="49"/>
      <c r="O111" s="49"/>
      <c r="P111" s="49"/>
      <c r="Q111" s="85"/>
      <c r="R111" s="85"/>
      <c r="S111" s="85"/>
      <c r="T111" s="85"/>
    </row>
    <row r="112" spans="2:20" ht="16" thickBot="1" x14ac:dyDescent="0.4">
      <c r="B112" s="85"/>
      <c r="C112" s="85"/>
      <c r="D112" s="137"/>
      <c r="E112" s="49" t="s">
        <v>301</v>
      </c>
      <c r="F112" s="2"/>
      <c r="G112" s="2"/>
      <c r="H112" s="9" t="s">
        <v>3</v>
      </c>
      <c r="I112" s="9" t="s">
        <v>4</v>
      </c>
      <c r="J112" s="9" t="s">
        <v>5</v>
      </c>
      <c r="K112" s="9" t="s">
        <v>6</v>
      </c>
      <c r="L112" s="9" t="s">
        <v>7</v>
      </c>
      <c r="M112" s="9" t="s">
        <v>8</v>
      </c>
      <c r="N112" s="9" t="s">
        <v>9</v>
      </c>
      <c r="O112" s="9" t="s">
        <v>10</v>
      </c>
      <c r="P112" s="44" t="s">
        <v>139</v>
      </c>
      <c r="Q112" s="85"/>
      <c r="R112" s="85"/>
      <c r="S112" s="85"/>
      <c r="T112" s="85"/>
    </row>
    <row r="113" spans="2:20" x14ac:dyDescent="0.35">
      <c r="B113" s="85"/>
      <c r="C113" s="85"/>
      <c r="D113" s="137"/>
      <c r="E113" s="49"/>
      <c r="F113" s="2"/>
      <c r="G113" s="3" t="s">
        <v>77</v>
      </c>
      <c r="H113" s="2">
        <f>AVERAGE(H79,H82,H84)</f>
        <v>4.0210429999999917</v>
      </c>
      <c r="I113" s="2">
        <f t="shared" ref="I113:P113" si="32">AVERAGE(I79,I82,I84)</f>
        <v>9.597932333333338</v>
      </c>
      <c r="J113" s="2">
        <f t="shared" si="32"/>
        <v>0.31265786208001195</v>
      </c>
      <c r="K113" s="2">
        <f t="shared" si="32"/>
        <v>0.68734213791998799</v>
      </c>
      <c r="L113" s="2">
        <f t="shared" si="32"/>
        <v>0.24879477956275511</v>
      </c>
      <c r="M113" s="2">
        <f t="shared" si="32"/>
        <v>7.7549467143181519E-2</v>
      </c>
      <c r="N113" s="2">
        <f t="shared" si="32"/>
        <v>13.61897533333333</v>
      </c>
      <c r="O113" s="2">
        <f t="shared" si="32"/>
        <v>13.333333333333334</v>
      </c>
      <c r="P113" s="2">
        <f t="shared" si="32"/>
        <v>3.3105941954647524</v>
      </c>
      <c r="Q113" s="85"/>
      <c r="R113" s="85"/>
      <c r="S113" s="85"/>
      <c r="T113" s="85"/>
    </row>
    <row r="114" spans="2:20" x14ac:dyDescent="0.35">
      <c r="B114" s="85"/>
      <c r="C114" s="85"/>
      <c r="D114" s="137"/>
      <c r="E114" s="49"/>
      <c r="F114" s="2"/>
      <c r="G114" s="3" t="s">
        <v>94</v>
      </c>
      <c r="H114" s="2">
        <f>_xlfn.STDEV.S(H79,H82,H84)</f>
        <v>0.10091794506429436</v>
      </c>
      <c r="I114" s="2">
        <f t="shared" ref="I114:P114" si="33">_xlfn.STDEV.S(I79,I82,I84)</f>
        <v>4.2339518158119578</v>
      </c>
      <c r="J114" s="2">
        <f t="shared" si="33"/>
        <v>8.5550535399515848E-2</v>
      </c>
      <c r="K114" s="2">
        <f t="shared" si="33"/>
        <v>8.55505353995165E-2</v>
      </c>
      <c r="L114" s="2">
        <f t="shared" si="33"/>
        <v>6.161133736335163E-3</v>
      </c>
      <c r="M114" s="2">
        <f t="shared" si="33"/>
        <v>2.0186533243506777E-2</v>
      </c>
      <c r="N114" s="2">
        <f t="shared" si="33"/>
        <v>4.1719363727791112</v>
      </c>
      <c r="O114" s="2">
        <f t="shared" si="33"/>
        <v>2.0816659994661282</v>
      </c>
      <c r="P114" s="2">
        <f t="shared" si="33"/>
        <v>0.45883090151815825</v>
      </c>
      <c r="Q114" s="85"/>
      <c r="R114" s="85"/>
      <c r="S114" s="85"/>
      <c r="T114" s="85"/>
    </row>
    <row r="115" spans="2:20" x14ac:dyDescent="0.35">
      <c r="B115" s="85"/>
      <c r="C115" s="85"/>
      <c r="D115" s="137"/>
      <c r="E115" s="49"/>
      <c r="F115" s="2"/>
      <c r="G115" s="3" t="s">
        <v>95</v>
      </c>
      <c r="H115" s="49">
        <f>H114/(SQRT(3))</f>
        <v>5.8265002748934216E-2</v>
      </c>
      <c r="I115" s="49">
        <f t="shared" ref="I115:P115" si="34">I114/(SQRT(3))</f>
        <v>2.4444732205949387</v>
      </c>
      <c r="J115" s="49">
        <f t="shared" si="34"/>
        <v>4.9392624642227087E-2</v>
      </c>
      <c r="K115" s="49">
        <f t="shared" si="34"/>
        <v>4.9392624642227462E-2</v>
      </c>
      <c r="L115" s="49">
        <f t="shared" si="34"/>
        <v>3.5571322211863914E-3</v>
      </c>
      <c r="M115" s="49">
        <f t="shared" si="34"/>
        <v>1.1654700402143968E-2</v>
      </c>
      <c r="N115" s="49">
        <f t="shared" si="34"/>
        <v>2.408668587866011</v>
      </c>
      <c r="O115" s="49">
        <f t="shared" si="34"/>
        <v>1.2018504251546605</v>
      </c>
      <c r="P115" s="49">
        <f t="shared" si="34"/>
        <v>0.26490614450402733</v>
      </c>
      <c r="Q115" s="85"/>
      <c r="R115" s="85"/>
      <c r="S115" s="85"/>
      <c r="T115" s="85"/>
    </row>
    <row r="116" spans="2:20" x14ac:dyDescent="0.35">
      <c r="B116" s="85"/>
      <c r="C116" s="85"/>
      <c r="D116" s="137"/>
      <c r="E116" s="137"/>
      <c r="F116" s="85"/>
      <c r="G116" s="85"/>
      <c r="H116" s="13"/>
      <c r="I116" s="13"/>
      <c r="J116" s="13"/>
      <c r="K116" s="13"/>
      <c r="L116" s="13"/>
      <c r="M116" s="13"/>
      <c r="N116" s="13"/>
      <c r="O116" s="85"/>
      <c r="P116" s="85"/>
      <c r="Q116" s="85"/>
      <c r="R116" s="85"/>
      <c r="S116" s="85"/>
      <c r="T116" s="85"/>
    </row>
    <row r="117" spans="2:20" x14ac:dyDescent="0.35">
      <c r="B117" s="85"/>
      <c r="C117" s="85"/>
      <c r="D117" s="137"/>
      <c r="E117" s="137"/>
      <c r="F117" s="85"/>
      <c r="G117" s="85"/>
      <c r="H117" s="13"/>
      <c r="I117" s="13"/>
      <c r="J117" s="13"/>
      <c r="K117" s="13"/>
      <c r="L117" s="13"/>
      <c r="M117" s="13"/>
      <c r="N117" s="13"/>
      <c r="O117" s="85"/>
      <c r="P117" s="85"/>
      <c r="Q117" s="85"/>
      <c r="R117" s="85"/>
      <c r="S117" s="85"/>
      <c r="T117" s="85"/>
    </row>
    <row r="118" spans="2:20" ht="16" thickBot="1" x14ac:dyDescent="0.4">
      <c r="B118" s="85"/>
      <c r="C118" s="85"/>
      <c r="D118" s="137"/>
      <c r="E118" s="137"/>
      <c r="F118" s="85"/>
      <c r="G118" s="85"/>
      <c r="H118" s="9" t="s">
        <v>3</v>
      </c>
      <c r="I118" s="9" t="s">
        <v>4</v>
      </c>
      <c r="J118" s="9" t="s">
        <v>5</v>
      </c>
      <c r="K118" s="9" t="s">
        <v>6</v>
      </c>
      <c r="L118" s="9" t="s">
        <v>7</v>
      </c>
      <c r="M118" s="9" t="s">
        <v>8</v>
      </c>
      <c r="N118" s="9" t="s">
        <v>9</v>
      </c>
      <c r="O118" s="9" t="s">
        <v>10</v>
      </c>
      <c r="P118" s="44" t="s">
        <v>139</v>
      </c>
      <c r="Q118" s="85"/>
      <c r="R118" s="85"/>
      <c r="S118" s="85"/>
      <c r="T118" s="85"/>
    </row>
    <row r="119" spans="2:20" x14ac:dyDescent="0.35">
      <c r="B119" s="85"/>
      <c r="C119" s="85"/>
      <c r="D119" s="137"/>
      <c r="E119" s="137" t="s">
        <v>303</v>
      </c>
      <c r="F119" s="85"/>
      <c r="G119" s="3" t="s">
        <v>77</v>
      </c>
      <c r="H119" s="13">
        <f>AVERAGE(H66:H67,H69,H71,H75:H77,H85)</f>
        <v>3.1733893749999984</v>
      </c>
      <c r="I119" s="13">
        <f t="shared" ref="I119:P119" si="35">AVERAGE(I66:I67,I69,I71,I75:I77,I85)</f>
        <v>9.0727802500000063</v>
      </c>
      <c r="J119" s="13">
        <f t="shared" si="35"/>
        <v>0.26941003667929592</v>
      </c>
      <c r="K119" s="13">
        <f t="shared" si="35"/>
        <v>0.73058996332070403</v>
      </c>
      <c r="L119" s="13">
        <f t="shared" si="35"/>
        <v>0.32272564265721898</v>
      </c>
      <c r="M119" s="13">
        <f t="shared" si="35"/>
        <v>8.565482476211525E-2</v>
      </c>
      <c r="N119" s="13">
        <f t="shared" si="35"/>
        <v>12.246169625000006</v>
      </c>
      <c r="O119" s="13">
        <f t="shared" si="35"/>
        <v>16.5</v>
      </c>
      <c r="P119" s="13">
        <f t="shared" si="35"/>
        <v>5.2088567085327933</v>
      </c>
      <c r="Q119" s="85"/>
      <c r="R119" s="85"/>
      <c r="S119" s="85"/>
      <c r="T119" s="85"/>
    </row>
    <row r="120" spans="2:20" x14ac:dyDescent="0.35">
      <c r="B120" s="85"/>
      <c r="C120" s="85"/>
      <c r="D120" s="137"/>
      <c r="E120" s="137"/>
      <c r="F120" s="85"/>
      <c r="G120" s="3" t="s">
        <v>94</v>
      </c>
      <c r="H120" s="13">
        <f>_xlfn.STDEV.S(H66:H67,H69,H71,H75:H77,H85)</f>
        <v>0.51902419278817247</v>
      </c>
      <c r="I120" s="13">
        <f t="shared" ref="I120:P120" si="36">_xlfn.STDEV.S(I66:I67,I69,I71,I75:I77,I85)</f>
        <v>3.2522115333302555</v>
      </c>
      <c r="J120" s="13">
        <f t="shared" si="36"/>
        <v>5.8376364749857204E-2</v>
      </c>
      <c r="K120" s="13">
        <f t="shared" si="36"/>
        <v>5.8376364749857079E-2</v>
      </c>
      <c r="L120" s="13">
        <f t="shared" si="36"/>
        <v>5.3792545796824034E-2</v>
      </c>
      <c r="M120" s="13">
        <f t="shared" si="36"/>
        <v>1.7478178672255974E-2</v>
      </c>
      <c r="N120" s="13">
        <f t="shared" si="36"/>
        <v>3.3043420561680881</v>
      </c>
      <c r="O120" s="13">
        <f t="shared" si="36"/>
        <v>3.2071349029490928</v>
      </c>
      <c r="P120" s="13">
        <f t="shared" si="36"/>
        <v>0.85420469661440679</v>
      </c>
      <c r="Q120" s="85"/>
      <c r="R120" s="85"/>
      <c r="S120" s="85"/>
      <c r="T120" s="85"/>
    </row>
    <row r="121" spans="2:20" x14ac:dyDescent="0.35">
      <c r="B121" s="85"/>
      <c r="C121" s="85"/>
      <c r="D121" s="137"/>
      <c r="E121" s="137"/>
      <c r="F121" s="85"/>
      <c r="G121" s="3" t="s">
        <v>95</v>
      </c>
      <c r="H121" s="13">
        <f>H120/(SQRT(8))</f>
        <v>0.18350276316019534</v>
      </c>
      <c r="I121" s="13">
        <f t="shared" ref="I121:P121" si="37">I120/(SQRT(8))</f>
        <v>1.1498304145354614</v>
      </c>
      <c r="J121" s="13">
        <f t="shared" si="37"/>
        <v>2.0639161687821681E-2</v>
      </c>
      <c r="K121" s="13">
        <f t="shared" si="37"/>
        <v>2.0639161687821636E-2</v>
      </c>
      <c r="L121" s="13">
        <f t="shared" si="37"/>
        <v>1.9018536955111093E-2</v>
      </c>
      <c r="M121" s="13">
        <f t="shared" si="37"/>
        <v>6.1794693309711428E-3</v>
      </c>
      <c r="N121" s="13">
        <f t="shared" si="37"/>
        <v>1.1682613376381774</v>
      </c>
      <c r="O121" s="13">
        <f t="shared" si="37"/>
        <v>1.1338934190276817</v>
      </c>
      <c r="P121" s="13">
        <f t="shared" si="37"/>
        <v>0.30200696674872224</v>
      </c>
      <c r="Q121" s="85"/>
      <c r="R121" s="85"/>
      <c r="S121" s="85"/>
      <c r="T121" s="85"/>
    </row>
    <row r="122" spans="2:20" x14ac:dyDescent="0.35">
      <c r="B122" s="85"/>
      <c r="C122" s="85"/>
      <c r="D122" s="137"/>
      <c r="E122" s="137"/>
      <c r="F122" s="85"/>
      <c r="G122" s="3"/>
      <c r="H122" s="13"/>
      <c r="I122" s="13"/>
      <c r="J122" s="13"/>
      <c r="K122" s="13"/>
      <c r="L122" s="13"/>
      <c r="M122" s="13"/>
      <c r="N122" s="13"/>
      <c r="O122" s="85"/>
      <c r="P122" s="85"/>
      <c r="Q122" s="85"/>
      <c r="R122" s="85"/>
      <c r="S122" s="85"/>
      <c r="T122" s="85"/>
    </row>
    <row r="123" spans="2:20" ht="16" thickBot="1" x14ac:dyDescent="0.4">
      <c r="B123" s="85"/>
      <c r="C123" s="85"/>
      <c r="D123" s="137"/>
      <c r="E123" s="137"/>
      <c r="F123" s="85"/>
      <c r="G123" s="3"/>
      <c r="H123" s="9" t="s">
        <v>3</v>
      </c>
      <c r="I123" s="9" t="s">
        <v>4</v>
      </c>
      <c r="J123" s="9" t="s">
        <v>5</v>
      </c>
      <c r="K123" s="9" t="s">
        <v>6</v>
      </c>
      <c r="L123" s="9" t="s">
        <v>7</v>
      </c>
      <c r="M123" s="9" t="s">
        <v>8</v>
      </c>
      <c r="N123" s="9" t="s">
        <v>9</v>
      </c>
      <c r="O123" s="9" t="s">
        <v>10</v>
      </c>
      <c r="P123" s="44" t="s">
        <v>139</v>
      </c>
      <c r="Q123" s="85"/>
      <c r="R123" s="85"/>
      <c r="S123" s="85"/>
      <c r="T123" s="85"/>
    </row>
    <row r="124" spans="2:20" x14ac:dyDescent="0.35">
      <c r="B124" s="85"/>
      <c r="C124" s="85"/>
      <c r="D124" s="137"/>
      <c r="E124" s="137" t="s">
        <v>195</v>
      </c>
      <c r="F124" s="85"/>
      <c r="G124" s="3" t="s">
        <v>77</v>
      </c>
      <c r="H124" s="13">
        <f>AVERAGE(H68,H70,H72,H86)</f>
        <v>4.5287284999999926</v>
      </c>
      <c r="I124" s="13">
        <f t="shared" ref="I124:P124" si="38">AVERAGE(I68,I70,I72,I86)</f>
        <v>11.713972500000002</v>
      </c>
      <c r="J124" s="13">
        <f t="shared" si="38"/>
        <v>0.32450426845358521</v>
      </c>
      <c r="K124" s="13">
        <f t="shared" si="38"/>
        <v>0.67549573154641485</v>
      </c>
      <c r="L124" s="13">
        <f t="shared" si="38"/>
        <v>0.22196406227018192</v>
      </c>
      <c r="M124" s="13">
        <f t="shared" si="38"/>
        <v>7.0343702095812796E-2</v>
      </c>
      <c r="N124" s="13">
        <f t="shared" si="38"/>
        <v>16.242700999999997</v>
      </c>
      <c r="O124" s="13">
        <f t="shared" si="38"/>
        <v>17</v>
      </c>
      <c r="P124" s="13">
        <f t="shared" si="38"/>
        <v>3.7456924721001039</v>
      </c>
      <c r="Q124" s="85"/>
      <c r="R124" s="85"/>
      <c r="S124" s="85"/>
      <c r="T124" s="85"/>
    </row>
    <row r="125" spans="2:20" x14ac:dyDescent="0.35">
      <c r="B125" s="85"/>
      <c r="C125" s="85"/>
      <c r="D125" s="137"/>
      <c r="E125" s="137"/>
      <c r="F125" s="85"/>
      <c r="G125" s="3" t="s">
        <v>94</v>
      </c>
      <c r="H125" s="13">
        <f>_xlfn.STDEV.S(H68,H70,H72,H86)</f>
        <v>0.3649375014341622</v>
      </c>
      <c r="I125" s="13">
        <f t="shared" ref="I125:P125" si="39">_xlfn.STDEV.S(I68,I70,I72,I86)</f>
        <v>8.4240682881605622</v>
      </c>
      <c r="J125" s="13">
        <f t="shared" si="39"/>
        <v>0.12265818445221084</v>
      </c>
      <c r="K125" s="13">
        <f t="shared" si="39"/>
        <v>0.12265818445221055</v>
      </c>
      <c r="L125" s="13">
        <f t="shared" si="39"/>
        <v>1.9072511660362595E-2</v>
      </c>
      <c r="M125" s="13">
        <f t="shared" si="39"/>
        <v>2.3607961220967928E-2</v>
      </c>
      <c r="N125" s="13">
        <f t="shared" si="39"/>
        <v>8.0792262192367819</v>
      </c>
      <c r="O125" s="13">
        <f t="shared" si="39"/>
        <v>2</v>
      </c>
      <c r="P125" s="13">
        <f t="shared" si="39"/>
        <v>0.18780930004957674</v>
      </c>
      <c r="Q125" s="85"/>
      <c r="R125" s="85"/>
      <c r="S125" s="85"/>
      <c r="T125" s="85"/>
    </row>
    <row r="126" spans="2:20" x14ac:dyDescent="0.35">
      <c r="B126" s="85"/>
      <c r="C126" s="85"/>
      <c r="D126" s="137"/>
      <c r="E126" s="137"/>
      <c r="F126" s="85"/>
      <c r="G126" s="3" t="s">
        <v>95</v>
      </c>
      <c r="H126" s="13">
        <f>H125/(SQRT(4))</f>
        <v>0.1824687507170811</v>
      </c>
      <c r="I126" s="13">
        <f t="shared" ref="I126:P126" si="40">I125/(SQRT(4))</f>
        <v>4.2120341440802811</v>
      </c>
      <c r="J126" s="13">
        <f t="shared" si="40"/>
        <v>6.1329092226105421E-2</v>
      </c>
      <c r="K126" s="13">
        <f t="shared" si="40"/>
        <v>6.1329092226105275E-2</v>
      </c>
      <c r="L126" s="13">
        <f t="shared" si="40"/>
        <v>9.5362558301812974E-3</v>
      </c>
      <c r="M126" s="13">
        <f t="shared" si="40"/>
        <v>1.1803980610483964E-2</v>
      </c>
      <c r="N126" s="13">
        <f t="shared" si="40"/>
        <v>4.0396131096183909</v>
      </c>
      <c r="O126" s="13">
        <f t="shared" si="40"/>
        <v>1</v>
      </c>
      <c r="P126" s="13">
        <f t="shared" si="40"/>
        <v>9.3904650024788372E-2</v>
      </c>
      <c r="Q126" s="85"/>
      <c r="R126" s="85"/>
      <c r="S126" s="85"/>
      <c r="T126" s="85"/>
    </row>
    <row r="127" spans="2:20" x14ac:dyDescent="0.35">
      <c r="B127" s="85"/>
      <c r="C127" s="85"/>
      <c r="D127" s="137"/>
      <c r="E127" s="137"/>
      <c r="F127" s="85"/>
      <c r="G127" s="3"/>
      <c r="H127" s="13"/>
      <c r="I127" s="13"/>
      <c r="J127" s="13"/>
      <c r="K127" s="13"/>
      <c r="L127" s="13"/>
      <c r="M127" s="13"/>
      <c r="N127" s="13"/>
      <c r="O127" s="85"/>
      <c r="P127" s="85"/>
      <c r="Q127" s="85"/>
      <c r="R127" s="85"/>
      <c r="S127" s="85"/>
      <c r="T127" s="85"/>
    </row>
    <row r="128" spans="2:20" x14ac:dyDescent="0.35">
      <c r="B128" s="85"/>
      <c r="C128" s="85"/>
      <c r="D128" s="137"/>
      <c r="E128" s="137"/>
      <c r="F128" s="85"/>
      <c r="G128" s="3"/>
      <c r="H128" s="13"/>
      <c r="I128" s="13"/>
      <c r="J128" s="13"/>
      <c r="K128" s="13"/>
      <c r="L128" s="13"/>
      <c r="M128" s="13"/>
      <c r="N128" s="13"/>
      <c r="O128" s="85"/>
      <c r="P128" s="85"/>
      <c r="Q128" s="85"/>
      <c r="R128" s="85"/>
      <c r="S128" s="85"/>
      <c r="T128" s="85"/>
    </row>
    <row r="129" spans="2:20" x14ac:dyDescent="0.35">
      <c r="B129" s="85"/>
      <c r="C129" s="85"/>
      <c r="D129" s="137"/>
      <c r="E129" s="137"/>
      <c r="F129" s="85"/>
      <c r="G129" s="3"/>
      <c r="H129" s="13"/>
      <c r="I129" s="13"/>
      <c r="J129" s="13"/>
      <c r="K129" s="13"/>
      <c r="L129" s="13"/>
      <c r="M129" s="13"/>
      <c r="N129" s="13"/>
      <c r="O129" s="13"/>
      <c r="P129" s="13"/>
      <c r="Q129" s="85"/>
      <c r="R129" s="85"/>
      <c r="S129" s="85"/>
      <c r="T129" s="85"/>
    </row>
    <row r="130" spans="2:20" x14ac:dyDescent="0.35">
      <c r="B130" s="85"/>
      <c r="C130" s="85"/>
      <c r="D130" s="85"/>
      <c r="E130" s="137"/>
      <c r="F130" s="85"/>
      <c r="G130" s="3"/>
      <c r="H130" s="13"/>
      <c r="I130" s="13"/>
      <c r="J130" s="13"/>
      <c r="K130" s="13"/>
      <c r="L130" s="13"/>
      <c r="M130" s="13"/>
      <c r="N130" s="13"/>
      <c r="O130" s="13"/>
      <c r="P130" s="13"/>
      <c r="Q130" s="85"/>
      <c r="R130" s="85"/>
      <c r="S130" s="85"/>
      <c r="T130" s="85"/>
    </row>
    <row r="131" spans="2:20" x14ac:dyDescent="0.35">
      <c r="B131" s="85"/>
      <c r="C131" s="85"/>
      <c r="D131" s="85"/>
      <c r="E131" s="13"/>
      <c r="F131" s="13"/>
      <c r="G131" s="49"/>
      <c r="H131" s="13"/>
      <c r="I131" s="13"/>
      <c r="J131" s="13"/>
      <c r="K131" s="13"/>
      <c r="L131" s="13"/>
      <c r="M131" s="13"/>
      <c r="N131" s="13"/>
      <c r="O131" s="13"/>
      <c r="P131" s="13"/>
      <c r="Q131" s="85"/>
      <c r="R131" s="85"/>
      <c r="S131" s="85"/>
      <c r="T131" s="85"/>
    </row>
    <row r="132" spans="2:20" x14ac:dyDescent="0.35">
      <c r="B132" s="85"/>
      <c r="C132" s="85"/>
      <c r="D132" s="85"/>
      <c r="E132" s="13"/>
      <c r="F132" s="13"/>
      <c r="G132" s="13"/>
      <c r="H132" s="13"/>
      <c r="I132" s="13"/>
      <c r="J132" s="13"/>
      <c r="K132" s="13"/>
      <c r="L132" s="13"/>
      <c r="M132" s="13"/>
      <c r="N132" s="13"/>
      <c r="O132" s="13"/>
      <c r="P132" s="13"/>
    </row>
    <row r="133" spans="2:20" x14ac:dyDescent="0.35">
      <c r="B133" s="85"/>
      <c r="C133" s="85"/>
      <c r="D133" s="85"/>
      <c r="E133" s="13"/>
      <c r="F133" s="13"/>
      <c r="G133" s="13"/>
      <c r="H133" s="13"/>
      <c r="I133" s="13"/>
      <c r="J133" s="13"/>
      <c r="K133" s="13"/>
      <c r="L133" s="13"/>
      <c r="M133" s="13"/>
      <c r="N133" s="13"/>
      <c r="O133" s="13"/>
      <c r="P133" s="13"/>
    </row>
    <row r="134" spans="2:20" x14ac:dyDescent="0.35">
      <c r="B134" s="85"/>
      <c r="C134" s="85"/>
      <c r="D134" s="85"/>
      <c r="E134" s="137"/>
      <c r="F134" s="85"/>
      <c r="G134" s="3"/>
      <c r="H134" s="13"/>
      <c r="I134" s="13"/>
      <c r="J134" s="13"/>
      <c r="K134" s="13"/>
      <c r="L134" s="13"/>
      <c r="M134" s="13"/>
      <c r="N134" s="13"/>
      <c r="O134" s="13"/>
      <c r="P134" s="13"/>
    </row>
    <row r="135" spans="2:20" x14ac:dyDescent="0.35">
      <c r="B135" s="85"/>
      <c r="C135" s="85"/>
      <c r="D135" s="85"/>
      <c r="E135" s="137"/>
      <c r="F135" s="85"/>
      <c r="G135" s="3"/>
      <c r="H135" s="13"/>
      <c r="I135" s="13"/>
      <c r="J135" s="13"/>
      <c r="K135" s="13"/>
      <c r="L135" s="13"/>
      <c r="M135" s="13"/>
      <c r="N135" s="13"/>
      <c r="O135" s="13"/>
      <c r="P135" s="13"/>
    </row>
    <row r="136" spans="2:20" x14ac:dyDescent="0.35">
      <c r="B136" s="85"/>
      <c r="C136" s="85"/>
      <c r="D136" s="85"/>
      <c r="E136" s="137"/>
      <c r="F136" s="85"/>
      <c r="G136" s="3"/>
      <c r="H136" s="13"/>
      <c r="I136" s="13"/>
      <c r="J136" s="13"/>
      <c r="K136" s="13"/>
      <c r="L136" s="13"/>
      <c r="M136" s="13"/>
      <c r="N136" s="13"/>
      <c r="O136" s="13"/>
      <c r="P136" s="13"/>
    </row>
    <row r="137" spans="2:20" x14ac:dyDescent="0.35">
      <c r="B137" s="85"/>
      <c r="C137" s="85"/>
      <c r="D137" s="85"/>
      <c r="E137" s="137"/>
      <c r="F137" s="85"/>
      <c r="G137" s="3"/>
      <c r="H137" s="13"/>
      <c r="I137" s="13"/>
      <c r="J137" s="13"/>
      <c r="K137" s="13"/>
      <c r="L137" s="13"/>
      <c r="M137" s="13"/>
      <c r="N137" s="13"/>
      <c r="O137" s="85"/>
      <c r="P137" s="85"/>
    </row>
    <row r="138" spans="2:20" x14ac:dyDescent="0.35">
      <c r="B138" s="85"/>
      <c r="C138" s="85"/>
      <c r="D138" s="85"/>
      <c r="E138" s="137"/>
      <c r="F138" s="85"/>
      <c r="G138" s="3"/>
      <c r="H138" s="13"/>
      <c r="I138" s="13"/>
      <c r="J138" s="13"/>
      <c r="K138" s="13"/>
      <c r="L138" s="13"/>
      <c r="M138" s="13"/>
      <c r="N138" s="13"/>
      <c r="O138" s="85"/>
      <c r="P138" s="85"/>
    </row>
    <row r="139" spans="2:20" x14ac:dyDescent="0.35">
      <c r="B139" s="85"/>
      <c r="C139" s="85"/>
      <c r="D139" s="85"/>
      <c r="E139" s="137"/>
      <c r="F139" s="85"/>
      <c r="G139" s="3"/>
      <c r="H139" s="13"/>
      <c r="I139" s="13"/>
      <c r="J139" s="13"/>
      <c r="K139" s="13"/>
      <c r="L139" s="13"/>
      <c r="M139" s="13"/>
      <c r="N139" s="13"/>
      <c r="O139" s="13"/>
      <c r="P139" s="13"/>
    </row>
    <row r="140" spans="2:20" x14ac:dyDescent="0.35">
      <c r="B140" s="85"/>
      <c r="C140" s="85"/>
      <c r="D140" s="85"/>
      <c r="E140" s="137"/>
      <c r="F140" s="85"/>
      <c r="G140" s="3"/>
      <c r="H140" s="13"/>
      <c r="I140" s="13"/>
      <c r="J140" s="13"/>
      <c r="K140" s="13"/>
      <c r="L140" s="13"/>
      <c r="M140" s="13"/>
      <c r="N140" s="13"/>
      <c r="O140" s="13"/>
      <c r="P140" s="13"/>
    </row>
    <row r="141" spans="2:20" x14ac:dyDescent="0.35">
      <c r="B141" s="85"/>
      <c r="C141" s="85"/>
      <c r="D141" s="85"/>
      <c r="E141" s="137"/>
      <c r="F141" s="85"/>
      <c r="G141" s="3"/>
      <c r="H141" s="13"/>
      <c r="I141" s="13"/>
      <c r="J141" s="13"/>
      <c r="K141" s="13"/>
      <c r="L141" s="13"/>
      <c r="M141" s="13"/>
      <c r="N141" s="13"/>
      <c r="O141" s="13"/>
      <c r="P141" s="13"/>
    </row>
    <row r="142" spans="2:20" x14ac:dyDescent="0.35">
      <c r="B142" s="85"/>
      <c r="C142" s="85"/>
      <c r="D142" s="85"/>
      <c r="E142" s="137"/>
      <c r="F142" s="85"/>
      <c r="G142" s="3"/>
      <c r="H142" s="13"/>
      <c r="I142" s="13"/>
      <c r="J142" s="13"/>
      <c r="K142" s="13"/>
      <c r="L142" s="13"/>
      <c r="M142" s="13"/>
      <c r="N142" s="13"/>
      <c r="O142" s="85"/>
      <c r="P142" s="85"/>
    </row>
    <row r="143" spans="2:20" x14ac:dyDescent="0.35">
      <c r="B143" s="85"/>
      <c r="C143" s="85"/>
      <c r="D143" s="85"/>
      <c r="E143" s="137"/>
      <c r="F143" s="85"/>
      <c r="G143" s="3"/>
      <c r="H143" s="13"/>
      <c r="I143" s="13"/>
      <c r="J143" s="13"/>
      <c r="K143" s="13"/>
      <c r="L143" s="13"/>
      <c r="M143" s="13"/>
      <c r="N143" s="13"/>
      <c r="O143" s="85"/>
      <c r="P143" s="85"/>
    </row>
    <row r="144" spans="2:20" x14ac:dyDescent="0.35">
      <c r="B144" s="85"/>
      <c r="C144" s="85"/>
      <c r="D144" s="85"/>
      <c r="E144" s="137"/>
      <c r="F144" s="85"/>
      <c r="G144" s="3"/>
      <c r="H144" s="13"/>
      <c r="I144" s="13"/>
      <c r="J144" s="13"/>
      <c r="K144" s="13"/>
      <c r="L144" s="13"/>
      <c r="M144" s="13"/>
      <c r="N144" s="13"/>
      <c r="O144" s="13"/>
      <c r="P144" s="13"/>
    </row>
    <row r="145" spans="1:22" x14ac:dyDescent="0.35">
      <c r="B145" s="85"/>
      <c r="C145" s="85"/>
      <c r="D145" s="85"/>
      <c r="E145" s="137"/>
      <c r="F145" s="85"/>
      <c r="G145" s="3"/>
      <c r="H145" s="13"/>
      <c r="I145" s="13"/>
      <c r="J145" s="13"/>
      <c r="K145" s="13"/>
      <c r="L145" s="13"/>
      <c r="M145" s="13"/>
      <c r="N145" s="13"/>
      <c r="O145" s="13"/>
      <c r="P145" s="13"/>
    </row>
    <row r="146" spans="1:22" x14ac:dyDescent="0.35">
      <c r="A146" s="13"/>
      <c r="B146" s="13"/>
      <c r="C146" s="13"/>
      <c r="D146" s="13"/>
      <c r="E146" s="13"/>
      <c r="F146" s="13"/>
      <c r="G146" s="49"/>
      <c r="H146" s="13"/>
      <c r="I146" s="13"/>
      <c r="J146" s="13"/>
      <c r="K146" s="13"/>
      <c r="L146" s="13"/>
      <c r="M146" s="13"/>
      <c r="N146" s="13"/>
      <c r="O146" s="13"/>
      <c r="P146" s="13"/>
      <c r="Q146" s="13"/>
      <c r="R146" s="13"/>
      <c r="S146" s="13"/>
      <c r="T146" s="13"/>
      <c r="U146" s="13"/>
      <c r="V146" s="13"/>
    </row>
    <row r="147" spans="1:22" x14ac:dyDescent="0.35">
      <c r="A147" s="13"/>
      <c r="B147" s="13"/>
      <c r="C147" s="13"/>
      <c r="D147" s="13"/>
      <c r="E147" s="13"/>
      <c r="F147" s="13"/>
      <c r="G147" s="13"/>
      <c r="H147" s="13"/>
      <c r="I147" s="13"/>
      <c r="J147" s="13"/>
      <c r="K147" s="13"/>
      <c r="L147" s="13"/>
      <c r="M147" s="13"/>
      <c r="N147" s="13"/>
      <c r="O147" s="13"/>
      <c r="P147" s="13"/>
      <c r="Q147" s="13"/>
      <c r="R147" s="13"/>
      <c r="S147" s="13"/>
      <c r="T147" s="13"/>
      <c r="U147" s="13"/>
      <c r="V147" s="13"/>
    </row>
    <row r="148" spans="1:22" x14ac:dyDescent="0.35">
      <c r="A148" s="13"/>
      <c r="B148" s="13"/>
      <c r="C148" s="13"/>
      <c r="D148" s="13"/>
      <c r="E148" s="13"/>
      <c r="F148" s="13"/>
      <c r="G148" s="13"/>
      <c r="H148" s="13"/>
      <c r="I148" s="13"/>
      <c r="J148" s="13"/>
      <c r="K148" s="13"/>
      <c r="L148" s="13"/>
      <c r="M148" s="13"/>
      <c r="N148" s="13"/>
      <c r="O148" s="13"/>
      <c r="P148" s="13"/>
      <c r="Q148" s="13"/>
      <c r="R148" s="13"/>
      <c r="S148" s="13"/>
      <c r="T148" s="13"/>
      <c r="U148" s="13"/>
      <c r="V148" s="13"/>
    </row>
    <row r="149" spans="1:22" ht="18.5" x14ac:dyDescent="0.45">
      <c r="A149" s="13"/>
      <c r="B149" s="13"/>
      <c r="C149" s="13"/>
      <c r="D149" s="13"/>
      <c r="E149" s="13"/>
      <c r="F149" s="149"/>
      <c r="G149" s="13"/>
      <c r="H149" s="13"/>
      <c r="I149" s="13"/>
      <c r="J149" s="13"/>
      <c r="K149" s="13"/>
      <c r="L149" s="13"/>
      <c r="M149" s="13"/>
      <c r="N149" s="13"/>
      <c r="O149" s="13"/>
      <c r="P149" s="13"/>
      <c r="Q149" s="13"/>
      <c r="R149" s="13"/>
      <c r="S149" s="13"/>
      <c r="T149" s="13"/>
      <c r="U149" s="13"/>
      <c r="V149" s="13"/>
    </row>
    <row r="150" spans="1:22" ht="15.5" x14ac:dyDescent="0.35">
      <c r="A150" s="13"/>
      <c r="B150" s="14"/>
      <c r="C150" s="14"/>
      <c r="D150" s="14"/>
      <c r="E150" s="14"/>
      <c r="F150" s="14"/>
      <c r="G150" s="14"/>
      <c r="H150" s="14"/>
      <c r="I150" s="14"/>
      <c r="J150" s="14"/>
      <c r="K150" s="14"/>
      <c r="L150" s="14"/>
      <c r="M150" s="14"/>
      <c r="N150" s="14"/>
      <c r="O150" s="14"/>
      <c r="P150" s="14"/>
      <c r="Q150" s="13"/>
      <c r="R150" s="14"/>
      <c r="S150" s="13"/>
      <c r="T150" s="13"/>
      <c r="U150" s="13"/>
      <c r="V150" s="13"/>
    </row>
    <row r="151" spans="1:22" x14ac:dyDescent="0.35">
      <c r="A151" s="13"/>
      <c r="B151" s="13"/>
      <c r="C151" s="13"/>
      <c r="D151" s="13"/>
      <c r="E151" s="13"/>
      <c r="F151" s="13"/>
      <c r="G151" s="13"/>
      <c r="H151" s="13"/>
      <c r="I151" s="13"/>
      <c r="J151" s="13"/>
      <c r="K151" s="13"/>
      <c r="L151" s="13"/>
      <c r="M151" s="13"/>
      <c r="N151" s="13"/>
      <c r="O151" s="13"/>
      <c r="P151" s="13"/>
      <c r="Q151" s="13"/>
      <c r="R151" s="13"/>
      <c r="S151" s="13"/>
      <c r="T151" s="13"/>
      <c r="U151" s="13"/>
      <c r="V151" s="13"/>
    </row>
    <row r="152" spans="1:22" x14ac:dyDescent="0.35">
      <c r="A152" s="13"/>
      <c r="B152" s="13"/>
      <c r="C152" s="13"/>
      <c r="D152" s="13"/>
      <c r="E152" s="13"/>
      <c r="F152" s="13"/>
      <c r="G152" s="13"/>
      <c r="H152" s="13"/>
      <c r="I152" s="13"/>
      <c r="J152" s="13"/>
      <c r="K152" s="13"/>
      <c r="L152" s="13"/>
      <c r="M152" s="13"/>
      <c r="N152" s="13"/>
      <c r="O152" s="13"/>
      <c r="P152" s="13"/>
      <c r="Q152" s="13"/>
      <c r="R152" s="13"/>
      <c r="S152" s="13"/>
      <c r="T152" s="13"/>
      <c r="U152" s="13"/>
      <c r="V152" s="13"/>
    </row>
    <row r="153" spans="1:22" x14ac:dyDescent="0.35">
      <c r="A153" s="13"/>
      <c r="B153" s="13"/>
      <c r="C153" s="13"/>
      <c r="D153" s="13"/>
      <c r="E153" s="13"/>
      <c r="F153" s="13"/>
      <c r="G153" s="13"/>
      <c r="H153" s="13"/>
      <c r="I153" s="13"/>
      <c r="J153" s="13"/>
      <c r="K153" s="13"/>
      <c r="L153" s="13"/>
      <c r="M153" s="13"/>
      <c r="N153" s="13"/>
      <c r="O153" s="13"/>
      <c r="P153" s="13"/>
      <c r="Q153" s="13"/>
      <c r="R153" s="13"/>
      <c r="S153" s="13"/>
      <c r="T153" s="13"/>
      <c r="U153" s="13"/>
      <c r="V153" s="13"/>
    </row>
    <row r="154" spans="1:22" x14ac:dyDescent="0.35">
      <c r="A154" s="13"/>
      <c r="B154" s="13"/>
      <c r="C154" s="13"/>
      <c r="D154" s="13"/>
      <c r="E154" s="13"/>
      <c r="F154" s="13"/>
      <c r="G154" s="13"/>
      <c r="H154" s="13"/>
      <c r="I154" s="13"/>
      <c r="J154" s="13"/>
      <c r="K154" s="13"/>
      <c r="L154" s="13"/>
      <c r="M154" s="13"/>
      <c r="N154" s="13"/>
      <c r="O154" s="13"/>
      <c r="P154" s="13"/>
      <c r="Q154" s="13"/>
      <c r="R154" s="13"/>
      <c r="S154" s="13"/>
      <c r="T154" s="13"/>
      <c r="U154" s="13"/>
      <c r="V154" s="13"/>
    </row>
    <row r="155" spans="1:22" x14ac:dyDescent="0.35">
      <c r="A155" s="13"/>
      <c r="B155" s="13"/>
      <c r="C155" s="13"/>
      <c r="D155" s="13"/>
      <c r="E155" s="13"/>
      <c r="F155" s="13"/>
      <c r="G155" s="13"/>
      <c r="H155" s="13"/>
      <c r="I155" s="13"/>
      <c r="J155" s="13"/>
      <c r="K155" s="13"/>
      <c r="L155" s="13"/>
      <c r="M155" s="13"/>
      <c r="N155" s="13"/>
      <c r="O155" s="13"/>
      <c r="P155" s="13"/>
      <c r="Q155" s="13"/>
      <c r="R155" s="13"/>
      <c r="S155" s="13"/>
      <c r="T155" s="13"/>
      <c r="U155" s="13"/>
      <c r="V155" s="13"/>
    </row>
    <row r="156" spans="1:22" x14ac:dyDescent="0.35">
      <c r="A156" s="13"/>
      <c r="B156" s="13"/>
      <c r="C156" s="13"/>
      <c r="D156" s="13"/>
      <c r="E156" s="13"/>
      <c r="F156" s="13"/>
      <c r="G156" s="13"/>
      <c r="H156" s="13"/>
      <c r="I156" s="13"/>
      <c r="J156" s="13"/>
      <c r="K156" s="13"/>
      <c r="L156" s="13"/>
      <c r="M156" s="13"/>
      <c r="N156" s="13"/>
      <c r="O156" s="13"/>
      <c r="P156" s="13"/>
      <c r="Q156" s="13"/>
      <c r="R156" s="13"/>
      <c r="S156" s="13"/>
      <c r="T156" s="13"/>
      <c r="U156" s="13"/>
      <c r="V156" s="13"/>
    </row>
    <row r="157" spans="1:22" x14ac:dyDescent="0.35">
      <c r="A157" s="49"/>
      <c r="B157" s="13"/>
      <c r="C157" s="13"/>
      <c r="D157" s="13"/>
      <c r="E157" s="13"/>
      <c r="F157" s="13"/>
      <c r="G157" s="13"/>
      <c r="H157" s="13"/>
      <c r="I157" s="13"/>
      <c r="J157" s="13"/>
      <c r="K157" s="13"/>
      <c r="L157" s="13"/>
      <c r="M157" s="13"/>
      <c r="N157" s="13"/>
      <c r="O157" s="13"/>
      <c r="P157" s="13"/>
      <c r="Q157" s="13"/>
      <c r="R157" s="13"/>
      <c r="S157" s="13"/>
      <c r="T157" s="13"/>
      <c r="U157" s="13"/>
      <c r="V157" s="13"/>
    </row>
    <row r="158" spans="1:22" x14ac:dyDescent="0.35">
      <c r="A158" s="13"/>
      <c r="B158" s="13"/>
      <c r="C158" s="13"/>
      <c r="D158" s="13"/>
      <c r="E158" s="13"/>
      <c r="F158" s="13"/>
      <c r="G158" s="13"/>
      <c r="H158" s="13"/>
      <c r="I158" s="13"/>
      <c r="J158" s="13"/>
      <c r="K158" s="13"/>
      <c r="L158" s="13"/>
      <c r="M158" s="13"/>
      <c r="N158" s="13"/>
      <c r="O158" s="13"/>
      <c r="P158" s="13"/>
      <c r="Q158" s="13"/>
      <c r="R158" s="13"/>
      <c r="S158" s="13"/>
      <c r="T158" s="13"/>
      <c r="U158" s="13"/>
      <c r="V158" s="13"/>
    </row>
    <row r="159" spans="1:22" x14ac:dyDescent="0.35">
      <c r="A159" s="13"/>
      <c r="B159" s="13"/>
      <c r="C159" s="13"/>
      <c r="D159" s="13"/>
      <c r="E159" s="13"/>
      <c r="F159" s="13"/>
      <c r="G159" s="13"/>
      <c r="H159" s="13"/>
      <c r="I159" s="13"/>
      <c r="J159" s="13"/>
      <c r="K159" s="13"/>
      <c r="L159" s="13"/>
      <c r="M159" s="13"/>
      <c r="N159" s="13"/>
      <c r="O159" s="13"/>
      <c r="P159" s="13"/>
      <c r="Q159" s="13"/>
      <c r="R159" s="13"/>
      <c r="S159" s="13"/>
      <c r="T159" s="13"/>
      <c r="U159" s="13"/>
      <c r="V159" s="13"/>
    </row>
    <row r="160" spans="1:22" x14ac:dyDescent="0.35">
      <c r="A160" s="13"/>
      <c r="B160" s="13"/>
      <c r="C160" s="13"/>
      <c r="D160" s="13"/>
      <c r="E160" s="13"/>
      <c r="F160" s="13"/>
      <c r="G160" s="13"/>
      <c r="H160" s="13"/>
      <c r="I160" s="13"/>
      <c r="J160" s="13"/>
      <c r="K160" s="13"/>
      <c r="L160" s="13"/>
      <c r="M160" s="13"/>
      <c r="N160" s="13"/>
      <c r="O160" s="13"/>
      <c r="P160" s="13"/>
      <c r="Q160" s="13"/>
      <c r="R160" s="13"/>
      <c r="S160" s="13"/>
      <c r="T160" s="13"/>
      <c r="U160" s="13"/>
      <c r="V160" s="13"/>
    </row>
    <row r="161" spans="1:22" x14ac:dyDescent="0.35">
      <c r="A161" s="13"/>
      <c r="B161" s="13"/>
      <c r="C161" s="13"/>
      <c r="D161" s="13"/>
      <c r="E161" s="13"/>
      <c r="F161" s="13"/>
      <c r="G161" s="13"/>
      <c r="H161" s="13"/>
      <c r="I161" s="13"/>
      <c r="J161" s="13"/>
      <c r="K161" s="13"/>
      <c r="L161" s="13"/>
      <c r="M161" s="13"/>
      <c r="N161" s="13"/>
      <c r="O161" s="13"/>
      <c r="P161" s="13"/>
      <c r="Q161" s="13"/>
      <c r="R161" s="13"/>
      <c r="S161" s="13"/>
      <c r="T161" s="13"/>
      <c r="U161" s="13"/>
      <c r="V161" s="13"/>
    </row>
    <row r="162" spans="1:22" x14ac:dyDescent="0.35">
      <c r="A162" s="13"/>
      <c r="B162" s="13"/>
      <c r="C162" s="13"/>
      <c r="D162" s="13"/>
      <c r="E162" s="13"/>
      <c r="F162" s="13"/>
      <c r="G162" s="13"/>
      <c r="H162" s="13"/>
      <c r="I162" s="13"/>
      <c r="J162" s="13"/>
      <c r="K162" s="13"/>
      <c r="L162" s="13"/>
      <c r="M162" s="13"/>
      <c r="N162" s="13"/>
      <c r="O162" s="13"/>
      <c r="P162" s="13"/>
      <c r="Q162" s="13"/>
      <c r="R162" s="13"/>
      <c r="S162" s="13"/>
      <c r="T162" s="13"/>
      <c r="U162" s="13"/>
      <c r="V162" s="13"/>
    </row>
    <row r="163" spans="1:22" x14ac:dyDescent="0.35">
      <c r="A163" s="13"/>
      <c r="B163" s="13"/>
      <c r="C163" s="13"/>
      <c r="D163" s="13"/>
      <c r="E163" s="13"/>
      <c r="F163" s="13"/>
      <c r="G163" s="13"/>
      <c r="H163" s="13"/>
      <c r="I163" s="13"/>
      <c r="J163" s="13"/>
      <c r="K163" s="13"/>
      <c r="L163" s="13"/>
      <c r="M163" s="13"/>
      <c r="N163" s="13"/>
      <c r="O163" s="13"/>
      <c r="P163" s="13"/>
      <c r="Q163" s="13"/>
      <c r="R163" s="13"/>
      <c r="S163" s="13"/>
      <c r="T163" s="13"/>
      <c r="U163" s="13"/>
      <c r="V163" s="13"/>
    </row>
    <row r="164" spans="1:22" x14ac:dyDescent="0.35">
      <c r="A164" s="13"/>
      <c r="B164" s="13"/>
      <c r="C164" s="13"/>
      <c r="D164" s="13"/>
      <c r="E164" s="13"/>
      <c r="F164" s="13"/>
      <c r="G164" s="13"/>
      <c r="H164" s="13"/>
      <c r="I164" s="13"/>
      <c r="J164" s="13"/>
      <c r="K164" s="13"/>
      <c r="L164" s="13"/>
      <c r="M164" s="13"/>
      <c r="N164" s="13"/>
      <c r="O164" s="13"/>
      <c r="P164" s="13"/>
      <c r="Q164" s="13"/>
      <c r="R164" s="13"/>
      <c r="S164" s="13"/>
      <c r="T164" s="13"/>
      <c r="U164" s="13"/>
      <c r="V164" s="13"/>
    </row>
    <row r="165" spans="1:22" x14ac:dyDescent="0.35">
      <c r="A165" s="13"/>
      <c r="B165" s="13"/>
      <c r="C165" s="13"/>
      <c r="D165" s="13"/>
      <c r="E165" s="13"/>
      <c r="F165" s="13"/>
      <c r="G165" s="13"/>
      <c r="H165" s="13"/>
      <c r="I165" s="13"/>
      <c r="J165" s="13"/>
      <c r="K165" s="13"/>
      <c r="L165" s="13"/>
      <c r="M165" s="13"/>
      <c r="N165" s="13"/>
      <c r="O165" s="13"/>
      <c r="P165" s="13"/>
      <c r="Q165" s="13"/>
      <c r="R165" s="13"/>
      <c r="S165" s="13"/>
      <c r="T165" s="13"/>
      <c r="U165" s="13"/>
      <c r="V165" s="13"/>
    </row>
    <row r="166" spans="1:22" x14ac:dyDescent="0.35">
      <c r="A166" s="13"/>
      <c r="B166" s="13"/>
      <c r="C166" s="13"/>
      <c r="D166" s="13"/>
      <c r="E166" s="13"/>
      <c r="F166" s="13"/>
      <c r="G166" s="13"/>
      <c r="H166" s="13"/>
      <c r="I166" s="13"/>
      <c r="J166" s="13"/>
      <c r="K166" s="13"/>
      <c r="L166" s="13"/>
      <c r="M166" s="13"/>
      <c r="N166" s="13"/>
      <c r="O166" s="13"/>
      <c r="P166" s="13"/>
      <c r="Q166" s="13"/>
      <c r="R166" s="13"/>
      <c r="S166" s="13"/>
      <c r="T166" s="13"/>
      <c r="U166" s="13"/>
      <c r="V166" s="13"/>
    </row>
    <row r="167" spans="1:22" x14ac:dyDescent="0.35">
      <c r="A167" s="13"/>
      <c r="B167" s="13"/>
      <c r="C167" s="13"/>
      <c r="D167" s="13"/>
      <c r="E167" s="13"/>
      <c r="F167" s="13"/>
      <c r="G167" s="13"/>
      <c r="H167" s="13"/>
      <c r="I167" s="13"/>
      <c r="J167" s="13"/>
      <c r="K167" s="13"/>
      <c r="L167" s="13"/>
      <c r="M167" s="13"/>
      <c r="N167" s="13"/>
      <c r="O167" s="13"/>
      <c r="P167" s="13"/>
      <c r="Q167" s="13"/>
      <c r="R167" s="13"/>
      <c r="S167" s="13"/>
      <c r="T167" s="13"/>
      <c r="U167" s="13"/>
      <c r="V167" s="13"/>
    </row>
    <row r="168" spans="1:22" x14ac:dyDescent="0.35">
      <c r="A168" s="13"/>
      <c r="B168" s="13"/>
      <c r="C168" s="13"/>
      <c r="D168" s="13"/>
      <c r="E168" s="13"/>
      <c r="F168" s="13"/>
      <c r="G168" s="13"/>
      <c r="H168" s="13"/>
      <c r="I168" s="13"/>
      <c r="J168" s="13"/>
      <c r="K168" s="13"/>
      <c r="L168" s="13"/>
      <c r="M168" s="13"/>
      <c r="N168" s="13"/>
      <c r="O168" s="13"/>
      <c r="P168" s="13"/>
      <c r="Q168" s="13"/>
      <c r="R168" s="13"/>
      <c r="S168" s="13"/>
      <c r="T168" s="13"/>
      <c r="U168" s="13"/>
      <c r="V168" s="13"/>
    </row>
    <row r="169" spans="1:22" x14ac:dyDescent="0.35">
      <c r="A169" s="13"/>
      <c r="B169" s="13"/>
      <c r="C169" s="13"/>
      <c r="D169" s="13"/>
      <c r="E169" s="13"/>
      <c r="F169" s="13"/>
      <c r="G169" s="13"/>
      <c r="H169" s="13"/>
      <c r="I169" s="13"/>
      <c r="J169" s="13"/>
      <c r="K169" s="13"/>
      <c r="L169" s="13"/>
      <c r="M169" s="13"/>
      <c r="N169" s="13"/>
      <c r="O169" s="13"/>
      <c r="P169" s="13"/>
      <c r="Q169" s="13"/>
      <c r="R169" s="13"/>
      <c r="S169" s="13"/>
      <c r="T169" s="13"/>
      <c r="U169" s="13"/>
      <c r="V169" s="13"/>
    </row>
    <row r="170" spans="1:22" x14ac:dyDescent="0.35">
      <c r="A170" s="13"/>
      <c r="B170" s="13"/>
      <c r="C170" s="13"/>
      <c r="D170" s="13"/>
      <c r="E170" s="13"/>
      <c r="F170" s="13"/>
      <c r="G170" s="13"/>
      <c r="H170" s="13"/>
      <c r="I170" s="13"/>
      <c r="J170" s="13"/>
      <c r="K170" s="13"/>
      <c r="L170" s="13"/>
      <c r="M170" s="13"/>
      <c r="N170" s="13"/>
      <c r="O170" s="13"/>
      <c r="P170" s="13"/>
      <c r="Q170" s="13"/>
      <c r="R170" s="13"/>
      <c r="S170" s="13"/>
      <c r="T170" s="13"/>
      <c r="U170" s="13"/>
      <c r="V170" s="13"/>
    </row>
    <row r="171" spans="1:22" x14ac:dyDescent="0.35">
      <c r="A171" s="13"/>
      <c r="B171" s="13"/>
      <c r="C171" s="13"/>
      <c r="D171" s="13"/>
      <c r="E171" s="13"/>
      <c r="F171" s="13"/>
      <c r="G171" s="13"/>
      <c r="H171" s="13"/>
      <c r="I171" s="13"/>
      <c r="J171" s="13"/>
      <c r="K171" s="13"/>
      <c r="L171" s="13"/>
      <c r="M171" s="13"/>
      <c r="N171" s="13"/>
      <c r="O171" s="13"/>
      <c r="P171" s="13"/>
      <c r="Q171" s="13"/>
      <c r="R171" s="13"/>
      <c r="S171" s="13"/>
      <c r="T171" s="13"/>
      <c r="U171" s="13"/>
      <c r="V171" s="13"/>
    </row>
    <row r="172" spans="1:22" x14ac:dyDescent="0.35">
      <c r="A172" s="13"/>
      <c r="B172" s="13"/>
      <c r="C172" s="13"/>
      <c r="D172" s="13"/>
      <c r="E172" s="13"/>
      <c r="F172" s="13"/>
      <c r="G172" s="13"/>
      <c r="H172" s="13"/>
      <c r="I172" s="13"/>
      <c r="J172" s="13"/>
      <c r="K172" s="13"/>
      <c r="L172" s="13"/>
      <c r="M172" s="13"/>
      <c r="N172" s="13"/>
      <c r="O172" s="13"/>
      <c r="P172" s="13"/>
      <c r="Q172" s="13"/>
      <c r="R172" s="13"/>
      <c r="S172" s="13"/>
      <c r="T172" s="13"/>
      <c r="U172" s="13"/>
      <c r="V172" s="13"/>
    </row>
    <row r="173" spans="1:22" x14ac:dyDescent="0.35">
      <c r="A173" s="13"/>
      <c r="B173" s="13"/>
      <c r="C173" s="13"/>
      <c r="D173" s="13"/>
      <c r="E173" s="13"/>
      <c r="F173" s="13"/>
      <c r="G173" s="13"/>
      <c r="H173" s="13"/>
      <c r="I173" s="13"/>
      <c r="J173" s="13"/>
      <c r="K173" s="13"/>
      <c r="L173" s="13"/>
      <c r="M173" s="13"/>
      <c r="N173" s="13"/>
      <c r="O173" s="13"/>
      <c r="P173" s="13"/>
      <c r="Q173" s="13"/>
      <c r="R173" s="13"/>
      <c r="S173" s="13"/>
      <c r="T173" s="13"/>
      <c r="U173" s="13"/>
      <c r="V173" s="13"/>
    </row>
    <row r="174" spans="1:22" x14ac:dyDescent="0.35">
      <c r="A174" s="13"/>
      <c r="B174" s="13"/>
      <c r="C174" s="13"/>
      <c r="D174" s="13"/>
      <c r="E174" s="13"/>
      <c r="F174" s="13"/>
      <c r="G174" s="13"/>
      <c r="H174" s="13"/>
      <c r="I174" s="13"/>
      <c r="J174" s="13"/>
      <c r="K174" s="13"/>
      <c r="L174" s="13"/>
      <c r="M174" s="13"/>
      <c r="N174" s="13"/>
      <c r="O174" s="13"/>
      <c r="P174" s="13"/>
      <c r="Q174" s="13"/>
      <c r="R174" s="13"/>
      <c r="S174" s="13"/>
      <c r="T174" s="13"/>
      <c r="U174" s="13"/>
      <c r="V174" s="13"/>
    </row>
    <row r="175" spans="1:22" x14ac:dyDescent="0.35">
      <c r="A175" s="13"/>
      <c r="B175" s="13"/>
      <c r="C175" s="13"/>
      <c r="D175" s="13"/>
      <c r="E175" s="13"/>
      <c r="F175" s="13"/>
      <c r="G175" s="13"/>
      <c r="H175" s="13"/>
      <c r="I175" s="13"/>
      <c r="J175" s="13"/>
      <c r="K175" s="13"/>
      <c r="L175" s="13"/>
      <c r="M175" s="13"/>
      <c r="N175" s="13"/>
      <c r="O175" s="13"/>
      <c r="P175" s="13"/>
      <c r="Q175" s="13"/>
      <c r="R175" s="13"/>
      <c r="S175" s="13"/>
      <c r="T175" s="13"/>
      <c r="U175" s="13"/>
      <c r="V175" s="13"/>
    </row>
    <row r="176" spans="1:22" x14ac:dyDescent="0.35">
      <c r="A176" s="13"/>
      <c r="B176" s="13"/>
      <c r="C176" s="13"/>
      <c r="D176" s="13"/>
      <c r="E176" s="13"/>
      <c r="F176" s="13"/>
      <c r="G176" s="13"/>
      <c r="H176" s="13"/>
      <c r="I176" s="13"/>
      <c r="J176" s="13"/>
      <c r="K176" s="13"/>
      <c r="L176" s="13"/>
      <c r="M176" s="13"/>
      <c r="N176" s="13"/>
      <c r="O176" s="13"/>
      <c r="P176" s="13"/>
      <c r="Q176" s="13"/>
      <c r="R176" s="13"/>
      <c r="S176" s="13"/>
      <c r="T176" s="13"/>
      <c r="U176" s="13"/>
      <c r="V176" s="13"/>
    </row>
    <row r="177" spans="1:22" x14ac:dyDescent="0.35">
      <c r="A177" s="13"/>
      <c r="B177" s="13"/>
      <c r="C177" s="13"/>
      <c r="D177" s="13"/>
      <c r="E177" s="13"/>
      <c r="F177" s="13"/>
      <c r="G177" s="13"/>
      <c r="H177" s="13"/>
      <c r="I177" s="13"/>
      <c r="J177" s="13"/>
      <c r="K177" s="13"/>
      <c r="L177" s="13"/>
      <c r="M177" s="13"/>
      <c r="N177" s="13"/>
      <c r="O177" s="13"/>
      <c r="P177" s="13"/>
      <c r="Q177" s="13"/>
      <c r="R177" s="13"/>
      <c r="S177" s="13"/>
      <c r="T177" s="13"/>
      <c r="U177" s="13"/>
      <c r="V177" s="13"/>
    </row>
    <row r="178" spans="1:22" x14ac:dyDescent="0.35">
      <c r="A178" s="13"/>
      <c r="B178" s="13"/>
      <c r="C178" s="13"/>
      <c r="D178" s="13"/>
      <c r="E178" s="13"/>
      <c r="F178" s="13"/>
      <c r="G178" s="13"/>
      <c r="H178" s="13"/>
      <c r="I178" s="13"/>
      <c r="J178" s="13"/>
      <c r="K178" s="13"/>
      <c r="L178" s="13"/>
      <c r="M178" s="13"/>
      <c r="N178" s="13"/>
      <c r="O178" s="13"/>
      <c r="P178" s="13"/>
      <c r="Q178" s="13"/>
      <c r="R178" s="13"/>
      <c r="S178" s="13"/>
      <c r="T178" s="13"/>
      <c r="U178" s="13"/>
      <c r="V178" s="13"/>
    </row>
    <row r="179" spans="1:22" x14ac:dyDescent="0.35">
      <c r="A179" s="13"/>
      <c r="B179" s="13"/>
      <c r="C179" s="13"/>
      <c r="D179" s="13"/>
      <c r="E179" s="13"/>
      <c r="F179" s="13"/>
      <c r="G179" s="13"/>
      <c r="H179" s="13"/>
      <c r="I179" s="13"/>
      <c r="J179" s="13"/>
      <c r="K179" s="13"/>
      <c r="L179" s="13"/>
      <c r="M179" s="13"/>
      <c r="N179" s="13"/>
      <c r="O179" s="13"/>
      <c r="P179" s="13"/>
      <c r="Q179" s="13"/>
      <c r="R179" s="13"/>
      <c r="S179" s="13"/>
      <c r="T179" s="13"/>
      <c r="U179" s="13"/>
      <c r="V179" s="13"/>
    </row>
    <row r="180" spans="1:22" x14ac:dyDescent="0.35">
      <c r="A180" s="13"/>
      <c r="B180" s="13"/>
      <c r="C180" s="13"/>
      <c r="D180" s="13"/>
      <c r="E180" s="13"/>
      <c r="F180" s="13"/>
      <c r="G180" s="13"/>
      <c r="H180" s="13"/>
      <c r="I180" s="13"/>
      <c r="J180" s="13"/>
      <c r="K180" s="13"/>
      <c r="L180" s="13"/>
      <c r="M180" s="13"/>
      <c r="N180" s="13"/>
      <c r="O180" s="13"/>
      <c r="P180" s="13"/>
      <c r="Q180" s="13"/>
      <c r="R180" s="13"/>
      <c r="S180" s="13"/>
      <c r="T180" s="13"/>
      <c r="U180" s="13"/>
      <c r="V180" s="13"/>
    </row>
    <row r="181" spans="1:22" x14ac:dyDescent="0.35">
      <c r="A181" s="13"/>
      <c r="B181" s="13"/>
      <c r="C181" s="13"/>
      <c r="D181" s="13"/>
      <c r="E181" s="13"/>
      <c r="F181" s="13"/>
      <c r="G181" s="13"/>
      <c r="H181" s="13"/>
      <c r="I181" s="13"/>
      <c r="J181" s="13"/>
      <c r="K181" s="13"/>
      <c r="L181" s="13"/>
      <c r="M181" s="13"/>
      <c r="N181" s="13"/>
      <c r="O181" s="13"/>
      <c r="P181" s="13"/>
      <c r="Q181" s="13"/>
      <c r="R181" s="13"/>
      <c r="S181" s="13"/>
      <c r="T181" s="13"/>
      <c r="U181" s="13"/>
      <c r="V181" s="13"/>
    </row>
    <row r="182" spans="1:22" ht="15.5" x14ac:dyDescent="0.35">
      <c r="A182" s="13"/>
      <c r="B182" s="13"/>
      <c r="C182" s="13"/>
      <c r="D182" s="13"/>
      <c r="E182" s="13"/>
      <c r="F182" s="13"/>
      <c r="G182" s="13"/>
      <c r="H182" s="14"/>
      <c r="I182" s="14"/>
      <c r="J182" s="14"/>
      <c r="K182" s="14"/>
      <c r="L182" s="14"/>
      <c r="M182" s="14"/>
      <c r="N182" s="14"/>
      <c r="O182" s="14"/>
      <c r="P182" s="14"/>
      <c r="Q182" s="13"/>
      <c r="R182" s="13"/>
      <c r="S182" s="13"/>
      <c r="T182" s="13"/>
      <c r="U182" s="13"/>
      <c r="V182" s="13"/>
    </row>
    <row r="183" spans="1:22" x14ac:dyDescent="0.35">
      <c r="A183" s="13"/>
      <c r="B183" s="13"/>
      <c r="C183" s="13"/>
      <c r="D183" s="13"/>
      <c r="E183" s="49"/>
      <c r="F183" s="13"/>
      <c r="G183" s="49"/>
      <c r="H183" s="13"/>
      <c r="I183" s="13"/>
      <c r="J183" s="13"/>
      <c r="K183" s="13"/>
      <c r="L183" s="13"/>
      <c r="M183" s="13"/>
      <c r="N183" s="13"/>
      <c r="O183" s="13"/>
      <c r="P183" s="13"/>
      <c r="Q183" s="13"/>
      <c r="R183" s="13"/>
      <c r="S183" s="13"/>
      <c r="T183" s="13"/>
      <c r="U183" s="13"/>
      <c r="V183" s="13"/>
    </row>
    <row r="184" spans="1:22" x14ac:dyDescent="0.35">
      <c r="A184" s="13"/>
      <c r="B184" s="13"/>
      <c r="C184" s="13"/>
      <c r="D184" s="13"/>
      <c r="E184" s="49"/>
      <c r="F184" s="13"/>
      <c r="G184" s="49"/>
      <c r="H184" s="13"/>
      <c r="I184" s="13"/>
      <c r="J184" s="13"/>
      <c r="K184" s="13"/>
      <c r="L184" s="13"/>
      <c r="M184" s="13"/>
      <c r="N184" s="13"/>
      <c r="O184" s="13"/>
      <c r="P184" s="13"/>
      <c r="Q184" s="13"/>
      <c r="R184" s="13"/>
      <c r="S184" s="13"/>
      <c r="T184" s="13"/>
      <c r="U184" s="13"/>
      <c r="V184" s="13"/>
    </row>
    <row r="185" spans="1:22" x14ac:dyDescent="0.35">
      <c r="A185" s="13"/>
      <c r="B185" s="13"/>
      <c r="C185" s="13"/>
      <c r="D185" s="13"/>
      <c r="E185" s="49"/>
      <c r="F185" s="13"/>
      <c r="G185" s="49"/>
      <c r="H185" s="13"/>
      <c r="I185" s="13"/>
      <c r="J185" s="13"/>
      <c r="K185" s="13"/>
      <c r="L185" s="13"/>
      <c r="M185" s="13"/>
      <c r="N185" s="13"/>
      <c r="O185" s="13"/>
      <c r="P185" s="13"/>
      <c r="Q185" s="13"/>
      <c r="R185" s="13"/>
      <c r="S185" s="13"/>
      <c r="T185" s="13"/>
      <c r="U185" s="13"/>
      <c r="V185" s="13"/>
    </row>
    <row r="186" spans="1:22" x14ac:dyDescent="0.35">
      <c r="A186" s="13"/>
      <c r="B186" s="13"/>
      <c r="C186" s="13"/>
      <c r="D186" s="13"/>
      <c r="E186" s="49"/>
      <c r="F186" s="13"/>
      <c r="G186" s="49"/>
      <c r="H186" s="13"/>
      <c r="I186" s="13"/>
      <c r="J186" s="13"/>
      <c r="K186" s="13"/>
      <c r="L186" s="13"/>
      <c r="M186" s="13"/>
      <c r="N186" s="13"/>
      <c r="O186" s="13"/>
      <c r="P186" s="13"/>
      <c r="Q186" s="13"/>
      <c r="R186" s="13"/>
      <c r="S186" s="13"/>
      <c r="T186" s="13"/>
      <c r="U186" s="13"/>
      <c r="V186" s="13"/>
    </row>
    <row r="187" spans="1:22" x14ac:dyDescent="0.35">
      <c r="A187" s="13"/>
      <c r="B187" s="13"/>
      <c r="C187" s="13"/>
      <c r="D187" s="13"/>
      <c r="E187" s="49"/>
      <c r="F187" s="13"/>
      <c r="G187" s="49"/>
      <c r="H187" s="13"/>
      <c r="I187" s="13"/>
      <c r="J187" s="13"/>
      <c r="K187" s="13"/>
      <c r="L187" s="13"/>
      <c r="M187" s="13"/>
      <c r="N187" s="13"/>
      <c r="O187" s="13"/>
      <c r="P187" s="13"/>
      <c r="Q187" s="13"/>
      <c r="R187" s="13"/>
      <c r="S187" s="13"/>
      <c r="T187" s="13"/>
      <c r="U187" s="13"/>
      <c r="V187" s="13"/>
    </row>
    <row r="188" spans="1:22" x14ac:dyDescent="0.35">
      <c r="A188" s="13"/>
      <c r="B188" s="13"/>
      <c r="C188" s="13"/>
      <c r="D188" s="13"/>
      <c r="E188" s="49"/>
      <c r="F188" s="13"/>
      <c r="G188" s="49"/>
      <c r="H188" s="13"/>
      <c r="I188" s="13"/>
      <c r="J188" s="13"/>
      <c r="K188" s="13"/>
      <c r="L188" s="13"/>
      <c r="M188" s="13"/>
      <c r="N188" s="13"/>
      <c r="O188" s="13"/>
      <c r="P188" s="13"/>
      <c r="Q188" s="13"/>
      <c r="R188" s="13"/>
      <c r="S188" s="13"/>
      <c r="T188" s="13"/>
      <c r="U188" s="13"/>
      <c r="V188" s="13"/>
    </row>
    <row r="189" spans="1:22" x14ac:dyDescent="0.35">
      <c r="A189" s="13"/>
      <c r="B189" s="13"/>
      <c r="C189" s="13"/>
      <c r="D189" s="13"/>
      <c r="E189" s="49"/>
      <c r="F189" s="13"/>
      <c r="G189" s="49"/>
      <c r="H189" s="13"/>
      <c r="I189" s="13"/>
      <c r="J189" s="13"/>
      <c r="K189" s="13"/>
      <c r="L189" s="13"/>
      <c r="M189" s="13"/>
      <c r="N189" s="13"/>
      <c r="O189" s="13"/>
      <c r="P189" s="13"/>
      <c r="Q189" s="13"/>
      <c r="R189" s="13"/>
      <c r="S189" s="13"/>
      <c r="T189" s="13"/>
      <c r="U189" s="13"/>
      <c r="V189" s="13"/>
    </row>
    <row r="190" spans="1:22" x14ac:dyDescent="0.35">
      <c r="A190" s="13"/>
      <c r="B190" s="13"/>
      <c r="C190" s="13"/>
      <c r="D190" s="13"/>
      <c r="E190" s="49"/>
      <c r="F190" s="13"/>
      <c r="G190" s="49"/>
      <c r="H190" s="13"/>
      <c r="I190" s="13"/>
      <c r="J190" s="13"/>
      <c r="K190" s="13"/>
      <c r="L190" s="13"/>
      <c r="M190" s="13"/>
      <c r="N190" s="13"/>
      <c r="O190" s="13"/>
      <c r="P190" s="13"/>
      <c r="Q190" s="13"/>
      <c r="R190" s="13"/>
      <c r="S190" s="13"/>
      <c r="T190" s="13"/>
      <c r="U190" s="13"/>
      <c r="V190" s="13"/>
    </row>
    <row r="191" spans="1:22" x14ac:dyDescent="0.35">
      <c r="A191" s="13"/>
      <c r="B191" s="13"/>
      <c r="C191" s="13"/>
      <c r="D191" s="13"/>
      <c r="E191" s="49"/>
      <c r="F191" s="13"/>
      <c r="G191" s="49"/>
      <c r="H191" s="13"/>
      <c r="I191" s="13"/>
      <c r="J191" s="13"/>
      <c r="K191" s="13"/>
      <c r="L191" s="13"/>
      <c r="M191" s="13"/>
      <c r="N191" s="13"/>
      <c r="O191" s="13"/>
      <c r="P191" s="13"/>
      <c r="Q191" s="13"/>
      <c r="R191" s="13"/>
      <c r="S191" s="13"/>
      <c r="T191" s="13"/>
      <c r="U191" s="13"/>
      <c r="V191" s="13"/>
    </row>
    <row r="192" spans="1:22" x14ac:dyDescent="0.35">
      <c r="A192" s="13"/>
      <c r="B192" s="13"/>
      <c r="C192" s="13"/>
      <c r="D192" s="13"/>
      <c r="E192" s="49"/>
      <c r="F192" s="13"/>
      <c r="G192" s="49"/>
      <c r="H192" s="13"/>
      <c r="I192" s="13"/>
      <c r="J192" s="13"/>
      <c r="K192" s="13"/>
      <c r="L192" s="13"/>
      <c r="M192" s="13"/>
      <c r="N192" s="13"/>
      <c r="O192" s="13"/>
      <c r="P192" s="13"/>
      <c r="Q192" s="13"/>
      <c r="R192" s="13"/>
      <c r="S192" s="13"/>
      <c r="T192" s="13"/>
      <c r="U192" s="13"/>
      <c r="V192" s="13"/>
    </row>
    <row r="193" spans="1:22" x14ac:dyDescent="0.35">
      <c r="A193" s="13"/>
      <c r="B193" s="13"/>
      <c r="C193" s="13"/>
      <c r="D193" s="13"/>
      <c r="E193" s="49"/>
      <c r="F193" s="13"/>
      <c r="G193" s="49"/>
      <c r="H193" s="13"/>
      <c r="I193" s="13"/>
      <c r="J193" s="13"/>
      <c r="K193" s="13"/>
      <c r="L193" s="13"/>
      <c r="M193" s="13"/>
      <c r="N193" s="13"/>
      <c r="O193" s="13"/>
      <c r="P193" s="13"/>
      <c r="Q193" s="13"/>
      <c r="R193" s="13"/>
      <c r="S193" s="13"/>
      <c r="T193" s="13"/>
      <c r="U193" s="13"/>
      <c r="V193" s="13"/>
    </row>
    <row r="194" spans="1:22" x14ac:dyDescent="0.35">
      <c r="A194" s="13"/>
      <c r="B194" s="13"/>
      <c r="C194" s="13"/>
      <c r="D194" s="13"/>
      <c r="E194" s="49"/>
      <c r="F194" s="13"/>
      <c r="G194" s="49"/>
      <c r="H194" s="13"/>
      <c r="I194" s="13"/>
      <c r="J194" s="13"/>
      <c r="K194" s="13"/>
      <c r="L194" s="13"/>
      <c r="M194" s="13"/>
      <c r="N194" s="13"/>
      <c r="O194" s="13"/>
      <c r="P194" s="13"/>
      <c r="Q194" s="13"/>
      <c r="R194" s="13"/>
      <c r="S194" s="13"/>
      <c r="T194" s="13"/>
      <c r="U194" s="13"/>
      <c r="V194" s="13"/>
    </row>
    <row r="195" spans="1:22" x14ac:dyDescent="0.35">
      <c r="A195" s="13"/>
      <c r="B195" s="13"/>
      <c r="C195" s="13"/>
      <c r="D195" s="13"/>
      <c r="E195" s="13"/>
      <c r="F195" s="13"/>
      <c r="G195" s="49"/>
      <c r="H195" s="13"/>
      <c r="I195" s="13"/>
      <c r="J195" s="13"/>
      <c r="K195" s="13"/>
      <c r="L195" s="13"/>
      <c r="M195" s="13"/>
      <c r="N195" s="13"/>
      <c r="O195" s="13"/>
      <c r="P195" s="13"/>
      <c r="Q195" s="13"/>
      <c r="R195" s="13"/>
      <c r="S195" s="13"/>
      <c r="T195" s="13"/>
      <c r="U195" s="13"/>
      <c r="V195" s="13"/>
    </row>
    <row r="196" spans="1:22" x14ac:dyDescent="0.35">
      <c r="A196" s="13"/>
      <c r="B196" s="13"/>
      <c r="C196" s="13"/>
      <c r="D196" s="13"/>
      <c r="E196" s="13"/>
      <c r="F196" s="13"/>
      <c r="G196" s="13"/>
      <c r="H196" s="13"/>
      <c r="I196" s="13"/>
      <c r="J196" s="13"/>
      <c r="K196" s="13"/>
      <c r="L196" s="13"/>
      <c r="M196" s="13"/>
      <c r="N196" s="13"/>
      <c r="O196" s="13"/>
      <c r="P196" s="13"/>
      <c r="Q196" s="13"/>
      <c r="R196" s="13"/>
      <c r="S196" s="13"/>
      <c r="T196" s="13"/>
      <c r="U196" s="13"/>
      <c r="V196" s="13"/>
    </row>
    <row r="197" spans="1:22" x14ac:dyDescent="0.35">
      <c r="A197" s="13"/>
      <c r="B197" s="13"/>
      <c r="C197" s="13"/>
      <c r="D197" s="13"/>
      <c r="E197" s="13"/>
      <c r="F197" s="13"/>
      <c r="G197" s="13"/>
      <c r="H197" s="13"/>
      <c r="I197" s="13"/>
      <c r="J197" s="13"/>
      <c r="K197" s="13"/>
      <c r="L197" s="13"/>
      <c r="M197" s="13"/>
      <c r="N197" s="13"/>
      <c r="O197" s="13"/>
      <c r="P197" s="13"/>
      <c r="Q197" s="13"/>
      <c r="R197" s="13"/>
      <c r="S197" s="13"/>
      <c r="T197" s="13"/>
      <c r="U197" s="13"/>
      <c r="V197" s="13"/>
    </row>
  </sheetData>
  <pageMargins left="0.7" right="0.7" top="0.75" bottom="0.75" header="0.3" footer="0.3"/>
  <pageSetup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101"/>
  <sheetViews>
    <sheetView topLeftCell="N10" workbookViewId="0">
      <selection activeCell="AB46" sqref="AB46"/>
    </sheetView>
  </sheetViews>
  <sheetFormatPr defaultRowHeight="14.5" x14ac:dyDescent="0.35"/>
  <cols>
    <col min="11" max="11" width="9.54296875" customWidth="1"/>
  </cols>
  <sheetData>
    <row r="4" spans="2:34" ht="18.5" x14ac:dyDescent="0.45">
      <c r="B4" s="2"/>
      <c r="C4" s="1" t="s">
        <v>369</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367</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7.9175399999999998</v>
      </c>
      <c r="G7" s="2">
        <v>11.75332</v>
      </c>
      <c r="H7" s="2">
        <f t="shared" ref="H7:H17" si="0">G7-F7</f>
        <v>3.8357800000000006</v>
      </c>
      <c r="I7" s="2">
        <f t="shared" ref="I7:I16" si="1">F8-G7</f>
        <v>6.0691599999999983</v>
      </c>
      <c r="J7" s="2">
        <f t="shared" ref="J7:J16" si="2">H7/N7</f>
        <v>0.38725928678013199</v>
      </c>
      <c r="K7" s="2">
        <f t="shared" ref="K7:K16" si="3">I7/N7</f>
        <v>0.61274071321986789</v>
      </c>
      <c r="L7" s="2">
        <f t="shared" ref="L7:L16" si="4">1/H7</f>
        <v>0.26070316858631093</v>
      </c>
      <c r="M7" s="2">
        <f t="shared" ref="M7:M16" si="5">1/N7</f>
        <v>0.10095972312805529</v>
      </c>
      <c r="N7" s="2">
        <f t="shared" ref="N7:N16" si="6">H7+I7</f>
        <v>9.9049399999999999</v>
      </c>
      <c r="O7" s="2">
        <v>25</v>
      </c>
      <c r="P7">
        <f t="shared" ref="P7:P17" si="7">O7/H7</f>
        <v>6.5175792146577738</v>
      </c>
      <c r="X7" s="2">
        <v>1.52346</v>
      </c>
      <c r="Y7" s="2">
        <v>4.5115600000000002</v>
      </c>
      <c r="Z7" s="2">
        <f t="shared" ref="Z7:Z15" si="8">Y7-X7</f>
        <v>2.9881000000000002</v>
      </c>
      <c r="AA7" s="2">
        <f t="shared" ref="AA7:AA14" si="9">X8-Y7</f>
        <v>10.58268</v>
      </c>
      <c r="AB7" s="2">
        <f t="shared" ref="AB7:AB14" si="10">Z7/AF7</f>
        <v>0.22018631206165012</v>
      </c>
      <c r="AC7" s="2">
        <f t="shared" ref="AC7:AC14" si="11">AA7/AF7</f>
        <v>0.77981368793834993</v>
      </c>
      <c r="AD7" s="2">
        <f t="shared" ref="AD7:AD14" si="12">1/Z7</f>
        <v>0.33466082125765534</v>
      </c>
      <c r="AE7" s="2">
        <f t="shared" ref="AE7:AE14" si="13">1/AF7</f>
        <v>7.3687732024246222E-2</v>
      </c>
      <c r="AF7" s="2">
        <f t="shared" ref="AF7:AF14" si="14">Z7+AA7</f>
        <v>13.570779999999999</v>
      </c>
      <c r="AG7" s="2">
        <v>14</v>
      </c>
      <c r="AH7">
        <f t="shared" ref="AH7:AH15" si="15">AG7/Z7</f>
        <v>4.6852514976071751</v>
      </c>
    </row>
    <row r="8" spans="2:34" x14ac:dyDescent="0.35">
      <c r="B8" s="2"/>
      <c r="C8" s="2"/>
      <c r="D8" s="2"/>
      <c r="E8" s="2"/>
      <c r="F8" s="2">
        <v>17.822479999999999</v>
      </c>
      <c r="G8" s="2">
        <v>21.776409999999998</v>
      </c>
      <c r="H8" s="2">
        <f t="shared" si="0"/>
        <v>3.9539299999999997</v>
      </c>
      <c r="I8" s="2">
        <f t="shared" si="1"/>
        <v>5.9145200000000031</v>
      </c>
      <c r="J8" s="2">
        <f t="shared" si="2"/>
        <v>0.40066373138638778</v>
      </c>
      <c r="K8" s="2">
        <f t="shared" si="3"/>
        <v>0.59933626861361222</v>
      </c>
      <c r="L8" s="2">
        <f t="shared" si="4"/>
        <v>0.2529129246091863</v>
      </c>
      <c r="M8" s="2">
        <f t="shared" si="5"/>
        <v>0.10133303608976077</v>
      </c>
      <c r="N8" s="2">
        <f t="shared" si="6"/>
        <v>9.8684500000000028</v>
      </c>
      <c r="O8" s="2">
        <v>25</v>
      </c>
      <c r="P8">
        <f t="shared" si="7"/>
        <v>6.3228231152296583</v>
      </c>
      <c r="X8" s="2">
        <v>15.094239999999999</v>
      </c>
      <c r="Y8" s="2">
        <v>19.827729999999999</v>
      </c>
      <c r="Z8" s="2">
        <f t="shared" si="8"/>
        <v>4.7334899999999998</v>
      </c>
      <c r="AA8" s="2">
        <f t="shared" si="9"/>
        <v>8.9942200000000021</v>
      </c>
      <c r="AB8" s="2">
        <f t="shared" si="10"/>
        <v>0.3448127910627482</v>
      </c>
      <c r="AC8" s="2">
        <f t="shared" si="11"/>
        <v>0.6551872089372518</v>
      </c>
      <c r="AD8" s="2">
        <f t="shared" si="12"/>
        <v>0.2112606132050559</v>
      </c>
      <c r="AE8" s="2">
        <f t="shared" si="13"/>
        <v>7.2845361680863002E-2</v>
      </c>
      <c r="AF8" s="2">
        <f t="shared" si="14"/>
        <v>13.727710000000002</v>
      </c>
      <c r="AG8" s="2">
        <v>20</v>
      </c>
      <c r="AH8">
        <f t="shared" si="15"/>
        <v>4.2252122641011178</v>
      </c>
    </row>
    <row r="9" spans="2:34" x14ac:dyDescent="0.35">
      <c r="B9" s="2"/>
      <c r="C9" s="2"/>
      <c r="D9" s="2"/>
      <c r="E9" s="2"/>
      <c r="F9" s="13">
        <v>27.690930000000002</v>
      </c>
      <c r="G9" s="13">
        <v>32.091160000000002</v>
      </c>
      <c r="H9" s="2">
        <f t="shared" si="0"/>
        <v>4.4002300000000005</v>
      </c>
      <c r="I9" s="2">
        <f t="shared" si="1"/>
        <v>6.3545599999999993</v>
      </c>
      <c r="J9" s="2">
        <f t="shared" si="2"/>
        <v>0.40914141512758506</v>
      </c>
      <c r="K9" s="2">
        <f t="shared" si="3"/>
        <v>0.59085858487241494</v>
      </c>
      <c r="L9" s="2">
        <f t="shared" si="4"/>
        <v>0.22726084772841418</v>
      </c>
      <c r="M9" s="2">
        <f t="shared" si="5"/>
        <v>9.2981824842697999E-2</v>
      </c>
      <c r="N9" s="2">
        <f t="shared" si="6"/>
        <v>10.75479</v>
      </c>
      <c r="O9" s="13">
        <v>26</v>
      </c>
      <c r="P9">
        <f t="shared" si="7"/>
        <v>5.9087820409387684</v>
      </c>
      <c r="X9" s="13">
        <v>28.821950000000001</v>
      </c>
      <c r="Y9" s="13">
        <v>32.86318</v>
      </c>
      <c r="Z9" s="2">
        <f t="shared" si="8"/>
        <v>4.0412299999999988</v>
      </c>
      <c r="AA9" s="2">
        <f t="shared" si="9"/>
        <v>9.8638199999999969</v>
      </c>
      <c r="AB9" s="2">
        <f t="shared" si="10"/>
        <v>0.29063038248693818</v>
      </c>
      <c r="AC9" s="2">
        <f t="shared" si="11"/>
        <v>0.70936961751306182</v>
      </c>
      <c r="AD9" s="2">
        <f t="shared" si="12"/>
        <v>0.24744941515330737</v>
      </c>
      <c r="AE9" s="2">
        <f t="shared" si="13"/>
        <v>7.1916318172174878E-2</v>
      </c>
      <c r="AF9" s="2">
        <f t="shared" si="14"/>
        <v>13.905049999999996</v>
      </c>
      <c r="AG9" s="13">
        <v>19</v>
      </c>
      <c r="AH9">
        <f t="shared" si="15"/>
        <v>4.7015388879128395</v>
      </c>
    </row>
    <row r="10" spans="2:34" x14ac:dyDescent="0.35">
      <c r="B10" s="2"/>
      <c r="C10" s="2"/>
      <c r="D10" s="2"/>
      <c r="E10" s="2"/>
      <c r="F10" s="13">
        <v>38.445720000000001</v>
      </c>
      <c r="G10" s="13">
        <v>42.087539999999997</v>
      </c>
      <c r="H10" s="2">
        <f t="shared" si="0"/>
        <v>3.6418199999999956</v>
      </c>
      <c r="I10" s="2">
        <f t="shared" si="1"/>
        <v>7.980400000000003</v>
      </c>
      <c r="J10" s="2">
        <f t="shared" si="2"/>
        <v>0.31334977310703083</v>
      </c>
      <c r="K10" s="2">
        <f t="shared" si="3"/>
        <v>0.68665022689296917</v>
      </c>
      <c r="L10" s="2">
        <f t="shared" si="4"/>
        <v>0.27458798073490759</v>
      </c>
      <c r="M10" s="2">
        <f t="shared" si="5"/>
        <v>8.6042081461201056E-2</v>
      </c>
      <c r="N10" s="2">
        <f t="shared" si="6"/>
        <v>11.622219999999999</v>
      </c>
      <c r="O10" s="13">
        <v>22</v>
      </c>
      <c r="P10">
        <f t="shared" si="7"/>
        <v>6.0409355761679668</v>
      </c>
      <c r="X10" s="13">
        <v>42.726999999999997</v>
      </c>
      <c r="Y10" s="13">
        <v>47.490569999999998</v>
      </c>
      <c r="Z10" s="2">
        <f t="shared" si="8"/>
        <v>4.7635700000000014</v>
      </c>
      <c r="AA10" s="2">
        <f t="shared" si="9"/>
        <v>8.8809299999999993</v>
      </c>
      <c r="AB10" s="2">
        <f t="shared" si="10"/>
        <v>0.34912015830554444</v>
      </c>
      <c r="AC10" s="2">
        <f t="shared" si="11"/>
        <v>0.65087984169445556</v>
      </c>
      <c r="AD10" s="2">
        <f t="shared" si="12"/>
        <v>0.20992658867194136</v>
      </c>
      <c r="AE10" s="2">
        <f t="shared" si="13"/>
        <v>7.3289603869691078E-2</v>
      </c>
      <c r="AF10" s="2">
        <f t="shared" si="14"/>
        <v>13.644500000000001</v>
      </c>
      <c r="AG10" s="13">
        <v>21</v>
      </c>
      <c r="AH10">
        <f t="shared" si="15"/>
        <v>4.4084583621107685</v>
      </c>
    </row>
    <row r="11" spans="2:34" x14ac:dyDescent="0.35">
      <c r="B11" s="2"/>
      <c r="C11" s="2"/>
      <c r="D11" s="2"/>
      <c r="E11" s="2"/>
      <c r="F11" s="13">
        <v>50.06794</v>
      </c>
      <c r="G11" s="13">
        <v>53.79804</v>
      </c>
      <c r="H11" s="2">
        <f t="shared" si="0"/>
        <v>3.7301000000000002</v>
      </c>
      <c r="I11" s="2">
        <f t="shared" si="1"/>
        <v>6.7050199999999975</v>
      </c>
      <c r="J11" s="2">
        <f t="shared" si="2"/>
        <v>0.35745635891106198</v>
      </c>
      <c r="K11" s="2">
        <f t="shared" si="3"/>
        <v>0.64254364108893802</v>
      </c>
      <c r="L11" s="2">
        <f t="shared" si="4"/>
        <v>0.26808932736387764</v>
      </c>
      <c r="M11" s="2">
        <f t="shared" si="5"/>
        <v>9.5830234822407434E-2</v>
      </c>
      <c r="N11" s="2">
        <f t="shared" si="6"/>
        <v>10.435119999999998</v>
      </c>
      <c r="O11" s="13">
        <v>25</v>
      </c>
      <c r="P11">
        <f t="shared" si="7"/>
        <v>6.7022331840969409</v>
      </c>
      <c r="X11" s="13">
        <v>56.371499999999997</v>
      </c>
      <c r="Y11" s="13">
        <v>60.314929999999997</v>
      </c>
      <c r="Z11" s="2">
        <f t="shared" si="8"/>
        <v>3.9434299999999993</v>
      </c>
      <c r="AA11" s="2">
        <f t="shared" si="9"/>
        <v>9.6178900000000098</v>
      </c>
      <c r="AB11" s="2">
        <f t="shared" si="10"/>
        <v>0.29078511531325835</v>
      </c>
      <c r="AC11" s="2">
        <f t="shared" si="11"/>
        <v>0.70921488468674165</v>
      </c>
      <c r="AD11" s="2">
        <f t="shared" si="12"/>
        <v>0.25358634488250081</v>
      </c>
      <c r="AE11" s="2">
        <f t="shared" si="13"/>
        <v>7.3739134538525694E-2</v>
      </c>
      <c r="AF11" s="2">
        <f t="shared" si="14"/>
        <v>13.561320000000009</v>
      </c>
      <c r="AG11" s="13">
        <v>20</v>
      </c>
      <c r="AH11">
        <f t="shared" si="15"/>
        <v>5.0717268976500165</v>
      </c>
    </row>
    <row r="12" spans="2:34" x14ac:dyDescent="0.35">
      <c r="B12" s="2"/>
      <c r="C12" s="2"/>
      <c r="D12" s="2"/>
      <c r="E12" s="2"/>
      <c r="F12" s="13">
        <v>60.503059999999998</v>
      </c>
      <c r="G12" s="13">
        <v>64.290199999999999</v>
      </c>
      <c r="H12" s="2">
        <f t="shared" si="0"/>
        <v>3.7871400000000008</v>
      </c>
      <c r="I12" s="2">
        <f t="shared" si="1"/>
        <v>6.7856000000000023</v>
      </c>
      <c r="J12" s="2">
        <f t="shared" si="2"/>
        <v>0.35819853699230281</v>
      </c>
      <c r="K12" s="2">
        <f t="shared" si="3"/>
        <v>0.64180146300769714</v>
      </c>
      <c r="L12" s="2">
        <f t="shared" si="4"/>
        <v>0.26405150060467786</v>
      </c>
      <c r="M12" s="2">
        <f t="shared" si="5"/>
        <v>9.4582861207217775E-2</v>
      </c>
      <c r="N12" s="2">
        <f t="shared" si="6"/>
        <v>10.572740000000003</v>
      </c>
      <c r="O12" s="13">
        <v>25</v>
      </c>
      <c r="P12">
        <f t="shared" si="7"/>
        <v>6.6012875151169466</v>
      </c>
      <c r="X12" s="13">
        <v>69.932820000000007</v>
      </c>
      <c r="Y12" s="13">
        <v>73.814340000000001</v>
      </c>
      <c r="Z12" s="2">
        <f t="shared" si="8"/>
        <v>3.8815199999999948</v>
      </c>
      <c r="AA12" s="2">
        <f t="shared" si="9"/>
        <v>10.581180000000003</v>
      </c>
      <c r="AB12" s="2">
        <f t="shared" si="10"/>
        <v>0.26838142255595393</v>
      </c>
      <c r="AC12" s="2">
        <f t="shared" si="11"/>
        <v>0.73161857744404601</v>
      </c>
      <c r="AD12" s="2">
        <f t="shared" si="12"/>
        <v>0.2576310311424394</v>
      </c>
      <c r="AE12" s="2">
        <f t="shared" si="13"/>
        <v>6.9143382632565156E-2</v>
      </c>
      <c r="AF12" s="2">
        <f t="shared" si="14"/>
        <v>14.462699999999998</v>
      </c>
      <c r="AG12" s="13">
        <v>19</v>
      </c>
      <c r="AH12">
        <f t="shared" si="15"/>
        <v>4.8949895917063486</v>
      </c>
    </row>
    <row r="13" spans="2:34" x14ac:dyDescent="0.35">
      <c r="B13" s="2"/>
      <c r="C13" s="2"/>
      <c r="D13" s="2"/>
      <c r="E13" s="2"/>
      <c r="F13" s="13">
        <v>71.075800000000001</v>
      </c>
      <c r="G13" s="13">
        <v>75.441869999999994</v>
      </c>
      <c r="H13" s="2">
        <f t="shared" si="0"/>
        <v>4.3660699999999935</v>
      </c>
      <c r="I13" s="2">
        <f t="shared" si="1"/>
        <v>5.1683000000000021</v>
      </c>
      <c r="J13" s="2">
        <f t="shared" si="2"/>
        <v>0.45792957479099256</v>
      </c>
      <c r="K13" s="2">
        <f t="shared" si="3"/>
        <v>0.5420704252090075</v>
      </c>
      <c r="L13" s="2">
        <f t="shared" si="4"/>
        <v>0.22903892974688941</v>
      </c>
      <c r="M13" s="2">
        <f t="shared" si="5"/>
        <v>0.10488369970957709</v>
      </c>
      <c r="N13" s="2">
        <f t="shared" si="6"/>
        <v>9.5343699999999956</v>
      </c>
      <c r="O13" s="13">
        <v>26</v>
      </c>
      <c r="P13">
        <f t="shared" si="7"/>
        <v>5.9550121734191253</v>
      </c>
      <c r="X13" s="13">
        <v>84.395520000000005</v>
      </c>
      <c r="Y13" s="13">
        <v>87.322869999999995</v>
      </c>
      <c r="Z13" s="2">
        <f t="shared" si="8"/>
        <v>2.9273499999999899</v>
      </c>
      <c r="AA13" s="2">
        <f t="shared" si="9"/>
        <v>10.631620000000012</v>
      </c>
      <c r="AB13" s="2">
        <f t="shared" si="10"/>
        <v>0.21589766774319799</v>
      </c>
      <c r="AC13" s="2">
        <f t="shared" si="11"/>
        <v>0.78410233225680204</v>
      </c>
      <c r="AD13" s="2">
        <f t="shared" si="12"/>
        <v>0.34160588928553248</v>
      </c>
      <c r="AE13" s="2">
        <f t="shared" si="13"/>
        <v>7.3751914784087574E-2</v>
      </c>
      <c r="AF13" s="2">
        <f t="shared" si="14"/>
        <v>13.558970000000002</v>
      </c>
      <c r="AG13" s="13">
        <v>15</v>
      </c>
      <c r="AH13">
        <f t="shared" si="15"/>
        <v>5.124088339282987</v>
      </c>
    </row>
    <row r="14" spans="2:34" x14ac:dyDescent="0.35">
      <c r="B14" s="2"/>
      <c r="C14" s="2"/>
      <c r="D14" s="2"/>
      <c r="E14" s="2"/>
      <c r="F14" s="13">
        <v>80.610169999999997</v>
      </c>
      <c r="G14" s="13">
        <v>85.96181</v>
      </c>
      <c r="H14" s="2">
        <f t="shared" si="0"/>
        <v>5.3516400000000033</v>
      </c>
      <c r="I14" s="2">
        <f t="shared" si="1"/>
        <v>6.1218400000000059</v>
      </c>
      <c r="J14" s="2">
        <f t="shared" si="2"/>
        <v>0.46643564114810843</v>
      </c>
      <c r="K14" s="2">
        <f t="shared" si="3"/>
        <v>0.53356435885189157</v>
      </c>
      <c r="L14" s="2">
        <f t="shared" si="4"/>
        <v>0.18685860782862812</v>
      </c>
      <c r="M14" s="2">
        <f t="shared" si="5"/>
        <v>8.7157514546589113E-2</v>
      </c>
      <c r="N14" s="2">
        <f t="shared" si="6"/>
        <v>11.473480000000009</v>
      </c>
      <c r="O14" s="13">
        <v>26</v>
      </c>
      <c r="P14">
        <f t="shared" si="7"/>
        <v>4.858323803544331</v>
      </c>
      <c r="X14" s="13">
        <v>97.954490000000007</v>
      </c>
      <c r="Y14" s="13">
        <v>101.97545</v>
      </c>
      <c r="Z14" s="2">
        <f t="shared" si="8"/>
        <v>4.0209599999999881</v>
      </c>
      <c r="AA14" s="2">
        <f t="shared" si="9"/>
        <v>8.867919999999998</v>
      </c>
      <c r="AB14" s="2">
        <f t="shared" si="10"/>
        <v>0.31197124963534401</v>
      </c>
      <c r="AC14" s="2">
        <f t="shared" si="11"/>
        <v>0.68802875036465605</v>
      </c>
      <c r="AD14" s="2">
        <f t="shared" si="12"/>
        <v>0.24869682861804221</v>
      </c>
      <c r="AE14" s="2">
        <f t="shared" si="13"/>
        <v>7.7586260404317597E-2</v>
      </c>
      <c r="AF14" s="2">
        <f t="shared" si="14"/>
        <v>12.888879999999986</v>
      </c>
      <c r="AG14" s="13">
        <v>18</v>
      </c>
      <c r="AH14">
        <f t="shared" si="15"/>
        <v>4.4765429151247593</v>
      </c>
    </row>
    <row r="15" spans="2:34" x14ac:dyDescent="0.35">
      <c r="B15" s="2"/>
      <c r="C15" s="2"/>
      <c r="D15" s="2"/>
      <c r="E15" s="2"/>
      <c r="F15" s="13">
        <v>92.083650000000006</v>
      </c>
      <c r="G15" s="13">
        <v>95.772310000000004</v>
      </c>
      <c r="H15" s="2">
        <f t="shared" si="0"/>
        <v>3.6886599999999987</v>
      </c>
      <c r="I15" s="2">
        <f t="shared" si="1"/>
        <v>7.7719799999999992</v>
      </c>
      <c r="J15" s="2">
        <f t="shared" si="2"/>
        <v>0.32185462591966935</v>
      </c>
      <c r="K15" s="2">
        <f t="shared" si="3"/>
        <v>0.6781453740803306</v>
      </c>
      <c r="L15" s="2">
        <f t="shared" si="4"/>
        <v>0.27110115868635232</v>
      </c>
      <c r="M15" s="2">
        <f t="shared" si="5"/>
        <v>8.7255162015384843E-2</v>
      </c>
      <c r="N15" s="2">
        <f t="shared" si="6"/>
        <v>11.460639999999998</v>
      </c>
      <c r="O15" s="13">
        <v>25</v>
      </c>
      <c r="P15">
        <f t="shared" si="7"/>
        <v>6.7775289671588084</v>
      </c>
      <c r="X15" s="13">
        <v>110.84336999999999</v>
      </c>
      <c r="Y15" s="13">
        <v>115.66201</v>
      </c>
      <c r="Z15" s="2">
        <f t="shared" si="8"/>
        <v>4.818640000000002</v>
      </c>
      <c r="AA15" s="2"/>
      <c r="AB15" s="2"/>
      <c r="AC15" s="2"/>
      <c r="AD15" s="2"/>
      <c r="AE15" s="2"/>
      <c r="AF15" s="2"/>
      <c r="AG15" s="13">
        <v>24</v>
      </c>
      <c r="AH15">
        <f t="shared" si="15"/>
        <v>4.9806584430461687</v>
      </c>
    </row>
    <row r="16" spans="2:34" x14ac:dyDescent="0.35">
      <c r="B16" s="2"/>
      <c r="C16" s="2"/>
      <c r="D16" s="2"/>
      <c r="E16" s="2"/>
      <c r="F16" s="13">
        <v>103.54429</v>
      </c>
      <c r="G16">
        <v>107.92468</v>
      </c>
      <c r="H16" s="2">
        <f t="shared" si="0"/>
        <v>4.3803899999999913</v>
      </c>
      <c r="I16" s="2">
        <f t="shared" si="1"/>
        <v>8.781880000000001</v>
      </c>
      <c r="J16" s="2">
        <f t="shared" si="2"/>
        <v>0.33279897768394007</v>
      </c>
      <c r="K16" s="2">
        <f t="shared" si="3"/>
        <v>0.66720102231605993</v>
      </c>
      <c r="L16" s="2">
        <f t="shared" si="4"/>
        <v>0.22829017507573571</v>
      </c>
      <c r="M16" s="2">
        <f t="shared" si="5"/>
        <v>7.5974736880492541E-2</v>
      </c>
      <c r="N16" s="2">
        <f t="shared" si="6"/>
        <v>13.162269999999992</v>
      </c>
      <c r="O16">
        <v>26</v>
      </c>
      <c r="P16">
        <f t="shared" si="7"/>
        <v>5.9355445519691283</v>
      </c>
      <c r="X16" s="13"/>
      <c r="Z16" s="2"/>
      <c r="AA16" s="2"/>
      <c r="AB16" s="2"/>
      <c r="AC16" s="2"/>
      <c r="AD16" s="2"/>
      <c r="AE16" s="2"/>
      <c r="AF16" s="2"/>
    </row>
    <row r="17" spans="2:34" x14ac:dyDescent="0.35">
      <c r="B17" s="2"/>
      <c r="C17" s="2"/>
      <c r="D17" s="2"/>
      <c r="E17" s="2"/>
      <c r="F17" s="13">
        <v>116.70656</v>
      </c>
      <c r="G17">
        <v>119.93008</v>
      </c>
      <c r="H17" s="2">
        <f t="shared" si="0"/>
        <v>3.2235200000000077</v>
      </c>
      <c r="I17" s="2"/>
      <c r="J17" s="2"/>
      <c r="K17" s="2"/>
      <c r="L17" s="2"/>
      <c r="M17" s="2"/>
      <c r="N17" s="2"/>
      <c r="O17">
        <v>20</v>
      </c>
      <c r="P17">
        <f t="shared" si="7"/>
        <v>6.2043976770734952</v>
      </c>
      <c r="X17" s="13"/>
      <c r="Z17" s="2"/>
      <c r="AA17" s="2"/>
      <c r="AB17" s="2"/>
      <c r="AC17" s="2"/>
      <c r="AD17" s="2"/>
      <c r="AE17" s="2"/>
      <c r="AF17" s="2"/>
    </row>
    <row r="18" spans="2:34" ht="16" thickBot="1" x14ac:dyDescent="0.4">
      <c r="B18" s="2"/>
      <c r="C18" s="2"/>
      <c r="D18" s="2"/>
      <c r="E18" s="2"/>
      <c r="F18" s="13"/>
      <c r="G18" s="13"/>
      <c r="H18" s="9" t="s">
        <v>3</v>
      </c>
      <c r="I18" s="9" t="s">
        <v>4</v>
      </c>
      <c r="J18" s="9" t="s">
        <v>5</v>
      </c>
      <c r="K18" s="9" t="s">
        <v>6</v>
      </c>
      <c r="L18" s="9" t="s">
        <v>7</v>
      </c>
      <c r="M18" s="9" t="s">
        <v>8</v>
      </c>
      <c r="N18" s="9" t="s">
        <v>9</v>
      </c>
      <c r="O18" s="9" t="s">
        <v>10</v>
      </c>
      <c r="P18" s="44" t="s">
        <v>139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c r="G19" s="49" t="s">
        <v>77</v>
      </c>
      <c r="H19" s="2">
        <f>AVERAGE(H7:H16)</f>
        <v>4.1135759999999983</v>
      </c>
      <c r="I19" s="2">
        <f t="shared" ref="I19:P19" si="16">AVERAGE(I7:I16)</f>
        <v>6.7653260000000017</v>
      </c>
      <c r="J19" s="2">
        <f t="shared" si="16"/>
        <v>0.38050879218472111</v>
      </c>
      <c r="K19" s="2">
        <f t="shared" si="16"/>
        <v>0.61949120781527889</v>
      </c>
      <c r="L19" s="2">
        <f t="shared" si="16"/>
        <v>0.24628946209649794</v>
      </c>
      <c r="M19" s="2">
        <f t="shared" si="16"/>
        <v>9.2700087470338394E-2</v>
      </c>
      <c r="N19" s="2">
        <f t="shared" si="16"/>
        <v>10.878902</v>
      </c>
      <c r="O19" s="2">
        <f>AVERAGE(O7:O17)</f>
        <v>24.636363636363637</v>
      </c>
      <c r="P19" s="2">
        <f t="shared" si="16"/>
        <v>6.162005014229945</v>
      </c>
      <c r="X19" s="13"/>
      <c r="Y19" s="49" t="s">
        <v>77</v>
      </c>
      <c r="Z19" s="2">
        <f>AVERAGE(Z7:Z14)</f>
        <v>3.9124562499999964</v>
      </c>
      <c r="AA19" s="2">
        <f t="shared" ref="AA19:AF19" si="17">AVERAGE(AA7:AA16)</f>
        <v>9.7525325000000027</v>
      </c>
      <c r="AB19" s="2">
        <f t="shared" si="17"/>
        <v>0.28647313739557945</v>
      </c>
      <c r="AC19" s="2">
        <f t="shared" si="17"/>
        <v>0.71352686260442055</v>
      </c>
      <c r="AD19" s="2">
        <f t="shared" si="17"/>
        <v>0.26310219152705938</v>
      </c>
      <c r="AE19" s="2">
        <f t="shared" si="17"/>
        <v>7.3244963513308906E-2</v>
      </c>
      <c r="AF19" s="2">
        <f t="shared" si="17"/>
        <v>13.664988749999999</v>
      </c>
      <c r="AG19" s="2">
        <f>AVERAGE(AG7:AG15)</f>
        <v>18.888888888888889</v>
      </c>
      <c r="AH19" s="2">
        <f>AVERAGE(AH7:AH15)</f>
        <v>4.7298296887269089</v>
      </c>
    </row>
    <row r="20" spans="2:34" x14ac:dyDescent="0.35">
      <c r="B20" s="2"/>
      <c r="C20" s="2"/>
      <c r="D20" s="2"/>
      <c r="E20" s="2"/>
      <c r="F20" s="13"/>
      <c r="G20" s="49" t="s">
        <v>94</v>
      </c>
      <c r="H20" s="2">
        <f>_xlfn.STDEV.S(H7:H16)</f>
        <v>0.52802514803747702</v>
      </c>
      <c r="I20" s="2">
        <f t="shared" ref="I20:P20" si="18">_xlfn.STDEV.S(I7:I16)</f>
        <v>1.1006113411110292</v>
      </c>
      <c r="J20" s="2">
        <f t="shared" si="18"/>
        <v>5.3650155255289711E-2</v>
      </c>
      <c r="K20" s="2">
        <f t="shared" si="18"/>
        <v>5.3650155255289746E-2</v>
      </c>
      <c r="L20" s="2">
        <f t="shared" si="18"/>
        <v>2.7837715376102062E-2</v>
      </c>
      <c r="M20" s="2">
        <f t="shared" si="18"/>
        <v>8.7498923789757384E-3</v>
      </c>
      <c r="N20" s="2">
        <f t="shared" si="18"/>
        <v>1.0822659415606775</v>
      </c>
      <c r="O20" s="2">
        <f>_xlfn.STDEV.S(O7:O17)</f>
        <v>1.9116865471476894</v>
      </c>
      <c r="P20" s="2">
        <f t="shared" si="18"/>
        <v>0.56651719210900986</v>
      </c>
      <c r="X20" s="13"/>
      <c r="Y20" s="49" t="s">
        <v>94</v>
      </c>
      <c r="Z20" s="2">
        <f>_xlfn.STDEV.S(Z7:Z14)</f>
        <v>0.68176577481749823</v>
      </c>
      <c r="AA20" s="2">
        <f t="shared" ref="AA20:AF20" si="19">_xlfn.STDEV.S(AA7:AA16)</f>
        <v>0.78343364519366421</v>
      </c>
      <c r="AB20" s="2">
        <f t="shared" si="19"/>
        <v>5.0308113890229218E-2</v>
      </c>
      <c r="AC20" s="2">
        <f t="shared" si="19"/>
        <v>5.0308113890229336E-2</v>
      </c>
      <c r="AD20" s="2">
        <f t="shared" si="19"/>
        <v>4.9816335322376157E-2</v>
      </c>
      <c r="AE20" s="2">
        <f t="shared" si="19"/>
        <v>2.3389266705960655E-3</v>
      </c>
      <c r="AF20" s="2">
        <f t="shared" si="19"/>
        <v>0.43614113896560636</v>
      </c>
      <c r="AG20" s="2">
        <f>_xlfn.STDEV.S(AG7:AG15)</f>
        <v>3.018461712712468</v>
      </c>
      <c r="AH20" s="2">
        <f>_xlfn.STDEV.S(AH7:AH15)</f>
        <v>0.31372489771617978</v>
      </c>
    </row>
    <row r="21" spans="2:34" x14ac:dyDescent="0.35">
      <c r="B21" s="2"/>
      <c r="C21" s="2"/>
      <c r="D21" s="2"/>
      <c r="E21" s="2"/>
      <c r="F21" s="13"/>
      <c r="G21" s="49" t="s">
        <v>95</v>
      </c>
      <c r="H21" s="2">
        <f t="shared" ref="H21:N21" si="20">H20/SQRT(11)</f>
        <v>0.15920557235565239</v>
      </c>
      <c r="I21" s="2">
        <f t="shared" si="20"/>
        <v>0.33184680531592209</v>
      </c>
      <c r="J21" s="2">
        <f t="shared" si="20"/>
        <v>1.6176130447828171E-2</v>
      </c>
      <c r="K21" s="2">
        <f t="shared" si="20"/>
        <v>1.6176130447828181E-2</v>
      </c>
      <c r="L21" s="2">
        <f t="shared" si="20"/>
        <v>8.3933869930216173E-3</v>
      </c>
      <c r="M21" s="2">
        <f t="shared" si="20"/>
        <v>2.6381918160957017E-3</v>
      </c>
      <c r="N21" s="2">
        <f t="shared" si="20"/>
        <v>0.32631545923067923</v>
      </c>
      <c r="O21" s="2">
        <f>O20/SQRT(11)</f>
        <v>0.57639518124172218</v>
      </c>
      <c r="P21" s="2">
        <f>P20/SQRT(11)</f>
        <v>0.1708113603192068</v>
      </c>
      <c r="X21" s="13"/>
      <c r="Y21" s="49" t="s">
        <v>95</v>
      </c>
      <c r="Z21" s="2">
        <f>Z20/SQRT(8)</f>
        <v>0.24104060127717686</v>
      </c>
      <c r="AA21" s="2">
        <f t="shared" ref="AA21:AH21" si="21">AA20/SQRT(11)</f>
        <v>0.2362141317498003</v>
      </c>
      <c r="AB21" s="2">
        <f t="shared" si="21"/>
        <v>1.5168467062214279E-2</v>
      </c>
      <c r="AC21" s="2">
        <f t="shared" si="21"/>
        <v>1.5168467062214313E-2</v>
      </c>
      <c r="AD21" s="2">
        <f t="shared" si="21"/>
        <v>1.5020190244986374E-2</v>
      </c>
      <c r="AE21" s="2">
        <f t="shared" si="21"/>
        <v>7.0521292532021171E-4</v>
      </c>
      <c r="AF21" s="2">
        <f t="shared" si="21"/>
        <v>0.13150150123519722</v>
      </c>
      <c r="AG21" s="2">
        <f t="shared" si="21"/>
        <v>0.91010044955643554</v>
      </c>
      <c r="AH21" s="2">
        <f t="shared" si="21"/>
        <v>9.4591615737926737E-2</v>
      </c>
    </row>
    <row r="22" spans="2:34" x14ac:dyDescent="0.35">
      <c r="B22" s="2"/>
      <c r="C22" s="2"/>
      <c r="D22" s="2"/>
      <c r="E22" s="2"/>
      <c r="F22" s="2"/>
      <c r="G22" s="49"/>
      <c r="H22" s="2"/>
      <c r="I22" s="2"/>
      <c r="J22" s="2"/>
      <c r="K22" s="2"/>
      <c r="L22" s="2"/>
      <c r="M22" s="2"/>
      <c r="N22" s="2"/>
      <c r="O22" s="2"/>
      <c r="P22" s="2"/>
    </row>
    <row r="28" spans="2:34" ht="18.5" x14ac:dyDescent="0.45">
      <c r="F28" s="1" t="s">
        <v>52</v>
      </c>
      <c r="G28" s="3"/>
      <c r="H28" s="3"/>
      <c r="I28" s="3"/>
      <c r="J28" s="3"/>
      <c r="K28" s="3"/>
      <c r="L28" s="3"/>
      <c r="M28" s="3"/>
      <c r="N28" s="3"/>
      <c r="O28" s="3"/>
      <c r="X28" s="1" t="s">
        <v>368</v>
      </c>
      <c r="Y28" s="3"/>
      <c r="Z28" s="3"/>
      <c r="AA28" s="3"/>
      <c r="AB28" s="3"/>
      <c r="AC28" s="3"/>
      <c r="AD28" s="3"/>
      <c r="AE28" s="3"/>
      <c r="AF28" s="3"/>
      <c r="AG28" s="3"/>
    </row>
    <row r="29" spans="2:34" ht="16" thickBot="1" x14ac:dyDescent="0.4">
      <c r="F29" s="9" t="s">
        <v>1</v>
      </c>
      <c r="G29" s="9" t="s">
        <v>2</v>
      </c>
      <c r="H29" s="9" t="s">
        <v>3</v>
      </c>
      <c r="I29" s="9" t="s">
        <v>4</v>
      </c>
      <c r="J29" s="9" t="s">
        <v>5</v>
      </c>
      <c r="K29" s="9" t="s">
        <v>6</v>
      </c>
      <c r="L29" s="9" t="s">
        <v>7</v>
      </c>
      <c r="M29" s="9" t="s">
        <v>8</v>
      </c>
      <c r="N29" s="9" t="s">
        <v>9</v>
      </c>
      <c r="O29" s="9" t="s">
        <v>10</v>
      </c>
      <c r="P29" s="44" t="s">
        <v>139</v>
      </c>
      <c r="X29" s="9" t="s">
        <v>1</v>
      </c>
      <c r="Y29" s="9" t="s">
        <v>2</v>
      </c>
      <c r="Z29" s="9" t="s">
        <v>3</v>
      </c>
      <c r="AA29" s="9" t="s">
        <v>4</v>
      </c>
      <c r="AB29" s="9" t="s">
        <v>5</v>
      </c>
      <c r="AC29" s="9" t="s">
        <v>6</v>
      </c>
      <c r="AD29" s="9" t="s">
        <v>7</v>
      </c>
      <c r="AE29" s="9" t="s">
        <v>8</v>
      </c>
      <c r="AF29" s="9" t="s">
        <v>9</v>
      </c>
      <c r="AG29" s="9" t="s">
        <v>10</v>
      </c>
      <c r="AH29" s="44" t="s">
        <v>139</v>
      </c>
    </row>
    <row r="30" spans="2:34" x14ac:dyDescent="0.35">
      <c r="F30" s="2">
        <v>5.71462</v>
      </c>
      <c r="G30" s="2">
        <v>10.259550000000001</v>
      </c>
      <c r="H30" s="2">
        <f>G30-F30</f>
        <v>4.5449300000000008</v>
      </c>
      <c r="I30" s="2">
        <f>F31-G30</f>
        <v>4.9036399999999993</v>
      </c>
      <c r="J30" s="2">
        <f>H30/N30</f>
        <v>0.48101776247622663</v>
      </c>
      <c r="K30" s="2">
        <f>I30/N30</f>
        <v>0.51898223752377337</v>
      </c>
      <c r="L30" s="2">
        <f>1/H30</f>
        <v>0.22002539093011331</v>
      </c>
      <c r="M30" s="2">
        <f>1/N30</f>
        <v>0.10583612123316015</v>
      </c>
      <c r="N30" s="2">
        <f>H30+I30</f>
        <v>9.4485700000000001</v>
      </c>
      <c r="O30" s="2">
        <v>37</v>
      </c>
      <c r="P30">
        <f t="shared" ref="P30:P42" si="22">O30/H30</f>
        <v>8.1409394644141919</v>
      </c>
      <c r="X30" s="2">
        <v>8.0604200000000006</v>
      </c>
      <c r="Y30" s="2">
        <v>13.012879999999999</v>
      </c>
      <c r="Z30" s="2">
        <f>Y30-X30</f>
        <v>4.9524599999999985</v>
      </c>
      <c r="AA30" s="2">
        <f>X31-Y30</f>
        <v>5.3254800000000024</v>
      </c>
      <c r="AB30" s="2">
        <f t="shared" ref="AB30:AB38" si="23">Z30/AF30</f>
        <v>0.48185336750360463</v>
      </c>
      <c r="AC30" s="2">
        <f t="shared" ref="AC30:AC38" si="24">AA30/AF30</f>
        <v>0.51814663249639537</v>
      </c>
      <c r="AD30" s="2">
        <f t="shared" ref="AD30:AD38" si="25">1/Z30</f>
        <v>0.20191985397156167</v>
      </c>
      <c r="AE30" s="2">
        <f t="shared" ref="AE30:AE38" si="26">1/AF30</f>
        <v>9.7295761602033085E-2</v>
      </c>
      <c r="AF30" s="2">
        <f t="shared" ref="AF30:AF38" si="27">Z30+AA30</f>
        <v>10.277940000000001</v>
      </c>
      <c r="AG30" s="2">
        <v>29</v>
      </c>
      <c r="AH30">
        <f t="shared" ref="AH30:AH39" si="28">AG30/Z30</f>
        <v>5.8556757651752882</v>
      </c>
    </row>
    <row r="31" spans="2:34" x14ac:dyDescent="0.35">
      <c r="F31" s="2">
        <v>15.16319</v>
      </c>
      <c r="G31" s="2">
        <v>19.57854</v>
      </c>
      <c r="H31" s="2">
        <f>G31-F31</f>
        <v>4.4153500000000001</v>
      </c>
      <c r="I31" s="2">
        <f>F32-G31</f>
        <v>4.0273599999999981</v>
      </c>
      <c r="J31" s="2">
        <f>H31/N31</f>
        <v>0.52297781162683554</v>
      </c>
      <c r="K31" s="2">
        <f>I31/N31</f>
        <v>0.4770221883731644</v>
      </c>
      <c r="L31" s="2">
        <f>1/H31</f>
        <v>0.22648261179747925</v>
      </c>
      <c r="M31" s="2">
        <f>1/N31</f>
        <v>0.11844538068937584</v>
      </c>
      <c r="N31" s="2">
        <f>H31+I31</f>
        <v>8.4427099999999982</v>
      </c>
      <c r="O31" s="2">
        <v>34</v>
      </c>
      <c r="P31">
        <f t="shared" si="22"/>
        <v>7.7004088011142944</v>
      </c>
      <c r="X31" s="2">
        <v>18.338360000000002</v>
      </c>
      <c r="Y31" s="2">
        <v>24.033190000000001</v>
      </c>
      <c r="Z31" s="2">
        <f>Y31-X31</f>
        <v>5.6948299999999996</v>
      </c>
      <c r="AA31" s="2">
        <f>X32-Y31</f>
        <v>6.5267199999999974</v>
      </c>
      <c r="AB31" s="2">
        <f t="shared" si="23"/>
        <v>0.4659662645081844</v>
      </c>
      <c r="AC31" s="2">
        <f t="shared" si="24"/>
        <v>0.53403373549181565</v>
      </c>
      <c r="AD31" s="2">
        <f t="shared" si="25"/>
        <v>0.17559786683711368</v>
      </c>
      <c r="AE31" s="2">
        <f t="shared" si="26"/>
        <v>8.1822682065695457E-2</v>
      </c>
      <c r="AF31" s="2">
        <f t="shared" si="27"/>
        <v>12.221549999999997</v>
      </c>
      <c r="AG31" s="2">
        <v>32</v>
      </c>
      <c r="AH31">
        <f t="shared" si="28"/>
        <v>5.6191317387876376</v>
      </c>
    </row>
    <row r="32" spans="2:34" x14ac:dyDescent="0.35">
      <c r="F32" s="13">
        <v>23.605899999999998</v>
      </c>
      <c r="G32" s="13">
        <v>27.909389999999998</v>
      </c>
      <c r="H32" s="2">
        <f>G32-F32</f>
        <v>4.30349</v>
      </c>
      <c r="I32" s="2">
        <f>F33-G32</f>
        <v>4.7965899999999984</v>
      </c>
      <c r="J32" s="2">
        <f>H32/N32</f>
        <v>0.47290683158829383</v>
      </c>
      <c r="K32" s="2">
        <f>I32/N32</f>
        <v>0.52709316841170617</v>
      </c>
      <c r="L32" s="2">
        <f>1/H32</f>
        <v>0.23236954192992199</v>
      </c>
      <c r="M32" s="2">
        <f>1/N32</f>
        <v>0.1098891438317026</v>
      </c>
      <c r="N32" s="2">
        <f>H32+I32</f>
        <v>9.1000799999999984</v>
      </c>
      <c r="O32" s="13">
        <v>33</v>
      </c>
      <c r="P32">
        <f t="shared" si="22"/>
        <v>7.6681948836874261</v>
      </c>
      <c r="X32" s="13">
        <v>30.559909999999999</v>
      </c>
      <c r="Y32" s="13">
        <v>35.511180000000003</v>
      </c>
      <c r="Z32" s="2">
        <f>Y32-X32</f>
        <v>4.9512700000000045</v>
      </c>
      <c r="AA32" s="2">
        <f>X33-Y32</f>
        <v>6.3557500000000005</v>
      </c>
      <c r="AB32" s="2">
        <f t="shared" si="23"/>
        <v>0.43789345026364174</v>
      </c>
      <c r="AC32" s="2">
        <f t="shared" si="24"/>
        <v>0.56210654973635832</v>
      </c>
      <c r="AD32" s="2">
        <f t="shared" si="25"/>
        <v>0.20196838386918894</v>
      </c>
      <c r="AE32" s="2">
        <f t="shared" si="26"/>
        <v>8.8440632456650792E-2</v>
      </c>
      <c r="AF32" s="2">
        <f t="shared" si="27"/>
        <v>11.307020000000005</v>
      </c>
      <c r="AG32" s="13">
        <v>28</v>
      </c>
      <c r="AH32">
        <f t="shared" si="28"/>
        <v>5.6551147483372901</v>
      </c>
    </row>
    <row r="33" spans="6:34" x14ac:dyDescent="0.35">
      <c r="F33" s="13">
        <v>32.705979999999997</v>
      </c>
      <c r="G33" s="13">
        <v>37.246079999999999</v>
      </c>
      <c r="H33" s="2">
        <f t="shared" ref="H33:H42" si="29">G33-F33</f>
        <v>4.5401000000000025</v>
      </c>
      <c r="I33" s="2">
        <f t="shared" ref="I33:I41" si="30">F34-G33</f>
        <v>4.6548700000000025</v>
      </c>
      <c r="J33" s="2">
        <f t="shared" ref="J33:J41" si="31">H33/N33</f>
        <v>0.49375908784911748</v>
      </c>
      <c r="K33" s="2">
        <f t="shared" ref="K33:K41" si="32">I33/N33</f>
        <v>0.50624091215088252</v>
      </c>
      <c r="L33" s="2">
        <f t="shared" ref="L33:L41" si="33">1/H33</f>
        <v>0.22025946565053622</v>
      </c>
      <c r="M33" s="2">
        <f t="shared" ref="M33:M41" si="34">1/N33</f>
        <v>0.10875511284974279</v>
      </c>
      <c r="N33" s="2">
        <f t="shared" ref="N33:N41" si="35">H33+I33</f>
        <v>9.194970000000005</v>
      </c>
      <c r="O33" s="13">
        <v>39</v>
      </c>
      <c r="P33">
        <f t="shared" si="22"/>
        <v>8.5901191603709126</v>
      </c>
      <c r="X33" s="13">
        <v>41.866930000000004</v>
      </c>
      <c r="Y33" s="13">
        <v>47.886270000000003</v>
      </c>
      <c r="Z33" s="2">
        <f t="shared" ref="Z33:Z39" si="36">Y33-X33</f>
        <v>6.0193399999999997</v>
      </c>
      <c r="AA33" s="2">
        <f t="shared" ref="AA33:AA38" si="37">X34-Y33</f>
        <v>6.3480599999999967</v>
      </c>
      <c r="AB33" s="2">
        <f t="shared" si="23"/>
        <v>0.48671022203535114</v>
      </c>
      <c r="AC33" s="2">
        <f t="shared" si="24"/>
        <v>0.51328977796464892</v>
      </c>
      <c r="AD33" s="2">
        <f t="shared" si="25"/>
        <v>0.1661311705270013</v>
      </c>
      <c r="AE33" s="2">
        <f t="shared" si="26"/>
        <v>8.0857738894189582E-2</v>
      </c>
      <c r="AF33" s="2">
        <f t="shared" si="27"/>
        <v>12.367399999999996</v>
      </c>
      <c r="AG33" s="13">
        <v>33</v>
      </c>
      <c r="AH33">
        <f t="shared" si="28"/>
        <v>5.482328627391043</v>
      </c>
    </row>
    <row r="34" spans="6:34" x14ac:dyDescent="0.35">
      <c r="F34" s="13">
        <v>41.900950000000002</v>
      </c>
      <c r="G34" s="13">
        <v>45.411279999999998</v>
      </c>
      <c r="H34" s="2">
        <f t="shared" si="29"/>
        <v>3.5103299999999962</v>
      </c>
      <c r="I34" s="2">
        <f t="shared" si="30"/>
        <v>4.8400999999999996</v>
      </c>
      <c r="J34" s="2">
        <f t="shared" si="31"/>
        <v>0.42037715423038069</v>
      </c>
      <c r="K34" s="2">
        <f t="shared" si="32"/>
        <v>0.57962284576961931</v>
      </c>
      <c r="L34" s="2">
        <f t="shared" si="33"/>
        <v>0.28487350192147209</v>
      </c>
      <c r="M34" s="2">
        <f t="shared" si="34"/>
        <v>0.11975431205339132</v>
      </c>
      <c r="N34" s="2">
        <f t="shared" si="35"/>
        <v>8.3504299999999958</v>
      </c>
      <c r="O34" s="13">
        <v>32</v>
      </c>
      <c r="P34">
        <f t="shared" si="22"/>
        <v>9.115952061487107</v>
      </c>
      <c r="X34" s="13">
        <v>54.23433</v>
      </c>
      <c r="Y34" s="13">
        <v>60.26276</v>
      </c>
      <c r="Z34" s="2">
        <f t="shared" si="36"/>
        <v>6.0284300000000002</v>
      </c>
      <c r="AA34" s="2">
        <f t="shared" si="37"/>
        <v>6.3514200000000045</v>
      </c>
      <c r="AB34" s="2">
        <f t="shared" si="23"/>
        <v>0.4869550115712224</v>
      </c>
      <c r="AC34" s="2">
        <f t="shared" si="24"/>
        <v>0.51304498842877755</v>
      </c>
      <c r="AD34" s="2">
        <f t="shared" si="25"/>
        <v>0.16588066876450419</v>
      </c>
      <c r="AE34" s="2">
        <f t="shared" si="26"/>
        <v>8.0776422977661244E-2</v>
      </c>
      <c r="AF34" s="2">
        <f t="shared" si="27"/>
        <v>12.379850000000005</v>
      </c>
      <c r="AG34" s="13">
        <v>36</v>
      </c>
      <c r="AH34">
        <f t="shared" si="28"/>
        <v>5.9717040755221511</v>
      </c>
    </row>
    <row r="35" spans="6:34" x14ac:dyDescent="0.35">
      <c r="F35" s="13">
        <v>50.251379999999997</v>
      </c>
      <c r="G35" s="13">
        <v>54.407780000000002</v>
      </c>
      <c r="H35" s="2">
        <f t="shared" si="29"/>
        <v>4.156400000000005</v>
      </c>
      <c r="I35" s="2">
        <f t="shared" si="30"/>
        <v>4.2460299999999975</v>
      </c>
      <c r="J35" s="2">
        <f t="shared" si="31"/>
        <v>0.49466642387975907</v>
      </c>
      <c r="K35" s="2">
        <f t="shared" si="32"/>
        <v>0.50533357612024099</v>
      </c>
      <c r="L35" s="2">
        <f t="shared" si="33"/>
        <v>0.24059282071022972</v>
      </c>
      <c r="M35" s="2">
        <f t="shared" si="34"/>
        <v>0.11901319023187336</v>
      </c>
      <c r="N35" s="2">
        <f t="shared" si="35"/>
        <v>8.4024300000000025</v>
      </c>
      <c r="O35" s="13">
        <v>31</v>
      </c>
      <c r="P35">
        <f t="shared" si="22"/>
        <v>7.4583774420171212</v>
      </c>
      <c r="X35" s="13">
        <v>66.614180000000005</v>
      </c>
      <c r="Y35" s="13">
        <v>71.286299999999997</v>
      </c>
      <c r="Z35" s="2">
        <f t="shared" si="36"/>
        <v>4.6721199999999925</v>
      </c>
      <c r="AA35" s="2">
        <f t="shared" si="37"/>
        <v>7.3448500000000081</v>
      </c>
      <c r="AB35" s="2">
        <f t="shared" si="23"/>
        <v>0.38879351450490368</v>
      </c>
      <c r="AC35" s="2">
        <f t="shared" si="24"/>
        <v>0.61120648549509637</v>
      </c>
      <c r="AD35" s="2">
        <f t="shared" si="25"/>
        <v>0.21403559840072636</v>
      </c>
      <c r="AE35" s="2">
        <f t="shared" si="26"/>
        <v>8.3215652531378539E-2</v>
      </c>
      <c r="AF35" s="2">
        <f t="shared" si="27"/>
        <v>12.016970000000001</v>
      </c>
      <c r="AG35" s="13">
        <v>27</v>
      </c>
      <c r="AH35">
        <f t="shared" si="28"/>
        <v>5.7789611568196113</v>
      </c>
    </row>
    <row r="36" spans="6:34" x14ac:dyDescent="0.35">
      <c r="F36" s="13">
        <v>58.65381</v>
      </c>
      <c r="G36" s="13">
        <v>62.999870000000001</v>
      </c>
      <c r="H36" s="2">
        <f t="shared" si="29"/>
        <v>4.3460600000000014</v>
      </c>
      <c r="I36" s="2">
        <f t="shared" si="30"/>
        <v>4.7770699999999948</v>
      </c>
      <c r="J36" s="2">
        <f t="shared" si="31"/>
        <v>0.47637817284199646</v>
      </c>
      <c r="K36" s="2">
        <f t="shared" si="32"/>
        <v>0.52362182715800354</v>
      </c>
      <c r="L36" s="2">
        <f t="shared" si="33"/>
        <v>0.23009346396506253</v>
      </c>
      <c r="M36" s="2">
        <f t="shared" si="34"/>
        <v>0.10961150394656224</v>
      </c>
      <c r="N36" s="2">
        <f t="shared" si="35"/>
        <v>9.1231299999999962</v>
      </c>
      <c r="O36" s="13">
        <v>32</v>
      </c>
      <c r="P36">
        <f t="shared" si="22"/>
        <v>7.3629908468820009</v>
      </c>
      <c r="X36" s="13">
        <v>78.631150000000005</v>
      </c>
      <c r="Y36" s="13">
        <v>83.437910000000002</v>
      </c>
      <c r="Z36" s="2">
        <f t="shared" si="36"/>
        <v>4.806759999999997</v>
      </c>
      <c r="AA36" s="2">
        <f t="shared" si="37"/>
        <v>7.2842200000000048</v>
      </c>
      <c r="AB36" s="2">
        <f t="shared" si="23"/>
        <v>0.39754924745554093</v>
      </c>
      <c r="AC36" s="2">
        <f t="shared" si="24"/>
        <v>0.60245075254445912</v>
      </c>
      <c r="AD36" s="2">
        <f t="shared" si="25"/>
        <v>0.20804034318335024</v>
      </c>
      <c r="AE36" s="2">
        <f t="shared" si="26"/>
        <v>8.2706281872933371E-2</v>
      </c>
      <c r="AF36" s="2">
        <f t="shared" si="27"/>
        <v>12.090980000000002</v>
      </c>
      <c r="AG36" s="13">
        <v>25</v>
      </c>
      <c r="AH36">
        <f t="shared" si="28"/>
        <v>5.201008579583756</v>
      </c>
    </row>
    <row r="37" spans="6:34" x14ac:dyDescent="0.35">
      <c r="F37" s="13">
        <v>67.776939999999996</v>
      </c>
      <c r="G37" s="13">
        <v>72.067920000000001</v>
      </c>
      <c r="H37" s="2">
        <f t="shared" si="29"/>
        <v>4.2909800000000047</v>
      </c>
      <c r="I37" s="2">
        <f t="shared" si="30"/>
        <v>4.0643299999999982</v>
      </c>
      <c r="J37" s="2">
        <f t="shared" si="31"/>
        <v>0.51356323104708301</v>
      </c>
      <c r="K37" s="2">
        <f t="shared" si="32"/>
        <v>0.48643676895291699</v>
      </c>
      <c r="L37" s="2">
        <f t="shared" si="33"/>
        <v>0.23304699625726499</v>
      </c>
      <c r="M37" s="2">
        <f t="shared" si="34"/>
        <v>0.11968436838369848</v>
      </c>
      <c r="N37" s="2">
        <f t="shared" si="35"/>
        <v>8.3553100000000029</v>
      </c>
      <c r="O37" s="13">
        <v>32</v>
      </c>
      <c r="P37">
        <f t="shared" si="22"/>
        <v>7.4575038802324798</v>
      </c>
      <c r="X37" s="13">
        <v>90.722130000000007</v>
      </c>
      <c r="Y37" s="13">
        <v>95.815510000000003</v>
      </c>
      <c r="Z37" s="2">
        <f t="shared" si="36"/>
        <v>5.0933799999999962</v>
      </c>
      <c r="AA37" s="2">
        <f t="shared" si="37"/>
        <v>7.0076600000000013</v>
      </c>
      <c r="AB37" s="2">
        <f t="shared" si="23"/>
        <v>0.4209043189676257</v>
      </c>
      <c r="AC37" s="2">
        <f t="shared" si="24"/>
        <v>0.5790956810323743</v>
      </c>
      <c r="AD37" s="2">
        <f t="shared" si="25"/>
        <v>0.19633327966890371</v>
      </c>
      <c r="AE37" s="2">
        <f t="shared" si="26"/>
        <v>8.2637525369720299E-2</v>
      </c>
      <c r="AF37" s="2">
        <f t="shared" si="27"/>
        <v>12.101039999999998</v>
      </c>
      <c r="AG37" s="13">
        <v>26</v>
      </c>
      <c r="AH37">
        <f t="shared" si="28"/>
        <v>5.1046652713914966</v>
      </c>
    </row>
    <row r="38" spans="6:34" x14ac:dyDescent="0.35">
      <c r="F38" s="13">
        <v>76.132249999999999</v>
      </c>
      <c r="G38" s="13">
        <v>80.510559999999998</v>
      </c>
      <c r="H38" s="2">
        <f t="shared" si="29"/>
        <v>4.378309999999999</v>
      </c>
      <c r="I38" s="2">
        <f t="shared" si="30"/>
        <v>4.1494200000000063</v>
      </c>
      <c r="J38" s="2">
        <f t="shared" si="31"/>
        <v>0.51342033577517066</v>
      </c>
      <c r="K38" s="2">
        <f t="shared" si="32"/>
        <v>0.48657966422482934</v>
      </c>
      <c r="L38" s="2">
        <f t="shared" si="33"/>
        <v>0.22839862869463337</v>
      </c>
      <c r="M38" s="2">
        <f t="shared" si="34"/>
        <v>0.1172645006349872</v>
      </c>
      <c r="N38" s="2">
        <f t="shared" si="35"/>
        <v>8.5277300000000054</v>
      </c>
      <c r="O38" s="13">
        <v>31</v>
      </c>
      <c r="P38">
        <f t="shared" si="22"/>
        <v>7.0803574895336343</v>
      </c>
      <c r="X38" s="13">
        <v>102.82317</v>
      </c>
      <c r="Y38" s="13">
        <v>106.84139</v>
      </c>
      <c r="Z38" s="2">
        <f t="shared" si="36"/>
        <v>4.0182199999999995</v>
      </c>
      <c r="AA38" s="2">
        <f t="shared" si="37"/>
        <v>6.341399999999993</v>
      </c>
      <c r="AB38" s="2">
        <f t="shared" si="23"/>
        <v>0.38787330037202161</v>
      </c>
      <c r="AC38" s="2">
        <f t="shared" si="24"/>
        <v>0.61212669962797839</v>
      </c>
      <c r="AD38" s="2">
        <f t="shared" si="25"/>
        <v>0.24886641348656871</v>
      </c>
      <c r="AE38" s="2">
        <f t="shared" si="26"/>
        <v>9.6528637150783594E-2</v>
      </c>
      <c r="AF38" s="2">
        <f t="shared" si="27"/>
        <v>10.359619999999993</v>
      </c>
      <c r="AG38" s="13">
        <v>22</v>
      </c>
      <c r="AH38">
        <f t="shared" si="28"/>
        <v>5.4750610967045121</v>
      </c>
    </row>
    <row r="39" spans="6:34" x14ac:dyDescent="0.35">
      <c r="F39" s="13">
        <v>84.659980000000004</v>
      </c>
      <c r="G39">
        <v>89.828609999999998</v>
      </c>
      <c r="H39" s="2">
        <f t="shared" si="29"/>
        <v>5.1686299999999932</v>
      </c>
      <c r="I39" s="2">
        <f t="shared" si="30"/>
        <v>4.2813600000000065</v>
      </c>
      <c r="J39" s="2">
        <f t="shared" si="31"/>
        <v>0.54694555232333508</v>
      </c>
      <c r="K39" s="2">
        <f t="shared" si="32"/>
        <v>0.45305444767666492</v>
      </c>
      <c r="L39" s="2">
        <f t="shared" si="33"/>
        <v>0.19347486664744842</v>
      </c>
      <c r="M39" s="2">
        <f t="shared" si="34"/>
        <v>0.10582021779917228</v>
      </c>
      <c r="N39" s="2">
        <f t="shared" si="35"/>
        <v>9.4499899999999997</v>
      </c>
      <c r="O39">
        <v>38</v>
      </c>
      <c r="P39">
        <f t="shared" si="22"/>
        <v>7.3520449326030395</v>
      </c>
      <c r="X39" s="13">
        <v>113.18279</v>
      </c>
      <c r="Y39">
        <v>116.97238</v>
      </c>
      <c r="Z39" s="2">
        <f t="shared" si="36"/>
        <v>3.789590000000004</v>
      </c>
      <c r="AA39" s="2"/>
      <c r="AB39" s="2"/>
      <c r="AC39" s="2"/>
      <c r="AD39" s="2"/>
      <c r="AE39" s="2"/>
      <c r="AF39" s="2"/>
      <c r="AG39">
        <v>22</v>
      </c>
      <c r="AH39">
        <f t="shared" si="28"/>
        <v>5.8053773627226102</v>
      </c>
    </row>
    <row r="40" spans="6:34" x14ac:dyDescent="0.35">
      <c r="F40" s="13">
        <v>94.109970000000004</v>
      </c>
      <c r="G40">
        <v>98.690280000000001</v>
      </c>
      <c r="H40" s="2">
        <f t="shared" si="29"/>
        <v>4.5803099999999972</v>
      </c>
      <c r="I40" s="2">
        <f t="shared" si="30"/>
        <v>5.0170099999999991</v>
      </c>
      <c r="J40" s="2">
        <f t="shared" si="31"/>
        <v>0.47724885697257141</v>
      </c>
      <c r="K40" s="2">
        <f t="shared" si="32"/>
        <v>0.52275114302742864</v>
      </c>
      <c r="L40" s="2">
        <f t="shared" si="33"/>
        <v>0.21832583384094104</v>
      </c>
      <c r="M40" s="2">
        <f t="shared" si="34"/>
        <v>0.10419575464817266</v>
      </c>
      <c r="N40" s="2">
        <f t="shared" si="35"/>
        <v>9.5973199999999963</v>
      </c>
      <c r="O40">
        <v>36</v>
      </c>
      <c r="P40">
        <f t="shared" si="22"/>
        <v>7.8597300182738774</v>
      </c>
      <c r="X40" s="13"/>
      <c r="Z40" s="2"/>
      <c r="AA40" s="2"/>
      <c r="AB40" s="2"/>
      <c r="AC40" s="2"/>
      <c r="AD40" s="2"/>
      <c r="AE40" s="2"/>
      <c r="AF40" s="2"/>
    </row>
    <row r="41" spans="6:34" x14ac:dyDescent="0.35">
      <c r="F41" s="13">
        <v>103.70729</v>
      </c>
      <c r="G41">
        <v>107.94642</v>
      </c>
      <c r="H41" s="2">
        <f t="shared" si="29"/>
        <v>4.239130000000003</v>
      </c>
      <c r="I41" s="2">
        <f t="shared" si="30"/>
        <v>4.338719999999995</v>
      </c>
      <c r="J41" s="2">
        <f t="shared" si="31"/>
        <v>0.49419493229655498</v>
      </c>
      <c r="K41" s="2">
        <f t="shared" si="32"/>
        <v>0.50580506770344502</v>
      </c>
      <c r="L41" s="2">
        <f t="shared" si="33"/>
        <v>0.23589746009204701</v>
      </c>
      <c r="M41" s="2">
        <f t="shared" si="34"/>
        <v>0.11657932931911845</v>
      </c>
      <c r="N41" s="2">
        <f t="shared" si="35"/>
        <v>8.577849999999998</v>
      </c>
      <c r="O41">
        <v>33</v>
      </c>
      <c r="P41">
        <f t="shared" si="22"/>
        <v>7.784616183037552</v>
      </c>
      <c r="X41" s="13"/>
      <c r="Z41" s="2"/>
      <c r="AA41" s="2"/>
      <c r="AB41" s="2"/>
      <c r="AC41" s="2"/>
      <c r="AD41" s="2"/>
      <c r="AE41" s="2"/>
      <c r="AF41" s="2"/>
    </row>
    <row r="42" spans="6:34" x14ac:dyDescent="0.35">
      <c r="F42" s="13">
        <v>112.28514</v>
      </c>
      <c r="G42">
        <v>116.57544</v>
      </c>
      <c r="H42" s="2">
        <f t="shared" si="29"/>
        <v>4.290300000000002</v>
      </c>
      <c r="I42" s="2"/>
      <c r="J42" s="2"/>
      <c r="K42" s="2"/>
      <c r="L42" s="2"/>
      <c r="M42" s="2"/>
      <c r="N42" s="2"/>
      <c r="O42">
        <v>34</v>
      </c>
      <c r="P42">
        <f t="shared" si="22"/>
        <v>7.9248537398317094</v>
      </c>
      <c r="X42" s="13"/>
      <c r="Z42" s="2"/>
      <c r="AA42" s="2"/>
      <c r="AB42" s="2"/>
      <c r="AC42" s="2"/>
      <c r="AD42" s="2"/>
      <c r="AE42" s="2"/>
      <c r="AF42" s="2"/>
    </row>
    <row r="43" spans="6:34" x14ac:dyDescent="0.35">
      <c r="F43" s="13"/>
      <c r="X43" s="13"/>
    </row>
    <row r="44" spans="6:34" ht="16" thickBot="1" x14ac:dyDescent="0.4">
      <c r="F44" s="13"/>
      <c r="G44" s="13"/>
      <c r="H44" s="9" t="s">
        <v>3</v>
      </c>
      <c r="I44" s="9" t="s">
        <v>4</v>
      </c>
      <c r="J44" s="9" t="s">
        <v>5</v>
      </c>
      <c r="K44" s="9" t="s">
        <v>6</v>
      </c>
      <c r="L44" s="9" t="s">
        <v>7</v>
      </c>
      <c r="M44" s="9" t="s">
        <v>8</v>
      </c>
      <c r="N44" s="9" t="s">
        <v>9</v>
      </c>
      <c r="O44" s="9" t="s">
        <v>10</v>
      </c>
      <c r="P44" s="44" t="s">
        <v>139</v>
      </c>
      <c r="X44" s="13"/>
      <c r="Y44" s="13"/>
      <c r="Z44" s="9" t="s">
        <v>3</v>
      </c>
      <c r="AA44" s="9" t="s">
        <v>4</v>
      </c>
      <c r="AB44" s="9" t="s">
        <v>5</v>
      </c>
      <c r="AC44" s="9" t="s">
        <v>6</v>
      </c>
      <c r="AD44" s="9" t="s">
        <v>7</v>
      </c>
      <c r="AE44" s="9" t="s">
        <v>8</v>
      </c>
      <c r="AF44" s="9" t="s">
        <v>9</v>
      </c>
      <c r="AG44" s="9" t="s">
        <v>10</v>
      </c>
      <c r="AH44" s="44" t="s">
        <v>139</v>
      </c>
    </row>
    <row r="45" spans="6:34" x14ac:dyDescent="0.35">
      <c r="G45" s="49" t="s">
        <v>77</v>
      </c>
      <c r="H45" s="2">
        <f>AVERAGE(H30:H41)</f>
        <v>4.3728350000000002</v>
      </c>
      <c r="I45" s="2">
        <f t="shared" ref="I45:N45" si="38">AVERAGE(I30:I41)</f>
        <v>4.5080416666666663</v>
      </c>
      <c r="J45" s="2">
        <f t="shared" si="38"/>
        <v>0.49228801274227707</v>
      </c>
      <c r="K45" s="2">
        <f t="shared" si="38"/>
        <v>0.50771198725772293</v>
      </c>
      <c r="L45" s="2">
        <f t="shared" si="38"/>
        <v>0.23032004853642918</v>
      </c>
      <c r="M45" s="2">
        <f t="shared" si="38"/>
        <v>0.11290407796841312</v>
      </c>
      <c r="N45" s="2">
        <f t="shared" si="38"/>
        <v>8.8808766666666674</v>
      </c>
      <c r="O45" s="2">
        <f>AVERAGE(O30:O42)</f>
        <v>34</v>
      </c>
      <c r="P45" s="2">
        <f>AVERAGE(P30:P42)</f>
        <v>7.8073914541142573</v>
      </c>
      <c r="Y45" s="49" t="s">
        <v>77</v>
      </c>
      <c r="Z45" s="2">
        <f>AVERAGE(Z30:Z38)</f>
        <v>5.1374233333333326</v>
      </c>
      <c r="AA45" s="2">
        <f t="shared" ref="AA45:AF45" si="39">AVERAGE(AA30:AA38)</f>
        <v>6.5428400000000018</v>
      </c>
      <c r="AB45" s="2">
        <f t="shared" si="39"/>
        <v>0.4393887441313441</v>
      </c>
      <c r="AC45" s="2">
        <f t="shared" si="39"/>
        <v>0.56061125586865601</v>
      </c>
      <c r="AD45" s="2">
        <f t="shared" si="39"/>
        <v>0.1976415087454354</v>
      </c>
      <c r="AE45" s="2">
        <f t="shared" si="39"/>
        <v>8.6031259435671775E-2</v>
      </c>
      <c r="AF45" s="2">
        <f t="shared" si="39"/>
        <v>11.680263333333333</v>
      </c>
      <c r="AG45" s="2">
        <f>AVERAGE(AG30:AG39)</f>
        <v>28</v>
      </c>
      <c r="AH45" s="2">
        <f>AVERAGE(AH30:AH39)</f>
        <v>5.5949028422435401</v>
      </c>
    </row>
    <row r="46" spans="6:34" x14ac:dyDescent="0.35">
      <c r="G46" s="49" t="s">
        <v>94</v>
      </c>
      <c r="H46" s="2">
        <f>_xlfn.STDEV.S(H30:H41)</f>
        <v>0.37618047043455471</v>
      </c>
      <c r="I46" s="2">
        <f t="shared" ref="I46:N46" si="40">_xlfn.STDEV.S(I30:I41)</f>
        <v>0.3578030708449273</v>
      </c>
      <c r="J46" s="2">
        <f t="shared" si="40"/>
        <v>3.1612852867763615E-2</v>
      </c>
      <c r="K46" s="2">
        <f t="shared" si="40"/>
        <v>3.1612852867763622E-2</v>
      </c>
      <c r="L46" s="2">
        <f t="shared" si="40"/>
        <v>2.1000966091202809E-2</v>
      </c>
      <c r="M46" s="2">
        <f t="shared" si="40"/>
        <v>6.0794950253975754E-3</v>
      </c>
      <c r="N46" s="2">
        <f t="shared" si="40"/>
        <v>0.48240694952655327</v>
      </c>
      <c r="O46" s="2">
        <f>_xlfn.STDEV.S(O30:O42)</f>
        <v>2.6770630673681683</v>
      </c>
      <c r="P46" s="2">
        <f>_xlfn.STDEV.S(P30:P42)</f>
        <v>0.55240135134360036</v>
      </c>
      <c r="Y46" s="49" t="s">
        <v>94</v>
      </c>
      <c r="Z46" s="2">
        <f>_xlfn.STDEV.S(Z30:Z38)</f>
        <v>0.66442060528327707</v>
      </c>
      <c r="AA46" s="2">
        <f t="shared" ref="AA46:AF46" si="41">_xlfn.STDEV.S(AA30:AA38)</f>
        <v>0.61657408389016988</v>
      </c>
      <c r="AB46" s="2">
        <f t="shared" si="41"/>
        <v>4.2307878200831789E-2</v>
      </c>
      <c r="AC46" s="2">
        <f t="shared" si="41"/>
        <v>4.2307878200831796E-2</v>
      </c>
      <c r="AD46" s="2">
        <f t="shared" si="41"/>
        <v>2.628498827295489E-2</v>
      </c>
      <c r="AE46" s="2">
        <f t="shared" si="41"/>
        <v>6.5715325430904543E-3</v>
      </c>
      <c r="AF46" s="2">
        <f t="shared" si="41"/>
        <v>0.83393661721080548</v>
      </c>
      <c r="AG46" s="2">
        <f>_xlfn.STDEV.S(AG30:AG39)</f>
        <v>4.6188021535170058</v>
      </c>
      <c r="AH46" s="2">
        <f>_xlfn.STDEV.S(AH30:AH39)</f>
        <v>0.28183757154077638</v>
      </c>
    </row>
    <row r="47" spans="6:34" x14ac:dyDescent="0.35">
      <c r="G47" s="49" t="s">
        <v>95</v>
      </c>
      <c r="H47" s="2">
        <f>H46/SQRT(12)</f>
        <v>0.10859394793463512</v>
      </c>
      <c r="I47" s="2">
        <f t="shared" ref="I47:N47" si="42">I46/SQRT(12)</f>
        <v>0.10328884963459677</v>
      </c>
      <c r="J47" s="2">
        <f t="shared" si="42"/>
        <v>9.1258445565276791E-3</v>
      </c>
      <c r="K47" s="2">
        <f t="shared" si="42"/>
        <v>9.1258445565276809E-3</v>
      </c>
      <c r="L47" s="2">
        <f t="shared" si="42"/>
        <v>6.0624567129990729E-3</v>
      </c>
      <c r="M47" s="2">
        <f t="shared" si="42"/>
        <v>1.7549990447251406E-3</v>
      </c>
      <c r="N47" s="2">
        <f t="shared" si="42"/>
        <v>0.13925889108405087</v>
      </c>
      <c r="O47" s="2">
        <f>O46/SQRT(13)</f>
        <v>0.74248370438821842</v>
      </c>
      <c r="P47" s="2">
        <f>P46/SQRT(13)</f>
        <v>0.15320856899268842</v>
      </c>
      <c r="Y47" s="49" t="s">
        <v>95</v>
      </c>
      <c r="Z47" s="2">
        <f>Z46/SQRT(9)</f>
        <v>0.22147353509442569</v>
      </c>
      <c r="AA47" s="2">
        <f t="shared" ref="AA47:AF47" si="43">AA46/SQRT(9)</f>
        <v>0.20552469463005663</v>
      </c>
      <c r="AB47" s="2">
        <f t="shared" si="43"/>
        <v>1.410262606694393E-2</v>
      </c>
      <c r="AC47" s="2">
        <f t="shared" si="43"/>
        <v>1.4102626066943931E-2</v>
      </c>
      <c r="AD47" s="2">
        <f t="shared" si="43"/>
        <v>8.7616627576516306E-3</v>
      </c>
      <c r="AE47" s="2">
        <f t="shared" si="43"/>
        <v>2.1905108476968182E-3</v>
      </c>
      <c r="AF47" s="2">
        <f t="shared" si="43"/>
        <v>0.27797887240360181</v>
      </c>
      <c r="AG47" s="2">
        <f>AG46/SQRT(10)</f>
        <v>1.4605934866804429</v>
      </c>
      <c r="AH47" s="2">
        <f>AH46/SQRT(10)</f>
        <v>8.9124865627950453E-2</v>
      </c>
    </row>
    <row r="57" spans="6:34" ht="18.5" x14ac:dyDescent="0.45">
      <c r="F57" s="1" t="s">
        <v>366</v>
      </c>
      <c r="G57" s="3"/>
      <c r="H57" s="3"/>
      <c r="I57" s="3"/>
      <c r="J57" s="3"/>
      <c r="K57" s="3"/>
      <c r="L57" s="3"/>
      <c r="M57" s="3"/>
      <c r="N57" s="3"/>
      <c r="O57" s="3"/>
      <c r="X57" s="1" t="s">
        <v>367</v>
      </c>
      <c r="Y57" s="3"/>
      <c r="Z57" s="3"/>
      <c r="AA57" s="3"/>
      <c r="AB57" s="3"/>
      <c r="AC57" s="3"/>
      <c r="AD57" s="3"/>
      <c r="AE57" s="3"/>
      <c r="AF57" s="3"/>
      <c r="AG57" s="3"/>
    </row>
    <row r="58" spans="6:34" ht="16" thickBot="1" x14ac:dyDescent="0.4">
      <c r="F58" s="9" t="s">
        <v>11</v>
      </c>
      <c r="G58" s="9" t="s">
        <v>12</v>
      </c>
      <c r="H58" s="9" t="s">
        <v>3</v>
      </c>
      <c r="I58" s="9" t="s">
        <v>4</v>
      </c>
      <c r="J58" s="9" t="s">
        <v>655</v>
      </c>
      <c r="K58" s="9" t="s">
        <v>654</v>
      </c>
      <c r="L58" s="9" t="s">
        <v>653</v>
      </c>
      <c r="M58" s="9" t="s">
        <v>8</v>
      </c>
      <c r="N58" s="9" t="s">
        <v>9</v>
      </c>
      <c r="O58" s="9" t="s">
        <v>10</v>
      </c>
      <c r="P58" s="44" t="s">
        <v>139</v>
      </c>
      <c r="X58" s="9" t="s">
        <v>11</v>
      </c>
      <c r="Y58" s="9" t="s">
        <v>12</v>
      </c>
      <c r="Z58" s="9" t="s">
        <v>3</v>
      </c>
      <c r="AA58" s="9" t="s">
        <v>4</v>
      </c>
      <c r="AB58" s="9" t="s">
        <v>655</v>
      </c>
      <c r="AC58" s="9" t="s">
        <v>654</v>
      </c>
      <c r="AD58" s="9" t="s">
        <v>653</v>
      </c>
      <c r="AE58" s="9" t="s">
        <v>8</v>
      </c>
      <c r="AF58" s="9" t="s">
        <v>9</v>
      </c>
      <c r="AG58" s="9" t="s">
        <v>10</v>
      </c>
      <c r="AH58" s="44" t="s">
        <v>139</v>
      </c>
    </row>
    <row r="59" spans="6:34" x14ac:dyDescent="0.35">
      <c r="F59" s="2">
        <v>4.1788800000000004</v>
      </c>
      <c r="G59" s="2">
        <v>9.3347700000000007</v>
      </c>
      <c r="H59" s="2">
        <f t="shared" ref="H59:H65" si="44">G59-F59</f>
        <v>5.1558900000000003</v>
      </c>
      <c r="I59" s="2">
        <f t="shared" ref="I59:I65" si="45">F60-G59</f>
        <v>4.998759999999999</v>
      </c>
      <c r="J59" s="2">
        <f t="shared" ref="J59:J65" si="46">H59/N59</f>
        <v>0.50773684962061716</v>
      </c>
      <c r="K59" s="2">
        <f t="shared" ref="K59:K65" si="47">I59/N59</f>
        <v>0.49226315037938273</v>
      </c>
      <c r="L59" s="2">
        <f t="shared" ref="L59:L65" si="48">1/H59</f>
        <v>0.19395293538070052</v>
      </c>
      <c r="M59" s="2">
        <f t="shared" ref="M59:M65" si="49">1/N59</f>
        <v>9.8477052384868008E-2</v>
      </c>
      <c r="N59" s="2">
        <f t="shared" ref="N59:N65" si="50">H59+I59</f>
        <v>10.15465</v>
      </c>
      <c r="O59" s="2">
        <v>89</v>
      </c>
      <c r="P59">
        <f t="shared" ref="P59:P68" si="51">O59/H59</f>
        <v>17.261811248882346</v>
      </c>
      <c r="X59" s="2">
        <v>10.22687</v>
      </c>
      <c r="Y59" s="2">
        <v>17.454789999999999</v>
      </c>
      <c r="Z59" s="2">
        <f t="shared" ref="Z59:Z67" si="52">Y59-X59</f>
        <v>7.2279199999999992</v>
      </c>
      <c r="AA59" s="2">
        <f t="shared" ref="AA59:AA66" si="53">X60-Y59</f>
        <v>6.8920200000000023</v>
      </c>
      <c r="AB59" s="2">
        <f t="shared" ref="AB59:AB66" si="54">Z59/AF59</f>
        <v>0.51189452646399336</v>
      </c>
      <c r="AC59" s="2">
        <f t="shared" ref="AC59:AC66" si="55">AA59/AF59</f>
        <v>0.48810547353600664</v>
      </c>
      <c r="AD59" s="2">
        <f t="shared" ref="AD59:AD66" si="56">1/Z59</f>
        <v>0.13835238906905445</v>
      </c>
      <c r="AE59" s="2">
        <f t="shared" ref="AE59:AE66" si="57">1/AF59</f>
        <v>7.0821830687665802E-2</v>
      </c>
      <c r="AF59" s="2">
        <f t="shared" ref="AF59:AF66" si="58">Z59+AA59</f>
        <v>14.119940000000001</v>
      </c>
      <c r="AG59" s="2">
        <v>188</v>
      </c>
      <c r="AH59">
        <f t="shared" ref="AH59:AH66" si="59">AG59/Z59</f>
        <v>26.010249144982239</v>
      </c>
    </row>
    <row r="60" spans="6:34" x14ac:dyDescent="0.35">
      <c r="F60" s="2">
        <v>14.33353</v>
      </c>
      <c r="G60" s="2">
        <v>19.50986</v>
      </c>
      <c r="H60" s="2">
        <f t="shared" si="44"/>
        <v>5.1763300000000001</v>
      </c>
      <c r="I60" s="2">
        <f t="shared" si="45"/>
        <v>4.9023800000000008</v>
      </c>
      <c r="J60" s="2">
        <f t="shared" si="46"/>
        <v>0.5135905289466608</v>
      </c>
      <c r="K60" s="2">
        <f t="shared" si="47"/>
        <v>0.4864094710533392</v>
      </c>
      <c r="L60" s="2">
        <f t="shared" si="48"/>
        <v>0.19318706496687807</v>
      </c>
      <c r="M60" s="2">
        <f t="shared" si="49"/>
        <v>9.9219046881991832E-2</v>
      </c>
      <c r="N60" s="2">
        <f t="shared" si="50"/>
        <v>10.078710000000001</v>
      </c>
      <c r="O60" s="2">
        <v>91</v>
      </c>
      <c r="P60">
        <f t="shared" si="51"/>
        <v>17.580022911985903</v>
      </c>
      <c r="X60" s="13">
        <v>24.346810000000001</v>
      </c>
      <c r="Y60" s="13">
        <v>30.3081</v>
      </c>
      <c r="Z60" s="2">
        <f t="shared" si="52"/>
        <v>5.9612899999999982</v>
      </c>
      <c r="AA60" s="2">
        <f t="shared" si="53"/>
        <v>7.6628300000000031</v>
      </c>
      <c r="AB60" s="2">
        <f t="shared" si="54"/>
        <v>0.43755413193659465</v>
      </c>
      <c r="AC60" s="2">
        <f t="shared" si="55"/>
        <v>0.56244586806340535</v>
      </c>
      <c r="AD60" s="2">
        <f t="shared" si="56"/>
        <v>0.16774892682624068</v>
      </c>
      <c r="AE60" s="2">
        <f t="shared" si="57"/>
        <v>7.3399236060751077E-2</v>
      </c>
      <c r="AF60" s="2">
        <f t="shared" si="58"/>
        <v>13.624120000000001</v>
      </c>
      <c r="AG60" s="13">
        <v>169</v>
      </c>
      <c r="AH60">
        <f t="shared" si="59"/>
        <v>28.349568633634675</v>
      </c>
    </row>
    <row r="61" spans="6:34" x14ac:dyDescent="0.35">
      <c r="F61" s="13">
        <v>24.412240000000001</v>
      </c>
      <c r="G61" s="13">
        <v>29.295660000000002</v>
      </c>
      <c r="H61" s="2">
        <f t="shared" si="44"/>
        <v>4.883420000000001</v>
      </c>
      <c r="I61" s="2">
        <f t="shared" si="45"/>
        <v>5.6351599999999955</v>
      </c>
      <c r="J61" s="2">
        <f t="shared" si="46"/>
        <v>0.46426608914891576</v>
      </c>
      <c r="K61" s="2">
        <f t="shared" si="47"/>
        <v>0.53573391085108424</v>
      </c>
      <c r="L61" s="2">
        <f t="shared" si="48"/>
        <v>0.20477452277297464</v>
      </c>
      <c r="M61" s="2">
        <f t="shared" si="49"/>
        <v>9.5069866845144527E-2</v>
      </c>
      <c r="N61" s="2">
        <f t="shared" si="50"/>
        <v>10.518579999999996</v>
      </c>
      <c r="O61" s="13">
        <v>89</v>
      </c>
      <c r="P61">
        <f t="shared" si="51"/>
        <v>18.224932526794742</v>
      </c>
      <c r="X61" s="13">
        <v>37.970930000000003</v>
      </c>
      <c r="Y61" s="13">
        <v>44.34657</v>
      </c>
      <c r="Z61" s="2">
        <f t="shared" si="52"/>
        <v>6.3756399999999971</v>
      </c>
      <c r="AA61" s="2">
        <f t="shared" si="53"/>
        <v>7.3858900000000034</v>
      </c>
      <c r="AB61" s="2">
        <f t="shared" si="54"/>
        <v>0.46329441566453705</v>
      </c>
      <c r="AC61" s="2">
        <f t="shared" si="55"/>
        <v>0.53670558433546289</v>
      </c>
      <c r="AD61" s="2">
        <f t="shared" si="56"/>
        <v>0.15684699888952333</v>
      </c>
      <c r="AE61" s="2">
        <f t="shared" si="57"/>
        <v>7.2666338699257996E-2</v>
      </c>
      <c r="AF61" s="2">
        <f t="shared" si="58"/>
        <v>13.76153</v>
      </c>
      <c r="AG61" s="13">
        <v>179</v>
      </c>
      <c r="AH61">
        <f t="shared" si="59"/>
        <v>28.075612801224676</v>
      </c>
    </row>
    <row r="62" spans="6:34" x14ac:dyDescent="0.35">
      <c r="F62" s="13">
        <v>34.930819999999997</v>
      </c>
      <c r="G62" s="13">
        <v>39.941809999999997</v>
      </c>
      <c r="H62" s="2">
        <f t="shared" si="44"/>
        <v>5.0109899999999996</v>
      </c>
      <c r="I62" s="2">
        <f t="shared" si="45"/>
        <v>5.1351700000000022</v>
      </c>
      <c r="J62" s="2">
        <f t="shared" si="46"/>
        <v>0.49388044343869986</v>
      </c>
      <c r="K62" s="2">
        <f t="shared" si="47"/>
        <v>0.50611955656130014</v>
      </c>
      <c r="L62" s="2">
        <f t="shared" si="48"/>
        <v>0.19956136412166062</v>
      </c>
      <c r="M62" s="2">
        <f t="shared" si="49"/>
        <v>9.8559455005637578E-2</v>
      </c>
      <c r="N62" s="2">
        <f t="shared" si="50"/>
        <v>10.146160000000002</v>
      </c>
      <c r="O62" s="13">
        <v>93</v>
      </c>
      <c r="P62">
        <f t="shared" si="51"/>
        <v>18.559206863314436</v>
      </c>
      <c r="X62" s="13">
        <v>51.732460000000003</v>
      </c>
      <c r="Y62" s="13">
        <v>57.623959999999997</v>
      </c>
      <c r="Z62" s="2">
        <f t="shared" si="52"/>
        <v>5.8914999999999935</v>
      </c>
      <c r="AA62" s="2">
        <f t="shared" si="53"/>
        <v>6.9385300000000001</v>
      </c>
      <c r="AB62" s="2">
        <f t="shared" si="54"/>
        <v>0.45919612035201762</v>
      </c>
      <c r="AC62" s="2">
        <f t="shared" si="55"/>
        <v>0.54080387964798238</v>
      </c>
      <c r="AD62" s="2">
        <f t="shared" si="56"/>
        <v>0.1697360604260377</v>
      </c>
      <c r="AE62" s="2">
        <f t="shared" si="57"/>
        <v>7.7942140431472143E-2</v>
      </c>
      <c r="AF62" s="2">
        <f t="shared" si="58"/>
        <v>12.830029999999994</v>
      </c>
      <c r="AG62" s="13">
        <v>166</v>
      </c>
      <c r="AH62">
        <f t="shared" si="59"/>
        <v>28.176186030722256</v>
      </c>
    </row>
    <row r="63" spans="6:34" x14ac:dyDescent="0.35">
      <c r="F63" s="13">
        <v>45.076979999999999</v>
      </c>
      <c r="G63" s="13">
        <v>51.464080000000003</v>
      </c>
      <c r="H63" s="2">
        <f t="shared" si="44"/>
        <v>6.3871000000000038</v>
      </c>
      <c r="I63" s="2">
        <f t="shared" si="45"/>
        <v>5.6227499999999964</v>
      </c>
      <c r="J63" s="2">
        <f t="shared" si="46"/>
        <v>0.53182179627555748</v>
      </c>
      <c r="K63" s="2">
        <f t="shared" si="47"/>
        <v>0.46817820372444252</v>
      </c>
      <c r="L63" s="2">
        <f t="shared" si="48"/>
        <v>0.15656557749213248</v>
      </c>
      <c r="M63" s="2">
        <f t="shared" si="49"/>
        <v>8.3264986656785889E-2</v>
      </c>
      <c r="N63" s="2">
        <f t="shared" si="50"/>
        <v>12.00985</v>
      </c>
      <c r="O63" s="13">
        <v>112</v>
      </c>
      <c r="P63">
        <f t="shared" si="51"/>
        <v>17.53534467911884</v>
      </c>
      <c r="X63" s="13">
        <v>64.562489999999997</v>
      </c>
      <c r="Y63" s="13">
        <v>71.065950000000001</v>
      </c>
      <c r="Z63" s="2">
        <f t="shared" si="52"/>
        <v>6.503460000000004</v>
      </c>
      <c r="AA63" s="2">
        <f t="shared" si="53"/>
        <v>7.3908600000000035</v>
      </c>
      <c r="AB63" s="2">
        <f t="shared" si="54"/>
        <v>0.4680660874371686</v>
      </c>
      <c r="AC63" s="2">
        <f t="shared" si="55"/>
        <v>0.5319339125628314</v>
      </c>
      <c r="AD63" s="2">
        <f t="shared" si="56"/>
        <v>0.15376430392437246</v>
      </c>
      <c r="AE63" s="2">
        <f t="shared" si="57"/>
        <v>7.1971856125380693E-2</v>
      </c>
      <c r="AF63" s="2">
        <f t="shared" si="58"/>
        <v>13.894320000000008</v>
      </c>
      <c r="AG63" s="13">
        <v>179</v>
      </c>
      <c r="AH63">
        <f t="shared" si="59"/>
        <v>27.523810402462672</v>
      </c>
    </row>
    <row r="64" spans="6:34" x14ac:dyDescent="0.35">
      <c r="F64" s="13">
        <v>57.086829999999999</v>
      </c>
      <c r="G64" s="13">
        <v>61.867609999999999</v>
      </c>
      <c r="H64" s="2">
        <f t="shared" si="44"/>
        <v>4.78078</v>
      </c>
      <c r="I64" s="2">
        <f t="shared" si="45"/>
        <v>5.8420100000000019</v>
      </c>
      <c r="J64" s="2">
        <f t="shared" si="46"/>
        <v>0.45004937497587727</v>
      </c>
      <c r="K64" s="2">
        <f t="shared" si="47"/>
        <v>0.54995062502412273</v>
      </c>
      <c r="L64" s="2">
        <f t="shared" si="48"/>
        <v>0.20917088843243153</v>
      </c>
      <c r="M64" s="2">
        <f t="shared" si="49"/>
        <v>9.4137227602164766E-2</v>
      </c>
      <c r="N64" s="2">
        <f t="shared" si="50"/>
        <v>10.622790000000002</v>
      </c>
      <c r="O64" s="13">
        <v>90</v>
      </c>
      <c r="P64">
        <f t="shared" si="51"/>
        <v>18.825379958918838</v>
      </c>
      <c r="X64" s="13">
        <v>78.456810000000004</v>
      </c>
      <c r="Y64" s="13">
        <v>85.681129999999996</v>
      </c>
      <c r="Z64" s="2">
        <f t="shared" si="52"/>
        <v>7.2243199999999916</v>
      </c>
      <c r="AA64" s="2">
        <f t="shared" si="53"/>
        <v>7.1716200000000043</v>
      </c>
      <c r="AB64" s="2">
        <f t="shared" si="54"/>
        <v>0.5018303771757866</v>
      </c>
      <c r="AC64" s="2">
        <f t="shared" si="55"/>
        <v>0.4981696228242134</v>
      </c>
      <c r="AD64" s="2">
        <f t="shared" si="56"/>
        <v>0.1384213323883772</v>
      </c>
      <c r="AE64" s="2">
        <f t="shared" si="57"/>
        <v>6.9464029441634254E-2</v>
      </c>
      <c r="AF64" s="2">
        <f t="shared" si="58"/>
        <v>14.395939999999996</v>
      </c>
      <c r="AG64" s="13">
        <v>187</v>
      </c>
      <c r="AH64">
        <f t="shared" si="59"/>
        <v>25.884789156626535</v>
      </c>
    </row>
    <row r="65" spans="6:34" x14ac:dyDescent="0.35">
      <c r="F65" s="13">
        <v>67.709620000000001</v>
      </c>
      <c r="G65" s="13">
        <v>72.541809999999998</v>
      </c>
      <c r="H65" s="2">
        <f t="shared" si="44"/>
        <v>4.8321899999999971</v>
      </c>
      <c r="I65" s="2">
        <f t="shared" si="45"/>
        <v>5.5702600000000047</v>
      </c>
      <c r="J65" s="2">
        <f t="shared" si="46"/>
        <v>0.46452422265908477</v>
      </c>
      <c r="K65" s="2">
        <f t="shared" si="47"/>
        <v>0.53547577734091523</v>
      </c>
      <c r="L65" s="2">
        <f t="shared" si="48"/>
        <v>0.20694550504015791</v>
      </c>
      <c r="M65" s="2">
        <f t="shared" si="49"/>
        <v>9.6131199861571051E-2</v>
      </c>
      <c r="N65" s="2">
        <f t="shared" si="50"/>
        <v>10.402450000000002</v>
      </c>
      <c r="O65" s="13">
        <v>91</v>
      </c>
      <c r="P65">
        <f t="shared" si="51"/>
        <v>18.832040958654368</v>
      </c>
      <c r="X65" s="13">
        <v>92.85275</v>
      </c>
      <c r="Y65" s="13">
        <v>99.361059999999995</v>
      </c>
      <c r="Z65" s="2">
        <f t="shared" si="52"/>
        <v>6.5083099999999945</v>
      </c>
      <c r="AA65" s="2">
        <f t="shared" si="53"/>
        <v>6.7309900000000056</v>
      </c>
      <c r="AB65" s="2">
        <f t="shared" si="54"/>
        <v>0.49159018981366043</v>
      </c>
      <c r="AC65" s="2">
        <f t="shared" si="55"/>
        <v>0.50840981018633957</v>
      </c>
      <c r="AD65" s="2">
        <f t="shared" si="56"/>
        <v>0.15364971859054052</v>
      </c>
      <c r="AE65" s="2">
        <f t="shared" si="57"/>
        <v>7.5532694326739327E-2</v>
      </c>
      <c r="AF65" s="2">
        <f t="shared" si="58"/>
        <v>13.2393</v>
      </c>
      <c r="AG65" s="13">
        <v>171</v>
      </c>
      <c r="AH65">
        <f t="shared" si="59"/>
        <v>26.274101878982432</v>
      </c>
    </row>
    <row r="66" spans="6:34" x14ac:dyDescent="0.35">
      <c r="F66" s="13">
        <v>78.112070000000003</v>
      </c>
      <c r="G66" s="13">
        <v>83.245630000000006</v>
      </c>
      <c r="H66" s="2">
        <f>G66-F66</f>
        <v>5.1335600000000028</v>
      </c>
      <c r="I66" s="2">
        <f>F67-G66</f>
        <v>5.5753099999999876</v>
      </c>
      <c r="J66" s="2">
        <f>H66/N66</f>
        <v>0.47937457453494231</v>
      </c>
      <c r="K66" s="2">
        <f>I66/N66</f>
        <v>0.52062542546505775</v>
      </c>
      <c r="L66" s="2">
        <f>1/H66</f>
        <v>0.19479659339717456</v>
      </c>
      <c r="M66" s="2">
        <f>1/N66</f>
        <v>9.3380534080626701E-2</v>
      </c>
      <c r="N66" s="2">
        <f>H66+I66</f>
        <v>10.70886999999999</v>
      </c>
      <c r="O66" s="13">
        <v>91</v>
      </c>
      <c r="P66">
        <f t="shared" si="51"/>
        <v>17.726489999142885</v>
      </c>
      <c r="X66" s="13">
        <v>106.09205</v>
      </c>
      <c r="Y66" s="13">
        <v>112.895</v>
      </c>
      <c r="Z66" s="2">
        <f t="shared" si="52"/>
        <v>6.8029499999999956</v>
      </c>
      <c r="AA66" s="2">
        <f t="shared" si="53"/>
        <v>6.8180600000000027</v>
      </c>
      <c r="AB66" s="2">
        <f t="shared" si="54"/>
        <v>0.49944534215891456</v>
      </c>
      <c r="AC66" s="2">
        <f t="shared" si="55"/>
        <v>0.50055465784108544</v>
      </c>
      <c r="AD66" s="2">
        <f t="shared" si="56"/>
        <v>0.14699505361644591</v>
      </c>
      <c r="AE66" s="2">
        <f t="shared" si="57"/>
        <v>7.3415994849133817E-2</v>
      </c>
      <c r="AF66" s="2">
        <f t="shared" si="58"/>
        <v>13.621009999999998</v>
      </c>
      <c r="AG66" s="13">
        <v>170</v>
      </c>
      <c r="AH66">
        <f t="shared" si="59"/>
        <v>24.989159114795804</v>
      </c>
    </row>
    <row r="67" spans="6:34" x14ac:dyDescent="0.35">
      <c r="F67" s="13">
        <v>88.820939999999993</v>
      </c>
      <c r="G67" s="13">
        <v>93.735849999999999</v>
      </c>
      <c r="H67" s="2">
        <f>G67-F67</f>
        <v>4.9149100000000061</v>
      </c>
      <c r="I67" s="2">
        <f>F68-G67</f>
        <v>5.656329999999997</v>
      </c>
      <c r="J67" s="2">
        <f>H67/N67</f>
        <v>0.46493221230432802</v>
      </c>
      <c r="K67" s="2">
        <f>I67/N67</f>
        <v>0.53506778769567198</v>
      </c>
      <c r="L67" s="2">
        <f>1/H67</f>
        <v>0.2034625252547857</v>
      </c>
      <c r="M67" s="2">
        <f>1/N67</f>
        <v>9.4596281987732733E-2</v>
      </c>
      <c r="N67" s="2">
        <f>H67+I67</f>
        <v>10.571240000000003</v>
      </c>
      <c r="O67" s="13">
        <v>89</v>
      </c>
      <c r="P67">
        <f t="shared" si="51"/>
        <v>18.108164747675925</v>
      </c>
      <c r="X67" s="13">
        <v>119.71306</v>
      </c>
      <c r="Y67">
        <v>119.95994</v>
      </c>
      <c r="Z67" s="2">
        <f t="shared" si="52"/>
        <v>0.24688000000000443</v>
      </c>
      <c r="AA67" s="2"/>
      <c r="AB67" s="2"/>
      <c r="AC67" s="2"/>
      <c r="AD67" s="2"/>
      <c r="AE67" s="2"/>
      <c r="AF67" s="2"/>
    </row>
    <row r="68" spans="6:34" x14ac:dyDescent="0.35">
      <c r="F68" s="13">
        <v>99.392179999999996</v>
      </c>
      <c r="G68">
        <v>105.42531</v>
      </c>
      <c r="H68" s="2">
        <f>G68-F68</f>
        <v>6.0331299999999999</v>
      </c>
      <c r="I68" s="2">
        <f>F69-G68</f>
        <v>6.3296899999999994</v>
      </c>
      <c r="J68" s="2">
        <f>H68/N68</f>
        <v>0.48800597274731816</v>
      </c>
      <c r="K68" s="2">
        <f>I68/N68</f>
        <v>0.51199402725268184</v>
      </c>
      <c r="L68" s="2">
        <f>1/H68</f>
        <v>0.16575144245192794</v>
      </c>
      <c r="M68" s="2">
        <f>1/N68</f>
        <v>8.0887693908024222E-2</v>
      </c>
      <c r="N68" s="2">
        <f>H68+I68</f>
        <v>12.362819999999999</v>
      </c>
      <c r="O68">
        <v>112</v>
      </c>
      <c r="P68">
        <f t="shared" si="51"/>
        <v>18.564161554615929</v>
      </c>
      <c r="X68" s="13"/>
      <c r="Z68" s="2"/>
      <c r="AA68" s="2"/>
      <c r="AB68" s="2"/>
      <c r="AC68" s="2"/>
      <c r="AD68" s="2"/>
      <c r="AE68" s="2"/>
      <c r="AF68" s="2"/>
    </row>
    <row r="69" spans="6:34" x14ac:dyDescent="0.35">
      <c r="F69" s="13">
        <v>111.755</v>
      </c>
      <c r="G69">
        <v>118.28901999999999</v>
      </c>
      <c r="H69" s="2">
        <f>G69-F69</f>
        <v>6.5340199999999982</v>
      </c>
      <c r="I69" s="2"/>
      <c r="J69" s="2"/>
      <c r="K69" s="2"/>
      <c r="L69" s="2"/>
      <c r="M69" s="2"/>
      <c r="N69" s="2"/>
      <c r="X69" s="13"/>
      <c r="Z69" s="2"/>
      <c r="AA69" s="2"/>
      <c r="AB69" s="2"/>
      <c r="AC69" s="2"/>
      <c r="AD69" s="2"/>
      <c r="AE69" s="2"/>
      <c r="AF69" s="2"/>
    </row>
    <row r="70" spans="6:34" ht="16" thickBot="1" x14ac:dyDescent="0.4">
      <c r="F70" s="13"/>
      <c r="H70" s="2"/>
      <c r="I70" s="2"/>
      <c r="J70" s="2"/>
      <c r="K70" s="2"/>
      <c r="L70" s="2"/>
      <c r="M70" s="2"/>
      <c r="N70" s="2"/>
      <c r="X70" s="13"/>
      <c r="Y70" s="13"/>
      <c r="Z70" s="9" t="s">
        <v>3</v>
      </c>
      <c r="AA70" s="9" t="s">
        <v>4</v>
      </c>
      <c r="AB70" s="9" t="s">
        <v>5</v>
      </c>
      <c r="AC70" s="9" t="s">
        <v>6</v>
      </c>
      <c r="AD70" s="9" t="s">
        <v>7</v>
      </c>
      <c r="AE70" s="9" t="s">
        <v>8</v>
      </c>
      <c r="AF70" s="9" t="s">
        <v>9</v>
      </c>
      <c r="AG70" s="9" t="s">
        <v>10</v>
      </c>
      <c r="AH70" s="44" t="s">
        <v>139</v>
      </c>
    </row>
    <row r="71" spans="6:34" ht="16" thickBot="1" x14ac:dyDescent="0.4">
      <c r="F71" s="13"/>
      <c r="G71" s="13"/>
      <c r="H71" s="9" t="s">
        <v>3</v>
      </c>
      <c r="I71" s="9" t="s">
        <v>4</v>
      </c>
      <c r="J71" s="9" t="s">
        <v>5</v>
      </c>
      <c r="K71" s="9" t="s">
        <v>6</v>
      </c>
      <c r="L71" s="9" t="s">
        <v>7</v>
      </c>
      <c r="M71" s="9" t="s">
        <v>8</v>
      </c>
      <c r="N71" s="9" t="s">
        <v>9</v>
      </c>
      <c r="O71" s="9" t="s">
        <v>10</v>
      </c>
      <c r="P71" s="44" t="s">
        <v>139</v>
      </c>
      <c r="X71" s="13"/>
      <c r="Y71" s="49" t="s">
        <v>77</v>
      </c>
      <c r="Z71" s="2">
        <f>AVERAGE(Z59:Z66)</f>
        <v>6.5619237499999965</v>
      </c>
      <c r="AA71" s="2">
        <f t="shared" ref="AA71:AH71" si="60">AVERAGE(AA59:AA66)</f>
        <v>7.1238500000000027</v>
      </c>
      <c r="AB71" s="2">
        <f t="shared" si="60"/>
        <v>0.47910889887533409</v>
      </c>
      <c r="AC71" s="2">
        <f t="shared" si="60"/>
        <v>0.52089110112466586</v>
      </c>
      <c r="AD71" s="2">
        <f t="shared" si="60"/>
        <v>0.15318934796632402</v>
      </c>
      <c r="AE71" s="2">
        <f t="shared" si="60"/>
        <v>7.3151765077754394E-2</v>
      </c>
      <c r="AF71" s="2">
        <f t="shared" si="60"/>
        <v>13.685773749999999</v>
      </c>
      <c r="AG71" s="2">
        <f t="shared" si="60"/>
        <v>176.125</v>
      </c>
      <c r="AH71" s="2">
        <f t="shared" si="60"/>
        <v>26.910434645428911</v>
      </c>
    </row>
    <row r="72" spans="6:34" x14ac:dyDescent="0.35">
      <c r="F72" s="13"/>
      <c r="G72" s="49" t="s">
        <v>77</v>
      </c>
      <c r="H72" s="2">
        <f>AVERAGE(H59:H68)</f>
        <v>5.230830000000001</v>
      </c>
      <c r="I72" s="2">
        <f t="shared" ref="I72:P72" si="61">AVERAGE(I59:I68)</f>
        <v>5.526781999999999</v>
      </c>
      <c r="J72" s="2">
        <f t="shared" si="61"/>
        <v>0.48581820646520024</v>
      </c>
      <c r="K72" s="2">
        <f t="shared" si="61"/>
        <v>0.51418179353479976</v>
      </c>
      <c r="L72" s="2">
        <f t="shared" si="61"/>
        <v>0.19281684193108237</v>
      </c>
      <c r="M72" s="2">
        <f t="shared" si="61"/>
        <v>9.3372334521454728E-2</v>
      </c>
      <c r="N72" s="2">
        <f t="shared" si="61"/>
        <v>10.757611999999998</v>
      </c>
      <c r="O72" s="2">
        <f t="shared" si="61"/>
        <v>94.7</v>
      </c>
      <c r="P72" s="2">
        <f t="shared" si="61"/>
        <v>18.121755544910421</v>
      </c>
      <c r="X72" s="13"/>
      <c r="Y72" s="49" t="s">
        <v>94</v>
      </c>
      <c r="Z72" s="2">
        <f>_xlfn.STDEV.S(Z59:Z66)</f>
        <v>0.50591309758939795</v>
      </c>
      <c r="AA72" s="2">
        <f t="shared" ref="AA72:AH72" si="62">_xlfn.STDEV.S(AA59:AA66)</f>
        <v>0.33137718474787703</v>
      </c>
      <c r="AB72" s="2">
        <f t="shared" si="62"/>
        <v>2.5790018747538439E-2</v>
      </c>
      <c r="AC72" s="2">
        <f t="shared" si="62"/>
        <v>2.5790018747538435E-2</v>
      </c>
      <c r="AD72" s="2">
        <f t="shared" si="62"/>
        <v>1.1809771205395812E-2</v>
      </c>
      <c r="AE72" s="2">
        <f t="shared" si="62"/>
        <v>2.6566195401177099E-3</v>
      </c>
      <c r="AF72" s="2">
        <f t="shared" si="62"/>
        <v>0.49014555948608773</v>
      </c>
      <c r="AG72" s="2">
        <f t="shared" si="62"/>
        <v>8.3911092404827077</v>
      </c>
      <c r="AH72" s="2">
        <f t="shared" si="62"/>
        <v>1.2742283276903295</v>
      </c>
    </row>
    <row r="73" spans="6:34" x14ac:dyDescent="0.35">
      <c r="F73" s="13"/>
      <c r="G73" s="49" t="s">
        <v>94</v>
      </c>
      <c r="H73" s="2">
        <f>_xlfn.STDEV.S(H59:H68)</f>
        <v>0.54047108480575701</v>
      </c>
      <c r="I73" s="2">
        <f t="shared" ref="I73:P73" si="63">_xlfn.STDEV.S(I59:I68)</f>
        <v>0.42269750578345622</v>
      </c>
      <c r="J73" s="2">
        <f t="shared" si="63"/>
        <v>2.6061736604013074E-2</v>
      </c>
      <c r="K73" s="2">
        <f t="shared" si="63"/>
        <v>2.6061736604013085E-2</v>
      </c>
      <c r="L73" s="2">
        <f t="shared" si="63"/>
        <v>1.7704100134090898E-2</v>
      </c>
      <c r="M73" s="2">
        <f t="shared" si="63"/>
        <v>6.3047536820864634E-3</v>
      </c>
      <c r="N73" s="2">
        <f t="shared" si="63"/>
        <v>0.78752079331701841</v>
      </c>
      <c r="O73" s="2">
        <f t="shared" si="63"/>
        <v>9.2020529110507603</v>
      </c>
      <c r="P73" s="2">
        <f t="shared" si="63"/>
        <v>0.57063323604952509</v>
      </c>
      <c r="X73" s="13"/>
      <c r="Y73" s="49" t="s">
        <v>95</v>
      </c>
      <c r="Z73" s="2">
        <f>Z72/SQRT(8)</f>
        <v>0.17886729099827742</v>
      </c>
      <c r="AA73" s="2">
        <f t="shared" ref="AA73:AH73" si="64">AA72/SQRT(8)</f>
        <v>0.1171595272328656</v>
      </c>
      <c r="AB73" s="2">
        <f t="shared" si="64"/>
        <v>9.1181485716563104E-3</v>
      </c>
      <c r="AC73" s="2">
        <f t="shared" si="64"/>
        <v>9.1181485716563086E-3</v>
      </c>
      <c r="AD73" s="2">
        <f t="shared" si="64"/>
        <v>4.1753846517985022E-3</v>
      </c>
      <c r="AE73" s="2">
        <f t="shared" si="64"/>
        <v>9.3925684592495993E-4</v>
      </c>
      <c r="AF73" s="2">
        <f t="shared" si="64"/>
        <v>0.17329262444054347</v>
      </c>
      <c r="AG73" s="2">
        <f t="shared" si="64"/>
        <v>2.9667051228112111</v>
      </c>
      <c r="AH73" s="2">
        <f t="shared" si="64"/>
        <v>0.45050774564491303</v>
      </c>
    </row>
    <row r="74" spans="6:34" x14ac:dyDescent="0.35">
      <c r="F74" s="13"/>
      <c r="G74" s="49" t="s">
        <v>95</v>
      </c>
      <c r="H74" s="2">
        <f>H73/SQRT(11)</f>
        <v>0.1629581634851863</v>
      </c>
      <c r="I74" s="2">
        <f t="shared" ref="I74:P74" si="65">I73/SQRT(11)</f>
        <v>0.1274480933184369</v>
      </c>
      <c r="J74" s="2">
        <f t="shared" si="65"/>
        <v>7.8579092455075012E-3</v>
      </c>
      <c r="K74" s="2">
        <f t="shared" si="65"/>
        <v>7.8579092455075047E-3</v>
      </c>
      <c r="L74" s="2">
        <f t="shared" si="65"/>
        <v>5.337987035969112E-3</v>
      </c>
      <c r="M74" s="2">
        <f t="shared" si="65"/>
        <v>1.9009547599174957E-3</v>
      </c>
      <c r="N74" s="2">
        <f t="shared" si="65"/>
        <v>0.23744645327596131</v>
      </c>
      <c r="O74" s="2">
        <f t="shared" si="65"/>
        <v>2.7745233460866388</v>
      </c>
      <c r="P74" s="2">
        <f t="shared" si="65"/>
        <v>0.17205239426205268</v>
      </c>
    </row>
    <row r="75" spans="6:34" x14ac:dyDescent="0.35">
      <c r="F75" s="2"/>
      <c r="G75" s="49"/>
      <c r="H75" s="2"/>
      <c r="I75" s="2"/>
      <c r="J75" s="2"/>
      <c r="K75" s="2"/>
      <c r="L75" s="2"/>
      <c r="M75" s="2"/>
      <c r="N75" s="2"/>
      <c r="O75" s="2"/>
      <c r="P75" s="2"/>
    </row>
    <row r="80" spans="6:34" ht="18.5" x14ac:dyDescent="0.45">
      <c r="X80" s="1" t="s">
        <v>368</v>
      </c>
      <c r="Y80" s="3"/>
      <c r="Z80" s="3"/>
      <c r="AA80" s="3"/>
      <c r="AB80" s="3"/>
      <c r="AC80" s="3"/>
      <c r="AD80" s="3"/>
      <c r="AE80" s="3"/>
      <c r="AF80" s="3"/>
      <c r="AG80" s="3"/>
    </row>
    <row r="81" spans="6:34" ht="19" thickBot="1" x14ac:dyDescent="0.5">
      <c r="F81" s="1" t="s">
        <v>52</v>
      </c>
      <c r="G81" s="3"/>
      <c r="H81" s="3"/>
      <c r="I81" s="3"/>
      <c r="J81" s="3"/>
      <c r="K81" s="3"/>
      <c r="L81" s="3"/>
      <c r="M81" s="3"/>
      <c r="N81" s="3"/>
      <c r="O81" s="3"/>
      <c r="X81" s="9" t="s">
        <v>11</v>
      </c>
      <c r="Y81" s="9" t="s">
        <v>12</v>
      </c>
      <c r="Z81" s="9" t="s">
        <v>3</v>
      </c>
      <c r="AA81" s="9" t="s">
        <v>4</v>
      </c>
      <c r="AB81" s="9" t="s">
        <v>655</v>
      </c>
      <c r="AC81" s="9" t="s">
        <v>654</v>
      </c>
      <c r="AD81" s="9" t="s">
        <v>653</v>
      </c>
      <c r="AE81" s="9" t="s">
        <v>8</v>
      </c>
      <c r="AF81" s="9" t="s">
        <v>9</v>
      </c>
      <c r="AG81" s="9" t="s">
        <v>10</v>
      </c>
      <c r="AH81" s="44" t="s">
        <v>139</v>
      </c>
    </row>
    <row r="82" spans="6:34" ht="16" thickBot="1" x14ac:dyDescent="0.4">
      <c r="F82" s="9" t="s">
        <v>11</v>
      </c>
      <c r="G82" s="9" t="s">
        <v>12</v>
      </c>
      <c r="H82" s="9" t="s">
        <v>3</v>
      </c>
      <c r="I82" s="9" t="s">
        <v>4</v>
      </c>
      <c r="J82" s="9" t="s">
        <v>655</v>
      </c>
      <c r="K82" s="9" t="s">
        <v>654</v>
      </c>
      <c r="L82" s="9" t="s">
        <v>653</v>
      </c>
      <c r="M82" s="9" t="s">
        <v>8</v>
      </c>
      <c r="N82" s="9" t="s">
        <v>9</v>
      </c>
      <c r="O82" s="9" t="s">
        <v>10</v>
      </c>
      <c r="P82" s="44" t="s">
        <v>139</v>
      </c>
      <c r="X82" s="2">
        <v>4.3748100000000001</v>
      </c>
      <c r="Y82" s="2">
        <v>9.3593499999999992</v>
      </c>
      <c r="Z82" s="2">
        <f>Y82-X82</f>
        <v>4.9845399999999991</v>
      </c>
      <c r="AA82" s="2">
        <f>X83-Y82</f>
        <v>6.3551100000000016</v>
      </c>
      <c r="AB82" s="2">
        <f t="shared" ref="AB82:AB90" si="66">Z82/AF82</f>
        <v>0.43956735878091463</v>
      </c>
      <c r="AC82" s="2">
        <f t="shared" ref="AC82:AC90" si="67">AA82/AF82</f>
        <v>0.56043264121908531</v>
      </c>
      <c r="AD82" s="2">
        <f t="shared" ref="AD82:AD90" si="68">1/Z82</f>
        <v>0.20062031802332816</v>
      </c>
      <c r="AE82" s="2">
        <f t="shared" ref="AE82:AE90" si="69">1/AF82</f>
        <v>8.8186143311301493E-2</v>
      </c>
      <c r="AF82" s="2">
        <f t="shared" ref="AF82:AF90" si="70">Z82+AA82</f>
        <v>11.339650000000001</v>
      </c>
      <c r="AG82" s="2">
        <v>117</v>
      </c>
      <c r="AH82">
        <f t="shared" ref="AH82:AH91" si="71">AG82/Z82</f>
        <v>23.472577208729394</v>
      </c>
    </row>
    <row r="83" spans="6:34" x14ac:dyDescent="0.35">
      <c r="F83" s="2">
        <v>3.0554600000000001</v>
      </c>
      <c r="G83" s="2">
        <v>8.6199600000000007</v>
      </c>
      <c r="H83" s="2">
        <f>G83-F83</f>
        <v>5.5645000000000007</v>
      </c>
      <c r="I83" s="2">
        <f>F84-G83</f>
        <v>3.83474</v>
      </c>
      <c r="J83" s="2">
        <f t="shared" ref="J83:J93" si="72">H83/N83</f>
        <v>0.59201595022576292</v>
      </c>
      <c r="K83" s="2">
        <f t="shared" ref="K83:K93" si="73">I83/N83</f>
        <v>0.40798404977423702</v>
      </c>
      <c r="L83" s="2">
        <f t="shared" ref="L83:L93" si="74">1/H83</f>
        <v>0.17971066582801687</v>
      </c>
      <c r="M83" s="2">
        <f t="shared" ref="M83:M93" si="75">1/N83</f>
        <v>0.10639158059587796</v>
      </c>
      <c r="N83" s="2">
        <f t="shared" ref="N83:N93" si="76">H83+I83</f>
        <v>9.3992400000000007</v>
      </c>
      <c r="O83" s="2">
        <v>69</v>
      </c>
      <c r="P83">
        <f t="shared" ref="P83:P95" si="77">O83/H83</f>
        <v>12.400035942133163</v>
      </c>
      <c r="X83" s="2">
        <v>15.714460000000001</v>
      </c>
      <c r="Y83" s="2">
        <v>20.175229999999999</v>
      </c>
      <c r="Z83" s="2">
        <f>Y83-X83</f>
        <v>4.4607699999999983</v>
      </c>
      <c r="AA83" s="2">
        <f>X84-Y83</f>
        <v>6.5831700000000026</v>
      </c>
      <c r="AB83" s="2">
        <f t="shared" si="66"/>
        <v>0.40391110418926562</v>
      </c>
      <c r="AC83" s="2">
        <f t="shared" si="67"/>
        <v>0.59608889581073443</v>
      </c>
      <c r="AD83" s="2">
        <f t="shared" si="68"/>
        <v>0.22417654351154628</v>
      </c>
      <c r="AE83" s="2">
        <f t="shared" si="69"/>
        <v>9.0547395223081611E-2</v>
      </c>
      <c r="AF83" s="2">
        <f t="shared" si="70"/>
        <v>11.043940000000001</v>
      </c>
      <c r="AG83" s="2">
        <v>102</v>
      </c>
      <c r="AH83">
        <f t="shared" si="71"/>
        <v>22.866007438177721</v>
      </c>
    </row>
    <row r="84" spans="6:34" x14ac:dyDescent="0.35">
      <c r="F84" s="2">
        <v>12.454700000000001</v>
      </c>
      <c r="G84" s="2">
        <v>17.63287</v>
      </c>
      <c r="H84" s="2">
        <f>G84-F84</f>
        <v>5.1781699999999997</v>
      </c>
      <c r="I84" s="2">
        <f>F85-G84</f>
        <v>3.6311999999999998</v>
      </c>
      <c r="J84" s="2">
        <f t="shared" si="72"/>
        <v>0.58780253298476504</v>
      </c>
      <c r="K84" s="2">
        <f t="shared" si="73"/>
        <v>0.41219746701523491</v>
      </c>
      <c r="L84" s="2">
        <f t="shared" si="74"/>
        <v>0.19311841828290691</v>
      </c>
      <c r="M84" s="2">
        <f t="shared" si="75"/>
        <v>0.11351549543270405</v>
      </c>
      <c r="N84" s="2">
        <f t="shared" si="76"/>
        <v>8.8093699999999995</v>
      </c>
      <c r="O84" s="2">
        <v>61</v>
      </c>
      <c r="P84">
        <f t="shared" si="77"/>
        <v>11.780223515257321</v>
      </c>
      <c r="X84" s="13">
        <v>26.758400000000002</v>
      </c>
      <c r="Y84" s="13">
        <v>32.034739999999999</v>
      </c>
      <c r="Z84" s="2">
        <f>Y84-X84</f>
        <v>5.2763399999999976</v>
      </c>
      <c r="AA84" s="2">
        <f>X85-Y84</f>
        <v>6.2930600000000041</v>
      </c>
      <c r="AB84" s="2">
        <f t="shared" si="66"/>
        <v>0.4560599512507128</v>
      </c>
      <c r="AC84" s="2">
        <f t="shared" si="67"/>
        <v>0.54394004874928714</v>
      </c>
      <c r="AD84" s="2">
        <f t="shared" si="68"/>
        <v>0.18952531489631078</v>
      </c>
      <c r="AE84" s="2">
        <f t="shared" si="69"/>
        <v>8.6434905872387488E-2</v>
      </c>
      <c r="AF84" s="2">
        <f t="shared" si="70"/>
        <v>11.569400000000002</v>
      </c>
      <c r="AG84" s="13">
        <v>121</v>
      </c>
      <c r="AH84">
        <f t="shared" si="71"/>
        <v>22.932563102453607</v>
      </c>
    </row>
    <row r="85" spans="6:34" x14ac:dyDescent="0.35">
      <c r="F85" s="13">
        <v>21.26407</v>
      </c>
      <c r="G85" s="13">
        <v>26.098569999999999</v>
      </c>
      <c r="H85" s="2">
        <f>G85-F85</f>
        <v>4.8344999999999985</v>
      </c>
      <c r="I85" s="2">
        <f>F86-G85</f>
        <v>3.8323999999999998</v>
      </c>
      <c r="J85" s="2">
        <f t="shared" si="72"/>
        <v>0.55781190506409439</v>
      </c>
      <c r="K85" s="2">
        <f t="shared" si="73"/>
        <v>0.44218809493590566</v>
      </c>
      <c r="L85" s="2">
        <f t="shared" si="74"/>
        <v>0.20684662322887584</v>
      </c>
      <c r="M85" s="2">
        <f t="shared" si="75"/>
        <v>0.1153815089593742</v>
      </c>
      <c r="N85" s="2">
        <f t="shared" si="76"/>
        <v>8.6668999999999983</v>
      </c>
      <c r="O85" s="13">
        <v>57</v>
      </c>
      <c r="P85">
        <f t="shared" si="77"/>
        <v>11.790257524045924</v>
      </c>
      <c r="X85" s="13">
        <v>38.327800000000003</v>
      </c>
      <c r="Y85" s="13">
        <v>44.630510000000001</v>
      </c>
      <c r="Z85" s="2">
        <f t="shared" ref="Z85:Z91" si="78">Y85-X85</f>
        <v>6.3027099999999976</v>
      </c>
      <c r="AA85" s="2">
        <f t="shared" ref="AA85:AA90" si="79">X86-Y85</f>
        <v>5.9378499999999974</v>
      </c>
      <c r="AB85" s="2">
        <f t="shared" si="66"/>
        <v>0.51490372989471067</v>
      </c>
      <c r="AC85" s="2">
        <f t="shared" si="67"/>
        <v>0.48509627010528927</v>
      </c>
      <c r="AD85" s="2">
        <f t="shared" si="68"/>
        <v>0.1586619089248911</v>
      </c>
      <c r="AE85" s="2">
        <f t="shared" si="69"/>
        <v>8.1695608697641323E-2</v>
      </c>
      <c r="AF85" s="2">
        <f t="shared" si="70"/>
        <v>12.240559999999995</v>
      </c>
      <c r="AG85" s="13">
        <v>126</v>
      </c>
      <c r="AH85">
        <f t="shared" si="71"/>
        <v>19.991400524536278</v>
      </c>
    </row>
    <row r="86" spans="6:34" x14ac:dyDescent="0.35">
      <c r="F86" s="13">
        <v>29.930969999999999</v>
      </c>
      <c r="G86" s="13">
        <v>35.377389999999998</v>
      </c>
      <c r="H86" s="2">
        <f t="shared" ref="H86:H93" si="80">G86-F86</f>
        <v>5.4464199999999998</v>
      </c>
      <c r="I86" s="2">
        <f t="shared" ref="I86:I93" si="81">F87-G86</f>
        <v>3.8877099999999984</v>
      </c>
      <c r="J86" s="2">
        <f t="shared" si="72"/>
        <v>0.58349519451732523</v>
      </c>
      <c r="K86" s="2">
        <f t="shared" si="73"/>
        <v>0.41650480548267477</v>
      </c>
      <c r="L86" s="2">
        <f t="shared" si="74"/>
        <v>0.18360684633208604</v>
      </c>
      <c r="M86" s="2">
        <f t="shared" si="75"/>
        <v>0.10713371251525318</v>
      </c>
      <c r="N86" s="2">
        <f t="shared" si="76"/>
        <v>9.3341299999999983</v>
      </c>
      <c r="O86" s="13">
        <v>71</v>
      </c>
      <c r="P86">
        <f t="shared" si="77"/>
        <v>13.036086089578109</v>
      </c>
      <c r="X86" s="13">
        <v>50.568359999999998</v>
      </c>
      <c r="Y86" s="13">
        <v>56.830770000000001</v>
      </c>
      <c r="Z86" s="2">
        <f t="shared" si="78"/>
        <v>6.2624100000000027</v>
      </c>
      <c r="AA86" s="2">
        <f t="shared" si="79"/>
        <v>6.1614999999999966</v>
      </c>
      <c r="AB86" s="2">
        <f t="shared" si="66"/>
        <v>0.50406112085486798</v>
      </c>
      <c r="AC86" s="2">
        <f t="shared" si="67"/>
        <v>0.49593887914513202</v>
      </c>
      <c r="AD86" s="2">
        <f t="shared" si="68"/>
        <v>0.15968293356710908</v>
      </c>
      <c r="AE86" s="2">
        <f t="shared" si="69"/>
        <v>8.0489958475230425E-2</v>
      </c>
      <c r="AF86" s="2">
        <f t="shared" si="70"/>
        <v>12.423909999999999</v>
      </c>
      <c r="AG86" s="13">
        <v>126</v>
      </c>
      <c r="AH86">
        <f t="shared" si="71"/>
        <v>20.120049629455742</v>
      </c>
    </row>
    <row r="87" spans="6:34" x14ac:dyDescent="0.35">
      <c r="F87" s="13">
        <v>39.265099999999997</v>
      </c>
      <c r="G87" s="13">
        <v>44.171869999999998</v>
      </c>
      <c r="H87" s="2">
        <f t="shared" si="80"/>
        <v>4.9067700000000016</v>
      </c>
      <c r="I87" s="2">
        <f t="shared" si="81"/>
        <v>4.1023899999999998</v>
      </c>
      <c r="J87" s="2">
        <f t="shared" si="72"/>
        <v>0.54464234179435167</v>
      </c>
      <c r="K87" s="2">
        <f t="shared" si="73"/>
        <v>0.45535765820564839</v>
      </c>
      <c r="L87" s="2">
        <f t="shared" si="74"/>
        <v>0.20380005584121524</v>
      </c>
      <c r="M87" s="2">
        <f t="shared" si="75"/>
        <v>0.11099813967117909</v>
      </c>
      <c r="N87" s="2">
        <f t="shared" si="76"/>
        <v>9.0091600000000014</v>
      </c>
      <c r="O87" s="13">
        <v>65</v>
      </c>
      <c r="P87">
        <f t="shared" si="77"/>
        <v>13.247003629678989</v>
      </c>
      <c r="X87" s="13">
        <v>62.992269999999998</v>
      </c>
      <c r="Y87" s="13">
        <v>67.909220000000005</v>
      </c>
      <c r="Z87" s="2">
        <f t="shared" si="78"/>
        <v>4.916950000000007</v>
      </c>
      <c r="AA87" s="2">
        <f t="shared" si="79"/>
        <v>5.9522800000000018</v>
      </c>
      <c r="AB87" s="2">
        <f t="shared" si="66"/>
        <v>0.45237335119415112</v>
      </c>
      <c r="AC87" s="2">
        <f t="shared" si="67"/>
        <v>0.54762664880584888</v>
      </c>
      <c r="AD87" s="2">
        <f t="shared" si="68"/>
        <v>0.20337811041397585</v>
      </c>
      <c r="AE87" s="2">
        <f t="shared" si="69"/>
        <v>9.2002837367504336E-2</v>
      </c>
      <c r="AF87" s="2">
        <f t="shared" si="70"/>
        <v>10.869230000000009</v>
      </c>
      <c r="AG87" s="13">
        <v>117</v>
      </c>
      <c r="AH87">
        <f t="shared" si="71"/>
        <v>23.795238918435174</v>
      </c>
    </row>
    <row r="88" spans="6:34" x14ac:dyDescent="0.35">
      <c r="F88" s="13">
        <v>48.274259999999998</v>
      </c>
      <c r="G88" s="13">
        <v>52.199680000000001</v>
      </c>
      <c r="H88" s="2">
        <f t="shared" si="80"/>
        <v>3.9254200000000026</v>
      </c>
      <c r="I88" s="2">
        <f t="shared" si="81"/>
        <v>4.2471499999999978</v>
      </c>
      <c r="J88" s="2">
        <f t="shared" si="72"/>
        <v>0.48031647327584864</v>
      </c>
      <c r="K88" s="2">
        <f t="shared" si="73"/>
        <v>0.5196835267241513</v>
      </c>
      <c r="L88" s="2">
        <f t="shared" si="74"/>
        <v>0.2547498102113912</v>
      </c>
      <c r="M88" s="2">
        <f t="shared" si="75"/>
        <v>0.1223605304084272</v>
      </c>
      <c r="N88" s="2">
        <f t="shared" si="76"/>
        <v>8.1725700000000003</v>
      </c>
      <c r="O88" s="13">
        <v>50</v>
      </c>
      <c r="P88">
        <f t="shared" si="77"/>
        <v>12.737490510569561</v>
      </c>
      <c r="X88" s="13">
        <v>73.861500000000007</v>
      </c>
      <c r="Y88" s="13">
        <v>79.868600000000001</v>
      </c>
      <c r="Z88" s="2">
        <f t="shared" si="78"/>
        <v>6.0070999999999941</v>
      </c>
      <c r="AA88" s="2">
        <f t="shared" si="79"/>
        <v>6.1741300000000052</v>
      </c>
      <c r="AB88" s="2">
        <f t="shared" si="66"/>
        <v>0.49314396001060601</v>
      </c>
      <c r="AC88" s="2">
        <f t="shared" si="67"/>
        <v>0.50685603998939399</v>
      </c>
      <c r="AD88" s="2">
        <f t="shared" si="68"/>
        <v>0.16646967754823475</v>
      </c>
      <c r="AE88" s="2">
        <f t="shared" si="69"/>
        <v>8.2093516007825162E-2</v>
      </c>
      <c r="AF88" s="2">
        <f t="shared" si="70"/>
        <v>12.181229999999999</v>
      </c>
      <c r="AG88" s="13">
        <v>136</v>
      </c>
      <c r="AH88">
        <f t="shared" si="71"/>
        <v>22.639876146559928</v>
      </c>
    </row>
    <row r="89" spans="6:34" x14ac:dyDescent="0.35">
      <c r="F89" s="13">
        <v>56.446829999999999</v>
      </c>
      <c r="G89" s="13">
        <v>60.805900000000001</v>
      </c>
      <c r="H89" s="2">
        <f t="shared" si="80"/>
        <v>4.3590700000000027</v>
      </c>
      <c r="I89" s="2">
        <f t="shared" si="81"/>
        <v>4.372480000000003</v>
      </c>
      <c r="J89" s="2">
        <f t="shared" si="72"/>
        <v>0.49923209510338939</v>
      </c>
      <c r="K89" s="2">
        <f t="shared" si="73"/>
        <v>0.50076790489661061</v>
      </c>
      <c r="L89" s="2">
        <f t="shared" si="74"/>
        <v>0.22940673125230826</v>
      </c>
      <c r="M89" s="2">
        <f t="shared" si="75"/>
        <v>0.11452720307391005</v>
      </c>
      <c r="N89" s="2">
        <f t="shared" si="76"/>
        <v>8.7315500000000057</v>
      </c>
      <c r="O89" s="13">
        <v>60</v>
      </c>
      <c r="P89">
        <f t="shared" si="77"/>
        <v>13.764403875138497</v>
      </c>
      <c r="X89" s="13">
        <v>86.042730000000006</v>
      </c>
      <c r="Y89" s="13">
        <v>92.193910000000002</v>
      </c>
      <c r="Z89" s="2">
        <f t="shared" si="78"/>
        <v>6.1511799999999965</v>
      </c>
      <c r="AA89" s="2">
        <f t="shared" si="79"/>
        <v>6.2191799999999944</v>
      </c>
      <c r="AB89" s="2">
        <f t="shared" si="66"/>
        <v>0.49725149470185193</v>
      </c>
      <c r="AC89" s="2">
        <f t="shared" si="67"/>
        <v>0.50274850529814807</v>
      </c>
      <c r="AD89" s="2">
        <f t="shared" si="68"/>
        <v>0.1625704336403748</v>
      </c>
      <c r="AE89" s="2">
        <f t="shared" si="69"/>
        <v>8.0838391122004596E-2</v>
      </c>
      <c r="AF89" s="2">
        <f t="shared" si="70"/>
        <v>12.370359999999991</v>
      </c>
      <c r="AG89" s="13">
        <v>141</v>
      </c>
      <c r="AH89">
        <f t="shared" si="71"/>
        <v>22.922431143292844</v>
      </c>
    </row>
    <row r="90" spans="6:34" x14ac:dyDescent="0.35">
      <c r="F90" s="13">
        <v>65.178380000000004</v>
      </c>
      <c r="G90" s="13">
        <v>69.280069999999995</v>
      </c>
      <c r="H90" s="2">
        <f t="shared" si="80"/>
        <v>4.1016899999999907</v>
      </c>
      <c r="I90" s="2">
        <f t="shared" si="81"/>
        <v>4.5070100000000082</v>
      </c>
      <c r="J90" s="2">
        <f t="shared" si="72"/>
        <v>0.47645869875823194</v>
      </c>
      <c r="K90" s="2">
        <f t="shared" si="73"/>
        <v>0.52354130124176812</v>
      </c>
      <c r="L90" s="2">
        <f t="shared" si="74"/>
        <v>0.24380194505191818</v>
      </c>
      <c r="M90" s="2">
        <f t="shared" si="75"/>
        <v>0.11616155749416289</v>
      </c>
      <c r="N90" s="2">
        <f t="shared" si="76"/>
        <v>8.6086999999999989</v>
      </c>
      <c r="O90" s="13">
        <v>57</v>
      </c>
      <c r="P90">
        <f t="shared" si="77"/>
        <v>13.896710867959335</v>
      </c>
      <c r="X90" s="13">
        <v>98.413089999999997</v>
      </c>
      <c r="Y90" s="13">
        <v>104.19468999999999</v>
      </c>
      <c r="Z90" s="2">
        <f t="shared" si="78"/>
        <v>5.7815999999999974</v>
      </c>
      <c r="AA90" s="2">
        <f t="shared" si="79"/>
        <v>5.5242300000000029</v>
      </c>
      <c r="AB90" s="2">
        <f t="shared" si="66"/>
        <v>0.51138218069792285</v>
      </c>
      <c r="AC90" s="2">
        <f t="shared" si="67"/>
        <v>0.48861781930207715</v>
      </c>
      <c r="AD90" s="2">
        <f t="shared" si="68"/>
        <v>0.1729625017296251</v>
      </c>
      <c r="AE90" s="2">
        <f t="shared" si="69"/>
        <v>8.844994131346394E-2</v>
      </c>
      <c r="AF90" s="2">
        <f t="shared" si="70"/>
        <v>11.30583</v>
      </c>
      <c r="AG90" s="13">
        <v>129</v>
      </c>
      <c r="AH90">
        <f t="shared" si="71"/>
        <v>22.312162723121638</v>
      </c>
    </row>
    <row r="91" spans="6:34" x14ac:dyDescent="0.35">
      <c r="F91" s="13">
        <v>73.787080000000003</v>
      </c>
      <c r="G91" s="13">
        <v>78.026539999999997</v>
      </c>
      <c r="H91" s="2">
        <f t="shared" si="80"/>
        <v>4.239459999999994</v>
      </c>
      <c r="I91" s="2">
        <f t="shared" si="81"/>
        <v>4.2102100000000036</v>
      </c>
      <c r="J91" s="2">
        <f t="shared" si="72"/>
        <v>0.50173083682557962</v>
      </c>
      <c r="K91" s="2">
        <f t="shared" si="73"/>
        <v>0.49826916317442038</v>
      </c>
      <c r="L91" s="2">
        <f t="shared" si="74"/>
        <v>0.23587909780962704</v>
      </c>
      <c r="M91" s="2">
        <f t="shared" si="75"/>
        <v>0.11834781713368692</v>
      </c>
      <c r="N91" s="2">
        <f t="shared" si="76"/>
        <v>8.4496699999999976</v>
      </c>
      <c r="O91" s="13">
        <v>55</v>
      </c>
      <c r="P91">
        <f t="shared" si="77"/>
        <v>12.973350379529487</v>
      </c>
      <c r="X91" s="13">
        <v>109.71892</v>
      </c>
      <c r="Y91">
        <v>114.42797</v>
      </c>
      <c r="Z91" s="2">
        <f t="shared" si="78"/>
        <v>4.7090500000000048</v>
      </c>
      <c r="AA91" s="2"/>
      <c r="AB91" s="2"/>
      <c r="AC91" s="2"/>
      <c r="AD91" s="2"/>
      <c r="AE91" s="2"/>
      <c r="AF91" s="2"/>
      <c r="AG91">
        <v>111</v>
      </c>
      <c r="AH91">
        <f t="shared" si="71"/>
        <v>23.571633344305091</v>
      </c>
    </row>
    <row r="92" spans="6:34" x14ac:dyDescent="0.35">
      <c r="F92" s="13">
        <v>82.236750000000001</v>
      </c>
      <c r="G92">
        <v>86.947059999999993</v>
      </c>
      <c r="H92" s="2">
        <f t="shared" si="80"/>
        <v>4.7103099999999927</v>
      </c>
      <c r="I92" s="2">
        <f t="shared" si="81"/>
        <v>4.5150200000000069</v>
      </c>
      <c r="J92" s="2">
        <f t="shared" si="72"/>
        <v>0.5105844452176771</v>
      </c>
      <c r="K92" s="2">
        <f t="shared" si="73"/>
        <v>0.4894155547823229</v>
      </c>
      <c r="L92" s="2">
        <f t="shared" si="74"/>
        <v>0.21230025200039945</v>
      </c>
      <c r="M92" s="2">
        <f t="shared" si="75"/>
        <v>0.10839720638719699</v>
      </c>
      <c r="N92" s="2">
        <f t="shared" si="76"/>
        <v>9.2253299999999996</v>
      </c>
      <c r="O92">
        <v>60</v>
      </c>
      <c r="P92">
        <f t="shared" si="77"/>
        <v>12.738015120023967</v>
      </c>
      <c r="X92" s="13"/>
      <c r="Z92" s="2"/>
      <c r="AA92" s="2"/>
      <c r="AB92" s="2"/>
      <c r="AC92" s="2"/>
      <c r="AD92" s="2"/>
      <c r="AE92" s="2"/>
      <c r="AF92" s="2"/>
    </row>
    <row r="93" spans="6:34" x14ac:dyDescent="0.35">
      <c r="F93" s="13">
        <v>91.46208</v>
      </c>
      <c r="G93">
        <v>96.242279999999994</v>
      </c>
      <c r="H93" s="2">
        <f t="shared" si="80"/>
        <v>4.7801999999999936</v>
      </c>
      <c r="I93" s="2">
        <f t="shared" si="81"/>
        <v>4.6721900000000005</v>
      </c>
      <c r="J93" s="2">
        <f t="shared" si="72"/>
        <v>0.50571336984614434</v>
      </c>
      <c r="K93" s="2">
        <f t="shared" si="73"/>
        <v>0.49428663015385566</v>
      </c>
      <c r="L93" s="2">
        <f t="shared" si="74"/>
        <v>0.20919626793858026</v>
      </c>
      <c r="M93" s="2">
        <f t="shared" si="75"/>
        <v>0.10579334961845635</v>
      </c>
      <c r="N93" s="2">
        <f t="shared" si="76"/>
        <v>9.4523899999999941</v>
      </c>
      <c r="O93">
        <v>61</v>
      </c>
      <c r="P93">
        <f t="shared" si="77"/>
        <v>12.760972344253396</v>
      </c>
      <c r="X93" s="13"/>
      <c r="Z93" s="2"/>
      <c r="AA93" s="2"/>
      <c r="AB93" s="2"/>
      <c r="AC93" s="2"/>
      <c r="AD93" s="2"/>
      <c r="AE93" s="2"/>
      <c r="AF93" s="2"/>
    </row>
    <row r="94" spans="6:34" x14ac:dyDescent="0.35">
      <c r="F94" s="13">
        <v>100.91446999999999</v>
      </c>
      <c r="G94">
        <v>105.60902</v>
      </c>
      <c r="H94" s="2">
        <f>G94-F94</f>
        <v>4.6945500000000067</v>
      </c>
      <c r="I94" s="2">
        <f>F95-G94</f>
        <v>4.5848199999999935</v>
      </c>
      <c r="J94" s="2">
        <f>H94/N94</f>
        <v>0.5059125781168341</v>
      </c>
      <c r="K94" s="2">
        <f>I94/N94</f>
        <v>0.4940874218831659</v>
      </c>
      <c r="L94" s="2">
        <f>1/H94</f>
        <v>0.21301296183872759</v>
      </c>
      <c r="M94" s="2">
        <f>1/N94</f>
        <v>0.10776593669613346</v>
      </c>
      <c r="N94" s="2">
        <f>H94+I94</f>
        <v>9.2793700000000001</v>
      </c>
      <c r="O94">
        <v>60</v>
      </c>
      <c r="P94">
        <f t="shared" si="77"/>
        <v>12.780777710323655</v>
      </c>
      <c r="X94" s="13"/>
      <c r="Z94" s="2"/>
      <c r="AA94" s="2"/>
      <c r="AB94" s="2"/>
      <c r="AC94" s="2"/>
      <c r="AD94" s="2"/>
      <c r="AE94" s="2"/>
      <c r="AF94" s="2"/>
    </row>
    <row r="95" spans="6:34" x14ac:dyDescent="0.35">
      <c r="F95" s="13">
        <v>110.19383999999999</v>
      </c>
      <c r="G95">
        <v>114.03367</v>
      </c>
      <c r="H95" s="2">
        <f>G95-F95</f>
        <v>3.8398300000000063</v>
      </c>
      <c r="I95" s="2">
        <f>F96-G95</f>
        <v>4.652630000000002</v>
      </c>
      <c r="J95" s="2">
        <f>H95/N95</f>
        <v>0.45214578579116094</v>
      </c>
      <c r="K95" s="2">
        <f>I95/N95</f>
        <v>0.54785421420883906</v>
      </c>
      <c r="L95" s="2">
        <f>1/H95</f>
        <v>0.26042819603992845</v>
      </c>
      <c r="M95" s="2">
        <f>1/N95</f>
        <v>0.11775151134064794</v>
      </c>
      <c r="N95" s="2">
        <f>H95+I95</f>
        <v>8.4924600000000083</v>
      </c>
      <c r="O95">
        <v>51</v>
      </c>
      <c r="P95">
        <f t="shared" si="77"/>
        <v>13.28183799803635</v>
      </c>
      <c r="X95" s="13"/>
    </row>
    <row r="96" spans="6:34" ht="16" thickBot="1" x14ac:dyDescent="0.4">
      <c r="F96" s="13">
        <v>118.6863</v>
      </c>
      <c r="G96">
        <v>119.95766</v>
      </c>
      <c r="H96" s="2">
        <f>G96-F96</f>
        <v>1.2713600000000014</v>
      </c>
      <c r="I96" s="2"/>
      <c r="J96" s="2"/>
      <c r="K96" s="2"/>
      <c r="L96" s="2"/>
      <c r="M96" s="2"/>
      <c r="N96" s="2"/>
      <c r="X96" s="13"/>
      <c r="Y96" s="13"/>
      <c r="Z96" s="9" t="s">
        <v>3</v>
      </c>
      <c r="AA96" s="9" t="s">
        <v>4</v>
      </c>
      <c r="AB96" s="9" t="s">
        <v>5</v>
      </c>
      <c r="AC96" s="9" t="s">
        <v>6</v>
      </c>
      <c r="AD96" s="9" t="s">
        <v>7</v>
      </c>
      <c r="AE96" s="9" t="s">
        <v>8</v>
      </c>
      <c r="AF96" s="9" t="s">
        <v>9</v>
      </c>
      <c r="AG96" s="9" t="s">
        <v>10</v>
      </c>
      <c r="AH96" s="44" t="s">
        <v>139</v>
      </c>
    </row>
    <row r="97" spans="6:34" x14ac:dyDescent="0.35">
      <c r="F97" s="13"/>
      <c r="H97" s="2"/>
      <c r="I97" s="2"/>
      <c r="J97" s="2"/>
      <c r="K97" s="2"/>
      <c r="L97" s="2"/>
      <c r="M97" s="2"/>
      <c r="N97" s="2"/>
      <c r="Y97" s="49" t="s">
        <v>77</v>
      </c>
      <c r="Z97" s="2">
        <f>AVERAGE(Z82:Z90)</f>
        <v>5.5715111111111106</v>
      </c>
      <c r="AA97" s="2">
        <f t="shared" ref="AA97:AF97" si="82">AVERAGE(AA82:AA90)</f>
        <v>6.1333900000000012</v>
      </c>
      <c r="AB97" s="2">
        <f t="shared" si="82"/>
        <v>0.47473936128611149</v>
      </c>
      <c r="AC97" s="2">
        <f t="shared" si="82"/>
        <v>0.52526063871388851</v>
      </c>
      <c r="AD97" s="2">
        <f t="shared" si="82"/>
        <v>0.18200530469504397</v>
      </c>
      <c r="AE97" s="2">
        <f t="shared" si="82"/>
        <v>8.5637633043382275E-2</v>
      </c>
      <c r="AF97" s="2">
        <f t="shared" si="82"/>
        <v>11.704901111111111</v>
      </c>
      <c r="AG97" s="2">
        <f>AVERAGE(AG82:AG91)</f>
        <v>122.6</v>
      </c>
      <c r="AH97" s="2">
        <f>AVERAGE(AH82:AH91)</f>
        <v>22.462394017906743</v>
      </c>
    </row>
    <row r="98" spans="6:34" ht="16" thickBot="1" x14ac:dyDescent="0.4">
      <c r="F98" s="13"/>
      <c r="G98" s="13"/>
      <c r="H98" s="9" t="s">
        <v>3</v>
      </c>
      <c r="I98" s="9" t="s">
        <v>4</v>
      </c>
      <c r="J98" s="9" t="s">
        <v>5</v>
      </c>
      <c r="K98" s="9" t="s">
        <v>6</v>
      </c>
      <c r="L98" s="9" t="s">
        <v>7</v>
      </c>
      <c r="M98" s="9" t="s">
        <v>8</v>
      </c>
      <c r="N98" s="9" t="s">
        <v>9</v>
      </c>
      <c r="O98" s="9" t="s">
        <v>10</v>
      </c>
      <c r="P98" s="44" t="s">
        <v>139</v>
      </c>
      <c r="Y98" s="49" t="s">
        <v>94</v>
      </c>
      <c r="Z98" s="2">
        <f>_xlfn.STDEV.S(Z82:Z90)</f>
        <v>0.67784043716873688</v>
      </c>
      <c r="AA98" s="2">
        <f t="shared" ref="AA98:AF98" si="83">_xlfn.STDEV.S(AA82:AA90)</f>
        <v>0.30184407994857226</v>
      </c>
      <c r="AB98" s="2">
        <f t="shared" si="83"/>
        <v>3.8347154783351385E-2</v>
      </c>
      <c r="AC98" s="2">
        <f t="shared" si="83"/>
        <v>3.8347154783351392E-2</v>
      </c>
      <c r="AD98" s="2">
        <f t="shared" si="83"/>
        <v>2.3404924883291135E-2</v>
      </c>
      <c r="AE98" s="2">
        <f t="shared" si="83"/>
        <v>4.4341404901091647E-3</v>
      </c>
      <c r="AF98" s="2">
        <f t="shared" si="83"/>
        <v>0.60413899932971271</v>
      </c>
      <c r="AG98" s="2">
        <f>_xlfn.STDEV.S(AG82:AG91)</f>
        <v>11.577756451249286</v>
      </c>
      <c r="AH98" s="2">
        <f>_xlfn.STDEV.S(AH82:AH91)</f>
        <v>1.3445118831442575</v>
      </c>
    </row>
    <row r="99" spans="6:34" x14ac:dyDescent="0.35">
      <c r="G99" s="49" t="s">
        <v>77</v>
      </c>
      <c r="H99" s="2">
        <f>AVERAGE(H83:H95)</f>
        <v>4.6600684615384607</v>
      </c>
      <c r="I99" s="2">
        <f t="shared" ref="I99:P99" si="84">AVERAGE(I83:I95)</f>
        <v>4.2346115384615395</v>
      </c>
      <c r="J99" s="2">
        <f t="shared" si="84"/>
        <v>0.52291247750162806</v>
      </c>
      <c r="K99" s="2">
        <f t="shared" si="84"/>
        <v>0.477087522498372</v>
      </c>
      <c r="L99" s="2">
        <f t="shared" si="84"/>
        <v>0.21737368243507549</v>
      </c>
      <c r="M99" s="2">
        <f t="shared" si="84"/>
        <v>0.11265581148669311</v>
      </c>
      <c r="N99" s="2">
        <f t="shared" si="84"/>
        <v>8.8946799999999993</v>
      </c>
      <c r="O99" s="2">
        <f t="shared" si="84"/>
        <v>59.769230769230766</v>
      </c>
      <c r="P99" s="2">
        <f t="shared" si="84"/>
        <v>12.860551192809826</v>
      </c>
      <c r="Y99" s="49" t="s">
        <v>95</v>
      </c>
      <c r="Z99" s="2">
        <f>Z98/SQRT(9)</f>
        <v>0.22594681238957895</v>
      </c>
      <c r="AA99" s="2">
        <f t="shared" ref="AA99:AF99" si="85">AA98/SQRT(9)</f>
        <v>0.10061469331619076</v>
      </c>
      <c r="AB99" s="2">
        <f t="shared" si="85"/>
        <v>1.2782384927783795E-2</v>
      </c>
      <c r="AC99" s="2">
        <f t="shared" si="85"/>
        <v>1.2782384927783797E-2</v>
      </c>
      <c r="AD99" s="2">
        <f t="shared" si="85"/>
        <v>7.8016416277637115E-3</v>
      </c>
      <c r="AE99" s="2">
        <f t="shared" si="85"/>
        <v>1.4780468300363882E-3</v>
      </c>
      <c r="AF99" s="2">
        <f t="shared" si="85"/>
        <v>0.20137966644323757</v>
      </c>
      <c r="AG99" s="2">
        <f>AG98/SQRT(10)</f>
        <v>3.6612080580655948</v>
      </c>
      <c r="AH99" s="2">
        <f>AH98/SQRT(10)</f>
        <v>0.42517198918980037</v>
      </c>
    </row>
    <row r="100" spans="6:34" x14ac:dyDescent="0.35">
      <c r="G100" s="49" t="s">
        <v>94</v>
      </c>
      <c r="H100" s="2">
        <f>_xlfn.STDEV.S(H83:H95)</f>
        <v>0.5481791597164497</v>
      </c>
      <c r="I100" s="2">
        <f t="shared" ref="I100:P100" si="86">_xlfn.STDEV.S(I83:I95)</f>
        <v>0.3517871710955881</v>
      </c>
      <c r="J100" s="2">
        <f t="shared" si="86"/>
        <v>4.5710081270608341E-2</v>
      </c>
      <c r="K100" s="2">
        <f t="shared" si="86"/>
        <v>4.5710081270608355E-2</v>
      </c>
      <c r="L100" s="2">
        <f t="shared" si="86"/>
        <v>2.5803862240779164E-2</v>
      </c>
      <c r="M100" s="2">
        <f t="shared" si="86"/>
        <v>5.3082445048846186E-3</v>
      </c>
      <c r="N100" s="2">
        <f t="shared" si="86"/>
        <v>0.41613040740453661</v>
      </c>
      <c r="O100" s="2">
        <f t="shared" si="86"/>
        <v>6.1394061351492049</v>
      </c>
      <c r="P100" s="2">
        <f t="shared" si="86"/>
        <v>0.63456614175288528</v>
      </c>
    </row>
    <row r="101" spans="6:34" x14ac:dyDescent="0.35">
      <c r="G101" s="49" t="s">
        <v>95</v>
      </c>
      <c r="H101" s="2">
        <f>H100/SQRT(13)</f>
        <v>0.15203754373064793</v>
      </c>
      <c r="I101" s="2">
        <f t="shared" ref="I101:P101" si="87">I100/SQRT(13)</f>
        <v>9.7568206418120487E-2</v>
      </c>
      <c r="J101" s="2">
        <f t="shared" si="87"/>
        <v>1.2677695525138808E-2</v>
      </c>
      <c r="K101" s="2">
        <f t="shared" si="87"/>
        <v>1.2677695525138814E-2</v>
      </c>
      <c r="L101" s="2">
        <f t="shared" si="87"/>
        <v>7.1567037241644918E-3</v>
      </c>
      <c r="M101" s="2">
        <f t="shared" si="87"/>
        <v>1.4722421342354961E-3</v>
      </c>
      <c r="N101" s="2">
        <f t="shared" si="87"/>
        <v>0.1154138093212905</v>
      </c>
      <c r="O101" s="2">
        <f t="shared" si="87"/>
        <v>1.7027648939368198</v>
      </c>
      <c r="P101" s="2">
        <f t="shared" si="87"/>
        <v>0.17599698167410602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99"/>
  <sheetViews>
    <sheetView topLeftCell="N13" workbookViewId="0">
      <selection activeCell="AB20" sqref="AB20"/>
    </sheetView>
  </sheetViews>
  <sheetFormatPr defaultRowHeight="14.5" x14ac:dyDescent="0.35"/>
  <sheetData>
    <row r="4" spans="2:34" ht="18.5" x14ac:dyDescent="0.45">
      <c r="B4" s="2"/>
      <c r="C4" s="1" t="s">
        <v>370</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371</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3.6591800000000001</v>
      </c>
      <c r="G7" s="2">
        <v>7.0509599999999999</v>
      </c>
      <c r="H7" s="2">
        <f t="shared" ref="H7:H15" si="0">G7-F7</f>
        <v>3.3917799999999998</v>
      </c>
      <c r="I7" s="2">
        <f t="shared" ref="I7:I14" si="1">F8-G7</f>
        <v>9.4742400000000018</v>
      </c>
      <c r="J7" s="2">
        <f t="shared" ref="J7:J14" si="2">H7/N7</f>
        <v>0.26362309401042427</v>
      </c>
      <c r="K7" s="2">
        <f t="shared" ref="K7:K14" si="3">I7/N7</f>
        <v>0.73637690598957561</v>
      </c>
      <c r="L7" s="2">
        <f t="shared" ref="L7:L14" si="4">1/H7</f>
        <v>0.29483044301222366</v>
      </c>
      <c r="M7" s="2">
        <f t="shared" ref="M7:M14" si="5">1/N7</f>
        <v>7.7724113595346492E-2</v>
      </c>
      <c r="N7" s="2">
        <f t="shared" ref="N7:N14" si="6">H7+I7</f>
        <v>12.866020000000002</v>
      </c>
      <c r="O7" s="2">
        <v>17</v>
      </c>
      <c r="P7">
        <f t="shared" ref="P7:P14" si="7">O7/H7</f>
        <v>5.012117531207803</v>
      </c>
      <c r="X7" s="2">
        <v>2.4013100000000001</v>
      </c>
      <c r="Y7" s="2">
        <v>5.7042900000000003</v>
      </c>
      <c r="Z7" s="2">
        <f t="shared" ref="Z7:Z15" si="8">Y7-X7</f>
        <v>3.3029800000000002</v>
      </c>
      <c r="AA7" s="2">
        <f t="shared" ref="AA7:AA14" si="9">X8-Y7</f>
        <v>9.366719999999999</v>
      </c>
      <c r="AB7" s="2">
        <f t="shared" ref="AB7:AB14" si="10">Z7/AF7</f>
        <v>0.26069914836183972</v>
      </c>
      <c r="AC7" s="2">
        <f t="shared" ref="AC7:AC14" si="11">AA7/AF7</f>
        <v>0.73930085163816028</v>
      </c>
      <c r="AD7" s="2">
        <f t="shared" ref="AD7:AD14" si="12">1/Z7</f>
        <v>0.30275690437120417</v>
      </c>
      <c r="AE7" s="2">
        <f t="shared" ref="AE7:AE14" si="13">1/AF7</f>
        <v>7.8928467130239877E-2</v>
      </c>
      <c r="AF7" s="2">
        <f t="shared" ref="AF7:AF14" si="14">Z7+AA7</f>
        <v>12.669699999999999</v>
      </c>
      <c r="AG7" s="2">
        <v>19</v>
      </c>
      <c r="AH7">
        <f t="shared" ref="AH7:AH15" si="15">AG7/Z7</f>
        <v>5.7523811830528793</v>
      </c>
    </row>
    <row r="8" spans="2:34" x14ac:dyDescent="0.35">
      <c r="B8" s="2"/>
      <c r="C8" s="2"/>
      <c r="D8" s="2"/>
      <c r="E8" s="2"/>
      <c r="F8" s="2">
        <v>16.525200000000002</v>
      </c>
      <c r="G8" s="2">
        <v>19.72983</v>
      </c>
      <c r="H8" s="2">
        <f t="shared" si="0"/>
        <v>3.2046299999999981</v>
      </c>
      <c r="I8" s="2">
        <f t="shared" si="1"/>
        <v>12.581650000000003</v>
      </c>
      <c r="J8" s="2">
        <f t="shared" si="2"/>
        <v>0.20300096032757545</v>
      </c>
      <c r="K8" s="2">
        <f t="shared" si="3"/>
        <v>0.79699903967242458</v>
      </c>
      <c r="L8" s="2">
        <f t="shared" si="4"/>
        <v>0.31204850481958935</v>
      </c>
      <c r="M8" s="2">
        <f t="shared" si="5"/>
        <v>6.3346146147160692E-2</v>
      </c>
      <c r="N8" s="2">
        <f t="shared" si="6"/>
        <v>15.786280000000001</v>
      </c>
      <c r="O8" s="2">
        <v>16</v>
      </c>
      <c r="P8">
        <f t="shared" si="7"/>
        <v>4.9927760771134295</v>
      </c>
      <c r="X8" s="2">
        <v>15.071009999999999</v>
      </c>
      <c r="Y8" s="2">
        <v>18.366990000000001</v>
      </c>
      <c r="Z8" s="2">
        <f t="shared" si="8"/>
        <v>3.2959800000000019</v>
      </c>
      <c r="AA8" s="2">
        <f t="shared" si="9"/>
        <v>12.16545</v>
      </c>
      <c r="AB8" s="2">
        <f t="shared" si="10"/>
        <v>0.21317433122292062</v>
      </c>
      <c r="AC8" s="2">
        <f t="shared" si="11"/>
        <v>0.78682566877707938</v>
      </c>
      <c r="AD8" s="2">
        <f t="shared" si="12"/>
        <v>0.30339989927123329</v>
      </c>
      <c r="AE8" s="2">
        <f t="shared" si="13"/>
        <v>6.4677070620246635E-2</v>
      </c>
      <c r="AF8" s="2">
        <f t="shared" si="14"/>
        <v>15.461430000000002</v>
      </c>
      <c r="AG8" s="2">
        <v>19</v>
      </c>
      <c r="AH8">
        <f t="shared" si="15"/>
        <v>5.7645980861534323</v>
      </c>
    </row>
    <row r="9" spans="2:34" x14ac:dyDescent="0.35">
      <c r="B9" s="2"/>
      <c r="C9" s="2"/>
      <c r="D9" s="2"/>
      <c r="E9" s="2"/>
      <c r="F9" s="13">
        <v>32.311480000000003</v>
      </c>
      <c r="G9" s="13">
        <v>35.568680000000001</v>
      </c>
      <c r="H9" s="2">
        <f t="shared" si="0"/>
        <v>3.2571999999999974</v>
      </c>
      <c r="I9" s="2">
        <f t="shared" si="1"/>
        <v>8.5584699999999998</v>
      </c>
      <c r="J9" s="2">
        <f t="shared" si="2"/>
        <v>0.27566782078375568</v>
      </c>
      <c r="K9" s="2">
        <f t="shared" si="3"/>
        <v>0.72433217921624438</v>
      </c>
      <c r="L9" s="2">
        <f t="shared" si="4"/>
        <v>0.30701215768144441</v>
      </c>
      <c r="M9" s="2">
        <f t="shared" si="5"/>
        <v>8.4633372462162557E-2</v>
      </c>
      <c r="N9" s="2">
        <f t="shared" si="6"/>
        <v>11.815669999999997</v>
      </c>
      <c r="O9" s="13">
        <v>16</v>
      </c>
      <c r="P9">
        <f t="shared" si="7"/>
        <v>4.9121945229031105</v>
      </c>
      <c r="X9" s="13">
        <v>30.532440000000001</v>
      </c>
      <c r="Y9" s="13">
        <v>34.037489999999998</v>
      </c>
      <c r="Z9" s="2">
        <f t="shared" si="8"/>
        <v>3.5050499999999971</v>
      </c>
      <c r="AA9" s="2">
        <f t="shared" si="9"/>
        <v>9.1796599999999984</v>
      </c>
      <c r="AB9" s="2">
        <f t="shared" si="10"/>
        <v>0.27632086188805249</v>
      </c>
      <c r="AC9" s="2">
        <f t="shared" si="11"/>
        <v>0.72367913811194751</v>
      </c>
      <c r="AD9" s="2">
        <f t="shared" si="12"/>
        <v>0.28530263476983231</v>
      </c>
      <c r="AE9" s="2">
        <f t="shared" si="13"/>
        <v>7.8835069938532329E-2</v>
      </c>
      <c r="AF9" s="2">
        <f t="shared" si="14"/>
        <v>12.684709999999995</v>
      </c>
      <c r="AG9" s="13">
        <v>22</v>
      </c>
      <c r="AH9">
        <f t="shared" si="15"/>
        <v>6.2766579649363115</v>
      </c>
    </row>
    <row r="10" spans="2:34" x14ac:dyDescent="0.35">
      <c r="B10" s="2"/>
      <c r="C10" s="2"/>
      <c r="D10" s="2"/>
      <c r="E10" s="2"/>
      <c r="F10" s="13">
        <v>44.12715</v>
      </c>
      <c r="G10" s="13">
        <v>47.270820000000001</v>
      </c>
      <c r="H10" s="2">
        <f t="shared" si="0"/>
        <v>3.1436700000000002</v>
      </c>
      <c r="I10" s="2">
        <f t="shared" si="1"/>
        <v>13.970089999999999</v>
      </c>
      <c r="J10" s="2">
        <f t="shared" si="2"/>
        <v>0.18369253746692721</v>
      </c>
      <c r="K10" s="2">
        <f t="shared" si="3"/>
        <v>0.81630746253307274</v>
      </c>
      <c r="L10" s="2">
        <f t="shared" si="4"/>
        <v>0.31809954607194774</v>
      </c>
      <c r="M10" s="2">
        <f t="shared" si="5"/>
        <v>5.8432512785033801E-2</v>
      </c>
      <c r="N10" s="2">
        <f t="shared" si="6"/>
        <v>17.113759999999999</v>
      </c>
      <c r="O10" s="13">
        <v>16</v>
      </c>
      <c r="P10">
        <f t="shared" si="7"/>
        <v>5.0895927371511638</v>
      </c>
      <c r="X10" s="13">
        <v>43.217149999999997</v>
      </c>
      <c r="Y10" s="13">
        <v>46.701549999999997</v>
      </c>
      <c r="Z10" s="2">
        <f t="shared" si="8"/>
        <v>3.4844000000000008</v>
      </c>
      <c r="AA10" s="2">
        <f t="shared" si="9"/>
        <v>11.331500000000005</v>
      </c>
      <c r="AB10" s="2">
        <f t="shared" si="10"/>
        <v>0.23517977308162172</v>
      </c>
      <c r="AC10" s="2">
        <f t="shared" si="11"/>
        <v>0.76482022691837825</v>
      </c>
      <c r="AD10" s="2">
        <f t="shared" si="12"/>
        <v>0.28699345654919062</v>
      </c>
      <c r="AE10" s="2">
        <f t="shared" si="13"/>
        <v>6.7495055987148916E-2</v>
      </c>
      <c r="AF10" s="2">
        <f t="shared" si="14"/>
        <v>14.815900000000006</v>
      </c>
      <c r="AG10" s="13">
        <v>20</v>
      </c>
      <c r="AH10">
        <f t="shared" si="15"/>
        <v>5.7398691309838119</v>
      </c>
    </row>
    <row r="11" spans="2:34" x14ac:dyDescent="0.35">
      <c r="B11" s="2"/>
      <c r="C11" s="2"/>
      <c r="D11" s="2"/>
      <c r="E11" s="2"/>
      <c r="F11" s="13">
        <v>61.24091</v>
      </c>
      <c r="G11" s="13">
        <v>64.444640000000007</v>
      </c>
      <c r="H11" s="2">
        <f t="shared" si="0"/>
        <v>3.2037300000000073</v>
      </c>
      <c r="I11" s="2">
        <f t="shared" si="1"/>
        <v>6.8926199999999938</v>
      </c>
      <c r="J11" s="2">
        <f t="shared" si="2"/>
        <v>0.31731566358139396</v>
      </c>
      <c r="K11" s="2">
        <f t="shared" si="3"/>
        <v>0.68268433641860604</v>
      </c>
      <c r="L11" s="2">
        <f t="shared" si="4"/>
        <v>0.3121361662811778</v>
      </c>
      <c r="M11" s="2">
        <f t="shared" si="5"/>
        <v>9.9045694731264261E-2</v>
      </c>
      <c r="N11" s="2">
        <f t="shared" si="6"/>
        <v>10.096350000000001</v>
      </c>
      <c r="O11" s="13">
        <v>16</v>
      </c>
      <c r="P11">
        <f t="shared" si="7"/>
        <v>4.9941786604988447</v>
      </c>
      <c r="X11" s="13">
        <v>58.033050000000003</v>
      </c>
      <c r="Y11" s="13">
        <v>61.533670000000001</v>
      </c>
      <c r="Z11" s="2">
        <f t="shared" si="8"/>
        <v>3.5006199999999978</v>
      </c>
      <c r="AA11" s="2">
        <f t="shared" si="9"/>
        <v>9.9987100000000027</v>
      </c>
      <c r="AB11" s="2">
        <f t="shared" si="10"/>
        <v>0.25931805504421312</v>
      </c>
      <c r="AC11" s="2">
        <f t="shared" si="11"/>
        <v>0.74068194495578688</v>
      </c>
      <c r="AD11" s="2">
        <f t="shared" si="12"/>
        <v>0.28566368243339768</v>
      </c>
      <c r="AE11" s="2">
        <f t="shared" si="13"/>
        <v>7.4077750525396446E-2</v>
      </c>
      <c r="AF11" s="2">
        <f t="shared" si="14"/>
        <v>13.49933</v>
      </c>
      <c r="AG11" s="13">
        <v>21</v>
      </c>
      <c r="AH11">
        <f t="shared" si="15"/>
        <v>5.9989373311013514</v>
      </c>
    </row>
    <row r="12" spans="2:34" x14ac:dyDescent="0.35">
      <c r="B12" s="2"/>
      <c r="C12" s="2"/>
      <c r="D12" s="2"/>
      <c r="E12" s="2"/>
      <c r="F12" s="13">
        <v>71.337260000000001</v>
      </c>
      <c r="G12" s="13">
        <v>75.327550000000002</v>
      </c>
      <c r="H12" s="2">
        <f t="shared" si="0"/>
        <v>3.9902900000000017</v>
      </c>
      <c r="I12" s="2">
        <f t="shared" si="1"/>
        <v>17.461579999999998</v>
      </c>
      <c r="J12" s="2">
        <f t="shared" si="2"/>
        <v>0.18601128945868131</v>
      </c>
      <c r="K12" s="2">
        <f t="shared" si="3"/>
        <v>0.81398871054131872</v>
      </c>
      <c r="L12" s="2">
        <f t="shared" si="4"/>
        <v>0.25060835177393109</v>
      </c>
      <c r="M12" s="2">
        <f t="shared" si="5"/>
        <v>4.6615982662583731E-2</v>
      </c>
      <c r="N12" s="2">
        <f t="shared" si="6"/>
        <v>21.45187</v>
      </c>
      <c r="O12" s="13">
        <v>15</v>
      </c>
      <c r="P12">
        <f t="shared" si="7"/>
        <v>3.7591252766089669</v>
      </c>
      <c r="X12" s="13">
        <v>71.532380000000003</v>
      </c>
      <c r="Y12" s="13">
        <v>75.373199999999997</v>
      </c>
      <c r="Z12" s="2">
        <f t="shared" si="8"/>
        <v>3.8408199999999937</v>
      </c>
      <c r="AA12" s="2">
        <f t="shared" si="9"/>
        <v>9.5089800000000082</v>
      </c>
      <c r="AB12" s="2">
        <f t="shared" si="10"/>
        <v>0.28770618286416222</v>
      </c>
      <c r="AC12" s="2">
        <f t="shared" si="11"/>
        <v>0.71229381713583773</v>
      </c>
      <c r="AD12" s="2">
        <f t="shared" si="12"/>
        <v>0.26036106873011533</v>
      </c>
      <c r="AE12" s="2">
        <f t="shared" si="13"/>
        <v>7.4907489250775283E-2</v>
      </c>
      <c r="AF12" s="2">
        <f t="shared" si="14"/>
        <v>13.349800000000002</v>
      </c>
      <c r="AG12" s="13">
        <v>23</v>
      </c>
      <c r="AH12">
        <f t="shared" si="15"/>
        <v>5.9883045807926534</v>
      </c>
    </row>
    <row r="13" spans="2:34" x14ac:dyDescent="0.35">
      <c r="B13" s="2"/>
      <c r="C13" s="2"/>
      <c r="D13" s="2"/>
      <c r="E13" s="2"/>
      <c r="F13" s="13">
        <v>92.78913</v>
      </c>
      <c r="G13" s="13">
        <v>95.972579999999994</v>
      </c>
      <c r="H13" s="2">
        <f t="shared" si="0"/>
        <v>3.1834499999999935</v>
      </c>
      <c r="I13" s="2">
        <f t="shared" si="1"/>
        <v>7.4441699999999997</v>
      </c>
      <c r="J13" s="2">
        <f t="shared" si="2"/>
        <v>0.29954495926651459</v>
      </c>
      <c r="K13" s="2">
        <f t="shared" si="3"/>
        <v>0.70045504073348541</v>
      </c>
      <c r="L13" s="2">
        <f t="shared" si="4"/>
        <v>0.31412461323407059</v>
      </c>
      <c r="M13" s="2">
        <f t="shared" si="5"/>
        <v>9.4094444475809322E-2</v>
      </c>
      <c r="N13" s="2">
        <f t="shared" si="6"/>
        <v>10.627619999999993</v>
      </c>
      <c r="O13" s="13">
        <v>16</v>
      </c>
      <c r="P13">
        <f t="shared" si="7"/>
        <v>5.0259938117451295</v>
      </c>
      <c r="X13" s="13">
        <v>84.882180000000005</v>
      </c>
      <c r="Y13" s="13">
        <v>88.368129999999994</v>
      </c>
      <c r="Z13" s="2">
        <f t="shared" si="8"/>
        <v>3.4859499999999883</v>
      </c>
      <c r="AA13" s="2">
        <f t="shared" si="9"/>
        <v>15.387730000000005</v>
      </c>
      <c r="AB13" s="2">
        <f t="shared" si="10"/>
        <v>0.18469900941416775</v>
      </c>
      <c r="AC13" s="2">
        <f t="shared" si="11"/>
        <v>0.81530099058583227</v>
      </c>
      <c r="AD13" s="2">
        <f t="shared" si="12"/>
        <v>0.28686584718656416</v>
      </c>
      <c r="AE13" s="2">
        <f t="shared" si="13"/>
        <v>5.2983837810114419E-2</v>
      </c>
      <c r="AF13" s="2">
        <f t="shared" si="14"/>
        <v>18.873679999999993</v>
      </c>
      <c r="AG13" s="13">
        <v>19</v>
      </c>
      <c r="AH13">
        <f t="shared" si="15"/>
        <v>5.450451096544719</v>
      </c>
    </row>
    <row r="14" spans="2:34" x14ac:dyDescent="0.35">
      <c r="B14" s="2"/>
      <c r="C14" s="2"/>
      <c r="D14" s="2"/>
      <c r="E14" s="2"/>
      <c r="F14" s="13">
        <v>103.41674999999999</v>
      </c>
      <c r="G14" s="13">
        <v>106.61745999999999</v>
      </c>
      <c r="H14" s="2">
        <f t="shared" si="0"/>
        <v>3.2007100000000008</v>
      </c>
      <c r="I14" s="2">
        <f t="shared" si="1"/>
        <v>12.4833</v>
      </c>
      <c r="J14" s="2">
        <f t="shared" si="2"/>
        <v>0.20407472323723339</v>
      </c>
      <c r="K14" s="2">
        <f t="shared" si="3"/>
        <v>0.79592527676276659</v>
      </c>
      <c r="L14" s="2">
        <f t="shared" si="4"/>
        <v>0.31243067944299852</v>
      </c>
      <c r="M14" s="2">
        <f t="shared" si="5"/>
        <v>6.3759204438150696E-2</v>
      </c>
      <c r="N14" s="2">
        <f t="shared" si="6"/>
        <v>15.684010000000001</v>
      </c>
      <c r="O14" s="13">
        <v>15</v>
      </c>
      <c r="P14">
        <f t="shared" si="7"/>
        <v>4.6864601916449775</v>
      </c>
      <c r="X14" s="13">
        <v>103.75586</v>
      </c>
      <c r="Y14" s="13">
        <v>107.03833</v>
      </c>
      <c r="Z14" s="2">
        <f t="shared" si="8"/>
        <v>3.2824700000000036</v>
      </c>
      <c r="AA14" s="2">
        <f t="shared" si="9"/>
        <v>10.166709999999995</v>
      </c>
      <c r="AB14" s="2">
        <f t="shared" si="10"/>
        <v>0.24406469390698943</v>
      </c>
      <c r="AC14" s="2">
        <f t="shared" si="11"/>
        <v>0.75593530609301063</v>
      </c>
      <c r="AD14" s="2">
        <f t="shared" si="12"/>
        <v>0.30464863349855409</v>
      </c>
      <c r="AE14" s="2">
        <f t="shared" si="13"/>
        <v>7.4353975484007212E-2</v>
      </c>
      <c r="AF14" s="2">
        <f t="shared" si="14"/>
        <v>13.449179999999998</v>
      </c>
      <c r="AG14" s="13">
        <v>20</v>
      </c>
      <c r="AH14">
        <f t="shared" si="15"/>
        <v>6.0929726699710827</v>
      </c>
    </row>
    <row r="15" spans="2:34" x14ac:dyDescent="0.35">
      <c r="B15" s="2"/>
      <c r="C15" s="2"/>
      <c r="D15" s="2"/>
      <c r="E15" s="2"/>
      <c r="F15" s="13">
        <v>119.10075999999999</v>
      </c>
      <c r="G15" s="13">
        <v>119.93053</v>
      </c>
      <c r="H15" s="2">
        <f t="shared" si="0"/>
        <v>0.82977000000001055</v>
      </c>
      <c r="I15" s="2"/>
      <c r="J15" s="2"/>
      <c r="K15" s="2"/>
      <c r="L15" s="2"/>
      <c r="M15" s="2"/>
      <c r="N15" s="2"/>
      <c r="O15" s="13"/>
      <c r="X15" s="13">
        <v>117.20504</v>
      </c>
      <c r="Y15" s="13">
        <v>119.86713</v>
      </c>
      <c r="Z15" s="2">
        <f t="shared" si="8"/>
        <v>2.6620900000000063</v>
      </c>
      <c r="AA15" s="2"/>
      <c r="AB15" s="2"/>
      <c r="AC15" s="2"/>
      <c r="AD15" s="2"/>
      <c r="AE15" s="2"/>
      <c r="AF15" s="2"/>
      <c r="AG15" s="13">
        <v>17</v>
      </c>
      <c r="AH15">
        <f t="shared" si="15"/>
        <v>6.3859599036846841</v>
      </c>
    </row>
    <row r="16" spans="2:34" x14ac:dyDescent="0.35">
      <c r="B16" s="2"/>
      <c r="C16" s="2"/>
      <c r="D16" s="2"/>
      <c r="E16" s="2"/>
      <c r="F16" s="13"/>
      <c r="H16" s="2"/>
      <c r="I16" s="2"/>
      <c r="J16" s="2"/>
      <c r="K16" s="2"/>
      <c r="L16" s="2"/>
      <c r="M16" s="2"/>
      <c r="N16" s="2"/>
      <c r="X16" s="13"/>
      <c r="Z16" s="2"/>
      <c r="AA16" s="2"/>
      <c r="AB16" s="2"/>
      <c r="AC16" s="2"/>
      <c r="AD16" s="2"/>
      <c r="AE16" s="2"/>
      <c r="AF16" s="2"/>
    </row>
    <row r="17" spans="2:34" x14ac:dyDescent="0.35">
      <c r="B17" s="2"/>
      <c r="C17" s="2"/>
      <c r="D17" s="2"/>
      <c r="E17" s="2"/>
      <c r="F17" s="13"/>
      <c r="H17" s="2"/>
      <c r="I17" s="2"/>
      <c r="J17" s="2"/>
      <c r="K17" s="2"/>
      <c r="L17" s="2"/>
      <c r="M17" s="2"/>
      <c r="N17" s="2"/>
      <c r="X17" s="13"/>
      <c r="Z17" s="2"/>
      <c r="AA17" s="2"/>
      <c r="AB17" s="2"/>
      <c r="AC17" s="2"/>
      <c r="AD17" s="2"/>
      <c r="AE17" s="2"/>
      <c r="AF17" s="2"/>
    </row>
    <row r="18" spans="2:34" ht="16" thickBot="1" x14ac:dyDescent="0.4">
      <c r="B18" s="2"/>
      <c r="C18" s="2"/>
      <c r="D18" s="2"/>
      <c r="E18" s="2"/>
      <c r="F18" s="13"/>
      <c r="G18" s="13"/>
      <c r="H18" s="9" t="s">
        <v>3</v>
      </c>
      <c r="I18" s="9" t="s">
        <v>4</v>
      </c>
      <c r="J18" s="9" t="s">
        <v>5</v>
      </c>
      <c r="K18" s="9" t="s">
        <v>6</v>
      </c>
      <c r="L18" s="9" t="s">
        <v>7</v>
      </c>
      <c r="M18" s="9" t="s">
        <v>8</v>
      </c>
      <c r="N18" s="9" t="s">
        <v>9</v>
      </c>
      <c r="O18" s="9" t="s">
        <v>10</v>
      </c>
      <c r="P18" s="44" t="s">
        <v>139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c r="G19" s="49" t="s">
        <v>77</v>
      </c>
      <c r="H19" s="2">
        <f>AVERAGE(H7:H14)</f>
        <v>3.3219325</v>
      </c>
      <c r="I19" s="2">
        <f t="shared" ref="I19:N19" si="16">AVERAGE(I7:I14)</f>
        <v>11.108264999999999</v>
      </c>
      <c r="J19" s="2">
        <f t="shared" si="16"/>
        <v>0.24161638101656321</v>
      </c>
      <c r="K19" s="2">
        <f t="shared" si="16"/>
        <v>0.75838361898343687</v>
      </c>
      <c r="L19" s="2">
        <f t="shared" si="16"/>
        <v>0.30266130778967293</v>
      </c>
      <c r="M19" s="2">
        <f t="shared" si="16"/>
        <v>7.3456433912188951E-2</v>
      </c>
      <c r="N19" s="2">
        <f t="shared" si="16"/>
        <v>14.430197499999998</v>
      </c>
      <c r="O19" s="2">
        <f>AVERAGE(O7:O14)</f>
        <v>15.875</v>
      </c>
      <c r="P19" s="2">
        <f>AVERAGE(P7:P14)</f>
        <v>4.8090548511091775</v>
      </c>
      <c r="X19" s="13"/>
      <c r="Y19" s="49" t="s">
        <v>77</v>
      </c>
      <c r="Z19" s="2">
        <f>AVERAGE(Z7:Z14)</f>
        <v>3.4622837499999979</v>
      </c>
      <c r="AA19" s="2">
        <f t="shared" ref="AA19:AF19" si="17">AVERAGE(AA7:AA16)</f>
        <v>10.888182500000003</v>
      </c>
      <c r="AB19" s="2">
        <f t="shared" si="17"/>
        <v>0.24514525697299591</v>
      </c>
      <c r="AC19" s="2">
        <f t="shared" si="17"/>
        <v>0.75485474302700417</v>
      </c>
      <c r="AD19" s="2">
        <f t="shared" si="17"/>
        <v>0.28949901585126148</v>
      </c>
      <c r="AE19" s="2">
        <f t="shared" si="17"/>
        <v>7.0782339593307639E-2</v>
      </c>
      <c r="AF19" s="2">
        <f t="shared" si="17"/>
        <v>14.350466249999998</v>
      </c>
      <c r="AG19" s="2">
        <f>AVERAGE(AG7:AG15)</f>
        <v>20</v>
      </c>
      <c r="AH19" s="2">
        <f>AVERAGE(AH7:AH15)</f>
        <v>5.9389035496912141</v>
      </c>
    </row>
    <row r="20" spans="2:34" x14ac:dyDescent="0.35">
      <c r="B20" s="2"/>
      <c r="C20" s="2"/>
      <c r="D20" s="2"/>
      <c r="E20" s="2"/>
      <c r="F20" s="13"/>
      <c r="G20" s="49" t="s">
        <v>94</v>
      </c>
      <c r="H20" s="2">
        <f>_xlfn.STDEV.S(H7:H14)</f>
        <v>0.28008984307335666</v>
      </c>
      <c r="I20" s="2">
        <f t="shared" ref="I20:N20" si="18">_xlfn.STDEV.S(I7:I14)</f>
        <v>3.6446631356585693</v>
      </c>
      <c r="J20" s="2">
        <f t="shared" si="18"/>
        <v>5.355574154685494E-2</v>
      </c>
      <c r="K20" s="2">
        <f t="shared" si="18"/>
        <v>5.3555741546854968E-2</v>
      </c>
      <c r="L20" s="2">
        <f t="shared" si="18"/>
        <v>2.2145112891707685E-2</v>
      </c>
      <c r="M20" s="2">
        <f t="shared" si="18"/>
        <v>1.8385774788444973E-2</v>
      </c>
      <c r="N20" s="2">
        <f t="shared" si="18"/>
        <v>3.8254903143658829</v>
      </c>
      <c r="O20" s="2">
        <f>_xlfn.STDEV.S(O7:O14)</f>
        <v>0.64086994446165568</v>
      </c>
      <c r="P20" s="2">
        <f>_xlfn.STDEV.S(P7:P14)</f>
        <v>0.44127123788956024</v>
      </c>
      <c r="X20" s="13"/>
      <c r="Y20" s="49" t="s">
        <v>94</v>
      </c>
      <c r="Z20" s="2">
        <f>_xlfn.STDEV.S(Z7:Z14)</f>
        <v>0.18244574120523468</v>
      </c>
      <c r="AA20" s="2">
        <f t="shared" ref="AA20:AF20" si="19">_xlfn.STDEV.S(AA7:AA16)</f>
        <v>2.0881177813506682</v>
      </c>
      <c r="AB20" s="2">
        <f t="shared" si="19"/>
        <v>3.3811472947222289E-2</v>
      </c>
      <c r="AC20" s="2">
        <f t="shared" si="19"/>
        <v>3.3811472947222532E-2</v>
      </c>
      <c r="AD20" s="2">
        <f t="shared" si="19"/>
        <v>1.4604636477093945E-2</v>
      </c>
      <c r="AE20" s="2">
        <f t="shared" si="19"/>
        <v>8.7562732138695646E-3</v>
      </c>
      <c r="AF20" s="2">
        <f t="shared" si="19"/>
        <v>2.0718567757168858</v>
      </c>
      <c r="AG20" s="2">
        <f>_xlfn.STDEV.S(AG7:AG15)</f>
        <v>1.8027756377319946</v>
      </c>
      <c r="AH20" s="2">
        <f>_xlfn.STDEV.S(AH7:AH15)</f>
        <v>0.29306414100886247</v>
      </c>
    </row>
    <row r="21" spans="2:34" x14ac:dyDescent="0.35">
      <c r="B21" s="2"/>
      <c r="C21" s="2"/>
      <c r="D21" s="2"/>
      <c r="E21" s="2"/>
      <c r="F21" s="13"/>
      <c r="G21" s="49" t="s">
        <v>95</v>
      </c>
      <c r="H21" s="2">
        <f>H20/SQRT(8)</f>
        <v>9.9026713689323212E-2</v>
      </c>
      <c r="I21" s="2">
        <f t="shared" ref="I21:N21" si="20">I20/SQRT(8)</f>
        <v>1.2885830091824</v>
      </c>
      <c r="J21" s="2">
        <f t="shared" si="20"/>
        <v>1.8934814009627623E-2</v>
      </c>
      <c r="K21" s="2">
        <f t="shared" si="20"/>
        <v>1.8934814009627633E-2</v>
      </c>
      <c r="L21" s="2">
        <f t="shared" si="20"/>
        <v>7.8294797479340691E-3</v>
      </c>
      <c r="M21" s="2">
        <f t="shared" si="20"/>
        <v>6.5003530151390501E-3</v>
      </c>
      <c r="N21" s="2">
        <f t="shared" si="20"/>
        <v>1.3525150713257865</v>
      </c>
      <c r="O21" s="2">
        <f>O20/SQRT(8)</f>
        <v>0.22658174179374141</v>
      </c>
      <c r="P21" s="2">
        <f>P20/SQRT(8)</f>
        <v>0.1560129423271451</v>
      </c>
      <c r="X21" s="13"/>
      <c r="Y21" s="49" t="s">
        <v>95</v>
      </c>
      <c r="Z21" s="2">
        <f>Z20/SQRT(8)</f>
        <v>6.4504310402413681E-2</v>
      </c>
      <c r="AA21" s="2">
        <f t="shared" ref="AA21:AF21" si="21">AA20/SQRT(11)</f>
        <v>0.62959119989177659</v>
      </c>
      <c r="AB21" s="2">
        <f t="shared" si="21"/>
        <v>1.0194542670471672E-2</v>
      </c>
      <c r="AC21" s="2">
        <f t="shared" si="21"/>
        <v>1.0194542670471745E-2</v>
      </c>
      <c r="AD21" s="2">
        <f t="shared" si="21"/>
        <v>4.4034635812780481E-3</v>
      </c>
      <c r="AE21" s="2">
        <f t="shared" si="21"/>
        <v>2.640115710204068E-3</v>
      </c>
      <c r="AF21" s="2">
        <f t="shared" si="21"/>
        <v>0.62468832221894832</v>
      </c>
      <c r="AG21" s="2">
        <f>AG20/SQRT(9)</f>
        <v>0.60092521257733156</v>
      </c>
      <c r="AH21" s="2">
        <f>AH20/SQRT(9)</f>
        <v>9.7688047002954151E-2</v>
      </c>
    </row>
    <row r="22" spans="2:34" x14ac:dyDescent="0.35">
      <c r="B22" s="2"/>
      <c r="C22" s="2"/>
      <c r="D22" s="2"/>
      <c r="E22" s="2"/>
      <c r="F22" s="2"/>
      <c r="G22" s="49"/>
      <c r="H22" s="2"/>
      <c r="I22" s="2"/>
      <c r="J22" s="2"/>
      <c r="K22" s="2"/>
      <c r="L22" s="2"/>
      <c r="M22" s="2"/>
      <c r="N22" s="2"/>
      <c r="O22" s="2"/>
      <c r="P22" s="2"/>
    </row>
    <row r="28" spans="2:34" ht="18.5" x14ac:dyDescent="0.45">
      <c r="F28" s="1" t="s">
        <v>52</v>
      </c>
      <c r="G28" s="3"/>
      <c r="H28" s="3"/>
      <c r="I28" s="3"/>
      <c r="J28" s="3"/>
      <c r="K28" s="3"/>
      <c r="L28" s="3"/>
      <c r="M28" s="3"/>
      <c r="N28" s="3"/>
      <c r="O28" s="3"/>
      <c r="X28" s="1" t="s">
        <v>374</v>
      </c>
      <c r="Y28" s="3"/>
      <c r="Z28" s="3"/>
      <c r="AA28" s="3"/>
      <c r="AB28" s="3"/>
      <c r="AC28" s="3"/>
      <c r="AD28" s="3"/>
      <c r="AE28" s="3"/>
      <c r="AF28" s="3"/>
      <c r="AG28" s="3"/>
    </row>
    <row r="29" spans="2:34" ht="16" thickBot="1" x14ac:dyDescent="0.4">
      <c r="F29" s="9" t="s">
        <v>1</v>
      </c>
      <c r="G29" s="9" t="s">
        <v>2</v>
      </c>
      <c r="H29" s="9" t="s">
        <v>3</v>
      </c>
      <c r="I29" s="9" t="s">
        <v>4</v>
      </c>
      <c r="J29" s="9" t="s">
        <v>5</v>
      </c>
      <c r="K29" s="9" t="s">
        <v>6</v>
      </c>
      <c r="L29" s="9" t="s">
        <v>7</v>
      </c>
      <c r="M29" s="9" t="s">
        <v>8</v>
      </c>
      <c r="N29" s="9" t="s">
        <v>9</v>
      </c>
      <c r="O29" s="9" t="s">
        <v>10</v>
      </c>
      <c r="P29" s="44" t="s">
        <v>139</v>
      </c>
      <c r="X29" s="9" t="s">
        <v>1</v>
      </c>
      <c r="Y29" s="9" t="s">
        <v>2</v>
      </c>
      <c r="Z29" s="9" t="s">
        <v>3</v>
      </c>
      <c r="AA29" s="9" t="s">
        <v>4</v>
      </c>
      <c r="AB29" s="9" t="s">
        <v>5</v>
      </c>
      <c r="AC29" s="9" t="s">
        <v>6</v>
      </c>
      <c r="AD29" s="9" t="s">
        <v>7</v>
      </c>
      <c r="AE29" s="9" t="s">
        <v>8</v>
      </c>
      <c r="AF29" s="9" t="s">
        <v>9</v>
      </c>
      <c r="AG29" s="9" t="s">
        <v>10</v>
      </c>
      <c r="AH29" s="44" t="s">
        <v>139</v>
      </c>
    </row>
    <row r="30" spans="2:34" x14ac:dyDescent="0.35">
      <c r="F30" s="2">
        <v>2.9613700000000001</v>
      </c>
      <c r="G30" s="2">
        <v>8.0182000000000002</v>
      </c>
      <c r="H30" s="2">
        <f>G30-F30</f>
        <v>5.0568299999999997</v>
      </c>
      <c r="I30" s="2">
        <f>F31-G30</f>
        <v>5.4808799999999991</v>
      </c>
      <c r="J30" s="2">
        <f t="shared" ref="J30:J38" si="22">H30/N30</f>
        <v>0.47987940453855726</v>
      </c>
      <c r="K30" s="2">
        <f t="shared" ref="K30:K38" si="23">I30/N30</f>
        <v>0.52012059546144274</v>
      </c>
      <c r="L30" s="2">
        <f t="shared" ref="L30:L38" si="24">1/H30</f>
        <v>0.19775234682597598</v>
      </c>
      <c r="M30" s="2">
        <f t="shared" ref="M30:M38" si="25">1/N30</f>
        <v>9.4897278440951596E-2</v>
      </c>
      <c r="N30" s="2">
        <f t="shared" ref="N30:N38" si="26">H30+I30</f>
        <v>10.537709999999999</v>
      </c>
      <c r="O30" s="2">
        <v>20</v>
      </c>
      <c r="P30">
        <f t="shared" ref="P30:P39" si="27">O30/H30</f>
        <v>3.9550469365195196</v>
      </c>
      <c r="X30" s="2">
        <v>4.5701000000000001</v>
      </c>
      <c r="Y30" s="2">
        <v>10.601559999999999</v>
      </c>
      <c r="Z30" s="2">
        <f>Y30-X30</f>
        <v>6.0314599999999992</v>
      </c>
      <c r="AA30" s="2">
        <f>X31-Y30</f>
        <v>10.067050000000002</v>
      </c>
      <c r="AB30" s="2">
        <f>Z30/AF30</f>
        <v>0.3746595181790115</v>
      </c>
      <c r="AC30" s="2">
        <f>AA30/AF30</f>
        <v>0.62534048182098845</v>
      </c>
      <c r="AD30" s="2">
        <f>1/Z30</f>
        <v>0.16579733596840568</v>
      </c>
      <c r="AE30" s="2">
        <f>1/AF30</f>
        <v>6.2117550009286572E-2</v>
      </c>
      <c r="AF30" s="2">
        <f>Z30+AA30</f>
        <v>16.098510000000001</v>
      </c>
      <c r="AG30" s="2">
        <v>33</v>
      </c>
      <c r="AH30">
        <f t="shared" ref="AH30:AH44" si="28">AG30/Z30</f>
        <v>5.4713120869573872</v>
      </c>
    </row>
    <row r="31" spans="2:34" x14ac:dyDescent="0.35">
      <c r="F31" s="2">
        <v>13.499079999999999</v>
      </c>
      <c r="G31" s="2">
        <v>16.965540000000001</v>
      </c>
      <c r="H31" s="2">
        <f>G31-F31</f>
        <v>3.4664600000000014</v>
      </c>
      <c r="I31" s="2">
        <f>F32-G31</f>
        <v>8.0650699999999986</v>
      </c>
      <c r="J31" s="2">
        <f t="shared" si="22"/>
        <v>0.300607118049383</v>
      </c>
      <c r="K31" s="2">
        <f t="shared" si="23"/>
        <v>0.699392881950617</v>
      </c>
      <c r="L31" s="2">
        <f t="shared" si="24"/>
        <v>0.28847873623235221</v>
      </c>
      <c r="M31" s="2">
        <f t="shared" si="25"/>
        <v>8.6718761517335513E-2</v>
      </c>
      <c r="N31" s="2">
        <f t="shared" si="26"/>
        <v>11.53153</v>
      </c>
      <c r="O31" s="2">
        <v>17</v>
      </c>
      <c r="P31">
        <f t="shared" si="27"/>
        <v>4.9041385159499873</v>
      </c>
      <c r="X31" s="2">
        <v>20.668610000000001</v>
      </c>
      <c r="Y31" s="2">
        <v>26.196339999999999</v>
      </c>
      <c r="Z31" s="2">
        <f t="shared" ref="Z31:Z44" si="29">Y31-X31</f>
        <v>5.5277299999999983</v>
      </c>
      <c r="AA31" s="2">
        <f t="shared" ref="AA31:AA43" si="30">X32-Y31</f>
        <v>11.59939</v>
      </c>
      <c r="AB31" s="2">
        <f t="shared" ref="AB31:AB43" si="31">Z31/AF31</f>
        <v>0.3227471985949768</v>
      </c>
      <c r="AC31" s="2">
        <f t="shared" ref="AC31:AC43" si="32">AA31/AF31</f>
        <v>0.6772528014050232</v>
      </c>
      <c r="AD31" s="2">
        <f t="shared" ref="AD31:AD43" si="33">1/Z31</f>
        <v>0.18090608622345888</v>
      </c>
      <c r="AE31" s="2">
        <f t="shared" ref="AE31:AE43" si="34">1/AF31</f>
        <v>5.8386932537402673E-2</v>
      </c>
      <c r="AF31" s="2">
        <f t="shared" ref="AF31:AF43" si="35">Z31+AA31</f>
        <v>17.127119999999998</v>
      </c>
      <c r="AG31" s="2">
        <v>30</v>
      </c>
      <c r="AH31">
        <f t="shared" si="28"/>
        <v>5.4271825867037657</v>
      </c>
    </row>
    <row r="32" spans="2:34" x14ac:dyDescent="0.35">
      <c r="F32" s="13">
        <v>25.030609999999999</v>
      </c>
      <c r="G32" s="13">
        <v>28.489599999999999</v>
      </c>
      <c r="H32" s="2">
        <f>G32-F32</f>
        <v>3.45899</v>
      </c>
      <c r="I32" s="2">
        <f>F33-G32</f>
        <v>5.5553199999999983</v>
      </c>
      <c r="J32" s="2">
        <f t="shared" si="22"/>
        <v>0.38372210407674029</v>
      </c>
      <c r="K32" s="2">
        <f t="shared" si="23"/>
        <v>0.61627789592325977</v>
      </c>
      <c r="L32" s="2">
        <f t="shared" si="24"/>
        <v>0.28910173200847644</v>
      </c>
      <c r="M32" s="2">
        <f t="shared" si="25"/>
        <v>0.11093472489852248</v>
      </c>
      <c r="N32" s="2">
        <f t="shared" si="26"/>
        <v>9.0143099999999983</v>
      </c>
      <c r="O32" s="13">
        <v>17</v>
      </c>
      <c r="P32">
        <f t="shared" si="27"/>
        <v>4.9147294441440996</v>
      </c>
      <c r="X32" s="13">
        <v>37.795729999999999</v>
      </c>
      <c r="Y32" s="13">
        <v>42.800620000000002</v>
      </c>
      <c r="Z32" s="2">
        <f t="shared" si="29"/>
        <v>5.0048900000000032</v>
      </c>
      <c r="AA32" s="2">
        <f t="shared" si="30"/>
        <v>10.19511</v>
      </c>
      <c r="AB32" s="2">
        <f t="shared" si="31"/>
        <v>0.32926907894736857</v>
      </c>
      <c r="AC32" s="2">
        <f t="shared" si="32"/>
        <v>0.67073092105263143</v>
      </c>
      <c r="AD32" s="2">
        <f t="shared" si="33"/>
        <v>0.1998045911098944</v>
      </c>
      <c r="AE32" s="2">
        <f t="shared" si="34"/>
        <v>6.5789473684210509E-2</v>
      </c>
      <c r="AF32" s="2">
        <f t="shared" si="35"/>
        <v>15.200000000000003</v>
      </c>
      <c r="AG32" s="13">
        <v>29</v>
      </c>
      <c r="AH32">
        <f t="shared" si="28"/>
        <v>5.7943331421869377</v>
      </c>
    </row>
    <row r="33" spans="6:34" x14ac:dyDescent="0.35">
      <c r="F33" s="13">
        <v>34.044919999999998</v>
      </c>
      <c r="G33" s="13">
        <v>38.922420000000002</v>
      </c>
      <c r="H33" s="2">
        <f t="shared" ref="H33:H39" si="36">G33-F33</f>
        <v>4.8775000000000048</v>
      </c>
      <c r="I33" s="2">
        <f t="shared" ref="I33:I38" si="37">F34-G33</f>
        <v>5.7355400000000003</v>
      </c>
      <c r="J33" s="2">
        <f t="shared" si="22"/>
        <v>0.45957614406428343</v>
      </c>
      <c r="K33" s="2">
        <f t="shared" si="23"/>
        <v>0.54042385593571662</v>
      </c>
      <c r="L33" s="2">
        <f t="shared" si="24"/>
        <v>0.20502306509482296</v>
      </c>
      <c r="M33" s="2">
        <f t="shared" si="25"/>
        <v>9.4223709700519312E-2</v>
      </c>
      <c r="N33" s="2">
        <f t="shared" si="26"/>
        <v>10.613040000000005</v>
      </c>
      <c r="O33" s="13">
        <v>18</v>
      </c>
      <c r="P33">
        <f t="shared" si="27"/>
        <v>3.6904151717068134</v>
      </c>
      <c r="X33" s="13">
        <v>52.995730000000002</v>
      </c>
      <c r="Y33" s="13">
        <v>58.799900000000001</v>
      </c>
      <c r="Z33" s="2">
        <f t="shared" si="29"/>
        <v>5.8041699999999992</v>
      </c>
      <c r="AA33" s="2">
        <f t="shared" si="30"/>
        <v>9.1947199999999967</v>
      </c>
      <c r="AB33" s="2">
        <f t="shared" si="31"/>
        <v>0.38697330269106583</v>
      </c>
      <c r="AC33" s="2">
        <f t="shared" si="32"/>
        <v>0.61302669730893411</v>
      </c>
      <c r="AD33" s="2">
        <f t="shared" si="33"/>
        <v>0.17228992259013781</v>
      </c>
      <c r="AE33" s="2">
        <f t="shared" si="34"/>
        <v>6.6671600365093703E-2</v>
      </c>
      <c r="AF33" s="2">
        <f t="shared" si="35"/>
        <v>14.998889999999996</v>
      </c>
      <c r="AG33" s="13">
        <v>31</v>
      </c>
      <c r="AH33">
        <f t="shared" si="28"/>
        <v>5.3409876002942722</v>
      </c>
    </row>
    <row r="34" spans="6:34" x14ac:dyDescent="0.35">
      <c r="F34" s="13">
        <v>44.657960000000003</v>
      </c>
      <c r="G34" s="13">
        <v>48.657290000000003</v>
      </c>
      <c r="H34" s="2">
        <f t="shared" si="36"/>
        <v>3.9993300000000005</v>
      </c>
      <c r="I34" s="2">
        <f t="shared" si="37"/>
        <v>10.08334</v>
      </c>
      <c r="J34" s="2">
        <f t="shared" si="22"/>
        <v>0.28398947074666953</v>
      </c>
      <c r="K34" s="2">
        <f t="shared" si="23"/>
        <v>0.71601052925333053</v>
      </c>
      <c r="L34" s="2">
        <f t="shared" si="24"/>
        <v>0.25004188201523753</v>
      </c>
      <c r="M34" s="2">
        <f t="shared" si="25"/>
        <v>7.1009261738008492E-2</v>
      </c>
      <c r="N34" s="2">
        <f t="shared" si="26"/>
        <v>14.08267</v>
      </c>
      <c r="O34" s="13">
        <v>17</v>
      </c>
      <c r="P34">
        <f t="shared" si="27"/>
        <v>4.2507119942590377</v>
      </c>
      <c r="X34" s="13">
        <v>67.994619999999998</v>
      </c>
      <c r="Y34" s="13">
        <v>73.396640000000005</v>
      </c>
      <c r="Z34" s="2">
        <f t="shared" si="29"/>
        <v>5.4020200000000074</v>
      </c>
      <c r="AA34" s="2">
        <f t="shared" si="30"/>
        <v>9.8002399999999881</v>
      </c>
      <c r="AB34" s="2">
        <f t="shared" si="31"/>
        <v>0.3553432187056404</v>
      </c>
      <c r="AC34" s="2">
        <f t="shared" si="32"/>
        <v>0.64465678129435955</v>
      </c>
      <c r="AD34" s="2">
        <f t="shared" si="33"/>
        <v>0.18511593811203933</v>
      </c>
      <c r="AE34" s="2">
        <f t="shared" si="34"/>
        <v>6.5779693282446178E-2</v>
      </c>
      <c r="AF34" s="2">
        <f t="shared" si="35"/>
        <v>15.202259999999995</v>
      </c>
      <c r="AG34" s="13">
        <v>29</v>
      </c>
      <c r="AH34">
        <f t="shared" si="28"/>
        <v>5.3683622052491407</v>
      </c>
    </row>
    <row r="35" spans="6:34" x14ac:dyDescent="0.35">
      <c r="F35" s="13">
        <v>58.740630000000003</v>
      </c>
      <c r="G35" s="13">
        <v>62.983289999999997</v>
      </c>
      <c r="H35" s="2">
        <f t="shared" si="36"/>
        <v>4.2426599999999937</v>
      </c>
      <c r="I35" s="2">
        <f t="shared" si="37"/>
        <v>5.8140800000000041</v>
      </c>
      <c r="J35" s="2">
        <f t="shared" si="22"/>
        <v>0.4218722965891526</v>
      </c>
      <c r="K35" s="2">
        <f t="shared" si="23"/>
        <v>0.5781277034108474</v>
      </c>
      <c r="L35" s="2">
        <f t="shared" si="24"/>
        <v>0.23570118746258278</v>
      </c>
      <c r="M35" s="2">
        <f t="shared" si="25"/>
        <v>9.9435801263630177E-2</v>
      </c>
      <c r="N35" s="2">
        <f t="shared" si="26"/>
        <v>10.056739999999998</v>
      </c>
      <c r="O35" s="13">
        <v>19</v>
      </c>
      <c r="P35">
        <f t="shared" si="27"/>
        <v>4.4783225617890734</v>
      </c>
      <c r="X35" s="13">
        <v>83.196879999999993</v>
      </c>
      <c r="Y35" s="13">
        <v>88.395820000000001</v>
      </c>
      <c r="Z35" s="2">
        <f t="shared" si="29"/>
        <v>5.1989400000000074</v>
      </c>
      <c r="AA35" s="2">
        <f t="shared" si="30"/>
        <v>10.54889</v>
      </c>
      <c r="AB35" s="2">
        <f t="shared" si="31"/>
        <v>0.33013691410181623</v>
      </c>
      <c r="AC35" s="2">
        <f t="shared" si="32"/>
        <v>0.66986308589818377</v>
      </c>
      <c r="AD35" s="2">
        <f t="shared" si="33"/>
        <v>0.19234690148376371</v>
      </c>
      <c r="AE35" s="2">
        <f t="shared" si="34"/>
        <v>6.3500812492895811E-2</v>
      </c>
      <c r="AF35" s="2">
        <f t="shared" si="35"/>
        <v>15.747830000000008</v>
      </c>
      <c r="AG35" s="13">
        <v>30</v>
      </c>
      <c r="AH35">
        <f t="shared" si="28"/>
        <v>5.7704070445129121</v>
      </c>
    </row>
    <row r="36" spans="6:34" x14ac:dyDescent="0.35">
      <c r="F36" s="13">
        <v>68.797370000000001</v>
      </c>
      <c r="G36" s="13">
        <v>72.862499999999997</v>
      </c>
      <c r="H36" s="2">
        <f t="shared" si="36"/>
        <v>4.0651299999999964</v>
      </c>
      <c r="I36" s="2">
        <f t="shared" si="37"/>
        <v>11.640129999999999</v>
      </c>
      <c r="J36" s="2">
        <f t="shared" si="22"/>
        <v>0.25883875847964299</v>
      </c>
      <c r="K36" s="2">
        <f t="shared" si="23"/>
        <v>0.74116124152035701</v>
      </c>
      <c r="L36" s="2">
        <f t="shared" si="24"/>
        <v>0.24599459303884522</v>
      </c>
      <c r="M36" s="2">
        <f t="shared" si="25"/>
        <v>6.3672935054879726E-2</v>
      </c>
      <c r="N36" s="2">
        <f t="shared" si="26"/>
        <v>15.705259999999996</v>
      </c>
      <c r="O36" s="13">
        <v>17</v>
      </c>
      <c r="P36">
        <f t="shared" si="27"/>
        <v>4.1819080816603691</v>
      </c>
      <c r="X36" s="13">
        <v>98.944710000000001</v>
      </c>
      <c r="Y36" s="13">
        <v>103.9962</v>
      </c>
      <c r="Z36" s="2">
        <f t="shared" si="29"/>
        <v>5.0514900000000011</v>
      </c>
      <c r="AA36" s="2">
        <f t="shared" si="30"/>
        <v>10.000969999999995</v>
      </c>
      <c r="AB36" s="2">
        <f t="shared" si="31"/>
        <v>0.33559232178660514</v>
      </c>
      <c r="AC36" s="2">
        <f t="shared" si="32"/>
        <v>0.66440767821339486</v>
      </c>
      <c r="AD36" s="2">
        <f t="shared" si="33"/>
        <v>0.19796139356902612</v>
      </c>
      <c r="AE36" s="2">
        <f t="shared" si="34"/>
        <v>6.6434323691941397E-2</v>
      </c>
      <c r="AF36" s="2">
        <f t="shared" si="35"/>
        <v>15.052459999999996</v>
      </c>
      <c r="AG36" s="13">
        <v>30</v>
      </c>
      <c r="AH36">
        <f t="shared" si="28"/>
        <v>5.9388418070707836</v>
      </c>
    </row>
    <row r="37" spans="6:34" x14ac:dyDescent="0.35">
      <c r="F37" s="13">
        <v>84.502629999999996</v>
      </c>
      <c r="G37" s="13">
        <v>87.957070000000002</v>
      </c>
      <c r="H37" s="2">
        <f t="shared" si="36"/>
        <v>3.4544400000000053</v>
      </c>
      <c r="I37" s="2">
        <f t="shared" si="37"/>
        <v>5.7596499999999935</v>
      </c>
      <c r="J37" s="2">
        <f t="shared" si="22"/>
        <v>0.37490842828754717</v>
      </c>
      <c r="K37" s="2">
        <f t="shared" si="23"/>
        <v>0.62509157171245278</v>
      </c>
      <c r="L37" s="2">
        <f t="shared" si="24"/>
        <v>0.28948252104537886</v>
      </c>
      <c r="M37" s="2">
        <f t="shared" si="25"/>
        <v>0.10852943698183978</v>
      </c>
      <c r="N37" s="2">
        <f t="shared" si="26"/>
        <v>9.2140899999999988</v>
      </c>
      <c r="O37" s="13">
        <v>17</v>
      </c>
      <c r="P37">
        <f t="shared" si="27"/>
        <v>4.9212028577714406</v>
      </c>
      <c r="X37" s="13">
        <v>113.99717</v>
      </c>
      <c r="Y37" s="13">
        <v>119.1991</v>
      </c>
      <c r="Z37" s="2">
        <f t="shared" si="29"/>
        <v>5.2019300000000044</v>
      </c>
      <c r="AA37" s="2">
        <f t="shared" si="30"/>
        <v>9.5651199999999932</v>
      </c>
      <c r="AB37" s="2">
        <f t="shared" si="31"/>
        <v>0.35226602469687618</v>
      </c>
      <c r="AC37" s="2">
        <f t="shared" si="32"/>
        <v>0.64773397530312382</v>
      </c>
      <c r="AD37" s="2">
        <f t="shared" si="33"/>
        <v>0.19223634304959875</v>
      </c>
      <c r="AE37" s="2">
        <f t="shared" si="34"/>
        <v>6.7718332368347109E-2</v>
      </c>
      <c r="AF37" s="2">
        <f t="shared" si="35"/>
        <v>14.767049999999998</v>
      </c>
      <c r="AG37" s="13">
        <v>30</v>
      </c>
      <c r="AH37">
        <f t="shared" si="28"/>
        <v>5.7670902914879623</v>
      </c>
    </row>
    <row r="38" spans="6:34" x14ac:dyDescent="0.35">
      <c r="F38" s="13">
        <v>93.716719999999995</v>
      </c>
      <c r="G38" s="13">
        <v>98.058160000000001</v>
      </c>
      <c r="H38" s="2">
        <f t="shared" si="36"/>
        <v>4.3414400000000057</v>
      </c>
      <c r="I38" s="2">
        <f t="shared" si="37"/>
        <v>13.167619999999999</v>
      </c>
      <c r="J38" s="2">
        <f t="shared" si="22"/>
        <v>0.24795391642955159</v>
      </c>
      <c r="K38" s="2">
        <f t="shared" si="23"/>
        <v>0.75204608357044844</v>
      </c>
      <c r="L38" s="2">
        <f t="shared" si="24"/>
        <v>0.23033832092577547</v>
      </c>
      <c r="M38" s="2">
        <f t="shared" si="25"/>
        <v>5.7113288777352965E-2</v>
      </c>
      <c r="N38" s="2">
        <f t="shared" si="26"/>
        <v>17.509060000000005</v>
      </c>
      <c r="O38" s="13">
        <v>18</v>
      </c>
      <c r="P38">
        <f t="shared" si="27"/>
        <v>4.1460897766639588</v>
      </c>
      <c r="X38" s="13">
        <v>128.76421999999999</v>
      </c>
      <c r="Y38" s="13">
        <v>133.95307</v>
      </c>
      <c r="Z38" s="2">
        <f t="shared" si="29"/>
        <v>5.1888500000000022</v>
      </c>
      <c r="AA38" s="2">
        <f t="shared" si="30"/>
        <v>10.798840000000013</v>
      </c>
      <c r="AB38" s="2">
        <f t="shared" si="31"/>
        <v>0.32455282783191303</v>
      </c>
      <c r="AC38" s="2">
        <f t="shared" si="32"/>
        <v>0.67544717216808703</v>
      </c>
      <c r="AD38" s="2">
        <f t="shared" si="33"/>
        <v>0.19272093045665217</v>
      </c>
      <c r="AE38" s="2">
        <f t="shared" si="34"/>
        <v>6.2548122962103908E-2</v>
      </c>
      <c r="AF38" s="2">
        <f t="shared" si="35"/>
        <v>15.987690000000015</v>
      </c>
      <c r="AG38" s="13">
        <v>29</v>
      </c>
      <c r="AH38">
        <f t="shared" si="28"/>
        <v>5.5889069832429126</v>
      </c>
    </row>
    <row r="39" spans="6:34" x14ac:dyDescent="0.35">
      <c r="F39" s="13">
        <v>111.22578</v>
      </c>
      <c r="G39">
        <v>114.72362</v>
      </c>
      <c r="H39" s="2">
        <f t="shared" si="36"/>
        <v>3.4978399999999965</v>
      </c>
      <c r="I39" s="2"/>
      <c r="J39" s="2"/>
      <c r="K39" s="2"/>
      <c r="L39" s="2"/>
      <c r="M39" s="2"/>
      <c r="N39" s="2"/>
      <c r="O39">
        <v>18</v>
      </c>
      <c r="P39">
        <f t="shared" si="27"/>
        <v>5.1460329803535947</v>
      </c>
      <c r="X39" s="13">
        <v>144.75191000000001</v>
      </c>
      <c r="Y39">
        <v>149.95412999999999</v>
      </c>
      <c r="Z39" s="2">
        <f t="shared" si="29"/>
        <v>5.2022199999999827</v>
      </c>
      <c r="AA39" s="2">
        <f t="shared" si="30"/>
        <v>8.9997800000000154</v>
      </c>
      <c r="AB39" s="2">
        <f t="shared" si="31"/>
        <v>0.36630192930573041</v>
      </c>
      <c r="AC39" s="2">
        <f t="shared" si="32"/>
        <v>0.63369807069426953</v>
      </c>
      <c r="AD39" s="2">
        <f t="shared" si="33"/>
        <v>0.19222562675165666</v>
      </c>
      <c r="AE39" s="2">
        <f t="shared" si="34"/>
        <v>7.0412617941135056E-2</v>
      </c>
      <c r="AF39" s="2">
        <f t="shared" si="35"/>
        <v>14.201999999999998</v>
      </c>
      <c r="AG39">
        <v>31</v>
      </c>
      <c r="AH39">
        <f t="shared" si="28"/>
        <v>5.9589944293013568</v>
      </c>
    </row>
    <row r="40" spans="6:34" x14ac:dyDescent="0.35">
      <c r="F40" s="13"/>
      <c r="H40" s="2"/>
      <c r="I40" s="2"/>
      <c r="J40" s="2"/>
      <c r="K40" s="2"/>
      <c r="L40" s="2"/>
      <c r="M40" s="2"/>
      <c r="N40" s="2"/>
      <c r="X40" s="13">
        <v>158.95391000000001</v>
      </c>
      <c r="Y40">
        <v>163.55452</v>
      </c>
      <c r="Z40" s="2">
        <f t="shared" si="29"/>
        <v>4.600609999999989</v>
      </c>
      <c r="AA40" s="2">
        <f t="shared" si="30"/>
        <v>9.6000899999999945</v>
      </c>
      <c r="AB40" s="2">
        <f t="shared" si="31"/>
        <v>0.32397064933418734</v>
      </c>
      <c r="AC40" s="2">
        <f t="shared" si="32"/>
        <v>0.6760293506658126</v>
      </c>
      <c r="AD40" s="2">
        <f t="shared" si="33"/>
        <v>0.21736248019284451</v>
      </c>
      <c r="AE40" s="2">
        <f t="shared" si="34"/>
        <v>7.0419063848965277E-2</v>
      </c>
      <c r="AF40" s="2">
        <f t="shared" si="35"/>
        <v>14.200699999999983</v>
      </c>
      <c r="AG40">
        <v>27</v>
      </c>
      <c r="AH40">
        <f t="shared" si="28"/>
        <v>5.8687869652068017</v>
      </c>
    </row>
    <row r="41" spans="6:34" x14ac:dyDescent="0.35">
      <c r="F41" s="13"/>
      <c r="H41" s="2"/>
      <c r="I41" s="2"/>
      <c r="J41" s="2"/>
      <c r="K41" s="2"/>
      <c r="L41" s="2"/>
      <c r="M41" s="2"/>
      <c r="N41" s="2"/>
      <c r="X41" s="13">
        <v>173.15460999999999</v>
      </c>
      <c r="Y41">
        <v>178.35495</v>
      </c>
      <c r="Z41" s="2">
        <f t="shared" si="29"/>
        <v>5.2003400000000113</v>
      </c>
      <c r="AA41" s="2">
        <f t="shared" si="30"/>
        <v>12.355420000000009</v>
      </c>
      <c r="AB41" s="2">
        <f t="shared" si="31"/>
        <v>0.29621844910160572</v>
      </c>
      <c r="AC41" s="2">
        <f t="shared" si="32"/>
        <v>0.70378155089839434</v>
      </c>
      <c r="AD41" s="2">
        <f t="shared" si="33"/>
        <v>0.19229511916528494</v>
      </c>
      <c r="AE41" s="2">
        <f t="shared" si="34"/>
        <v>5.6961361968949152E-2</v>
      </c>
      <c r="AF41" s="2">
        <f t="shared" si="35"/>
        <v>17.555760000000021</v>
      </c>
      <c r="AG41">
        <v>31</v>
      </c>
      <c r="AH41">
        <f t="shared" si="28"/>
        <v>5.9611486941238327</v>
      </c>
    </row>
    <row r="42" spans="6:34" x14ac:dyDescent="0.35">
      <c r="F42" s="13"/>
      <c r="H42" s="2"/>
      <c r="I42" s="2"/>
      <c r="J42" s="2"/>
      <c r="K42" s="2"/>
      <c r="L42" s="2"/>
      <c r="M42" s="2"/>
      <c r="N42" s="2"/>
      <c r="X42" s="13">
        <v>190.71037000000001</v>
      </c>
      <c r="Y42">
        <v>195.95417</v>
      </c>
      <c r="Z42" s="2">
        <f t="shared" si="29"/>
        <v>5.2437999999999931</v>
      </c>
      <c r="AA42" s="2">
        <f t="shared" si="30"/>
        <v>12.125650000000007</v>
      </c>
      <c r="AB42" s="2">
        <f t="shared" si="31"/>
        <v>0.30189787241392174</v>
      </c>
      <c r="AC42" s="2">
        <f t="shared" si="32"/>
        <v>0.69810212758607826</v>
      </c>
      <c r="AD42" s="2">
        <f t="shared" si="33"/>
        <v>0.19070139974827441</v>
      </c>
      <c r="AE42" s="2">
        <f t="shared" si="34"/>
        <v>5.7572346850360834E-2</v>
      </c>
      <c r="AF42" s="2">
        <f t="shared" si="35"/>
        <v>17.369450000000001</v>
      </c>
      <c r="AG42">
        <v>32</v>
      </c>
      <c r="AH42">
        <f t="shared" si="28"/>
        <v>6.1024447919447811</v>
      </c>
    </row>
    <row r="43" spans="6:34" x14ac:dyDescent="0.35">
      <c r="F43" s="13"/>
      <c r="X43" s="13">
        <v>208.07982000000001</v>
      </c>
      <c r="Y43">
        <v>213.37072000000001</v>
      </c>
      <c r="Z43" s="2">
        <f t="shared" si="29"/>
        <v>5.2908999999999935</v>
      </c>
      <c r="AA43" s="2">
        <f t="shared" si="30"/>
        <v>11.304959999999994</v>
      </c>
      <c r="AB43" s="2">
        <f t="shared" si="31"/>
        <v>0.31880842571581092</v>
      </c>
      <c r="AC43" s="2">
        <f t="shared" si="32"/>
        <v>0.68119157428418908</v>
      </c>
      <c r="AD43" s="2">
        <f t="shared" si="33"/>
        <v>0.1890037611748476</v>
      </c>
      <c r="AE43" s="2">
        <f t="shared" si="34"/>
        <v>6.0255991554520272E-2</v>
      </c>
      <c r="AF43" s="2">
        <f t="shared" si="35"/>
        <v>16.595859999999988</v>
      </c>
      <c r="AG43">
        <v>35</v>
      </c>
      <c r="AH43">
        <f t="shared" si="28"/>
        <v>6.6151316411196666</v>
      </c>
    </row>
    <row r="44" spans="6:34" ht="16" thickBot="1" x14ac:dyDescent="0.4">
      <c r="F44" s="13"/>
      <c r="G44" s="13"/>
      <c r="H44" s="9" t="s">
        <v>3</v>
      </c>
      <c r="I44" s="9" t="s">
        <v>4</v>
      </c>
      <c r="J44" s="9" t="s">
        <v>5</v>
      </c>
      <c r="K44" s="9" t="s">
        <v>6</v>
      </c>
      <c r="L44" s="9" t="s">
        <v>7</v>
      </c>
      <c r="M44" s="9" t="s">
        <v>8</v>
      </c>
      <c r="N44" s="9" t="s">
        <v>9</v>
      </c>
      <c r="O44" s="9" t="s">
        <v>10</v>
      </c>
      <c r="P44" s="44" t="s">
        <v>139</v>
      </c>
      <c r="X44" s="13">
        <v>224.67568</v>
      </c>
      <c r="Y44">
        <v>229.95407</v>
      </c>
      <c r="Z44" s="2">
        <f t="shared" si="29"/>
        <v>5.2783900000000017</v>
      </c>
      <c r="AA44" s="2"/>
      <c r="AB44" s="2"/>
      <c r="AC44" s="2"/>
      <c r="AD44" s="2"/>
      <c r="AE44" s="2"/>
      <c r="AF44" s="2"/>
      <c r="AG44">
        <v>33</v>
      </c>
      <c r="AH44">
        <f t="shared" si="28"/>
        <v>6.2519063578098608</v>
      </c>
    </row>
    <row r="45" spans="6:34" x14ac:dyDescent="0.35">
      <c r="G45" s="49" t="s">
        <v>77</v>
      </c>
      <c r="H45" s="2">
        <f>AVERAGE(H30:H38)</f>
        <v>4.1069755555555565</v>
      </c>
      <c r="I45" s="2">
        <f t="shared" ref="I45:N45" si="38">AVERAGE(I30:I38)</f>
        <v>7.9224033333333317</v>
      </c>
      <c r="J45" s="2">
        <f t="shared" si="38"/>
        <v>0.35681640458461422</v>
      </c>
      <c r="K45" s="2">
        <f t="shared" si="38"/>
        <v>0.64318359541538583</v>
      </c>
      <c r="L45" s="2">
        <f t="shared" si="38"/>
        <v>0.24799048718327191</v>
      </c>
      <c r="M45" s="2">
        <f t="shared" si="38"/>
        <v>8.739279981922668E-2</v>
      </c>
      <c r="N45" s="2">
        <f t="shared" si="38"/>
        <v>12.029378888888889</v>
      </c>
      <c r="O45" s="2">
        <f>AVERAGE(O30:O39)</f>
        <v>17.8</v>
      </c>
      <c r="P45" s="2">
        <f>AVERAGE(P30:P39)</f>
        <v>4.4588598320817896</v>
      </c>
    </row>
    <row r="46" spans="6:34" ht="16" thickBot="1" x14ac:dyDescent="0.4">
      <c r="G46" s="49" t="s">
        <v>94</v>
      </c>
      <c r="H46" s="2">
        <f>_xlfn.STDEV.S(H30:H38)</f>
        <v>0.59567209455184256</v>
      </c>
      <c r="I46" s="2">
        <f t="shared" ref="I46:N46" si="39">_xlfn.STDEV.S(I30:I38)</f>
        <v>2.9894148820254132</v>
      </c>
      <c r="J46" s="2">
        <f t="shared" si="39"/>
        <v>8.7250701813471138E-2</v>
      </c>
      <c r="K46" s="2">
        <f t="shared" si="39"/>
        <v>8.7250701813470985E-2</v>
      </c>
      <c r="L46" s="2">
        <f t="shared" si="39"/>
        <v>3.5163740946887505E-2</v>
      </c>
      <c r="M46" s="2">
        <f t="shared" si="39"/>
        <v>1.9356353934265033E-2</v>
      </c>
      <c r="N46" s="2">
        <f t="shared" si="39"/>
        <v>3.0236929607371077</v>
      </c>
      <c r="O46" s="2">
        <f>_xlfn.STDEV.S(O30:O39)</f>
        <v>1.0327955589886444</v>
      </c>
      <c r="P46" s="2">
        <f>_xlfn.STDEV.S(P30:P39)</f>
        <v>0.4892879802186525</v>
      </c>
      <c r="Y46" s="13"/>
      <c r="Z46" s="9" t="s">
        <v>3</v>
      </c>
      <c r="AA46" s="9" t="s">
        <v>4</v>
      </c>
      <c r="AB46" s="9" t="s">
        <v>5</v>
      </c>
      <c r="AC46" s="9" t="s">
        <v>6</v>
      </c>
      <c r="AD46" s="9" t="s">
        <v>7</v>
      </c>
      <c r="AE46" s="9" t="s">
        <v>8</v>
      </c>
      <c r="AF46" s="9" t="s">
        <v>9</v>
      </c>
      <c r="AG46" s="9" t="s">
        <v>10</v>
      </c>
      <c r="AH46" s="44" t="s">
        <v>139</v>
      </c>
    </row>
    <row r="47" spans="6:34" x14ac:dyDescent="0.35">
      <c r="G47" s="49" t="s">
        <v>95</v>
      </c>
      <c r="H47" s="2">
        <f>H46/SQRT(9)</f>
        <v>0.19855736485061418</v>
      </c>
      <c r="I47" s="2">
        <f t="shared" ref="I47:N47" si="40">I46/SQRT(9)</f>
        <v>0.99647162734180439</v>
      </c>
      <c r="J47" s="2">
        <f t="shared" si="40"/>
        <v>2.9083567271157046E-2</v>
      </c>
      <c r="K47" s="2">
        <f t="shared" si="40"/>
        <v>2.9083567271156994E-2</v>
      </c>
      <c r="L47" s="2">
        <f t="shared" si="40"/>
        <v>1.1721246982295834E-2</v>
      </c>
      <c r="M47" s="2">
        <f t="shared" si="40"/>
        <v>6.4521179780883441E-3</v>
      </c>
      <c r="N47" s="2">
        <f t="shared" si="40"/>
        <v>1.0078976535790358</v>
      </c>
      <c r="O47" s="2">
        <f>O46/SQRT(10)</f>
        <v>0.32659863237109038</v>
      </c>
      <c r="P47" s="2">
        <f>P46/SQRT(10)</f>
        <v>0.15472644492343526</v>
      </c>
      <c r="Y47" s="49" t="s">
        <v>77</v>
      </c>
      <c r="Z47" s="2">
        <f>AVERAGE(Z30:Z43)</f>
        <v>5.2820964285714282</v>
      </c>
      <c r="AA47" s="2">
        <f t="shared" ref="AA47:AF47" si="41">AVERAGE(AA30:AA43)</f>
        <v>10.439730714285714</v>
      </c>
      <c r="AB47" s="2">
        <f t="shared" si="41"/>
        <v>0.33705269510046643</v>
      </c>
      <c r="AC47" s="2">
        <f t="shared" si="41"/>
        <v>0.66294730489953368</v>
      </c>
      <c r="AD47" s="2">
        <f t="shared" si="41"/>
        <v>0.19005484497113462</v>
      </c>
      <c r="AE47" s="2">
        <f t="shared" si="41"/>
        <v>6.3897730254118462E-2</v>
      </c>
      <c r="AF47" s="2">
        <f t="shared" si="41"/>
        <v>15.721827142857142</v>
      </c>
      <c r="AG47" s="2">
        <f>AVERAGE(AG30:AG44)</f>
        <v>30.666666666666668</v>
      </c>
      <c r="AH47" s="2">
        <f>AVERAGE(AH30:AH44)</f>
        <v>5.8150557751474903</v>
      </c>
    </row>
    <row r="48" spans="6:34" x14ac:dyDescent="0.35">
      <c r="Y48" s="49" t="s">
        <v>94</v>
      </c>
      <c r="Z48" s="2">
        <f>_xlfn.STDEV.S(Z30:Z43)</f>
        <v>0.34417298791355116</v>
      </c>
      <c r="AA48" s="2">
        <f t="shared" ref="AA48:AF48" si="42">_xlfn.STDEV.S(AA30:AA43)</f>
        <v>1.0612088751655937</v>
      </c>
      <c r="AB48" s="2">
        <f>_xlfn.STDEV.S(AB30:AB43)</f>
        <v>2.661199318658225E-2</v>
      </c>
      <c r="AC48" s="2">
        <f t="shared" si="42"/>
        <v>2.6611993186582278E-2</v>
      </c>
      <c r="AD48" s="2">
        <f t="shared" si="42"/>
        <v>1.2227850306949542E-2</v>
      </c>
      <c r="AE48" s="2">
        <f t="shared" si="42"/>
        <v>4.4524889437973746E-3</v>
      </c>
      <c r="AF48" s="2">
        <f t="shared" si="42"/>
        <v>1.1121098183420366</v>
      </c>
      <c r="AG48" s="2">
        <f>_xlfn.STDEV.S(AG30:AG44)</f>
        <v>1.98805959477601</v>
      </c>
      <c r="AH48" s="2">
        <f>_xlfn.STDEV.S(AH30:AH44)</f>
        <v>0.35077178001071246</v>
      </c>
    </row>
    <row r="49" spans="6:34" x14ac:dyDescent="0.35">
      <c r="Y49" s="49" t="s">
        <v>95</v>
      </c>
      <c r="Z49" s="2">
        <f>Z48/SQRT(14)</f>
        <v>9.1984100182485512E-2</v>
      </c>
      <c r="AA49" s="2">
        <f t="shared" ref="AA49:AF49" si="43">AA48/SQRT(14)</f>
        <v>0.2836200019052435</v>
      </c>
      <c r="AB49" s="2">
        <f t="shared" si="43"/>
        <v>7.1123543488109484E-3</v>
      </c>
      <c r="AC49" s="2">
        <f t="shared" si="43"/>
        <v>7.1123543488109554E-3</v>
      </c>
      <c r="AD49" s="2">
        <f t="shared" si="43"/>
        <v>3.2680304589545544E-3</v>
      </c>
      <c r="AE49" s="2">
        <f t="shared" si="43"/>
        <v>1.1899777247206251E-3</v>
      </c>
      <c r="AF49" s="2">
        <f t="shared" si="43"/>
        <v>0.29722385119309336</v>
      </c>
      <c r="AG49" s="2">
        <f>AG48/SQRT(15)</f>
        <v>0.51331478012235687</v>
      </c>
      <c r="AH49" s="2">
        <f>AH48/SQRT(15)</f>
        <v>9.0568884153401405E-2</v>
      </c>
    </row>
    <row r="55" spans="6:34" ht="18.5" x14ac:dyDescent="0.45">
      <c r="F55" s="1" t="s">
        <v>366</v>
      </c>
      <c r="G55" s="3"/>
      <c r="H55" s="3"/>
      <c r="I55" s="3"/>
      <c r="J55" s="3"/>
      <c r="K55" s="3"/>
      <c r="L55" s="3"/>
      <c r="M55" s="3"/>
      <c r="N55" s="3"/>
      <c r="O55" s="3"/>
      <c r="X55" s="1" t="s">
        <v>371</v>
      </c>
      <c r="Y55" s="3"/>
      <c r="Z55" s="3"/>
      <c r="AA55" s="3"/>
      <c r="AB55" s="3"/>
      <c r="AC55" s="3"/>
      <c r="AD55" s="3"/>
      <c r="AE55" s="3"/>
      <c r="AF55" s="3"/>
      <c r="AG55" s="3"/>
    </row>
    <row r="56" spans="6:34" ht="16" thickBot="1" x14ac:dyDescent="0.4">
      <c r="F56" s="9" t="s">
        <v>11</v>
      </c>
      <c r="G56" s="9" t="s">
        <v>12</v>
      </c>
      <c r="H56" s="9" t="s">
        <v>3</v>
      </c>
      <c r="I56" s="9" t="s">
        <v>4</v>
      </c>
      <c r="J56" s="9" t="s">
        <v>655</v>
      </c>
      <c r="K56" s="9" t="s">
        <v>654</v>
      </c>
      <c r="L56" s="9" t="s">
        <v>653</v>
      </c>
      <c r="M56" s="9" t="s">
        <v>8</v>
      </c>
      <c r="N56" s="9" t="s">
        <v>9</v>
      </c>
      <c r="O56" s="9" t="s">
        <v>10</v>
      </c>
      <c r="P56" s="44" t="s">
        <v>139</v>
      </c>
      <c r="X56" s="9" t="s">
        <v>11</v>
      </c>
      <c r="Y56" s="9" t="s">
        <v>12</v>
      </c>
      <c r="Z56" s="9" t="s">
        <v>3</v>
      </c>
      <c r="AA56" s="9" t="s">
        <v>4</v>
      </c>
      <c r="AB56" s="9" t="s">
        <v>655</v>
      </c>
      <c r="AC56" s="9" t="s">
        <v>654</v>
      </c>
      <c r="AD56" s="9" t="s">
        <v>653</v>
      </c>
      <c r="AE56" s="9" t="s">
        <v>8</v>
      </c>
      <c r="AF56" s="9" t="s">
        <v>9</v>
      </c>
      <c r="AG56" s="9" t="s">
        <v>10</v>
      </c>
      <c r="AH56" s="44" t="s">
        <v>139</v>
      </c>
    </row>
    <row r="57" spans="6:34" x14ac:dyDescent="0.35">
      <c r="F57" s="2">
        <v>23.168379999999999</v>
      </c>
      <c r="G57" s="2">
        <v>33.925780000000003</v>
      </c>
      <c r="H57" s="2">
        <f>G57-F57</f>
        <v>10.757400000000004</v>
      </c>
      <c r="I57" s="2">
        <f>F58-G57</f>
        <v>17.67942</v>
      </c>
      <c r="J57" s="2">
        <f>H57/N57</f>
        <v>0.37829124353566967</v>
      </c>
      <c r="K57" s="2">
        <f>I57/N57</f>
        <v>0.62170875646433033</v>
      </c>
      <c r="L57" s="2">
        <f>1/H57</f>
        <v>9.2959265249967435E-2</v>
      </c>
      <c r="M57" s="2">
        <f>1/N57</f>
        <v>3.5165676049572346E-2</v>
      </c>
      <c r="N57" s="2">
        <f>H57+I57</f>
        <v>28.436820000000004</v>
      </c>
      <c r="O57" s="2">
        <v>178</v>
      </c>
      <c r="P57">
        <f>O57/H57</f>
        <v>16.546749214494202</v>
      </c>
      <c r="X57" s="2">
        <v>9.4312000000000005</v>
      </c>
      <c r="Y57" s="2">
        <v>16.03312</v>
      </c>
      <c r="Z57" s="2">
        <f t="shared" ref="Z57:Z64" si="44">Y57-X57</f>
        <v>6.6019199999999998</v>
      </c>
      <c r="AA57" s="2">
        <f t="shared" ref="AA57:AA63" si="45">X58-Y57</f>
        <v>6.9424500000000009</v>
      </c>
      <c r="AB57" s="2">
        <f t="shared" ref="AB57:AB63" si="46">Z57/AF57</f>
        <v>0.48742909415498836</v>
      </c>
      <c r="AC57" s="2">
        <f t="shared" ref="AC57:AC63" si="47">AA57/AF57</f>
        <v>0.51257090584501164</v>
      </c>
      <c r="AD57" s="2">
        <f t="shared" ref="AD57:AD63" si="48">1/Z57</f>
        <v>0.15147108719887548</v>
      </c>
      <c r="AE57" s="2">
        <f t="shared" ref="AE57:AE63" si="49">1/AF57</f>
        <v>7.3831414824019129E-2</v>
      </c>
      <c r="AF57" s="2">
        <f t="shared" ref="AF57:AF63" si="50">Z57+AA57</f>
        <v>13.544370000000001</v>
      </c>
      <c r="AG57" s="2">
        <v>87</v>
      </c>
      <c r="AH57">
        <f t="shared" ref="AH57:AH63" si="51">AG57/Z57</f>
        <v>13.177984586302166</v>
      </c>
    </row>
    <row r="58" spans="6:34" x14ac:dyDescent="0.35">
      <c r="F58" s="13">
        <v>51.605200000000004</v>
      </c>
      <c r="G58" s="13">
        <v>60.048209999999997</v>
      </c>
      <c r="H58" s="2">
        <f>G58-F58</f>
        <v>8.4430099999999939</v>
      </c>
      <c r="I58" s="2">
        <f>F59-G58</f>
        <v>20.575330000000008</v>
      </c>
      <c r="J58" s="2">
        <f>H58/N58</f>
        <v>0.29095427236706145</v>
      </c>
      <c r="K58" s="2">
        <f>I58/N58</f>
        <v>0.7090457276329386</v>
      </c>
      <c r="L58" s="2">
        <f>1/H58</f>
        <v>0.11844117204646219</v>
      </c>
      <c r="M58" s="2">
        <f>1/N58</f>
        <v>3.4460965031080343E-2</v>
      </c>
      <c r="N58" s="2">
        <f>H58+I58</f>
        <v>29.018340000000002</v>
      </c>
      <c r="O58" s="2">
        <v>145</v>
      </c>
      <c r="P58">
        <f>O58/H58</f>
        <v>17.173969946737017</v>
      </c>
      <c r="X58" s="2">
        <v>22.975570000000001</v>
      </c>
      <c r="Y58" s="2">
        <v>30.860890000000001</v>
      </c>
      <c r="Z58" s="2">
        <f t="shared" si="44"/>
        <v>7.8853200000000001</v>
      </c>
      <c r="AA58" s="2">
        <f t="shared" si="45"/>
        <v>6.684470000000001</v>
      </c>
      <c r="AB58" s="2">
        <f t="shared" si="46"/>
        <v>0.54121027139032196</v>
      </c>
      <c r="AC58" s="2">
        <f t="shared" si="47"/>
        <v>0.45878972860967798</v>
      </c>
      <c r="AD58" s="2">
        <f t="shared" si="48"/>
        <v>0.12681793509965353</v>
      </c>
      <c r="AE58" s="2">
        <f t="shared" si="49"/>
        <v>6.8635169072443727E-2</v>
      </c>
      <c r="AF58" s="2">
        <f t="shared" si="50"/>
        <v>14.569790000000001</v>
      </c>
      <c r="AG58" s="2">
        <v>87</v>
      </c>
      <c r="AH58">
        <f t="shared" si="51"/>
        <v>11.033160353669857</v>
      </c>
    </row>
    <row r="59" spans="6:34" x14ac:dyDescent="0.35">
      <c r="F59" s="13">
        <v>80.623540000000006</v>
      </c>
      <c r="G59" s="13">
        <v>88.424959999999999</v>
      </c>
      <c r="H59" s="2">
        <f>G59-F59</f>
        <v>7.8014199999999931</v>
      </c>
      <c r="I59" s="2">
        <f>F60-G59</f>
        <v>19.950779999999995</v>
      </c>
      <c r="J59" s="2">
        <f>H59/N59</f>
        <v>0.28110996605674493</v>
      </c>
      <c r="K59" s="2">
        <f>I59/N59</f>
        <v>0.71889003394325512</v>
      </c>
      <c r="L59" s="2">
        <f>1/H59</f>
        <v>0.12818179254545978</v>
      </c>
      <c r="M59" s="2">
        <f>1/N59</f>
        <v>3.6033179351546922E-2</v>
      </c>
      <c r="N59" s="2">
        <f>H59+I59</f>
        <v>27.752199999999988</v>
      </c>
      <c r="O59" s="13">
        <v>145</v>
      </c>
      <c r="P59">
        <f>O59/H59</f>
        <v>18.58635991909167</v>
      </c>
      <c r="X59" s="13">
        <v>37.545360000000002</v>
      </c>
      <c r="Y59" s="13">
        <v>45.33502</v>
      </c>
      <c r="Z59" s="2">
        <f t="shared" si="44"/>
        <v>7.7896599999999978</v>
      </c>
      <c r="AA59" s="2">
        <f t="shared" si="45"/>
        <v>5.4107300000000009</v>
      </c>
      <c r="AB59" s="2">
        <f t="shared" si="46"/>
        <v>0.59010832255713641</v>
      </c>
      <c r="AC59" s="2">
        <f t="shared" si="47"/>
        <v>0.40989167744286353</v>
      </c>
      <c r="AD59" s="2">
        <f t="shared" si="48"/>
        <v>0.12837530777980044</v>
      </c>
      <c r="AE59" s="2">
        <f t="shared" si="49"/>
        <v>7.5755337531694153E-2</v>
      </c>
      <c r="AF59" s="2">
        <f t="shared" si="50"/>
        <v>13.200389999999999</v>
      </c>
      <c r="AG59" s="13">
        <v>73</v>
      </c>
      <c r="AH59">
        <f t="shared" si="51"/>
        <v>9.3713974679254317</v>
      </c>
    </row>
    <row r="60" spans="6:34" x14ac:dyDescent="0.35">
      <c r="F60" s="13">
        <v>108.37573999999999</v>
      </c>
      <c r="G60" s="13">
        <v>116.07965</v>
      </c>
      <c r="H60" s="2">
        <f>G60-F60</f>
        <v>7.7039100000000076</v>
      </c>
      <c r="I60" s="2"/>
      <c r="J60" s="2"/>
      <c r="K60" s="2"/>
      <c r="L60" s="2"/>
      <c r="M60" s="2"/>
      <c r="N60" s="2"/>
      <c r="O60" s="13"/>
      <c r="X60" s="13">
        <v>50.745750000000001</v>
      </c>
      <c r="Y60" s="13">
        <v>58.850909999999999</v>
      </c>
      <c r="Z60" s="2">
        <f t="shared" si="44"/>
        <v>8.1051599999999979</v>
      </c>
      <c r="AA60" s="2">
        <f t="shared" si="45"/>
        <v>5.7213299999999947</v>
      </c>
      <c r="AB60" s="2">
        <f t="shared" si="46"/>
        <v>0.58620517571704767</v>
      </c>
      <c r="AC60" s="2">
        <f t="shared" si="47"/>
        <v>0.41379482428295233</v>
      </c>
      <c r="AD60" s="2">
        <f t="shared" si="48"/>
        <v>0.12337819364454251</v>
      </c>
      <c r="AE60" s="2">
        <f t="shared" si="49"/>
        <v>7.2324935685050981E-2</v>
      </c>
      <c r="AF60" s="2">
        <f t="shared" si="50"/>
        <v>13.826489999999993</v>
      </c>
      <c r="AG60" s="13">
        <v>69</v>
      </c>
      <c r="AH60">
        <f t="shared" si="51"/>
        <v>8.5130953614734342</v>
      </c>
    </row>
    <row r="61" spans="6:34" x14ac:dyDescent="0.35">
      <c r="F61" s="13"/>
      <c r="G61" s="13"/>
      <c r="H61" s="2"/>
      <c r="I61" s="2"/>
      <c r="J61" s="2"/>
      <c r="K61" s="2"/>
      <c r="L61" s="2"/>
      <c r="M61" s="2"/>
      <c r="N61" s="2"/>
      <c r="O61" s="13"/>
      <c r="X61" s="13">
        <v>64.572239999999994</v>
      </c>
      <c r="Y61" s="13">
        <v>71.709280000000007</v>
      </c>
      <c r="Z61" s="2">
        <f t="shared" si="44"/>
        <v>7.1370400000000132</v>
      </c>
      <c r="AA61" s="2">
        <f t="shared" si="45"/>
        <v>6.0186099999999954</v>
      </c>
      <c r="AB61" s="2">
        <f t="shared" si="46"/>
        <v>0.54250759179516095</v>
      </c>
      <c r="AC61" s="2">
        <f t="shared" si="47"/>
        <v>0.45749240820483911</v>
      </c>
      <c r="AD61" s="2">
        <f t="shared" si="48"/>
        <v>0.14011410893031259</v>
      </c>
      <c r="AE61" s="2">
        <f t="shared" si="49"/>
        <v>7.6012967812308735E-2</v>
      </c>
      <c r="AF61" s="2">
        <f t="shared" si="50"/>
        <v>13.155650000000009</v>
      </c>
      <c r="AG61" s="13">
        <v>59</v>
      </c>
      <c r="AH61">
        <f t="shared" si="51"/>
        <v>8.2667324268884421</v>
      </c>
    </row>
    <row r="62" spans="6:34" x14ac:dyDescent="0.35">
      <c r="F62" s="13"/>
      <c r="G62" s="13"/>
      <c r="H62" s="2"/>
      <c r="I62" s="2"/>
      <c r="J62" s="2"/>
      <c r="K62" s="2"/>
      <c r="L62" s="2"/>
      <c r="M62" s="2"/>
      <c r="N62" s="2"/>
      <c r="O62" s="13"/>
      <c r="X62" s="13">
        <v>77.727890000000002</v>
      </c>
      <c r="Y62" s="13">
        <v>83.772760000000005</v>
      </c>
      <c r="Z62" s="2">
        <f t="shared" si="44"/>
        <v>6.0448700000000031</v>
      </c>
      <c r="AA62" s="2">
        <f t="shared" si="45"/>
        <v>8.607050000000001</v>
      </c>
      <c r="AB62" s="2">
        <f t="shared" si="46"/>
        <v>0.41256504267017574</v>
      </c>
      <c r="AC62" s="2">
        <f t="shared" si="47"/>
        <v>0.5874349573298242</v>
      </c>
      <c r="AD62" s="2">
        <f t="shared" si="48"/>
        <v>0.16542952950187506</v>
      </c>
      <c r="AE62" s="2">
        <f t="shared" si="49"/>
        <v>6.825044089784818E-2</v>
      </c>
      <c r="AF62" s="2">
        <f t="shared" si="50"/>
        <v>14.651920000000004</v>
      </c>
      <c r="AG62" s="13">
        <v>47</v>
      </c>
      <c r="AH62">
        <f t="shared" si="51"/>
        <v>7.7751878865881281</v>
      </c>
    </row>
    <row r="63" spans="6:34" x14ac:dyDescent="0.35">
      <c r="F63" s="13"/>
      <c r="G63" s="13"/>
      <c r="H63" s="2"/>
      <c r="I63" s="2"/>
      <c r="J63" s="2"/>
      <c r="K63" s="2"/>
      <c r="L63" s="2"/>
      <c r="M63" s="2"/>
      <c r="N63" s="2"/>
      <c r="O63" s="13"/>
      <c r="X63" s="13">
        <v>92.379810000000006</v>
      </c>
      <c r="Y63" s="13">
        <v>103.69661000000001</v>
      </c>
      <c r="Z63" s="2">
        <f t="shared" si="44"/>
        <v>11.316800000000001</v>
      </c>
      <c r="AA63" s="2">
        <f t="shared" si="45"/>
        <v>6.6499099999999913</v>
      </c>
      <c r="AB63" s="2">
        <f t="shared" si="46"/>
        <v>0.62987603183888452</v>
      </c>
      <c r="AC63" s="2">
        <f t="shared" si="47"/>
        <v>0.37012396816111542</v>
      </c>
      <c r="AD63" s="2">
        <f t="shared" si="48"/>
        <v>8.8364201894528482E-2</v>
      </c>
      <c r="AE63" s="2">
        <f t="shared" si="49"/>
        <v>5.5658492845935645E-2</v>
      </c>
      <c r="AF63" s="2">
        <f t="shared" si="50"/>
        <v>17.966709999999992</v>
      </c>
      <c r="AG63" s="13">
        <v>59</v>
      </c>
      <c r="AH63">
        <f t="shared" si="51"/>
        <v>5.2134879117771806</v>
      </c>
    </row>
    <row r="64" spans="6:34" x14ac:dyDescent="0.35">
      <c r="F64" s="13"/>
      <c r="G64" s="13"/>
      <c r="H64" s="2"/>
      <c r="I64" s="2"/>
      <c r="J64" s="2"/>
      <c r="K64" s="2"/>
      <c r="L64" s="2"/>
      <c r="M64" s="2"/>
      <c r="N64" s="2"/>
      <c r="O64" s="13"/>
      <c r="X64" s="13">
        <v>110.34652</v>
      </c>
      <c r="Y64" s="13">
        <v>117.40263</v>
      </c>
      <c r="Z64" s="2">
        <f t="shared" si="44"/>
        <v>7.0561100000000039</v>
      </c>
      <c r="AA64" s="2"/>
      <c r="AB64" s="2"/>
      <c r="AC64" s="2"/>
      <c r="AD64" s="2"/>
      <c r="AE64" s="2"/>
      <c r="AF64" s="2"/>
      <c r="AG64" s="13"/>
    </row>
    <row r="65" spans="6:34" x14ac:dyDescent="0.35">
      <c r="F65" s="13"/>
      <c r="G65" s="13"/>
      <c r="H65" s="2"/>
      <c r="I65" s="2"/>
      <c r="J65" s="2"/>
      <c r="K65" s="2"/>
      <c r="L65" s="2"/>
      <c r="M65" s="2"/>
      <c r="N65" s="2"/>
      <c r="O65" s="13"/>
      <c r="X65" s="13"/>
      <c r="Y65" s="13"/>
      <c r="Z65" s="2"/>
      <c r="AA65" s="2"/>
      <c r="AB65" s="2"/>
      <c r="AC65" s="2"/>
      <c r="AD65" s="2"/>
      <c r="AE65" s="2"/>
      <c r="AF65" s="2"/>
      <c r="AG65" s="13"/>
    </row>
    <row r="66" spans="6:34" x14ac:dyDescent="0.35">
      <c r="F66" s="13"/>
      <c r="H66" s="2"/>
      <c r="I66" s="2"/>
      <c r="J66" s="2"/>
      <c r="K66" s="2"/>
      <c r="L66" s="2"/>
      <c r="M66" s="2"/>
      <c r="N66" s="2"/>
      <c r="X66" s="13"/>
      <c r="Z66" s="2"/>
      <c r="AA66" s="2"/>
      <c r="AB66" s="2"/>
      <c r="AC66" s="2"/>
      <c r="AD66" s="2"/>
      <c r="AE66" s="2"/>
      <c r="AF66" s="2"/>
    </row>
    <row r="67" spans="6:34" x14ac:dyDescent="0.35">
      <c r="F67" s="13"/>
      <c r="H67" s="2"/>
      <c r="I67" s="2"/>
      <c r="J67" s="2"/>
      <c r="K67" s="2"/>
      <c r="L67" s="2"/>
      <c r="M67" s="2"/>
      <c r="N67" s="2"/>
      <c r="X67" s="13"/>
      <c r="Z67" s="2"/>
      <c r="AA67" s="2"/>
      <c r="AB67" s="2"/>
      <c r="AC67" s="2"/>
      <c r="AD67" s="2"/>
      <c r="AE67" s="2"/>
      <c r="AF67" s="2"/>
    </row>
    <row r="68" spans="6:34" ht="16" thickBot="1" x14ac:dyDescent="0.4">
      <c r="F68" s="13"/>
      <c r="G68" s="13"/>
      <c r="H68" s="9" t="s">
        <v>3</v>
      </c>
      <c r="I68" s="9" t="s">
        <v>4</v>
      </c>
      <c r="J68" s="9" t="s">
        <v>5</v>
      </c>
      <c r="K68" s="9" t="s">
        <v>6</v>
      </c>
      <c r="L68" s="9" t="s">
        <v>7</v>
      </c>
      <c r="M68" s="9" t="s">
        <v>8</v>
      </c>
      <c r="N68" s="9" t="s">
        <v>9</v>
      </c>
      <c r="O68" s="9" t="s">
        <v>10</v>
      </c>
      <c r="P68" s="44" t="s">
        <v>139</v>
      </c>
      <c r="X68" s="13"/>
      <c r="Y68" s="13"/>
      <c r="Z68" s="9" t="s">
        <v>3</v>
      </c>
      <c r="AA68" s="9" t="s">
        <v>4</v>
      </c>
      <c r="AB68" s="9" t="s">
        <v>5</v>
      </c>
      <c r="AC68" s="9" t="s">
        <v>6</v>
      </c>
      <c r="AD68" s="9" t="s">
        <v>7</v>
      </c>
      <c r="AE68" s="9" t="s">
        <v>8</v>
      </c>
      <c r="AF68" s="9" t="s">
        <v>9</v>
      </c>
      <c r="AG68" s="9" t="s">
        <v>10</v>
      </c>
      <c r="AH68" s="44" t="s">
        <v>139</v>
      </c>
    </row>
    <row r="69" spans="6:34" x14ac:dyDescent="0.35">
      <c r="F69" s="13"/>
      <c r="G69" s="49" t="s">
        <v>77</v>
      </c>
      <c r="H69" s="2">
        <f>AVERAGE(H57:H59)</f>
        <v>9.0006099999999964</v>
      </c>
      <c r="I69" s="2">
        <f t="shared" ref="I69:P69" si="52">AVERAGE(I57:I59)</f>
        <v>19.401843333333336</v>
      </c>
      <c r="J69" s="2">
        <f t="shared" si="52"/>
        <v>0.31678516065315865</v>
      </c>
      <c r="K69" s="2">
        <f t="shared" si="52"/>
        <v>0.68321483934684135</v>
      </c>
      <c r="L69" s="2">
        <f t="shared" si="52"/>
        <v>0.11319407661396313</v>
      </c>
      <c r="M69" s="2">
        <f t="shared" si="52"/>
        <v>3.5219940144066542E-2</v>
      </c>
      <c r="N69" s="2">
        <f t="shared" si="52"/>
        <v>28.40245333333333</v>
      </c>
      <c r="O69" s="2">
        <f t="shared" si="52"/>
        <v>156</v>
      </c>
      <c r="P69" s="2">
        <f t="shared" si="52"/>
        <v>17.435693026774295</v>
      </c>
      <c r="X69" s="13"/>
      <c r="Y69" s="49" t="s">
        <v>77</v>
      </c>
      <c r="Z69" s="2">
        <f>AVERAGE(Z57:Z63)</f>
        <v>7.8401100000000019</v>
      </c>
      <c r="AA69" s="2">
        <f t="shared" ref="AA69:AH69" si="53">AVERAGE(AA57:AA63)</f>
        <v>6.5763642857142832</v>
      </c>
      <c r="AB69" s="2">
        <f t="shared" si="53"/>
        <v>0.541414504303388</v>
      </c>
      <c r="AC69" s="2">
        <f t="shared" si="53"/>
        <v>0.45858549569661206</v>
      </c>
      <c r="AD69" s="2">
        <f t="shared" si="53"/>
        <v>0.13199290914994116</v>
      </c>
      <c r="AE69" s="2">
        <f t="shared" si="53"/>
        <v>7.0066965524185801E-2</v>
      </c>
      <c r="AF69" s="2">
        <f t="shared" si="53"/>
        <v>14.416474285714285</v>
      </c>
      <c r="AG69" s="2">
        <f t="shared" si="53"/>
        <v>68.714285714285708</v>
      </c>
      <c r="AH69" s="2">
        <f t="shared" si="53"/>
        <v>9.0501494278035199</v>
      </c>
    </row>
    <row r="70" spans="6:34" x14ac:dyDescent="0.35">
      <c r="F70" s="13"/>
      <c r="G70" s="49" t="s">
        <v>94</v>
      </c>
      <c r="H70" s="2">
        <f>_xlfn.STDEV.S(H57:H59)</f>
        <v>1.5548770884221115</v>
      </c>
      <c r="I70" s="2">
        <f t="shared" ref="I70:P70" si="54">_xlfn.STDEV.S(I57:I59)</f>
        <v>1.5239987795380086</v>
      </c>
      <c r="J70" s="2">
        <f t="shared" si="54"/>
        <v>5.3492768346250136E-2</v>
      </c>
      <c r="K70" s="2">
        <f t="shared" si="54"/>
        <v>5.3492768346250053E-2</v>
      </c>
      <c r="L70" s="2">
        <f t="shared" si="54"/>
        <v>1.8188062434705343E-2</v>
      </c>
      <c r="M70" s="2">
        <f t="shared" si="54"/>
        <v>7.8751057855339492E-4</v>
      </c>
      <c r="N70" s="2">
        <f t="shared" si="54"/>
        <v>0.63376922119438928</v>
      </c>
      <c r="O70" s="2">
        <f t="shared" si="54"/>
        <v>19.05255888325765</v>
      </c>
      <c r="P70" s="2">
        <f t="shared" si="54"/>
        <v>1.0446899944697925</v>
      </c>
      <c r="X70" s="13"/>
      <c r="Y70" s="49" t="s">
        <v>94</v>
      </c>
      <c r="Z70" s="2">
        <f>_xlfn.STDEV.S(Z57:Z63)</f>
        <v>1.7035513182662436</v>
      </c>
      <c r="AA70" s="2">
        <f t="shared" ref="AA70:AH70" si="55">_xlfn.STDEV.S(AA57:AA63)</f>
        <v>1.0548045473744918</v>
      </c>
      <c r="AB70" s="2">
        <f t="shared" si="55"/>
        <v>7.2710130952909235E-2</v>
      </c>
      <c r="AC70" s="2">
        <f t="shared" si="55"/>
        <v>7.2710130952909499E-2</v>
      </c>
      <c r="AD70" s="2">
        <f t="shared" si="55"/>
        <v>2.4429850943227631E-2</v>
      </c>
      <c r="AE70" s="2">
        <f t="shared" si="55"/>
        <v>7.0703125202230205E-3</v>
      </c>
      <c r="AF70" s="2">
        <f t="shared" si="55"/>
        <v>1.6763203866192316</v>
      </c>
      <c r="AG70" s="2">
        <f t="shared" si="55"/>
        <v>14.985707476506699</v>
      </c>
      <c r="AH70" s="2">
        <f t="shared" si="55"/>
        <v>2.5272588417343047</v>
      </c>
    </row>
    <row r="71" spans="6:34" x14ac:dyDescent="0.35">
      <c r="F71" s="13"/>
      <c r="G71" s="49" t="s">
        <v>95</v>
      </c>
      <c r="H71" s="2">
        <f>H70/SQRT(3)</f>
        <v>0.89770870555728766</v>
      </c>
      <c r="I71" s="2">
        <f t="shared" ref="I71:P71" si="56">I70/SQRT(3)</f>
        <v>0.87988110561093047</v>
      </c>
      <c r="J71" s="2">
        <f t="shared" si="56"/>
        <v>3.0884064204405811E-2</v>
      </c>
      <c r="K71" s="2">
        <f t="shared" si="56"/>
        <v>3.0884064204405762E-2</v>
      </c>
      <c r="L71" s="2">
        <f t="shared" si="56"/>
        <v>1.0500882742714851E-2</v>
      </c>
      <c r="M71" s="2">
        <f t="shared" si="56"/>
        <v>4.5466944451748049E-4</v>
      </c>
      <c r="N71" s="2">
        <f t="shared" si="56"/>
        <v>0.36590683046068012</v>
      </c>
      <c r="O71" s="2">
        <f t="shared" si="56"/>
        <v>11</v>
      </c>
      <c r="P71" s="2">
        <f t="shared" si="56"/>
        <v>0.60315204952684343</v>
      </c>
      <c r="X71" s="13"/>
      <c r="Y71" s="49" t="s">
        <v>95</v>
      </c>
      <c r="Z71" s="2">
        <f>Z70/SQRT(7)</f>
        <v>0.64388187625267512</v>
      </c>
      <c r="AA71" s="2">
        <f t="shared" ref="AA71:AH71" si="57">AA70/SQRT(7)</f>
        <v>0.39867864487613625</v>
      </c>
      <c r="AB71" s="2">
        <f t="shared" si="57"/>
        <v>2.7481846328048239E-2</v>
      </c>
      <c r="AC71" s="2">
        <f t="shared" si="57"/>
        <v>2.7481846328048339E-2</v>
      </c>
      <c r="AD71" s="2">
        <f t="shared" si="57"/>
        <v>9.2336157374510036E-3</v>
      </c>
      <c r="AE71" s="2">
        <f t="shared" si="57"/>
        <v>2.6723269457166353E-3</v>
      </c>
      <c r="AF71" s="2">
        <f t="shared" si="57"/>
        <v>0.63358955152316188</v>
      </c>
      <c r="AG71" s="2">
        <f t="shared" si="57"/>
        <v>5.6640650290282908</v>
      </c>
      <c r="AH71" s="2">
        <f t="shared" si="57"/>
        <v>0.95521405627401645</v>
      </c>
    </row>
    <row r="72" spans="6:34" x14ac:dyDescent="0.35">
      <c r="F72" s="2"/>
      <c r="G72" s="49"/>
      <c r="H72" s="2"/>
      <c r="I72" s="2"/>
      <c r="J72" s="2"/>
      <c r="K72" s="2"/>
      <c r="L72" s="2"/>
      <c r="M72" s="2"/>
      <c r="N72" s="2"/>
      <c r="O72" s="2"/>
      <c r="P72" s="2"/>
    </row>
    <row r="78" spans="6:34" ht="18.5" x14ac:dyDescent="0.45">
      <c r="F78" s="1" t="s">
        <v>52</v>
      </c>
      <c r="G78" s="3"/>
      <c r="H78" s="3"/>
      <c r="I78" s="3"/>
      <c r="J78" s="3"/>
      <c r="K78" s="3"/>
      <c r="L78" s="3"/>
      <c r="M78" s="3"/>
      <c r="N78" s="3"/>
      <c r="O78" s="3"/>
      <c r="X78" s="1" t="s">
        <v>374</v>
      </c>
      <c r="Y78" s="3"/>
      <c r="Z78" s="3"/>
      <c r="AA78" s="3"/>
      <c r="AB78" s="3"/>
      <c r="AC78" s="3"/>
      <c r="AD78" s="3"/>
      <c r="AE78" s="3"/>
      <c r="AF78" s="3"/>
      <c r="AG78" s="3"/>
    </row>
    <row r="79" spans="6:34" ht="16" thickBot="1" x14ac:dyDescent="0.4">
      <c r="F79" s="9" t="s">
        <v>11</v>
      </c>
      <c r="G79" s="9" t="s">
        <v>12</v>
      </c>
      <c r="H79" s="9" t="s">
        <v>3</v>
      </c>
      <c r="I79" s="9" t="s">
        <v>4</v>
      </c>
      <c r="J79" s="9" t="s">
        <v>655</v>
      </c>
      <c r="K79" s="9" t="s">
        <v>654</v>
      </c>
      <c r="L79" s="9" t="s">
        <v>653</v>
      </c>
      <c r="M79" s="9" t="s">
        <v>8</v>
      </c>
      <c r="N79" s="9" t="s">
        <v>9</v>
      </c>
      <c r="O79" s="9" t="s">
        <v>10</v>
      </c>
      <c r="P79" s="44" t="s">
        <v>139</v>
      </c>
      <c r="X79" s="9" t="s">
        <v>11</v>
      </c>
      <c r="Y79" s="9" t="s">
        <v>12</v>
      </c>
      <c r="Z79" s="9" t="s">
        <v>3</v>
      </c>
      <c r="AA79" s="9" t="s">
        <v>4</v>
      </c>
      <c r="AB79" s="9" t="s">
        <v>655</v>
      </c>
      <c r="AC79" s="9" t="s">
        <v>654</v>
      </c>
      <c r="AD79" s="9" t="s">
        <v>653</v>
      </c>
      <c r="AE79" s="9" t="s">
        <v>8</v>
      </c>
      <c r="AF79" s="9" t="s">
        <v>9</v>
      </c>
      <c r="AG79" s="9" t="s">
        <v>10</v>
      </c>
      <c r="AH79" s="44" t="s">
        <v>139</v>
      </c>
    </row>
    <row r="80" spans="6:34" x14ac:dyDescent="0.35">
      <c r="F80" s="2">
        <v>19.961069999999999</v>
      </c>
      <c r="G80" s="2">
        <v>26.581209999999999</v>
      </c>
      <c r="H80" s="2">
        <f>G80-F80</f>
        <v>6.6201399999999992</v>
      </c>
      <c r="I80" s="2">
        <f>F81-G80</f>
        <v>25.149349999999998</v>
      </c>
      <c r="J80" s="2">
        <f>H80/N80</f>
        <v>0.20838043040665744</v>
      </c>
      <c r="K80" s="2">
        <f>I80/N80</f>
        <v>0.79161956959334256</v>
      </c>
      <c r="L80" s="2">
        <f>1/H80</f>
        <v>0.15105420731283631</v>
      </c>
      <c r="M80" s="2">
        <f>1/N80</f>
        <v>3.1476740734585291E-2</v>
      </c>
      <c r="N80" s="2">
        <f>H80+I80</f>
        <v>31.769489999999998</v>
      </c>
      <c r="O80" s="2">
        <v>107</v>
      </c>
      <c r="P80">
        <f>O80/H80</f>
        <v>16.162800182473486</v>
      </c>
      <c r="X80" s="2"/>
      <c r="Y80" s="2"/>
      <c r="Z80" s="2">
        <f t="shared" ref="Z80:Z94" si="58">Y80-X80</f>
        <v>0</v>
      </c>
      <c r="AA80" s="2">
        <f t="shared" ref="AA80:AA93" si="59">X81-Y80</f>
        <v>0</v>
      </c>
      <c r="AB80" s="2" t="e">
        <f t="shared" ref="AB80:AB93" si="60">Z80/AF80</f>
        <v>#DIV/0!</v>
      </c>
      <c r="AC80" s="2" t="e">
        <f t="shared" ref="AC80:AC93" si="61">AA80/AF80</f>
        <v>#DIV/0!</v>
      </c>
      <c r="AD80" s="2" t="e">
        <f t="shared" ref="AD80:AD93" si="62">1/Z80</f>
        <v>#DIV/0!</v>
      </c>
      <c r="AE80" s="2" t="e">
        <f t="shared" ref="AE80:AE93" si="63">1/AF80</f>
        <v>#DIV/0!</v>
      </c>
      <c r="AF80" s="2">
        <f t="shared" ref="AF80:AF93" si="64">Z80+AA80</f>
        <v>0</v>
      </c>
      <c r="AG80" s="2"/>
      <c r="AH80" t="e">
        <f t="shared" ref="AH80:AH94" si="65">AG80/Z80</f>
        <v>#DIV/0!</v>
      </c>
    </row>
    <row r="81" spans="6:34" x14ac:dyDescent="0.35">
      <c r="F81" s="2">
        <v>51.730559999999997</v>
      </c>
      <c r="G81" s="2">
        <v>60.553109999999997</v>
      </c>
      <c r="H81" s="2">
        <f>G81-F81</f>
        <v>8.8225499999999997</v>
      </c>
      <c r="I81" s="2">
        <f>F82-G81</f>
        <v>15.887260000000005</v>
      </c>
      <c r="J81" s="2">
        <f>H81/N81</f>
        <v>0.3570464524008885</v>
      </c>
      <c r="K81" s="2">
        <f>I81/N81</f>
        <v>0.6429535475991115</v>
      </c>
      <c r="L81" s="2">
        <f>1/H81</f>
        <v>0.11334591472986835</v>
      </c>
      <c r="M81" s="2">
        <f>1/N81</f>
        <v>4.0469756748433103E-2</v>
      </c>
      <c r="N81" s="2">
        <f>H81+I81</f>
        <v>24.709810000000004</v>
      </c>
      <c r="O81" s="2">
        <v>143</v>
      </c>
      <c r="P81">
        <f>O81/H81</f>
        <v>16.208465806371173</v>
      </c>
      <c r="X81" s="2"/>
      <c r="Y81" s="2"/>
      <c r="Z81" s="2">
        <f t="shared" si="58"/>
        <v>0</v>
      </c>
      <c r="AA81" s="2">
        <f t="shared" si="59"/>
        <v>0</v>
      </c>
      <c r="AB81" s="2" t="e">
        <f t="shared" si="60"/>
        <v>#DIV/0!</v>
      </c>
      <c r="AC81" s="2" t="e">
        <f t="shared" si="61"/>
        <v>#DIV/0!</v>
      </c>
      <c r="AD81" s="2" t="e">
        <f t="shared" si="62"/>
        <v>#DIV/0!</v>
      </c>
      <c r="AE81" s="2" t="e">
        <f t="shared" si="63"/>
        <v>#DIV/0!</v>
      </c>
      <c r="AF81" s="2">
        <f t="shared" si="64"/>
        <v>0</v>
      </c>
      <c r="AG81" s="2"/>
      <c r="AH81" t="e">
        <f t="shared" si="65"/>
        <v>#DIV/0!</v>
      </c>
    </row>
    <row r="82" spans="6:34" x14ac:dyDescent="0.35">
      <c r="F82" s="13">
        <v>76.440370000000001</v>
      </c>
      <c r="G82" s="13">
        <v>83.78819</v>
      </c>
      <c r="H82" s="2">
        <f>G82-F82</f>
        <v>7.3478199999999987</v>
      </c>
      <c r="I82" s="2">
        <f>F83-G82</f>
        <v>18.950410000000005</v>
      </c>
      <c r="J82" s="2">
        <f>H82/N82</f>
        <v>0.27940359484269467</v>
      </c>
      <c r="K82" s="2">
        <f>I82/N82</f>
        <v>0.72059640515730539</v>
      </c>
      <c r="L82" s="2">
        <f>1/H82</f>
        <v>0.13609478729745697</v>
      </c>
      <c r="M82" s="2">
        <f>1/N82</f>
        <v>3.8025372810261367E-2</v>
      </c>
      <c r="N82" s="2">
        <f>H82+I82</f>
        <v>26.298230000000004</v>
      </c>
      <c r="O82" s="13">
        <v>116</v>
      </c>
      <c r="P82">
        <f>O82/H82</f>
        <v>15.786995326505007</v>
      </c>
      <c r="X82" s="13"/>
      <c r="Y82" s="13"/>
      <c r="Z82" s="2">
        <f t="shared" si="58"/>
        <v>0</v>
      </c>
      <c r="AA82" s="2">
        <f t="shared" si="59"/>
        <v>0</v>
      </c>
      <c r="AB82" s="2" t="e">
        <f t="shared" si="60"/>
        <v>#DIV/0!</v>
      </c>
      <c r="AC82" s="2" t="e">
        <f t="shared" si="61"/>
        <v>#DIV/0!</v>
      </c>
      <c r="AD82" s="2" t="e">
        <f t="shared" si="62"/>
        <v>#DIV/0!</v>
      </c>
      <c r="AE82" s="2" t="e">
        <f t="shared" si="63"/>
        <v>#DIV/0!</v>
      </c>
      <c r="AF82" s="2">
        <f t="shared" si="64"/>
        <v>0</v>
      </c>
      <c r="AG82" s="13"/>
      <c r="AH82" t="e">
        <f t="shared" si="65"/>
        <v>#DIV/0!</v>
      </c>
    </row>
    <row r="83" spans="6:34" x14ac:dyDescent="0.35">
      <c r="F83" s="13">
        <v>102.73860000000001</v>
      </c>
      <c r="G83" s="13">
        <v>111.60457</v>
      </c>
      <c r="H83" s="2">
        <f>G83-F83</f>
        <v>8.8659699999999901</v>
      </c>
      <c r="I83" s="2"/>
      <c r="J83" s="2"/>
      <c r="K83" s="2"/>
      <c r="L83" s="2"/>
      <c r="M83" s="2"/>
      <c r="N83" s="2"/>
      <c r="O83" s="13"/>
      <c r="X83" s="13"/>
      <c r="Y83" s="13"/>
      <c r="Z83" s="2">
        <f t="shared" si="58"/>
        <v>0</v>
      </c>
      <c r="AA83" s="2">
        <f t="shared" si="59"/>
        <v>0</v>
      </c>
      <c r="AB83" s="2" t="e">
        <f t="shared" si="60"/>
        <v>#DIV/0!</v>
      </c>
      <c r="AC83" s="2" t="e">
        <f t="shared" si="61"/>
        <v>#DIV/0!</v>
      </c>
      <c r="AD83" s="2" t="e">
        <f t="shared" si="62"/>
        <v>#DIV/0!</v>
      </c>
      <c r="AE83" s="2" t="e">
        <f t="shared" si="63"/>
        <v>#DIV/0!</v>
      </c>
      <c r="AF83" s="2">
        <f t="shared" si="64"/>
        <v>0</v>
      </c>
      <c r="AG83" s="13"/>
      <c r="AH83" t="e">
        <f t="shared" si="65"/>
        <v>#DIV/0!</v>
      </c>
    </row>
    <row r="84" spans="6:34" x14ac:dyDescent="0.35">
      <c r="F84" s="13"/>
      <c r="G84" s="13"/>
      <c r="H84" s="2"/>
      <c r="I84" s="2"/>
      <c r="J84" s="2"/>
      <c r="K84" s="2"/>
      <c r="L84" s="2"/>
      <c r="M84" s="2"/>
      <c r="N84" s="2"/>
      <c r="O84" s="13"/>
      <c r="X84" s="13"/>
      <c r="Y84" s="13"/>
      <c r="Z84" s="2">
        <f t="shared" si="58"/>
        <v>0</v>
      </c>
      <c r="AA84" s="2">
        <f t="shared" si="59"/>
        <v>0</v>
      </c>
      <c r="AB84" s="2" t="e">
        <f t="shared" si="60"/>
        <v>#DIV/0!</v>
      </c>
      <c r="AC84" s="2" t="e">
        <f t="shared" si="61"/>
        <v>#DIV/0!</v>
      </c>
      <c r="AD84" s="2" t="e">
        <f t="shared" si="62"/>
        <v>#DIV/0!</v>
      </c>
      <c r="AE84" s="2" t="e">
        <f t="shared" si="63"/>
        <v>#DIV/0!</v>
      </c>
      <c r="AF84" s="2">
        <f t="shared" si="64"/>
        <v>0</v>
      </c>
      <c r="AG84" s="13"/>
      <c r="AH84" t="e">
        <f t="shared" si="65"/>
        <v>#DIV/0!</v>
      </c>
    </row>
    <row r="85" spans="6:34" x14ac:dyDescent="0.35">
      <c r="F85" s="13"/>
      <c r="G85" s="13"/>
      <c r="H85" s="2"/>
      <c r="I85" s="2"/>
      <c r="J85" s="2"/>
      <c r="K85" s="2"/>
      <c r="L85" s="2"/>
      <c r="M85" s="2"/>
      <c r="N85" s="2"/>
      <c r="O85" s="13"/>
      <c r="X85" s="13"/>
      <c r="Y85" s="13"/>
      <c r="Z85" s="2">
        <f t="shared" si="58"/>
        <v>0</v>
      </c>
      <c r="AA85" s="2">
        <f t="shared" si="59"/>
        <v>0</v>
      </c>
      <c r="AB85" s="2" t="e">
        <f t="shared" si="60"/>
        <v>#DIV/0!</v>
      </c>
      <c r="AC85" s="2" t="e">
        <f t="shared" si="61"/>
        <v>#DIV/0!</v>
      </c>
      <c r="AD85" s="2" t="e">
        <f t="shared" si="62"/>
        <v>#DIV/0!</v>
      </c>
      <c r="AE85" s="2" t="e">
        <f t="shared" si="63"/>
        <v>#DIV/0!</v>
      </c>
      <c r="AF85" s="2">
        <f t="shared" si="64"/>
        <v>0</v>
      </c>
      <c r="AG85" s="13"/>
      <c r="AH85" t="e">
        <f t="shared" si="65"/>
        <v>#DIV/0!</v>
      </c>
    </row>
    <row r="86" spans="6:34" x14ac:dyDescent="0.35">
      <c r="F86" s="13"/>
      <c r="G86" s="13"/>
      <c r="H86" s="2"/>
      <c r="I86" s="2"/>
      <c r="J86" s="2"/>
      <c r="K86" s="2"/>
      <c r="L86" s="2"/>
      <c r="M86" s="2"/>
      <c r="N86" s="2"/>
      <c r="O86" s="13"/>
      <c r="X86" s="13"/>
      <c r="Y86" s="13"/>
      <c r="Z86" s="2">
        <f t="shared" si="58"/>
        <v>0</v>
      </c>
      <c r="AA86" s="2">
        <f t="shared" si="59"/>
        <v>0</v>
      </c>
      <c r="AB86" s="2" t="e">
        <f t="shared" si="60"/>
        <v>#DIV/0!</v>
      </c>
      <c r="AC86" s="2" t="e">
        <f t="shared" si="61"/>
        <v>#DIV/0!</v>
      </c>
      <c r="AD86" s="2" t="e">
        <f t="shared" si="62"/>
        <v>#DIV/0!</v>
      </c>
      <c r="AE86" s="2" t="e">
        <f t="shared" si="63"/>
        <v>#DIV/0!</v>
      </c>
      <c r="AF86" s="2">
        <f t="shared" si="64"/>
        <v>0</v>
      </c>
      <c r="AG86" s="13"/>
      <c r="AH86" t="e">
        <f t="shared" si="65"/>
        <v>#DIV/0!</v>
      </c>
    </row>
    <row r="87" spans="6:34" x14ac:dyDescent="0.35">
      <c r="F87" s="13"/>
      <c r="G87" s="13"/>
      <c r="H87" s="2"/>
      <c r="I87" s="2"/>
      <c r="J87" s="2"/>
      <c r="K87" s="2"/>
      <c r="L87" s="2"/>
      <c r="M87" s="2"/>
      <c r="N87" s="2"/>
      <c r="O87" s="13"/>
      <c r="X87" s="13"/>
      <c r="Y87" s="13"/>
      <c r="Z87" s="2">
        <f t="shared" si="58"/>
        <v>0</v>
      </c>
      <c r="AA87" s="2">
        <f t="shared" si="59"/>
        <v>0</v>
      </c>
      <c r="AB87" s="2" t="e">
        <f t="shared" si="60"/>
        <v>#DIV/0!</v>
      </c>
      <c r="AC87" s="2" t="e">
        <f t="shared" si="61"/>
        <v>#DIV/0!</v>
      </c>
      <c r="AD87" s="2" t="e">
        <f t="shared" si="62"/>
        <v>#DIV/0!</v>
      </c>
      <c r="AE87" s="2" t="e">
        <f t="shared" si="63"/>
        <v>#DIV/0!</v>
      </c>
      <c r="AF87" s="2">
        <f t="shared" si="64"/>
        <v>0</v>
      </c>
      <c r="AG87" s="13"/>
      <c r="AH87" t="e">
        <f t="shared" si="65"/>
        <v>#DIV/0!</v>
      </c>
    </row>
    <row r="88" spans="6:34" x14ac:dyDescent="0.35">
      <c r="F88" s="13"/>
      <c r="G88" s="13"/>
      <c r="H88" s="2"/>
      <c r="I88" s="2"/>
      <c r="J88" s="2"/>
      <c r="K88" s="2"/>
      <c r="L88" s="2"/>
      <c r="M88" s="2"/>
      <c r="N88" s="2"/>
      <c r="O88" s="13"/>
      <c r="X88" s="13"/>
      <c r="Y88" s="13"/>
      <c r="Z88" s="2">
        <f t="shared" si="58"/>
        <v>0</v>
      </c>
      <c r="AA88" s="2">
        <f t="shared" si="59"/>
        <v>0</v>
      </c>
      <c r="AB88" s="2" t="e">
        <f t="shared" si="60"/>
        <v>#DIV/0!</v>
      </c>
      <c r="AC88" s="2" t="e">
        <f t="shared" si="61"/>
        <v>#DIV/0!</v>
      </c>
      <c r="AD88" s="2" t="e">
        <f t="shared" si="62"/>
        <v>#DIV/0!</v>
      </c>
      <c r="AE88" s="2" t="e">
        <f t="shared" si="63"/>
        <v>#DIV/0!</v>
      </c>
      <c r="AF88" s="2">
        <f t="shared" si="64"/>
        <v>0</v>
      </c>
      <c r="AG88" s="13"/>
      <c r="AH88" t="e">
        <f t="shared" si="65"/>
        <v>#DIV/0!</v>
      </c>
    </row>
    <row r="89" spans="6:34" x14ac:dyDescent="0.35">
      <c r="F89" s="13"/>
      <c r="H89" s="2"/>
      <c r="I89" s="2"/>
      <c r="J89" s="2"/>
      <c r="K89" s="2"/>
      <c r="L89" s="2"/>
      <c r="M89" s="2"/>
      <c r="N89" s="2"/>
      <c r="X89" s="13"/>
      <c r="Z89" s="2">
        <f t="shared" si="58"/>
        <v>0</v>
      </c>
      <c r="AA89" s="2">
        <f t="shared" si="59"/>
        <v>0</v>
      </c>
      <c r="AB89" s="2" t="e">
        <f t="shared" si="60"/>
        <v>#DIV/0!</v>
      </c>
      <c r="AC89" s="2" t="e">
        <f t="shared" si="61"/>
        <v>#DIV/0!</v>
      </c>
      <c r="AD89" s="2" t="e">
        <f t="shared" si="62"/>
        <v>#DIV/0!</v>
      </c>
      <c r="AE89" s="2" t="e">
        <f t="shared" si="63"/>
        <v>#DIV/0!</v>
      </c>
      <c r="AF89" s="2">
        <f t="shared" si="64"/>
        <v>0</v>
      </c>
      <c r="AH89" t="e">
        <f t="shared" si="65"/>
        <v>#DIV/0!</v>
      </c>
    </row>
    <row r="90" spans="6:34" x14ac:dyDescent="0.35">
      <c r="F90" s="13"/>
      <c r="H90" s="2"/>
      <c r="I90" s="2"/>
      <c r="J90" s="2"/>
      <c r="K90" s="2"/>
      <c r="L90" s="2"/>
      <c r="M90" s="2"/>
      <c r="N90" s="2"/>
      <c r="X90" s="13"/>
      <c r="Z90" s="2">
        <f t="shared" si="58"/>
        <v>0</v>
      </c>
      <c r="AA90" s="2">
        <f t="shared" si="59"/>
        <v>0</v>
      </c>
      <c r="AB90" s="2" t="e">
        <f t="shared" si="60"/>
        <v>#DIV/0!</v>
      </c>
      <c r="AC90" s="2" t="e">
        <f t="shared" si="61"/>
        <v>#DIV/0!</v>
      </c>
      <c r="AD90" s="2" t="e">
        <f t="shared" si="62"/>
        <v>#DIV/0!</v>
      </c>
      <c r="AE90" s="2" t="e">
        <f t="shared" si="63"/>
        <v>#DIV/0!</v>
      </c>
      <c r="AF90" s="2">
        <f t="shared" si="64"/>
        <v>0</v>
      </c>
      <c r="AH90" t="e">
        <f t="shared" si="65"/>
        <v>#DIV/0!</v>
      </c>
    </row>
    <row r="91" spans="6:34" x14ac:dyDescent="0.35">
      <c r="F91" s="13"/>
      <c r="H91" s="2"/>
      <c r="I91" s="2"/>
      <c r="J91" s="2"/>
      <c r="K91" s="2"/>
      <c r="L91" s="2"/>
      <c r="M91" s="2"/>
      <c r="N91" s="2"/>
      <c r="X91" s="13"/>
      <c r="Z91" s="2">
        <f t="shared" si="58"/>
        <v>0</v>
      </c>
      <c r="AA91" s="2">
        <f t="shared" si="59"/>
        <v>0</v>
      </c>
      <c r="AB91" s="2" t="e">
        <f t="shared" si="60"/>
        <v>#DIV/0!</v>
      </c>
      <c r="AC91" s="2" t="e">
        <f t="shared" si="61"/>
        <v>#DIV/0!</v>
      </c>
      <c r="AD91" s="2" t="e">
        <f t="shared" si="62"/>
        <v>#DIV/0!</v>
      </c>
      <c r="AE91" s="2" t="e">
        <f t="shared" si="63"/>
        <v>#DIV/0!</v>
      </c>
      <c r="AF91" s="2">
        <f t="shared" si="64"/>
        <v>0</v>
      </c>
      <c r="AH91" t="e">
        <f t="shared" si="65"/>
        <v>#DIV/0!</v>
      </c>
    </row>
    <row r="92" spans="6:34" x14ac:dyDescent="0.35">
      <c r="F92" s="13"/>
      <c r="H92" s="2"/>
      <c r="I92" s="2"/>
      <c r="J92" s="2"/>
      <c r="K92" s="2"/>
      <c r="L92" s="2"/>
      <c r="M92" s="2"/>
      <c r="N92" s="2"/>
      <c r="X92" s="13"/>
      <c r="Z92" s="2">
        <f t="shared" si="58"/>
        <v>0</v>
      </c>
      <c r="AA92" s="2">
        <f t="shared" si="59"/>
        <v>0</v>
      </c>
      <c r="AB92" s="2" t="e">
        <f t="shared" si="60"/>
        <v>#DIV/0!</v>
      </c>
      <c r="AC92" s="2" t="e">
        <f t="shared" si="61"/>
        <v>#DIV/0!</v>
      </c>
      <c r="AD92" s="2" t="e">
        <f t="shared" si="62"/>
        <v>#DIV/0!</v>
      </c>
      <c r="AE92" s="2" t="e">
        <f t="shared" si="63"/>
        <v>#DIV/0!</v>
      </c>
      <c r="AF92" s="2">
        <f t="shared" si="64"/>
        <v>0</v>
      </c>
      <c r="AH92" t="e">
        <f t="shared" si="65"/>
        <v>#DIV/0!</v>
      </c>
    </row>
    <row r="93" spans="6:34" x14ac:dyDescent="0.35">
      <c r="F93" s="13"/>
      <c r="X93" s="13"/>
      <c r="Z93" s="2">
        <f t="shared" si="58"/>
        <v>0</v>
      </c>
      <c r="AA93" s="2">
        <f t="shared" si="59"/>
        <v>0</v>
      </c>
      <c r="AB93" s="2" t="e">
        <f t="shared" si="60"/>
        <v>#DIV/0!</v>
      </c>
      <c r="AC93" s="2" t="e">
        <f t="shared" si="61"/>
        <v>#DIV/0!</v>
      </c>
      <c r="AD93" s="2" t="e">
        <f t="shared" si="62"/>
        <v>#DIV/0!</v>
      </c>
      <c r="AE93" s="2" t="e">
        <f t="shared" si="63"/>
        <v>#DIV/0!</v>
      </c>
      <c r="AF93" s="2">
        <f t="shared" si="64"/>
        <v>0</v>
      </c>
      <c r="AH93" t="e">
        <f t="shared" si="65"/>
        <v>#DIV/0!</v>
      </c>
    </row>
    <row r="94" spans="6:34" ht="16" thickBot="1" x14ac:dyDescent="0.4">
      <c r="F94" s="13"/>
      <c r="G94" s="13"/>
      <c r="H94" s="9" t="s">
        <v>3</v>
      </c>
      <c r="I94" s="9" t="s">
        <v>4</v>
      </c>
      <c r="J94" s="9" t="s">
        <v>5</v>
      </c>
      <c r="K94" s="9" t="s">
        <v>6</v>
      </c>
      <c r="L94" s="9" t="s">
        <v>7</v>
      </c>
      <c r="M94" s="9" t="s">
        <v>8</v>
      </c>
      <c r="N94" s="9" t="s">
        <v>9</v>
      </c>
      <c r="O94" s="9" t="s">
        <v>10</v>
      </c>
      <c r="P94" s="44" t="s">
        <v>139</v>
      </c>
      <c r="X94" s="13"/>
      <c r="Z94" s="2">
        <f t="shared" si="58"/>
        <v>0</v>
      </c>
      <c r="AA94" s="2"/>
      <c r="AB94" s="2"/>
      <c r="AC94" s="2"/>
      <c r="AD94" s="2"/>
      <c r="AE94" s="2"/>
      <c r="AF94" s="2"/>
      <c r="AH94" t="e">
        <f t="shared" si="65"/>
        <v>#DIV/0!</v>
      </c>
    </row>
    <row r="95" spans="6:34" x14ac:dyDescent="0.35">
      <c r="G95" s="49" t="s">
        <v>77</v>
      </c>
      <c r="H95" s="2">
        <f>AVERAGE(H80:H82)</f>
        <v>7.5968366666666656</v>
      </c>
      <c r="I95" s="2">
        <f t="shared" ref="I95:P95" si="66">AVERAGE(I80:I82)</f>
        <v>19.995673333333336</v>
      </c>
      <c r="J95" s="2">
        <f t="shared" si="66"/>
        <v>0.28161015921674687</v>
      </c>
      <c r="K95" s="2">
        <f t="shared" si="66"/>
        <v>0.71838984078325308</v>
      </c>
      <c r="L95" s="2">
        <f t="shared" si="66"/>
        <v>0.1334983031133872</v>
      </c>
      <c r="M95" s="2">
        <f t="shared" si="66"/>
        <v>3.665729009775992E-2</v>
      </c>
      <c r="N95" s="2">
        <f t="shared" si="66"/>
        <v>27.592510000000004</v>
      </c>
      <c r="O95" s="2">
        <f t="shared" si="66"/>
        <v>122</v>
      </c>
      <c r="P95" s="2">
        <f t="shared" si="66"/>
        <v>16.05275377178322</v>
      </c>
    </row>
    <row r="96" spans="6:34" ht="16" thickBot="1" x14ac:dyDescent="0.4">
      <c r="G96" s="49" t="s">
        <v>94</v>
      </c>
      <c r="H96" s="2">
        <f>_xlfn.STDEV.S(H80:H82)</f>
        <v>1.1221227326960845</v>
      </c>
      <c r="I96" s="2">
        <f t="shared" ref="I96:P96" si="67">_xlfn.STDEV.S(I80:I82)</f>
        <v>4.7186872506061821</v>
      </c>
      <c r="J96" s="2">
        <f t="shared" si="67"/>
        <v>7.4357570015768579E-2</v>
      </c>
      <c r="K96" s="2">
        <f t="shared" si="67"/>
        <v>7.4357570015768579E-2</v>
      </c>
      <c r="L96" s="2">
        <f t="shared" si="67"/>
        <v>1.8987762637269038E-2</v>
      </c>
      <c r="M96" s="2">
        <f t="shared" si="67"/>
        <v>4.6499808588331606E-3</v>
      </c>
      <c r="N96" s="2">
        <f t="shared" si="67"/>
        <v>3.7035308780135723</v>
      </c>
      <c r="O96" s="2">
        <f t="shared" si="67"/>
        <v>18.734993995195193</v>
      </c>
      <c r="P96" s="2">
        <f t="shared" si="67"/>
        <v>0.23128337754584025</v>
      </c>
      <c r="Y96" s="13"/>
      <c r="Z96" s="9" t="s">
        <v>3</v>
      </c>
      <c r="AA96" s="9" t="s">
        <v>4</v>
      </c>
      <c r="AB96" s="9" t="s">
        <v>5</v>
      </c>
      <c r="AC96" s="9" t="s">
        <v>6</v>
      </c>
      <c r="AD96" s="9" t="s">
        <v>7</v>
      </c>
      <c r="AE96" s="9" t="s">
        <v>8</v>
      </c>
      <c r="AF96" s="9" t="s">
        <v>9</v>
      </c>
      <c r="AG96" s="9" t="s">
        <v>10</v>
      </c>
      <c r="AH96" s="44" t="s">
        <v>139</v>
      </c>
    </row>
    <row r="97" spans="7:34" x14ac:dyDescent="0.35">
      <c r="G97" s="49" t="s">
        <v>95</v>
      </c>
      <c r="H97" s="2">
        <f>H96/SQRT(3)</f>
        <v>0.64785786178588289</v>
      </c>
      <c r="I97" s="2">
        <f t="shared" ref="I97:P97" si="68">I96/SQRT(3)</f>
        <v>2.7243353543591344</v>
      </c>
      <c r="J97" s="2">
        <f t="shared" si="68"/>
        <v>4.2930363064890439E-2</v>
      </c>
      <c r="K97" s="2">
        <f t="shared" si="68"/>
        <v>4.2930363064890439E-2</v>
      </c>
      <c r="L97" s="2">
        <f t="shared" si="68"/>
        <v>1.0962589869935998E-2</v>
      </c>
      <c r="M97" s="2">
        <f t="shared" si="68"/>
        <v>2.6846677005739326E-3</v>
      </c>
      <c r="N97" s="2">
        <f t="shared" si="68"/>
        <v>2.1382345493732271</v>
      </c>
      <c r="O97" s="2">
        <f t="shared" si="68"/>
        <v>10.816653826391967</v>
      </c>
      <c r="P97" s="2">
        <f t="shared" si="68"/>
        <v>0.13353152028517673</v>
      </c>
      <c r="Y97" s="49" t="s">
        <v>77</v>
      </c>
      <c r="Z97" s="2">
        <f>AVERAGE(Z80:Z93)</f>
        <v>0</v>
      </c>
      <c r="AA97" s="2">
        <f t="shared" ref="AA97:AF97" si="69">AVERAGE(AA80:AA93)</f>
        <v>0</v>
      </c>
      <c r="AB97" s="2" t="e">
        <f t="shared" si="69"/>
        <v>#DIV/0!</v>
      </c>
      <c r="AC97" s="2" t="e">
        <f t="shared" si="69"/>
        <v>#DIV/0!</v>
      </c>
      <c r="AD97" s="2" t="e">
        <f t="shared" si="69"/>
        <v>#DIV/0!</v>
      </c>
      <c r="AE97" s="2" t="e">
        <f t="shared" si="69"/>
        <v>#DIV/0!</v>
      </c>
      <c r="AF97" s="2">
        <f t="shared" si="69"/>
        <v>0</v>
      </c>
      <c r="AG97" s="2" t="e">
        <f>AVERAGE(AG80:AG94)</f>
        <v>#DIV/0!</v>
      </c>
      <c r="AH97" s="2" t="e">
        <f>AVERAGE(AH80:AH94)</f>
        <v>#DIV/0!</v>
      </c>
    </row>
    <row r="98" spans="7:34" x14ac:dyDescent="0.35">
      <c r="Y98" s="49" t="s">
        <v>94</v>
      </c>
      <c r="Z98" s="2">
        <f>_xlfn.STDEV.S(Z80:Z93)</f>
        <v>0</v>
      </c>
      <c r="AA98" s="2">
        <f t="shared" ref="AA98:AF98" si="70">_xlfn.STDEV.S(AA80:AA93)</f>
        <v>0</v>
      </c>
      <c r="AB98" s="2" t="e">
        <f t="shared" si="70"/>
        <v>#DIV/0!</v>
      </c>
      <c r="AC98" s="2" t="e">
        <f t="shared" si="70"/>
        <v>#DIV/0!</v>
      </c>
      <c r="AD98" s="2" t="e">
        <f t="shared" si="70"/>
        <v>#DIV/0!</v>
      </c>
      <c r="AE98" s="2" t="e">
        <f t="shared" si="70"/>
        <v>#DIV/0!</v>
      </c>
      <c r="AF98" s="2">
        <f t="shared" si="70"/>
        <v>0</v>
      </c>
      <c r="AG98" s="2" t="e">
        <f>_xlfn.STDEV.S(AG80:AG94)</f>
        <v>#DIV/0!</v>
      </c>
      <c r="AH98" s="2" t="e">
        <f>_xlfn.STDEV.S(AH80:AH94)</f>
        <v>#DIV/0!</v>
      </c>
    </row>
    <row r="99" spans="7:34" x14ac:dyDescent="0.35">
      <c r="Y99" s="49" t="s">
        <v>95</v>
      </c>
      <c r="Z99" s="2">
        <f>Z98/SQRT(14)</f>
        <v>0</v>
      </c>
      <c r="AA99" s="2">
        <f t="shared" ref="AA99:AF99" si="71">AA98/SQRT(14)</f>
        <v>0</v>
      </c>
      <c r="AB99" s="2" t="e">
        <f t="shared" si="71"/>
        <v>#DIV/0!</v>
      </c>
      <c r="AC99" s="2" t="e">
        <f t="shared" si="71"/>
        <v>#DIV/0!</v>
      </c>
      <c r="AD99" s="2" t="e">
        <f t="shared" si="71"/>
        <v>#DIV/0!</v>
      </c>
      <c r="AE99" s="2" t="e">
        <f t="shared" si="71"/>
        <v>#DIV/0!</v>
      </c>
      <c r="AF99" s="2">
        <f t="shared" si="71"/>
        <v>0</v>
      </c>
      <c r="AG99" s="2" t="e">
        <f>AG98/SQRT(15)</f>
        <v>#DIV/0!</v>
      </c>
      <c r="AH99" s="2" t="e">
        <f>AH98/SQRT(15)</f>
        <v>#DIV/0!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247"/>
  <sheetViews>
    <sheetView topLeftCell="N25" workbookViewId="0">
      <selection activeCell="AB32" sqref="AB32"/>
    </sheetView>
  </sheetViews>
  <sheetFormatPr defaultRowHeight="14.5" x14ac:dyDescent="0.35"/>
  <sheetData>
    <row r="4" spans="2:34" ht="18.5" x14ac:dyDescent="0.45">
      <c r="B4" s="2"/>
      <c r="C4" s="1" t="s">
        <v>372</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282</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12.25497</v>
      </c>
      <c r="G7" s="2">
        <v>15.32864</v>
      </c>
      <c r="H7" s="2">
        <f>G7-F7</f>
        <v>3.0736699999999999</v>
      </c>
      <c r="I7" s="2">
        <f>F8-G7</f>
        <v>6.4754000000000005</v>
      </c>
      <c r="J7" s="2">
        <f>H7/N7</f>
        <v>0.32188160731882787</v>
      </c>
      <c r="K7" s="2">
        <f>I7/N7</f>
        <v>0.67811839268117213</v>
      </c>
      <c r="L7" s="2">
        <f>1/H7</f>
        <v>0.32534396991218967</v>
      </c>
      <c r="M7" s="2">
        <f>1/N7</f>
        <v>0.10472223996682399</v>
      </c>
      <c r="N7" s="2">
        <f>H7+I7</f>
        <v>9.5490700000000004</v>
      </c>
      <c r="O7" s="2">
        <v>10</v>
      </c>
      <c r="P7">
        <f t="shared" ref="P7:P70" si="0">O7/H7</f>
        <v>3.2534396991218966</v>
      </c>
      <c r="X7" s="2">
        <v>6.1864100000000004</v>
      </c>
      <c r="Y7" s="46">
        <v>9.9083000000000006</v>
      </c>
      <c r="Z7" s="2">
        <f>Y7-X7</f>
        <v>3.7218900000000001</v>
      </c>
      <c r="AA7" s="2">
        <f>X8-Y7</f>
        <v>6.1040099999999988</v>
      </c>
      <c r="AB7" s="2">
        <f>Z7/AF7</f>
        <v>0.37878362287424056</v>
      </c>
      <c r="AC7" s="2">
        <f>AA7/AF7</f>
        <v>0.62121637712575939</v>
      </c>
      <c r="AD7" s="2">
        <f>1/Z7</f>
        <v>0.26868069717267301</v>
      </c>
      <c r="AE7" s="2">
        <f>1/AF7</f>
        <v>0.10177184787144181</v>
      </c>
      <c r="AF7" s="2">
        <f>Z7+AA7</f>
        <v>9.825899999999999</v>
      </c>
      <c r="AG7" s="2">
        <v>18</v>
      </c>
      <c r="AH7">
        <f t="shared" ref="AH7:AH27" si="1">AG7/Z7</f>
        <v>4.8362525491081145</v>
      </c>
    </row>
    <row r="8" spans="2:34" x14ac:dyDescent="0.35">
      <c r="B8" s="2"/>
      <c r="C8" s="2"/>
      <c r="D8" s="2"/>
      <c r="E8" s="2"/>
      <c r="F8" s="2">
        <v>21.804040000000001</v>
      </c>
      <c r="G8" s="46">
        <v>23.565059999999999</v>
      </c>
      <c r="H8" s="2">
        <f t="shared" ref="H8:H71" si="2">G8-F8</f>
        <v>1.7610199999999985</v>
      </c>
      <c r="I8" s="2">
        <f t="shared" ref="I8:I71" si="3">F9-G8</f>
        <v>6.40672</v>
      </c>
      <c r="J8" s="2">
        <f t="shared" ref="J8:J71" si="4">H8/N8</f>
        <v>0.21560676515168195</v>
      </c>
      <c r="K8" s="2">
        <f t="shared" ref="K8:K71" si="5">I8/N8</f>
        <v>0.78439323484831802</v>
      </c>
      <c r="L8" s="2">
        <f t="shared" ref="L8:L71" si="6">1/H8</f>
        <v>0.56785272171809564</v>
      </c>
      <c r="M8" s="2">
        <f t="shared" ref="M8:M71" si="7">1/N8</f>
        <v>0.12243288841221686</v>
      </c>
      <c r="N8" s="2">
        <f t="shared" ref="N8:N71" si="8">H8+I8</f>
        <v>8.1677399999999984</v>
      </c>
      <c r="O8" s="13">
        <v>8</v>
      </c>
      <c r="P8">
        <f t="shared" si="0"/>
        <v>4.5428217737447651</v>
      </c>
      <c r="X8" s="2">
        <v>16.012309999999999</v>
      </c>
      <c r="Y8" s="46">
        <v>19.74841</v>
      </c>
      <c r="Z8" s="2">
        <f t="shared" ref="Z8:Z27" si="9">Y8-X8</f>
        <v>3.7361000000000004</v>
      </c>
      <c r="AA8" s="2">
        <f t="shared" ref="AA8:AA26" si="10">X9-Y8</f>
        <v>8.762080000000001</v>
      </c>
      <c r="AB8" s="2">
        <f t="shared" ref="AB8:AB26" si="11">Z8/AF8</f>
        <v>0.29893152442995702</v>
      </c>
      <c r="AC8" s="2">
        <f t="shared" ref="AC8:AC26" si="12">AA8/AF8</f>
        <v>0.70106847557004304</v>
      </c>
      <c r="AD8" s="2">
        <f t="shared" ref="AD8:AD26" si="13">1/Z8</f>
        <v>0.26765878857632286</v>
      </c>
      <c r="AE8" s="2">
        <f t="shared" ref="AE8:AE26" si="14">1/AF8</f>
        <v>8.0011649696195758E-2</v>
      </c>
      <c r="AF8" s="2">
        <f t="shared" ref="AF8:AF26" si="15">Z8+AA8</f>
        <v>12.498180000000001</v>
      </c>
      <c r="AG8" s="2">
        <v>13</v>
      </c>
      <c r="AH8">
        <f t="shared" si="1"/>
        <v>3.4795642514921972</v>
      </c>
    </row>
    <row r="9" spans="2:34" x14ac:dyDescent="0.35">
      <c r="B9" s="2"/>
      <c r="C9" s="2"/>
      <c r="D9" s="2"/>
      <c r="E9" s="2"/>
      <c r="F9" s="13">
        <v>29.971779999999999</v>
      </c>
      <c r="G9" s="45">
        <v>32.877589999999998</v>
      </c>
      <c r="H9" s="2">
        <f t="shared" si="2"/>
        <v>2.9058099999999989</v>
      </c>
      <c r="I9" s="2">
        <f t="shared" si="3"/>
        <v>8.0051699999999997</v>
      </c>
      <c r="J9" s="2">
        <f t="shared" si="4"/>
        <v>0.26631979895481428</v>
      </c>
      <c r="K9" s="2">
        <f t="shared" si="5"/>
        <v>0.73368020104518572</v>
      </c>
      <c r="L9" s="2">
        <f t="shared" si="6"/>
        <v>0.34413812327715865</v>
      </c>
      <c r="M9" s="2">
        <f t="shared" si="7"/>
        <v>9.1650795803859972E-2</v>
      </c>
      <c r="N9" s="2">
        <f t="shared" si="8"/>
        <v>10.910979999999999</v>
      </c>
      <c r="O9" s="13">
        <v>11</v>
      </c>
      <c r="P9">
        <f t="shared" si="0"/>
        <v>3.785519356048745</v>
      </c>
      <c r="X9" s="13">
        <v>28.510490000000001</v>
      </c>
      <c r="Y9" s="45">
        <v>33.172400000000003</v>
      </c>
      <c r="Z9" s="2">
        <f t="shared" si="9"/>
        <v>4.6619100000000024</v>
      </c>
      <c r="AA9" s="2">
        <f t="shared" si="10"/>
        <v>6.0094199999999987</v>
      </c>
      <c r="AB9" s="2">
        <f t="shared" si="11"/>
        <v>0.43686307142596115</v>
      </c>
      <c r="AC9" s="2">
        <f t="shared" si="12"/>
        <v>0.56313692857403885</v>
      </c>
      <c r="AD9" s="2">
        <f t="shared" si="13"/>
        <v>0.21450435551093855</v>
      </c>
      <c r="AE9" s="2">
        <f t="shared" si="14"/>
        <v>9.3709031582754898E-2</v>
      </c>
      <c r="AF9" s="2">
        <f t="shared" si="15"/>
        <v>10.671330000000001</v>
      </c>
      <c r="AG9" s="13">
        <v>21</v>
      </c>
      <c r="AH9">
        <f t="shared" si="1"/>
        <v>4.5045914657297095</v>
      </c>
    </row>
    <row r="10" spans="2:34" x14ac:dyDescent="0.35">
      <c r="B10" s="2"/>
      <c r="C10" s="2"/>
      <c r="D10" s="2"/>
      <c r="E10" s="2"/>
      <c r="F10" s="13">
        <v>40.882759999999998</v>
      </c>
      <c r="G10" s="45">
        <v>44.020789999999998</v>
      </c>
      <c r="H10" s="2">
        <f t="shared" si="2"/>
        <v>3.1380300000000005</v>
      </c>
      <c r="I10" s="2">
        <f t="shared" si="3"/>
        <v>6.4229500000000002</v>
      </c>
      <c r="J10" s="2">
        <f t="shared" si="4"/>
        <v>0.32821217071890124</v>
      </c>
      <c r="K10" s="2">
        <f t="shared" si="5"/>
        <v>0.67178782928109881</v>
      </c>
      <c r="L10" s="2">
        <f t="shared" si="6"/>
        <v>0.3186712682797806</v>
      </c>
      <c r="M10" s="2">
        <f t="shared" si="7"/>
        <v>0.10459178870785212</v>
      </c>
      <c r="N10" s="2">
        <f t="shared" si="8"/>
        <v>9.5609800000000007</v>
      </c>
      <c r="O10" s="13">
        <v>13</v>
      </c>
      <c r="P10">
        <f t="shared" si="0"/>
        <v>4.1427264876371472</v>
      </c>
      <c r="X10" s="13">
        <v>39.181820000000002</v>
      </c>
      <c r="Y10" s="45">
        <v>40.615780000000001</v>
      </c>
      <c r="Z10" s="2">
        <f t="shared" si="9"/>
        <v>1.433959999999999</v>
      </c>
      <c r="AA10" s="2">
        <f t="shared" si="10"/>
        <v>7.525819999999996</v>
      </c>
      <c r="AB10" s="2">
        <f t="shared" si="11"/>
        <v>0.16004410822587159</v>
      </c>
      <c r="AC10" s="2">
        <f t="shared" si="12"/>
        <v>0.83995589177412844</v>
      </c>
      <c r="AD10" s="2">
        <f t="shared" si="13"/>
        <v>0.69736952216240389</v>
      </c>
      <c r="AE10" s="2">
        <f t="shared" si="14"/>
        <v>0.11160988327838413</v>
      </c>
      <c r="AF10" s="2">
        <f t="shared" si="15"/>
        <v>8.959779999999995</v>
      </c>
      <c r="AG10" s="13">
        <v>7</v>
      </c>
      <c r="AH10">
        <f t="shared" si="1"/>
        <v>4.881586655136827</v>
      </c>
    </row>
    <row r="11" spans="2:34" x14ac:dyDescent="0.35">
      <c r="B11" s="2"/>
      <c r="C11" s="2"/>
      <c r="D11" s="2"/>
      <c r="E11" s="2"/>
      <c r="F11" s="13">
        <v>50.443739999999998</v>
      </c>
      <c r="G11" s="45">
        <v>53.37574</v>
      </c>
      <c r="H11" s="2">
        <f t="shared" si="2"/>
        <v>2.9320000000000022</v>
      </c>
      <c r="I11" s="2">
        <f t="shared" si="3"/>
        <v>7.8652999999999977</v>
      </c>
      <c r="J11" s="2">
        <f t="shared" si="4"/>
        <v>0.27154936882368763</v>
      </c>
      <c r="K11" s="2">
        <f t="shared" si="5"/>
        <v>0.72845063117631237</v>
      </c>
      <c r="L11" s="2">
        <f t="shared" si="6"/>
        <v>0.34106412005456999</v>
      </c>
      <c r="M11" s="2">
        <f t="shared" si="7"/>
        <v>9.2615746529224899E-2</v>
      </c>
      <c r="N11" s="2">
        <f t="shared" si="8"/>
        <v>10.7973</v>
      </c>
      <c r="O11" s="13">
        <v>11</v>
      </c>
      <c r="P11">
        <f t="shared" si="0"/>
        <v>3.7517053206002702</v>
      </c>
      <c r="X11" s="13">
        <v>48.141599999999997</v>
      </c>
      <c r="Y11" s="45">
        <v>52.849269999999997</v>
      </c>
      <c r="Z11" s="2">
        <f t="shared" si="9"/>
        <v>4.7076700000000002</v>
      </c>
      <c r="AA11" s="2">
        <f t="shared" si="10"/>
        <v>5.1717800000000054</v>
      </c>
      <c r="AB11" s="2">
        <f t="shared" si="11"/>
        <v>0.4765113442549937</v>
      </c>
      <c r="AC11" s="2">
        <f t="shared" si="12"/>
        <v>0.52348865574500625</v>
      </c>
      <c r="AD11" s="2">
        <f t="shared" si="13"/>
        <v>0.21241930721567143</v>
      </c>
      <c r="AE11" s="2">
        <f t="shared" si="14"/>
        <v>0.10122020962705408</v>
      </c>
      <c r="AF11" s="2">
        <f t="shared" si="15"/>
        <v>9.8794500000000056</v>
      </c>
      <c r="AG11" s="13">
        <v>22</v>
      </c>
      <c r="AH11">
        <f t="shared" si="1"/>
        <v>4.6732247587447713</v>
      </c>
    </row>
    <row r="12" spans="2:34" x14ac:dyDescent="0.35">
      <c r="B12" s="2"/>
      <c r="C12" s="2"/>
      <c r="D12" s="2"/>
      <c r="E12" s="2"/>
      <c r="F12" s="13">
        <v>61.241039999999998</v>
      </c>
      <c r="G12" s="45">
        <v>64.0565</v>
      </c>
      <c r="H12" s="2">
        <f t="shared" si="2"/>
        <v>2.8154600000000016</v>
      </c>
      <c r="I12" s="2">
        <f t="shared" si="3"/>
        <v>6.1242600000000067</v>
      </c>
      <c r="J12" s="2">
        <f t="shared" si="4"/>
        <v>0.31493827547171488</v>
      </c>
      <c r="K12" s="2">
        <f t="shared" si="5"/>
        <v>0.68506172452828507</v>
      </c>
      <c r="L12" s="2">
        <f t="shared" si="6"/>
        <v>0.3551817464996837</v>
      </c>
      <c r="M12" s="2">
        <f t="shared" si="7"/>
        <v>0.11186032672164219</v>
      </c>
      <c r="N12" s="2">
        <f t="shared" si="8"/>
        <v>8.9397200000000083</v>
      </c>
      <c r="O12" s="13">
        <v>12</v>
      </c>
      <c r="P12">
        <f t="shared" si="0"/>
        <v>4.262180957996204</v>
      </c>
      <c r="X12" s="13">
        <v>58.021050000000002</v>
      </c>
      <c r="Y12" s="45">
        <v>60.813380000000002</v>
      </c>
      <c r="Z12" s="2">
        <f t="shared" si="9"/>
        <v>2.7923299999999998</v>
      </c>
      <c r="AA12" s="2">
        <f t="shared" si="10"/>
        <v>9.728909999999992</v>
      </c>
      <c r="AB12" s="2">
        <f t="shared" si="11"/>
        <v>0.22300746571425847</v>
      </c>
      <c r="AC12" s="2">
        <f t="shared" si="12"/>
        <v>0.77699253428574155</v>
      </c>
      <c r="AD12" s="2">
        <f t="shared" si="13"/>
        <v>0.35812386071846813</v>
      </c>
      <c r="AE12" s="2">
        <f t="shared" si="14"/>
        <v>7.9864294590631657E-2</v>
      </c>
      <c r="AF12" s="2">
        <f t="shared" si="15"/>
        <v>12.521239999999992</v>
      </c>
      <c r="AG12" s="13">
        <v>12</v>
      </c>
      <c r="AH12">
        <f t="shared" si="1"/>
        <v>4.2974863286216172</v>
      </c>
    </row>
    <row r="13" spans="2:34" x14ac:dyDescent="0.35">
      <c r="B13" s="2"/>
      <c r="C13" s="2"/>
      <c r="D13" s="2"/>
      <c r="E13" s="2"/>
      <c r="F13" s="13">
        <v>70.180760000000006</v>
      </c>
      <c r="G13" s="45">
        <v>72.957380000000001</v>
      </c>
      <c r="H13" s="2">
        <f t="shared" si="2"/>
        <v>2.7766199999999941</v>
      </c>
      <c r="I13" s="2">
        <f t="shared" si="3"/>
        <v>5.8785599999999931</v>
      </c>
      <c r="J13" s="2">
        <f t="shared" si="4"/>
        <v>0.32080442001206194</v>
      </c>
      <c r="K13" s="2">
        <f t="shared" si="5"/>
        <v>0.67919557998793811</v>
      </c>
      <c r="L13" s="2">
        <f t="shared" si="6"/>
        <v>0.3601501105660847</v>
      </c>
      <c r="M13" s="2">
        <f t="shared" si="7"/>
        <v>0.11553774733743279</v>
      </c>
      <c r="N13" s="2">
        <f t="shared" si="8"/>
        <v>8.6551799999999872</v>
      </c>
      <c r="O13" s="13">
        <v>11</v>
      </c>
      <c r="P13">
        <f t="shared" si="0"/>
        <v>3.9616512162269317</v>
      </c>
      <c r="X13" s="13">
        <v>70.542289999999994</v>
      </c>
      <c r="Y13" s="45">
        <v>76.098159999999993</v>
      </c>
      <c r="Z13" s="2">
        <f t="shared" si="9"/>
        <v>5.5558699999999988</v>
      </c>
      <c r="AA13" s="2">
        <f t="shared" si="10"/>
        <v>6.06477000000001</v>
      </c>
      <c r="AB13" s="2">
        <f t="shared" si="11"/>
        <v>0.4781036156356272</v>
      </c>
      <c r="AC13" s="2">
        <f t="shared" si="12"/>
        <v>0.5218963843643728</v>
      </c>
      <c r="AD13" s="2">
        <f t="shared" si="13"/>
        <v>0.1799898125766082</v>
      </c>
      <c r="AE13" s="2">
        <f t="shared" si="14"/>
        <v>8.6053780170455257E-2</v>
      </c>
      <c r="AF13" s="2">
        <f t="shared" si="15"/>
        <v>11.620640000000009</v>
      </c>
      <c r="AG13" s="13">
        <v>22</v>
      </c>
      <c r="AH13">
        <f t="shared" si="1"/>
        <v>3.9597758766853803</v>
      </c>
    </row>
    <row r="14" spans="2:34" x14ac:dyDescent="0.35">
      <c r="B14" s="2"/>
      <c r="C14" s="2"/>
      <c r="D14" s="2"/>
      <c r="E14" s="2"/>
      <c r="F14" s="13">
        <v>78.835939999999994</v>
      </c>
      <c r="G14" s="45">
        <v>81.476690000000005</v>
      </c>
      <c r="H14" s="2">
        <f t="shared" si="2"/>
        <v>2.6407500000000113</v>
      </c>
      <c r="I14" s="2">
        <f t="shared" si="3"/>
        <v>7.116029999999995</v>
      </c>
      <c r="J14" s="2">
        <f t="shared" si="4"/>
        <v>0.27065794247692471</v>
      </c>
      <c r="K14" s="2">
        <f t="shared" si="5"/>
        <v>0.72934205752307524</v>
      </c>
      <c r="L14" s="2">
        <f t="shared" si="6"/>
        <v>0.37868029915743473</v>
      </c>
      <c r="M14" s="2">
        <f t="shared" si="7"/>
        <v>0.10249283062649761</v>
      </c>
      <c r="N14" s="2">
        <f t="shared" si="8"/>
        <v>9.7567800000000062</v>
      </c>
      <c r="O14" s="13">
        <v>10</v>
      </c>
      <c r="P14">
        <f t="shared" si="0"/>
        <v>3.7868029915743473</v>
      </c>
      <c r="X14" s="13">
        <v>82.162930000000003</v>
      </c>
      <c r="Y14" s="45">
        <v>85.962670000000003</v>
      </c>
      <c r="Z14" s="2">
        <f t="shared" si="9"/>
        <v>3.7997399999999999</v>
      </c>
      <c r="AA14" s="2">
        <f t="shared" si="10"/>
        <v>10.476219999999998</v>
      </c>
      <c r="AB14" s="2">
        <f t="shared" si="11"/>
        <v>0.26616353646269675</v>
      </c>
      <c r="AC14" s="2">
        <f t="shared" si="12"/>
        <v>0.73383646353730325</v>
      </c>
      <c r="AD14" s="2">
        <f t="shared" si="13"/>
        <v>0.26317590150905062</v>
      </c>
      <c r="AE14" s="2">
        <f t="shared" si="14"/>
        <v>7.0047828657407288E-2</v>
      </c>
      <c r="AF14" s="2">
        <f t="shared" si="15"/>
        <v>14.275959999999998</v>
      </c>
      <c r="AG14" s="13">
        <v>14</v>
      </c>
      <c r="AH14">
        <f t="shared" si="1"/>
        <v>3.6844626211267086</v>
      </c>
    </row>
    <row r="15" spans="2:34" x14ac:dyDescent="0.35">
      <c r="B15" s="2"/>
      <c r="C15" s="2"/>
      <c r="D15" s="2"/>
      <c r="E15" s="2"/>
      <c r="F15" s="13">
        <v>88.59272</v>
      </c>
      <c r="G15" s="45">
        <v>91.431950000000001</v>
      </c>
      <c r="H15" s="2">
        <f t="shared" si="2"/>
        <v>2.8392300000000006</v>
      </c>
      <c r="I15" s="2">
        <f t="shared" si="3"/>
        <v>5.8421100000000052</v>
      </c>
      <c r="J15" s="2">
        <f t="shared" si="4"/>
        <v>0.32704974116898988</v>
      </c>
      <c r="K15" s="2">
        <f t="shared" si="5"/>
        <v>0.67295025883101012</v>
      </c>
      <c r="L15" s="2">
        <f t="shared" si="6"/>
        <v>0.35220816911627439</v>
      </c>
      <c r="M15" s="2">
        <f t="shared" si="7"/>
        <v>0.11518959054708136</v>
      </c>
      <c r="N15" s="2">
        <f t="shared" si="8"/>
        <v>8.6813400000000058</v>
      </c>
      <c r="O15">
        <v>12</v>
      </c>
      <c r="P15">
        <f t="shared" si="0"/>
        <v>4.2264980293952927</v>
      </c>
      <c r="X15" s="13">
        <v>96.438890000000001</v>
      </c>
      <c r="Y15" s="45">
        <v>101.97028</v>
      </c>
      <c r="Z15" s="2">
        <f t="shared" si="9"/>
        <v>5.5313900000000018</v>
      </c>
      <c r="AA15" s="2">
        <f t="shared" si="10"/>
        <v>12.224540000000005</v>
      </c>
      <c r="AB15" s="2">
        <f t="shared" si="11"/>
        <v>0.31152353044870079</v>
      </c>
      <c r="AC15" s="2">
        <f t="shared" si="12"/>
        <v>0.68847646955129926</v>
      </c>
      <c r="AD15" s="2">
        <f t="shared" si="13"/>
        <v>0.18078638461580177</v>
      </c>
      <c r="AE15" s="2">
        <f t="shared" si="14"/>
        <v>5.6319212792571252E-2</v>
      </c>
      <c r="AF15" s="2">
        <f t="shared" si="15"/>
        <v>17.755930000000006</v>
      </c>
      <c r="AG15" s="13">
        <v>23</v>
      </c>
      <c r="AH15">
        <f t="shared" si="1"/>
        <v>4.1580868461634406</v>
      </c>
    </row>
    <row r="16" spans="2:34" x14ac:dyDescent="0.35">
      <c r="B16" s="2"/>
      <c r="C16" s="2"/>
      <c r="D16" s="2"/>
      <c r="E16" s="2"/>
      <c r="F16" s="13">
        <v>97.274060000000006</v>
      </c>
      <c r="G16" s="141">
        <v>99.900459999999995</v>
      </c>
      <c r="H16" s="2">
        <f t="shared" si="2"/>
        <v>2.6263999999999896</v>
      </c>
      <c r="I16" s="2">
        <f t="shared" si="3"/>
        <v>8.493549999999999</v>
      </c>
      <c r="J16" s="2">
        <f t="shared" si="4"/>
        <v>0.23618811235661963</v>
      </c>
      <c r="K16" s="2">
        <f t="shared" si="5"/>
        <v>0.76381188764338037</v>
      </c>
      <c r="L16" s="2">
        <f t="shared" si="6"/>
        <v>0.38074931465123513</v>
      </c>
      <c r="M16" s="2">
        <f t="shared" si="7"/>
        <v>8.9928461908551832E-2</v>
      </c>
      <c r="N16" s="2">
        <f t="shared" si="8"/>
        <v>11.119949999999989</v>
      </c>
      <c r="O16">
        <v>11</v>
      </c>
      <c r="P16">
        <f t="shared" si="0"/>
        <v>4.1882424611635862</v>
      </c>
      <c r="X16" s="13">
        <v>114.19482000000001</v>
      </c>
      <c r="Y16" s="141">
        <v>119.67738</v>
      </c>
      <c r="Z16" s="2">
        <f t="shared" si="9"/>
        <v>5.4825599999999923</v>
      </c>
      <c r="AA16" s="2">
        <f t="shared" si="10"/>
        <v>5.8079599999999942</v>
      </c>
      <c r="AB16" s="2">
        <f t="shared" si="11"/>
        <v>0.4855896805461572</v>
      </c>
      <c r="AC16" s="2">
        <f t="shared" si="12"/>
        <v>0.51441031945384275</v>
      </c>
      <c r="AD16" s="2">
        <f t="shared" si="13"/>
        <v>0.18239654467985783</v>
      </c>
      <c r="AE16" s="2">
        <f t="shared" si="14"/>
        <v>8.8569879863815051E-2</v>
      </c>
      <c r="AF16" s="2">
        <f t="shared" si="15"/>
        <v>11.290519999999987</v>
      </c>
      <c r="AG16">
        <v>24</v>
      </c>
      <c r="AH16">
        <f t="shared" si="1"/>
        <v>4.3775170723165884</v>
      </c>
    </row>
    <row r="17" spans="2:34" x14ac:dyDescent="0.35">
      <c r="B17" s="2"/>
      <c r="C17" s="2"/>
      <c r="D17" s="2"/>
      <c r="E17" s="2"/>
      <c r="F17" s="13">
        <v>108.39400999999999</v>
      </c>
      <c r="G17" s="141">
        <v>111.1725</v>
      </c>
      <c r="H17" s="2">
        <f t="shared" si="2"/>
        <v>2.778490000000005</v>
      </c>
      <c r="I17" s="2">
        <f t="shared" si="3"/>
        <v>7.0514699999999948</v>
      </c>
      <c r="J17" s="2">
        <f t="shared" si="4"/>
        <v>0.2826552702147318</v>
      </c>
      <c r="K17" s="2">
        <f t="shared" si="5"/>
        <v>0.7173447297852682</v>
      </c>
      <c r="L17" s="2">
        <f t="shared" si="6"/>
        <v>0.35990771966067836</v>
      </c>
      <c r="M17" s="2">
        <f t="shared" si="7"/>
        <v>0.10172981375305698</v>
      </c>
      <c r="N17" s="2">
        <f t="shared" si="8"/>
        <v>9.8299599999999998</v>
      </c>
      <c r="O17">
        <v>11</v>
      </c>
      <c r="P17">
        <f t="shared" si="0"/>
        <v>3.958984916267462</v>
      </c>
      <c r="X17" s="13">
        <v>125.48533999999999</v>
      </c>
      <c r="Y17" s="141">
        <v>126.59034</v>
      </c>
      <c r="Z17" s="2">
        <f t="shared" si="9"/>
        <v>1.105000000000004</v>
      </c>
      <c r="AA17" s="2">
        <f t="shared" si="10"/>
        <v>7.8156600000000083</v>
      </c>
      <c r="AB17" s="2">
        <f t="shared" si="11"/>
        <v>0.1238697585156258</v>
      </c>
      <c r="AC17" s="2">
        <f t="shared" si="12"/>
        <v>0.87613024148437424</v>
      </c>
      <c r="AD17" s="2">
        <f t="shared" si="13"/>
        <v>0.90497737556560764</v>
      </c>
      <c r="AE17" s="2">
        <f t="shared" si="14"/>
        <v>0.11209932897341661</v>
      </c>
      <c r="AF17" s="2">
        <f t="shared" si="15"/>
        <v>8.9206600000000122</v>
      </c>
      <c r="AG17">
        <v>6</v>
      </c>
      <c r="AH17">
        <f t="shared" si="1"/>
        <v>5.4298642533936459</v>
      </c>
    </row>
    <row r="18" spans="2:34" x14ac:dyDescent="0.35">
      <c r="B18" s="2"/>
      <c r="C18" s="2"/>
      <c r="D18" s="2"/>
      <c r="E18" s="2"/>
      <c r="F18" s="13">
        <v>118.22396999999999</v>
      </c>
      <c r="G18" s="141">
        <v>119.69928</v>
      </c>
      <c r="H18" s="2">
        <f t="shared" si="2"/>
        <v>1.4753100000000074</v>
      </c>
      <c r="I18" s="2">
        <f t="shared" si="3"/>
        <v>9.3825800000000044</v>
      </c>
      <c r="J18" s="2">
        <f t="shared" si="4"/>
        <v>0.13587446548086285</v>
      </c>
      <c r="K18" s="2">
        <f t="shared" si="5"/>
        <v>0.86412553451913721</v>
      </c>
      <c r="L18" s="2">
        <f t="shared" si="6"/>
        <v>0.67782364384434113</v>
      </c>
      <c r="M18" s="2">
        <f t="shared" si="7"/>
        <v>9.2098925297640605E-2</v>
      </c>
      <c r="N18" s="2">
        <f t="shared" si="8"/>
        <v>10.857890000000012</v>
      </c>
      <c r="O18">
        <v>8</v>
      </c>
      <c r="P18">
        <f t="shared" si="0"/>
        <v>5.422589150754729</v>
      </c>
      <c r="X18" s="13">
        <v>134.40600000000001</v>
      </c>
      <c r="Y18" s="141">
        <v>139.01408000000001</v>
      </c>
      <c r="Z18" s="2">
        <f t="shared" si="9"/>
        <v>4.6080800000000011</v>
      </c>
      <c r="AA18" s="2">
        <f t="shared" si="10"/>
        <v>6.8742499999999893</v>
      </c>
      <c r="AB18" s="2">
        <f t="shared" si="11"/>
        <v>0.40131924443906464</v>
      </c>
      <c r="AC18" s="2">
        <f t="shared" si="12"/>
        <v>0.59868075556093536</v>
      </c>
      <c r="AD18" s="2">
        <f t="shared" si="13"/>
        <v>0.2170101213520598</v>
      </c>
      <c r="AE18" s="2">
        <f t="shared" si="14"/>
        <v>8.7090337936638368E-2</v>
      </c>
      <c r="AF18" s="2">
        <f t="shared" si="15"/>
        <v>11.48232999999999</v>
      </c>
      <c r="AG18">
        <v>21</v>
      </c>
      <c r="AH18">
        <f t="shared" si="1"/>
        <v>4.557212548393256</v>
      </c>
    </row>
    <row r="19" spans="2:34" x14ac:dyDescent="0.35">
      <c r="B19" s="2"/>
      <c r="C19" s="2"/>
      <c r="D19" s="2"/>
      <c r="E19" s="2"/>
      <c r="F19" s="13">
        <v>129.08186000000001</v>
      </c>
      <c r="G19" s="141">
        <v>131.66906</v>
      </c>
      <c r="H19" s="2">
        <f t="shared" si="2"/>
        <v>2.5871999999999957</v>
      </c>
      <c r="I19" s="2">
        <f t="shared" si="3"/>
        <v>7.1028200000000083</v>
      </c>
      <c r="J19" s="2">
        <f t="shared" si="4"/>
        <v>0.26699635294870339</v>
      </c>
      <c r="K19" s="2">
        <f t="shared" si="5"/>
        <v>0.73300364705129661</v>
      </c>
      <c r="L19" s="2">
        <f t="shared" si="6"/>
        <v>0.38651824366110143</v>
      </c>
      <c r="M19" s="2">
        <f t="shared" si="7"/>
        <v>0.10319896140565236</v>
      </c>
      <c r="N19" s="2">
        <f t="shared" si="8"/>
        <v>9.6900200000000041</v>
      </c>
      <c r="O19">
        <v>11</v>
      </c>
      <c r="P19">
        <f t="shared" si="0"/>
        <v>4.2517006802721156</v>
      </c>
      <c r="X19" s="13">
        <v>145.88833</v>
      </c>
      <c r="Y19" s="141">
        <v>146.19041000000001</v>
      </c>
      <c r="Z19" s="2">
        <f t="shared" si="9"/>
        <v>0.30208000000001789</v>
      </c>
      <c r="AA19" s="2">
        <f t="shared" si="10"/>
        <v>6.9279399999999782</v>
      </c>
      <c r="AB19" s="2">
        <f t="shared" si="11"/>
        <v>4.1781350535685664E-2</v>
      </c>
      <c r="AC19" s="2">
        <f t="shared" si="12"/>
        <v>0.95821864946431434</v>
      </c>
      <c r="AD19" s="2">
        <f t="shared" si="13"/>
        <v>3.3103813559320074</v>
      </c>
      <c r="AE19" s="2">
        <f t="shared" si="14"/>
        <v>0.13831220383899359</v>
      </c>
      <c r="AF19" s="2">
        <f t="shared" si="15"/>
        <v>7.2300199999999961</v>
      </c>
      <c r="AG19">
        <v>3</v>
      </c>
      <c r="AH19">
        <f t="shared" si="1"/>
        <v>9.9311440677960228</v>
      </c>
    </row>
    <row r="20" spans="2:34" x14ac:dyDescent="0.35">
      <c r="B20" s="2"/>
      <c r="C20" s="2"/>
      <c r="D20" s="2"/>
      <c r="E20" s="2"/>
      <c r="F20" s="13">
        <v>138.77188000000001</v>
      </c>
      <c r="G20" s="141">
        <v>140.15209999999999</v>
      </c>
      <c r="H20" s="2">
        <f t="shared" si="2"/>
        <v>1.38021999999998</v>
      </c>
      <c r="I20" s="2">
        <f t="shared" si="3"/>
        <v>6.0001100000000065</v>
      </c>
      <c r="J20" s="2">
        <f t="shared" si="4"/>
        <v>0.18701331783266908</v>
      </c>
      <c r="K20" s="2">
        <f t="shared" si="5"/>
        <v>0.81298668216733094</v>
      </c>
      <c r="L20" s="2">
        <f t="shared" si="6"/>
        <v>0.7245221776238675</v>
      </c>
      <c r="M20" s="2">
        <f t="shared" si="7"/>
        <v>0.13549529628078985</v>
      </c>
      <c r="N20" s="2">
        <f t="shared" si="8"/>
        <v>7.3803299999999865</v>
      </c>
      <c r="O20">
        <v>7</v>
      </c>
      <c r="P20">
        <f t="shared" si="0"/>
        <v>5.071655243367073</v>
      </c>
      <c r="X20" s="13">
        <v>153.11834999999999</v>
      </c>
      <c r="Y20" s="141">
        <v>159.29014000000001</v>
      </c>
      <c r="Z20" s="2">
        <f t="shared" si="9"/>
        <v>6.1717900000000157</v>
      </c>
      <c r="AA20" s="2">
        <f t="shared" si="10"/>
        <v>9.9307199999999796</v>
      </c>
      <c r="AB20" s="2">
        <f t="shared" si="11"/>
        <v>0.38328124000544123</v>
      </c>
      <c r="AC20" s="2">
        <f t="shared" si="12"/>
        <v>0.61671875999455872</v>
      </c>
      <c r="AD20" s="2">
        <f t="shared" si="13"/>
        <v>0.16202754792369758</v>
      </c>
      <c r="AE20" s="2">
        <f t="shared" si="14"/>
        <v>6.2102119483235858E-2</v>
      </c>
      <c r="AF20" s="2">
        <f t="shared" si="15"/>
        <v>16.102509999999995</v>
      </c>
      <c r="AG20">
        <v>26</v>
      </c>
      <c r="AH20">
        <f t="shared" si="1"/>
        <v>4.2127162460161367</v>
      </c>
    </row>
    <row r="21" spans="2:34" x14ac:dyDescent="0.35">
      <c r="B21" s="2"/>
      <c r="C21" s="2"/>
      <c r="D21" s="2"/>
      <c r="E21" s="2"/>
      <c r="F21" s="13">
        <v>146.15221</v>
      </c>
      <c r="G21" s="141">
        <v>148.7808</v>
      </c>
      <c r="H21" s="2">
        <f t="shared" si="2"/>
        <v>2.6285900000000026</v>
      </c>
      <c r="I21" s="2">
        <f t="shared" si="3"/>
        <v>6.0475399999999979</v>
      </c>
      <c r="J21" s="2">
        <f t="shared" si="4"/>
        <v>0.30296802837209708</v>
      </c>
      <c r="K21" s="2">
        <f t="shared" si="5"/>
        <v>0.69703197162790298</v>
      </c>
      <c r="L21" s="2">
        <f t="shared" si="6"/>
        <v>0.38043209477324308</v>
      </c>
      <c r="M21" s="2">
        <f t="shared" si="7"/>
        <v>0.11525876168291622</v>
      </c>
      <c r="N21" s="2">
        <f t="shared" si="8"/>
        <v>8.6761300000000006</v>
      </c>
      <c r="O21" s="2">
        <v>11</v>
      </c>
      <c r="P21">
        <f t="shared" si="0"/>
        <v>4.1847530425056734</v>
      </c>
      <c r="X21" s="13">
        <v>169.22085999999999</v>
      </c>
      <c r="Y21" s="141">
        <v>174.72674000000001</v>
      </c>
      <c r="Z21" s="2">
        <f t="shared" si="9"/>
        <v>5.505880000000019</v>
      </c>
      <c r="AA21" s="2">
        <f t="shared" si="10"/>
        <v>5.2288000000000068</v>
      </c>
      <c r="AB21" s="2">
        <f t="shared" si="11"/>
        <v>0.51290583417484314</v>
      </c>
      <c r="AC21" s="2">
        <f t="shared" si="12"/>
        <v>0.4870941658251568</v>
      </c>
      <c r="AD21" s="2">
        <f t="shared" si="13"/>
        <v>0.18162400924102898</v>
      </c>
      <c r="AE21" s="2">
        <f t="shared" si="14"/>
        <v>9.3156013965949386E-2</v>
      </c>
      <c r="AF21" s="2">
        <f t="shared" si="15"/>
        <v>10.734680000000026</v>
      </c>
      <c r="AG21">
        <v>23</v>
      </c>
      <c r="AH21">
        <f t="shared" si="1"/>
        <v>4.1773522125436662</v>
      </c>
    </row>
    <row r="22" spans="2:34" x14ac:dyDescent="0.35">
      <c r="B22" s="2"/>
      <c r="C22" s="2"/>
      <c r="D22" s="2"/>
      <c r="E22" s="2"/>
      <c r="F22" s="13">
        <v>154.82834</v>
      </c>
      <c r="G22" s="45">
        <v>157.71023</v>
      </c>
      <c r="H22" s="2">
        <f t="shared" si="2"/>
        <v>2.8818899999999985</v>
      </c>
      <c r="I22" s="2">
        <f t="shared" si="3"/>
        <v>7.2334199999999953</v>
      </c>
      <c r="J22" s="2">
        <f t="shared" si="4"/>
        <v>0.28490377457537142</v>
      </c>
      <c r="K22" s="2">
        <f t="shared" si="5"/>
        <v>0.71509622542462858</v>
      </c>
      <c r="L22" s="2">
        <f t="shared" si="6"/>
        <v>0.34699450707695317</v>
      </c>
      <c r="M22" s="2">
        <f t="shared" si="7"/>
        <v>9.886004482314438E-2</v>
      </c>
      <c r="N22" s="2">
        <f t="shared" si="8"/>
        <v>10.115309999999994</v>
      </c>
      <c r="O22" s="2">
        <v>11</v>
      </c>
      <c r="P22">
        <f t="shared" si="0"/>
        <v>3.8169395778464845</v>
      </c>
      <c r="X22" s="13">
        <v>179.95554000000001</v>
      </c>
      <c r="Y22" s="45">
        <v>182.87835999999999</v>
      </c>
      <c r="Z22" s="2">
        <f t="shared" si="9"/>
        <v>2.9228199999999731</v>
      </c>
      <c r="AA22" s="2">
        <f t="shared" si="10"/>
        <v>8.7184300000000121</v>
      </c>
      <c r="AB22" s="2">
        <f t="shared" si="11"/>
        <v>0.25107441211209935</v>
      </c>
      <c r="AC22" s="2">
        <f t="shared" si="12"/>
        <v>0.74892558788790065</v>
      </c>
      <c r="AD22" s="2">
        <f t="shared" si="13"/>
        <v>0.34213533505313676</v>
      </c>
      <c r="AE22" s="2">
        <f t="shared" si="14"/>
        <v>8.5901428111242462E-2</v>
      </c>
      <c r="AF22" s="2">
        <f t="shared" si="15"/>
        <v>11.641249999999985</v>
      </c>
      <c r="AG22" s="2">
        <v>11</v>
      </c>
      <c r="AH22">
        <f t="shared" si="1"/>
        <v>3.7634886855845044</v>
      </c>
    </row>
    <row r="23" spans="2:34" x14ac:dyDescent="0.35">
      <c r="B23" s="2"/>
      <c r="C23" s="2"/>
      <c r="D23" s="2"/>
      <c r="E23" s="2"/>
      <c r="F23" s="13">
        <v>164.94364999999999</v>
      </c>
      <c r="G23" s="45">
        <v>166.56264999999999</v>
      </c>
      <c r="H23" s="2">
        <f t="shared" si="2"/>
        <v>1.6189999999999998</v>
      </c>
      <c r="I23" s="2">
        <f t="shared" si="3"/>
        <v>5.9291000000000054</v>
      </c>
      <c r="J23" s="2">
        <f t="shared" si="4"/>
        <v>0.21449106397636475</v>
      </c>
      <c r="K23" s="2">
        <f t="shared" si="5"/>
        <v>0.78550893602363525</v>
      </c>
      <c r="L23" s="2">
        <f t="shared" si="6"/>
        <v>0.61766522544780733</v>
      </c>
      <c r="M23" s="2">
        <f t="shared" si="7"/>
        <v>0.13248367138750139</v>
      </c>
      <c r="N23" s="2">
        <f t="shared" si="8"/>
        <v>7.5481000000000051</v>
      </c>
      <c r="O23" s="2">
        <v>7</v>
      </c>
      <c r="P23">
        <f t="shared" si="0"/>
        <v>4.3236565781346519</v>
      </c>
      <c r="X23" s="13">
        <v>191.59679</v>
      </c>
      <c r="Y23" s="45">
        <v>195.33172999999999</v>
      </c>
      <c r="Z23" s="2">
        <f t="shared" si="9"/>
        <v>3.7349399999999946</v>
      </c>
      <c r="AA23" s="2">
        <f t="shared" si="10"/>
        <v>7.0479799999999955</v>
      </c>
      <c r="AB23" s="2">
        <f t="shared" si="11"/>
        <v>0.34637556431838484</v>
      </c>
      <c r="AC23" s="2">
        <f t="shared" si="12"/>
        <v>0.65362443568161521</v>
      </c>
      <c r="AD23" s="2">
        <f t="shared" si="13"/>
        <v>0.26774191821019921</v>
      </c>
      <c r="AE23" s="2">
        <f t="shared" si="14"/>
        <v>9.2739258011744582E-2</v>
      </c>
      <c r="AF23" s="2">
        <f t="shared" si="15"/>
        <v>10.78291999999999</v>
      </c>
      <c r="AG23" s="2">
        <v>20</v>
      </c>
      <c r="AH23">
        <f t="shared" si="1"/>
        <v>5.3548383642039843</v>
      </c>
    </row>
    <row r="24" spans="2:34" x14ac:dyDescent="0.35">
      <c r="B24" s="2"/>
      <c r="C24" s="2"/>
      <c r="D24" s="2"/>
      <c r="E24" s="2"/>
      <c r="F24" s="13">
        <v>172.49175</v>
      </c>
      <c r="G24" s="45">
        <v>175.34424000000001</v>
      </c>
      <c r="H24" s="2">
        <f t="shared" si="2"/>
        <v>2.8524900000000173</v>
      </c>
      <c r="I24" s="2">
        <f t="shared" si="3"/>
        <v>9.7504500000000007</v>
      </c>
      <c r="J24" s="2">
        <f t="shared" si="4"/>
        <v>0.22633528367190617</v>
      </c>
      <c r="K24" s="2">
        <f t="shared" si="5"/>
        <v>0.77366471632809386</v>
      </c>
      <c r="L24" s="2">
        <f t="shared" si="6"/>
        <v>0.35057090471833169</v>
      </c>
      <c r="M24" s="2">
        <f t="shared" si="7"/>
        <v>7.9346565166540386E-2</v>
      </c>
      <c r="N24" s="2">
        <f t="shared" si="8"/>
        <v>12.602940000000018</v>
      </c>
      <c r="O24" s="2">
        <v>11</v>
      </c>
      <c r="P24">
        <f t="shared" si="0"/>
        <v>3.8562799519016484</v>
      </c>
      <c r="X24" s="13">
        <v>202.37970999999999</v>
      </c>
      <c r="Y24" s="45">
        <v>206.21214000000001</v>
      </c>
      <c r="Z24" s="2">
        <f t="shared" si="9"/>
        <v>3.8324300000000164</v>
      </c>
      <c r="AA24" s="2">
        <f t="shared" si="10"/>
        <v>9.512360000000001</v>
      </c>
      <c r="AB24" s="2">
        <f t="shared" si="11"/>
        <v>0.28718548587126597</v>
      </c>
      <c r="AC24" s="2">
        <f t="shared" si="12"/>
        <v>0.71281451412873398</v>
      </c>
      <c r="AD24" s="2">
        <f t="shared" si="13"/>
        <v>0.26093105418755091</v>
      </c>
      <c r="AE24" s="2">
        <f t="shared" si="14"/>
        <v>7.493561157575343E-2</v>
      </c>
      <c r="AF24" s="2">
        <f t="shared" si="15"/>
        <v>13.344790000000017</v>
      </c>
      <c r="AG24" s="2">
        <v>14</v>
      </c>
      <c r="AH24">
        <f t="shared" si="1"/>
        <v>3.6530347586257128</v>
      </c>
    </row>
    <row r="25" spans="2:34" x14ac:dyDescent="0.35">
      <c r="B25" s="2"/>
      <c r="C25" s="2"/>
      <c r="D25" s="2"/>
      <c r="E25" s="2"/>
      <c r="F25" s="13">
        <v>185.09469000000001</v>
      </c>
      <c r="G25" s="45">
        <v>188.07553999999999</v>
      </c>
      <c r="H25" s="2">
        <f t="shared" si="2"/>
        <v>2.9808499999999754</v>
      </c>
      <c r="I25" s="2">
        <f t="shared" si="3"/>
        <v>7.0846099999999979</v>
      </c>
      <c r="J25" s="2">
        <f t="shared" si="4"/>
        <v>0.29614642549868392</v>
      </c>
      <c r="K25" s="2">
        <f t="shared" si="5"/>
        <v>0.70385357450131603</v>
      </c>
      <c r="L25" s="2">
        <f t="shared" si="6"/>
        <v>0.33547478068336489</v>
      </c>
      <c r="M25" s="2">
        <f t="shared" si="7"/>
        <v>9.9349657144333456E-2</v>
      </c>
      <c r="N25" s="2">
        <f t="shared" si="8"/>
        <v>10.065459999999973</v>
      </c>
      <c r="O25" s="2">
        <v>12</v>
      </c>
      <c r="P25">
        <f t="shared" si="0"/>
        <v>4.0256973682003787</v>
      </c>
      <c r="X25" s="13">
        <v>215.72450000000001</v>
      </c>
      <c r="Y25" s="45">
        <v>220.37637000000001</v>
      </c>
      <c r="Z25" s="2">
        <f t="shared" si="9"/>
        <v>4.6518700000000024</v>
      </c>
      <c r="AA25" s="2">
        <f t="shared" si="10"/>
        <v>6.1360499999999831</v>
      </c>
      <c r="AB25" s="2">
        <f t="shared" si="11"/>
        <v>0.43121102121632426</v>
      </c>
      <c r="AC25" s="2">
        <f t="shared" si="12"/>
        <v>0.56878897878367574</v>
      </c>
      <c r="AD25" s="2">
        <f t="shared" si="13"/>
        <v>0.21496731421987275</v>
      </c>
      <c r="AE25" s="2">
        <f t="shared" si="14"/>
        <v>9.2696275092881794E-2</v>
      </c>
      <c r="AF25" s="2">
        <f t="shared" si="15"/>
        <v>10.787919999999986</v>
      </c>
      <c r="AG25" s="2">
        <v>20</v>
      </c>
      <c r="AH25">
        <f t="shared" si="1"/>
        <v>4.2993462843974548</v>
      </c>
    </row>
    <row r="26" spans="2:34" x14ac:dyDescent="0.35">
      <c r="B26" s="2"/>
      <c r="C26" s="2"/>
      <c r="D26" s="2"/>
      <c r="E26" s="2"/>
      <c r="F26" s="13">
        <v>195.16014999999999</v>
      </c>
      <c r="G26" s="45">
        <v>197.86022</v>
      </c>
      <c r="H26" s="2">
        <f t="shared" si="2"/>
        <v>2.7000700000000109</v>
      </c>
      <c r="I26" s="2">
        <f t="shared" si="3"/>
        <v>9.9006500000000131</v>
      </c>
      <c r="J26" s="2">
        <f t="shared" si="4"/>
        <v>0.21427902532553741</v>
      </c>
      <c r="K26" s="2">
        <f t="shared" si="5"/>
        <v>0.78572097467446256</v>
      </c>
      <c r="L26" s="2">
        <f t="shared" si="6"/>
        <v>0.37036076842452081</v>
      </c>
      <c r="M26" s="2">
        <f t="shared" si="7"/>
        <v>7.9360544476823391E-2</v>
      </c>
      <c r="N26" s="2">
        <f t="shared" si="8"/>
        <v>12.600720000000024</v>
      </c>
      <c r="O26" s="2">
        <v>10</v>
      </c>
      <c r="P26">
        <f t="shared" si="0"/>
        <v>3.7036076842452084</v>
      </c>
      <c r="X26" s="13">
        <v>226.51241999999999</v>
      </c>
      <c r="Y26" s="45">
        <v>228.53547</v>
      </c>
      <c r="Z26" s="2">
        <f t="shared" si="9"/>
        <v>2.023050000000012</v>
      </c>
      <c r="AA26" s="2">
        <f t="shared" si="10"/>
        <v>6.8673300000000097</v>
      </c>
      <c r="AB26" s="2">
        <f t="shared" si="11"/>
        <v>0.22755495265669262</v>
      </c>
      <c r="AC26" s="2">
        <f t="shared" si="12"/>
        <v>0.77244504734330732</v>
      </c>
      <c r="AD26" s="2">
        <f t="shared" si="13"/>
        <v>0.4943031561256489</v>
      </c>
      <c r="AE26" s="2">
        <f t="shared" si="14"/>
        <v>0.11248113129022579</v>
      </c>
      <c r="AF26" s="2">
        <f t="shared" si="15"/>
        <v>8.8903800000000217</v>
      </c>
      <c r="AG26" s="2">
        <v>8</v>
      </c>
      <c r="AH26">
        <f t="shared" si="1"/>
        <v>3.9544252490051912</v>
      </c>
    </row>
    <row r="27" spans="2:34" x14ac:dyDescent="0.35">
      <c r="B27" s="2"/>
      <c r="C27" s="2"/>
      <c r="D27" s="2"/>
      <c r="E27" s="2"/>
      <c r="F27" s="13">
        <v>207.76087000000001</v>
      </c>
      <c r="G27" s="45">
        <v>210.6892</v>
      </c>
      <c r="H27" s="2">
        <f t="shared" si="2"/>
        <v>2.9283299999999883</v>
      </c>
      <c r="I27" s="2">
        <f t="shared" si="3"/>
        <v>7.2596900000000062</v>
      </c>
      <c r="J27" s="2">
        <f t="shared" si="4"/>
        <v>0.28742876437227155</v>
      </c>
      <c r="K27" s="2">
        <f t="shared" si="5"/>
        <v>0.71257123562772851</v>
      </c>
      <c r="L27" s="2">
        <f t="shared" si="6"/>
        <v>0.3414915668657576</v>
      </c>
      <c r="M27" s="2">
        <f t="shared" si="7"/>
        <v>9.8154499107775656E-2</v>
      </c>
      <c r="N27" s="2">
        <f t="shared" si="8"/>
        <v>10.188019999999995</v>
      </c>
      <c r="O27" s="2">
        <v>12</v>
      </c>
      <c r="P27">
        <f t="shared" si="0"/>
        <v>4.097898802389091</v>
      </c>
      <c r="X27" s="13">
        <v>235.40280000000001</v>
      </c>
      <c r="Y27" s="45">
        <v>239.95938000000001</v>
      </c>
      <c r="Z27" s="2">
        <f t="shared" si="9"/>
        <v>4.5565799999999967</v>
      </c>
      <c r="AA27" s="2"/>
      <c r="AB27" s="2"/>
      <c r="AC27" s="2"/>
      <c r="AD27" s="2"/>
      <c r="AE27" s="2"/>
      <c r="AF27" s="2"/>
      <c r="AG27" s="2">
        <v>21</v>
      </c>
      <c r="AH27">
        <f t="shared" si="1"/>
        <v>4.6087196976679907</v>
      </c>
    </row>
    <row r="28" spans="2:34" x14ac:dyDescent="0.35">
      <c r="B28" s="2"/>
      <c r="C28" s="2"/>
      <c r="D28" s="2"/>
      <c r="E28" s="2"/>
      <c r="F28" s="13">
        <v>217.94889000000001</v>
      </c>
      <c r="G28" s="45">
        <v>220.79114000000001</v>
      </c>
      <c r="H28" s="2">
        <f t="shared" si="2"/>
        <v>2.842250000000007</v>
      </c>
      <c r="I28" s="2">
        <f t="shared" si="3"/>
        <v>11.064659999999975</v>
      </c>
      <c r="J28" s="2">
        <f t="shared" si="4"/>
        <v>0.20437681699241678</v>
      </c>
      <c r="K28" s="2">
        <f t="shared" si="5"/>
        <v>0.79562318300758328</v>
      </c>
      <c r="L28" s="2">
        <f t="shared" si="6"/>
        <v>0.35183393438297039</v>
      </c>
      <c r="M28" s="2">
        <f t="shared" si="7"/>
        <v>7.1906699619110309E-2</v>
      </c>
      <c r="N28" s="2">
        <f t="shared" si="8"/>
        <v>13.906909999999982</v>
      </c>
      <c r="O28" s="2">
        <v>11</v>
      </c>
      <c r="P28">
        <f t="shared" si="0"/>
        <v>3.8701732782126741</v>
      </c>
      <c r="X28" s="13"/>
      <c r="Y28" s="49"/>
      <c r="Z28" s="2"/>
      <c r="AA28" s="2"/>
      <c r="AB28" s="2"/>
      <c r="AC28" s="2"/>
      <c r="AD28" s="2"/>
      <c r="AE28" s="2"/>
      <c r="AF28" s="2"/>
      <c r="AG28" s="2"/>
      <c r="AH28" s="2"/>
    </row>
    <row r="29" spans="2:34" x14ac:dyDescent="0.35">
      <c r="B29" s="2"/>
      <c r="C29" s="2"/>
      <c r="D29" s="2"/>
      <c r="E29" s="2"/>
      <c r="F29" s="13">
        <v>231.85579999999999</v>
      </c>
      <c r="G29" s="45">
        <v>234.78073000000001</v>
      </c>
      <c r="H29" s="2">
        <f t="shared" si="2"/>
        <v>2.9249300000000176</v>
      </c>
      <c r="I29" s="2">
        <f t="shared" si="3"/>
        <v>6.9923599999999908</v>
      </c>
      <c r="J29" s="2">
        <f t="shared" si="4"/>
        <v>0.29493238576264436</v>
      </c>
      <c r="K29" s="2">
        <f t="shared" si="5"/>
        <v>0.70506761423735564</v>
      </c>
      <c r="L29" s="2">
        <f t="shared" si="6"/>
        <v>0.34188852382791862</v>
      </c>
      <c r="M29" s="2">
        <f t="shared" si="7"/>
        <v>0.10083399799743671</v>
      </c>
      <c r="N29" s="2">
        <f t="shared" si="8"/>
        <v>9.9172900000000084</v>
      </c>
      <c r="O29" s="2">
        <v>12</v>
      </c>
      <c r="P29">
        <f t="shared" si="0"/>
        <v>4.1026622859350237</v>
      </c>
      <c r="X29" s="13"/>
      <c r="Y29" s="49"/>
      <c r="Z29" s="2"/>
      <c r="AA29" s="2"/>
      <c r="AB29" s="2"/>
      <c r="AC29" s="2"/>
      <c r="AD29" s="2"/>
      <c r="AE29" s="2"/>
      <c r="AF29" s="2"/>
      <c r="AG29" s="2"/>
      <c r="AH29" s="2"/>
    </row>
    <row r="30" spans="2:34" ht="16" thickBot="1" x14ac:dyDescent="0.4">
      <c r="B30" s="2"/>
      <c r="C30" s="2"/>
      <c r="D30" s="2"/>
      <c r="E30" s="2"/>
      <c r="F30" s="13">
        <v>241.77309</v>
      </c>
      <c r="G30" s="45">
        <v>244.43073000000001</v>
      </c>
      <c r="H30" s="2">
        <f t="shared" si="2"/>
        <v>2.6576400000000149</v>
      </c>
      <c r="I30" s="2">
        <f t="shared" si="3"/>
        <v>9.8738799999999856</v>
      </c>
      <c r="J30" s="2">
        <f t="shared" si="4"/>
        <v>0.2120764280789573</v>
      </c>
      <c r="K30" s="2">
        <f t="shared" si="5"/>
        <v>0.78792357192104268</v>
      </c>
      <c r="L30" s="2">
        <f t="shared" si="6"/>
        <v>0.37627368642855857</v>
      </c>
      <c r="M30" s="2">
        <f t="shared" si="7"/>
        <v>7.9798779397870334E-2</v>
      </c>
      <c r="N30" s="2">
        <f t="shared" si="8"/>
        <v>12.53152</v>
      </c>
      <c r="O30" s="2">
        <v>11</v>
      </c>
      <c r="P30">
        <f t="shared" si="0"/>
        <v>4.1390105507141444</v>
      </c>
      <c r="X30" s="13"/>
      <c r="Y30" s="13"/>
      <c r="Z30" s="9" t="s">
        <v>3</v>
      </c>
      <c r="AA30" s="9" t="s">
        <v>4</v>
      </c>
      <c r="AB30" s="9" t="s">
        <v>5</v>
      </c>
      <c r="AC30" s="9" t="s">
        <v>6</v>
      </c>
      <c r="AD30" s="9" t="s">
        <v>7</v>
      </c>
      <c r="AE30" s="9" t="s">
        <v>8</v>
      </c>
      <c r="AF30" s="9" t="s">
        <v>9</v>
      </c>
      <c r="AG30" s="9" t="s">
        <v>10</v>
      </c>
      <c r="AH30" s="44" t="s">
        <v>139</v>
      </c>
    </row>
    <row r="31" spans="2:34" x14ac:dyDescent="0.35">
      <c r="B31" s="2"/>
      <c r="C31" s="2"/>
      <c r="D31" s="2"/>
      <c r="E31" s="2"/>
      <c r="F31" s="13">
        <v>254.30461</v>
      </c>
      <c r="G31" s="45">
        <v>256.93013000000002</v>
      </c>
      <c r="H31" s="2">
        <f t="shared" si="2"/>
        <v>2.6255200000000229</v>
      </c>
      <c r="I31" s="2">
        <f t="shared" si="3"/>
        <v>7.5169799999999896</v>
      </c>
      <c r="J31" s="2">
        <f t="shared" si="4"/>
        <v>0.25886319940843183</v>
      </c>
      <c r="K31" s="2">
        <f t="shared" si="5"/>
        <v>0.74113680059156817</v>
      </c>
      <c r="L31" s="2">
        <f t="shared" si="6"/>
        <v>0.38087693104603709</v>
      </c>
      <c r="M31" s="2">
        <f t="shared" si="7"/>
        <v>9.8595020951441834E-2</v>
      </c>
      <c r="N31" s="2">
        <f t="shared" si="8"/>
        <v>10.142500000000013</v>
      </c>
      <c r="O31" s="2">
        <v>12</v>
      </c>
      <c r="P31">
        <f t="shared" si="0"/>
        <v>4.5705231725524449</v>
      </c>
      <c r="X31" s="13"/>
      <c r="Y31" s="49" t="s">
        <v>77</v>
      </c>
      <c r="Z31" s="2">
        <f>AVERAGE(Z7:Z26)</f>
        <v>3.8140680000000025</v>
      </c>
      <c r="AA31" s="2">
        <f t="shared" ref="AA31:AF31" si="16">AVERAGE(AA7:AA26)</f>
        <v>7.6467514999999988</v>
      </c>
      <c r="AB31" s="2">
        <f t="shared" si="16"/>
        <v>0.32610401819319462</v>
      </c>
      <c r="AC31" s="2">
        <f t="shared" si="16"/>
        <v>0.67389598180680543</v>
      </c>
      <c r="AD31" s="2">
        <f t="shared" si="16"/>
        <v>0.45906021812743036</v>
      </c>
      <c r="AE31" s="2">
        <f t="shared" si="16"/>
        <v>9.1034566320539648E-2</v>
      </c>
      <c r="AF31" s="2">
        <f t="shared" si="16"/>
        <v>11.460819500000001</v>
      </c>
      <c r="AG31" s="2">
        <f>AVERAGE(AG7:AG27)</f>
        <v>16.61904761904762</v>
      </c>
      <c r="AH31" s="2">
        <f>AVERAGE(AH7:AH27)</f>
        <v>4.6092709901310922</v>
      </c>
    </row>
    <row r="32" spans="2:34" x14ac:dyDescent="0.35">
      <c r="B32" s="2"/>
      <c r="C32" s="2"/>
      <c r="D32" s="2"/>
      <c r="E32" s="2"/>
      <c r="F32" s="13">
        <v>264.44711000000001</v>
      </c>
      <c r="G32" s="45">
        <v>267.06473999999997</v>
      </c>
      <c r="H32" s="2">
        <f t="shared" si="2"/>
        <v>2.6176299999999628</v>
      </c>
      <c r="I32" s="2">
        <f t="shared" si="3"/>
        <v>8.7973500000000513</v>
      </c>
      <c r="J32" s="2">
        <f t="shared" si="4"/>
        <v>0.22931533826602934</v>
      </c>
      <c r="K32" s="2">
        <f t="shared" si="5"/>
        <v>0.77068466173397066</v>
      </c>
      <c r="L32" s="2">
        <f t="shared" si="6"/>
        <v>0.38202496151099058</v>
      </c>
      <c r="M32" s="2">
        <f t="shared" si="7"/>
        <v>8.7604183274959641E-2</v>
      </c>
      <c r="N32" s="2">
        <f t="shared" si="8"/>
        <v>11.414980000000014</v>
      </c>
      <c r="O32" s="2">
        <v>11</v>
      </c>
      <c r="P32">
        <f t="shared" si="0"/>
        <v>4.202274576620896</v>
      </c>
      <c r="X32" s="13"/>
      <c r="Y32" s="49" t="s">
        <v>94</v>
      </c>
      <c r="Z32" s="2">
        <f>_xlfn.STDEV.S(Z7:Z26)</f>
        <v>1.6293874060181399</v>
      </c>
      <c r="AA32" s="2">
        <f t="shared" ref="AA32:AF32" si="17">_xlfn.STDEV.S(AA7:AA26)</f>
        <v>1.9427114702700168</v>
      </c>
      <c r="AB32" s="2">
        <f t="shared" si="17"/>
        <v>0.13034916755558876</v>
      </c>
      <c r="AC32" s="2">
        <f t="shared" si="17"/>
        <v>0.13034916755558848</v>
      </c>
      <c r="AD32" s="2">
        <f t="shared" si="17"/>
        <v>0.69712727324779999</v>
      </c>
      <c r="AE32" s="2">
        <f t="shared" si="17"/>
        <v>1.9000672453366667E-2</v>
      </c>
      <c r="AF32" s="2">
        <f t="shared" si="17"/>
        <v>2.5066991934865306</v>
      </c>
      <c r="AG32" s="2">
        <f>_xlfn.STDEV.S(AG7:AG27)</f>
        <v>6.7414849289766297</v>
      </c>
      <c r="AH32" s="2">
        <f>_xlfn.STDEV.S(AH7:AH27)</f>
        <v>1.3247881229255976</v>
      </c>
    </row>
    <row r="33" spans="2:34" x14ac:dyDescent="0.35">
      <c r="B33" s="2"/>
      <c r="C33" s="2"/>
      <c r="D33" s="2"/>
      <c r="E33" s="2"/>
      <c r="F33" s="13">
        <v>275.86209000000002</v>
      </c>
      <c r="G33" s="45">
        <v>278.68468999999999</v>
      </c>
      <c r="H33" s="2">
        <f t="shared" si="2"/>
        <v>2.8225999999999658</v>
      </c>
      <c r="I33" s="2">
        <f t="shared" si="3"/>
        <v>7.2994199999999978</v>
      </c>
      <c r="J33" s="2">
        <f t="shared" si="4"/>
        <v>0.27885738222212325</v>
      </c>
      <c r="K33" s="2">
        <f t="shared" si="5"/>
        <v>0.7211426177778768</v>
      </c>
      <c r="L33" s="2">
        <f t="shared" si="6"/>
        <v>0.35428328491462202</v>
      </c>
      <c r="M33" s="2">
        <f t="shared" si="7"/>
        <v>9.8794509396346139E-2</v>
      </c>
      <c r="N33" s="2">
        <f t="shared" si="8"/>
        <v>10.122019999999964</v>
      </c>
      <c r="O33" s="2">
        <v>12</v>
      </c>
      <c r="P33">
        <f t="shared" si="0"/>
        <v>4.2513994189754643</v>
      </c>
      <c r="X33" s="13"/>
      <c r="Y33" s="49" t="s">
        <v>95</v>
      </c>
      <c r="Z33" s="2">
        <f>Z32/SQRT(20)</f>
        <v>0.36434210015386104</v>
      </c>
      <c r="AA33" s="2">
        <f t="shared" ref="AA33:AF33" si="18">AA32/SQRT(20)</f>
        <v>0.43440349081923191</v>
      </c>
      <c r="AB33" s="2">
        <f t="shared" si="18"/>
        <v>2.9146959946480654E-2</v>
      </c>
      <c r="AC33" s="2">
        <f t="shared" si="18"/>
        <v>2.9146959946480592E-2</v>
      </c>
      <c r="AD33" s="2">
        <f t="shared" si="18"/>
        <v>0.15588239719511512</v>
      </c>
      <c r="AE33" s="2">
        <f t="shared" si="18"/>
        <v>4.2486795223935564E-3</v>
      </c>
      <c r="AF33" s="2">
        <f t="shared" si="18"/>
        <v>0.56051497957797802</v>
      </c>
      <c r="AG33" s="2">
        <f>AG32/SQRT(21)</f>
        <v>1.4711126182590191</v>
      </c>
      <c r="AH33" s="2">
        <f>AH32/SQRT(21)</f>
        <v>0.28909246919452442</v>
      </c>
    </row>
    <row r="34" spans="2:34" x14ac:dyDescent="0.35">
      <c r="B34" s="2"/>
      <c r="C34" s="2"/>
      <c r="D34" s="2"/>
      <c r="E34" s="2"/>
      <c r="F34" s="13">
        <v>285.98410999999999</v>
      </c>
      <c r="G34" s="45">
        <v>288.67009999999999</v>
      </c>
      <c r="H34" s="2">
        <f t="shared" si="2"/>
        <v>2.6859900000000039</v>
      </c>
      <c r="I34" s="2">
        <f t="shared" si="3"/>
        <v>8.6102200000000266</v>
      </c>
      <c r="J34" s="2">
        <f t="shared" si="4"/>
        <v>0.23777798040227621</v>
      </c>
      <c r="K34" s="2">
        <f t="shared" si="5"/>
        <v>0.76222201959772373</v>
      </c>
      <c r="L34" s="2">
        <f t="shared" si="6"/>
        <v>0.37230220514596052</v>
      </c>
      <c r="M34" s="2">
        <f t="shared" si="7"/>
        <v>8.8525266438920419E-2</v>
      </c>
      <c r="N34" s="2">
        <f t="shared" si="8"/>
        <v>11.296210000000031</v>
      </c>
      <c r="O34" s="2">
        <v>11</v>
      </c>
      <c r="P34">
        <f t="shared" si="0"/>
        <v>4.0953242566055659</v>
      </c>
      <c r="X34" s="13"/>
      <c r="Y34" s="49"/>
      <c r="Z34" s="2"/>
      <c r="AA34" s="2"/>
      <c r="AB34" s="2"/>
      <c r="AC34" s="2"/>
      <c r="AD34" s="2"/>
      <c r="AE34" s="2"/>
      <c r="AF34" s="2"/>
      <c r="AG34" s="2"/>
      <c r="AH34" s="2"/>
    </row>
    <row r="35" spans="2:34" x14ac:dyDescent="0.35">
      <c r="B35" s="2"/>
      <c r="C35" s="2"/>
      <c r="D35" s="2"/>
      <c r="E35" s="2"/>
      <c r="F35" s="13">
        <v>297.28032000000002</v>
      </c>
      <c r="G35" s="45">
        <v>300.02494999999999</v>
      </c>
      <c r="H35" s="2">
        <f t="shared" si="2"/>
        <v>2.7446299999999724</v>
      </c>
      <c r="I35" s="2">
        <f t="shared" si="3"/>
        <v>7.3053600000000074</v>
      </c>
      <c r="J35" s="2">
        <f t="shared" si="4"/>
        <v>0.27309778417689745</v>
      </c>
      <c r="K35" s="2">
        <f t="shared" si="5"/>
        <v>0.72690221582310255</v>
      </c>
      <c r="L35" s="2">
        <f t="shared" si="6"/>
        <v>0.36434783559168632</v>
      </c>
      <c r="M35" s="2">
        <f t="shared" si="7"/>
        <v>9.950258656973808E-2</v>
      </c>
      <c r="N35" s="2">
        <f t="shared" si="8"/>
        <v>10.04998999999998</v>
      </c>
      <c r="O35" s="2">
        <v>12</v>
      </c>
      <c r="P35">
        <f t="shared" si="0"/>
        <v>4.3721740271002361</v>
      </c>
      <c r="X35" s="13"/>
      <c r="Y35" s="49"/>
      <c r="Z35" s="2"/>
      <c r="AA35" s="2"/>
      <c r="AB35" s="2"/>
      <c r="AC35" s="2"/>
      <c r="AD35" s="2"/>
      <c r="AE35" s="2"/>
      <c r="AF35" s="2"/>
      <c r="AG35" s="2"/>
      <c r="AH35" s="2"/>
    </row>
    <row r="36" spans="2:34" x14ac:dyDescent="0.35">
      <c r="B36" s="2"/>
      <c r="C36" s="2"/>
      <c r="D36" s="2"/>
      <c r="E36" s="2"/>
      <c r="F36" s="13">
        <v>307.33031</v>
      </c>
      <c r="G36" s="45">
        <v>310.10667000000001</v>
      </c>
      <c r="H36" s="2">
        <f t="shared" si="2"/>
        <v>2.776360000000011</v>
      </c>
      <c r="I36" s="2">
        <f t="shared" si="3"/>
        <v>11.129259999999988</v>
      </c>
      <c r="J36" s="2">
        <f t="shared" si="4"/>
        <v>0.19965740470399818</v>
      </c>
      <c r="K36" s="2">
        <f t="shared" si="5"/>
        <v>0.80034259529600182</v>
      </c>
      <c r="L36" s="2">
        <f t="shared" si="6"/>
        <v>0.36018383783082741</v>
      </c>
      <c r="M36" s="2">
        <f t="shared" si="7"/>
        <v>7.1913370277628758E-2</v>
      </c>
      <c r="N36" s="2">
        <f t="shared" si="8"/>
        <v>13.905619999999999</v>
      </c>
      <c r="O36" s="2">
        <v>11</v>
      </c>
      <c r="P36">
        <f t="shared" si="0"/>
        <v>3.9620222161391014</v>
      </c>
      <c r="X36" s="13"/>
      <c r="Y36" s="49"/>
      <c r="Z36" s="2"/>
      <c r="AA36" s="2"/>
      <c r="AB36" s="2"/>
      <c r="AC36" s="2"/>
      <c r="AD36" s="2"/>
      <c r="AE36" s="2"/>
      <c r="AF36" s="2"/>
      <c r="AG36" s="2"/>
      <c r="AH36" s="2"/>
    </row>
    <row r="37" spans="2:34" x14ac:dyDescent="0.35">
      <c r="B37" s="2"/>
      <c r="C37" s="2"/>
      <c r="D37" s="2"/>
      <c r="E37" s="2"/>
      <c r="F37" s="13">
        <v>321.23593</v>
      </c>
      <c r="G37" s="45">
        <v>324.00999000000002</v>
      </c>
      <c r="H37" s="2">
        <f t="shared" si="2"/>
        <v>2.77406000000002</v>
      </c>
      <c r="I37" s="2">
        <f t="shared" si="3"/>
        <v>7.2134399999999914</v>
      </c>
      <c r="J37" s="2">
        <f t="shared" si="4"/>
        <v>0.27775319148936339</v>
      </c>
      <c r="K37" s="2">
        <f t="shared" si="5"/>
        <v>0.72224680851063661</v>
      </c>
      <c r="L37" s="2">
        <f t="shared" si="6"/>
        <v>0.36048246973749409</v>
      </c>
      <c r="M37" s="2">
        <f t="shared" si="7"/>
        <v>0.10012515644555683</v>
      </c>
      <c r="N37" s="2">
        <f t="shared" si="8"/>
        <v>9.9875000000000114</v>
      </c>
      <c r="O37" s="2">
        <v>12</v>
      </c>
      <c r="P37">
        <f t="shared" si="0"/>
        <v>4.3257896368499287</v>
      </c>
      <c r="X37" s="13"/>
      <c r="Y37" s="49"/>
      <c r="Z37" s="2"/>
      <c r="AA37" s="2"/>
      <c r="AB37" s="2"/>
      <c r="AC37" s="2"/>
      <c r="AD37" s="2"/>
      <c r="AE37" s="2"/>
      <c r="AF37" s="2"/>
      <c r="AG37" s="2"/>
      <c r="AH37" s="2"/>
    </row>
    <row r="38" spans="2:34" x14ac:dyDescent="0.35">
      <c r="B38" s="2"/>
      <c r="C38" s="2"/>
      <c r="D38" s="2"/>
      <c r="E38" s="2"/>
      <c r="F38" s="13">
        <v>331.22343000000001</v>
      </c>
      <c r="G38" s="45">
        <v>334.00914999999998</v>
      </c>
      <c r="H38" s="2">
        <f t="shared" si="2"/>
        <v>2.7857199999999693</v>
      </c>
      <c r="I38" s="2">
        <f t="shared" si="3"/>
        <v>9.6924700000000144</v>
      </c>
      <c r="J38" s="2">
        <f t="shared" si="4"/>
        <v>0.22324712157772666</v>
      </c>
      <c r="K38" s="2">
        <f t="shared" si="5"/>
        <v>0.77675287842227336</v>
      </c>
      <c r="L38" s="2">
        <f t="shared" si="6"/>
        <v>0.35897362261821397</v>
      </c>
      <c r="M38" s="2">
        <f t="shared" si="7"/>
        <v>8.0139827971845379E-2</v>
      </c>
      <c r="N38" s="2">
        <f t="shared" si="8"/>
        <v>12.478189999999984</v>
      </c>
      <c r="O38" s="2">
        <v>12</v>
      </c>
      <c r="P38">
        <f t="shared" si="0"/>
        <v>4.3076834714185672</v>
      </c>
      <c r="X38" s="13"/>
      <c r="Y38" s="49"/>
      <c r="Z38" s="2"/>
      <c r="AA38" s="2"/>
      <c r="AB38" s="2"/>
      <c r="AC38" s="2"/>
      <c r="AD38" s="2"/>
      <c r="AE38" s="2"/>
      <c r="AF38" s="2"/>
      <c r="AG38" s="2"/>
      <c r="AH38" s="2"/>
    </row>
    <row r="39" spans="2:34" x14ac:dyDescent="0.35">
      <c r="B39" s="2"/>
      <c r="C39" s="2"/>
      <c r="D39" s="2"/>
      <c r="E39" s="2"/>
      <c r="F39" s="13">
        <v>343.70161999999999</v>
      </c>
      <c r="G39" s="45">
        <v>346.47061000000002</v>
      </c>
      <c r="H39" s="2">
        <f t="shared" si="2"/>
        <v>2.7689900000000307</v>
      </c>
      <c r="I39" s="2">
        <f t="shared" si="3"/>
        <v>8.3841199999999958</v>
      </c>
      <c r="J39" s="2">
        <f t="shared" si="4"/>
        <v>0.24827066172574502</v>
      </c>
      <c r="K39" s="2">
        <f t="shared" si="5"/>
        <v>0.75172933827425492</v>
      </c>
      <c r="L39" s="2">
        <f t="shared" si="6"/>
        <v>0.36114251044604312</v>
      </c>
      <c r="M39" s="2">
        <f t="shared" si="7"/>
        <v>8.9661090045735914E-2</v>
      </c>
      <c r="N39" s="2">
        <f t="shared" si="8"/>
        <v>11.153110000000027</v>
      </c>
      <c r="O39" s="2">
        <v>13</v>
      </c>
      <c r="P39">
        <f t="shared" si="0"/>
        <v>4.6948526357985605</v>
      </c>
      <c r="X39" s="13"/>
      <c r="Y39" s="49"/>
      <c r="Z39" s="2"/>
      <c r="AA39" s="2"/>
      <c r="AB39" s="2"/>
      <c r="AC39" s="2"/>
      <c r="AD39" s="2"/>
      <c r="AE39" s="2"/>
      <c r="AF39" s="2"/>
      <c r="AG39" s="2"/>
      <c r="AH39" s="2"/>
    </row>
    <row r="40" spans="2:34" x14ac:dyDescent="0.35">
      <c r="B40" s="2"/>
      <c r="C40" s="2"/>
      <c r="D40" s="2"/>
      <c r="E40" s="2"/>
      <c r="F40" s="13">
        <v>354.85473000000002</v>
      </c>
      <c r="G40" s="45">
        <v>357.55712</v>
      </c>
      <c r="H40" s="2">
        <f t="shared" si="2"/>
        <v>2.7023899999999799</v>
      </c>
      <c r="I40" s="2">
        <f t="shared" si="3"/>
        <v>9.4681499999999801</v>
      </c>
      <c r="J40" s="2">
        <f t="shared" si="4"/>
        <v>0.22204355764000519</v>
      </c>
      <c r="K40" s="2">
        <f t="shared" si="5"/>
        <v>0.77795644235999484</v>
      </c>
      <c r="L40" s="2">
        <f t="shared" si="6"/>
        <v>0.37004281395357719</v>
      </c>
      <c r="M40" s="2">
        <f t="shared" si="7"/>
        <v>8.2165622889370835E-2</v>
      </c>
      <c r="N40" s="2">
        <f t="shared" si="8"/>
        <v>12.17053999999996</v>
      </c>
      <c r="O40" s="2">
        <v>12</v>
      </c>
      <c r="P40">
        <f t="shared" si="0"/>
        <v>4.4405137674429263</v>
      </c>
      <c r="X40" s="13"/>
      <c r="Y40" s="49"/>
      <c r="Z40" s="2"/>
      <c r="AA40" s="2"/>
      <c r="AB40" s="2"/>
      <c r="AC40" s="2"/>
      <c r="AD40" s="2"/>
      <c r="AE40" s="2"/>
      <c r="AF40" s="2"/>
      <c r="AG40" s="2"/>
      <c r="AH40" s="2"/>
    </row>
    <row r="41" spans="2:34" x14ac:dyDescent="0.35">
      <c r="B41" s="2"/>
      <c r="C41" s="2"/>
      <c r="D41" s="2"/>
      <c r="E41" s="2"/>
      <c r="F41" s="13">
        <v>367.02526999999998</v>
      </c>
      <c r="G41" s="45">
        <v>369.76540999999997</v>
      </c>
      <c r="H41" s="2">
        <f t="shared" si="2"/>
        <v>2.7401399999999967</v>
      </c>
      <c r="I41" s="2">
        <f t="shared" si="3"/>
        <v>7.1688900000000331</v>
      </c>
      <c r="J41" s="2">
        <f t="shared" si="4"/>
        <v>0.27652958967729319</v>
      </c>
      <c r="K41" s="2">
        <f t="shared" si="5"/>
        <v>0.72347041032270687</v>
      </c>
      <c r="L41" s="2">
        <f t="shared" si="6"/>
        <v>0.36494485683213312</v>
      </c>
      <c r="M41" s="2">
        <f t="shared" si="7"/>
        <v>0.10091805151462828</v>
      </c>
      <c r="N41" s="2">
        <f t="shared" si="8"/>
        <v>9.9090300000000298</v>
      </c>
      <c r="O41" s="2">
        <v>13</v>
      </c>
      <c r="P41">
        <f t="shared" si="0"/>
        <v>4.74428313881773</v>
      </c>
      <c r="X41" s="13"/>
      <c r="Y41" s="49"/>
      <c r="Z41" s="2"/>
      <c r="AA41" s="2"/>
      <c r="AB41" s="2"/>
      <c r="AC41" s="2"/>
      <c r="AD41" s="2"/>
      <c r="AE41" s="2"/>
      <c r="AF41" s="2"/>
      <c r="AG41" s="2"/>
      <c r="AH41" s="2"/>
    </row>
    <row r="42" spans="2:34" x14ac:dyDescent="0.35">
      <c r="B42" s="2"/>
      <c r="C42" s="2"/>
      <c r="D42" s="2"/>
      <c r="E42" s="2"/>
      <c r="F42" s="13">
        <v>376.93430000000001</v>
      </c>
      <c r="G42" s="45">
        <v>379.62527999999998</v>
      </c>
      <c r="H42" s="2">
        <f t="shared" si="2"/>
        <v>2.6909799999999677</v>
      </c>
      <c r="I42" s="2">
        <f t="shared" si="3"/>
        <v>8.3278200000000311</v>
      </c>
      <c r="J42" s="2">
        <f t="shared" si="4"/>
        <v>0.24421715613315134</v>
      </c>
      <c r="K42" s="2">
        <f t="shared" si="5"/>
        <v>0.75578284386684869</v>
      </c>
      <c r="L42" s="2">
        <f t="shared" si="6"/>
        <v>0.37161182914774987</v>
      </c>
      <c r="M42" s="2">
        <f t="shared" si="7"/>
        <v>9.0753984099901999E-2</v>
      </c>
      <c r="N42" s="2">
        <f t="shared" si="8"/>
        <v>11.018799999999999</v>
      </c>
      <c r="O42" s="2">
        <v>12</v>
      </c>
      <c r="P42">
        <f t="shared" si="0"/>
        <v>4.4593419497729982</v>
      </c>
      <c r="X42" s="13"/>
      <c r="Y42" s="49"/>
      <c r="Z42" s="2"/>
      <c r="AA42" s="2"/>
      <c r="AB42" s="2"/>
      <c r="AC42" s="2"/>
      <c r="AD42" s="2"/>
      <c r="AE42" s="2"/>
      <c r="AF42" s="2"/>
      <c r="AG42" s="2"/>
      <c r="AH42" s="2"/>
    </row>
    <row r="43" spans="2:34" x14ac:dyDescent="0.35">
      <c r="B43" s="2"/>
      <c r="C43" s="2"/>
      <c r="D43" s="2"/>
      <c r="E43" s="2"/>
      <c r="F43" s="13">
        <v>387.95310000000001</v>
      </c>
      <c r="G43" s="45">
        <v>390.71152000000001</v>
      </c>
      <c r="H43" s="2">
        <f t="shared" si="2"/>
        <v>2.758420000000001</v>
      </c>
      <c r="I43" s="2">
        <f t="shared" si="3"/>
        <v>7.00621000000001</v>
      </c>
      <c r="J43" s="2">
        <f t="shared" si="4"/>
        <v>0.28249099044203396</v>
      </c>
      <c r="K43" s="2">
        <f t="shared" si="5"/>
        <v>0.71750900955796604</v>
      </c>
      <c r="L43" s="2">
        <f t="shared" si="6"/>
        <v>0.36252637379369335</v>
      </c>
      <c r="M43" s="2">
        <f t="shared" si="7"/>
        <v>0.10241043439433946</v>
      </c>
      <c r="N43" s="2">
        <f t="shared" si="8"/>
        <v>9.764630000000011</v>
      </c>
      <c r="O43" s="2">
        <v>13</v>
      </c>
      <c r="P43">
        <f t="shared" si="0"/>
        <v>4.7128428593180134</v>
      </c>
      <c r="X43" s="13"/>
      <c r="Y43" s="49"/>
      <c r="Z43" s="2"/>
      <c r="AA43" s="2"/>
      <c r="AB43" s="2"/>
      <c r="AC43" s="2"/>
      <c r="AD43" s="2"/>
      <c r="AE43" s="2"/>
      <c r="AF43" s="2"/>
      <c r="AG43" s="2"/>
      <c r="AH43" s="2"/>
    </row>
    <row r="44" spans="2:34" x14ac:dyDescent="0.35">
      <c r="B44" s="2"/>
      <c r="C44" s="2"/>
      <c r="D44" s="2"/>
      <c r="E44" s="2"/>
      <c r="F44" s="13">
        <v>397.71773000000002</v>
      </c>
      <c r="G44" s="45">
        <v>400.39733000000001</v>
      </c>
      <c r="H44" s="2">
        <f t="shared" si="2"/>
        <v>2.6795999999999935</v>
      </c>
      <c r="I44" s="2">
        <f t="shared" si="3"/>
        <v>9.4551500000000033</v>
      </c>
      <c r="J44" s="2">
        <f t="shared" si="4"/>
        <v>0.22082037124786208</v>
      </c>
      <c r="K44" s="2">
        <f t="shared" si="5"/>
        <v>0.77917962875213798</v>
      </c>
      <c r="L44" s="2">
        <f t="shared" si="6"/>
        <v>0.37319002836244308</v>
      </c>
      <c r="M44" s="2">
        <f t="shared" si="7"/>
        <v>8.2407960608994857E-2</v>
      </c>
      <c r="N44" s="2">
        <f t="shared" si="8"/>
        <v>12.134749999999997</v>
      </c>
      <c r="O44" s="2">
        <v>12</v>
      </c>
      <c r="P44">
        <f t="shared" si="0"/>
        <v>4.4782803403493165</v>
      </c>
      <c r="X44" s="13"/>
      <c r="Y44" s="49"/>
      <c r="Z44" s="2"/>
      <c r="AA44" s="2"/>
      <c r="AB44" s="2"/>
      <c r="AC44" s="2"/>
      <c r="AD44" s="2"/>
      <c r="AE44" s="2"/>
      <c r="AF44" s="2"/>
      <c r="AG44" s="2"/>
      <c r="AH44" s="2"/>
    </row>
    <row r="45" spans="2:34" x14ac:dyDescent="0.35">
      <c r="B45" s="2"/>
      <c r="C45" s="2"/>
      <c r="D45" s="2"/>
      <c r="E45" s="2"/>
      <c r="F45" s="13">
        <v>409.85248000000001</v>
      </c>
      <c r="G45" s="45">
        <v>412.66061999999999</v>
      </c>
      <c r="H45" s="2">
        <f t="shared" si="2"/>
        <v>2.8081399999999803</v>
      </c>
      <c r="I45" s="2">
        <f t="shared" si="3"/>
        <v>6.8410400000000209</v>
      </c>
      <c r="J45" s="2">
        <f t="shared" si="4"/>
        <v>0.29102369320501636</v>
      </c>
      <c r="K45" s="2">
        <f t="shared" si="5"/>
        <v>0.70897630679498358</v>
      </c>
      <c r="L45" s="2">
        <f t="shared" si="6"/>
        <v>0.35610760147286352</v>
      </c>
      <c r="M45" s="2">
        <f t="shared" si="7"/>
        <v>0.10363574935901287</v>
      </c>
      <c r="N45" s="2">
        <f t="shared" si="8"/>
        <v>9.6491800000000012</v>
      </c>
      <c r="O45" s="2">
        <v>13</v>
      </c>
      <c r="P45">
        <f t="shared" si="0"/>
        <v>4.6293988191472257</v>
      </c>
      <c r="X45" s="13"/>
      <c r="Y45" s="49"/>
      <c r="Z45" s="2"/>
      <c r="AA45" s="2"/>
      <c r="AB45" s="2"/>
      <c r="AC45" s="2"/>
      <c r="AD45" s="2"/>
      <c r="AE45" s="2"/>
      <c r="AF45" s="2"/>
      <c r="AG45" s="2"/>
      <c r="AH45" s="2"/>
    </row>
    <row r="46" spans="2:34" x14ac:dyDescent="0.35">
      <c r="B46" s="2"/>
      <c r="C46" s="2"/>
      <c r="D46" s="2"/>
      <c r="E46" s="2"/>
      <c r="F46" s="13">
        <v>419.50166000000002</v>
      </c>
      <c r="G46" s="45">
        <v>422.17505999999997</v>
      </c>
      <c r="H46" s="2">
        <f t="shared" si="2"/>
        <v>2.6733999999999583</v>
      </c>
      <c r="I46" s="2">
        <f t="shared" si="3"/>
        <v>10.687620000000038</v>
      </c>
      <c r="J46" s="2">
        <f t="shared" si="4"/>
        <v>0.20008951412391859</v>
      </c>
      <c r="K46" s="2">
        <f t="shared" si="5"/>
        <v>0.79991048587608138</v>
      </c>
      <c r="L46" s="2">
        <f t="shared" si="6"/>
        <v>0.37405550983766572</v>
      </c>
      <c r="M46" s="2">
        <f t="shared" si="7"/>
        <v>7.4844585218793197E-2</v>
      </c>
      <c r="N46" s="2">
        <f t="shared" si="8"/>
        <v>13.361019999999996</v>
      </c>
      <c r="O46" s="2">
        <v>12</v>
      </c>
      <c r="P46">
        <f t="shared" si="0"/>
        <v>4.4886661180519889</v>
      </c>
      <c r="X46" s="13"/>
      <c r="Y46" s="49"/>
      <c r="Z46" s="2"/>
      <c r="AA46" s="2"/>
      <c r="AB46" s="2"/>
      <c r="AC46" s="2"/>
      <c r="AD46" s="2"/>
      <c r="AE46" s="2"/>
      <c r="AF46" s="2"/>
      <c r="AG46" s="2"/>
      <c r="AH46" s="2"/>
    </row>
    <row r="47" spans="2:34" x14ac:dyDescent="0.35">
      <c r="B47" s="2"/>
      <c r="C47" s="2"/>
      <c r="D47" s="2"/>
      <c r="E47" s="2"/>
      <c r="F47" s="13">
        <v>432.86268000000001</v>
      </c>
      <c r="G47" s="45">
        <v>435.60255999999998</v>
      </c>
      <c r="H47" s="2">
        <f t="shared" si="2"/>
        <v>2.739879999999971</v>
      </c>
      <c r="I47" s="2">
        <f t="shared" si="3"/>
        <v>8.077510000000018</v>
      </c>
      <c r="J47" s="2">
        <f t="shared" si="4"/>
        <v>0.25328475722886701</v>
      </c>
      <c r="K47" s="2">
        <f t="shared" si="5"/>
        <v>0.74671524277113299</v>
      </c>
      <c r="L47" s="2">
        <f t="shared" si="6"/>
        <v>0.3649794881527697</v>
      </c>
      <c r="M47" s="2">
        <f t="shared" si="7"/>
        <v>9.2443741050290421E-2</v>
      </c>
      <c r="N47" s="2">
        <f t="shared" si="8"/>
        <v>10.817389999999989</v>
      </c>
      <c r="O47" s="2">
        <v>13</v>
      </c>
      <c r="P47">
        <f t="shared" si="0"/>
        <v>4.7447333459860062</v>
      </c>
      <c r="X47" s="13"/>
      <c r="Y47" s="49"/>
      <c r="Z47" s="2"/>
      <c r="AA47" s="2"/>
      <c r="AB47" s="2"/>
      <c r="AC47" s="2"/>
      <c r="AD47" s="2"/>
      <c r="AE47" s="2"/>
      <c r="AF47" s="2"/>
      <c r="AG47" s="2"/>
      <c r="AH47" s="2"/>
    </row>
    <row r="48" spans="2:34" x14ac:dyDescent="0.35">
      <c r="B48" s="2"/>
      <c r="C48" s="2"/>
      <c r="D48" s="2"/>
      <c r="E48" s="2"/>
      <c r="F48" s="13">
        <v>443.68007</v>
      </c>
      <c r="G48" s="45">
        <v>446.35293000000001</v>
      </c>
      <c r="H48" s="2">
        <f t="shared" si="2"/>
        <v>2.6728600000000142</v>
      </c>
      <c r="I48" s="2">
        <f t="shared" si="3"/>
        <v>8.2813499999999749</v>
      </c>
      <c r="J48" s="2">
        <f t="shared" si="4"/>
        <v>0.24400299063100095</v>
      </c>
      <c r="K48" s="2">
        <f t="shared" si="5"/>
        <v>0.75599700936899905</v>
      </c>
      <c r="L48" s="2">
        <f t="shared" si="6"/>
        <v>0.37413108056538491</v>
      </c>
      <c r="M48" s="2">
        <f t="shared" si="7"/>
        <v>9.128910254596187E-2</v>
      </c>
      <c r="N48" s="2">
        <f t="shared" si="8"/>
        <v>10.954209999999989</v>
      </c>
      <c r="O48" s="2">
        <v>12</v>
      </c>
      <c r="P48">
        <f t="shared" si="0"/>
        <v>4.4895729667846185</v>
      </c>
      <c r="X48" s="13"/>
      <c r="Y48" s="49"/>
      <c r="Z48" s="2"/>
      <c r="AA48" s="2"/>
      <c r="AB48" s="2"/>
      <c r="AC48" s="2"/>
      <c r="AD48" s="2"/>
      <c r="AE48" s="2"/>
      <c r="AF48" s="2"/>
      <c r="AG48" s="2"/>
      <c r="AH48" s="2"/>
    </row>
    <row r="49" spans="2:34" x14ac:dyDescent="0.35">
      <c r="B49" s="2"/>
      <c r="C49" s="2"/>
      <c r="D49" s="2"/>
      <c r="E49" s="2"/>
      <c r="F49" s="13">
        <v>454.63427999999999</v>
      </c>
      <c r="G49" s="45">
        <v>457.14866999999998</v>
      </c>
      <c r="H49" s="2">
        <f t="shared" si="2"/>
        <v>2.5143899999999917</v>
      </c>
      <c r="I49" s="2">
        <f t="shared" si="3"/>
        <v>12.14837</v>
      </c>
      <c r="J49" s="2">
        <f t="shared" si="4"/>
        <v>0.17148135821632443</v>
      </c>
      <c r="K49" s="2">
        <f t="shared" si="5"/>
        <v>0.82851864178367562</v>
      </c>
      <c r="L49" s="2">
        <f t="shared" si="6"/>
        <v>0.39771077676891942</v>
      </c>
      <c r="M49" s="2">
        <f t="shared" si="7"/>
        <v>6.8199984177603715E-2</v>
      </c>
      <c r="N49" s="2">
        <f t="shared" si="8"/>
        <v>14.662759999999992</v>
      </c>
      <c r="O49" s="2">
        <v>11</v>
      </c>
      <c r="P49">
        <f t="shared" si="0"/>
        <v>4.3748185444581136</v>
      </c>
      <c r="X49" s="13"/>
      <c r="Y49" s="49"/>
      <c r="Z49" s="2"/>
      <c r="AA49" s="2"/>
      <c r="AB49" s="2"/>
      <c r="AC49" s="2"/>
      <c r="AD49" s="2"/>
      <c r="AE49" s="2"/>
      <c r="AF49" s="2"/>
      <c r="AG49" s="2"/>
      <c r="AH49" s="2"/>
    </row>
    <row r="50" spans="2:34" x14ac:dyDescent="0.35">
      <c r="B50" s="2"/>
      <c r="C50" s="2"/>
      <c r="D50" s="2"/>
      <c r="E50" s="2"/>
      <c r="F50" s="13">
        <v>469.29703999999998</v>
      </c>
      <c r="G50" s="45">
        <v>471.94421</v>
      </c>
      <c r="H50" s="2">
        <f t="shared" si="2"/>
        <v>2.6471700000000169</v>
      </c>
      <c r="I50" s="2">
        <f t="shared" si="3"/>
        <v>8.1359299999999735</v>
      </c>
      <c r="J50" s="2">
        <f t="shared" si="4"/>
        <v>0.24549248360861156</v>
      </c>
      <c r="K50" s="2">
        <f t="shared" si="5"/>
        <v>0.75450751639138847</v>
      </c>
      <c r="L50" s="2">
        <f t="shared" si="6"/>
        <v>0.3777619117774807</v>
      </c>
      <c r="M50" s="2">
        <f t="shared" si="7"/>
        <v>9.2737709934990947E-2</v>
      </c>
      <c r="N50" s="2">
        <f t="shared" si="8"/>
        <v>10.78309999999999</v>
      </c>
      <c r="O50" s="2">
        <v>13</v>
      </c>
      <c r="P50">
        <f t="shared" si="0"/>
        <v>4.9109048531072492</v>
      </c>
      <c r="X50" s="13"/>
      <c r="Y50" s="49"/>
      <c r="Z50" s="2"/>
      <c r="AA50" s="2"/>
      <c r="AB50" s="2"/>
      <c r="AC50" s="2"/>
      <c r="AD50" s="2"/>
      <c r="AE50" s="2"/>
      <c r="AF50" s="2"/>
      <c r="AG50" s="2"/>
      <c r="AH50" s="2"/>
    </row>
    <row r="51" spans="2:34" x14ac:dyDescent="0.35">
      <c r="B51" s="2"/>
      <c r="C51" s="2"/>
      <c r="D51" s="2"/>
      <c r="E51" s="2"/>
      <c r="F51" s="13">
        <v>480.08013999999997</v>
      </c>
      <c r="G51" s="45">
        <v>482.74999000000003</v>
      </c>
      <c r="H51" s="2">
        <f t="shared" si="2"/>
        <v>2.6698500000000536</v>
      </c>
      <c r="I51" s="2">
        <f t="shared" si="3"/>
        <v>8.1986299999999801</v>
      </c>
      <c r="J51" s="2">
        <f t="shared" si="4"/>
        <v>0.24565072576846489</v>
      </c>
      <c r="K51" s="2">
        <f t="shared" si="5"/>
        <v>0.75434927423153508</v>
      </c>
      <c r="L51" s="2">
        <f t="shared" si="6"/>
        <v>0.3745528775024739</v>
      </c>
      <c r="M51" s="2">
        <f t="shared" si="7"/>
        <v>9.2009186197149637E-2</v>
      </c>
      <c r="N51" s="2">
        <f t="shared" si="8"/>
        <v>10.868480000000034</v>
      </c>
      <c r="O51" s="2">
        <v>11</v>
      </c>
      <c r="P51">
        <f t="shared" si="0"/>
        <v>4.1200816525272126</v>
      </c>
      <c r="X51" s="13"/>
      <c r="Y51" s="49"/>
      <c r="Z51" s="2"/>
      <c r="AA51" s="2"/>
      <c r="AB51" s="2"/>
      <c r="AC51" s="2"/>
      <c r="AD51" s="2"/>
      <c r="AE51" s="2"/>
      <c r="AF51" s="2"/>
      <c r="AG51" s="2"/>
      <c r="AH51" s="2"/>
    </row>
    <row r="52" spans="2:34" x14ac:dyDescent="0.35">
      <c r="B52" s="2"/>
      <c r="C52" s="2"/>
      <c r="D52" s="2"/>
      <c r="E52" s="2"/>
      <c r="F52" s="13">
        <v>490.94862000000001</v>
      </c>
      <c r="G52" s="45">
        <v>493.57688999999999</v>
      </c>
      <c r="H52" s="2">
        <f t="shared" si="2"/>
        <v>2.6282699999999863</v>
      </c>
      <c r="I52" s="2">
        <f t="shared" si="3"/>
        <v>8.1737699999999904</v>
      </c>
      <c r="J52" s="2">
        <f t="shared" si="4"/>
        <v>0.24331237432929262</v>
      </c>
      <c r="K52" s="2">
        <f t="shared" si="5"/>
        <v>0.75668762567070735</v>
      </c>
      <c r="L52" s="2">
        <f t="shared" si="6"/>
        <v>0.38047841355720879</v>
      </c>
      <c r="M52" s="2">
        <f t="shared" si="7"/>
        <v>9.2575106183646991E-2</v>
      </c>
      <c r="N52" s="2">
        <f t="shared" si="8"/>
        <v>10.802039999999977</v>
      </c>
      <c r="O52" s="2">
        <v>12</v>
      </c>
      <c r="P52">
        <f t="shared" si="0"/>
        <v>4.5657409626865055</v>
      </c>
      <c r="X52" s="13"/>
      <c r="Y52" s="49"/>
      <c r="Z52" s="2"/>
      <c r="AA52" s="2"/>
      <c r="AB52" s="2"/>
      <c r="AC52" s="2"/>
      <c r="AD52" s="2"/>
      <c r="AE52" s="2"/>
      <c r="AF52" s="2"/>
      <c r="AG52" s="2"/>
      <c r="AH52" s="2"/>
    </row>
    <row r="53" spans="2:34" x14ac:dyDescent="0.35">
      <c r="B53" s="2"/>
      <c r="C53" s="2"/>
      <c r="D53" s="2"/>
      <c r="E53" s="2"/>
      <c r="F53" s="13">
        <v>501.75065999999998</v>
      </c>
      <c r="G53" s="45">
        <v>504.42048999999997</v>
      </c>
      <c r="H53" s="2">
        <f t="shared" si="2"/>
        <v>2.6698299999999904</v>
      </c>
      <c r="I53" s="2">
        <f t="shared" si="3"/>
        <v>11.59217000000001</v>
      </c>
      <c r="J53" s="2">
        <f t="shared" si="4"/>
        <v>0.18719885009115064</v>
      </c>
      <c r="K53" s="2">
        <f t="shared" si="5"/>
        <v>0.81280114990884933</v>
      </c>
      <c r="L53" s="2">
        <f t="shared" si="6"/>
        <v>0.37455568332066219</v>
      </c>
      <c r="M53" s="2">
        <f t="shared" si="7"/>
        <v>7.0116393212733136E-2</v>
      </c>
      <c r="N53" s="2">
        <f t="shared" si="8"/>
        <v>14.262</v>
      </c>
      <c r="O53" s="2">
        <v>12</v>
      </c>
      <c r="P53">
        <f t="shared" si="0"/>
        <v>4.494668199847947</v>
      </c>
      <c r="X53" s="13"/>
      <c r="Y53" s="49"/>
      <c r="Z53" s="2"/>
      <c r="AA53" s="2"/>
      <c r="AB53" s="2"/>
      <c r="AC53" s="2"/>
      <c r="AD53" s="2"/>
      <c r="AE53" s="2"/>
      <c r="AF53" s="2"/>
      <c r="AG53" s="2"/>
      <c r="AH53" s="2"/>
    </row>
    <row r="54" spans="2:34" x14ac:dyDescent="0.35">
      <c r="B54" s="2"/>
      <c r="C54" s="2"/>
      <c r="D54" s="2"/>
      <c r="E54" s="2"/>
      <c r="F54" s="13">
        <v>516.01265999999998</v>
      </c>
      <c r="G54" s="45">
        <v>518.68178</v>
      </c>
      <c r="H54" s="2">
        <f t="shared" si="2"/>
        <v>2.6691200000000208</v>
      </c>
      <c r="I54" s="2">
        <f t="shared" si="3"/>
        <v>8.1652199999999766</v>
      </c>
      <c r="J54" s="2">
        <f t="shared" si="4"/>
        <v>0.2463574154032476</v>
      </c>
      <c r="K54" s="2">
        <f t="shared" si="5"/>
        <v>0.75364258459675237</v>
      </c>
      <c r="L54" s="2">
        <f t="shared" si="6"/>
        <v>0.3746553171082575</v>
      </c>
      <c r="M54" s="2">
        <f t="shared" si="7"/>
        <v>9.2299115589874442E-2</v>
      </c>
      <c r="N54" s="2">
        <f t="shared" si="8"/>
        <v>10.834339999999997</v>
      </c>
      <c r="O54" s="2">
        <v>13</v>
      </c>
      <c r="P54">
        <f t="shared" si="0"/>
        <v>4.8705191224073472</v>
      </c>
      <c r="X54" s="13"/>
      <c r="Y54" s="49"/>
      <c r="Z54" s="2"/>
      <c r="AA54" s="2"/>
      <c r="AB54" s="2"/>
      <c r="AC54" s="2"/>
      <c r="AD54" s="2"/>
      <c r="AE54" s="2"/>
      <c r="AF54" s="2"/>
      <c r="AG54" s="2"/>
      <c r="AH54" s="2"/>
    </row>
    <row r="55" spans="2:34" x14ac:dyDescent="0.35">
      <c r="B55" s="2"/>
      <c r="C55" s="2"/>
      <c r="D55" s="2"/>
      <c r="E55" s="2"/>
      <c r="F55" s="13">
        <v>526.84699999999998</v>
      </c>
      <c r="G55" s="45">
        <v>529.45917999999995</v>
      </c>
      <c r="H55" s="2">
        <f t="shared" si="2"/>
        <v>2.6121799999999666</v>
      </c>
      <c r="I55" s="2">
        <f t="shared" si="3"/>
        <v>9.4423300000000836</v>
      </c>
      <c r="J55" s="2">
        <f t="shared" si="4"/>
        <v>0.21669731909467541</v>
      </c>
      <c r="K55" s="2">
        <f t="shared" si="5"/>
        <v>0.78330268090532462</v>
      </c>
      <c r="L55" s="2">
        <f t="shared" si="6"/>
        <v>0.38282201073433408</v>
      </c>
      <c r="M55" s="2">
        <f t="shared" si="7"/>
        <v>8.2956503416563243E-2</v>
      </c>
      <c r="N55" s="2">
        <f t="shared" si="8"/>
        <v>12.05451000000005</v>
      </c>
      <c r="O55" s="2">
        <v>12</v>
      </c>
      <c r="P55">
        <f t="shared" si="0"/>
        <v>4.593864128812009</v>
      </c>
      <c r="X55" s="13"/>
      <c r="Y55" s="49"/>
      <c r="Z55" s="2"/>
      <c r="AA55" s="2"/>
      <c r="AB55" s="2"/>
      <c r="AC55" s="2"/>
      <c r="AD55" s="2"/>
      <c r="AE55" s="2"/>
      <c r="AF55" s="2"/>
      <c r="AG55" s="2"/>
      <c r="AH55" s="2"/>
    </row>
    <row r="56" spans="2:34" x14ac:dyDescent="0.35">
      <c r="B56" s="2"/>
      <c r="C56" s="2"/>
      <c r="D56" s="2"/>
      <c r="E56" s="2"/>
      <c r="F56" s="13">
        <v>538.90151000000003</v>
      </c>
      <c r="G56" s="45">
        <v>542.36747000000003</v>
      </c>
      <c r="H56" s="2">
        <f t="shared" si="2"/>
        <v>3.4659599999999955</v>
      </c>
      <c r="I56" s="2">
        <f t="shared" si="3"/>
        <v>7.4074499999999261</v>
      </c>
      <c r="J56" s="2">
        <f t="shared" si="4"/>
        <v>0.31875556977985936</v>
      </c>
      <c r="K56" s="2">
        <f t="shared" si="5"/>
        <v>0.6812444302201407</v>
      </c>
      <c r="L56" s="2">
        <f t="shared" si="6"/>
        <v>0.28852035222564637</v>
      </c>
      <c r="M56" s="2">
        <f t="shared" si="7"/>
        <v>9.1967469266771615E-2</v>
      </c>
      <c r="N56" s="2">
        <f t="shared" si="8"/>
        <v>10.873409999999922</v>
      </c>
      <c r="O56" s="2">
        <v>14</v>
      </c>
      <c r="P56">
        <f t="shared" si="0"/>
        <v>4.0392849311590489</v>
      </c>
      <c r="X56" s="13"/>
      <c r="Y56" s="49"/>
      <c r="Z56" s="2"/>
      <c r="AA56" s="2"/>
      <c r="AB56" s="2"/>
      <c r="AC56" s="2"/>
      <c r="AD56" s="2"/>
      <c r="AE56" s="2"/>
      <c r="AF56" s="2"/>
      <c r="AG56" s="2"/>
      <c r="AH56" s="2"/>
    </row>
    <row r="57" spans="2:34" x14ac:dyDescent="0.35">
      <c r="B57" s="2"/>
      <c r="C57" s="2"/>
      <c r="D57" s="2"/>
      <c r="E57" s="2"/>
      <c r="F57" s="13">
        <v>549.77491999999995</v>
      </c>
      <c r="G57" s="45">
        <v>552.45585000000005</v>
      </c>
      <c r="H57" s="2">
        <f t="shared" si="2"/>
        <v>2.6809300000001031</v>
      </c>
      <c r="I57" s="2">
        <f t="shared" si="3"/>
        <v>8.1642899999999372</v>
      </c>
      <c r="J57" s="2">
        <f t="shared" si="4"/>
        <v>0.24719922694054092</v>
      </c>
      <c r="K57" s="2">
        <f t="shared" si="5"/>
        <v>0.75280077305945914</v>
      </c>
      <c r="L57" s="2">
        <f t="shared" si="6"/>
        <v>0.37300489009409482</v>
      </c>
      <c r="M57" s="2">
        <f t="shared" si="7"/>
        <v>9.2206520476301665E-2</v>
      </c>
      <c r="N57" s="2">
        <f t="shared" si="8"/>
        <v>10.84522000000004</v>
      </c>
      <c r="O57" s="2">
        <v>12</v>
      </c>
      <c r="P57">
        <f t="shared" si="0"/>
        <v>4.4760586811291372</v>
      </c>
      <c r="X57" s="13"/>
      <c r="Y57" s="49"/>
      <c r="Z57" s="2"/>
      <c r="AA57" s="2"/>
      <c r="AB57" s="2"/>
      <c r="AC57" s="2"/>
      <c r="AD57" s="2"/>
      <c r="AE57" s="2"/>
      <c r="AF57" s="2"/>
      <c r="AG57" s="2"/>
      <c r="AH57" s="2"/>
    </row>
    <row r="58" spans="2:34" x14ac:dyDescent="0.35">
      <c r="B58" s="2"/>
      <c r="C58" s="2"/>
      <c r="D58" s="2"/>
      <c r="E58" s="2"/>
      <c r="F58" s="13">
        <v>560.62013999999999</v>
      </c>
      <c r="G58" s="45">
        <v>562.13298999999995</v>
      </c>
      <c r="H58" s="2">
        <f t="shared" si="2"/>
        <v>1.5128499999999576</v>
      </c>
      <c r="I58" s="2">
        <f t="shared" si="3"/>
        <v>6.9172000000000935</v>
      </c>
      <c r="J58" s="2">
        <f t="shared" si="4"/>
        <v>0.17945919656466433</v>
      </c>
      <c r="K58" s="2">
        <f t="shared" si="5"/>
        <v>0.82054080343533564</v>
      </c>
      <c r="L58" s="2">
        <f t="shared" si="6"/>
        <v>0.66100406517501931</v>
      </c>
      <c r="M58" s="2">
        <f t="shared" si="7"/>
        <v>0.11862325846228598</v>
      </c>
      <c r="N58" s="2">
        <f t="shared" si="8"/>
        <v>8.4300500000000511</v>
      </c>
      <c r="O58" s="2">
        <v>8</v>
      </c>
      <c r="P58">
        <f t="shared" si="0"/>
        <v>5.2880325214001545</v>
      </c>
      <c r="X58" s="13"/>
      <c r="Y58" s="49"/>
      <c r="Z58" s="2"/>
      <c r="AA58" s="2"/>
      <c r="AB58" s="2"/>
      <c r="AC58" s="2"/>
      <c r="AD58" s="2"/>
      <c r="AE58" s="2"/>
      <c r="AF58" s="2"/>
      <c r="AG58" s="2"/>
      <c r="AH58" s="2"/>
    </row>
    <row r="59" spans="2:34" x14ac:dyDescent="0.35">
      <c r="B59" s="2"/>
      <c r="C59" s="2"/>
      <c r="D59" s="2"/>
      <c r="E59" s="2"/>
      <c r="F59" s="13">
        <v>569.05019000000004</v>
      </c>
      <c r="G59" s="45">
        <v>571.75897999999995</v>
      </c>
      <c r="H59" s="2">
        <f t="shared" si="2"/>
        <v>2.7087899999999081</v>
      </c>
      <c r="I59" s="2">
        <f t="shared" si="3"/>
        <v>10.531740000000013</v>
      </c>
      <c r="J59" s="2">
        <f t="shared" si="4"/>
        <v>0.20458320021932083</v>
      </c>
      <c r="K59" s="2">
        <f t="shared" si="5"/>
        <v>0.79541679978067914</v>
      </c>
      <c r="L59" s="2">
        <f t="shared" si="6"/>
        <v>0.36916852173850095</v>
      </c>
      <c r="M59" s="2">
        <f t="shared" si="7"/>
        <v>7.5525677597498439E-2</v>
      </c>
      <c r="N59" s="2">
        <f t="shared" si="8"/>
        <v>13.240529999999922</v>
      </c>
      <c r="O59" s="2">
        <v>13</v>
      </c>
      <c r="P59">
        <f t="shared" si="0"/>
        <v>4.7991907826005118</v>
      </c>
      <c r="X59" s="13"/>
      <c r="Y59" s="49"/>
      <c r="Z59" s="2"/>
      <c r="AA59" s="2"/>
      <c r="AB59" s="2"/>
      <c r="AC59" s="2"/>
      <c r="AD59" s="2"/>
      <c r="AE59" s="2"/>
      <c r="AF59" s="2"/>
      <c r="AG59" s="2"/>
      <c r="AH59" s="2"/>
    </row>
    <row r="60" spans="2:34" x14ac:dyDescent="0.35">
      <c r="B60" s="2"/>
      <c r="C60" s="2"/>
      <c r="D60" s="2"/>
      <c r="E60" s="2"/>
      <c r="F60" s="13">
        <v>582.29071999999996</v>
      </c>
      <c r="G60" s="45">
        <v>585.05367000000001</v>
      </c>
      <c r="H60" s="2">
        <f t="shared" si="2"/>
        <v>2.7629500000000462</v>
      </c>
      <c r="I60" s="2">
        <f t="shared" si="3"/>
        <v>7.9243599999999788</v>
      </c>
      <c r="J60" s="2">
        <f t="shared" si="4"/>
        <v>0.2585262334488323</v>
      </c>
      <c r="K60" s="2">
        <f t="shared" si="5"/>
        <v>0.7414737665511677</v>
      </c>
      <c r="L60" s="2">
        <f t="shared" si="6"/>
        <v>0.36193199297851331</v>
      </c>
      <c r="M60" s="2">
        <f t="shared" si="7"/>
        <v>9.3568914909364254E-2</v>
      </c>
      <c r="N60" s="2">
        <f t="shared" si="8"/>
        <v>10.687310000000025</v>
      </c>
      <c r="O60" s="2">
        <v>14</v>
      </c>
      <c r="P60">
        <f t="shared" si="0"/>
        <v>5.0670479016991861</v>
      </c>
      <c r="X60" s="13"/>
      <c r="Y60" s="49"/>
      <c r="Z60" s="2"/>
      <c r="AA60" s="2"/>
      <c r="AB60" s="2"/>
      <c r="AC60" s="2"/>
      <c r="AD60" s="2"/>
      <c r="AE60" s="2"/>
      <c r="AF60" s="2"/>
      <c r="AG60" s="2"/>
      <c r="AH60" s="2"/>
    </row>
    <row r="61" spans="2:34" x14ac:dyDescent="0.35">
      <c r="B61" s="2"/>
      <c r="C61" s="2"/>
      <c r="D61" s="2"/>
      <c r="E61" s="2"/>
      <c r="F61" s="13">
        <v>592.97802999999999</v>
      </c>
      <c r="G61" s="45">
        <v>595.67864999999995</v>
      </c>
      <c r="H61" s="2">
        <f t="shared" si="2"/>
        <v>2.7006199999999581</v>
      </c>
      <c r="I61" s="2">
        <f t="shared" si="3"/>
        <v>10.1323900000001</v>
      </c>
      <c r="J61" s="2">
        <f t="shared" si="4"/>
        <v>0.21044322415395497</v>
      </c>
      <c r="K61" s="2">
        <f t="shared" si="5"/>
        <v>0.789556775846045</v>
      </c>
      <c r="L61" s="2">
        <f t="shared" si="6"/>
        <v>0.37028534188446194</v>
      </c>
      <c r="M61" s="2">
        <f t="shared" si="7"/>
        <v>7.7924041203115677E-2</v>
      </c>
      <c r="N61" s="2">
        <f t="shared" si="8"/>
        <v>12.833010000000058</v>
      </c>
      <c r="O61" s="2">
        <v>13</v>
      </c>
      <c r="P61">
        <f t="shared" si="0"/>
        <v>4.8137094444980049</v>
      </c>
      <c r="X61" s="13"/>
      <c r="Y61" s="49"/>
      <c r="Z61" s="2"/>
      <c r="AA61" s="2"/>
      <c r="AB61" s="2"/>
      <c r="AC61" s="2"/>
      <c r="AD61" s="2"/>
      <c r="AE61" s="2"/>
      <c r="AF61" s="2"/>
      <c r="AG61" s="2"/>
      <c r="AH61" s="2"/>
    </row>
    <row r="62" spans="2:34" x14ac:dyDescent="0.35">
      <c r="B62" s="2"/>
      <c r="C62" s="2"/>
      <c r="D62" s="2"/>
      <c r="E62" s="2"/>
      <c r="F62" s="13">
        <v>605.81104000000005</v>
      </c>
      <c r="G62" s="45">
        <v>608.56038999999998</v>
      </c>
      <c r="H62" s="2">
        <f t="shared" si="2"/>
        <v>2.7493499999999358</v>
      </c>
      <c r="I62" s="2">
        <f t="shared" si="3"/>
        <v>7.8632999999999811</v>
      </c>
      <c r="J62" s="2">
        <f t="shared" si="4"/>
        <v>0.25906347613460889</v>
      </c>
      <c r="K62" s="2">
        <f t="shared" si="5"/>
        <v>0.74093652386539111</v>
      </c>
      <c r="L62" s="2">
        <f t="shared" si="6"/>
        <v>0.3637223343699505</v>
      </c>
      <c r="M62" s="2">
        <f t="shared" si="7"/>
        <v>9.4227172289673908E-2</v>
      </c>
      <c r="N62" s="2">
        <f t="shared" si="8"/>
        <v>10.612649999999917</v>
      </c>
      <c r="O62" s="2">
        <v>14</v>
      </c>
      <c r="P62">
        <f t="shared" si="0"/>
        <v>5.0921126811793069</v>
      </c>
      <c r="X62" s="13"/>
      <c r="Y62" s="49"/>
      <c r="Z62" s="2"/>
      <c r="AA62" s="2"/>
      <c r="AB62" s="2"/>
      <c r="AC62" s="2"/>
      <c r="AD62" s="2"/>
      <c r="AE62" s="2"/>
      <c r="AF62" s="2"/>
      <c r="AG62" s="2"/>
      <c r="AH62" s="2"/>
    </row>
    <row r="63" spans="2:34" x14ac:dyDescent="0.35">
      <c r="B63" s="2"/>
      <c r="C63" s="2"/>
      <c r="D63" s="2"/>
      <c r="E63" s="2"/>
      <c r="F63" s="13">
        <v>616.42368999999997</v>
      </c>
      <c r="G63" s="45">
        <v>619.25017000000003</v>
      </c>
      <c r="H63" s="2">
        <f t="shared" si="2"/>
        <v>2.8264800000000605</v>
      </c>
      <c r="I63" s="2">
        <f t="shared" si="3"/>
        <v>9.0996699999999464</v>
      </c>
      <c r="J63" s="2">
        <f t="shared" si="4"/>
        <v>0.23699852844380281</v>
      </c>
      <c r="K63" s="2">
        <f t="shared" si="5"/>
        <v>0.76300147155619724</v>
      </c>
      <c r="L63" s="2">
        <f t="shared" si="6"/>
        <v>0.35379694885510549</v>
      </c>
      <c r="M63" s="2">
        <f t="shared" si="7"/>
        <v>8.3849356246567364E-2</v>
      </c>
      <c r="N63" s="2">
        <f t="shared" si="8"/>
        <v>11.926150000000007</v>
      </c>
      <c r="O63" s="2">
        <v>13</v>
      </c>
      <c r="P63">
        <f t="shared" si="0"/>
        <v>4.5993603351163719</v>
      </c>
      <c r="X63" s="13"/>
      <c r="Y63" s="49"/>
      <c r="Z63" s="2"/>
      <c r="AA63" s="2"/>
      <c r="AB63" s="2"/>
      <c r="AC63" s="2"/>
      <c r="AD63" s="2"/>
      <c r="AE63" s="2"/>
      <c r="AF63" s="2"/>
      <c r="AG63" s="2"/>
      <c r="AH63" s="2"/>
    </row>
    <row r="64" spans="2:34" x14ac:dyDescent="0.35">
      <c r="B64" s="2"/>
      <c r="C64" s="2"/>
      <c r="D64" s="2"/>
      <c r="E64" s="2"/>
      <c r="F64" s="13">
        <v>628.34983999999997</v>
      </c>
      <c r="G64" s="45">
        <v>631.14443000000006</v>
      </c>
      <c r="H64" s="2">
        <f t="shared" si="2"/>
        <v>2.7945900000000847</v>
      </c>
      <c r="I64" s="2">
        <f t="shared" si="3"/>
        <v>8.9421699999999191</v>
      </c>
      <c r="J64" s="2">
        <f t="shared" si="4"/>
        <v>0.23810574638998189</v>
      </c>
      <c r="K64" s="2">
        <f t="shared" si="5"/>
        <v>0.76189425361001817</v>
      </c>
      <c r="L64" s="2">
        <f t="shared" si="6"/>
        <v>0.35783424402147351</v>
      </c>
      <c r="M64" s="2">
        <f t="shared" si="7"/>
        <v>8.5202389756627861E-2</v>
      </c>
      <c r="N64" s="2">
        <f t="shared" si="8"/>
        <v>11.736760000000004</v>
      </c>
      <c r="O64" s="2">
        <v>14</v>
      </c>
      <c r="P64">
        <f t="shared" si="0"/>
        <v>5.0096794163006289</v>
      </c>
      <c r="X64" s="13"/>
      <c r="Y64" s="49"/>
      <c r="Z64" s="2"/>
      <c r="AA64" s="2"/>
      <c r="AB64" s="2"/>
      <c r="AC64" s="2"/>
      <c r="AD64" s="2"/>
      <c r="AE64" s="2"/>
      <c r="AF64" s="2"/>
      <c r="AG64" s="2"/>
      <c r="AH64" s="2"/>
    </row>
    <row r="65" spans="2:34" x14ac:dyDescent="0.35">
      <c r="B65" s="2"/>
      <c r="C65" s="2"/>
      <c r="D65" s="2"/>
      <c r="E65" s="2"/>
      <c r="F65" s="13">
        <v>640.08659999999998</v>
      </c>
      <c r="G65" s="45">
        <v>642.83321999999998</v>
      </c>
      <c r="H65" s="2">
        <f t="shared" si="2"/>
        <v>2.7466200000000072</v>
      </c>
      <c r="I65" s="2">
        <f t="shared" si="3"/>
        <v>10.085429999999974</v>
      </c>
      <c r="J65" s="2">
        <f t="shared" si="4"/>
        <v>0.21404374203654219</v>
      </c>
      <c r="K65" s="2">
        <f t="shared" si="5"/>
        <v>0.78595625796345781</v>
      </c>
      <c r="L65" s="2">
        <f t="shared" si="6"/>
        <v>0.36408385579366542</v>
      </c>
      <c r="M65" s="2">
        <f t="shared" si="7"/>
        <v>7.7929870909168961E-2</v>
      </c>
      <c r="N65" s="2">
        <f t="shared" si="8"/>
        <v>12.832049999999981</v>
      </c>
      <c r="O65" s="2">
        <v>13</v>
      </c>
      <c r="P65">
        <f t="shared" si="0"/>
        <v>4.7330901253176512</v>
      </c>
      <c r="X65" s="13"/>
      <c r="Y65" s="49"/>
      <c r="Z65" s="2"/>
      <c r="AA65" s="2"/>
      <c r="AB65" s="2"/>
      <c r="AC65" s="2"/>
      <c r="AD65" s="2"/>
      <c r="AE65" s="2"/>
      <c r="AF65" s="2"/>
      <c r="AG65" s="2"/>
      <c r="AH65" s="2"/>
    </row>
    <row r="66" spans="2:34" x14ac:dyDescent="0.35">
      <c r="B66" s="2"/>
      <c r="C66" s="2"/>
      <c r="D66" s="2"/>
      <c r="E66" s="2"/>
      <c r="F66" s="13">
        <v>652.91864999999996</v>
      </c>
      <c r="G66" s="45">
        <v>656.42773999999997</v>
      </c>
      <c r="H66" s="2">
        <f t="shared" si="2"/>
        <v>3.5090900000000147</v>
      </c>
      <c r="I66" s="2">
        <f t="shared" si="3"/>
        <v>6.9886300000000574</v>
      </c>
      <c r="J66" s="2">
        <f t="shared" si="4"/>
        <v>0.33427163231634971</v>
      </c>
      <c r="K66" s="2">
        <f t="shared" si="5"/>
        <v>0.66572836768365029</v>
      </c>
      <c r="L66" s="2">
        <f t="shared" si="6"/>
        <v>0.28497416709175194</v>
      </c>
      <c r="M66" s="2">
        <f t="shared" si="7"/>
        <v>9.5258780001752114E-2</v>
      </c>
      <c r="N66" s="2">
        <f t="shared" si="8"/>
        <v>10.497720000000072</v>
      </c>
      <c r="O66" s="2">
        <v>15</v>
      </c>
      <c r="P66">
        <f t="shared" si="0"/>
        <v>4.274612506376279</v>
      </c>
      <c r="X66" s="13"/>
      <c r="Y66" s="49"/>
      <c r="Z66" s="2"/>
      <c r="AA66" s="2"/>
      <c r="AB66" s="2"/>
      <c r="AC66" s="2"/>
      <c r="AD66" s="2"/>
      <c r="AE66" s="2"/>
      <c r="AF66" s="2"/>
      <c r="AG66" s="2"/>
      <c r="AH66" s="2"/>
    </row>
    <row r="67" spans="2:34" x14ac:dyDescent="0.35">
      <c r="B67" s="2"/>
      <c r="C67" s="2"/>
      <c r="D67" s="2"/>
      <c r="E67" s="2"/>
      <c r="F67" s="13">
        <v>663.41637000000003</v>
      </c>
      <c r="G67" s="45">
        <v>666.24239</v>
      </c>
      <c r="H67" s="2">
        <f t="shared" si="2"/>
        <v>2.8260199999999713</v>
      </c>
      <c r="I67" s="2">
        <f t="shared" si="3"/>
        <v>9.9683199999999488</v>
      </c>
      <c r="J67" s="2">
        <f t="shared" si="4"/>
        <v>0.22088048308861488</v>
      </c>
      <c r="K67" s="2">
        <f t="shared" si="5"/>
        <v>0.77911951691138515</v>
      </c>
      <c r="L67" s="2">
        <f t="shared" si="6"/>
        <v>0.35385453747673767</v>
      </c>
      <c r="M67" s="2">
        <f t="shared" si="7"/>
        <v>7.8159561180960194E-2</v>
      </c>
      <c r="N67" s="2">
        <f t="shared" si="8"/>
        <v>12.79433999999992</v>
      </c>
      <c r="O67" s="2">
        <v>14</v>
      </c>
      <c r="P67">
        <f t="shared" si="0"/>
        <v>4.953963524674327</v>
      </c>
      <c r="X67" s="13"/>
      <c r="Y67" s="49"/>
      <c r="Z67" s="2"/>
      <c r="AA67" s="2"/>
      <c r="AB67" s="2"/>
      <c r="AC67" s="2"/>
      <c r="AD67" s="2"/>
      <c r="AE67" s="2"/>
      <c r="AF67" s="2"/>
      <c r="AG67" s="2"/>
      <c r="AH67" s="2"/>
    </row>
    <row r="68" spans="2:34" x14ac:dyDescent="0.35">
      <c r="B68" s="2"/>
      <c r="C68" s="2"/>
      <c r="D68" s="2"/>
      <c r="E68" s="2"/>
      <c r="F68" s="13">
        <v>676.21070999999995</v>
      </c>
      <c r="G68" s="45">
        <v>679.61355000000003</v>
      </c>
      <c r="H68" s="2">
        <f t="shared" si="2"/>
        <v>3.4028400000000829</v>
      </c>
      <c r="I68" s="2">
        <f t="shared" si="3"/>
        <v>6.9476700000000164</v>
      </c>
      <c r="J68" s="2">
        <f t="shared" si="4"/>
        <v>0.32876061179594535</v>
      </c>
      <c r="K68" s="2">
        <f t="shared" si="5"/>
        <v>0.67123938820405471</v>
      </c>
      <c r="L68" s="2">
        <f t="shared" si="6"/>
        <v>0.2938721773577293</v>
      </c>
      <c r="M68" s="2">
        <f t="shared" si="7"/>
        <v>9.6613596817933647E-2</v>
      </c>
      <c r="N68" s="2">
        <f t="shared" si="8"/>
        <v>10.350510000000099</v>
      </c>
      <c r="O68" s="2">
        <v>15</v>
      </c>
      <c r="P68">
        <f t="shared" si="0"/>
        <v>4.40808266036594</v>
      </c>
      <c r="X68" s="13"/>
      <c r="Y68" s="49"/>
      <c r="Z68" s="2"/>
      <c r="AA68" s="2"/>
      <c r="AB68" s="2"/>
      <c r="AC68" s="2"/>
      <c r="AD68" s="2"/>
      <c r="AE68" s="2"/>
      <c r="AF68" s="2"/>
      <c r="AG68" s="2"/>
      <c r="AH68" s="2"/>
    </row>
    <row r="69" spans="2:34" x14ac:dyDescent="0.35">
      <c r="B69" s="2"/>
      <c r="C69" s="2"/>
      <c r="D69" s="2"/>
      <c r="E69" s="2"/>
      <c r="F69" s="13">
        <v>686.56122000000005</v>
      </c>
      <c r="G69" s="45">
        <v>690.01576999999997</v>
      </c>
      <c r="H69" s="2">
        <f t="shared" si="2"/>
        <v>3.4545499999999265</v>
      </c>
      <c r="I69" s="2">
        <f t="shared" si="3"/>
        <v>8.0272400000000061</v>
      </c>
      <c r="J69" s="2">
        <f t="shared" si="4"/>
        <v>0.30087207656645409</v>
      </c>
      <c r="K69" s="2">
        <f t="shared" si="5"/>
        <v>0.69912792343354591</v>
      </c>
      <c r="L69" s="2">
        <f t="shared" si="6"/>
        <v>0.28947330332460702</v>
      </c>
      <c r="M69" s="2">
        <f t="shared" si="7"/>
        <v>8.7094433881825556E-2</v>
      </c>
      <c r="N69" s="2">
        <f t="shared" si="8"/>
        <v>11.481789999999933</v>
      </c>
      <c r="O69" s="2">
        <v>14</v>
      </c>
      <c r="P69">
        <f t="shared" si="0"/>
        <v>4.0526262465444987</v>
      </c>
      <c r="X69" s="13"/>
      <c r="Y69" s="49"/>
      <c r="Z69" s="2"/>
      <c r="AA69" s="2"/>
      <c r="AB69" s="2"/>
      <c r="AC69" s="2"/>
      <c r="AD69" s="2"/>
      <c r="AE69" s="2"/>
      <c r="AF69" s="2"/>
      <c r="AG69" s="2"/>
      <c r="AH69" s="2"/>
    </row>
    <row r="70" spans="2:34" x14ac:dyDescent="0.35">
      <c r="B70" s="2"/>
      <c r="C70" s="2"/>
      <c r="D70" s="2"/>
      <c r="E70" s="2"/>
      <c r="F70" s="13">
        <v>698.04300999999998</v>
      </c>
      <c r="G70" s="45">
        <v>700.83222000000001</v>
      </c>
      <c r="H70" s="2">
        <f t="shared" si="2"/>
        <v>2.7892100000000255</v>
      </c>
      <c r="I70" s="2">
        <f t="shared" si="3"/>
        <v>10.045290000000023</v>
      </c>
      <c r="J70" s="2">
        <f t="shared" si="4"/>
        <v>0.21732128248081461</v>
      </c>
      <c r="K70" s="2">
        <f t="shared" si="5"/>
        <v>0.78267871751918539</v>
      </c>
      <c r="L70" s="2">
        <f t="shared" si="6"/>
        <v>0.35852445674581362</v>
      </c>
      <c r="M70" s="2">
        <f t="shared" si="7"/>
        <v>7.7914994740737556E-2</v>
      </c>
      <c r="N70" s="2">
        <f t="shared" si="8"/>
        <v>12.834500000000048</v>
      </c>
      <c r="O70" s="2">
        <v>14</v>
      </c>
      <c r="P70">
        <f t="shared" si="0"/>
        <v>5.0193423944413906</v>
      </c>
      <c r="X70" s="13"/>
      <c r="Y70" s="49"/>
      <c r="Z70" s="2"/>
      <c r="AA70" s="2"/>
      <c r="AB70" s="2"/>
      <c r="AC70" s="2"/>
      <c r="AD70" s="2"/>
      <c r="AE70" s="2"/>
      <c r="AF70" s="2"/>
      <c r="AG70" s="2"/>
      <c r="AH70" s="2"/>
    </row>
    <row r="71" spans="2:34" x14ac:dyDescent="0.35">
      <c r="B71" s="2"/>
      <c r="C71" s="2"/>
      <c r="D71" s="2"/>
      <c r="E71" s="2"/>
      <c r="F71" s="13">
        <v>710.87751000000003</v>
      </c>
      <c r="G71" s="45">
        <v>714.32474999999999</v>
      </c>
      <c r="H71" s="2">
        <f t="shared" si="2"/>
        <v>3.4472399999999652</v>
      </c>
      <c r="I71" s="2">
        <f t="shared" si="3"/>
        <v>6.6080699999999979</v>
      </c>
      <c r="J71" s="2">
        <f t="shared" si="4"/>
        <v>0.34282781933127648</v>
      </c>
      <c r="K71" s="2">
        <f t="shared" si="5"/>
        <v>0.65717218066872352</v>
      </c>
      <c r="L71" s="2">
        <f t="shared" si="6"/>
        <v>0.29008714217751302</v>
      </c>
      <c r="M71" s="2">
        <f t="shared" si="7"/>
        <v>9.9449942368758759E-2</v>
      </c>
      <c r="N71" s="2">
        <f t="shared" si="8"/>
        <v>10.055309999999963</v>
      </c>
      <c r="O71" s="2">
        <v>15</v>
      </c>
      <c r="P71">
        <f t="shared" ref="P71:P91" si="19">O71/H71</f>
        <v>4.3513071326626962</v>
      </c>
      <c r="X71" s="13"/>
      <c r="Y71" s="49"/>
      <c r="Z71" s="2"/>
      <c r="AA71" s="2"/>
      <c r="AB71" s="2"/>
      <c r="AC71" s="2"/>
      <c r="AD71" s="2"/>
      <c r="AE71" s="2"/>
      <c r="AF71" s="2"/>
      <c r="AG71" s="2"/>
      <c r="AH71" s="2"/>
    </row>
    <row r="72" spans="2:34" x14ac:dyDescent="0.35">
      <c r="B72" s="2"/>
      <c r="C72" s="2"/>
      <c r="D72" s="2"/>
      <c r="E72" s="2"/>
      <c r="F72" s="13">
        <v>720.93281999999999</v>
      </c>
      <c r="G72" s="45">
        <v>723.63667999999996</v>
      </c>
      <c r="H72" s="2">
        <f t="shared" ref="H72:H91" si="20">G72-F72</f>
        <v>2.7038599999999633</v>
      </c>
      <c r="I72" s="2">
        <f t="shared" ref="I72:I90" si="21">F73-G72</f>
        <v>9.8754700000000639</v>
      </c>
      <c r="J72" s="2">
        <f t="shared" ref="J72:J90" si="22">H72/N72</f>
        <v>0.21494467511385404</v>
      </c>
      <c r="K72" s="2">
        <f t="shared" ref="K72:K90" si="23">I72/N72</f>
        <v>0.78505532488614593</v>
      </c>
      <c r="L72" s="2">
        <f t="shared" ref="L72:L90" si="24">1/H72</f>
        <v>0.36984163381240653</v>
      </c>
      <c r="M72" s="2">
        <f t="shared" ref="M72:M90" si="25">1/N72</f>
        <v>7.9495489823384696E-2</v>
      </c>
      <c r="N72" s="2">
        <f t="shared" ref="N72:N90" si="26">H72+I72</f>
        <v>12.579330000000027</v>
      </c>
      <c r="O72" s="2">
        <v>13</v>
      </c>
      <c r="P72">
        <f t="shared" si="19"/>
        <v>4.8079412395612851</v>
      </c>
      <c r="X72" s="13"/>
      <c r="Y72" s="49"/>
      <c r="Z72" s="2"/>
      <c r="AA72" s="2"/>
      <c r="AB72" s="2"/>
      <c r="AC72" s="2"/>
      <c r="AD72" s="2"/>
      <c r="AE72" s="2"/>
      <c r="AF72" s="2"/>
      <c r="AG72" s="2"/>
      <c r="AH72" s="2"/>
    </row>
    <row r="73" spans="2:34" x14ac:dyDescent="0.35">
      <c r="B73" s="2"/>
      <c r="C73" s="2"/>
      <c r="D73" s="2"/>
      <c r="E73" s="2"/>
      <c r="F73" s="13">
        <v>733.51215000000002</v>
      </c>
      <c r="G73" s="45">
        <v>736.02661000000001</v>
      </c>
      <c r="H73" s="2">
        <f t="shared" si="20"/>
        <v>2.5144599999999855</v>
      </c>
      <c r="I73" s="2">
        <f t="shared" si="21"/>
        <v>7.6982699999999795</v>
      </c>
      <c r="J73" s="2">
        <f t="shared" si="22"/>
        <v>0.24620840852543777</v>
      </c>
      <c r="K73" s="2">
        <f t="shared" si="23"/>
        <v>0.75379159147456221</v>
      </c>
      <c r="L73" s="2">
        <f t="shared" si="24"/>
        <v>0.39769970490682127</v>
      </c>
      <c r="M73" s="2">
        <f t="shared" si="25"/>
        <v>9.79170114161447E-2</v>
      </c>
      <c r="N73" s="2">
        <f t="shared" si="26"/>
        <v>10.212729999999965</v>
      </c>
      <c r="O73" s="2">
        <v>14</v>
      </c>
      <c r="P73">
        <f t="shared" si="19"/>
        <v>5.5677958686954971</v>
      </c>
      <c r="X73" s="13"/>
      <c r="Y73" s="49"/>
      <c r="Z73" s="2"/>
      <c r="AA73" s="2"/>
      <c r="AB73" s="2"/>
      <c r="AC73" s="2"/>
      <c r="AD73" s="2"/>
      <c r="AE73" s="2"/>
      <c r="AF73" s="2"/>
      <c r="AG73" s="2"/>
      <c r="AH73" s="2"/>
    </row>
    <row r="74" spans="2:34" x14ac:dyDescent="0.35">
      <c r="B74" s="2"/>
      <c r="C74" s="2"/>
      <c r="D74" s="2"/>
      <c r="E74" s="2"/>
      <c r="F74" s="13">
        <v>743.72487999999998</v>
      </c>
      <c r="G74" s="45">
        <v>746.22712000000001</v>
      </c>
      <c r="H74" s="2">
        <f t="shared" si="20"/>
        <v>2.5022400000000289</v>
      </c>
      <c r="I74" s="2">
        <f t="shared" si="21"/>
        <v>8.9611199999999371</v>
      </c>
      <c r="J74" s="2">
        <f t="shared" si="22"/>
        <v>0.21828155095888432</v>
      </c>
      <c r="K74" s="2">
        <f t="shared" si="23"/>
        <v>0.78171844904111565</v>
      </c>
      <c r="L74" s="2">
        <f t="shared" si="24"/>
        <v>0.39964192083892369</v>
      </c>
      <c r="M74" s="2">
        <f t="shared" si="25"/>
        <v>8.7234458308907942E-2</v>
      </c>
      <c r="N74" s="2">
        <f t="shared" si="26"/>
        <v>11.463359999999966</v>
      </c>
      <c r="O74" s="2">
        <v>13</v>
      </c>
      <c r="P74">
        <f t="shared" si="19"/>
        <v>5.1953449709060084</v>
      </c>
      <c r="X74" s="13"/>
      <c r="Y74" s="49"/>
      <c r="Z74" s="2"/>
      <c r="AA74" s="2"/>
      <c r="AB74" s="2"/>
      <c r="AC74" s="2"/>
      <c r="AD74" s="2"/>
      <c r="AE74" s="2"/>
      <c r="AF74" s="2"/>
      <c r="AG74" s="2"/>
      <c r="AH74" s="2"/>
    </row>
    <row r="75" spans="2:34" x14ac:dyDescent="0.35">
      <c r="B75" s="2"/>
      <c r="C75" s="2"/>
      <c r="D75" s="2"/>
      <c r="E75" s="2"/>
      <c r="F75" s="13">
        <v>755.18823999999995</v>
      </c>
      <c r="G75" s="45">
        <v>758.78570999999999</v>
      </c>
      <c r="H75" s="2">
        <f t="shared" si="20"/>
        <v>3.5974700000000439</v>
      </c>
      <c r="I75" s="2">
        <f t="shared" si="21"/>
        <v>9.9855700000000525</v>
      </c>
      <c r="J75" s="2">
        <f t="shared" si="22"/>
        <v>0.26485013664098894</v>
      </c>
      <c r="K75" s="2">
        <f t="shared" si="23"/>
        <v>0.73514986335901111</v>
      </c>
      <c r="L75" s="2">
        <f t="shared" si="24"/>
        <v>0.27797313111714284</v>
      </c>
      <c r="M75" s="2">
        <f t="shared" si="25"/>
        <v>7.3621221758898805E-2</v>
      </c>
      <c r="N75" s="2">
        <f t="shared" si="26"/>
        <v>13.583040000000096</v>
      </c>
      <c r="O75" s="2">
        <v>17</v>
      </c>
      <c r="P75">
        <f t="shared" si="19"/>
        <v>4.7255432289914276</v>
      </c>
      <c r="X75" s="13"/>
      <c r="Y75" s="49"/>
      <c r="Z75" s="2"/>
      <c r="AA75" s="2"/>
      <c r="AB75" s="2"/>
      <c r="AC75" s="2"/>
      <c r="AD75" s="2"/>
      <c r="AE75" s="2"/>
      <c r="AF75" s="2"/>
      <c r="AG75" s="2"/>
      <c r="AH75" s="2"/>
    </row>
    <row r="76" spans="2:34" x14ac:dyDescent="0.35">
      <c r="B76" s="2"/>
      <c r="C76" s="2"/>
      <c r="D76" s="2"/>
      <c r="E76" s="2"/>
      <c r="F76" s="13">
        <v>768.77128000000005</v>
      </c>
      <c r="G76" s="45">
        <v>772.16247999999996</v>
      </c>
      <c r="H76" s="2">
        <f t="shared" si="20"/>
        <v>3.3911999999999125</v>
      </c>
      <c r="I76" s="2">
        <f t="shared" si="21"/>
        <v>10.179489999999987</v>
      </c>
      <c r="J76" s="2">
        <f t="shared" si="22"/>
        <v>0.24989149409498984</v>
      </c>
      <c r="K76" s="2">
        <f t="shared" si="23"/>
        <v>0.75010850590501021</v>
      </c>
      <c r="L76" s="2">
        <f t="shared" si="24"/>
        <v>0.29488086812928338</v>
      </c>
      <c r="M76" s="2">
        <f t="shared" si="25"/>
        <v>7.3688220716854297E-2</v>
      </c>
      <c r="N76" s="2">
        <f t="shared" si="26"/>
        <v>13.5706899999999</v>
      </c>
      <c r="O76" s="2">
        <v>15</v>
      </c>
      <c r="P76">
        <f t="shared" si="19"/>
        <v>4.4232130219392509</v>
      </c>
      <c r="X76" s="13"/>
      <c r="Y76" s="49"/>
      <c r="Z76" s="2"/>
      <c r="AA76" s="2"/>
      <c r="AB76" s="2"/>
      <c r="AC76" s="2"/>
      <c r="AD76" s="2"/>
      <c r="AE76" s="2"/>
      <c r="AF76" s="2"/>
      <c r="AG76" s="2"/>
      <c r="AH76" s="2"/>
    </row>
    <row r="77" spans="2:34" x14ac:dyDescent="0.35">
      <c r="B77" s="2"/>
      <c r="C77" s="2"/>
      <c r="D77" s="2"/>
      <c r="E77" s="2"/>
      <c r="F77" s="13">
        <v>782.34196999999995</v>
      </c>
      <c r="G77" s="45">
        <v>785.73806000000002</v>
      </c>
      <c r="H77" s="2">
        <f t="shared" si="20"/>
        <v>3.396090000000072</v>
      </c>
      <c r="I77" s="2">
        <f t="shared" si="21"/>
        <v>7.9414699999999812</v>
      </c>
      <c r="J77" s="2">
        <f t="shared" si="22"/>
        <v>0.29954328797378416</v>
      </c>
      <c r="K77" s="2">
        <f t="shared" si="23"/>
        <v>0.70045671202621584</v>
      </c>
      <c r="L77" s="2">
        <f t="shared" si="24"/>
        <v>0.29445627177135436</v>
      </c>
      <c r="M77" s="2">
        <f t="shared" si="25"/>
        <v>8.8202399810893645E-2</v>
      </c>
      <c r="N77" s="2">
        <f t="shared" si="26"/>
        <v>11.337560000000053</v>
      </c>
      <c r="O77" s="2">
        <v>15</v>
      </c>
      <c r="P77">
        <f t="shared" si="19"/>
        <v>4.4168440765703156</v>
      </c>
      <c r="X77" s="13"/>
      <c r="Y77" s="49"/>
      <c r="Z77" s="2"/>
      <c r="AA77" s="2"/>
      <c r="AB77" s="2"/>
      <c r="AC77" s="2"/>
      <c r="AD77" s="2"/>
      <c r="AE77" s="2"/>
      <c r="AF77" s="2"/>
      <c r="AG77" s="2"/>
      <c r="AH77" s="2"/>
    </row>
    <row r="78" spans="2:34" x14ac:dyDescent="0.35">
      <c r="B78" s="2"/>
      <c r="C78" s="2"/>
      <c r="D78" s="2"/>
      <c r="E78" s="2"/>
      <c r="F78" s="13">
        <v>793.67953</v>
      </c>
      <c r="G78" s="45">
        <v>797.17115000000001</v>
      </c>
      <c r="H78" s="2">
        <f t="shared" si="20"/>
        <v>3.4916200000000117</v>
      </c>
      <c r="I78" s="2">
        <f t="shared" si="21"/>
        <v>11.191140000000019</v>
      </c>
      <c r="J78" s="2">
        <f t="shared" si="22"/>
        <v>0.23780406408604407</v>
      </c>
      <c r="K78" s="2">
        <f t="shared" si="23"/>
        <v>0.76219593591395596</v>
      </c>
      <c r="L78" s="2">
        <f t="shared" si="24"/>
        <v>0.28640000916479935</v>
      </c>
      <c r="M78" s="2">
        <f t="shared" si="25"/>
        <v>6.8107086133669545E-2</v>
      </c>
      <c r="N78" s="2">
        <f t="shared" si="26"/>
        <v>14.68276000000003</v>
      </c>
      <c r="O78" s="2">
        <v>16</v>
      </c>
      <c r="P78">
        <f t="shared" si="19"/>
        <v>4.5824001466367896</v>
      </c>
      <c r="X78" s="13"/>
      <c r="Y78" s="49"/>
      <c r="Z78" s="2"/>
      <c r="AA78" s="2"/>
      <c r="AB78" s="2"/>
      <c r="AC78" s="2"/>
      <c r="AD78" s="2"/>
      <c r="AE78" s="2"/>
      <c r="AF78" s="2"/>
      <c r="AG78" s="2"/>
      <c r="AH78" s="2"/>
    </row>
    <row r="79" spans="2:34" x14ac:dyDescent="0.35">
      <c r="B79" s="2"/>
      <c r="C79" s="2"/>
      <c r="D79" s="2"/>
      <c r="E79" s="2"/>
      <c r="F79" s="13">
        <v>808.36229000000003</v>
      </c>
      <c r="G79" s="45">
        <v>811.82289000000003</v>
      </c>
      <c r="H79" s="2">
        <f t="shared" si="20"/>
        <v>3.4605999999999995</v>
      </c>
      <c r="I79" s="2">
        <f t="shared" si="21"/>
        <v>8.985149999999976</v>
      </c>
      <c r="J79" s="2">
        <f t="shared" si="22"/>
        <v>0.27805475764819365</v>
      </c>
      <c r="K79" s="2">
        <f t="shared" si="23"/>
        <v>0.72194524235180635</v>
      </c>
      <c r="L79" s="2">
        <f t="shared" si="24"/>
        <v>0.28896723111599149</v>
      </c>
      <c r="M79" s="2">
        <f t="shared" si="25"/>
        <v>8.0348713416226583E-2</v>
      </c>
      <c r="N79" s="2">
        <f t="shared" si="26"/>
        <v>12.445749999999975</v>
      </c>
      <c r="O79" s="2">
        <v>16</v>
      </c>
      <c r="P79">
        <f t="shared" si="19"/>
        <v>4.6234756978558638</v>
      </c>
      <c r="X79" s="13"/>
      <c r="Y79" s="49"/>
      <c r="Z79" s="2"/>
      <c r="AA79" s="2"/>
      <c r="AB79" s="2"/>
      <c r="AC79" s="2"/>
      <c r="AD79" s="2"/>
      <c r="AE79" s="2"/>
      <c r="AF79" s="2"/>
      <c r="AG79" s="2"/>
      <c r="AH79" s="2"/>
    </row>
    <row r="80" spans="2:34" x14ac:dyDescent="0.35">
      <c r="B80" s="2"/>
      <c r="C80" s="2"/>
      <c r="D80" s="2"/>
      <c r="E80" s="2"/>
      <c r="F80" s="13">
        <v>820.80804000000001</v>
      </c>
      <c r="G80" s="45">
        <v>823.32354999999995</v>
      </c>
      <c r="H80" s="2">
        <f t="shared" si="20"/>
        <v>2.5155099999999493</v>
      </c>
      <c r="I80" s="2">
        <f t="shared" si="21"/>
        <v>10.980200000000082</v>
      </c>
      <c r="J80" s="2">
        <f t="shared" si="22"/>
        <v>0.1863933057245557</v>
      </c>
      <c r="K80" s="2">
        <f t="shared" si="23"/>
        <v>0.8136066942754443</v>
      </c>
      <c r="L80" s="2">
        <f t="shared" si="24"/>
        <v>0.39753370091950346</v>
      </c>
      <c r="M80" s="2">
        <f t="shared" si="25"/>
        <v>7.4097620651303098E-2</v>
      </c>
      <c r="N80" s="2">
        <f t="shared" si="26"/>
        <v>13.495710000000031</v>
      </c>
      <c r="O80" s="2">
        <v>13</v>
      </c>
      <c r="P80">
        <f t="shared" si="19"/>
        <v>5.1679381119535455</v>
      </c>
      <c r="X80" s="13"/>
      <c r="Y80" s="49"/>
      <c r="Z80" s="2"/>
      <c r="AA80" s="2"/>
      <c r="AB80" s="2"/>
      <c r="AC80" s="2"/>
      <c r="AD80" s="2"/>
      <c r="AE80" s="2"/>
      <c r="AF80" s="2"/>
      <c r="AG80" s="2"/>
      <c r="AH80" s="2"/>
    </row>
    <row r="81" spans="2:34" x14ac:dyDescent="0.35">
      <c r="B81" s="2"/>
      <c r="C81" s="2"/>
      <c r="D81" s="2"/>
      <c r="E81" s="2"/>
      <c r="F81" s="13">
        <v>834.30375000000004</v>
      </c>
      <c r="G81" s="45">
        <v>837.83275000000003</v>
      </c>
      <c r="H81" s="2">
        <f t="shared" si="20"/>
        <v>3.5289999999999964</v>
      </c>
      <c r="I81" s="2">
        <f t="shared" si="21"/>
        <v>6.2577499999999873</v>
      </c>
      <c r="J81" s="2">
        <f t="shared" si="22"/>
        <v>0.36058957263647301</v>
      </c>
      <c r="K81" s="2">
        <f t="shared" si="23"/>
        <v>0.63941042736352693</v>
      </c>
      <c r="L81" s="2">
        <f t="shared" si="24"/>
        <v>0.28336639274582065</v>
      </c>
      <c r="M81" s="2">
        <f t="shared" si="25"/>
        <v>0.10217896645975443</v>
      </c>
      <c r="N81" s="2">
        <f t="shared" si="26"/>
        <v>9.7867499999999836</v>
      </c>
      <c r="O81" s="2">
        <v>17</v>
      </c>
      <c r="P81">
        <f t="shared" si="19"/>
        <v>4.8172286766789512</v>
      </c>
      <c r="X81" s="13"/>
      <c r="Y81" s="49"/>
      <c r="Z81" s="2"/>
      <c r="AA81" s="2"/>
      <c r="AB81" s="2"/>
      <c r="AC81" s="2"/>
      <c r="AD81" s="2"/>
      <c r="AE81" s="2"/>
      <c r="AF81" s="2"/>
      <c r="AG81" s="2"/>
      <c r="AH81" s="2"/>
    </row>
    <row r="82" spans="2:34" x14ac:dyDescent="0.35">
      <c r="B82" s="2"/>
      <c r="C82" s="2"/>
      <c r="D82" s="2"/>
      <c r="E82" s="2"/>
      <c r="F82" s="13">
        <v>844.09050000000002</v>
      </c>
      <c r="G82" s="45">
        <v>846.76058999999998</v>
      </c>
      <c r="H82" s="2">
        <f t="shared" si="20"/>
        <v>2.6700899999999592</v>
      </c>
      <c r="I82" s="2">
        <f t="shared" si="21"/>
        <v>9.9343599999999697</v>
      </c>
      <c r="J82" s="2">
        <f t="shared" si="22"/>
        <v>0.21183708928195791</v>
      </c>
      <c r="K82" s="2">
        <f t="shared" si="23"/>
        <v>0.78816291071804212</v>
      </c>
      <c r="L82" s="2">
        <f t="shared" si="24"/>
        <v>0.37451921096293206</v>
      </c>
      <c r="M82" s="2">
        <f t="shared" si="25"/>
        <v>7.9337059530563067E-2</v>
      </c>
      <c r="N82" s="2">
        <f t="shared" si="26"/>
        <v>12.604449999999929</v>
      </c>
      <c r="O82" s="2">
        <v>13</v>
      </c>
      <c r="P82">
        <f t="shared" si="19"/>
        <v>4.8687497425181165</v>
      </c>
      <c r="X82" s="13"/>
      <c r="Y82" s="49"/>
      <c r="Z82" s="2"/>
      <c r="AA82" s="2"/>
      <c r="AB82" s="2"/>
      <c r="AC82" s="2"/>
      <c r="AD82" s="2"/>
      <c r="AE82" s="2"/>
      <c r="AF82" s="2"/>
      <c r="AG82" s="2"/>
      <c r="AH82" s="2"/>
    </row>
    <row r="83" spans="2:34" x14ac:dyDescent="0.35">
      <c r="B83" s="2"/>
      <c r="C83" s="2"/>
      <c r="D83" s="2"/>
      <c r="E83" s="2"/>
      <c r="F83" s="13">
        <v>856.69494999999995</v>
      </c>
      <c r="G83" s="45">
        <v>859.28111999999999</v>
      </c>
      <c r="H83" s="2">
        <f t="shared" si="20"/>
        <v>2.5861700000000383</v>
      </c>
      <c r="I83" s="2">
        <f t="shared" si="21"/>
        <v>11.002349999999979</v>
      </c>
      <c r="J83" s="2">
        <f t="shared" si="22"/>
        <v>0.19032021147262801</v>
      </c>
      <c r="K83" s="2">
        <f t="shared" si="23"/>
        <v>0.80967978852737199</v>
      </c>
      <c r="L83" s="2">
        <f t="shared" si="24"/>
        <v>0.38667218318980778</v>
      </c>
      <c r="M83" s="2">
        <f t="shared" si="25"/>
        <v>7.3591531675266969E-2</v>
      </c>
      <c r="N83" s="2">
        <f t="shared" si="26"/>
        <v>13.588520000000017</v>
      </c>
      <c r="O83" s="2">
        <v>13</v>
      </c>
      <c r="P83">
        <f t="shared" si="19"/>
        <v>5.0267383814675011</v>
      </c>
      <c r="X83" s="13"/>
      <c r="Y83" s="49"/>
      <c r="Z83" s="2"/>
      <c r="AA83" s="2"/>
      <c r="AB83" s="2"/>
      <c r="AC83" s="2"/>
      <c r="AD83" s="2"/>
      <c r="AE83" s="2"/>
      <c r="AF83" s="2"/>
      <c r="AG83" s="2"/>
      <c r="AH83" s="2"/>
    </row>
    <row r="84" spans="2:34" x14ac:dyDescent="0.35">
      <c r="B84" s="2"/>
      <c r="C84" s="2"/>
      <c r="D84" s="2"/>
      <c r="E84" s="2"/>
      <c r="F84" s="13">
        <v>870.28346999999997</v>
      </c>
      <c r="G84" s="45">
        <v>873.79753000000005</v>
      </c>
      <c r="H84" s="2">
        <f t="shared" si="20"/>
        <v>3.5140600000000859</v>
      </c>
      <c r="I84" s="2">
        <f t="shared" si="21"/>
        <v>8.896349999999984</v>
      </c>
      <c r="J84" s="2">
        <f t="shared" si="22"/>
        <v>0.28315422294670894</v>
      </c>
      <c r="K84" s="2">
        <f t="shared" si="23"/>
        <v>0.71684577705329111</v>
      </c>
      <c r="L84" s="2">
        <f t="shared" si="24"/>
        <v>0.28457112286072961</v>
      </c>
      <c r="M84" s="2">
        <f t="shared" si="25"/>
        <v>8.0577515166702335E-2</v>
      </c>
      <c r="N84" s="2">
        <f t="shared" si="26"/>
        <v>12.41041000000007</v>
      </c>
      <c r="O84" s="2">
        <v>16</v>
      </c>
      <c r="P84">
        <f t="shared" si="19"/>
        <v>4.5531379657716737</v>
      </c>
      <c r="X84" s="13"/>
      <c r="Y84" s="49"/>
      <c r="Z84" s="2"/>
      <c r="AA84" s="2"/>
      <c r="AB84" s="2"/>
      <c r="AC84" s="2"/>
      <c r="AD84" s="2"/>
      <c r="AE84" s="2"/>
      <c r="AF84" s="2"/>
      <c r="AG84" s="2"/>
      <c r="AH84" s="2"/>
    </row>
    <row r="85" spans="2:34" x14ac:dyDescent="0.35">
      <c r="B85" s="2"/>
      <c r="C85" s="2"/>
      <c r="D85" s="2"/>
      <c r="E85" s="2"/>
      <c r="F85" s="13">
        <v>882.69388000000004</v>
      </c>
      <c r="G85" s="45">
        <v>885.21662000000003</v>
      </c>
      <c r="H85" s="2">
        <f t="shared" si="20"/>
        <v>2.5227399999999989</v>
      </c>
      <c r="I85" s="2">
        <f t="shared" si="21"/>
        <v>7.8423699999999599</v>
      </c>
      <c r="J85" s="2">
        <f t="shared" si="22"/>
        <v>0.24338767268268344</v>
      </c>
      <c r="K85" s="2">
        <f t="shared" si="23"/>
        <v>0.75661232731731654</v>
      </c>
      <c r="L85" s="2">
        <f t="shared" si="24"/>
        <v>0.39639439656881026</v>
      </c>
      <c r="M85" s="2">
        <f t="shared" si="25"/>
        <v>9.647750964533941E-2</v>
      </c>
      <c r="N85" s="2">
        <f t="shared" si="26"/>
        <v>10.365109999999959</v>
      </c>
      <c r="O85" s="2">
        <v>13</v>
      </c>
      <c r="P85">
        <f t="shared" si="19"/>
        <v>5.1531271553945333</v>
      </c>
      <c r="X85" s="13"/>
      <c r="Y85" s="49"/>
      <c r="Z85" s="2"/>
      <c r="AA85" s="2"/>
      <c r="AB85" s="2"/>
      <c r="AC85" s="2"/>
      <c r="AD85" s="2"/>
      <c r="AE85" s="2"/>
      <c r="AF85" s="2"/>
      <c r="AG85" s="2"/>
      <c r="AH85" s="2"/>
    </row>
    <row r="86" spans="2:34" x14ac:dyDescent="0.35">
      <c r="B86" s="2"/>
      <c r="C86" s="2"/>
      <c r="D86" s="2"/>
      <c r="E86" s="2"/>
      <c r="F86" s="13">
        <v>893.05898999999999</v>
      </c>
      <c r="G86" s="45">
        <v>895.55958999999996</v>
      </c>
      <c r="H86" s="2">
        <f t="shared" si="20"/>
        <v>2.5005999999999631</v>
      </c>
      <c r="I86" s="2">
        <f t="shared" si="21"/>
        <v>10.09996000000001</v>
      </c>
      <c r="J86" s="2">
        <f t="shared" si="22"/>
        <v>0.19845149739376411</v>
      </c>
      <c r="K86" s="2">
        <f t="shared" si="23"/>
        <v>0.80154850260623589</v>
      </c>
      <c r="L86" s="2">
        <f t="shared" si="24"/>
        <v>0.39990402303447764</v>
      </c>
      <c r="M86" s="2">
        <f t="shared" si="25"/>
        <v>7.936155218498242E-2</v>
      </c>
      <c r="N86" s="2">
        <f t="shared" si="26"/>
        <v>12.600559999999973</v>
      </c>
      <c r="O86" s="2">
        <v>13</v>
      </c>
      <c r="P86">
        <f t="shared" si="19"/>
        <v>5.1987522994482092</v>
      </c>
      <c r="X86" s="13"/>
      <c r="Y86" s="49"/>
      <c r="Z86" s="2"/>
      <c r="AA86" s="2"/>
      <c r="AB86" s="2"/>
      <c r="AC86" s="2"/>
      <c r="AD86" s="2"/>
      <c r="AE86" s="2"/>
      <c r="AF86" s="2"/>
      <c r="AG86" s="2"/>
      <c r="AH86" s="2"/>
    </row>
    <row r="87" spans="2:34" x14ac:dyDescent="0.35">
      <c r="B87" s="2"/>
      <c r="C87" s="2"/>
      <c r="D87" s="2"/>
      <c r="E87" s="2"/>
      <c r="F87" s="13">
        <v>905.65954999999997</v>
      </c>
      <c r="G87" s="45">
        <v>908.35212000000001</v>
      </c>
      <c r="H87" s="2">
        <f t="shared" si="20"/>
        <v>2.6925700000000461</v>
      </c>
      <c r="I87" s="2">
        <f t="shared" si="21"/>
        <v>8.6746600000000171</v>
      </c>
      <c r="J87" s="2">
        <f t="shared" si="22"/>
        <v>0.23687125183532234</v>
      </c>
      <c r="K87" s="2">
        <f t="shared" si="23"/>
        <v>0.76312874816467768</v>
      </c>
      <c r="L87" s="2">
        <f t="shared" si="24"/>
        <v>0.37139238719884082</v>
      </c>
      <c r="M87" s="2">
        <f t="shared" si="25"/>
        <v>8.7972179677898166E-2</v>
      </c>
      <c r="N87" s="2">
        <f t="shared" si="26"/>
        <v>11.367230000000063</v>
      </c>
      <c r="O87" s="2">
        <v>14</v>
      </c>
      <c r="P87">
        <f t="shared" si="19"/>
        <v>5.1994934207837717</v>
      </c>
      <c r="X87" s="13"/>
      <c r="Y87" s="49"/>
      <c r="Z87" s="2"/>
      <c r="AA87" s="2"/>
      <c r="AB87" s="2"/>
      <c r="AC87" s="2"/>
      <c r="AD87" s="2"/>
      <c r="AE87" s="2"/>
      <c r="AF87" s="2"/>
      <c r="AG87" s="2"/>
      <c r="AH87" s="2"/>
    </row>
    <row r="88" spans="2:34" x14ac:dyDescent="0.35">
      <c r="B88" s="2"/>
      <c r="C88" s="2"/>
      <c r="D88" s="2"/>
      <c r="E88" s="2"/>
      <c r="F88" s="13">
        <v>917.02678000000003</v>
      </c>
      <c r="G88" s="45">
        <v>920.53016000000002</v>
      </c>
      <c r="H88" s="2">
        <f t="shared" si="20"/>
        <v>3.5033799999999928</v>
      </c>
      <c r="I88" s="2">
        <f t="shared" si="21"/>
        <v>7.9541399999999385</v>
      </c>
      <c r="J88" s="2">
        <f t="shared" si="22"/>
        <v>0.30577123147068597</v>
      </c>
      <c r="K88" s="2">
        <f t="shared" si="23"/>
        <v>0.69422876852931403</v>
      </c>
      <c r="L88" s="2">
        <f t="shared" si="24"/>
        <v>0.28543863354817406</v>
      </c>
      <c r="M88" s="2">
        <f t="shared" si="25"/>
        <v>8.727892248933504E-2</v>
      </c>
      <c r="N88" s="2">
        <f t="shared" si="26"/>
        <v>11.457519999999931</v>
      </c>
      <c r="O88" s="2">
        <v>15</v>
      </c>
      <c r="P88">
        <f t="shared" si="19"/>
        <v>4.2815795032226109</v>
      </c>
      <c r="X88" s="13"/>
      <c r="Y88" s="49"/>
      <c r="Z88" s="2"/>
      <c r="AA88" s="2"/>
      <c r="AB88" s="2"/>
      <c r="AC88" s="2"/>
      <c r="AD88" s="2"/>
      <c r="AE88" s="2"/>
      <c r="AF88" s="2"/>
      <c r="AG88" s="2"/>
      <c r="AH88" s="2"/>
    </row>
    <row r="89" spans="2:34" x14ac:dyDescent="0.35">
      <c r="B89" s="2"/>
      <c r="C89" s="2"/>
      <c r="D89" s="2"/>
      <c r="E89" s="2"/>
      <c r="F89" s="13">
        <v>928.48429999999996</v>
      </c>
      <c r="G89" s="45">
        <v>931.07686000000001</v>
      </c>
      <c r="H89" s="2">
        <f t="shared" si="20"/>
        <v>2.5925600000000486</v>
      </c>
      <c r="I89" s="2">
        <f t="shared" si="21"/>
        <v>10.117250000000013</v>
      </c>
      <c r="J89" s="2">
        <f t="shared" si="22"/>
        <v>0.20398101938581584</v>
      </c>
      <c r="K89" s="2">
        <f t="shared" si="23"/>
        <v>0.79601898061418419</v>
      </c>
      <c r="L89" s="2">
        <f t="shared" si="24"/>
        <v>0.38571913475482966</v>
      </c>
      <c r="M89" s="2">
        <f t="shared" si="25"/>
        <v>7.8679382303905032E-2</v>
      </c>
      <c r="N89" s="2">
        <f t="shared" si="26"/>
        <v>12.709810000000061</v>
      </c>
      <c r="O89" s="2">
        <v>13</v>
      </c>
      <c r="P89">
        <f t="shared" si="19"/>
        <v>5.0143487518127863</v>
      </c>
      <c r="X89" s="13"/>
      <c r="Y89" s="49"/>
      <c r="Z89" s="2"/>
      <c r="AA89" s="2"/>
      <c r="AB89" s="2"/>
      <c r="AC89" s="2"/>
      <c r="AD89" s="2"/>
      <c r="AE89" s="2"/>
      <c r="AF89" s="2"/>
      <c r="AG89" s="2"/>
      <c r="AH89" s="2"/>
    </row>
    <row r="90" spans="2:34" x14ac:dyDescent="0.35">
      <c r="B90" s="2"/>
      <c r="C90" s="2"/>
      <c r="D90" s="2"/>
      <c r="E90" s="2"/>
      <c r="F90" s="13">
        <v>941.19411000000002</v>
      </c>
      <c r="G90" s="45">
        <v>943.78882999999996</v>
      </c>
      <c r="H90" s="2">
        <f t="shared" si="20"/>
        <v>2.5947199999999384</v>
      </c>
      <c r="I90" s="2">
        <f t="shared" si="21"/>
        <v>8.884420000000091</v>
      </c>
      <c r="J90" s="2">
        <f t="shared" si="22"/>
        <v>0.22603783907156214</v>
      </c>
      <c r="K90" s="2">
        <f t="shared" si="23"/>
        <v>0.77396216092843784</v>
      </c>
      <c r="L90" s="2">
        <f t="shared" si="24"/>
        <v>0.38539803909478626</v>
      </c>
      <c r="M90" s="2">
        <f t="shared" si="25"/>
        <v>8.7114539939402907E-2</v>
      </c>
      <c r="N90" s="2">
        <f t="shared" si="26"/>
        <v>11.479140000000029</v>
      </c>
      <c r="O90" s="2">
        <v>14</v>
      </c>
      <c r="P90">
        <f t="shared" si="19"/>
        <v>5.3955725473270073</v>
      </c>
      <c r="X90" s="13"/>
      <c r="Y90" s="49"/>
      <c r="Z90" s="2"/>
      <c r="AA90" s="2"/>
      <c r="AB90" s="2"/>
      <c r="AC90" s="2"/>
      <c r="AD90" s="2"/>
      <c r="AE90" s="2"/>
      <c r="AF90" s="2"/>
      <c r="AG90" s="2"/>
      <c r="AH90" s="2"/>
    </row>
    <row r="91" spans="2:34" x14ac:dyDescent="0.35">
      <c r="B91" s="2"/>
      <c r="C91" s="2"/>
      <c r="D91" s="2"/>
      <c r="E91" s="2"/>
      <c r="F91" s="13">
        <v>952.67325000000005</v>
      </c>
      <c r="G91" s="45">
        <v>955.29993000000002</v>
      </c>
      <c r="H91" s="2">
        <f t="shared" si="20"/>
        <v>2.6266799999999648</v>
      </c>
      <c r="I91" s="2"/>
      <c r="J91" s="2"/>
      <c r="K91" s="2"/>
      <c r="L91" s="2"/>
      <c r="M91" s="2"/>
      <c r="N91" s="2"/>
      <c r="O91" s="2">
        <v>13</v>
      </c>
      <c r="P91">
        <f t="shared" si="19"/>
        <v>4.9492134557693266</v>
      </c>
      <c r="X91" s="13"/>
      <c r="Y91" s="49"/>
      <c r="Z91" s="2"/>
      <c r="AA91" s="2"/>
      <c r="AB91" s="2"/>
      <c r="AC91" s="2"/>
      <c r="AD91" s="2"/>
      <c r="AE91" s="2"/>
      <c r="AF91" s="2"/>
      <c r="AG91" s="2"/>
      <c r="AH91" s="2"/>
    </row>
    <row r="92" spans="2:34" x14ac:dyDescent="0.35">
      <c r="B92" s="2"/>
      <c r="C92" s="2"/>
      <c r="D92" s="2"/>
      <c r="E92" s="2"/>
      <c r="F92" s="13"/>
      <c r="G92" s="49"/>
      <c r="H92" s="2"/>
      <c r="I92" s="2"/>
      <c r="J92" s="2"/>
      <c r="K92" s="2"/>
      <c r="L92" s="2"/>
      <c r="M92" s="2"/>
      <c r="N92" s="2"/>
      <c r="O92" s="2"/>
      <c r="P92" s="2"/>
      <c r="X92" s="13"/>
      <c r="Y92" s="49"/>
      <c r="Z92" s="2"/>
      <c r="AA92" s="2"/>
      <c r="AB92" s="2"/>
      <c r="AC92" s="2"/>
      <c r="AD92" s="2"/>
      <c r="AE92" s="2"/>
      <c r="AF92" s="2"/>
      <c r="AG92" s="2"/>
      <c r="AH92" s="2"/>
    </row>
    <row r="93" spans="2:34" ht="16" thickBot="1" x14ac:dyDescent="0.4">
      <c r="B93" s="2"/>
      <c r="C93" s="2"/>
      <c r="D93" s="2"/>
      <c r="E93" s="2"/>
      <c r="F93" s="13"/>
      <c r="G93" s="13"/>
      <c r="H93" s="9" t="s">
        <v>3</v>
      </c>
      <c r="I93" s="9" t="s">
        <v>4</v>
      </c>
      <c r="J93" s="9" t="s">
        <v>5</v>
      </c>
      <c r="K93" s="9" t="s">
        <v>6</v>
      </c>
      <c r="L93" s="9" t="s">
        <v>7</v>
      </c>
      <c r="M93" s="9" t="s">
        <v>8</v>
      </c>
      <c r="N93" s="9" t="s">
        <v>9</v>
      </c>
      <c r="O93" s="9" t="s">
        <v>10</v>
      </c>
      <c r="P93" s="44" t="s">
        <v>139</v>
      </c>
      <c r="X93" s="13"/>
      <c r="Y93" s="49"/>
      <c r="Z93" s="2"/>
      <c r="AA93" s="2"/>
      <c r="AB93" s="2"/>
      <c r="AC93" s="2"/>
      <c r="AD93" s="2"/>
      <c r="AE93" s="2"/>
      <c r="AF93" s="2"/>
      <c r="AG93" s="2"/>
      <c r="AH93" s="2"/>
    </row>
    <row r="94" spans="2:34" x14ac:dyDescent="0.35">
      <c r="B94" s="2"/>
      <c r="C94" s="2"/>
      <c r="D94" s="2"/>
      <c r="E94" s="2"/>
      <c r="F94" s="13"/>
      <c r="G94" s="49" t="s">
        <v>77</v>
      </c>
      <c r="H94" s="2">
        <f>AVERAGE(H7:H90)</f>
        <v>2.7723976190476183</v>
      </c>
      <c r="I94" s="2">
        <f t="shared" ref="I94:N94" si="27">AVERAGE(I7:I90)</f>
        <v>8.4230580952380958</v>
      </c>
      <c r="J94" s="2">
        <f t="shared" si="27"/>
        <v>0.25082981136912907</v>
      </c>
      <c r="K94" s="2">
        <f t="shared" si="27"/>
        <v>0.74917018863087093</v>
      </c>
      <c r="L94" s="2">
        <f t="shared" si="27"/>
        <v>0.37201726404080265</v>
      </c>
      <c r="M94" s="2">
        <f t="shared" si="27"/>
        <v>9.1265717108173564E-2</v>
      </c>
      <c r="N94" s="2">
        <f t="shared" si="27"/>
        <v>11.195455714285716</v>
      </c>
      <c r="O94" s="2">
        <f>AVERAGE(O7:O91)</f>
        <v>12.435294117647059</v>
      </c>
      <c r="P94" s="2">
        <f>AVERAGE(P7:P91)</f>
        <v>4.5126283662894489</v>
      </c>
      <c r="X94" s="13"/>
      <c r="Y94" s="49"/>
      <c r="Z94" s="2"/>
      <c r="AA94" s="2"/>
      <c r="AB94" s="2"/>
      <c r="AC94" s="2"/>
      <c r="AD94" s="2"/>
      <c r="AE94" s="2"/>
      <c r="AF94" s="2"/>
      <c r="AG94" s="2"/>
      <c r="AH94" s="2"/>
    </row>
    <row r="95" spans="2:34" x14ac:dyDescent="0.35">
      <c r="B95" s="2"/>
      <c r="C95" s="2"/>
      <c r="D95" s="2"/>
      <c r="E95" s="2"/>
      <c r="F95" s="13"/>
      <c r="G95" s="49" t="s">
        <v>94</v>
      </c>
      <c r="H95" s="2">
        <f>_xlfn.STDEV.S(H7:H90)</f>
        <v>0.42865193368805715</v>
      </c>
      <c r="I95" s="2">
        <f t="shared" ref="I95:N95" si="28">_xlfn.STDEV.S(I7:I90)</f>
        <v>1.5448929418543969</v>
      </c>
      <c r="J95" s="2">
        <f t="shared" si="28"/>
        <v>4.4845170032107168E-2</v>
      </c>
      <c r="K95" s="2">
        <f t="shared" si="28"/>
        <v>4.4845170032106807E-2</v>
      </c>
      <c r="L95" s="2">
        <f t="shared" si="28"/>
        <v>7.8603784107561359E-2</v>
      </c>
      <c r="M95" s="2">
        <f t="shared" si="28"/>
        <v>1.3881070610983053E-2</v>
      </c>
      <c r="N95" s="2">
        <f t="shared" si="28"/>
        <v>1.6181359853680246</v>
      </c>
      <c r="O95" s="2">
        <f>_xlfn.STDEV.S(O7:O91)</f>
        <v>1.9606064345085694</v>
      </c>
      <c r="P95" s="2">
        <f>_xlfn.STDEV.S(P7:P91)</f>
        <v>0.45873143522537024</v>
      </c>
      <c r="X95" s="13"/>
      <c r="Y95" s="49"/>
      <c r="Z95" s="2"/>
      <c r="AA95" s="2"/>
      <c r="AB95" s="2"/>
      <c r="AC95" s="2"/>
      <c r="AD95" s="2"/>
      <c r="AE95" s="2"/>
      <c r="AF95" s="2"/>
      <c r="AG95" s="2"/>
      <c r="AH95" s="2"/>
    </row>
    <row r="96" spans="2:34" x14ac:dyDescent="0.35">
      <c r="B96" s="2"/>
      <c r="C96" s="2"/>
      <c r="D96" s="2"/>
      <c r="E96" s="2"/>
      <c r="F96" s="13"/>
      <c r="G96" s="49" t="s">
        <v>95</v>
      </c>
      <c r="H96" s="2">
        <f>H95/SQRT(83)</f>
        <v>4.7050662294419413E-2</v>
      </c>
      <c r="I96" s="2">
        <f t="shared" ref="I96:N96" si="29">I95/SQRT(83)</f>
        <v>0.16957403052594358</v>
      </c>
      <c r="J96" s="2">
        <f t="shared" si="29"/>
        <v>4.9223969026860812E-3</v>
      </c>
      <c r="K96" s="2">
        <f t="shared" si="29"/>
        <v>4.9223969026860413E-3</v>
      </c>
      <c r="L96" s="2">
        <f t="shared" si="29"/>
        <v>8.6278861949558548E-3</v>
      </c>
      <c r="M96" s="2">
        <f t="shared" si="29"/>
        <v>1.5236454434791936E-3</v>
      </c>
      <c r="N96" s="2">
        <f t="shared" si="29"/>
        <v>0.17761349899660964</v>
      </c>
      <c r="O96" s="2">
        <f>O95/SQRT(84)</f>
        <v>0.21391969986078571</v>
      </c>
      <c r="P96" s="2">
        <f>P95/SQRT(84)</f>
        <v>5.0051702989904551E-2</v>
      </c>
      <c r="X96" s="13"/>
      <c r="Y96" s="49"/>
      <c r="Z96" s="2"/>
      <c r="AA96" s="2"/>
      <c r="AB96" s="2"/>
      <c r="AC96" s="2"/>
      <c r="AD96" s="2"/>
      <c r="AE96" s="2"/>
      <c r="AF96" s="2"/>
      <c r="AG96" s="2"/>
      <c r="AH96" s="2"/>
    </row>
    <row r="97" spans="2:34" x14ac:dyDescent="0.35">
      <c r="B97" s="2"/>
      <c r="C97" s="2"/>
      <c r="D97" s="2"/>
      <c r="E97" s="2"/>
      <c r="F97" s="13"/>
      <c r="G97" s="49"/>
      <c r="H97" s="2"/>
      <c r="I97" s="2"/>
      <c r="J97" s="2"/>
      <c r="K97" s="2"/>
      <c r="L97" s="2"/>
      <c r="M97" s="2"/>
      <c r="N97" s="2"/>
      <c r="O97" s="2"/>
      <c r="P97" s="2"/>
      <c r="X97" s="13"/>
      <c r="Y97" s="49"/>
      <c r="Z97" s="2"/>
      <c r="AA97" s="2"/>
      <c r="AB97" s="2"/>
      <c r="AC97" s="2"/>
      <c r="AD97" s="2"/>
      <c r="AE97" s="2"/>
      <c r="AF97" s="2"/>
      <c r="AG97" s="2"/>
      <c r="AH97" s="2"/>
    </row>
    <row r="100" spans="2:34" ht="18.5" x14ac:dyDescent="0.45">
      <c r="F100" s="1" t="s">
        <v>52</v>
      </c>
      <c r="G100" s="3"/>
      <c r="H100" s="3"/>
      <c r="I100" s="3"/>
      <c r="J100" s="3"/>
      <c r="K100" s="3"/>
      <c r="L100" s="3"/>
      <c r="M100" s="3"/>
      <c r="N100" s="3"/>
      <c r="O100" s="3"/>
      <c r="X100" s="1" t="s">
        <v>373</v>
      </c>
      <c r="Y100" s="3"/>
      <c r="Z100" s="3"/>
      <c r="AA100" s="3"/>
      <c r="AB100" s="3"/>
      <c r="AC100" s="3"/>
      <c r="AD100" s="3"/>
      <c r="AE100" s="3"/>
      <c r="AF100" s="3"/>
      <c r="AG100" s="3"/>
    </row>
    <row r="101" spans="2:34" ht="16" thickBot="1" x14ac:dyDescent="0.4">
      <c r="F101" s="9" t="s">
        <v>1</v>
      </c>
      <c r="G101" s="9" t="s">
        <v>2</v>
      </c>
      <c r="H101" s="9" t="s">
        <v>3</v>
      </c>
      <c r="I101" s="9" t="s">
        <v>4</v>
      </c>
      <c r="J101" s="9" t="s">
        <v>5</v>
      </c>
      <c r="K101" s="9" t="s">
        <v>6</v>
      </c>
      <c r="L101" s="9" t="s">
        <v>7</v>
      </c>
      <c r="M101" s="9" t="s">
        <v>8</v>
      </c>
      <c r="N101" s="9" t="s">
        <v>9</v>
      </c>
      <c r="O101" s="9" t="s">
        <v>10</v>
      </c>
      <c r="P101" s="44" t="s">
        <v>139</v>
      </c>
      <c r="X101" s="9" t="s">
        <v>1</v>
      </c>
      <c r="Y101" s="9" t="s">
        <v>2</v>
      </c>
      <c r="Z101" s="9" t="s">
        <v>3</v>
      </c>
      <c r="AA101" s="9" t="s">
        <v>4</v>
      </c>
      <c r="AB101" s="9" t="s">
        <v>5</v>
      </c>
      <c r="AC101" s="9" t="s">
        <v>6</v>
      </c>
      <c r="AD101" s="9" t="s">
        <v>7</v>
      </c>
      <c r="AE101" s="9" t="s">
        <v>8</v>
      </c>
      <c r="AF101" s="9" t="s">
        <v>9</v>
      </c>
      <c r="AG101" s="9" t="s">
        <v>10</v>
      </c>
      <c r="AH101" s="44" t="s">
        <v>139</v>
      </c>
    </row>
    <row r="102" spans="2:34" x14ac:dyDescent="0.35">
      <c r="F102" s="2">
        <v>0.81872</v>
      </c>
      <c r="G102" s="2">
        <v>3.4362699999999999</v>
      </c>
      <c r="H102" s="2">
        <f>G102-F102</f>
        <v>2.61755</v>
      </c>
      <c r="I102" s="2">
        <f>F103-G102</f>
        <v>5.3802399999999988</v>
      </c>
      <c r="J102" s="2">
        <f>H102/N102</f>
        <v>0.3272841622498216</v>
      </c>
      <c r="K102" s="2">
        <f>I102/N102</f>
        <v>0.67271583775017851</v>
      </c>
      <c r="L102" s="2">
        <f>1/H102</f>
        <v>0.38203663731351833</v>
      </c>
      <c r="M102" s="2">
        <f>1/N102</f>
        <v>0.12503454079189377</v>
      </c>
      <c r="N102" s="2">
        <f>H102+I102</f>
        <v>7.9977899999999984</v>
      </c>
      <c r="O102" s="2">
        <v>12</v>
      </c>
      <c r="P102">
        <f t="shared" ref="P102:P145" si="30">O102/H102</f>
        <v>4.5844396477622205</v>
      </c>
      <c r="X102" s="2">
        <v>16.864789999999999</v>
      </c>
      <c r="Y102" s="2">
        <v>23.281490000000002</v>
      </c>
      <c r="Z102" s="2">
        <f>Y102-X102</f>
        <v>6.4167000000000023</v>
      </c>
      <c r="AA102" s="2">
        <f>X103-Y102</f>
        <v>7.4289299999999976</v>
      </c>
      <c r="AB102" s="2">
        <f>Z102/AF102</f>
        <v>0.46344586703530299</v>
      </c>
      <c r="AC102" s="2">
        <f>AA102/AF102</f>
        <v>0.53655413296469701</v>
      </c>
      <c r="AD102" s="2">
        <f>1/Z102</f>
        <v>0.15584334626833102</v>
      </c>
      <c r="AE102" s="2">
        <f>1/AF102</f>
        <v>7.2224954733009619E-2</v>
      </c>
      <c r="AF102" s="2">
        <f>Z102+AA102</f>
        <v>13.84563</v>
      </c>
      <c r="AG102" s="2">
        <v>40</v>
      </c>
      <c r="AH102">
        <f t="shared" ref="AH102:AH118" si="31">AG102/Z102</f>
        <v>6.2337338507332412</v>
      </c>
    </row>
    <row r="103" spans="2:34" x14ac:dyDescent="0.35">
      <c r="F103" s="2">
        <v>8.8165099999999992</v>
      </c>
      <c r="G103" s="2">
        <v>11.11309</v>
      </c>
      <c r="H103" s="2">
        <f t="shared" ref="H103:H145" si="32">G103-F103</f>
        <v>2.2965800000000005</v>
      </c>
      <c r="I103" s="2">
        <f t="shared" ref="I103:I144" si="33">F104-G103</f>
        <v>4.4839400000000005</v>
      </c>
      <c r="J103" s="2">
        <f t="shared" ref="J103:J144" si="34">H103/N103</f>
        <v>0.3387026363759712</v>
      </c>
      <c r="K103" s="2">
        <f t="shared" ref="K103:K144" si="35">I103/N103</f>
        <v>0.6612973636240288</v>
      </c>
      <c r="L103" s="2">
        <f t="shared" ref="L103:L144" si="36">1/H103</f>
        <v>0.43543007428437058</v>
      </c>
      <c r="M103" s="2">
        <f t="shared" ref="M103:M144" si="37">1/N103</f>
        <v>0.14748131411750129</v>
      </c>
      <c r="N103" s="2">
        <f t="shared" ref="N103:N144" si="38">H103+I103</f>
        <v>6.780520000000001</v>
      </c>
      <c r="O103" s="2">
        <v>11</v>
      </c>
      <c r="P103">
        <f t="shared" si="30"/>
        <v>4.7897308171280759</v>
      </c>
      <c r="X103" s="2">
        <v>30.710419999999999</v>
      </c>
      <c r="Y103" s="2">
        <v>37.199930000000002</v>
      </c>
      <c r="Z103" s="2">
        <f t="shared" ref="Z103:Z118" si="39">Y103-X103</f>
        <v>6.4895100000000028</v>
      </c>
      <c r="AA103" s="2">
        <f t="shared" ref="AA103:AA117" si="40">X104-Y103</f>
        <v>7.6308499999999952</v>
      </c>
      <c r="AB103" s="2">
        <f t="shared" ref="AB103:AB117" si="41">Z103/AF103</f>
        <v>0.45958530802330844</v>
      </c>
      <c r="AC103" s="2">
        <f t="shared" ref="AC103:AC117" si="42">AA103/AF103</f>
        <v>0.54041469197669156</v>
      </c>
      <c r="AD103" s="2">
        <f t="shared" ref="AD103:AD117" si="43">1/Z103</f>
        <v>0.15409483920973996</v>
      </c>
      <c r="AE103" s="2">
        <f t="shared" ref="AE103:AE117" si="44">1/AF103</f>
        <v>7.0819724143010535E-2</v>
      </c>
      <c r="AF103" s="2">
        <f t="shared" ref="AF103:AF117" si="45">Z103+AA103</f>
        <v>14.120359999999998</v>
      </c>
      <c r="AG103" s="2">
        <v>39</v>
      </c>
      <c r="AH103">
        <f t="shared" si="31"/>
        <v>6.009698729179858</v>
      </c>
    </row>
    <row r="104" spans="2:34" x14ac:dyDescent="0.35">
      <c r="F104" s="13">
        <v>15.59703</v>
      </c>
      <c r="G104" s="13">
        <v>18.068770000000001</v>
      </c>
      <c r="H104" s="2">
        <f t="shared" si="32"/>
        <v>2.4717400000000005</v>
      </c>
      <c r="I104" s="2">
        <f t="shared" si="33"/>
        <v>5.3222699999999996</v>
      </c>
      <c r="J104" s="2">
        <f t="shared" si="34"/>
        <v>0.31713328568990806</v>
      </c>
      <c r="K104" s="2">
        <f t="shared" si="35"/>
        <v>0.68286671431009194</v>
      </c>
      <c r="L104" s="2">
        <f t="shared" si="36"/>
        <v>0.40457329654413482</v>
      </c>
      <c r="M104" s="2">
        <f t="shared" si="37"/>
        <v>0.12830365883543901</v>
      </c>
      <c r="N104" s="2">
        <f t="shared" si="38"/>
        <v>7.7940100000000001</v>
      </c>
      <c r="O104" s="13">
        <v>12</v>
      </c>
      <c r="P104">
        <f t="shared" si="30"/>
        <v>4.8548795585296176</v>
      </c>
      <c r="X104" s="13">
        <v>44.830779999999997</v>
      </c>
      <c r="Y104" s="13">
        <v>51.30341</v>
      </c>
      <c r="Z104" s="2">
        <f t="shared" si="39"/>
        <v>6.4726300000000023</v>
      </c>
      <c r="AA104" s="2">
        <f t="shared" si="40"/>
        <v>7.6786200000000022</v>
      </c>
      <c r="AB104" s="2">
        <f t="shared" si="41"/>
        <v>0.45738927656567441</v>
      </c>
      <c r="AC104" s="2">
        <f t="shared" si="42"/>
        <v>0.54261072343432559</v>
      </c>
      <c r="AD104" s="2">
        <f t="shared" si="43"/>
        <v>0.1544967038128241</v>
      </c>
      <c r="AE104" s="2">
        <f t="shared" si="44"/>
        <v>7.0665135588728889E-2</v>
      </c>
      <c r="AF104" s="2">
        <f t="shared" si="45"/>
        <v>14.151250000000005</v>
      </c>
      <c r="AG104" s="13">
        <v>38</v>
      </c>
      <c r="AH104">
        <f t="shared" si="31"/>
        <v>5.870874744887316</v>
      </c>
    </row>
    <row r="105" spans="2:34" x14ac:dyDescent="0.35">
      <c r="F105" s="13">
        <v>23.39104</v>
      </c>
      <c r="G105" s="13">
        <v>25.630299999999998</v>
      </c>
      <c r="H105" s="2">
        <f t="shared" si="32"/>
        <v>2.239259999999998</v>
      </c>
      <c r="I105" s="2">
        <f t="shared" si="33"/>
        <v>5.3957500000000032</v>
      </c>
      <c r="J105" s="2">
        <f t="shared" si="34"/>
        <v>0.29328841743494738</v>
      </c>
      <c r="K105" s="2">
        <f t="shared" si="35"/>
        <v>0.70671158256505262</v>
      </c>
      <c r="L105" s="2">
        <f t="shared" si="36"/>
        <v>0.44657610103337747</v>
      </c>
      <c r="M105" s="2">
        <f t="shared" si="37"/>
        <v>0.13097559793634847</v>
      </c>
      <c r="N105" s="2">
        <f t="shared" si="38"/>
        <v>7.6350100000000012</v>
      </c>
      <c r="O105" s="13">
        <v>11</v>
      </c>
      <c r="P105">
        <f t="shared" si="30"/>
        <v>4.9123371113671528</v>
      </c>
      <c r="X105" s="13">
        <v>58.982030000000002</v>
      </c>
      <c r="Y105" s="13">
        <v>65.425079999999994</v>
      </c>
      <c r="Z105" s="2">
        <f t="shared" si="39"/>
        <v>6.4430499999999924</v>
      </c>
      <c r="AA105" s="2">
        <f t="shared" si="40"/>
        <v>9.7074900000000071</v>
      </c>
      <c r="AB105" s="2">
        <f t="shared" si="41"/>
        <v>0.398937125322125</v>
      </c>
      <c r="AC105" s="2">
        <f t="shared" si="42"/>
        <v>0.601062874677875</v>
      </c>
      <c r="AD105" s="2">
        <f t="shared" si="43"/>
        <v>0.15520599715973044</v>
      </c>
      <c r="AE105" s="2">
        <f t="shared" si="44"/>
        <v>6.1917434339656754E-2</v>
      </c>
      <c r="AF105" s="2">
        <f t="shared" si="45"/>
        <v>16.150539999999999</v>
      </c>
      <c r="AG105" s="13">
        <v>37</v>
      </c>
      <c r="AH105">
        <f t="shared" si="31"/>
        <v>5.7426218949100258</v>
      </c>
    </row>
    <row r="106" spans="2:34" x14ac:dyDescent="0.35">
      <c r="F106" s="13">
        <v>31.026050000000001</v>
      </c>
      <c r="G106" s="13">
        <v>33.295020000000001</v>
      </c>
      <c r="H106" s="2">
        <f t="shared" si="32"/>
        <v>2.2689699999999995</v>
      </c>
      <c r="I106" s="2">
        <f t="shared" si="33"/>
        <v>4.2515300000000025</v>
      </c>
      <c r="J106" s="2">
        <f t="shared" si="34"/>
        <v>0.34797484855455851</v>
      </c>
      <c r="K106" s="2">
        <f t="shared" si="35"/>
        <v>0.65202515144544149</v>
      </c>
      <c r="L106" s="2">
        <f t="shared" si="36"/>
        <v>0.44072861254225498</v>
      </c>
      <c r="M106" s="2">
        <f t="shared" si="37"/>
        <v>0.15336247220305188</v>
      </c>
      <c r="N106" s="2">
        <f t="shared" si="38"/>
        <v>6.520500000000002</v>
      </c>
      <c r="O106" s="13">
        <v>11</v>
      </c>
      <c r="P106">
        <f t="shared" si="30"/>
        <v>4.8480147379648049</v>
      </c>
      <c r="X106" s="13">
        <v>75.132570000000001</v>
      </c>
      <c r="Y106" s="13">
        <v>82.225059999999999</v>
      </c>
      <c r="Z106" s="2">
        <f t="shared" si="39"/>
        <v>7.092489999999998</v>
      </c>
      <c r="AA106" s="2">
        <f t="shared" si="40"/>
        <v>6.9286500000000046</v>
      </c>
      <c r="AB106" s="2">
        <f t="shared" si="41"/>
        <v>0.50584260623601196</v>
      </c>
      <c r="AC106" s="2">
        <f t="shared" si="42"/>
        <v>0.49415739376398804</v>
      </c>
      <c r="AD106" s="2">
        <f t="shared" si="43"/>
        <v>0.14099420654805297</v>
      </c>
      <c r="AE106" s="2">
        <f t="shared" si="44"/>
        <v>7.1320876904445704E-2</v>
      </c>
      <c r="AF106" s="2">
        <f t="shared" si="45"/>
        <v>14.021140000000003</v>
      </c>
      <c r="AG106" s="13">
        <v>42</v>
      </c>
      <c r="AH106">
        <f t="shared" si="31"/>
        <v>5.9217566750182256</v>
      </c>
    </row>
    <row r="107" spans="2:34" x14ac:dyDescent="0.35">
      <c r="F107" s="13">
        <v>37.546550000000003</v>
      </c>
      <c r="G107" s="13">
        <v>39.646709999999999</v>
      </c>
      <c r="H107" s="2">
        <f t="shared" si="32"/>
        <v>2.1001599999999954</v>
      </c>
      <c r="I107" s="2">
        <f t="shared" si="33"/>
        <v>5.2357200000000006</v>
      </c>
      <c r="J107" s="2">
        <f t="shared" si="34"/>
        <v>0.28628603521322549</v>
      </c>
      <c r="K107" s="2">
        <f t="shared" si="35"/>
        <v>0.71371396478677451</v>
      </c>
      <c r="L107" s="2">
        <f t="shared" si="36"/>
        <v>0.47615419777540863</v>
      </c>
      <c r="M107" s="2">
        <f t="shared" si="37"/>
        <v>0.13631629743125576</v>
      </c>
      <c r="N107" s="2">
        <f t="shared" si="38"/>
        <v>7.335879999999996</v>
      </c>
      <c r="O107" s="13">
        <v>10</v>
      </c>
      <c r="P107">
        <f t="shared" si="30"/>
        <v>4.7615419777540868</v>
      </c>
      <c r="X107" s="13">
        <v>89.153710000000004</v>
      </c>
      <c r="Y107" s="13">
        <v>95.285039999999995</v>
      </c>
      <c r="Z107" s="2">
        <f t="shared" si="39"/>
        <v>6.1313299999999913</v>
      </c>
      <c r="AA107" s="2">
        <f t="shared" si="40"/>
        <v>4.905210000000011</v>
      </c>
      <c r="AB107" s="2">
        <f t="shared" si="41"/>
        <v>0.55554820623129986</v>
      </c>
      <c r="AC107" s="2">
        <f t="shared" si="42"/>
        <v>0.44445179376870014</v>
      </c>
      <c r="AD107" s="2">
        <f t="shared" si="43"/>
        <v>0.16309675062343756</v>
      </c>
      <c r="AE107" s="2">
        <f t="shared" si="44"/>
        <v>9.0608107251004377E-2</v>
      </c>
      <c r="AF107" s="2">
        <f t="shared" si="45"/>
        <v>11.036540000000002</v>
      </c>
      <c r="AG107" s="13">
        <v>37</v>
      </c>
      <c r="AH107">
        <f t="shared" si="31"/>
        <v>6.0345797730671897</v>
      </c>
    </row>
    <row r="108" spans="2:34" x14ac:dyDescent="0.35">
      <c r="F108" s="13">
        <v>44.882429999999999</v>
      </c>
      <c r="G108" s="13">
        <v>46.991349999999997</v>
      </c>
      <c r="H108" s="2">
        <f t="shared" si="32"/>
        <v>2.1089199999999977</v>
      </c>
      <c r="I108" s="2">
        <f t="shared" si="33"/>
        <v>3.2076899999999995</v>
      </c>
      <c r="J108" s="2">
        <f t="shared" si="34"/>
        <v>0.39666629675676773</v>
      </c>
      <c r="K108" s="2">
        <f t="shared" si="35"/>
        <v>0.60333370324323232</v>
      </c>
      <c r="L108" s="2">
        <f t="shared" si="36"/>
        <v>0.47417635567020139</v>
      </c>
      <c r="M108" s="2">
        <f t="shared" si="37"/>
        <v>0.18808977901331875</v>
      </c>
      <c r="N108" s="2">
        <f t="shared" si="38"/>
        <v>5.3166099999999972</v>
      </c>
      <c r="O108" s="13">
        <v>10</v>
      </c>
      <c r="P108">
        <f t="shared" si="30"/>
        <v>4.741763556702014</v>
      </c>
      <c r="X108" s="13">
        <v>100.19025000000001</v>
      </c>
      <c r="Y108" s="13">
        <v>105.05209000000001</v>
      </c>
      <c r="Z108" s="2">
        <f t="shared" si="39"/>
        <v>4.8618400000000008</v>
      </c>
      <c r="AA108" s="2">
        <f t="shared" si="40"/>
        <v>6.2101499999999987</v>
      </c>
      <c r="AB108" s="2">
        <f t="shared" si="41"/>
        <v>0.43911166827282189</v>
      </c>
      <c r="AC108" s="2">
        <f t="shared" si="42"/>
        <v>0.56088833172717811</v>
      </c>
      <c r="AD108" s="2">
        <f t="shared" si="43"/>
        <v>0.20568344495088275</v>
      </c>
      <c r="AE108" s="2">
        <f t="shared" si="44"/>
        <v>9.0318000648483249E-2</v>
      </c>
      <c r="AF108" s="2">
        <f t="shared" si="45"/>
        <v>11.07199</v>
      </c>
      <c r="AG108" s="13">
        <v>28</v>
      </c>
      <c r="AH108">
        <f t="shared" si="31"/>
        <v>5.7591364586247176</v>
      </c>
    </row>
    <row r="109" spans="2:34" x14ac:dyDescent="0.35">
      <c r="F109" s="13">
        <v>50.199039999999997</v>
      </c>
      <c r="G109" s="13">
        <v>52.358310000000003</v>
      </c>
      <c r="H109" s="2">
        <f t="shared" si="32"/>
        <v>2.1592700000000065</v>
      </c>
      <c r="I109" s="2">
        <f t="shared" si="33"/>
        <v>5.187339999999999</v>
      </c>
      <c r="J109" s="2">
        <f t="shared" si="34"/>
        <v>0.29391379153106056</v>
      </c>
      <c r="K109" s="2">
        <f t="shared" si="35"/>
        <v>0.70608620846893944</v>
      </c>
      <c r="L109" s="2">
        <f t="shared" si="36"/>
        <v>0.46311948019469407</v>
      </c>
      <c r="M109" s="2">
        <f t="shared" si="37"/>
        <v>0.13611720235591643</v>
      </c>
      <c r="N109" s="2">
        <f t="shared" si="38"/>
        <v>7.3466100000000054</v>
      </c>
      <c r="O109" s="13">
        <v>12</v>
      </c>
      <c r="P109">
        <f t="shared" si="30"/>
        <v>5.5574337623363288</v>
      </c>
      <c r="X109" s="13">
        <v>111.26224000000001</v>
      </c>
      <c r="Y109" s="13">
        <v>116.7277</v>
      </c>
      <c r="Z109" s="2">
        <f t="shared" si="39"/>
        <v>5.4654599999999931</v>
      </c>
      <c r="AA109" s="2">
        <f t="shared" si="40"/>
        <v>9.3939500000000038</v>
      </c>
      <c r="AB109" s="2">
        <f t="shared" si="41"/>
        <v>0.36781137339907805</v>
      </c>
      <c r="AC109" s="2">
        <f t="shared" si="42"/>
        <v>0.63218862660092201</v>
      </c>
      <c r="AD109" s="2">
        <f t="shared" si="43"/>
        <v>0.18296721593424914</v>
      </c>
      <c r="AE109" s="2">
        <f t="shared" si="44"/>
        <v>6.7297422979781849E-2</v>
      </c>
      <c r="AF109" s="2">
        <f t="shared" si="45"/>
        <v>14.859409999999997</v>
      </c>
      <c r="AG109" s="13">
        <v>30</v>
      </c>
      <c r="AH109">
        <f t="shared" si="31"/>
        <v>5.4890164780274739</v>
      </c>
    </row>
    <row r="110" spans="2:34" x14ac:dyDescent="0.35">
      <c r="F110" s="13">
        <v>57.545650000000002</v>
      </c>
      <c r="G110" s="13">
        <v>59.59789</v>
      </c>
      <c r="H110" s="2">
        <f t="shared" si="32"/>
        <v>2.0522399999999976</v>
      </c>
      <c r="I110" s="2">
        <f t="shared" si="33"/>
        <v>5.1575300000000013</v>
      </c>
      <c r="J110" s="2">
        <f t="shared" si="34"/>
        <v>0.28464708305535374</v>
      </c>
      <c r="K110" s="2">
        <f t="shared" si="35"/>
        <v>0.7153529169446462</v>
      </c>
      <c r="L110" s="2">
        <f t="shared" si="36"/>
        <v>0.48727244376876055</v>
      </c>
      <c r="M110" s="2">
        <f t="shared" si="37"/>
        <v>0.13870067977203157</v>
      </c>
      <c r="N110" s="2">
        <f t="shared" si="38"/>
        <v>7.2097699999999989</v>
      </c>
      <c r="O110" s="13">
        <v>10</v>
      </c>
      <c r="P110">
        <f t="shared" si="30"/>
        <v>4.8727244376876051</v>
      </c>
      <c r="X110" s="13">
        <v>126.12165</v>
      </c>
      <c r="Y110" s="13">
        <v>132.56544</v>
      </c>
      <c r="Z110" s="2">
        <f t="shared" si="39"/>
        <v>6.4437899999999928</v>
      </c>
      <c r="AA110" s="2">
        <f t="shared" si="40"/>
        <v>6.5949099999999987</v>
      </c>
      <c r="AB110" s="2">
        <f t="shared" si="41"/>
        <v>0.49420494374439145</v>
      </c>
      <c r="AC110" s="2">
        <f t="shared" si="42"/>
        <v>0.5057950562556085</v>
      </c>
      <c r="AD110" s="2">
        <f t="shared" si="43"/>
        <v>0.15518817341968022</v>
      </c>
      <c r="AE110" s="2">
        <f t="shared" si="44"/>
        <v>7.6694762514667919E-2</v>
      </c>
      <c r="AF110" s="2">
        <f t="shared" si="45"/>
        <v>13.038699999999992</v>
      </c>
      <c r="AG110" s="13">
        <v>41</v>
      </c>
      <c r="AH110">
        <f t="shared" si="31"/>
        <v>6.3627151102068886</v>
      </c>
    </row>
    <row r="111" spans="2:34" x14ac:dyDescent="0.35">
      <c r="F111" s="13">
        <v>64.755420000000001</v>
      </c>
      <c r="G111">
        <v>66.900210000000001</v>
      </c>
      <c r="H111" s="2">
        <f t="shared" si="32"/>
        <v>2.1447900000000004</v>
      </c>
      <c r="I111" s="2">
        <f t="shared" si="33"/>
        <v>4.0687499999999943</v>
      </c>
      <c r="J111" s="2">
        <f t="shared" si="34"/>
        <v>0.34518004229473093</v>
      </c>
      <c r="K111" s="2">
        <f t="shared" si="35"/>
        <v>0.65481995770526913</v>
      </c>
      <c r="L111" s="2">
        <f t="shared" si="36"/>
        <v>0.46624611267303551</v>
      </c>
      <c r="M111" s="2">
        <f t="shared" si="37"/>
        <v>0.16093885289223225</v>
      </c>
      <c r="N111" s="2">
        <f t="shared" si="38"/>
        <v>6.2135399999999947</v>
      </c>
      <c r="O111">
        <v>11</v>
      </c>
      <c r="P111">
        <f t="shared" si="30"/>
        <v>5.1287072394033908</v>
      </c>
      <c r="X111" s="13">
        <v>139.16034999999999</v>
      </c>
      <c r="Y111">
        <v>145.40215000000001</v>
      </c>
      <c r="Z111" s="2">
        <f t="shared" si="39"/>
        <v>6.241800000000012</v>
      </c>
      <c r="AA111" s="2">
        <f t="shared" si="40"/>
        <v>3.8002699999999834</v>
      </c>
      <c r="AB111" s="2">
        <f t="shared" si="41"/>
        <v>0.62156507572642039</v>
      </c>
      <c r="AC111" s="2">
        <f t="shared" si="42"/>
        <v>0.37843492427357955</v>
      </c>
      <c r="AD111" s="2">
        <f t="shared" si="43"/>
        <v>0.16021019577685894</v>
      </c>
      <c r="AE111" s="2">
        <f t="shared" si="44"/>
        <v>9.958106247018797E-2</v>
      </c>
      <c r="AF111" s="2">
        <f t="shared" si="45"/>
        <v>10.042069999999995</v>
      </c>
      <c r="AG111">
        <v>36</v>
      </c>
      <c r="AH111">
        <f t="shared" si="31"/>
        <v>5.7675670479669217</v>
      </c>
    </row>
    <row r="112" spans="2:34" x14ac:dyDescent="0.35">
      <c r="F112" s="13">
        <v>70.968959999999996</v>
      </c>
      <c r="G112">
        <v>73.018919999999994</v>
      </c>
      <c r="H112" s="2">
        <f t="shared" si="32"/>
        <v>2.0499599999999987</v>
      </c>
      <c r="I112" s="2">
        <f t="shared" si="33"/>
        <v>4.972999999999999</v>
      </c>
      <c r="J112" s="2">
        <f t="shared" si="34"/>
        <v>0.29189401619829808</v>
      </c>
      <c r="K112" s="2">
        <f t="shared" si="35"/>
        <v>0.70810598380170198</v>
      </c>
      <c r="L112" s="2">
        <f t="shared" si="36"/>
        <v>0.48781439637846624</v>
      </c>
      <c r="M112" s="2">
        <f t="shared" si="37"/>
        <v>0.14239010331825902</v>
      </c>
      <c r="N112" s="2">
        <f t="shared" si="38"/>
        <v>7.0229599999999976</v>
      </c>
      <c r="O112">
        <v>11</v>
      </c>
      <c r="P112">
        <f t="shared" si="30"/>
        <v>5.3659583601631287</v>
      </c>
      <c r="X112" s="13">
        <v>149.20241999999999</v>
      </c>
      <c r="Y112">
        <v>155.45008000000001</v>
      </c>
      <c r="Z112" s="2">
        <f t="shared" si="39"/>
        <v>6.2476600000000246</v>
      </c>
      <c r="AA112" s="2">
        <f t="shared" si="40"/>
        <v>5.9224499999999978</v>
      </c>
      <c r="AB112" s="2">
        <f t="shared" si="41"/>
        <v>0.51336101317079408</v>
      </c>
      <c r="AC112" s="2">
        <f t="shared" si="42"/>
        <v>0.48663898682920587</v>
      </c>
      <c r="AD112" s="2">
        <f t="shared" si="43"/>
        <v>0.16005992643645717</v>
      </c>
      <c r="AE112" s="2">
        <f t="shared" si="44"/>
        <v>8.216852600346243E-2</v>
      </c>
      <c r="AF112" s="2">
        <f t="shared" si="45"/>
        <v>12.170110000000022</v>
      </c>
      <c r="AG112">
        <v>32</v>
      </c>
      <c r="AH112">
        <f t="shared" si="31"/>
        <v>5.1219176459666294</v>
      </c>
    </row>
    <row r="113" spans="6:34" x14ac:dyDescent="0.35">
      <c r="F113" s="13">
        <v>77.991919999999993</v>
      </c>
      <c r="G113">
        <v>80.107780000000005</v>
      </c>
      <c r="H113" s="2">
        <f t="shared" si="32"/>
        <v>2.1158600000000121</v>
      </c>
      <c r="I113" s="2">
        <f t="shared" si="33"/>
        <v>3.9434899999999971</v>
      </c>
      <c r="J113" s="2">
        <f t="shared" si="34"/>
        <v>0.34918926947610041</v>
      </c>
      <c r="K113" s="2">
        <f t="shared" si="35"/>
        <v>0.65081073052389959</v>
      </c>
      <c r="L113" s="2">
        <f t="shared" si="36"/>
        <v>0.47262106188499914</v>
      </c>
      <c r="M113" s="2">
        <f t="shared" si="37"/>
        <v>0.16503420333864169</v>
      </c>
      <c r="N113" s="2">
        <f t="shared" si="38"/>
        <v>6.0593500000000091</v>
      </c>
      <c r="O113">
        <v>10</v>
      </c>
      <c r="P113">
        <f t="shared" si="30"/>
        <v>4.7262106188499917</v>
      </c>
      <c r="X113" s="13">
        <v>161.37253000000001</v>
      </c>
      <c r="Y113">
        <v>167.64446000000001</v>
      </c>
      <c r="Z113" s="2">
        <f t="shared" si="39"/>
        <v>6.2719299999999976</v>
      </c>
      <c r="AA113" s="2">
        <f t="shared" si="40"/>
        <v>9.5839799999999968</v>
      </c>
      <c r="AB113" s="2">
        <f t="shared" si="41"/>
        <v>0.39555787085067962</v>
      </c>
      <c r="AC113" s="2">
        <f t="shared" si="42"/>
        <v>0.60444212914932038</v>
      </c>
      <c r="AD113" s="2">
        <f t="shared" si="43"/>
        <v>0.15944055498068385</v>
      </c>
      <c r="AE113" s="2">
        <f t="shared" si="44"/>
        <v>6.3067966455410018E-2</v>
      </c>
      <c r="AF113" s="2">
        <f t="shared" si="45"/>
        <v>15.855909999999994</v>
      </c>
      <c r="AG113">
        <v>31</v>
      </c>
      <c r="AH113">
        <f t="shared" si="31"/>
        <v>4.9426572044011987</v>
      </c>
    </row>
    <row r="114" spans="6:34" x14ac:dyDescent="0.35">
      <c r="F114" s="13">
        <v>84.051270000000002</v>
      </c>
      <c r="G114">
        <v>87.172399999999996</v>
      </c>
      <c r="H114" s="2">
        <f t="shared" si="32"/>
        <v>3.1211299999999937</v>
      </c>
      <c r="I114" s="2">
        <f t="shared" si="33"/>
        <v>4.9521600000000063</v>
      </c>
      <c r="J114" s="2">
        <f t="shared" si="34"/>
        <v>0.38659951519145153</v>
      </c>
      <c r="K114" s="2">
        <f t="shared" si="35"/>
        <v>0.61340048480854847</v>
      </c>
      <c r="L114" s="2">
        <f t="shared" si="36"/>
        <v>0.3203967793715744</v>
      </c>
      <c r="M114" s="2">
        <f t="shared" si="37"/>
        <v>0.12386523957395312</v>
      </c>
      <c r="N114" s="2">
        <f t="shared" si="38"/>
        <v>8.0732900000000001</v>
      </c>
      <c r="O114">
        <v>16</v>
      </c>
      <c r="P114">
        <f t="shared" si="30"/>
        <v>5.1263484699451904</v>
      </c>
      <c r="X114" s="13">
        <v>177.22844000000001</v>
      </c>
      <c r="Y114">
        <v>182.57541000000001</v>
      </c>
      <c r="Z114" s="2">
        <f t="shared" si="39"/>
        <v>5.3469699999999989</v>
      </c>
      <c r="AA114" s="2">
        <f t="shared" si="40"/>
        <v>10.594249999999988</v>
      </c>
      <c r="AB114" s="2">
        <f t="shared" si="41"/>
        <v>0.33541786638663812</v>
      </c>
      <c r="AC114" s="2">
        <f t="shared" si="42"/>
        <v>0.66458213361336194</v>
      </c>
      <c r="AD114" s="2">
        <f t="shared" si="43"/>
        <v>0.18702180861310241</v>
      </c>
      <c r="AE114" s="2">
        <f t="shared" si="44"/>
        <v>6.2730456012776992E-2</v>
      </c>
      <c r="AF114" s="2">
        <f t="shared" si="45"/>
        <v>15.941219999999987</v>
      </c>
      <c r="AG114">
        <v>36</v>
      </c>
      <c r="AH114">
        <f t="shared" si="31"/>
        <v>6.7327851100716867</v>
      </c>
    </row>
    <row r="115" spans="6:34" x14ac:dyDescent="0.35">
      <c r="F115" s="13">
        <v>92.124560000000002</v>
      </c>
      <c r="G115">
        <v>94.186549999999997</v>
      </c>
      <c r="H115" s="2">
        <f t="shared" si="32"/>
        <v>2.0619899999999944</v>
      </c>
      <c r="I115" s="2">
        <f t="shared" si="33"/>
        <v>5.8566399999999987</v>
      </c>
      <c r="J115" s="2">
        <f t="shared" si="34"/>
        <v>0.2603973162024234</v>
      </c>
      <c r="K115" s="2">
        <f t="shared" si="35"/>
        <v>0.73960268379757654</v>
      </c>
      <c r="L115" s="2">
        <f t="shared" si="36"/>
        <v>0.48496840430846061</v>
      </c>
      <c r="M115" s="2">
        <f t="shared" si="37"/>
        <v>0.12628447092489495</v>
      </c>
      <c r="N115" s="2">
        <f t="shared" si="38"/>
        <v>7.9186299999999932</v>
      </c>
      <c r="O115">
        <v>11</v>
      </c>
      <c r="P115">
        <f t="shared" si="30"/>
        <v>5.3346524473930668</v>
      </c>
      <c r="X115" s="13">
        <v>193.16965999999999</v>
      </c>
      <c r="Y115">
        <v>199.7166</v>
      </c>
      <c r="Z115" s="2">
        <f t="shared" si="39"/>
        <v>6.5469400000000064</v>
      </c>
      <c r="AA115" s="2">
        <f t="shared" si="40"/>
        <v>6.508420000000001</v>
      </c>
      <c r="AB115" s="2">
        <f t="shared" si="41"/>
        <v>0.5014752561400071</v>
      </c>
      <c r="AC115" s="2">
        <f t="shared" si="42"/>
        <v>0.4985247438599929</v>
      </c>
      <c r="AD115" s="2">
        <f t="shared" si="43"/>
        <v>0.15274311357672424</v>
      </c>
      <c r="AE115" s="2">
        <f t="shared" si="44"/>
        <v>7.6596892004509975E-2</v>
      </c>
      <c r="AF115" s="2">
        <f t="shared" si="45"/>
        <v>13.055360000000007</v>
      </c>
      <c r="AG115">
        <v>34</v>
      </c>
      <c r="AH115">
        <f t="shared" si="31"/>
        <v>5.1932658616086247</v>
      </c>
    </row>
    <row r="116" spans="6:34" x14ac:dyDescent="0.35">
      <c r="F116" s="13">
        <v>100.04319</v>
      </c>
      <c r="G116">
        <v>102.45966</v>
      </c>
      <c r="H116" s="2">
        <f t="shared" si="32"/>
        <v>2.4164700000000039</v>
      </c>
      <c r="I116" s="2">
        <f t="shared" si="33"/>
        <v>4.620270000000005</v>
      </c>
      <c r="J116" s="2">
        <f t="shared" si="34"/>
        <v>0.3434076006787235</v>
      </c>
      <c r="K116" s="2">
        <f t="shared" si="35"/>
        <v>0.65659239932127644</v>
      </c>
      <c r="L116" s="2">
        <f t="shared" si="36"/>
        <v>0.41382678038626525</v>
      </c>
      <c r="M116" s="2">
        <f t="shared" si="37"/>
        <v>0.1421112617490484</v>
      </c>
      <c r="N116" s="2">
        <f t="shared" si="38"/>
        <v>7.0367400000000089</v>
      </c>
      <c r="O116">
        <v>12</v>
      </c>
      <c r="P116">
        <f t="shared" si="30"/>
        <v>4.9659213646351832</v>
      </c>
      <c r="X116" s="13">
        <v>206.22502</v>
      </c>
      <c r="Y116">
        <v>211.6627</v>
      </c>
      <c r="Z116" s="2">
        <f t="shared" si="39"/>
        <v>5.4376800000000003</v>
      </c>
      <c r="AA116" s="2">
        <f t="shared" si="40"/>
        <v>4.6200399999999888</v>
      </c>
      <c r="AB116" s="2">
        <f t="shared" si="41"/>
        <v>0.54064738330357243</v>
      </c>
      <c r="AC116" s="2">
        <f t="shared" si="42"/>
        <v>0.45935261669642763</v>
      </c>
      <c r="AD116" s="2">
        <f t="shared" si="43"/>
        <v>0.18390195818805077</v>
      </c>
      <c r="AE116" s="2">
        <f t="shared" si="44"/>
        <v>9.942611247877263E-2</v>
      </c>
      <c r="AF116" s="2">
        <f t="shared" si="45"/>
        <v>10.057719999999989</v>
      </c>
      <c r="AG116">
        <v>30</v>
      </c>
      <c r="AH116">
        <f t="shared" si="31"/>
        <v>5.5170587456415232</v>
      </c>
    </row>
    <row r="117" spans="6:34" x14ac:dyDescent="0.35">
      <c r="F117">
        <v>107.07993</v>
      </c>
      <c r="G117">
        <v>110.38059</v>
      </c>
      <c r="H117" s="2">
        <f t="shared" si="32"/>
        <v>3.3006599999999935</v>
      </c>
      <c r="I117" s="2">
        <f t="shared" si="33"/>
        <v>4.8520500000000055</v>
      </c>
      <c r="J117" s="2">
        <f t="shared" si="34"/>
        <v>0.40485433677881266</v>
      </c>
      <c r="K117" s="2">
        <f t="shared" si="35"/>
        <v>0.59514566322118734</v>
      </c>
      <c r="L117" s="2">
        <f t="shared" si="36"/>
        <v>0.30296970908848592</v>
      </c>
      <c r="M117" s="2">
        <f t="shared" si="37"/>
        <v>0.12265860063708879</v>
      </c>
      <c r="N117" s="2">
        <f t="shared" si="38"/>
        <v>8.152709999999999</v>
      </c>
      <c r="O117">
        <v>18</v>
      </c>
      <c r="P117">
        <f t="shared" si="30"/>
        <v>5.4534547635927471</v>
      </c>
      <c r="X117">
        <v>216.28273999999999</v>
      </c>
      <c r="Y117">
        <v>221.44048000000001</v>
      </c>
      <c r="Z117" s="2">
        <f t="shared" si="39"/>
        <v>5.1577400000000182</v>
      </c>
      <c r="AA117" s="2">
        <f t="shared" si="40"/>
        <v>5.4178699999999935</v>
      </c>
      <c r="AB117" s="2">
        <f t="shared" si="41"/>
        <v>0.48770141864157363</v>
      </c>
      <c r="AC117" s="2">
        <f t="shared" si="42"/>
        <v>0.51229858135842632</v>
      </c>
      <c r="AD117" s="2">
        <f t="shared" si="43"/>
        <v>0.19388336752143312</v>
      </c>
      <c r="AE117" s="2">
        <f t="shared" si="44"/>
        <v>9.4557193391208536E-2</v>
      </c>
      <c r="AF117" s="2">
        <f t="shared" si="45"/>
        <v>10.575610000000012</v>
      </c>
      <c r="AG117">
        <v>28</v>
      </c>
      <c r="AH117">
        <f t="shared" si="31"/>
        <v>5.4287342906001275</v>
      </c>
    </row>
    <row r="118" spans="6:34" x14ac:dyDescent="0.35">
      <c r="F118">
        <v>115.23264</v>
      </c>
      <c r="G118">
        <v>117.48496</v>
      </c>
      <c r="H118" s="2">
        <f t="shared" si="32"/>
        <v>2.2523199999999974</v>
      </c>
      <c r="I118" s="2">
        <f t="shared" si="33"/>
        <v>5.388779999999997</v>
      </c>
      <c r="J118" s="2">
        <f t="shared" si="34"/>
        <v>0.29476384290219981</v>
      </c>
      <c r="K118" s="2">
        <f t="shared" si="35"/>
        <v>0.70523615709780019</v>
      </c>
      <c r="L118" s="2">
        <f t="shared" si="36"/>
        <v>0.44398664488172246</v>
      </c>
      <c r="M118" s="2">
        <f t="shared" si="37"/>
        <v>0.13087120964259083</v>
      </c>
      <c r="N118" s="2">
        <f t="shared" si="38"/>
        <v>7.6410999999999945</v>
      </c>
      <c r="O118">
        <v>12</v>
      </c>
      <c r="P118">
        <f t="shared" si="30"/>
        <v>5.3278397385806695</v>
      </c>
      <c r="X118">
        <v>226.85835</v>
      </c>
      <c r="Y118">
        <v>232.72773000000001</v>
      </c>
      <c r="Z118" s="2">
        <f t="shared" si="39"/>
        <v>5.8693800000000067</v>
      </c>
      <c r="AA118" s="2"/>
      <c r="AB118" s="2"/>
      <c r="AC118" s="2"/>
      <c r="AD118" s="2"/>
      <c r="AE118" s="2"/>
      <c r="AF118" s="2"/>
      <c r="AG118">
        <v>34</v>
      </c>
      <c r="AH118">
        <f t="shared" si="31"/>
        <v>5.7927753868381258</v>
      </c>
    </row>
    <row r="119" spans="6:34" x14ac:dyDescent="0.35">
      <c r="F119">
        <v>122.87374</v>
      </c>
      <c r="G119">
        <v>126.23674</v>
      </c>
      <c r="H119" s="2">
        <f t="shared" si="32"/>
        <v>3.3629999999999995</v>
      </c>
      <c r="I119" s="2">
        <f t="shared" si="33"/>
        <v>3.8323300000000131</v>
      </c>
      <c r="J119" s="2">
        <f t="shared" si="34"/>
        <v>0.46738648540094668</v>
      </c>
      <c r="K119" s="2">
        <f t="shared" si="35"/>
        <v>0.53261351459905337</v>
      </c>
      <c r="L119" s="2">
        <f t="shared" si="36"/>
        <v>0.29735355337496289</v>
      </c>
      <c r="M119" s="2">
        <f t="shared" si="37"/>
        <v>0.13897903223340671</v>
      </c>
      <c r="N119" s="2">
        <f t="shared" si="38"/>
        <v>7.1953300000000127</v>
      </c>
      <c r="O119">
        <v>14</v>
      </c>
      <c r="P119">
        <f t="shared" si="30"/>
        <v>4.1629497472494803</v>
      </c>
    </row>
    <row r="120" spans="6:34" ht="16" thickBot="1" x14ac:dyDescent="0.4">
      <c r="F120">
        <v>130.06907000000001</v>
      </c>
      <c r="G120">
        <v>133.2988</v>
      </c>
      <c r="H120" s="2">
        <f t="shared" si="32"/>
        <v>3.2297299999999893</v>
      </c>
      <c r="I120" s="2">
        <f t="shared" si="33"/>
        <v>5.9118599999999901</v>
      </c>
      <c r="J120" s="2">
        <f t="shared" si="34"/>
        <v>0.35330068401667508</v>
      </c>
      <c r="K120" s="2">
        <f t="shared" si="35"/>
        <v>0.64669931598332497</v>
      </c>
      <c r="L120" s="2">
        <f t="shared" si="36"/>
        <v>0.30962340505243574</v>
      </c>
      <c r="M120" s="2">
        <f t="shared" si="37"/>
        <v>0.1093901607925976</v>
      </c>
      <c r="N120" s="2">
        <f t="shared" si="38"/>
        <v>9.1415899999999795</v>
      </c>
      <c r="O120">
        <v>17</v>
      </c>
      <c r="P120">
        <f t="shared" si="30"/>
        <v>5.2635978858914081</v>
      </c>
      <c r="Y120" s="13"/>
      <c r="Z120" s="9" t="s">
        <v>3</v>
      </c>
      <c r="AA120" s="9" t="s">
        <v>4</v>
      </c>
      <c r="AB120" s="9" t="s">
        <v>5</v>
      </c>
      <c r="AC120" s="9" t="s">
        <v>6</v>
      </c>
      <c r="AD120" s="9" t="s">
        <v>7</v>
      </c>
      <c r="AE120" s="9" t="s">
        <v>8</v>
      </c>
      <c r="AF120" s="9" t="s">
        <v>9</v>
      </c>
      <c r="AG120" s="9" t="s">
        <v>10</v>
      </c>
      <c r="AH120" s="44" t="s">
        <v>139</v>
      </c>
    </row>
    <row r="121" spans="6:34" x14ac:dyDescent="0.35">
      <c r="F121">
        <v>139.21065999999999</v>
      </c>
      <c r="G121">
        <v>141.63952</v>
      </c>
      <c r="H121" s="2">
        <f t="shared" si="32"/>
        <v>2.4288600000000145</v>
      </c>
      <c r="I121" s="2">
        <f t="shared" si="33"/>
        <v>5.7296699999999987</v>
      </c>
      <c r="J121" s="2">
        <f t="shared" si="34"/>
        <v>0.29770804299304049</v>
      </c>
      <c r="K121" s="2">
        <f t="shared" si="35"/>
        <v>0.70229195700695957</v>
      </c>
      <c r="L121" s="2">
        <f t="shared" si="36"/>
        <v>0.41171578435973832</v>
      </c>
      <c r="M121" s="2">
        <f t="shared" si="37"/>
        <v>0.12257110043108237</v>
      </c>
      <c r="N121" s="2">
        <f t="shared" si="38"/>
        <v>8.1585300000000132</v>
      </c>
      <c r="O121">
        <v>13</v>
      </c>
      <c r="P121">
        <f t="shared" si="30"/>
        <v>5.352305196676598</v>
      </c>
      <c r="Y121" s="49" t="s">
        <v>77</v>
      </c>
      <c r="Z121" s="2">
        <f>AVERAGE(Z102:Z117)</f>
        <v>6.0667200000000019</v>
      </c>
      <c r="AA121" s="2">
        <f t="shared" ref="AA121:AF121" si="46">AVERAGE(AA102:AA117)</f>
        <v>7.0578774999999982</v>
      </c>
      <c r="AB121" s="2">
        <f t="shared" si="46"/>
        <v>0.47110014119060623</v>
      </c>
      <c r="AC121" s="2">
        <f t="shared" si="46"/>
        <v>0.52889985880939372</v>
      </c>
      <c r="AD121" s="2">
        <f t="shared" si="46"/>
        <v>0.16655197518876494</v>
      </c>
      <c r="AE121" s="2">
        <f t="shared" si="46"/>
        <v>7.8124664244944839E-2</v>
      </c>
      <c r="AF121" s="2">
        <f t="shared" si="46"/>
        <v>13.1245975</v>
      </c>
      <c r="AG121" s="2">
        <f>AVERAGE(AG102:AG118)</f>
        <v>34.882352941176471</v>
      </c>
      <c r="AH121" s="2">
        <f>AVERAGE(AH102:AH118)</f>
        <v>5.7600526475146934</v>
      </c>
    </row>
    <row r="122" spans="6:34" x14ac:dyDescent="0.35">
      <c r="F122">
        <v>147.36919</v>
      </c>
      <c r="G122">
        <v>152.88668999999999</v>
      </c>
      <c r="H122" s="2">
        <f t="shared" si="32"/>
        <v>5.5174999999999841</v>
      </c>
      <c r="I122" s="2">
        <f t="shared" si="33"/>
        <v>4.6494400000000269</v>
      </c>
      <c r="J122" s="2">
        <f t="shared" si="34"/>
        <v>0.5426903276698769</v>
      </c>
      <c r="K122" s="2">
        <f t="shared" si="35"/>
        <v>0.4573096723301231</v>
      </c>
      <c r="L122" s="2">
        <f t="shared" si="36"/>
        <v>0.18124150430448624</v>
      </c>
      <c r="M122" s="2">
        <f t="shared" si="37"/>
        <v>9.8358011358383041E-2</v>
      </c>
      <c r="N122" s="2">
        <f t="shared" si="38"/>
        <v>10.166940000000011</v>
      </c>
      <c r="O122">
        <v>23</v>
      </c>
      <c r="P122">
        <f t="shared" si="30"/>
        <v>4.1685545990031834</v>
      </c>
      <c r="Y122" s="49" t="s">
        <v>94</v>
      </c>
      <c r="Z122" s="2">
        <f t="shared" ref="Z122:AF122" si="47">_xlfn.STDEV.S(Z102:Z115)</f>
        <v>0.57543457680471244</v>
      </c>
      <c r="AA122" s="2">
        <f t="shared" si="47"/>
        <v>1.9377841227355099</v>
      </c>
      <c r="AB122" s="2">
        <f t="shared" si="47"/>
        <v>7.5998671122844544E-2</v>
      </c>
      <c r="AC122" s="2">
        <f t="shared" si="47"/>
        <v>7.5998671122844086E-2</v>
      </c>
      <c r="AD122" s="2">
        <f t="shared" si="47"/>
        <v>1.6959127354237921E-2</v>
      </c>
      <c r="AE122" s="2">
        <f t="shared" si="47"/>
        <v>1.1494522523724082E-2</v>
      </c>
      <c r="AF122" s="2">
        <f t="shared" si="47"/>
        <v>1.9150061943642134</v>
      </c>
      <c r="AG122" s="2">
        <f>_xlfn.STDEV.S(AG102:AG118)</f>
        <v>4.4704914850212019</v>
      </c>
      <c r="AH122" s="2">
        <f>_xlfn.STDEV.S(AH102:AH118)</f>
        <v>0.4575895861286236</v>
      </c>
    </row>
    <row r="123" spans="6:34" x14ac:dyDescent="0.35">
      <c r="F123">
        <v>157.53613000000001</v>
      </c>
      <c r="G123">
        <v>159.78210000000001</v>
      </c>
      <c r="H123" s="2">
        <f t="shared" si="32"/>
        <v>2.2459699999999998</v>
      </c>
      <c r="I123" s="2">
        <f t="shared" si="33"/>
        <v>5.8244599999999878</v>
      </c>
      <c r="J123" s="2">
        <f t="shared" si="34"/>
        <v>0.2782961998307405</v>
      </c>
      <c r="K123" s="2">
        <f t="shared" si="35"/>
        <v>0.7217038001692595</v>
      </c>
      <c r="L123" s="2">
        <f t="shared" si="36"/>
        <v>0.44524192219842657</v>
      </c>
      <c r="M123" s="2">
        <f t="shared" si="37"/>
        <v>0.12390913495315634</v>
      </c>
      <c r="N123" s="2">
        <f t="shared" si="38"/>
        <v>8.0704299999999876</v>
      </c>
      <c r="O123">
        <v>12</v>
      </c>
      <c r="P123">
        <f t="shared" si="30"/>
        <v>5.342903066381119</v>
      </c>
      <c r="Y123" s="49" t="s">
        <v>95</v>
      </c>
      <c r="Z123" s="2">
        <f>Z122/SQRT(14)</f>
        <v>0.15379135963617779</v>
      </c>
      <c r="AA123" s="2">
        <f t="shared" ref="AA123:AF123" si="48">AA122/SQRT(14)</f>
        <v>0.51789459120047021</v>
      </c>
      <c r="AB123" s="2">
        <f t="shared" si="48"/>
        <v>2.0311499227985336E-2</v>
      </c>
      <c r="AC123" s="2">
        <f t="shared" si="48"/>
        <v>2.0311499227985214E-2</v>
      </c>
      <c r="AD123" s="2">
        <f t="shared" si="48"/>
        <v>4.5325174384445947E-3</v>
      </c>
      <c r="AE123" s="2">
        <f t="shared" si="48"/>
        <v>3.0720403648808329E-3</v>
      </c>
      <c r="AF123" s="2">
        <f t="shared" si="48"/>
        <v>0.51180693377576525</v>
      </c>
      <c r="AG123" s="2">
        <f>AG122/SQRT(17)</f>
        <v>1.0842534465392215</v>
      </c>
      <c r="AH123" s="2">
        <f>AH122/SQRT(17)</f>
        <v>0.11098177628182264</v>
      </c>
    </row>
    <row r="124" spans="6:34" x14ac:dyDescent="0.35">
      <c r="F124">
        <v>165.60656</v>
      </c>
      <c r="G124">
        <v>169.06305</v>
      </c>
      <c r="H124" s="2">
        <f t="shared" si="32"/>
        <v>3.4564900000000023</v>
      </c>
      <c r="I124" s="2">
        <f t="shared" si="33"/>
        <v>3.7912800000000004</v>
      </c>
      <c r="J124" s="2">
        <f t="shared" si="34"/>
        <v>0.47690393045033175</v>
      </c>
      <c r="K124" s="2">
        <f t="shared" si="35"/>
        <v>0.52309606954966825</v>
      </c>
      <c r="L124" s="2">
        <f t="shared" si="36"/>
        <v>0.28931083266550728</v>
      </c>
      <c r="M124" s="2">
        <f t="shared" si="37"/>
        <v>0.13797347322003867</v>
      </c>
      <c r="N124" s="2">
        <f t="shared" si="38"/>
        <v>7.2477700000000027</v>
      </c>
      <c r="O124">
        <v>16</v>
      </c>
      <c r="P124">
        <f t="shared" si="30"/>
        <v>4.6289733226481165</v>
      </c>
    </row>
    <row r="125" spans="6:34" x14ac:dyDescent="0.35">
      <c r="F125">
        <v>172.85433</v>
      </c>
      <c r="G125">
        <v>176.05538999999999</v>
      </c>
      <c r="H125" s="2">
        <f t="shared" si="32"/>
        <v>3.201059999999984</v>
      </c>
      <c r="I125" s="2">
        <f t="shared" si="33"/>
        <v>5.8010800000000131</v>
      </c>
      <c r="J125" s="2">
        <f t="shared" si="34"/>
        <v>0.35558878222289203</v>
      </c>
      <c r="K125" s="2">
        <f t="shared" si="35"/>
        <v>0.64441121777710797</v>
      </c>
      <c r="L125" s="2">
        <f t="shared" si="36"/>
        <v>0.31239651865319767</v>
      </c>
      <c r="M125" s="2">
        <f t="shared" si="37"/>
        <v>0.11108469763856153</v>
      </c>
      <c r="N125" s="2">
        <f t="shared" si="38"/>
        <v>9.0021399999999971</v>
      </c>
      <c r="O125">
        <v>14</v>
      </c>
      <c r="P125">
        <f t="shared" si="30"/>
        <v>4.373551261144768</v>
      </c>
    </row>
    <row r="126" spans="6:34" x14ac:dyDescent="0.35">
      <c r="F126">
        <v>181.85647</v>
      </c>
      <c r="G126">
        <v>185.43231</v>
      </c>
      <c r="H126" s="2">
        <f t="shared" si="32"/>
        <v>3.5758399999999995</v>
      </c>
      <c r="I126" s="2">
        <f t="shared" si="33"/>
        <v>4.7539199999999937</v>
      </c>
      <c r="J126" s="2">
        <f t="shared" si="34"/>
        <v>0.42928487735541027</v>
      </c>
      <c r="K126" s="2">
        <f t="shared" si="35"/>
        <v>0.57071512264458968</v>
      </c>
      <c r="L126" s="2">
        <f t="shared" si="36"/>
        <v>0.27965457067430316</v>
      </c>
      <c r="M126" s="2">
        <f t="shared" si="37"/>
        <v>0.12005147807379814</v>
      </c>
      <c r="N126" s="2">
        <f t="shared" si="38"/>
        <v>8.3297599999999932</v>
      </c>
      <c r="O126">
        <v>18</v>
      </c>
      <c r="P126">
        <f t="shared" si="30"/>
        <v>5.033782272137457</v>
      </c>
    </row>
    <row r="127" spans="6:34" x14ac:dyDescent="0.35">
      <c r="F127">
        <v>190.18622999999999</v>
      </c>
      <c r="G127">
        <v>194.54834</v>
      </c>
      <c r="H127" s="2">
        <f t="shared" si="32"/>
        <v>4.3621100000000013</v>
      </c>
      <c r="I127" s="2">
        <f t="shared" si="33"/>
        <v>3.8150200000000041</v>
      </c>
      <c r="J127" s="2">
        <f t="shared" si="34"/>
        <v>0.53345244602935238</v>
      </c>
      <c r="K127" s="2">
        <f t="shared" si="35"/>
        <v>0.46654755397064762</v>
      </c>
      <c r="L127" s="2">
        <f t="shared" si="36"/>
        <v>0.22924685530626226</v>
      </c>
      <c r="M127" s="2">
        <f t="shared" si="37"/>
        <v>0.12229229570766263</v>
      </c>
      <c r="N127" s="2">
        <f t="shared" si="38"/>
        <v>8.1771300000000053</v>
      </c>
      <c r="O127">
        <v>18</v>
      </c>
      <c r="P127">
        <f t="shared" si="30"/>
        <v>4.1264433955127204</v>
      </c>
    </row>
    <row r="128" spans="6:34" x14ac:dyDescent="0.35">
      <c r="F128">
        <v>198.36336</v>
      </c>
      <c r="G128">
        <v>201.76233999999999</v>
      </c>
      <c r="H128" s="2">
        <f t="shared" si="32"/>
        <v>3.3989799999999946</v>
      </c>
      <c r="I128" s="2">
        <f t="shared" si="33"/>
        <v>5.7032800000000066</v>
      </c>
      <c r="J128" s="2">
        <f t="shared" si="34"/>
        <v>0.37342154585784126</v>
      </c>
      <c r="K128" s="2">
        <f t="shared" si="35"/>
        <v>0.62657845414215874</v>
      </c>
      <c r="L128" s="2">
        <f t="shared" si="36"/>
        <v>0.29420590883147346</v>
      </c>
      <c r="M128" s="2">
        <f t="shared" si="37"/>
        <v>0.10986282527635992</v>
      </c>
      <c r="N128" s="2">
        <f t="shared" si="38"/>
        <v>9.1022600000000011</v>
      </c>
      <c r="O128">
        <v>18</v>
      </c>
      <c r="P128">
        <f t="shared" si="30"/>
        <v>5.2957063589665223</v>
      </c>
    </row>
    <row r="129" spans="6:16" x14ac:dyDescent="0.35">
      <c r="F129">
        <v>207.46562</v>
      </c>
      <c r="G129">
        <v>210.8715</v>
      </c>
      <c r="H129" s="2">
        <f t="shared" si="32"/>
        <v>3.4058799999999962</v>
      </c>
      <c r="I129" s="2">
        <f t="shared" si="33"/>
        <v>5.672930000000008</v>
      </c>
      <c r="J129" s="2">
        <f t="shared" si="34"/>
        <v>0.37514608192042731</v>
      </c>
      <c r="K129" s="2">
        <f t="shared" si="35"/>
        <v>0.62485391807957269</v>
      </c>
      <c r="L129" s="2">
        <f t="shared" si="36"/>
        <v>0.29360987468730582</v>
      </c>
      <c r="M129" s="2">
        <f t="shared" si="37"/>
        <v>0.11014659410209042</v>
      </c>
      <c r="N129" s="2">
        <f t="shared" si="38"/>
        <v>9.0788100000000043</v>
      </c>
      <c r="O129">
        <v>18</v>
      </c>
      <c r="P129">
        <f t="shared" si="30"/>
        <v>5.2849777443715045</v>
      </c>
    </row>
    <row r="130" spans="6:16" x14ac:dyDescent="0.35">
      <c r="F130">
        <v>216.54443000000001</v>
      </c>
      <c r="G130">
        <v>221.96172000000001</v>
      </c>
      <c r="H130" s="2">
        <f t="shared" si="32"/>
        <v>5.4172900000000084</v>
      </c>
      <c r="I130" s="2">
        <f t="shared" si="33"/>
        <v>4.6995999999999754</v>
      </c>
      <c r="J130" s="2">
        <f t="shared" si="34"/>
        <v>0.5354698924274176</v>
      </c>
      <c r="K130" s="2">
        <f t="shared" si="35"/>
        <v>0.4645301075725824</v>
      </c>
      <c r="L130" s="2">
        <f t="shared" si="36"/>
        <v>0.18459414208949465</v>
      </c>
      <c r="M130" s="2">
        <f t="shared" si="37"/>
        <v>9.8844605407393149E-2</v>
      </c>
      <c r="N130" s="2">
        <f t="shared" si="38"/>
        <v>10.116889999999984</v>
      </c>
      <c r="O130">
        <v>26</v>
      </c>
      <c r="P130">
        <f t="shared" si="30"/>
        <v>4.7994476943268607</v>
      </c>
    </row>
    <row r="131" spans="6:16" x14ac:dyDescent="0.35">
      <c r="F131">
        <v>226.66131999999999</v>
      </c>
      <c r="G131">
        <v>228.94755000000001</v>
      </c>
      <c r="H131" s="2">
        <f t="shared" si="32"/>
        <v>2.2862300000000175</v>
      </c>
      <c r="I131" s="2">
        <f t="shared" si="33"/>
        <v>5.8590700000000027</v>
      </c>
      <c r="J131" s="2">
        <f t="shared" si="34"/>
        <v>0.2806808834542634</v>
      </c>
      <c r="K131" s="2">
        <f t="shared" si="35"/>
        <v>0.71931911654573655</v>
      </c>
      <c r="L131" s="2">
        <f t="shared" si="36"/>
        <v>0.43740131132912802</v>
      </c>
      <c r="M131" s="2">
        <f t="shared" si="37"/>
        <v>0.12277018648791298</v>
      </c>
      <c r="N131" s="2">
        <f t="shared" si="38"/>
        <v>8.1453000000000202</v>
      </c>
      <c r="O131">
        <v>14</v>
      </c>
      <c r="P131">
        <f t="shared" si="30"/>
        <v>6.1236183586077919</v>
      </c>
    </row>
    <row r="132" spans="6:16" x14ac:dyDescent="0.35">
      <c r="F132">
        <v>234.80662000000001</v>
      </c>
      <c r="G132">
        <v>239.06899999999999</v>
      </c>
      <c r="H132" s="2">
        <f t="shared" si="32"/>
        <v>4.262379999999979</v>
      </c>
      <c r="I132" s="2">
        <f t="shared" si="33"/>
        <v>4.6310400000000129</v>
      </c>
      <c r="J132" s="2">
        <f t="shared" si="34"/>
        <v>0.47927344036377262</v>
      </c>
      <c r="K132" s="2">
        <f t="shared" si="35"/>
        <v>0.52072655963622738</v>
      </c>
      <c r="L132" s="2">
        <f t="shared" si="36"/>
        <v>0.23461071044815454</v>
      </c>
      <c r="M132" s="2">
        <f t="shared" si="37"/>
        <v>0.11244268234267592</v>
      </c>
      <c r="N132" s="2">
        <f t="shared" si="38"/>
        <v>8.8934199999999919</v>
      </c>
      <c r="O132">
        <v>21</v>
      </c>
      <c r="P132">
        <f t="shared" si="30"/>
        <v>4.9268249194112457</v>
      </c>
    </row>
    <row r="133" spans="6:16" x14ac:dyDescent="0.35">
      <c r="F133">
        <v>243.70004</v>
      </c>
      <c r="G133">
        <v>247.13478000000001</v>
      </c>
      <c r="H133" s="2">
        <f t="shared" si="32"/>
        <v>3.434740000000005</v>
      </c>
      <c r="I133" s="2">
        <f t="shared" si="33"/>
        <v>5.4709299999999814</v>
      </c>
      <c r="J133" s="2">
        <f t="shared" si="34"/>
        <v>0.38568013411680541</v>
      </c>
      <c r="K133" s="2">
        <f t="shared" si="35"/>
        <v>0.61431986588319465</v>
      </c>
      <c r="L133" s="2">
        <f t="shared" si="36"/>
        <v>0.29114285215183638</v>
      </c>
      <c r="M133" s="2">
        <f t="shared" si="37"/>
        <v>0.1122880142650695</v>
      </c>
      <c r="N133" s="2">
        <f t="shared" si="38"/>
        <v>8.9056699999999864</v>
      </c>
      <c r="O133">
        <v>17</v>
      </c>
      <c r="P133">
        <f t="shared" si="30"/>
        <v>4.949428486581219</v>
      </c>
    </row>
    <row r="134" spans="6:16" x14ac:dyDescent="0.35">
      <c r="F134">
        <v>252.60570999999999</v>
      </c>
      <c r="G134">
        <v>255.89927</v>
      </c>
      <c r="H134" s="2">
        <f t="shared" si="32"/>
        <v>3.2935600000000136</v>
      </c>
      <c r="I134" s="2">
        <f t="shared" si="33"/>
        <v>4.8886699999999905</v>
      </c>
      <c r="J134" s="2">
        <f t="shared" si="34"/>
        <v>0.40252596174881566</v>
      </c>
      <c r="K134" s="2">
        <f t="shared" si="35"/>
        <v>0.59747403825118439</v>
      </c>
      <c r="L134" s="2">
        <f t="shared" si="36"/>
        <v>0.30362282757866743</v>
      </c>
      <c r="M134" s="2">
        <f t="shared" si="37"/>
        <v>0.12221607067999793</v>
      </c>
      <c r="N134" s="2">
        <f t="shared" si="38"/>
        <v>8.1822300000000041</v>
      </c>
      <c r="O134">
        <v>16</v>
      </c>
      <c r="P134">
        <f t="shared" si="30"/>
        <v>4.8579652412586789</v>
      </c>
    </row>
    <row r="135" spans="6:16" x14ac:dyDescent="0.35">
      <c r="F135">
        <v>260.78793999999999</v>
      </c>
      <c r="G135">
        <v>265.04709000000003</v>
      </c>
      <c r="H135" s="2">
        <f t="shared" si="32"/>
        <v>4.2591500000000337</v>
      </c>
      <c r="I135" s="2">
        <f t="shared" si="33"/>
        <v>4.8729299999999967</v>
      </c>
      <c r="J135" s="2">
        <f t="shared" si="34"/>
        <v>0.46639429352349293</v>
      </c>
      <c r="K135" s="2">
        <f t="shared" si="35"/>
        <v>0.53360570647650707</v>
      </c>
      <c r="L135" s="2">
        <f t="shared" si="36"/>
        <v>0.23478863153445925</v>
      </c>
      <c r="M135" s="2">
        <f t="shared" si="37"/>
        <v>0.10950407793186182</v>
      </c>
      <c r="N135" s="2">
        <f t="shared" si="38"/>
        <v>9.1320800000000304</v>
      </c>
      <c r="O135">
        <v>21</v>
      </c>
      <c r="P135">
        <f t="shared" si="30"/>
        <v>4.9305612622236437</v>
      </c>
    </row>
    <row r="136" spans="6:16" x14ac:dyDescent="0.35">
      <c r="F136">
        <v>269.92002000000002</v>
      </c>
      <c r="G136">
        <v>272.27046999999999</v>
      </c>
      <c r="H136" s="2">
        <f t="shared" si="32"/>
        <v>2.3504499999999666</v>
      </c>
      <c r="I136" s="2">
        <f t="shared" si="33"/>
        <v>5.6247500000000059</v>
      </c>
      <c r="J136" s="2">
        <f t="shared" si="34"/>
        <v>0.29471988163305934</v>
      </c>
      <c r="K136" s="2">
        <f t="shared" si="35"/>
        <v>0.70528011836694071</v>
      </c>
      <c r="L136" s="2">
        <f t="shared" si="36"/>
        <v>0.42545044565934786</v>
      </c>
      <c r="M136" s="2">
        <f t="shared" si="37"/>
        <v>0.12538870498545535</v>
      </c>
      <c r="N136" s="2">
        <f t="shared" si="38"/>
        <v>7.9751999999999725</v>
      </c>
      <c r="O136">
        <v>14</v>
      </c>
      <c r="P136">
        <f t="shared" si="30"/>
        <v>5.9563062392308703</v>
      </c>
    </row>
    <row r="137" spans="6:16" x14ac:dyDescent="0.35">
      <c r="F137">
        <v>277.89521999999999</v>
      </c>
      <c r="G137">
        <v>281.03282999999999</v>
      </c>
      <c r="H137" s="2">
        <f t="shared" si="32"/>
        <v>3.1376099999999951</v>
      </c>
      <c r="I137" s="2">
        <f t="shared" si="33"/>
        <v>5.6623900000000162</v>
      </c>
      <c r="J137" s="2">
        <f t="shared" si="34"/>
        <v>0.35654659090908991</v>
      </c>
      <c r="K137" s="2">
        <f t="shared" si="35"/>
        <v>0.64345340909091009</v>
      </c>
      <c r="L137" s="2">
        <f t="shared" si="36"/>
        <v>0.31871392556755029</v>
      </c>
      <c r="M137" s="2">
        <f t="shared" si="37"/>
        <v>0.11363636363636349</v>
      </c>
      <c r="N137" s="2">
        <f t="shared" si="38"/>
        <v>8.8000000000000114</v>
      </c>
      <c r="O137">
        <v>16</v>
      </c>
      <c r="P137">
        <f t="shared" si="30"/>
        <v>5.0994228090808047</v>
      </c>
    </row>
    <row r="138" spans="6:16" x14ac:dyDescent="0.35">
      <c r="F138">
        <v>286.69522000000001</v>
      </c>
      <c r="G138">
        <v>289.77893999999998</v>
      </c>
      <c r="H138" s="2">
        <f t="shared" si="32"/>
        <v>3.0837199999999712</v>
      </c>
      <c r="I138" s="2">
        <f t="shared" si="33"/>
        <v>5.5136899999999969</v>
      </c>
      <c r="J138" s="2">
        <f t="shared" si="34"/>
        <v>0.35868011412739215</v>
      </c>
      <c r="K138" s="2">
        <f t="shared" si="35"/>
        <v>0.6413198858726078</v>
      </c>
      <c r="L138" s="2">
        <f t="shared" si="36"/>
        <v>0.32428365740080467</v>
      </c>
      <c r="M138" s="2">
        <f t="shared" si="37"/>
        <v>0.11631409924616876</v>
      </c>
      <c r="N138" s="2">
        <f t="shared" si="38"/>
        <v>8.597409999999968</v>
      </c>
      <c r="O138">
        <v>19</v>
      </c>
      <c r="P138">
        <f t="shared" si="30"/>
        <v>6.1613894906152886</v>
      </c>
    </row>
    <row r="139" spans="6:16" x14ac:dyDescent="0.35">
      <c r="F139">
        <v>295.29262999999997</v>
      </c>
      <c r="G139">
        <v>298.57828999999998</v>
      </c>
      <c r="H139" s="2">
        <f t="shared" si="32"/>
        <v>3.2856600000000071</v>
      </c>
      <c r="I139" s="2">
        <f t="shared" si="33"/>
        <v>6.2534500000000435</v>
      </c>
      <c r="J139" s="2">
        <f t="shared" si="34"/>
        <v>0.34444093841039569</v>
      </c>
      <c r="K139" s="2">
        <f t="shared" si="35"/>
        <v>0.65555906158960431</v>
      </c>
      <c r="L139" s="2">
        <f t="shared" si="36"/>
        <v>0.30435285452542193</v>
      </c>
      <c r="M139" s="2">
        <f t="shared" si="37"/>
        <v>0.10483158282061898</v>
      </c>
      <c r="N139" s="2">
        <f t="shared" si="38"/>
        <v>9.5391100000000506</v>
      </c>
      <c r="O139">
        <v>16</v>
      </c>
      <c r="P139">
        <f t="shared" si="30"/>
        <v>4.8696456724067509</v>
      </c>
    </row>
    <row r="140" spans="6:16" x14ac:dyDescent="0.35">
      <c r="F140">
        <v>304.83174000000002</v>
      </c>
      <c r="G140">
        <v>308.86306000000002</v>
      </c>
      <c r="H140" s="2">
        <f t="shared" si="32"/>
        <v>4.0313199999999938</v>
      </c>
      <c r="I140" s="2">
        <f t="shared" si="33"/>
        <v>5.426809999999989</v>
      </c>
      <c r="J140" s="2">
        <f t="shared" si="34"/>
        <v>0.42622801758910073</v>
      </c>
      <c r="K140" s="2">
        <f t="shared" si="35"/>
        <v>0.57377198241089933</v>
      </c>
      <c r="L140" s="2">
        <f t="shared" si="36"/>
        <v>0.24805770814522329</v>
      </c>
      <c r="M140" s="2">
        <f t="shared" si="37"/>
        <v>0.10572914519043425</v>
      </c>
      <c r="N140" s="2">
        <f t="shared" si="38"/>
        <v>9.4581299999999828</v>
      </c>
      <c r="O140">
        <v>19</v>
      </c>
      <c r="P140">
        <f t="shared" si="30"/>
        <v>4.7130964547592429</v>
      </c>
    </row>
    <row r="141" spans="6:16" x14ac:dyDescent="0.35">
      <c r="F141">
        <v>314.28987000000001</v>
      </c>
      <c r="G141">
        <v>317.41037999999998</v>
      </c>
      <c r="H141" s="2">
        <f t="shared" si="32"/>
        <v>3.1205099999999675</v>
      </c>
      <c r="I141" s="2">
        <f t="shared" si="33"/>
        <v>7.2783600000000206</v>
      </c>
      <c r="J141" s="2">
        <f t="shared" si="34"/>
        <v>0.30008164348626065</v>
      </c>
      <c r="K141" s="2">
        <f t="shared" si="35"/>
        <v>0.69991835651373935</v>
      </c>
      <c r="L141" s="2">
        <f t="shared" si="36"/>
        <v>0.3204604375566848</v>
      </c>
      <c r="M141" s="2">
        <f t="shared" si="37"/>
        <v>9.6164294774336162E-2</v>
      </c>
      <c r="N141" s="2">
        <f t="shared" si="38"/>
        <v>10.398869999999988</v>
      </c>
      <c r="O141">
        <v>15</v>
      </c>
      <c r="P141">
        <f t="shared" si="30"/>
        <v>4.8069065633502719</v>
      </c>
    </row>
    <row r="142" spans="6:16" x14ac:dyDescent="0.35">
      <c r="F142">
        <v>324.68874</v>
      </c>
      <c r="G142">
        <v>328.70416</v>
      </c>
      <c r="H142" s="2">
        <f t="shared" si="32"/>
        <v>4.015420000000006</v>
      </c>
      <c r="I142" s="2">
        <f t="shared" si="33"/>
        <v>6.3160899999999742</v>
      </c>
      <c r="J142" s="2">
        <f t="shared" si="34"/>
        <v>0.38865761152048572</v>
      </c>
      <c r="K142" s="2">
        <f t="shared" si="35"/>
        <v>0.61134238847951428</v>
      </c>
      <c r="L142" s="2">
        <f t="shared" si="36"/>
        <v>0.24903995098893728</v>
      </c>
      <c r="M142" s="2">
        <f t="shared" si="37"/>
        <v>9.6791272524539188E-2</v>
      </c>
      <c r="N142" s="2">
        <f t="shared" si="38"/>
        <v>10.33150999999998</v>
      </c>
      <c r="O142">
        <v>20</v>
      </c>
      <c r="P142">
        <f t="shared" si="30"/>
        <v>4.9807990197787451</v>
      </c>
    </row>
    <row r="143" spans="6:16" x14ac:dyDescent="0.35">
      <c r="F143">
        <v>335.02024999999998</v>
      </c>
      <c r="G143">
        <v>338.05342999999999</v>
      </c>
      <c r="H143" s="2">
        <f t="shared" si="32"/>
        <v>3.0331800000000158</v>
      </c>
      <c r="I143" s="2">
        <f t="shared" si="33"/>
        <v>7.3148600000000101</v>
      </c>
      <c r="J143" s="2">
        <f t="shared" si="34"/>
        <v>0.29311637759421189</v>
      </c>
      <c r="K143" s="2">
        <f t="shared" si="35"/>
        <v>0.70688362240578817</v>
      </c>
      <c r="L143" s="2">
        <f t="shared" si="36"/>
        <v>0.32968699516678696</v>
      </c>
      <c r="M143" s="2">
        <f t="shared" si="37"/>
        <v>9.6636657763209025E-2</v>
      </c>
      <c r="N143" s="2">
        <f t="shared" si="38"/>
        <v>10.348040000000026</v>
      </c>
      <c r="O143">
        <v>16</v>
      </c>
      <c r="P143">
        <f t="shared" si="30"/>
        <v>5.2749919226685913</v>
      </c>
    </row>
    <row r="144" spans="6:16" x14ac:dyDescent="0.35">
      <c r="F144">
        <v>345.36829</v>
      </c>
      <c r="G144">
        <v>349.52181000000002</v>
      </c>
      <c r="H144" s="2">
        <f t="shared" si="32"/>
        <v>4.1535200000000145</v>
      </c>
      <c r="I144" s="2">
        <f t="shared" si="33"/>
        <v>6.3002099999999928</v>
      </c>
      <c r="J144" s="2">
        <f t="shared" si="34"/>
        <v>0.39732420867958246</v>
      </c>
      <c r="K144" s="2">
        <f t="shared" si="35"/>
        <v>0.60267579132041749</v>
      </c>
      <c r="L144" s="2">
        <f t="shared" si="36"/>
        <v>0.24075964483137111</v>
      </c>
      <c r="M144" s="2">
        <f t="shared" si="37"/>
        <v>9.5659635364601855E-2</v>
      </c>
      <c r="N144" s="2">
        <f t="shared" si="38"/>
        <v>10.453730000000007</v>
      </c>
      <c r="O144">
        <v>21</v>
      </c>
      <c r="P144">
        <f t="shared" si="30"/>
        <v>5.0559525414587929</v>
      </c>
    </row>
    <row r="145" spans="6:16" x14ac:dyDescent="0.35">
      <c r="F145">
        <v>355.82202000000001</v>
      </c>
      <c r="G145">
        <v>358.95056</v>
      </c>
      <c r="H145" s="2">
        <f t="shared" si="32"/>
        <v>3.1285399999999868</v>
      </c>
      <c r="I145" s="2"/>
      <c r="J145" s="2"/>
      <c r="K145" s="2"/>
      <c r="L145" s="2"/>
      <c r="M145" s="2"/>
      <c r="N145" s="2"/>
      <c r="O145">
        <v>16</v>
      </c>
      <c r="P145">
        <f t="shared" si="30"/>
        <v>5.1142066267332584</v>
      </c>
    </row>
    <row r="150" spans="6:16" ht="16" thickBot="1" x14ac:dyDescent="0.4">
      <c r="G150" s="13"/>
      <c r="H150" s="9" t="s">
        <v>3</v>
      </c>
      <c r="I150" s="9" t="s">
        <v>4</v>
      </c>
      <c r="J150" s="9" t="s">
        <v>5</v>
      </c>
      <c r="K150" s="9" t="s">
        <v>6</v>
      </c>
      <c r="L150" s="9" t="s">
        <v>7</v>
      </c>
      <c r="M150" s="9" t="s">
        <v>8</v>
      </c>
      <c r="N150" s="9" t="s">
        <v>9</v>
      </c>
      <c r="O150" s="9" t="s">
        <v>10</v>
      </c>
      <c r="P150" s="44" t="s">
        <v>139</v>
      </c>
    </row>
    <row r="151" spans="6:16" x14ac:dyDescent="0.35">
      <c r="G151" s="49" t="s">
        <v>77</v>
      </c>
      <c r="H151" s="2">
        <f>AVERAGE(H102:H144)</f>
        <v>3.0494890697674411</v>
      </c>
      <c r="I151" s="2">
        <f t="shared" ref="I151:N151" si="49">AVERAGE(I102:I144)</f>
        <v>5.2064016279069785</v>
      </c>
      <c r="J151" s="2">
        <f t="shared" si="49"/>
        <v>0.36639957883525665</v>
      </c>
      <c r="K151" s="2">
        <f t="shared" si="49"/>
        <v>0.63360042116474347</v>
      </c>
      <c r="L151" s="2">
        <f t="shared" si="49"/>
        <v>0.35333637007399304</v>
      </c>
      <c r="M151" s="2">
        <f t="shared" si="49"/>
        <v>0.12400864376142426</v>
      </c>
      <c r="N151" s="2">
        <f t="shared" si="49"/>
        <v>8.2558906976744186</v>
      </c>
      <c r="O151" s="2">
        <f>AVERAGE(O102:O145)</f>
        <v>15.181818181818182</v>
      </c>
      <c r="P151" s="2">
        <f>AVERAGE(P102:P145)</f>
        <v>5.0228696991425048</v>
      </c>
    </row>
    <row r="152" spans="6:16" x14ac:dyDescent="0.35">
      <c r="G152" s="49" t="s">
        <v>94</v>
      </c>
      <c r="H152" s="2">
        <f>_xlfn.STDEV.S(H102:H144)</f>
        <v>0.89164177475575268</v>
      </c>
      <c r="I152" s="2">
        <f t="shared" ref="I152:N152" si="50">_xlfn.STDEV.S(I102:I144)</f>
        <v>0.87072851418450314</v>
      </c>
      <c r="J152" s="2">
        <f t="shared" si="50"/>
        <v>7.4631089015137514E-2</v>
      </c>
      <c r="K152" s="2">
        <f t="shared" si="50"/>
        <v>7.4631089015136376E-2</v>
      </c>
      <c r="L152" s="2">
        <f t="shared" si="50"/>
        <v>9.2609528253946111E-2</v>
      </c>
      <c r="M152" s="2">
        <f t="shared" si="50"/>
        <v>1.9998493317413501E-2</v>
      </c>
      <c r="N152" s="2">
        <f t="shared" si="50"/>
        <v>1.2454818072621174</v>
      </c>
      <c r="O152" s="2">
        <f>_xlfn.STDEV.S(O102:O145)</f>
        <v>3.9371381843227726</v>
      </c>
      <c r="P152" s="2">
        <f>_xlfn.STDEV.S(P102:P145)</f>
        <v>0.44113101940684357</v>
      </c>
    </row>
    <row r="153" spans="6:16" x14ac:dyDescent="0.35">
      <c r="G153" s="49" t="s">
        <v>95</v>
      </c>
      <c r="H153" s="2">
        <f>H152/SQRT(42)</f>
        <v>0.13758331281095762</v>
      </c>
      <c r="I153" s="2">
        <f t="shared" ref="I153:N153" si="51">I152/SQRT(42)</f>
        <v>0.13435632664618369</v>
      </c>
      <c r="J153" s="2">
        <f t="shared" si="51"/>
        <v>1.1515827046354796E-2</v>
      </c>
      <c r="K153" s="2">
        <f t="shared" si="51"/>
        <v>1.1515827046354621E-2</v>
      </c>
      <c r="L153" s="2">
        <f t="shared" si="51"/>
        <v>1.4289960447992885E-2</v>
      </c>
      <c r="M153" s="2">
        <f t="shared" si="51"/>
        <v>3.0858345130714117E-3</v>
      </c>
      <c r="N153" s="2">
        <f t="shared" si="51"/>
        <v>0.1921820151773852</v>
      </c>
      <c r="O153" s="2">
        <f>O152/SQRT(43)</f>
        <v>0.60040794431112976</v>
      </c>
      <c r="P153" s="2">
        <f>P152/SQRT(43)</f>
        <v>6.7271849788908128E-2</v>
      </c>
    </row>
    <row r="166" spans="6:34" ht="18.5" x14ac:dyDescent="0.45">
      <c r="F166" s="1" t="s">
        <v>366</v>
      </c>
      <c r="G166" s="3"/>
      <c r="H166" s="3"/>
      <c r="I166" s="3"/>
      <c r="J166" s="3"/>
      <c r="K166" s="3"/>
      <c r="L166" s="3"/>
      <c r="M166" s="3"/>
      <c r="N166" s="3"/>
      <c r="O166" s="3"/>
      <c r="X166" s="1" t="s">
        <v>282</v>
      </c>
      <c r="Y166" s="3"/>
      <c r="Z166" s="3"/>
      <c r="AA166" s="3"/>
      <c r="AB166" s="3"/>
      <c r="AC166" s="3"/>
      <c r="AD166" s="3"/>
      <c r="AE166" s="3"/>
      <c r="AF166" s="3"/>
      <c r="AG166" s="3"/>
    </row>
    <row r="167" spans="6:34" ht="16" thickBot="1" x14ac:dyDescent="0.4">
      <c r="F167" s="9" t="s">
        <v>11</v>
      </c>
      <c r="G167" s="9" t="s">
        <v>12</v>
      </c>
      <c r="H167" s="9" t="s">
        <v>3</v>
      </c>
      <c r="I167" s="9" t="s">
        <v>4</v>
      </c>
      <c r="J167" s="9" t="s">
        <v>655</v>
      </c>
      <c r="K167" s="9" t="s">
        <v>654</v>
      </c>
      <c r="L167" s="9" t="s">
        <v>653</v>
      </c>
      <c r="M167" s="9" t="s">
        <v>8</v>
      </c>
      <c r="N167" s="9" t="s">
        <v>9</v>
      </c>
      <c r="O167" s="9" t="s">
        <v>10</v>
      </c>
      <c r="P167" s="44" t="s">
        <v>139</v>
      </c>
      <c r="X167" s="9" t="s">
        <v>11</v>
      </c>
      <c r="Y167" s="9" t="s">
        <v>12</v>
      </c>
      <c r="Z167" s="9" t="s">
        <v>3</v>
      </c>
      <c r="AA167" s="9" t="s">
        <v>4</v>
      </c>
      <c r="AB167" s="9" t="s">
        <v>655</v>
      </c>
      <c r="AC167" s="9" t="s">
        <v>654</v>
      </c>
      <c r="AD167" s="9" t="s">
        <v>653</v>
      </c>
      <c r="AE167" s="9" t="s">
        <v>8</v>
      </c>
      <c r="AF167" s="9" t="s">
        <v>9</v>
      </c>
      <c r="AG167" s="9" t="s">
        <v>10</v>
      </c>
      <c r="AH167" s="44" t="s">
        <v>139</v>
      </c>
    </row>
    <row r="168" spans="6:34" x14ac:dyDescent="0.35">
      <c r="F168">
        <v>7.8854600000000001</v>
      </c>
      <c r="G168">
        <v>15.63729</v>
      </c>
      <c r="H168" s="2">
        <f>G168-F168</f>
        <v>7.75183</v>
      </c>
      <c r="I168" s="2">
        <f>F169-G168</f>
        <v>6.2144100000000009</v>
      </c>
      <c r="J168" s="2">
        <f>H168/N168</f>
        <v>0.55504058357868691</v>
      </c>
      <c r="K168" s="2">
        <f>I168/N168</f>
        <v>0.44495941642131315</v>
      </c>
      <c r="L168" s="2">
        <f>1/H168</f>
        <v>0.12900179699503214</v>
      </c>
      <c r="M168" s="2">
        <f>1/N168</f>
        <v>7.1601232686821933E-2</v>
      </c>
      <c r="N168" s="2">
        <f>H168+I168</f>
        <v>13.966240000000001</v>
      </c>
      <c r="O168">
        <v>71</v>
      </c>
      <c r="P168">
        <f t="shared" ref="P168:P207" si="52">O168/H168</f>
        <v>9.1591275866472817</v>
      </c>
      <c r="X168">
        <v>3.4630000000000001E-2</v>
      </c>
      <c r="Y168">
        <v>8.3611699999999995</v>
      </c>
      <c r="Z168" s="2">
        <f>Y168-X168</f>
        <v>8.3265399999999996</v>
      </c>
      <c r="AA168" s="2">
        <f>X169-Y168</f>
        <v>12.544500000000001</v>
      </c>
      <c r="AB168" s="2">
        <f>Z168/AF168</f>
        <v>0.3989518490693324</v>
      </c>
      <c r="AC168" s="2">
        <f>AA168/AF168</f>
        <v>0.60104815093066755</v>
      </c>
      <c r="AD168" s="2">
        <f>1/Z168</f>
        <v>0.12009790381118689</v>
      </c>
      <c r="AE168" s="2">
        <f>1/AF168</f>
        <v>4.7913280794823834E-2</v>
      </c>
      <c r="AF168" s="2">
        <f>Z168+AA168</f>
        <v>20.871040000000001</v>
      </c>
      <c r="AG168">
        <v>120</v>
      </c>
      <c r="AH168">
        <f t="shared" ref="AH168:AH178" si="53">AG168/Z168</f>
        <v>14.411748457342426</v>
      </c>
    </row>
    <row r="169" spans="6:34" x14ac:dyDescent="0.35">
      <c r="F169">
        <v>21.851700000000001</v>
      </c>
      <c r="G169">
        <v>28.657499999999999</v>
      </c>
      <c r="H169" s="2">
        <f t="shared" ref="H169:H204" si="54">G169-F169</f>
        <v>6.8057999999999979</v>
      </c>
      <c r="I169" s="2">
        <f t="shared" ref="I169:I205" si="55">F170-G169</f>
        <v>7.931989999999999</v>
      </c>
      <c r="J169" s="2">
        <f t="shared" ref="J169:J205" si="56">H169/N169</f>
        <v>0.46179243970771733</v>
      </c>
      <c r="K169" s="2">
        <f t="shared" ref="K169:K205" si="57">I169/N169</f>
        <v>0.53820756029228267</v>
      </c>
      <c r="L169" s="2">
        <f t="shared" ref="L169:L205" si="58">1/H169</f>
        <v>0.14693349789885102</v>
      </c>
      <c r="M169" s="2">
        <f t="shared" ref="M169:M205" si="59">1/N169</f>
        <v>6.7852778469499178E-2</v>
      </c>
      <c r="N169" s="2">
        <f t="shared" ref="N169:N205" si="60">H169+I169</f>
        <v>14.737789999999997</v>
      </c>
      <c r="O169">
        <v>46</v>
      </c>
      <c r="P169">
        <f t="shared" si="52"/>
        <v>6.7589409033471473</v>
      </c>
      <c r="X169">
        <v>20.905670000000001</v>
      </c>
      <c r="Y169">
        <v>29.975960000000001</v>
      </c>
      <c r="Z169" s="2">
        <f t="shared" ref="Z169:Z179" si="61">Y169-X169</f>
        <v>9.07029</v>
      </c>
      <c r="AA169" s="2">
        <f t="shared" ref="AA169:AA178" si="62">X170-Y169</f>
        <v>10.519439999999996</v>
      </c>
      <c r="AB169" s="2">
        <f t="shared" ref="AB169:AB178" si="63">Z169/AF169</f>
        <v>0.46301250706365027</v>
      </c>
      <c r="AC169" s="2">
        <f t="shared" ref="AC169:AC178" si="64">AA169/AF169</f>
        <v>0.53698749293634973</v>
      </c>
      <c r="AD169" s="2">
        <f t="shared" ref="AD169:AD178" si="65">1/Z169</f>
        <v>0.11025005815690568</v>
      </c>
      <c r="AE169" s="2">
        <f t="shared" ref="AE169:AE178" si="66">1/AF169</f>
        <v>5.1047155831142145E-2</v>
      </c>
      <c r="AF169" s="2">
        <f t="shared" ref="AF169:AF178" si="67">Z169+AA169</f>
        <v>19.589729999999996</v>
      </c>
      <c r="AG169">
        <v>126</v>
      </c>
      <c r="AH169">
        <f t="shared" si="53"/>
        <v>13.891507327770116</v>
      </c>
    </row>
    <row r="170" spans="6:34" x14ac:dyDescent="0.35">
      <c r="F170">
        <v>36.589489999999998</v>
      </c>
      <c r="G170">
        <v>42.34243</v>
      </c>
      <c r="H170" s="2">
        <f t="shared" si="54"/>
        <v>5.7529400000000024</v>
      </c>
      <c r="I170" s="2">
        <f t="shared" si="55"/>
        <v>14.587000000000003</v>
      </c>
      <c r="J170" s="2">
        <f t="shared" si="56"/>
        <v>0.2828395757312952</v>
      </c>
      <c r="K170" s="2">
        <f t="shared" si="57"/>
        <v>0.71716042426870474</v>
      </c>
      <c r="L170" s="2">
        <f t="shared" si="58"/>
        <v>0.17382416642620982</v>
      </c>
      <c r="M170" s="2">
        <f t="shared" si="59"/>
        <v>4.9164353483835237E-2</v>
      </c>
      <c r="N170" s="2">
        <f t="shared" si="60"/>
        <v>20.339940000000006</v>
      </c>
      <c r="O170">
        <v>59</v>
      </c>
      <c r="P170">
        <f t="shared" si="52"/>
        <v>10.255625819146379</v>
      </c>
      <c r="X170">
        <v>40.495399999999997</v>
      </c>
      <c r="Y170">
        <v>49.397750000000002</v>
      </c>
      <c r="Z170" s="2">
        <f t="shared" si="61"/>
        <v>8.9023500000000055</v>
      </c>
      <c r="AA170" s="2">
        <f t="shared" si="62"/>
        <v>13.09684</v>
      </c>
      <c r="AB170" s="2">
        <f t="shared" si="63"/>
        <v>0.40466717183678141</v>
      </c>
      <c r="AC170" s="2">
        <f t="shared" si="64"/>
        <v>0.59533282816321864</v>
      </c>
      <c r="AD170" s="2">
        <f t="shared" si="65"/>
        <v>0.11232989042219182</v>
      </c>
      <c r="AE170" s="2">
        <f t="shared" si="66"/>
        <v>4.5456219069883924E-2</v>
      </c>
      <c r="AF170" s="2">
        <f t="shared" si="67"/>
        <v>21.999190000000006</v>
      </c>
      <c r="AG170">
        <v>129</v>
      </c>
      <c r="AH170">
        <f t="shared" si="53"/>
        <v>14.490555864462745</v>
      </c>
    </row>
    <row r="171" spans="6:34" x14ac:dyDescent="0.35">
      <c r="F171">
        <v>56.929430000000004</v>
      </c>
      <c r="G171">
        <v>62.818899999999999</v>
      </c>
      <c r="H171" s="2">
        <f t="shared" si="54"/>
        <v>5.8894699999999958</v>
      </c>
      <c r="I171" s="2">
        <f t="shared" si="55"/>
        <v>15.949309999999997</v>
      </c>
      <c r="J171" s="2">
        <f t="shared" si="56"/>
        <v>0.26967944180032022</v>
      </c>
      <c r="K171" s="2">
        <f t="shared" si="57"/>
        <v>0.73032055819967978</v>
      </c>
      <c r="L171" s="2">
        <f t="shared" si="58"/>
        <v>0.16979456555513497</v>
      </c>
      <c r="M171" s="2">
        <f t="shared" si="59"/>
        <v>4.5790103659636677E-2</v>
      </c>
      <c r="N171" s="2">
        <f t="shared" si="60"/>
        <v>21.838779999999993</v>
      </c>
      <c r="O171">
        <v>63</v>
      </c>
      <c r="P171">
        <f t="shared" si="52"/>
        <v>10.697057629973504</v>
      </c>
      <c r="X171">
        <v>62.494590000000002</v>
      </c>
      <c r="Y171">
        <v>72.018039999999999</v>
      </c>
      <c r="Z171" s="2">
        <f t="shared" si="61"/>
        <v>9.5234499999999969</v>
      </c>
      <c r="AA171" s="2">
        <f t="shared" si="62"/>
        <v>15.292330000000007</v>
      </c>
      <c r="AB171" s="2">
        <f t="shared" si="63"/>
        <v>0.38376589412059564</v>
      </c>
      <c r="AC171" s="2">
        <f t="shared" si="64"/>
        <v>0.6162341058794043</v>
      </c>
      <c r="AD171" s="2">
        <f t="shared" si="65"/>
        <v>0.10500396389963725</v>
      </c>
      <c r="AE171" s="2">
        <f t="shared" si="66"/>
        <v>4.0296940092151033E-2</v>
      </c>
      <c r="AF171" s="2">
        <f t="shared" si="67"/>
        <v>24.815780000000004</v>
      </c>
      <c r="AG171">
        <v>141</v>
      </c>
      <c r="AH171">
        <f t="shared" si="53"/>
        <v>14.805558909848852</v>
      </c>
    </row>
    <row r="172" spans="6:34" x14ac:dyDescent="0.35">
      <c r="F172">
        <v>78.768209999999996</v>
      </c>
      <c r="G172">
        <v>89.393029999999996</v>
      </c>
      <c r="H172" s="2">
        <f t="shared" si="54"/>
        <v>10.62482</v>
      </c>
      <c r="I172" s="2">
        <f t="shared" si="55"/>
        <v>15.046320000000009</v>
      </c>
      <c r="J172" s="2">
        <f t="shared" si="56"/>
        <v>0.41388189227280114</v>
      </c>
      <c r="K172" s="2">
        <f t="shared" si="57"/>
        <v>0.58611810772719886</v>
      </c>
      <c r="L172" s="2">
        <f t="shared" si="58"/>
        <v>9.4119241549503907E-2</v>
      </c>
      <c r="M172" s="2">
        <f t="shared" si="59"/>
        <v>3.8954249791789519E-2</v>
      </c>
      <c r="N172" s="2">
        <f t="shared" si="60"/>
        <v>25.671140000000008</v>
      </c>
      <c r="O172">
        <v>73</v>
      </c>
      <c r="P172">
        <f t="shared" si="52"/>
        <v>6.8707046331137844</v>
      </c>
      <c r="X172">
        <v>87.310370000000006</v>
      </c>
      <c r="Y172">
        <v>98.212410000000006</v>
      </c>
      <c r="Z172" s="2">
        <f t="shared" si="61"/>
        <v>10.90204</v>
      </c>
      <c r="AA172" s="2">
        <f t="shared" si="62"/>
        <v>10.417319999999989</v>
      </c>
      <c r="AB172" s="2">
        <f t="shared" si="63"/>
        <v>0.5113680710865619</v>
      </c>
      <c r="AC172" s="2">
        <f t="shared" si="64"/>
        <v>0.48863192891343804</v>
      </c>
      <c r="AD172" s="2">
        <f t="shared" si="65"/>
        <v>9.172595220710987E-2</v>
      </c>
      <c r="AE172" s="2">
        <f t="shared" si="66"/>
        <v>4.6905723248727944E-2</v>
      </c>
      <c r="AF172" s="2">
        <f t="shared" si="67"/>
        <v>21.319359999999989</v>
      </c>
      <c r="AG172">
        <v>146</v>
      </c>
      <c r="AH172">
        <f t="shared" si="53"/>
        <v>13.391989022238041</v>
      </c>
    </row>
    <row r="173" spans="6:34" x14ac:dyDescent="0.35">
      <c r="F173">
        <v>104.43935</v>
      </c>
      <c r="G173">
        <v>110.70431000000001</v>
      </c>
      <c r="H173" s="2">
        <f t="shared" si="54"/>
        <v>6.2649600000000021</v>
      </c>
      <c r="I173" s="2">
        <f t="shared" si="55"/>
        <v>14.472649999999987</v>
      </c>
      <c r="J173" s="2">
        <f t="shared" si="56"/>
        <v>0.30210617327647715</v>
      </c>
      <c r="K173" s="2">
        <f t="shared" si="57"/>
        <v>0.69789382672352285</v>
      </c>
      <c r="L173" s="2">
        <f t="shared" si="58"/>
        <v>0.15961793850240061</v>
      </c>
      <c r="M173" s="2">
        <f t="shared" si="59"/>
        <v>4.8221564587240306E-2</v>
      </c>
      <c r="N173" s="2">
        <f t="shared" si="60"/>
        <v>20.737609999999989</v>
      </c>
      <c r="O173">
        <v>65</v>
      </c>
      <c r="P173">
        <f t="shared" si="52"/>
        <v>10.375166002656039</v>
      </c>
      <c r="X173">
        <v>108.62973</v>
      </c>
      <c r="Y173">
        <v>115.88269</v>
      </c>
      <c r="Z173" s="2">
        <f t="shared" si="61"/>
        <v>7.2529600000000016</v>
      </c>
      <c r="AA173" s="2">
        <f t="shared" si="62"/>
        <v>10.753889999999998</v>
      </c>
      <c r="AB173" s="2">
        <f t="shared" si="63"/>
        <v>0.40278893865390125</v>
      </c>
      <c r="AC173" s="2">
        <f t="shared" si="64"/>
        <v>0.5972110613460988</v>
      </c>
      <c r="AD173" s="2">
        <f t="shared" si="65"/>
        <v>0.13787474355297696</v>
      </c>
      <c r="AE173" s="2">
        <f t="shared" si="66"/>
        <v>5.5534421622882406E-2</v>
      </c>
      <c r="AF173" s="2">
        <f t="shared" si="67"/>
        <v>18.00685</v>
      </c>
      <c r="AG173">
        <v>108</v>
      </c>
      <c r="AH173">
        <f t="shared" si="53"/>
        <v>14.890472303721511</v>
      </c>
    </row>
    <row r="174" spans="6:34" x14ac:dyDescent="0.35">
      <c r="F174">
        <v>125.17695999999999</v>
      </c>
      <c r="G174">
        <v>130.88961</v>
      </c>
      <c r="H174" s="2">
        <f t="shared" si="54"/>
        <v>5.7126500000000107</v>
      </c>
      <c r="I174" s="2">
        <f t="shared" si="55"/>
        <v>7.888939999999991</v>
      </c>
      <c r="J174" s="2">
        <f t="shared" si="56"/>
        <v>0.41999869132947032</v>
      </c>
      <c r="K174" s="2">
        <f t="shared" si="57"/>
        <v>0.58000130867052968</v>
      </c>
      <c r="L174" s="2">
        <f t="shared" si="58"/>
        <v>0.17505010809344143</v>
      </c>
      <c r="M174" s="2">
        <f t="shared" si="59"/>
        <v>7.3520816316327717E-2</v>
      </c>
      <c r="N174" s="2">
        <f t="shared" si="60"/>
        <v>13.601590000000002</v>
      </c>
      <c r="O174">
        <v>56</v>
      </c>
      <c r="P174">
        <f t="shared" si="52"/>
        <v>9.8028060532327199</v>
      </c>
      <c r="X174">
        <v>126.63658</v>
      </c>
      <c r="Y174">
        <v>135.67164</v>
      </c>
      <c r="Z174" s="2">
        <f t="shared" si="61"/>
        <v>9.0350600000000014</v>
      </c>
      <c r="AA174" s="2">
        <f t="shared" si="62"/>
        <v>9.7532300000000021</v>
      </c>
      <c r="AB174" s="2">
        <f t="shared" si="63"/>
        <v>0.48088782960024568</v>
      </c>
      <c r="AC174" s="2">
        <f t="shared" si="64"/>
        <v>0.51911217039975432</v>
      </c>
      <c r="AD174" s="2">
        <f t="shared" si="65"/>
        <v>0.11067995121227749</v>
      </c>
      <c r="AE174" s="2">
        <f t="shared" si="66"/>
        <v>5.3224641518733198E-2</v>
      </c>
      <c r="AF174" s="2">
        <f t="shared" si="67"/>
        <v>18.788290000000003</v>
      </c>
      <c r="AG174">
        <v>127</v>
      </c>
      <c r="AH174">
        <f t="shared" si="53"/>
        <v>14.05635380395924</v>
      </c>
    </row>
    <row r="175" spans="6:34" x14ac:dyDescent="0.35">
      <c r="F175">
        <v>138.77855</v>
      </c>
      <c r="G175">
        <v>145.08234999999999</v>
      </c>
      <c r="H175" s="2">
        <f t="shared" si="54"/>
        <v>6.3037999999999954</v>
      </c>
      <c r="I175" s="2">
        <f t="shared" si="55"/>
        <v>18.436920000000015</v>
      </c>
      <c r="J175" s="2">
        <f t="shared" si="56"/>
        <v>0.25479452497744581</v>
      </c>
      <c r="K175" s="2">
        <f t="shared" si="57"/>
        <v>0.74520547502255419</v>
      </c>
      <c r="L175" s="2">
        <f t="shared" si="58"/>
        <v>0.15863447444398629</v>
      </c>
      <c r="M175" s="2">
        <f t="shared" si="59"/>
        <v>4.041919556100225E-2</v>
      </c>
      <c r="N175" s="2">
        <f t="shared" si="60"/>
        <v>24.74072000000001</v>
      </c>
      <c r="O175">
        <v>54</v>
      </c>
      <c r="P175">
        <f t="shared" si="52"/>
        <v>8.5662616199752595</v>
      </c>
      <c r="X175">
        <v>145.42487</v>
      </c>
      <c r="Y175">
        <v>154.24923000000001</v>
      </c>
      <c r="Z175" s="2">
        <f t="shared" si="61"/>
        <v>8.8243600000000129</v>
      </c>
      <c r="AA175" s="2">
        <f t="shared" si="62"/>
        <v>10.144059999999996</v>
      </c>
      <c r="AB175" s="2">
        <f t="shared" si="63"/>
        <v>0.46521323336366488</v>
      </c>
      <c r="AC175" s="2">
        <f t="shared" si="64"/>
        <v>0.53478676663633506</v>
      </c>
      <c r="AD175" s="2">
        <f t="shared" si="65"/>
        <v>0.11332266589305044</v>
      </c>
      <c r="AE175" s="2">
        <f t="shared" si="66"/>
        <v>5.2719203813496304E-2</v>
      </c>
      <c r="AF175" s="2">
        <f t="shared" si="67"/>
        <v>18.968420000000009</v>
      </c>
      <c r="AG175">
        <v>119</v>
      </c>
      <c r="AH175">
        <f t="shared" si="53"/>
        <v>13.485397241273002</v>
      </c>
    </row>
    <row r="176" spans="6:34" x14ac:dyDescent="0.35">
      <c r="F176">
        <v>163.51927000000001</v>
      </c>
      <c r="G176">
        <v>169.89931999999999</v>
      </c>
      <c r="H176" s="2">
        <f t="shared" si="54"/>
        <v>6.3800499999999829</v>
      </c>
      <c r="I176" s="2">
        <f t="shared" si="55"/>
        <v>10.16670000000002</v>
      </c>
      <c r="J176" s="2">
        <f t="shared" si="56"/>
        <v>0.38557722815658552</v>
      </c>
      <c r="K176" s="2">
        <f t="shared" si="57"/>
        <v>0.61442277184341443</v>
      </c>
      <c r="L176" s="2">
        <f t="shared" si="58"/>
        <v>0.15673858355342085</v>
      </c>
      <c r="M176" s="2">
        <f t="shared" si="59"/>
        <v>6.0434828591717393E-2</v>
      </c>
      <c r="N176" s="2">
        <f t="shared" si="60"/>
        <v>16.546750000000003</v>
      </c>
      <c r="O176">
        <v>46</v>
      </c>
      <c r="P176">
        <f t="shared" si="52"/>
        <v>7.209974843457359</v>
      </c>
      <c r="X176">
        <v>164.39329000000001</v>
      </c>
      <c r="Y176">
        <v>172.38245000000001</v>
      </c>
      <c r="Z176" s="2">
        <f t="shared" si="61"/>
        <v>7.9891599999999983</v>
      </c>
      <c r="AA176" s="2">
        <f t="shared" si="62"/>
        <v>12.282139999999998</v>
      </c>
      <c r="AB176" s="2">
        <f t="shared" si="63"/>
        <v>0.39411187245021284</v>
      </c>
      <c r="AC176" s="2">
        <f t="shared" si="64"/>
        <v>0.60588812754978716</v>
      </c>
      <c r="AD176" s="2">
        <f t="shared" si="65"/>
        <v>0.12516960481452372</v>
      </c>
      <c r="AE176" s="2">
        <f t="shared" si="66"/>
        <v>4.9330827327305114E-2</v>
      </c>
      <c r="AF176" s="2">
        <f t="shared" si="67"/>
        <v>20.271299999999997</v>
      </c>
      <c r="AG176">
        <v>104</v>
      </c>
      <c r="AH176">
        <f t="shared" si="53"/>
        <v>13.017638900710466</v>
      </c>
    </row>
    <row r="177" spans="6:34" x14ac:dyDescent="0.35">
      <c r="F177">
        <v>180.06602000000001</v>
      </c>
      <c r="G177">
        <v>186.31519</v>
      </c>
      <c r="H177" s="2">
        <f t="shared" si="54"/>
        <v>6.2491699999999923</v>
      </c>
      <c r="I177" s="2">
        <f t="shared" si="55"/>
        <v>16.017539999999997</v>
      </c>
      <c r="J177" s="2">
        <f t="shared" si="56"/>
        <v>0.28065080112868024</v>
      </c>
      <c r="K177" s="2">
        <f t="shared" si="57"/>
        <v>0.71934919887131976</v>
      </c>
      <c r="L177" s="2">
        <f t="shared" si="58"/>
        <v>0.16002125082210938</v>
      </c>
      <c r="M177" s="2">
        <f t="shared" si="59"/>
        <v>4.4910092240838473E-2</v>
      </c>
      <c r="N177" s="2">
        <f t="shared" si="60"/>
        <v>22.266709999999989</v>
      </c>
      <c r="O177">
        <v>61</v>
      </c>
      <c r="P177">
        <f t="shared" si="52"/>
        <v>9.7612963001486719</v>
      </c>
      <c r="X177">
        <v>184.66459</v>
      </c>
      <c r="Y177">
        <v>192.79329000000001</v>
      </c>
      <c r="Z177" s="2">
        <f t="shared" si="61"/>
        <v>8.1287000000000091</v>
      </c>
      <c r="AA177" s="2">
        <f t="shared" si="62"/>
        <v>14.607489999999984</v>
      </c>
      <c r="AB177" s="2">
        <f t="shared" si="63"/>
        <v>0.35752252246308691</v>
      </c>
      <c r="AC177" s="2">
        <f t="shared" si="64"/>
        <v>0.64247747753691309</v>
      </c>
      <c r="AD177" s="2">
        <f t="shared" si="65"/>
        <v>0.12302090125112243</v>
      </c>
      <c r="AE177" s="2">
        <f t="shared" si="66"/>
        <v>4.3982742930983615E-2</v>
      </c>
      <c r="AF177" s="2">
        <f t="shared" si="67"/>
        <v>22.736189999999993</v>
      </c>
      <c r="AG177">
        <v>119</v>
      </c>
      <c r="AH177">
        <f t="shared" si="53"/>
        <v>14.639487248883569</v>
      </c>
    </row>
    <row r="178" spans="6:34" x14ac:dyDescent="0.35">
      <c r="F178">
        <v>202.33273</v>
      </c>
      <c r="G178">
        <v>207.96889999999999</v>
      </c>
      <c r="H178" s="2">
        <f t="shared" si="54"/>
        <v>5.6361699999999928</v>
      </c>
      <c r="I178" s="2">
        <f t="shared" si="55"/>
        <v>17.402340000000009</v>
      </c>
      <c r="J178" s="2">
        <f t="shared" si="56"/>
        <v>0.24464125501171699</v>
      </c>
      <c r="K178" s="2">
        <f t="shared" si="57"/>
        <v>0.75535874498828304</v>
      </c>
      <c r="L178" s="2">
        <f t="shared" si="58"/>
        <v>0.17742545026143663</v>
      </c>
      <c r="M178" s="2">
        <f t="shared" si="59"/>
        <v>4.340558482297683E-2</v>
      </c>
      <c r="N178" s="2">
        <f t="shared" si="60"/>
        <v>23.038510000000002</v>
      </c>
      <c r="O178">
        <v>58</v>
      </c>
      <c r="P178">
        <f t="shared" si="52"/>
        <v>10.290676115163324</v>
      </c>
      <c r="X178">
        <v>207.40078</v>
      </c>
      <c r="Y178">
        <v>217.25290000000001</v>
      </c>
      <c r="Z178" s="2">
        <f t="shared" si="61"/>
        <v>9.8521200000000135</v>
      </c>
      <c r="AA178" s="2">
        <f t="shared" si="62"/>
        <v>11.233399999999989</v>
      </c>
      <c r="AB178" s="2">
        <f t="shared" si="63"/>
        <v>0.46724576866019962</v>
      </c>
      <c r="AC178" s="2">
        <f t="shared" si="64"/>
        <v>0.53275423133980038</v>
      </c>
      <c r="AD178" s="2">
        <f t="shared" si="65"/>
        <v>0.10150099673978785</v>
      </c>
      <c r="AE178" s="2">
        <f t="shared" si="66"/>
        <v>4.742591124145859E-2</v>
      </c>
      <c r="AF178" s="2">
        <f t="shared" si="67"/>
        <v>21.085520000000002</v>
      </c>
      <c r="AG178">
        <v>139</v>
      </c>
      <c r="AH178">
        <f t="shared" si="53"/>
        <v>14.108638546830511</v>
      </c>
    </row>
    <row r="179" spans="6:34" x14ac:dyDescent="0.35">
      <c r="F179">
        <v>225.37124</v>
      </c>
      <c r="G179">
        <v>232.67329000000001</v>
      </c>
      <c r="H179" s="2">
        <f t="shared" si="54"/>
        <v>7.3020500000000084</v>
      </c>
      <c r="I179" s="2">
        <f t="shared" si="55"/>
        <v>15.564329999999984</v>
      </c>
      <c r="J179" s="2">
        <f t="shared" si="56"/>
        <v>0.31933563598610759</v>
      </c>
      <c r="K179" s="2">
        <f t="shared" si="57"/>
        <v>0.68066436401389241</v>
      </c>
      <c r="L179" s="2">
        <f t="shared" si="58"/>
        <v>0.13694784341383567</v>
      </c>
      <c r="M179" s="2">
        <f t="shared" si="59"/>
        <v>4.3732326673483091E-2</v>
      </c>
      <c r="N179" s="2">
        <f t="shared" si="60"/>
        <v>22.866379999999992</v>
      </c>
      <c r="O179">
        <v>61</v>
      </c>
      <c r="P179">
        <f t="shared" si="52"/>
        <v>8.3538184482439775</v>
      </c>
      <c r="X179">
        <v>228.4863</v>
      </c>
      <c r="Y179">
        <v>236.72081</v>
      </c>
      <c r="Z179" s="2">
        <f t="shared" si="61"/>
        <v>8.2345100000000002</v>
      </c>
      <c r="AA179" s="2"/>
      <c r="AB179" s="2"/>
      <c r="AC179" s="2"/>
      <c r="AD179" s="2"/>
      <c r="AE179" s="2"/>
      <c r="AF179" s="2"/>
    </row>
    <row r="180" spans="6:34" x14ac:dyDescent="0.35">
      <c r="F180">
        <v>248.23761999999999</v>
      </c>
      <c r="G180">
        <v>254.70095000000001</v>
      </c>
      <c r="H180" s="2">
        <f t="shared" si="54"/>
        <v>6.4633300000000133</v>
      </c>
      <c r="I180" s="2">
        <f t="shared" si="55"/>
        <v>17.052710000000019</v>
      </c>
      <c r="J180" s="2">
        <f t="shared" si="56"/>
        <v>0.27484772095982168</v>
      </c>
      <c r="K180" s="2">
        <f t="shared" si="57"/>
        <v>0.72515227904017832</v>
      </c>
      <c r="L180" s="2">
        <f t="shared" si="58"/>
        <v>0.15471900707529987</v>
      </c>
      <c r="M180" s="2">
        <f t="shared" si="59"/>
        <v>4.2524166483812693E-2</v>
      </c>
      <c r="N180" s="2">
        <f t="shared" si="60"/>
        <v>23.516040000000032</v>
      </c>
      <c r="O180">
        <v>69</v>
      </c>
      <c r="P180">
        <f t="shared" si="52"/>
        <v>10.675611488195692</v>
      </c>
    </row>
    <row r="181" spans="6:34" x14ac:dyDescent="0.35">
      <c r="F181">
        <v>271.75366000000002</v>
      </c>
      <c r="G181">
        <v>277.45226000000002</v>
      </c>
      <c r="H181" s="2">
        <f t="shared" si="54"/>
        <v>5.698599999999999</v>
      </c>
      <c r="I181" s="2">
        <f t="shared" si="55"/>
        <v>15.479989999999987</v>
      </c>
      <c r="J181" s="2">
        <f t="shared" si="56"/>
        <v>0.26907362577017652</v>
      </c>
      <c r="K181" s="2">
        <f t="shared" si="57"/>
        <v>0.73092637422982343</v>
      </c>
      <c r="L181" s="2">
        <f t="shared" si="58"/>
        <v>0.17548169725897592</v>
      </c>
      <c r="M181" s="2">
        <f t="shared" si="59"/>
        <v>4.7217496537777098E-2</v>
      </c>
      <c r="N181" s="2">
        <f t="shared" si="60"/>
        <v>21.178589999999986</v>
      </c>
      <c r="O181">
        <v>57</v>
      </c>
      <c r="P181">
        <f t="shared" si="52"/>
        <v>10.002456743761627</v>
      </c>
    </row>
    <row r="182" spans="6:34" ht="16" thickBot="1" x14ac:dyDescent="0.4">
      <c r="F182">
        <v>292.93225000000001</v>
      </c>
      <c r="G182">
        <v>298.28464000000002</v>
      </c>
      <c r="H182" s="2">
        <f t="shared" si="54"/>
        <v>5.352390000000014</v>
      </c>
      <c r="I182" s="2">
        <f t="shared" si="55"/>
        <v>16.451039999999978</v>
      </c>
      <c r="J182" s="2">
        <f t="shared" si="56"/>
        <v>0.24548385276995482</v>
      </c>
      <c r="K182" s="2">
        <f t="shared" si="57"/>
        <v>0.75451614723004523</v>
      </c>
      <c r="L182" s="2">
        <f t="shared" si="58"/>
        <v>0.18683242439358816</v>
      </c>
      <c r="M182" s="2">
        <f t="shared" si="59"/>
        <v>4.5864343362489311E-2</v>
      </c>
      <c r="N182" s="2">
        <f t="shared" si="60"/>
        <v>21.803429999999992</v>
      </c>
      <c r="O182">
        <v>61</v>
      </c>
      <c r="P182">
        <f t="shared" si="52"/>
        <v>11.396777888008879</v>
      </c>
      <c r="Y182" s="13"/>
      <c r="Z182" s="9" t="s">
        <v>3</v>
      </c>
      <c r="AA182" s="9" t="s">
        <v>4</v>
      </c>
      <c r="AB182" s="9" t="s">
        <v>5</v>
      </c>
      <c r="AC182" s="9" t="s">
        <v>6</v>
      </c>
      <c r="AD182" s="9" t="s">
        <v>7</v>
      </c>
      <c r="AE182" s="9" t="s">
        <v>8</v>
      </c>
      <c r="AF182" s="9" t="s">
        <v>9</v>
      </c>
      <c r="AG182" s="9" t="s">
        <v>10</v>
      </c>
      <c r="AH182" s="44" t="s">
        <v>139</v>
      </c>
    </row>
    <row r="183" spans="6:34" x14ac:dyDescent="0.35">
      <c r="F183">
        <v>314.73568</v>
      </c>
      <c r="G183">
        <v>321.88013000000001</v>
      </c>
      <c r="H183" s="2">
        <f t="shared" si="54"/>
        <v>7.1444500000000062</v>
      </c>
      <c r="I183" s="2">
        <f t="shared" si="55"/>
        <v>15.680790000000002</v>
      </c>
      <c r="J183" s="2">
        <f t="shared" si="56"/>
        <v>0.31300656641507402</v>
      </c>
      <c r="K183" s="2">
        <f t="shared" si="57"/>
        <v>0.68699343358492604</v>
      </c>
      <c r="L183" s="2">
        <f t="shared" si="58"/>
        <v>0.13996878696050769</v>
      </c>
      <c r="M183" s="2">
        <f t="shared" si="59"/>
        <v>4.381114941179149E-2</v>
      </c>
      <c r="N183" s="2">
        <f t="shared" si="60"/>
        <v>22.825240000000008</v>
      </c>
      <c r="O183">
        <v>72</v>
      </c>
      <c r="P183">
        <f t="shared" si="52"/>
        <v>10.077752661156554</v>
      </c>
      <c r="Y183" s="49" t="s">
        <v>77</v>
      </c>
      <c r="Z183" s="2">
        <f>AVERAGE(Z168:Z178)</f>
        <v>8.8915481818181856</v>
      </c>
      <c r="AA183" s="2">
        <f t="shared" ref="AA183:AH183" si="68">AVERAGE(AA168:AA178)</f>
        <v>11.87678545454545</v>
      </c>
      <c r="AB183" s="2">
        <f t="shared" si="68"/>
        <v>0.42995778712438476</v>
      </c>
      <c r="AC183" s="2">
        <f t="shared" si="68"/>
        <v>0.5700422128756153</v>
      </c>
      <c r="AD183" s="2">
        <f t="shared" si="68"/>
        <v>0.11372514836007004</v>
      </c>
      <c r="AE183" s="2">
        <f t="shared" si="68"/>
        <v>4.8530642499235284E-2</v>
      </c>
      <c r="AF183" s="2">
        <f t="shared" si="68"/>
        <v>20.768333636363636</v>
      </c>
      <c r="AG183" s="2">
        <f t="shared" si="68"/>
        <v>125.27272727272727</v>
      </c>
      <c r="AH183" s="2">
        <f t="shared" si="68"/>
        <v>14.108122511549135</v>
      </c>
    </row>
    <row r="184" spans="6:34" x14ac:dyDescent="0.35">
      <c r="F184">
        <v>337.56092000000001</v>
      </c>
      <c r="G184">
        <v>344.37207999999998</v>
      </c>
      <c r="H184" s="2">
        <f t="shared" si="54"/>
        <v>6.8111599999999726</v>
      </c>
      <c r="I184" s="2">
        <f t="shared" si="55"/>
        <v>17.044250000000034</v>
      </c>
      <c r="J184" s="2">
        <f t="shared" si="56"/>
        <v>0.28551846310752871</v>
      </c>
      <c r="K184" s="2">
        <f t="shared" si="57"/>
        <v>0.71448153689247129</v>
      </c>
      <c r="L184" s="2">
        <f t="shared" si="58"/>
        <v>0.14681786949653275</v>
      </c>
      <c r="M184" s="2">
        <f t="shared" si="59"/>
        <v>4.1919212455371745E-2</v>
      </c>
      <c r="N184" s="2">
        <f t="shared" si="60"/>
        <v>23.855410000000006</v>
      </c>
      <c r="O184">
        <v>69</v>
      </c>
      <c r="P184">
        <f t="shared" si="52"/>
        <v>10.13043299526076</v>
      </c>
      <c r="Y184" s="49" t="s">
        <v>94</v>
      </c>
      <c r="Z184" s="2">
        <f>_xlfn.STDEV.S(Z168:Z178)</f>
        <v>0.99104479926810429</v>
      </c>
      <c r="AA184" s="2">
        <f t="shared" ref="AA184:AH184" si="69">_xlfn.STDEV.S(AA168:AA178)</f>
        <v>1.8541971411495757</v>
      </c>
      <c r="AB184" s="2">
        <f t="shared" si="69"/>
        <v>4.8940858202907007E-2</v>
      </c>
      <c r="AC184" s="2">
        <f t="shared" si="69"/>
        <v>4.8940858202906307E-2</v>
      </c>
      <c r="AD184" s="2">
        <f t="shared" si="69"/>
        <v>1.2546367412179078E-2</v>
      </c>
      <c r="AE184" s="2">
        <f t="shared" si="69"/>
        <v>4.4471899468188905E-3</v>
      </c>
      <c r="AF184" s="2">
        <f t="shared" si="69"/>
        <v>1.9648480018478407</v>
      </c>
      <c r="AG184" s="2">
        <f t="shared" si="69"/>
        <v>13.191595120309819</v>
      </c>
      <c r="AH184" s="2">
        <f t="shared" si="69"/>
        <v>0.61308009598503643</v>
      </c>
    </row>
    <row r="185" spans="6:34" x14ac:dyDescent="0.35">
      <c r="F185">
        <v>361.41633000000002</v>
      </c>
      <c r="G185">
        <v>367.65913</v>
      </c>
      <c r="H185" s="2">
        <f t="shared" si="54"/>
        <v>6.2427999999999884</v>
      </c>
      <c r="I185" s="2">
        <f t="shared" si="55"/>
        <v>15.500569999999982</v>
      </c>
      <c r="J185" s="2">
        <f t="shared" si="56"/>
        <v>0.28711280726032795</v>
      </c>
      <c r="K185" s="2">
        <f t="shared" si="57"/>
        <v>0.71288719273967205</v>
      </c>
      <c r="L185" s="2">
        <f t="shared" si="58"/>
        <v>0.16018453258153423</v>
      </c>
      <c r="M185" s="2">
        <f t="shared" si="59"/>
        <v>4.5991030829167757E-2</v>
      </c>
      <c r="N185" s="2">
        <f t="shared" si="60"/>
        <v>21.74336999999997</v>
      </c>
      <c r="O185">
        <v>72</v>
      </c>
      <c r="P185">
        <f t="shared" si="52"/>
        <v>11.533286345870465</v>
      </c>
      <c r="Y185" s="49" t="s">
        <v>95</v>
      </c>
      <c r="Z185" s="2">
        <f>Z184/SQRT(COUNT(Z168:Z178))</f>
        <v>0.298811249964126</v>
      </c>
      <c r="AA185" s="2">
        <f t="shared" ref="AA185:AH185" si="70">AA184/SQRT(COUNT(AA168:AA178))</f>
        <v>0.5590614731402539</v>
      </c>
      <c r="AB185" s="2">
        <f t="shared" si="70"/>
        <v>1.4756223961548165E-2</v>
      </c>
      <c r="AC185" s="2">
        <f t="shared" si="70"/>
        <v>1.4756223961547953E-2</v>
      </c>
      <c r="AD185" s="2">
        <f t="shared" si="70"/>
        <v>3.7828721080127507E-3</v>
      </c>
      <c r="AE185" s="2">
        <f t="shared" si="70"/>
        <v>1.3408782204580767E-3</v>
      </c>
      <c r="AF185" s="2">
        <f t="shared" si="70"/>
        <v>0.59242396292807464</v>
      </c>
      <c r="AG185" s="2">
        <f t="shared" si="70"/>
        <v>3.9774155818500789</v>
      </c>
      <c r="AH185" s="2">
        <f t="shared" si="70"/>
        <v>0.18485060407431272</v>
      </c>
    </row>
    <row r="186" spans="6:34" x14ac:dyDescent="0.35">
      <c r="F186">
        <v>383.15969999999999</v>
      </c>
      <c r="G186">
        <v>389.13001000000003</v>
      </c>
      <c r="H186" s="2">
        <f t="shared" si="54"/>
        <v>5.9703100000000404</v>
      </c>
      <c r="I186" s="2">
        <f t="shared" si="55"/>
        <v>15.616439999999955</v>
      </c>
      <c r="J186" s="2">
        <f t="shared" si="56"/>
        <v>0.27657289772661664</v>
      </c>
      <c r="K186" s="2">
        <f t="shared" si="57"/>
        <v>0.72342710227338336</v>
      </c>
      <c r="L186" s="2">
        <f t="shared" si="58"/>
        <v>0.16749549018392568</v>
      </c>
      <c r="M186" s="2">
        <f t="shared" si="59"/>
        <v>4.6324713076308394E-2</v>
      </c>
      <c r="N186" s="2">
        <f t="shared" si="60"/>
        <v>21.586749999999995</v>
      </c>
      <c r="O186">
        <v>66</v>
      </c>
      <c r="P186">
        <f t="shared" si="52"/>
        <v>11.054702352139094</v>
      </c>
    </row>
    <row r="187" spans="6:34" x14ac:dyDescent="0.35">
      <c r="F187">
        <v>404.74644999999998</v>
      </c>
      <c r="G187">
        <v>410.65933000000001</v>
      </c>
      <c r="H187" s="2">
        <f t="shared" si="54"/>
        <v>5.9128800000000297</v>
      </c>
      <c r="I187" s="2">
        <f t="shared" si="55"/>
        <v>17.378679999999974</v>
      </c>
      <c r="J187" s="2">
        <f t="shared" si="56"/>
        <v>0.25386363128961859</v>
      </c>
      <c r="K187" s="2">
        <f t="shared" si="57"/>
        <v>0.74613636871038147</v>
      </c>
      <c r="L187" s="2">
        <f t="shared" si="58"/>
        <v>0.16912232279362932</v>
      </c>
      <c r="M187" s="2">
        <f t="shared" si="59"/>
        <v>4.2934006996525775E-2</v>
      </c>
      <c r="N187" s="2">
        <f t="shared" si="60"/>
        <v>23.291560000000004</v>
      </c>
      <c r="O187">
        <v>62</v>
      </c>
      <c r="P187">
        <f t="shared" si="52"/>
        <v>10.485584013205019</v>
      </c>
    </row>
    <row r="188" spans="6:34" x14ac:dyDescent="0.35">
      <c r="F188">
        <v>428.03800999999999</v>
      </c>
      <c r="G188">
        <v>434.34800999999999</v>
      </c>
      <c r="H188" s="2">
        <f t="shared" si="54"/>
        <v>6.3100000000000023</v>
      </c>
      <c r="I188" s="2">
        <f t="shared" si="55"/>
        <v>28.565960000000018</v>
      </c>
      <c r="J188" s="2">
        <f t="shared" si="56"/>
        <v>0.18092691928766974</v>
      </c>
      <c r="K188" s="2">
        <f t="shared" si="57"/>
        <v>0.8190730807123302</v>
      </c>
      <c r="L188" s="2">
        <f t="shared" si="58"/>
        <v>0.15847860538827252</v>
      </c>
      <c r="M188" s="2">
        <f t="shared" si="59"/>
        <v>2.8673045845906447E-2</v>
      </c>
      <c r="N188" s="2">
        <f t="shared" si="60"/>
        <v>34.875960000000021</v>
      </c>
      <c r="O188">
        <v>60</v>
      </c>
      <c r="P188">
        <f t="shared" si="52"/>
        <v>9.5087163232963512</v>
      </c>
    </row>
    <row r="189" spans="6:34" x14ac:dyDescent="0.35">
      <c r="F189">
        <v>462.91397000000001</v>
      </c>
      <c r="G189">
        <v>470.74993000000001</v>
      </c>
      <c r="H189" s="2">
        <f t="shared" si="54"/>
        <v>7.83596</v>
      </c>
      <c r="I189" s="2">
        <f t="shared" si="55"/>
        <v>15.240909999999985</v>
      </c>
      <c r="J189" s="2">
        <f t="shared" si="56"/>
        <v>0.33955904765247646</v>
      </c>
      <c r="K189" s="2">
        <f t="shared" si="57"/>
        <v>0.66044095234752354</v>
      </c>
      <c r="L189" s="2">
        <f t="shared" si="58"/>
        <v>0.12761678211731556</v>
      </c>
      <c r="M189" s="2">
        <f t="shared" si="59"/>
        <v>4.3333433000229259E-2</v>
      </c>
      <c r="N189" s="2">
        <f t="shared" si="60"/>
        <v>23.076869999999985</v>
      </c>
      <c r="O189">
        <v>76</v>
      </c>
      <c r="P189">
        <f t="shared" si="52"/>
        <v>9.6988754409159821</v>
      </c>
    </row>
    <row r="190" spans="6:34" x14ac:dyDescent="0.35">
      <c r="F190">
        <v>485.99083999999999</v>
      </c>
      <c r="G190">
        <v>492.30536000000001</v>
      </c>
      <c r="H190" s="2">
        <f t="shared" si="54"/>
        <v>6.3145200000000159</v>
      </c>
      <c r="I190" s="2">
        <f t="shared" si="55"/>
        <v>16.238760000000013</v>
      </c>
      <c r="J190" s="2">
        <f t="shared" si="56"/>
        <v>0.27998233516366611</v>
      </c>
      <c r="K190" s="2">
        <f t="shared" si="57"/>
        <v>0.72001766483633389</v>
      </c>
      <c r="L190" s="2">
        <f t="shared" si="58"/>
        <v>0.15836516473144396</v>
      </c>
      <c r="M190" s="2">
        <f t="shared" si="59"/>
        <v>4.4339448630088339E-2</v>
      </c>
      <c r="N190" s="2">
        <f t="shared" si="60"/>
        <v>22.553280000000029</v>
      </c>
      <c r="O190">
        <v>68</v>
      </c>
      <c r="P190">
        <f t="shared" si="52"/>
        <v>10.768831201738189</v>
      </c>
    </row>
    <row r="191" spans="6:34" x14ac:dyDescent="0.35">
      <c r="F191">
        <v>508.54412000000002</v>
      </c>
      <c r="G191">
        <v>515.22730999999999</v>
      </c>
      <c r="H191" s="2">
        <f t="shared" si="54"/>
        <v>6.6831899999999678</v>
      </c>
      <c r="I191" s="2">
        <f t="shared" si="55"/>
        <v>18.538980000000038</v>
      </c>
      <c r="J191" s="2">
        <f t="shared" si="56"/>
        <v>0.2649728393710758</v>
      </c>
      <c r="K191" s="2">
        <f t="shared" si="57"/>
        <v>0.73502716062892426</v>
      </c>
      <c r="L191" s="2">
        <f t="shared" si="58"/>
        <v>0.14962914416618484</v>
      </c>
      <c r="M191" s="2">
        <f t="shared" si="59"/>
        <v>3.9647659182378031E-2</v>
      </c>
      <c r="N191" s="2">
        <f t="shared" si="60"/>
        <v>25.222170000000006</v>
      </c>
      <c r="O191">
        <v>76</v>
      </c>
      <c r="P191">
        <f t="shared" si="52"/>
        <v>11.371814956630047</v>
      </c>
    </row>
    <row r="192" spans="6:34" x14ac:dyDescent="0.35">
      <c r="F192">
        <v>533.76629000000003</v>
      </c>
      <c r="G192">
        <v>540.10518000000002</v>
      </c>
      <c r="H192" s="2">
        <f t="shared" si="54"/>
        <v>6.3388899999999921</v>
      </c>
      <c r="I192" s="2">
        <f t="shared" si="55"/>
        <v>19.289890000000014</v>
      </c>
      <c r="J192" s="2">
        <f t="shared" si="56"/>
        <v>0.24733483216914698</v>
      </c>
      <c r="K192" s="2">
        <f t="shared" si="57"/>
        <v>0.75266516783085302</v>
      </c>
      <c r="L192" s="2">
        <f t="shared" si="58"/>
        <v>0.15775632642308057</v>
      </c>
      <c r="M192" s="2">
        <f t="shared" si="59"/>
        <v>3.9018634519473801E-2</v>
      </c>
      <c r="N192" s="2">
        <f t="shared" si="60"/>
        <v>25.628780000000006</v>
      </c>
      <c r="O192">
        <v>71</v>
      </c>
      <c r="P192">
        <f t="shared" si="52"/>
        <v>11.200699176038722</v>
      </c>
    </row>
    <row r="193" spans="6:16" x14ac:dyDescent="0.35">
      <c r="F193">
        <v>559.39507000000003</v>
      </c>
      <c r="G193">
        <v>566.57245999999998</v>
      </c>
      <c r="H193" s="2">
        <f t="shared" si="54"/>
        <v>7.1773899999999458</v>
      </c>
      <c r="I193" s="2">
        <f t="shared" si="55"/>
        <v>9.6564300000000003</v>
      </c>
      <c r="J193" s="2">
        <f t="shared" si="56"/>
        <v>0.42636727730247614</v>
      </c>
      <c r="K193" s="2">
        <f t="shared" si="57"/>
        <v>0.57363272269752386</v>
      </c>
      <c r="L193" s="2">
        <f t="shared" si="58"/>
        <v>0.13932641252600284</v>
      </c>
      <c r="M193" s="2">
        <f t="shared" si="59"/>
        <v>5.9404223165033437E-2</v>
      </c>
      <c r="N193" s="2">
        <f t="shared" si="60"/>
        <v>16.833819999999946</v>
      </c>
      <c r="O193">
        <v>54</v>
      </c>
      <c r="P193">
        <f t="shared" si="52"/>
        <v>7.5236262764041539</v>
      </c>
    </row>
    <row r="194" spans="6:16" x14ac:dyDescent="0.35">
      <c r="F194">
        <v>576.22888999999998</v>
      </c>
      <c r="G194">
        <v>582.52139999999997</v>
      </c>
      <c r="H194" s="2">
        <f t="shared" si="54"/>
        <v>6.2925099999999929</v>
      </c>
      <c r="I194" s="2">
        <f t="shared" si="55"/>
        <v>17.595270000000028</v>
      </c>
      <c r="J194" s="2">
        <f t="shared" si="56"/>
        <v>0.26341962292017035</v>
      </c>
      <c r="K194" s="2">
        <f t="shared" si="57"/>
        <v>0.7365803770798296</v>
      </c>
      <c r="L194" s="2">
        <f t="shared" si="58"/>
        <v>0.1589190958774799</v>
      </c>
      <c r="M194" s="2">
        <f t="shared" si="59"/>
        <v>4.1862408310860161E-2</v>
      </c>
      <c r="N194" s="2">
        <f t="shared" si="60"/>
        <v>23.887780000000021</v>
      </c>
      <c r="O194">
        <v>67</v>
      </c>
      <c r="P194">
        <f t="shared" si="52"/>
        <v>10.647579423791154</v>
      </c>
    </row>
    <row r="195" spans="6:16" x14ac:dyDescent="0.35">
      <c r="F195">
        <v>600.11667</v>
      </c>
      <c r="G195">
        <v>606.96689000000003</v>
      </c>
      <c r="H195" s="2">
        <f t="shared" si="54"/>
        <v>6.8502200000000357</v>
      </c>
      <c r="I195" s="2">
        <f t="shared" si="55"/>
        <v>16.419239999999945</v>
      </c>
      <c r="J195" s="2">
        <f t="shared" si="56"/>
        <v>0.29438671976058067</v>
      </c>
      <c r="K195" s="2">
        <f t="shared" si="57"/>
        <v>0.70561328023941938</v>
      </c>
      <c r="L195" s="2">
        <f t="shared" si="58"/>
        <v>0.14598071302819396</v>
      </c>
      <c r="M195" s="2">
        <f t="shared" si="59"/>
        <v>4.2974783256680679E-2</v>
      </c>
      <c r="N195" s="2">
        <f t="shared" si="60"/>
        <v>23.269459999999981</v>
      </c>
      <c r="O195">
        <v>76</v>
      </c>
      <c r="P195">
        <f t="shared" si="52"/>
        <v>11.09453419014274</v>
      </c>
    </row>
    <row r="196" spans="6:16" x14ac:dyDescent="0.35">
      <c r="F196">
        <v>623.38612999999998</v>
      </c>
      <c r="G196">
        <v>629.98122000000001</v>
      </c>
      <c r="H196" s="2">
        <f t="shared" si="54"/>
        <v>6.5950900000000274</v>
      </c>
      <c r="I196" s="2">
        <f t="shared" si="55"/>
        <v>16.632380000000012</v>
      </c>
      <c r="J196" s="2">
        <f t="shared" si="56"/>
        <v>0.28393492704973966</v>
      </c>
      <c r="K196" s="2">
        <f t="shared" si="57"/>
        <v>0.71606507295026034</v>
      </c>
      <c r="L196" s="2">
        <f t="shared" si="58"/>
        <v>0.15162795352299904</v>
      </c>
      <c r="M196" s="2">
        <f t="shared" si="59"/>
        <v>4.3052471922254053E-2</v>
      </c>
      <c r="N196" s="2">
        <f t="shared" si="60"/>
        <v>23.227470000000039</v>
      </c>
      <c r="O196">
        <v>72</v>
      </c>
      <c r="P196">
        <f t="shared" si="52"/>
        <v>10.917212653655932</v>
      </c>
    </row>
    <row r="197" spans="6:16" x14ac:dyDescent="0.35">
      <c r="F197">
        <v>646.61360000000002</v>
      </c>
      <c r="G197">
        <v>653.19911000000002</v>
      </c>
      <c r="H197" s="2">
        <f t="shared" si="54"/>
        <v>6.5855099999999993</v>
      </c>
      <c r="I197" s="2">
        <f t="shared" si="55"/>
        <v>17.231710000000021</v>
      </c>
      <c r="J197" s="2">
        <f t="shared" si="56"/>
        <v>0.27650204347946544</v>
      </c>
      <c r="K197" s="2">
        <f t="shared" si="57"/>
        <v>0.72349795652053461</v>
      </c>
      <c r="L197" s="2">
        <f t="shared" si="58"/>
        <v>0.15184852805629331</v>
      </c>
      <c r="M197" s="2">
        <f t="shared" si="59"/>
        <v>4.1986428306914035E-2</v>
      </c>
      <c r="N197" s="2">
        <f t="shared" si="60"/>
        <v>23.81722000000002</v>
      </c>
      <c r="O197">
        <v>80</v>
      </c>
      <c r="P197">
        <f t="shared" si="52"/>
        <v>12.147882244503464</v>
      </c>
    </row>
    <row r="198" spans="6:16" x14ac:dyDescent="0.35">
      <c r="F198">
        <v>670.43082000000004</v>
      </c>
      <c r="G198">
        <v>676.92436999999995</v>
      </c>
      <c r="H198" s="2">
        <f t="shared" si="54"/>
        <v>6.4935499999999138</v>
      </c>
      <c r="I198" s="2">
        <f t="shared" si="55"/>
        <v>26.644260000000031</v>
      </c>
      <c r="J198" s="2">
        <f t="shared" si="56"/>
        <v>0.19595591863191697</v>
      </c>
      <c r="K198" s="2">
        <f t="shared" si="57"/>
        <v>0.80404408136808303</v>
      </c>
      <c r="L198" s="2">
        <f t="shared" si="58"/>
        <v>0.15399896820691505</v>
      </c>
      <c r="M198" s="2">
        <f t="shared" si="59"/>
        <v>3.0177009283353415E-2</v>
      </c>
      <c r="N198" s="2">
        <f t="shared" si="60"/>
        <v>33.137809999999945</v>
      </c>
      <c r="O198">
        <v>82</v>
      </c>
      <c r="P198">
        <f t="shared" si="52"/>
        <v>12.627915392967035</v>
      </c>
    </row>
    <row r="199" spans="6:16" x14ac:dyDescent="0.35">
      <c r="F199">
        <v>703.56862999999998</v>
      </c>
      <c r="G199">
        <v>710.06546000000003</v>
      </c>
      <c r="H199" s="2">
        <f t="shared" si="54"/>
        <v>6.4968300000000454</v>
      </c>
      <c r="I199" s="2">
        <f t="shared" si="55"/>
        <v>16.984169999999949</v>
      </c>
      <c r="J199" s="2">
        <f t="shared" si="56"/>
        <v>0.27668455346876397</v>
      </c>
      <c r="K199" s="2">
        <f t="shared" si="57"/>
        <v>0.72331544653123603</v>
      </c>
      <c r="L199" s="2">
        <f t="shared" si="58"/>
        <v>0.15392122004115746</v>
      </c>
      <c r="M199" s="2">
        <f t="shared" si="59"/>
        <v>4.2587624036455017E-2</v>
      </c>
      <c r="N199" s="2">
        <f t="shared" si="60"/>
        <v>23.480999999999995</v>
      </c>
      <c r="O199">
        <v>86</v>
      </c>
      <c r="P199">
        <f t="shared" si="52"/>
        <v>13.237224923539541</v>
      </c>
    </row>
    <row r="200" spans="6:16" x14ac:dyDescent="0.35">
      <c r="F200">
        <v>727.04962999999998</v>
      </c>
      <c r="G200">
        <v>733.41219999999998</v>
      </c>
      <c r="H200" s="2">
        <f t="shared" si="54"/>
        <v>6.3625700000000052</v>
      </c>
      <c r="I200" s="2">
        <f t="shared" si="55"/>
        <v>16.256619999999998</v>
      </c>
      <c r="J200" s="2">
        <f t="shared" si="56"/>
        <v>0.28129079776950477</v>
      </c>
      <c r="K200" s="2">
        <f t="shared" si="57"/>
        <v>0.71870920223049528</v>
      </c>
      <c r="L200" s="2">
        <f t="shared" si="58"/>
        <v>0.15716919420925807</v>
      </c>
      <c r="M200" s="2">
        <f t="shared" si="59"/>
        <v>4.4210248023912435E-2</v>
      </c>
      <c r="N200" s="2">
        <f t="shared" si="60"/>
        <v>22.619190000000003</v>
      </c>
      <c r="O200">
        <v>80</v>
      </c>
      <c r="P200">
        <f t="shared" si="52"/>
        <v>12.573535536740646</v>
      </c>
    </row>
    <row r="201" spans="6:16" x14ac:dyDescent="0.35">
      <c r="F201">
        <v>749.66881999999998</v>
      </c>
      <c r="G201">
        <v>755.93574000000001</v>
      </c>
      <c r="H201" s="2">
        <f t="shared" si="54"/>
        <v>6.2669200000000274</v>
      </c>
      <c r="I201" s="2">
        <f t="shared" si="55"/>
        <v>19.795960000000036</v>
      </c>
      <c r="J201" s="2">
        <f t="shared" si="56"/>
        <v>0.24045385621236073</v>
      </c>
      <c r="K201" s="2">
        <f t="shared" si="57"/>
        <v>0.75954614378763929</v>
      </c>
      <c r="L201" s="2">
        <f t="shared" si="58"/>
        <v>0.15956801746312313</v>
      </c>
      <c r="M201" s="2">
        <f t="shared" si="59"/>
        <v>3.8368745127169278E-2</v>
      </c>
      <c r="N201" s="2">
        <f t="shared" si="60"/>
        <v>26.062880000000064</v>
      </c>
      <c r="O201">
        <v>74</v>
      </c>
      <c r="P201">
        <f t="shared" si="52"/>
        <v>11.808033292271112</v>
      </c>
    </row>
    <row r="202" spans="6:16" x14ac:dyDescent="0.35">
      <c r="F202">
        <v>775.73170000000005</v>
      </c>
      <c r="G202">
        <v>782.67607999999996</v>
      </c>
      <c r="H202" s="2">
        <f t="shared" si="54"/>
        <v>6.9443799999999101</v>
      </c>
      <c r="I202" s="2">
        <f t="shared" si="55"/>
        <v>18.43238000000008</v>
      </c>
      <c r="J202" s="2">
        <f t="shared" si="56"/>
        <v>0.27365116744611656</v>
      </c>
      <c r="K202" s="2">
        <f t="shared" si="57"/>
        <v>0.72634883255388349</v>
      </c>
      <c r="L202" s="2">
        <f t="shared" si="58"/>
        <v>0.14400133633240303</v>
      </c>
      <c r="M202" s="2">
        <f t="shared" si="59"/>
        <v>3.9406133801162972E-2</v>
      </c>
      <c r="N202" s="2">
        <f t="shared" si="60"/>
        <v>25.37675999999999</v>
      </c>
      <c r="O202">
        <v>82</v>
      </c>
      <c r="P202">
        <f t="shared" si="52"/>
        <v>11.808109579257048</v>
      </c>
    </row>
    <row r="203" spans="6:16" x14ac:dyDescent="0.35">
      <c r="F203">
        <v>801.10846000000004</v>
      </c>
      <c r="G203">
        <v>807.34279000000004</v>
      </c>
      <c r="H203" s="2">
        <f t="shared" si="54"/>
        <v>6.2343299999999999</v>
      </c>
      <c r="I203" s="2">
        <f t="shared" si="55"/>
        <v>21.459309999999959</v>
      </c>
      <c r="J203" s="2">
        <f t="shared" si="56"/>
        <v>0.22511775266812195</v>
      </c>
      <c r="K203" s="2">
        <f t="shared" si="57"/>
        <v>0.77488224733187805</v>
      </c>
      <c r="L203" s="2">
        <f t="shared" si="58"/>
        <v>0.16040216029629487</v>
      </c>
      <c r="M203" s="2">
        <f t="shared" si="59"/>
        <v>3.6109373849013762E-2</v>
      </c>
      <c r="N203" s="2">
        <f t="shared" si="60"/>
        <v>27.693639999999959</v>
      </c>
      <c r="O203">
        <v>71</v>
      </c>
      <c r="P203">
        <f t="shared" si="52"/>
        <v>11.388553381036935</v>
      </c>
    </row>
    <row r="204" spans="6:16" x14ac:dyDescent="0.35">
      <c r="F204">
        <v>828.8021</v>
      </c>
      <c r="G204">
        <v>834.88579000000004</v>
      </c>
      <c r="H204" s="2">
        <f t="shared" si="54"/>
        <v>6.0836900000000469</v>
      </c>
      <c r="I204" s="2">
        <f t="shared" si="55"/>
        <v>30.32540999999992</v>
      </c>
      <c r="J204" s="2">
        <f t="shared" si="56"/>
        <v>0.16709256751746274</v>
      </c>
      <c r="K204" s="2">
        <f t="shared" si="57"/>
        <v>0.83290743248253729</v>
      </c>
      <c r="L204" s="2">
        <f t="shared" si="58"/>
        <v>0.16437392437813109</v>
      </c>
      <c r="M204" s="2">
        <f t="shared" si="59"/>
        <v>2.7465661057263183E-2</v>
      </c>
      <c r="N204" s="2">
        <f t="shared" si="60"/>
        <v>36.409099999999967</v>
      </c>
      <c r="O204">
        <v>71</v>
      </c>
      <c r="P204">
        <f t="shared" si="52"/>
        <v>11.670548630847307</v>
      </c>
    </row>
    <row r="205" spans="6:16" x14ac:dyDescent="0.35">
      <c r="F205">
        <v>865.21119999999996</v>
      </c>
      <c r="G205">
        <v>871.46353999999997</v>
      </c>
      <c r="H205" s="2">
        <f>G205-F205</f>
        <v>6.2523400000000038</v>
      </c>
      <c r="I205" s="2">
        <f t="shared" si="55"/>
        <v>28.178949999999986</v>
      </c>
      <c r="J205" s="2">
        <f t="shared" si="56"/>
        <v>0.18158889777292705</v>
      </c>
      <c r="K205" s="2">
        <f t="shared" si="57"/>
        <v>0.81841110222707292</v>
      </c>
      <c r="L205" s="2">
        <f t="shared" si="58"/>
        <v>0.15994011841966357</v>
      </c>
      <c r="M205" s="2">
        <f t="shared" si="59"/>
        <v>2.9043349813498136E-2</v>
      </c>
      <c r="N205" s="2">
        <f t="shared" si="60"/>
        <v>34.43128999999999</v>
      </c>
      <c r="O205">
        <v>64</v>
      </c>
      <c r="P205">
        <f t="shared" si="52"/>
        <v>10.236167578858469</v>
      </c>
    </row>
    <row r="206" spans="6:16" x14ac:dyDescent="0.35">
      <c r="F206">
        <v>899.64248999999995</v>
      </c>
      <c r="G206">
        <v>907.00112000000001</v>
      </c>
      <c r="H206" s="2">
        <f>G206-F206</f>
        <v>7.358630000000062</v>
      </c>
      <c r="I206" s="2">
        <f>F207-G206</f>
        <v>28.520980000000009</v>
      </c>
      <c r="J206" s="2">
        <f>H206/N206</f>
        <v>0.20509225156014926</v>
      </c>
      <c r="K206" s="2">
        <f>I206/N206</f>
        <v>0.79490774843985068</v>
      </c>
      <c r="L206" s="2">
        <f>1/H206</f>
        <v>0.13589486086404556</v>
      </c>
      <c r="M206" s="2">
        <f>1/N206</f>
        <v>2.7870982990060317E-2</v>
      </c>
      <c r="N206" s="2">
        <f>H206+I206</f>
        <v>35.879610000000071</v>
      </c>
      <c r="O206">
        <v>83</v>
      </c>
      <c r="P206">
        <f t="shared" si="52"/>
        <v>11.279273451715781</v>
      </c>
    </row>
    <row r="207" spans="6:16" x14ac:dyDescent="0.35">
      <c r="F207">
        <v>935.52210000000002</v>
      </c>
      <c r="G207">
        <v>941.89462000000003</v>
      </c>
      <c r="H207" s="2">
        <f>G207-F207</f>
        <v>6.3725200000000086</v>
      </c>
      <c r="I207" s="2">
        <f>F208-G207</f>
        <v>16.707829999999944</v>
      </c>
      <c r="J207" s="2">
        <f>H207/N207</f>
        <v>0.27610153225579426</v>
      </c>
      <c r="K207" s="2">
        <f>I207/N207</f>
        <v>0.72389846774420574</v>
      </c>
      <c r="L207" s="2">
        <f>1/H207</f>
        <v>0.15692379152988123</v>
      </c>
      <c r="M207" s="2">
        <f>1/N207</f>
        <v>4.3326899288789036E-2</v>
      </c>
      <c r="N207" s="2">
        <f>H207+I207</f>
        <v>23.080349999999953</v>
      </c>
      <c r="O207">
        <v>65</v>
      </c>
      <c r="P207">
        <f t="shared" si="52"/>
        <v>10.200046449442279</v>
      </c>
    </row>
    <row r="208" spans="6:16" x14ac:dyDescent="0.35">
      <c r="F208">
        <v>958.60244999999998</v>
      </c>
      <c r="G208">
        <v>959.97496000000001</v>
      </c>
      <c r="H208" s="2">
        <f>G208-F208</f>
        <v>1.3725100000000339</v>
      </c>
      <c r="I208" s="2"/>
      <c r="J208" s="2"/>
      <c r="K208" s="2"/>
      <c r="L208" s="2"/>
      <c r="M208" s="2"/>
      <c r="N208" s="2"/>
    </row>
    <row r="212" spans="6:34" ht="16" thickBot="1" x14ac:dyDescent="0.4">
      <c r="G212" s="13"/>
      <c r="H212" s="9" t="s">
        <v>3</v>
      </c>
      <c r="I212" s="9" t="s">
        <v>4</v>
      </c>
      <c r="J212" s="9" t="s">
        <v>5</v>
      </c>
      <c r="K212" s="9" t="s">
        <v>6</v>
      </c>
      <c r="L212" s="9" t="s">
        <v>7</v>
      </c>
      <c r="M212" s="9" t="s">
        <v>8</v>
      </c>
      <c r="N212" s="9" t="s">
        <v>9</v>
      </c>
      <c r="O212" s="9" t="s">
        <v>10</v>
      </c>
      <c r="P212" s="44" t="s">
        <v>139</v>
      </c>
    </row>
    <row r="213" spans="6:34" x14ac:dyDescent="0.35">
      <c r="G213" s="49" t="s">
        <v>77</v>
      </c>
      <c r="H213" s="2">
        <f>AVERAGE(H168:H207)</f>
        <v>6.5529667500000013</v>
      </c>
      <c r="I213" s="2">
        <f t="shared" ref="I213:P213" si="71">AVERAGE(I168:I207)</f>
        <v>17.214957999999999</v>
      </c>
      <c r="J213" s="2">
        <f t="shared" si="71"/>
        <v>0.28940584169290029</v>
      </c>
      <c r="K213" s="2">
        <f t="shared" si="71"/>
        <v>0.71059415830709971</v>
      </c>
      <c r="L213" s="2">
        <f t="shared" si="71"/>
        <v>0.15461183414593738</v>
      </c>
      <c r="M213" s="2">
        <f t="shared" si="71"/>
        <v>4.4186295236222708E-2</v>
      </c>
      <c r="N213" s="2">
        <f t="shared" si="71"/>
        <v>23.767924749999999</v>
      </c>
      <c r="O213" s="2">
        <f t="shared" si="71"/>
        <v>67.474999999999994</v>
      </c>
      <c r="P213" s="2">
        <f t="shared" si="71"/>
        <v>10.379181013662407</v>
      </c>
    </row>
    <row r="214" spans="6:34" x14ac:dyDescent="0.35">
      <c r="G214" s="49" t="s">
        <v>94</v>
      </c>
      <c r="H214" s="2">
        <f>_xlfn.STDEV.S(H168:H207)</f>
        <v>0.85819072400673835</v>
      </c>
      <c r="I214" s="2">
        <f t="shared" ref="I214:P214" si="72">_xlfn.STDEV.S(I168:I207)</f>
        <v>5.3493358334317413</v>
      </c>
      <c r="J214" s="2">
        <f t="shared" si="72"/>
        <v>7.8021501357998804E-2</v>
      </c>
      <c r="K214" s="2">
        <f t="shared" si="72"/>
        <v>7.8021501357998069E-2</v>
      </c>
      <c r="L214" s="2">
        <f t="shared" si="72"/>
        <v>1.6210695518789398E-2</v>
      </c>
      <c r="M214" s="2">
        <f t="shared" si="72"/>
        <v>1.0355296382424248E-2</v>
      </c>
      <c r="N214" s="2">
        <f t="shared" si="72"/>
        <v>5.3090128668341077</v>
      </c>
      <c r="O214" s="2">
        <f t="shared" si="72"/>
        <v>9.7058996069136896</v>
      </c>
      <c r="P214" s="2">
        <f t="shared" si="72"/>
        <v>1.5127988367194456</v>
      </c>
    </row>
    <row r="215" spans="6:34" x14ac:dyDescent="0.35">
      <c r="G215" s="49" t="s">
        <v>95</v>
      </c>
      <c r="H215" s="2">
        <f>H214/SQRT(COUNT(H168:H207))</f>
        <v>0.13569186773451178</v>
      </c>
      <c r="I215" s="2">
        <f t="shared" ref="I215:P215" si="73">I214/SQRT(COUNT(I168:I207))</f>
        <v>0.84580426013996968</v>
      </c>
      <c r="J215" s="2">
        <f t="shared" si="73"/>
        <v>1.2336282537859823E-2</v>
      </c>
      <c r="K215" s="2">
        <f t="shared" si="73"/>
        <v>1.2336282537859707E-2</v>
      </c>
      <c r="L215" s="2">
        <f t="shared" si="73"/>
        <v>2.5631360147429683E-3</v>
      </c>
      <c r="M215" s="2">
        <f t="shared" si="73"/>
        <v>1.6373161207281317E-3</v>
      </c>
      <c r="N215" s="2">
        <f t="shared" si="73"/>
        <v>0.83942863931679901</v>
      </c>
      <c r="O215" s="2">
        <f t="shared" si="73"/>
        <v>1.5346374749390106</v>
      </c>
      <c r="P215" s="2">
        <f t="shared" si="73"/>
        <v>0.2391944982843307</v>
      </c>
    </row>
    <row r="223" spans="6:34" ht="18.5" x14ac:dyDescent="0.45">
      <c r="F223" s="1" t="s">
        <v>656</v>
      </c>
      <c r="G223" s="3"/>
      <c r="H223" s="3"/>
      <c r="I223" s="3"/>
      <c r="J223" s="3"/>
      <c r="K223" s="3"/>
      <c r="L223" s="3"/>
      <c r="M223" s="3"/>
      <c r="N223" s="3"/>
      <c r="O223" s="3"/>
      <c r="X223" s="1" t="s">
        <v>373</v>
      </c>
      <c r="Y223" s="3"/>
      <c r="Z223" s="3"/>
      <c r="AA223" s="3"/>
      <c r="AB223" s="3"/>
      <c r="AC223" s="3"/>
      <c r="AD223" s="3"/>
      <c r="AE223" s="3"/>
      <c r="AF223" s="3"/>
      <c r="AG223" s="3"/>
    </row>
    <row r="224" spans="6:34" ht="16" thickBot="1" x14ac:dyDescent="0.4">
      <c r="F224" s="9" t="s">
        <v>11</v>
      </c>
      <c r="G224" s="9" t="s">
        <v>12</v>
      </c>
      <c r="H224" s="9" t="s">
        <v>3</v>
      </c>
      <c r="I224" s="9" t="s">
        <v>4</v>
      </c>
      <c r="J224" s="9" t="s">
        <v>655</v>
      </c>
      <c r="K224" s="9" t="s">
        <v>654</v>
      </c>
      <c r="L224" s="9" t="s">
        <v>653</v>
      </c>
      <c r="M224" s="9" t="s">
        <v>8</v>
      </c>
      <c r="N224" s="9" t="s">
        <v>9</v>
      </c>
      <c r="O224" s="9" t="s">
        <v>10</v>
      </c>
      <c r="P224" s="44" t="s">
        <v>139</v>
      </c>
      <c r="X224" s="9" t="s">
        <v>11</v>
      </c>
      <c r="Y224" s="9" t="s">
        <v>12</v>
      </c>
      <c r="Z224" s="9" t="s">
        <v>3</v>
      </c>
      <c r="AA224" s="9" t="s">
        <v>4</v>
      </c>
      <c r="AB224" s="9" t="s">
        <v>655</v>
      </c>
      <c r="AC224" s="9" t="s">
        <v>654</v>
      </c>
      <c r="AD224" s="9" t="s">
        <v>653</v>
      </c>
      <c r="AE224" s="9" t="s">
        <v>8</v>
      </c>
      <c r="AF224" s="9" t="s">
        <v>9</v>
      </c>
      <c r="AG224" s="9" t="s">
        <v>10</v>
      </c>
      <c r="AH224" s="44" t="s">
        <v>139</v>
      </c>
    </row>
    <row r="225" spans="6:34" x14ac:dyDescent="0.35">
      <c r="F225">
        <v>8.0653600000000001</v>
      </c>
      <c r="G225">
        <v>14.579029999999999</v>
      </c>
      <c r="H225" s="2">
        <f>G225-F225</f>
        <v>6.5136699999999994</v>
      </c>
      <c r="I225" s="2">
        <f>F226-G225</f>
        <v>29.025990000000004</v>
      </c>
      <c r="J225" s="2">
        <f>H225/N225</f>
        <v>0.18327890587585807</v>
      </c>
      <c r="K225" s="2">
        <f>I225/N225</f>
        <v>0.81672109412414184</v>
      </c>
      <c r="L225" s="2">
        <f>1/H225</f>
        <v>0.15352328257341868</v>
      </c>
      <c r="M225" s="2">
        <f>1/N225</f>
        <v>2.8137579256526365E-2</v>
      </c>
      <c r="N225" s="2">
        <f>H225+I225</f>
        <v>35.539660000000005</v>
      </c>
      <c r="O225">
        <v>39</v>
      </c>
      <c r="P225">
        <f t="shared" ref="P225:P239" si="74">O225/H225</f>
        <v>5.9874080203633291</v>
      </c>
      <c r="X225">
        <v>13.660679999999999</v>
      </c>
      <c r="Y225">
        <v>20.601369999999999</v>
      </c>
      <c r="Z225" s="2">
        <f>Y225-X225</f>
        <v>6.94069</v>
      </c>
      <c r="AA225" s="2">
        <f>X226-Y225</f>
        <v>6.79861</v>
      </c>
      <c r="AB225" s="2">
        <f>Z225/AF225</f>
        <v>0.50517056909740676</v>
      </c>
      <c r="AC225" s="2">
        <f>AA225/AF225</f>
        <v>0.49482943090259329</v>
      </c>
      <c r="AD225" s="2">
        <f>1/Z225</f>
        <v>0.14407789427275963</v>
      </c>
      <c r="AE225" s="2">
        <f>1/AF225</f>
        <v>7.278391184412597E-2</v>
      </c>
      <c r="AF225" s="2">
        <f>Z225+AA225</f>
        <v>13.7393</v>
      </c>
      <c r="AG225">
        <v>76</v>
      </c>
      <c r="AH225">
        <f t="shared" ref="AH225:AH238" si="75">AG225/Z225</f>
        <v>10.949919964729732</v>
      </c>
    </row>
    <row r="226" spans="6:34" x14ac:dyDescent="0.35">
      <c r="F226">
        <v>43.605020000000003</v>
      </c>
      <c r="G226">
        <v>51.1616</v>
      </c>
      <c r="H226" s="2">
        <f t="shared" ref="H226:H240" si="76">G226-F226</f>
        <v>7.5565799999999967</v>
      </c>
      <c r="I226" s="2">
        <f t="shared" ref="I226:I239" si="77">F227-G226</f>
        <v>13.077040000000004</v>
      </c>
      <c r="J226" s="2">
        <f t="shared" ref="J226:J239" si="78">H226/N226</f>
        <v>0.36622657585048074</v>
      </c>
      <c r="K226" s="2">
        <f t="shared" ref="K226:K239" si="79">I226/N226</f>
        <v>0.6337734241495192</v>
      </c>
      <c r="L226" s="2">
        <f t="shared" ref="L226:L239" si="80">1/H226</f>
        <v>0.1323349981076096</v>
      </c>
      <c r="M226" s="2">
        <f t="shared" ref="M226:M239" si="81">1/N226</f>
        <v>4.8464593222129711E-2</v>
      </c>
      <c r="N226" s="2">
        <f t="shared" ref="N226:N239" si="82">H226+I226</f>
        <v>20.633620000000001</v>
      </c>
      <c r="O226">
        <v>62</v>
      </c>
      <c r="P226">
        <f t="shared" si="74"/>
        <v>8.2047698826717941</v>
      </c>
      <c r="X226">
        <v>27.399979999999999</v>
      </c>
      <c r="Y226">
        <v>33.276220000000002</v>
      </c>
      <c r="Z226" s="2">
        <f t="shared" ref="Z226:Z239" si="83">Y226-X226</f>
        <v>5.8762400000000028</v>
      </c>
      <c r="AA226" s="2">
        <f t="shared" ref="AA226:AA238" si="84">X227-Y226</f>
        <v>8.0360699999999952</v>
      </c>
      <c r="AB226" s="2">
        <f t="shared" ref="AB226:AB238" si="85">Z226/AF226</f>
        <v>0.42237701718837517</v>
      </c>
      <c r="AC226" s="2">
        <f t="shared" ref="AC226:AC238" si="86">AA226/AF226</f>
        <v>0.57762298281162483</v>
      </c>
      <c r="AD226" s="2">
        <f t="shared" ref="AD226:AD238" si="87">1/Z226</f>
        <v>0.17017684778021311</v>
      </c>
      <c r="AE226" s="2">
        <f t="shared" ref="AE226:AE238" si="88">1/AF226</f>
        <v>7.1878789359926573E-2</v>
      </c>
      <c r="AF226" s="2">
        <f t="shared" ref="AF226:AF238" si="89">Z226+AA226</f>
        <v>13.912309999999998</v>
      </c>
      <c r="AG226">
        <v>72</v>
      </c>
      <c r="AH226">
        <f t="shared" si="75"/>
        <v>12.252733040175345</v>
      </c>
    </row>
    <row r="227" spans="6:34" x14ac:dyDescent="0.35">
      <c r="F227">
        <v>64.238640000000004</v>
      </c>
      <c r="G227">
        <v>66.467759999999998</v>
      </c>
      <c r="H227" s="2">
        <f t="shared" si="76"/>
        <v>2.2291199999999947</v>
      </c>
      <c r="I227" s="2">
        <f t="shared" si="77"/>
        <v>10.419570000000007</v>
      </c>
      <c r="J227" s="2">
        <f t="shared" si="78"/>
        <v>0.17623327000661684</v>
      </c>
      <c r="K227" s="2">
        <f t="shared" si="79"/>
        <v>0.82376672999338318</v>
      </c>
      <c r="L227" s="2">
        <f t="shared" si="80"/>
        <v>0.4486075222509342</v>
      </c>
      <c r="M227" s="2">
        <f t="shared" si="81"/>
        <v>7.9059570595848255E-2</v>
      </c>
      <c r="N227" s="2">
        <f t="shared" si="82"/>
        <v>12.648690000000002</v>
      </c>
      <c r="O227">
        <v>5</v>
      </c>
      <c r="P227">
        <f t="shared" si="74"/>
        <v>2.243037611254671</v>
      </c>
      <c r="X227">
        <v>41.312289999999997</v>
      </c>
      <c r="Y227">
        <v>47.580080000000002</v>
      </c>
      <c r="Z227" s="2">
        <f t="shared" si="83"/>
        <v>6.2677900000000051</v>
      </c>
      <c r="AA227" s="2">
        <f t="shared" si="84"/>
        <v>8.0885499999999979</v>
      </c>
      <c r="AB227" s="2">
        <f t="shared" si="85"/>
        <v>0.43658690167549696</v>
      </c>
      <c r="AC227" s="2">
        <f t="shared" si="86"/>
        <v>0.56341309832450304</v>
      </c>
      <c r="AD227" s="2">
        <f t="shared" si="87"/>
        <v>0.15954586863950437</v>
      </c>
      <c r="AE227" s="2">
        <f t="shared" si="88"/>
        <v>6.9655636464447057E-2</v>
      </c>
      <c r="AF227" s="2">
        <f t="shared" si="89"/>
        <v>14.356340000000003</v>
      </c>
      <c r="AG227">
        <v>77</v>
      </c>
      <c r="AH227">
        <f t="shared" si="75"/>
        <v>12.285031885241837</v>
      </c>
    </row>
    <row r="228" spans="6:34" x14ac:dyDescent="0.35">
      <c r="F228">
        <v>76.887330000000006</v>
      </c>
      <c r="G228">
        <v>86.131209999999996</v>
      </c>
      <c r="H228" s="2">
        <f t="shared" si="76"/>
        <v>9.2438799999999901</v>
      </c>
      <c r="I228" s="2">
        <f t="shared" si="77"/>
        <v>13.255030000000005</v>
      </c>
      <c r="J228" s="2">
        <f t="shared" si="78"/>
        <v>0.41085901494783489</v>
      </c>
      <c r="K228" s="2">
        <f t="shared" si="79"/>
        <v>0.58914098505216506</v>
      </c>
      <c r="L228" s="2">
        <f t="shared" si="80"/>
        <v>0.10817968212482217</v>
      </c>
      <c r="M228" s="2">
        <f t="shared" si="81"/>
        <v>4.4446597635174334E-2</v>
      </c>
      <c r="N228" s="2">
        <f t="shared" si="82"/>
        <v>22.498909999999995</v>
      </c>
      <c r="O228">
        <v>89</v>
      </c>
      <c r="P228">
        <f t="shared" si="74"/>
        <v>9.6279917091091729</v>
      </c>
      <c r="X228">
        <v>55.66863</v>
      </c>
      <c r="Y228">
        <v>61.69361</v>
      </c>
      <c r="Z228" s="2">
        <f t="shared" si="83"/>
        <v>6.0249799999999993</v>
      </c>
      <c r="AA228" s="2">
        <f t="shared" si="84"/>
        <v>8.4479499999999987</v>
      </c>
      <c r="AB228" s="2">
        <f t="shared" si="85"/>
        <v>0.41629303810631296</v>
      </c>
      <c r="AC228" s="2">
        <f t="shared" si="86"/>
        <v>0.58370696189368698</v>
      </c>
      <c r="AD228" s="2">
        <f t="shared" si="87"/>
        <v>0.16597565469096995</v>
      </c>
      <c r="AE228" s="2">
        <f t="shared" si="88"/>
        <v>6.9094509542988194E-2</v>
      </c>
      <c r="AF228" s="2">
        <f t="shared" si="89"/>
        <v>14.472929999999998</v>
      </c>
      <c r="AG228">
        <v>75</v>
      </c>
      <c r="AH228">
        <f t="shared" si="75"/>
        <v>12.448174101822746</v>
      </c>
    </row>
    <row r="229" spans="6:34" x14ac:dyDescent="0.35">
      <c r="F229">
        <v>99.386240000000001</v>
      </c>
      <c r="G229">
        <v>109.17525000000001</v>
      </c>
      <c r="H229" s="2">
        <f t="shared" si="76"/>
        <v>9.7890100000000047</v>
      </c>
      <c r="I229" s="2">
        <f t="shared" si="77"/>
        <v>12.79419</v>
      </c>
      <c r="J229" s="2">
        <f t="shared" si="78"/>
        <v>0.43346425661553734</v>
      </c>
      <c r="K229" s="2">
        <f t="shared" si="79"/>
        <v>0.56653574338446266</v>
      </c>
      <c r="L229" s="2">
        <f t="shared" si="80"/>
        <v>0.10215537628422072</v>
      </c>
      <c r="M229" s="2">
        <f t="shared" si="81"/>
        <v>4.4280704240320226E-2</v>
      </c>
      <c r="N229" s="2">
        <f t="shared" si="82"/>
        <v>22.583200000000005</v>
      </c>
      <c r="O229">
        <v>83</v>
      </c>
      <c r="P229">
        <f t="shared" si="74"/>
        <v>8.4788962315903209</v>
      </c>
      <c r="X229">
        <v>70.141559999999998</v>
      </c>
      <c r="Y229">
        <v>76.879630000000006</v>
      </c>
      <c r="Z229" s="2">
        <f t="shared" si="83"/>
        <v>6.7380700000000076</v>
      </c>
      <c r="AA229" s="2">
        <f t="shared" si="84"/>
        <v>9.0759399999999886</v>
      </c>
      <c r="AB229" s="2">
        <f t="shared" si="85"/>
        <v>0.42608231561760801</v>
      </c>
      <c r="AC229" s="2">
        <f t="shared" si="86"/>
        <v>0.57391768438239199</v>
      </c>
      <c r="AD229" s="2">
        <f t="shared" si="87"/>
        <v>0.14841044987659655</v>
      </c>
      <c r="AE229" s="2">
        <f t="shared" si="88"/>
        <v>6.3235068145271203E-2</v>
      </c>
      <c r="AF229" s="2">
        <f t="shared" si="89"/>
        <v>15.814009999999996</v>
      </c>
      <c r="AG229">
        <v>85</v>
      </c>
      <c r="AH229">
        <f t="shared" si="75"/>
        <v>12.614888239510707</v>
      </c>
    </row>
    <row r="230" spans="6:34" x14ac:dyDescent="0.35">
      <c r="F230">
        <v>121.96944000000001</v>
      </c>
      <c r="G230">
        <v>131.64848000000001</v>
      </c>
      <c r="H230" s="2">
        <f t="shared" si="76"/>
        <v>9.6790400000000005</v>
      </c>
      <c r="I230" s="2">
        <f t="shared" si="77"/>
        <v>14.670449999999988</v>
      </c>
      <c r="J230" s="2">
        <f t="shared" si="78"/>
        <v>0.39750483480352178</v>
      </c>
      <c r="K230" s="2">
        <f t="shared" si="79"/>
        <v>0.60249516519647828</v>
      </c>
      <c r="L230" s="2">
        <f t="shared" si="80"/>
        <v>0.10331603134195126</v>
      </c>
      <c r="M230" s="2">
        <f t="shared" si="81"/>
        <v>4.1068621971137816E-2</v>
      </c>
      <c r="N230" s="2">
        <f t="shared" si="82"/>
        <v>24.349489999999989</v>
      </c>
      <c r="O230">
        <v>83</v>
      </c>
      <c r="P230">
        <f t="shared" si="74"/>
        <v>8.5752306013819553</v>
      </c>
      <c r="X230">
        <v>85.955569999999994</v>
      </c>
      <c r="Y230">
        <v>93.746120000000005</v>
      </c>
      <c r="Z230" s="2">
        <f t="shared" si="83"/>
        <v>7.7905500000000103</v>
      </c>
      <c r="AA230" s="2">
        <f t="shared" si="84"/>
        <v>13.166820000000001</v>
      </c>
      <c r="AB230" s="2">
        <f t="shared" si="85"/>
        <v>0.3717331898038736</v>
      </c>
      <c r="AC230" s="2">
        <f t="shared" si="86"/>
        <v>0.6282668101961264</v>
      </c>
      <c r="AD230" s="2">
        <f t="shared" si="87"/>
        <v>0.12836064205993142</v>
      </c>
      <c r="AE230" s="2">
        <f t="shared" si="88"/>
        <v>4.7715910918211563E-2</v>
      </c>
      <c r="AF230" s="2">
        <f t="shared" si="89"/>
        <v>20.957370000000012</v>
      </c>
      <c r="AG230">
        <v>85</v>
      </c>
      <c r="AH230">
        <f t="shared" si="75"/>
        <v>10.910654575094171</v>
      </c>
    </row>
    <row r="231" spans="6:34" x14ac:dyDescent="0.35">
      <c r="F231">
        <v>146.31892999999999</v>
      </c>
      <c r="G231">
        <v>153.36974000000001</v>
      </c>
      <c r="H231" s="2">
        <f t="shared" si="76"/>
        <v>7.0508100000000127</v>
      </c>
      <c r="I231" s="2">
        <f t="shared" si="77"/>
        <v>11.244900000000001</v>
      </c>
      <c r="J231" s="2">
        <f t="shared" si="78"/>
        <v>0.38538050723366335</v>
      </c>
      <c r="K231" s="2">
        <f t="shared" si="79"/>
        <v>0.61461949276633665</v>
      </c>
      <c r="L231" s="2">
        <f t="shared" si="80"/>
        <v>0.14182767653645442</v>
      </c>
      <c r="M231" s="2">
        <f t="shared" si="81"/>
        <v>5.4657621923390742E-2</v>
      </c>
      <c r="N231" s="2">
        <f t="shared" si="82"/>
        <v>18.295710000000014</v>
      </c>
      <c r="O231">
        <v>66</v>
      </c>
      <c r="P231">
        <f t="shared" si="74"/>
        <v>9.3606266514059921</v>
      </c>
      <c r="X231">
        <v>106.91294000000001</v>
      </c>
      <c r="Y231">
        <v>112.75194999999999</v>
      </c>
      <c r="Z231" s="2">
        <f t="shared" si="83"/>
        <v>5.8390099999999876</v>
      </c>
      <c r="AA231" s="2">
        <f t="shared" si="84"/>
        <v>8.1768700000000081</v>
      </c>
      <c r="AB231" s="2">
        <f t="shared" si="85"/>
        <v>0.41659959988241835</v>
      </c>
      <c r="AC231" s="2">
        <f t="shared" si="86"/>
        <v>0.58340040011758165</v>
      </c>
      <c r="AD231" s="2">
        <f t="shared" si="87"/>
        <v>0.17126190912500613</v>
      </c>
      <c r="AE231" s="2">
        <f t="shared" si="88"/>
        <v>7.1347642816576642E-2</v>
      </c>
      <c r="AF231" s="2">
        <f t="shared" si="89"/>
        <v>14.015879999999996</v>
      </c>
      <c r="AG231">
        <v>84</v>
      </c>
      <c r="AH231">
        <f t="shared" si="75"/>
        <v>14.386000366500516</v>
      </c>
    </row>
    <row r="232" spans="6:34" x14ac:dyDescent="0.35">
      <c r="F232">
        <v>164.61464000000001</v>
      </c>
      <c r="G232">
        <v>172.80986999999999</v>
      </c>
      <c r="H232" s="2">
        <f t="shared" si="76"/>
        <v>8.1952299999999809</v>
      </c>
      <c r="I232" s="2">
        <f t="shared" si="77"/>
        <v>16.329770000000025</v>
      </c>
      <c r="J232" s="2">
        <f t="shared" si="78"/>
        <v>0.33415820591233347</v>
      </c>
      <c r="K232" s="2">
        <f t="shared" si="79"/>
        <v>0.66584179408766653</v>
      </c>
      <c r="L232" s="2">
        <f t="shared" si="80"/>
        <v>0.12202220071919914</v>
      </c>
      <c r="M232" s="2">
        <f t="shared" si="81"/>
        <v>4.077471967380223E-2</v>
      </c>
      <c r="N232" s="2">
        <f t="shared" si="82"/>
        <v>24.525000000000006</v>
      </c>
      <c r="O232">
        <v>63</v>
      </c>
      <c r="P232">
        <f t="shared" si="74"/>
        <v>7.6873986453095453</v>
      </c>
      <c r="X232">
        <v>120.92882</v>
      </c>
      <c r="Y232">
        <v>127.24513</v>
      </c>
      <c r="Z232" s="2">
        <f t="shared" si="83"/>
        <v>6.3163100000000014</v>
      </c>
      <c r="AA232" s="2">
        <f t="shared" si="84"/>
        <v>9.3435400000000044</v>
      </c>
      <c r="AB232" s="2">
        <f t="shared" si="85"/>
        <v>0.4033442210493714</v>
      </c>
      <c r="AC232" s="2">
        <f t="shared" si="86"/>
        <v>0.5966557789506286</v>
      </c>
      <c r="AD232" s="2">
        <f t="shared" si="87"/>
        <v>0.15832028510316937</v>
      </c>
      <c r="AE232" s="2">
        <f t="shared" si="88"/>
        <v>6.3857572071252255E-2</v>
      </c>
      <c r="AF232" s="2">
        <f t="shared" si="89"/>
        <v>15.659850000000006</v>
      </c>
      <c r="AG232">
        <v>88</v>
      </c>
      <c r="AH232">
        <f t="shared" si="75"/>
        <v>13.932185089078905</v>
      </c>
    </row>
    <row r="233" spans="6:34" x14ac:dyDescent="0.35">
      <c r="F233">
        <v>189.13964000000001</v>
      </c>
      <c r="G233">
        <v>195.76687000000001</v>
      </c>
      <c r="H233" s="2">
        <f t="shared" si="76"/>
        <v>6.6272299999999973</v>
      </c>
      <c r="I233" s="2">
        <f t="shared" si="77"/>
        <v>19.162759999999992</v>
      </c>
      <c r="J233" s="2">
        <f t="shared" si="78"/>
        <v>0.25696907986393169</v>
      </c>
      <c r="K233" s="2">
        <f t="shared" si="79"/>
        <v>0.74303092013606831</v>
      </c>
      <c r="L233" s="2">
        <f t="shared" si="80"/>
        <v>0.15089260520609674</v>
      </c>
      <c r="M233" s="2">
        <f t="shared" si="81"/>
        <v>3.8774733918082185E-2</v>
      </c>
      <c r="N233" s="2">
        <f t="shared" si="82"/>
        <v>25.789989999999989</v>
      </c>
      <c r="O233">
        <v>69</v>
      </c>
      <c r="P233">
        <f t="shared" si="74"/>
        <v>10.411589759220675</v>
      </c>
      <c r="X233">
        <v>136.58867000000001</v>
      </c>
      <c r="Y233">
        <v>142.89573999999999</v>
      </c>
      <c r="Z233" s="2">
        <f t="shared" si="83"/>
        <v>6.3070699999999817</v>
      </c>
      <c r="AA233" s="2">
        <f t="shared" si="84"/>
        <v>14.363259999999997</v>
      </c>
      <c r="AB233" s="2">
        <f t="shared" si="85"/>
        <v>0.30512672027974341</v>
      </c>
      <c r="AC233" s="2">
        <f t="shared" si="86"/>
        <v>0.69487327972025659</v>
      </c>
      <c r="AD233" s="2">
        <f t="shared" si="87"/>
        <v>0.15855222789663076</v>
      </c>
      <c r="AE233" s="2">
        <f t="shared" si="88"/>
        <v>4.8378521291145379E-2</v>
      </c>
      <c r="AF233" s="2">
        <f t="shared" si="89"/>
        <v>20.670329999999979</v>
      </c>
      <c r="AG233">
        <v>77</v>
      </c>
      <c r="AH233">
        <f t="shared" si="75"/>
        <v>12.208521548040567</v>
      </c>
    </row>
    <row r="234" spans="6:34" x14ac:dyDescent="0.35">
      <c r="F234">
        <v>214.92963</v>
      </c>
      <c r="G234">
        <v>221.72363000000001</v>
      </c>
      <c r="H234" s="2">
        <f t="shared" si="76"/>
        <v>6.7940000000000111</v>
      </c>
      <c r="I234" s="2">
        <f t="shared" si="77"/>
        <v>11.940739999999977</v>
      </c>
      <c r="J234" s="2">
        <f t="shared" si="78"/>
        <v>0.36264180874674617</v>
      </c>
      <c r="K234" s="2">
        <f t="shared" si="79"/>
        <v>0.63735819125325377</v>
      </c>
      <c r="L234" s="2">
        <f t="shared" si="80"/>
        <v>0.147188695908154</v>
      </c>
      <c r="M234" s="2">
        <f t="shared" si="81"/>
        <v>5.3376774911207771E-2</v>
      </c>
      <c r="N234" s="2">
        <f t="shared" si="82"/>
        <v>18.734739999999988</v>
      </c>
      <c r="O234">
        <v>60</v>
      </c>
      <c r="P234">
        <f t="shared" si="74"/>
        <v>8.83132175448924</v>
      </c>
      <c r="X234">
        <v>157.25899999999999</v>
      </c>
      <c r="Y234">
        <v>163.78804</v>
      </c>
      <c r="Z234" s="2">
        <f t="shared" si="83"/>
        <v>6.5290400000000091</v>
      </c>
      <c r="AA234" s="2">
        <f t="shared" si="84"/>
        <v>8.412840000000017</v>
      </c>
      <c r="AB234" s="2">
        <f t="shared" si="85"/>
        <v>0.43696241704524447</v>
      </c>
      <c r="AC234" s="2">
        <f t="shared" si="86"/>
        <v>0.56303758295475548</v>
      </c>
      <c r="AD234" s="2">
        <f t="shared" si="87"/>
        <v>0.15316187372109813</v>
      </c>
      <c r="AE234" s="2">
        <f t="shared" si="88"/>
        <v>6.6925982540349552E-2</v>
      </c>
      <c r="AF234" s="2">
        <f t="shared" si="89"/>
        <v>14.941880000000026</v>
      </c>
      <c r="AG234">
        <v>90</v>
      </c>
      <c r="AH234">
        <f t="shared" si="75"/>
        <v>13.784568634898832</v>
      </c>
    </row>
    <row r="235" spans="6:34" x14ac:dyDescent="0.35">
      <c r="F235">
        <v>233.66436999999999</v>
      </c>
      <c r="G235">
        <v>239.86597</v>
      </c>
      <c r="H235" s="2">
        <f t="shared" si="76"/>
        <v>6.2016000000000133</v>
      </c>
      <c r="I235" s="2">
        <f t="shared" si="77"/>
        <v>11.692810000000009</v>
      </c>
      <c r="J235" s="2">
        <f t="shared" si="78"/>
        <v>0.34656632993208525</v>
      </c>
      <c r="K235" s="2">
        <f t="shared" si="79"/>
        <v>0.65343367006791475</v>
      </c>
      <c r="L235" s="2">
        <f t="shared" si="80"/>
        <v>0.16124871001031957</v>
      </c>
      <c r="M235" s="2">
        <f t="shared" si="81"/>
        <v>5.5883373634559551E-2</v>
      </c>
      <c r="N235" s="2">
        <f t="shared" si="82"/>
        <v>17.894410000000022</v>
      </c>
      <c r="O235">
        <v>49</v>
      </c>
      <c r="P235">
        <f t="shared" si="74"/>
        <v>7.9011867905056592</v>
      </c>
      <c r="X235">
        <v>172.20088000000001</v>
      </c>
      <c r="Y235">
        <v>178.72110000000001</v>
      </c>
      <c r="Z235" s="2">
        <f t="shared" si="83"/>
        <v>6.5202199999999948</v>
      </c>
      <c r="AA235" s="2">
        <f t="shared" si="84"/>
        <v>8.5326000000000022</v>
      </c>
      <c r="AB235" s="2">
        <f t="shared" si="85"/>
        <v>0.43315604650822875</v>
      </c>
      <c r="AC235" s="2">
        <f t="shared" si="86"/>
        <v>0.56684395349177119</v>
      </c>
      <c r="AD235" s="2">
        <f t="shared" si="87"/>
        <v>0.15336905809926671</v>
      </c>
      <c r="AE235" s="2">
        <f t="shared" si="88"/>
        <v>6.6432734862969217E-2</v>
      </c>
      <c r="AF235" s="2">
        <f t="shared" si="89"/>
        <v>15.052819999999997</v>
      </c>
      <c r="AG235">
        <v>84</v>
      </c>
      <c r="AH235">
        <f t="shared" si="75"/>
        <v>12.883000880338404</v>
      </c>
    </row>
    <row r="236" spans="6:34" x14ac:dyDescent="0.35">
      <c r="F236">
        <v>251.55878000000001</v>
      </c>
      <c r="G236">
        <v>261.59472</v>
      </c>
      <c r="H236" s="2">
        <f t="shared" si="76"/>
        <v>10.035939999999982</v>
      </c>
      <c r="I236" s="2">
        <f t="shared" si="77"/>
        <v>15.299449999999979</v>
      </c>
      <c r="J236" s="2">
        <f t="shared" si="78"/>
        <v>0.39612336735293979</v>
      </c>
      <c r="K236" s="2">
        <f t="shared" si="79"/>
        <v>0.60387663264706015</v>
      </c>
      <c r="L236" s="2">
        <f t="shared" si="80"/>
        <v>9.9641887057914033E-2</v>
      </c>
      <c r="M236" s="2">
        <f t="shared" si="81"/>
        <v>3.9470479830782217E-2</v>
      </c>
      <c r="N236" s="2">
        <f t="shared" si="82"/>
        <v>25.335389999999961</v>
      </c>
      <c r="O236">
        <v>78</v>
      </c>
      <c r="P236">
        <f t="shared" si="74"/>
        <v>7.7720671905172942</v>
      </c>
      <c r="X236">
        <v>187.25370000000001</v>
      </c>
      <c r="Y236">
        <v>194.33960999999999</v>
      </c>
      <c r="Z236" s="2">
        <f t="shared" si="83"/>
        <v>7.0859099999999842</v>
      </c>
      <c r="AA236" s="2">
        <f t="shared" si="84"/>
        <v>9.0913299999999992</v>
      </c>
      <c r="AB236" s="2">
        <f t="shared" si="85"/>
        <v>0.43801723903459377</v>
      </c>
      <c r="AC236" s="2">
        <f t="shared" si="86"/>
        <v>0.56198276096540623</v>
      </c>
      <c r="AD236" s="2">
        <f t="shared" si="87"/>
        <v>0.14112513424528428</v>
      </c>
      <c r="AE236" s="2">
        <f t="shared" si="88"/>
        <v>6.181524166050581E-2</v>
      </c>
      <c r="AF236" s="2">
        <f t="shared" si="89"/>
        <v>16.177239999999983</v>
      </c>
      <c r="AG236">
        <v>93</v>
      </c>
      <c r="AH236">
        <f t="shared" si="75"/>
        <v>13.124637484811437</v>
      </c>
    </row>
    <row r="237" spans="6:34" x14ac:dyDescent="0.35">
      <c r="F237">
        <v>276.89416999999997</v>
      </c>
      <c r="G237">
        <v>287.66654999999997</v>
      </c>
      <c r="H237" s="2">
        <f t="shared" si="76"/>
        <v>10.772379999999998</v>
      </c>
      <c r="I237" s="2">
        <f t="shared" si="77"/>
        <v>14.454510000000028</v>
      </c>
      <c r="J237" s="2">
        <f t="shared" si="78"/>
        <v>0.42701973965082446</v>
      </c>
      <c r="K237" s="2">
        <f t="shared" si="79"/>
        <v>0.57298026034917549</v>
      </c>
      <c r="L237" s="2">
        <f t="shared" si="80"/>
        <v>9.2829996713818128E-2</v>
      </c>
      <c r="M237" s="2">
        <f t="shared" si="81"/>
        <v>3.9640241028521511E-2</v>
      </c>
      <c r="N237" s="2">
        <f t="shared" si="82"/>
        <v>25.226890000000026</v>
      </c>
      <c r="O237">
        <v>84</v>
      </c>
      <c r="P237">
        <f t="shared" si="74"/>
        <v>7.7977197239607232</v>
      </c>
      <c r="X237">
        <v>203.43093999999999</v>
      </c>
      <c r="Y237">
        <v>208.71898999999999</v>
      </c>
      <c r="Z237" s="2">
        <f t="shared" si="83"/>
        <v>5.2880499999999984</v>
      </c>
      <c r="AA237" s="2">
        <f t="shared" si="84"/>
        <v>14.56292000000002</v>
      </c>
      <c r="AB237" s="2">
        <f t="shared" si="85"/>
        <v>0.26638748635457077</v>
      </c>
      <c r="AC237" s="2">
        <f t="shared" si="86"/>
        <v>0.73361251364542923</v>
      </c>
      <c r="AD237" s="2">
        <f t="shared" si="87"/>
        <v>0.1891056249468141</v>
      </c>
      <c r="AE237" s="2">
        <f t="shared" si="88"/>
        <v>5.0375372085092018E-2</v>
      </c>
      <c r="AF237" s="2">
        <f t="shared" si="89"/>
        <v>19.850970000000018</v>
      </c>
      <c r="AG237">
        <v>65</v>
      </c>
      <c r="AH237">
        <f t="shared" si="75"/>
        <v>12.291865621542916</v>
      </c>
    </row>
    <row r="238" spans="6:34" x14ac:dyDescent="0.35">
      <c r="F238">
        <v>302.12106</v>
      </c>
      <c r="G238">
        <v>309.17493999999999</v>
      </c>
      <c r="H238" s="2">
        <f t="shared" si="76"/>
        <v>7.0538799999999924</v>
      </c>
      <c r="I238" s="2">
        <f t="shared" si="77"/>
        <v>11.844670000000008</v>
      </c>
      <c r="J238" s="2">
        <f t="shared" si="78"/>
        <v>0.37324979958779864</v>
      </c>
      <c r="K238" s="2">
        <f t="shared" si="79"/>
        <v>0.62675020041220131</v>
      </c>
      <c r="L238" s="2">
        <f t="shared" si="80"/>
        <v>0.14176595008704446</v>
      </c>
      <c r="M238" s="2">
        <f t="shared" si="81"/>
        <v>5.2914112458363208E-2</v>
      </c>
      <c r="N238" s="2">
        <f t="shared" si="82"/>
        <v>18.89855</v>
      </c>
      <c r="O238">
        <v>74</v>
      </c>
      <c r="P238">
        <f t="shared" si="74"/>
        <v>10.490680306441289</v>
      </c>
      <c r="X238">
        <v>223.28191000000001</v>
      </c>
      <c r="Y238">
        <v>229.56755999999999</v>
      </c>
      <c r="Z238" s="2">
        <f t="shared" si="83"/>
        <v>6.2856499999999755</v>
      </c>
      <c r="AA238" s="2">
        <f t="shared" si="84"/>
        <v>8.0279600000000073</v>
      </c>
      <c r="AB238" s="2">
        <f t="shared" si="85"/>
        <v>0.43913799523670011</v>
      </c>
      <c r="AC238" s="2">
        <f t="shared" si="86"/>
        <v>0.56086200476329984</v>
      </c>
      <c r="AD238" s="2">
        <f t="shared" si="87"/>
        <v>0.15909253617366603</v>
      </c>
      <c r="AE238" s="2">
        <f t="shared" si="88"/>
        <v>6.9863577392425893E-2</v>
      </c>
      <c r="AF238" s="2">
        <f t="shared" si="89"/>
        <v>14.313609999999983</v>
      </c>
      <c r="AG238">
        <v>84</v>
      </c>
      <c r="AH238">
        <f t="shared" si="75"/>
        <v>13.363773038587947</v>
      </c>
    </row>
    <row r="239" spans="6:34" x14ac:dyDescent="0.35">
      <c r="F239">
        <v>321.01961</v>
      </c>
      <c r="G239">
        <v>328.02584999999999</v>
      </c>
      <c r="H239" s="2">
        <f t="shared" si="76"/>
        <v>7.0062399999999911</v>
      </c>
      <c r="I239" s="2">
        <f t="shared" si="77"/>
        <v>14.021340000000009</v>
      </c>
      <c r="J239" s="2">
        <f t="shared" si="78"/>
        <v>0.33319288287097187</v>
      </c>
      <c r="K239" s="2">
        <f t="shared" si="79"/>
        <v>0.66680711712902807</v>
      </c>
      <c r="L239" s="2">
        <f t="shared" si="80"/>
        <v>0.14272990933796176</v>
      </c>
      <c r="M239" s="2">
        <f t="shared" si="81"/>
        <v>4.755658996422793E-2</v>
      </c>
      <c r="N239" s="2">
        <f t="shared" si="82"/>
        <v>21.02758</v>
      </c>
      <c r="O239">
        <v>69</v>
      </c>
      <c r="P239">
        <f t="shared" si="74"/>
        <v>9.8483637443193626</v>
      </c>
      <c r="X239">
        <v>237.59551999999999</v>
      </c>
      <c r="Y239">
        <v>239.95141000000001</v>
      </c>
      <c r="Z239" s="2">
        <f t="shared" si="83"/>
        <v>2.3558900000000165</v>
      </c>
      <c r="AA239" s="2"/>
      <c r="AB239" s="2"/>
      <c r="AC239" s="2"/>
      <c r="AD239" s="2"/>
      <c r="AE239" s="2"/>
      <c r="AF239" s="2"/>
    </row>
    <row r="240" spans="6:34" x14ac:dyDescent="0.35">
      <c r="F240">
        <v>342.04719</v>
      </c>
      <c r="G240">
        <v>348.78742999999997</v>
      </c>
      <c r="H240" s="2">
        <f t="shared" si="76"/>
        <v>6.7402399999999716</v>
      </c>
      <c r="I240" s="2"/>
      <c r="J240" s="2"/>
      <c r="K240" s="2"/>
      <c r="L240" s="2"/>
      <c r="M240" s="2"/>
      <c r="N240" s="2"/>
    </row>
    <row r="242" spans="7:34" ht="16" thickBot="1" x14ac:dyDescent="0.4">
      <c r="Y242" s="13"/>
      <c r="Z242" s="9" t="s">
        <v>3</v>
      </c>
      <c r="AA242" s="9" t="s">
        <v>4</v>
      </c>
      <c r="AB242" s="9" t="s">
        <v>5</v>
      </c>
      <c r="AC242" s="9" t="s">
        <v>6</v>
      </c>
      <c r="AD242" s="9" t="s">
        <v>7</v>
      </c>
      <c r="AE242" s="9" t="s">
        <v>8</v>
      </c>
      <c r="AF242" s="9" t="s">
        <v>9</v>
      </c>
      <c r="AG242" s="9" t="s">
        <v>10</v>
      </c>
      <c r="AH242" s="44" t="s">
        <v>139</v>
      </c>
    </row>
    <row r="243" spans="7:34" x14ac:dyDescent="0.35">
      <c r="Y243" s="49" t="s">
        <v>77</v>
      </c>
      <c r="Z243" s="2">
        <f>AVERAGE(Z225:Z238)</f>
        <v>6.4149699999999967</v>
      </c>
      <c r="AA243" s="2">
        <f t="shared" ref="AA243:AH243" si="90">AVERAGE(AA225:AA238)</f>
        <v>9.5803757142857169</v>
      </c>
      <c r="AB243" s="2">
        <f t="shared" si="90"/>
        <v>0.40835533977713878</v>
      </c>
      <c r="AC243" s="2">
        <f t="shared" si="90"/>
        <v>0.591644660222861</v>
      </c>
      <c r="AD243" s="2">
        <f t="shared" si="90"/>
        <v>0.15718114333077932</v>
      </c>
      <c r="AE243" s="2">
        <f t="shared" si="90"/>
        <v>6.3811462213949094E-2</v>
      </c>
      <c r="AF243" s="2">
        <f t="shared" si="90"/>
        <v>15.995345714285715</v>
      </c>
      <c r="AG243" s="2">
        <f t="shared" si="90"/>
        <v>81.071428571428569</v>
      </c>
      <c r="AH243" s="2">
        <f t="shared" si="90"/>
        <v>12.67399674788386</v>
      </c>
    </row>
    <row r="244" spans="7:34" ht="16" thickBot="1" x14ac:dyDescent="0.4">
      <c r="G244" s="13"/>
      <c r="H244" s="9" t="s">
        <v>3</v>
      </c>
      <c r="I244" s="9" t="s">
        <v>4</v>
      </c>
      <c r="J244" s="9" t="s">
        <v>5</v>
      </c>
      <c r="K244" s="9" t="s">
        <v>6</v>
      </c>
      <c r="L244" s="9" t="s">
        <v>7</v>
      </c>
      <c r="M244" s="9" t="s">
        <v>8</v>
      </c>
      <c r="N244" s="9" t="s">
        <v>9</v>
      </c>
      <c r="O244" s="9" t="s">
        <v>10</v>
      </c>
      <c r="P244" s="44" t="s">
        <v>139</v>
      </c>
      <c r="Y244" s="49" t="s">
        <v>94</v>
      </c>
      <c r="Z244" s="2">
        <f>_xlfn.STDEV.S(Z225:Z238)</f>
        <v>0.61086370865672568</v>
      </c>
      <c r="AA244" s="2">
        <f t="shared" ref="AA244:AH244" si="91">_xlfn.STDEV.S(AA225:AA238)</f>
        <v>2.50516164901962</v>
      </c>
      <c r="AB244" s="2">
        <f t="shared" si="91"/>
        <v>5.9646516593165222E-2</v>
      </c>
      <c r="AC244" s="2">
        <f t="shared" si="91"/>
        <v>5.9646516593164882E-2</v>
      </c>
      <c r="AD244" s="2">
        <f t="shared" si="91"/>
        <v>1.4790377755782397E-2</v>
      </c>
      <c r="AE244" s="2">
        <f t="shared" si="91"/>
        <v>8.7694189461970141E-3</v>
      </c>
      <c r="AF244" s="2">
        <f t="shared" si="91"/>
        <v>2.5525109946805058</v>
      </c>
      <c r="AG244" s="2">
        <f t="shared" si="91"/>
        <v>7.6607318962885778</v>
      </c>
      <c r="AH244" s="2">
        <f t="shared" si="91"/>
        <v>1.0113840300704071</v>
      </c>
    </row>
    <row r="245" spans="7:34" x14ac:dyDescent="0.35">
      <c r="G245" s="49" t="s">
        <v>77</v>
      </c>
      <c r="H245" s="2">
        <f>AVERAGE(H225:H239)</f>
        <v>7.6499073333333305</v>
      </c>
      <c r="I245" s="2">
        <f t="shared" ref="I245:P245" si="92">AVERAGE(I225:I239)</f>
        <v>14.615548000000002</v>
      </c>
      <c r="J245" s="2">
        <f t="shared" si="92"/>
        <v>0.3455245719500763</v>
      </c>
      <c r="K245" s="2">
        <f t="shared" si="92"/>
        <v>0.65447542804992387</v>
      </c>
      <c r="L245" s="2">
        <f t="shared" si="92"/>
        <v>0.14988430161732794</v>
      </c>
      <c r="M245" s="2">
        <f t="shared" si="92"/>
        <v>4.7233754284271602E-2</v>
      </c>
      <c r="N245" s="2">
        <f t="shared" si="92"/>
        <v>22.265455333333332</v>
      </c>
      <c r="O245" s="2">
        <f t="shared" si="92"/>
        <v>64.86666666666666</v>
      </c>
      <c r="P245" s="2">
        <f t="shared" si="92"/>
        <v>8.2145525748360679</v>
      </c>
      <c r="Y245" s="49" t="s">
        <v>95</v>
      </c>
      <c r="Z245" s="2">
        <f>Z244/SQRT(COUNT(Z225:Z238))</f>
        <v>0.16326019341482589</v>
      </c>
      <c r="AA245" s="2">
        <f t="shared" ref="AA245:AH245" si="93">AA244/SQRT(COUNT(AA225:AA238))</f>
        <v>0.66953261350836069</v>
      </c>
      <c r="AB245" s="2">
        <f t="shared" si="93"/>
        <v>1.5941202100439367E-2</v>
      </c>
      <c r="AC245" s="2">
        <f t="shared" si="93"/>
        <v>1.5941202100439276E-2</v>
      </c>
      <c r="AD245" s="2">
        <f t="shared" si="93"/>
        <v>3.9528947273643001E-3</v>
      </c>
      <c r="AE245" s="2">
        <f t="shared" si="93"/>
        <v>2.3437257984109581E-3</v>
      </c>
      <c r="AF245" s="2">
        <f t="shared" si="93"/>
        <v>0.68218725843342964</v>
      </c>
      <c r="AG245" s="2">
        <f t="shared" si="93"/>
        <v>2.0474167205602072</v>
      </c>
      <c r="AH245" s="2">
        <f t="shared" si="93"/>
        <v>0.27030375192700978</v>
      </c>
    </row>
    <row r="246" spans="7:34" x14ac:dyDescent="0.35">
      <c r="G246" s="49" t="s">
        <v>94</v>
      </c>
      <c r="H246" s="2">
        <f>_xlfn.STDEV.S(H225:H239)</f>
        <v>2.1156466007362091</v>
      </c>
      <c r="I246" s="2">
        <f t="shared" ref="I246:P246" si="94">_xlfn.STDEV.S(I225:I239)</f>
        <v>4.5669926471901192</v>
      </c>
      <c r="J246" s="2">
        <f t="shared" si="94"/>
        <v>8.0219346033356481E-2</v>
      </c>
      <c r="K246" s="2">
        <f t="shared" si="94"/>
        <v>8.0219346033355191E-2</v>
      </c>
      <c r="L246" s="2">
        <f t="shared" si="94"/>
        <v>8.5614558878097574E-2</v>
      </c>
      <c r="M246" s="2">
        <f t="shared" si="94"/>
        <v>1.154123105478817E-2</v>
      </c>
      <c r="N246" s="2">
        <f t="shared" si="94"/>
        <v>5.1531541562798058</v>
      </c>
      <c r="O246" s="2">
        <f t="shared" si="94"/>
        <v>21.443835833126847</v>
      </c>
      <c r="P246" s="2">
        <f t="shared" si="94"/>
        <v>2.0342360277193223</v>
      </c>
    </row>
    <row r="247" spans="7:34" x14ac:dyDescent="0.35">
      <c r="G247" s="49" t="s">
        <v>95</v>
      </c>
      <c r="H247" s="2">
        <f>H246/SQRT(COUNT(H225:H239))</f>
        <v>0.54625760340744467</v>
      </c>
      <c r="I247" s="2">
        <f t="shared" ref="I247:P247" si="95">I246/SQRT(COUNT(I225:I239))</f>
        <v>1.1791924309879371</v>
      </c>
      <c r="J247" s="2">
        <f t="shared" si="95"/>
        <v>2.0712546082055975E-2</v>
      </c>
      <c r="K247" s="2">
        <f t="shared" si="95"/>
        <v>2.0712546082055642E-2</v>
      </c>
      <c r="L247" s="2">
        <f t="shared" si="95"/>
        <v>2.210558404851775E-2</v>
      </c>
      <c r="M247" s="2">
        <f t="shared" si="95"/>
        <v>2.9799330446617627E-3</v>
      </c>
      <c r="N247" s="2">
        <f t="shared" si="95"/>
        <v>1.3305386818474145</v>
      </c>
      <c r="O247" s="2">
        <f t="shared" si="95"/>
        <v>5.5367746040337416</v>
      </c>
      <c r="P247" s="2">
        <f t="shared" si="95"/>
        <v>0.52523748384080426</v>
      </c>
    </row>
  </sheetData>
  <pageMargins left="0.7" right="0.7" top="0.75" bottom="0.75" header="0.3" footer="0.3"/>
  <pageSetup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113"/>
  <sheetViews>
    <sheetView topLeftCell="A34" workbookViewId="0">
      <selection activeCell="J66" sqref="J66"/>
    </sheetView>
  </sheetViews>
  <sheetFormatPr defaultRowHeight="14.5" x14ac:dyDescent="0.35"/>
  <sheetData>
    <row r="4" spans="2:34" ht="18.5" x14ac:dyDescent="0.45">
      <c r="B4" s="2"/>
      <c r="C4" s="1" t="s">
        <v>375</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367</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8.3513999999999999</v>
      </c>
      <c r="G7" s="2">
        <v>10.30936</v>
      </c>
      <c r="H7" s="2">
        <f>G7-F7</f>
        <v>1.9579599999999999</v>
      </c>
      <c r="I7" s="2">
        <f>F8-G7</f>
        <v>7.3202200000000008</v>
      </c>
      <c r="J7" s="2">
        <f>H7/N7</f>
        <v>0.21102845601184714</v>
      </c>
      <c r="K7" s="2">
        <f>I7/N7</f>
        <v>0.78897154398815283</v>
      </c>
      <c r="L7" s="2">
        <f>1/H7</f>
        <v>0.5107356636499214</v>
      </c>
      <c r="M7" s="2">
        <f>1/N7</f>
        <v>0.10777975853022898</v>
      </c>
      <c r="N7" s="2">
        <f>H7+I7</f>
        <v>9.2781800000000008</v>
      </c>
      <c r="O7" s="2">
        <v>9</v>
      </c>
      <c r="P7">
        <f t="shared" ref="P7:P34" si="0">O7/H7</f>
        <v>4.5966209728492924</v>
      </c>
      <c r="X7" s="2">
        <v>3.52081</v>
      </c>
      <c r="Y7" s="2">
        <v>8.5806699999999996</v>
      </c>
      <c r="Z7" s="2">
        <f>Y7-X7</f>
        <v>5.0598599999999996</v>
      </c>
      <c r="AA7" s="2">
        <f>X8-Y7</f>
        <v>7.33629</v>
      </c>
      <c r="AB7" s="2">
        <f>Z7/AF7</f>
        <v>0.40817995910020449</v>
      </c>
      <c r="AC7" s="2">
        <f>AA7/AF7</f>
        <v>0.59182004089979556</v>
      </c>
      <c r="AD7" s="2">
        <f>1/Z7</f>
        <v>0.1976339266303811</v>
      </c>
      <c r="AE7" s="2">
        <f>1/AF7</f>
        <v>8.0670208088801779E-2</v>
      </c>
      <c r="AF7" s="2">
        <f>Z7+AA7</f>
        <v>12.396149999999999</v>
      </c>
      <c r="AG7" s="2">
        <v>22</v>
      </c>
      <c r="AH7">
        <f t="shared" ref="AH7:AH17" si="1">AG7/Z7</f>
        <v>4.3479463858683838</v>
      </c>
    </row>
    <row r="8" spans="2:34" x14ac:dyDescent="0.35">
      <c r="B8" s="2"/>
      <c r="C8" s="2"/>
      <c r="D8" s="2"/>
      <c r="E8" s="2"/>
      <c r="F8" s="2">
        <v>17.629580000000001</v>
      </c>
      <c r="G8" s="2">
        <v>20.132739999999998</v>
      </c>
      <c r="H8" s="2">
        <f t="shared" ref="H8:H35" si="2">G8-F8</f>
        <v>2.5031599999999976</v>
      </c>
      <c r="I8" s="2">
        <f t="shared" ref="I8:I34" si="3">F9-G8</f>
        <v>7.068520000000003</v>
      </c>
      <c r="J8" s="2">
        <f t="shared" ref="J8:J34" si="4">H8/N8</f>
        <v>0.26151730939605144</v>
      </c>
      <c r="K8" s="2">
        <f t="shared" ref="K8:K34" si="5">I8/N8</f>
        <v>0.73848269060394856</v>
      </c>
      <c r="L8" s="2">
        <f t="shared" ref="L8:L34" si="6">1/H8</f>
        <v>0.39949503827162502</v>
      </c>
      <c r="M8" s="2">
        <f t="shared" ref="M8:M34" si="7">1/N8</f>
        <v>0.10447486752586797</v>
      </c>
      <c r="N8" s="2">
        <f t="shared" ref="N8:N34" si="8">H8+I8</f>
        <v>9.5716800000000006</v>
      </c>
      <c r="O8" s="13">
        <v>14</v>
      </c>
      <c r="P8">
        <f t="shared" si="0"/>
        <v>5.5929305358027506</v>
      </c>
      <c r="X8" s="2">
        <v>15.91696</v>
      </c>
      <c r="Y8" s="2">
        <v>19.125820000000001</v>
      </c>
      <c r="Z8" s="2">
        <f t="shared" ref="Z8:Z17" si="9">Y8-X8</f>
        <v>3.2088600000000014</v>
      </c>
      <c r="AA8" s="2">
        <f t="shared" ref="AA8:AA16" si="10">X9-Y8</f>
        <v>17.390249999999998</v>
      </c>
      <c r="AB8" s="2">
        <f t="shared" ref="AB8:AB16" si="11">Z8/AF8</f>
        <v>0.15577663306812778</v>
      </c>
      <c r="AC8" s="2">
        <f t="shared" ref="AC8:AC16" si="12">AA8/AF8</f>
        <v>0.84422336693187228</v>
      </c>
      <c r="AD8" s="2">
        <f t="shared" ref="AD8:AD16" si="13">1/Z8</f>
        <v>0.31163715462812325</v>
      </c>
      <c r="AE8" s="2">
        <f t="shared" ref="AE8:AE16" si="14">1/AF8</f>
        <v>4.8545786686900551E-2</v>
      </c>
      <c r="AF8" s="2">
        <f t="shared" ref="AF8:AF16" si="15">Z8+AA8</f>
        <v>20.59911</v>
      </c>
      <c r="AG8" s="2">
        <v>15</v>
      </c>
      <c r="AH8">
        <f t="shared" si="1"/>
        <v>4.674557319421849</v>
      </c>
    </row>
    <row r="9" spans="2:34" x14ac:dyDescent="0.35">
      <c r="B9" s="2"/>
      <c r="C9" s="2"/>
      <c r="D9" s="2"/>
      <c r="E9" s="2"/>
      <c r="F9" s="13">
        <v>27.201260000000001</v>
      </c>
      <c r="G9" s="13">
        <v>29.441849999999999</v>
      </c>
      <c r="H9" s="2">
        <f t="shared" si="2"/>
        <v>2.2405899999999974</v>
      </c>
      <c r="I9" s="2">
        <f t="shared" si="3"/>
        <v>7.4047999999999981</v>
      </c>
      <c r="J9" s="2">
        <f t="shared" si="4"/>
        <v>0.23229646494335621</v>
      </c>
      <c r="K9" s="2">
        <f t="shared" si="5"/>
        <v>0.76770353505664379</v>
      </c>
      <c r="L9" s="2">
        <f t="shared" si="6"/>
        <v>0.44631101629481573</v>
      </c>
      <c r="M9" s="2">
        <f t="shared" si="7"/>
        <v>0.10367647135056234</v>
      </c>
      <c r="N9" s="2">
        <f t="shared" si="8"/>
        <v>9.6453899999999955</v>
      </c>
      <c r="O9" s="13">
        <v>10</v>
      </c>
      <c r="P9">
        <f t="shared" si="0"/>
        <v>4.4631101629481575</v>
      </c>
      <c r="X9" s="13">
        <v>36.516069999999999</v>
      </c>
      <c r="Y9" s="13">
        <v>40.640790000000003</v>
      </c>
      <c r="Z9" s="2">
        <f t="shared" si="9"/>
        <v>4.1247200000000035</v>
      </c>
      <c r="AA9" s="2">
        <f t="shared" si="10"/>
        <v>20.279559999999996</v>
      </c>
      <c r="AB9" s="2">
        <f t="shared" si="11"/>
        <v>0.16901625452584562</v>
      </c>
      <c r="AC9" s="2">
        <f t="shared" si="12"/>
        <v>0.83098374547415443</v>
      </c>
      <c r="AD9" s="2">
        <f t="shared" si="13"/>
        <v>0.24244069900502316</v>
      </c>
      <c r="AE9" s="2">
        <f t="shared" si="14"/>
        <v>4.0976418890456917E-2</v>
      </c>
      <c r="AF9" s="2">
        <f t="shared" si="15"/>
        <v>24.40428</v>
      </c>
      <c r="AG9" s="13">
        <v>19</v>
      </c>
      <c r="AH9">
        <f t="shared" si="1"/>
        <v>4.6063732810954399</v>
      </c>
    </row>
    <row r="10" spans="2:34" x14ac:dyDescent="0.35">
      <c r="B10" s="2"/>
      <c r="C10" s="2"/>
      <c r="D10" s="2"/>
      <c r="E10" s="2"/>
      <c r="F10" s="13">
        <v>36.846649999999997</v>
      </c>
      <c r="G10" s="13">
        <v>39.057009999999998</v>
      </c>
      <c r="H10" s="2">
        <f t="shared" si="2"/>
        <v>2.2103600000000014</v>
      </c>
      <c r="I10" s="2">
        <f t="shared" si="3"/>
        <v>5.8673100000000034</v>
      </c>
      <c r="J10" s="2">
        <f t="shared" si="4"/>
        <v>0.27363831401877026</v>
      </c>
      <c r="K10" s="2">
        <f t="shared" si="5"/>
        <v>0.72636168598122974</v>
      </c>
      <c r="L10" s="2">
        <f t="shared" si="6"/>
        <v>0.45241499122314888</v>
      </c>
      <c r="M10" s="2">
        <f t="shared" si="7"/>
        <v>0.12379807543511921</v>
      </c>
      <c r="N10" s="2">
        <f t="shared" si="8"/>
        <v>8.0776700000000048</v>
      </c>
      <c r="O10" s="13">
        <v>10</v>
      </c>
      <c r="P10">
        <f t="shared" si="0"/>
        <v>4.524149912231489</v>
      </c>
      <c r="X10" s="13">
        <v>60.920349999999999</v>
      </c>
      <c r="Y10" s="13">
        <v>65.951260000000005</v>
      </c>
      <c r="Z10" s="2">
        <f t="shared" si="9"/>
        <v>5.0309100000000058</v>
      </c>
      <c r="AA10" s="2">
        <f t="shared" si="10"/>
        <v>28.537949999999995</v>
      </c>
      <c r="AB10" s="2">
        <f t="shared" si="11"/>
        <v>0.14986836014091648</v>
      </c>
      <c r="AC10" s="2">
        <f t="shared" si="12"/>
        <v>0.85013163985908347</v>
      </c>
      <c r="AD10" s="2">
        <f t="shared" si="13"/>
        <v>0.19877119646346264</v>
      </c>
      <c r="AE10" s="2">
        <f t="shared" si="14"/>
        <v>2.9789513257227083E-2</v>
      </c>
      <c r="AF10" s="2">
        <f t="shared" si="15"/>
        <v>33.568860000000001</v>
      </c>
      <c r="AG10" s="13">
        <v>23</v>
      </c>
      <c r="AH10">
        <f t="shared" si="1"/>
        <v>4.5717375186596412</v>
      </c>
    </row>
    <row r="11" spans="2:34" x14ac:dyDescent="0.35">
      <c r="B11" s="2"/>
      <c r="C11" s="2"/>
      <c r="D11" s="2"/>
      <c r="E11" s="2"/>
      <c r="F11" s="13">
        <v>44.924320000000002</v>
      </c>
      <c r="G11" s="13">
        <v>47.396129999999999</v>
      </c>
      <c r="H11" s="2">
        <f t="shared" si="2"/>
        <v>2.4718099999999978</v>
      </c>
      <c r="I11" s="2">
        <f t="shared" si="3"/>
        <v>5.6239100000000022</v>
      </c>
      <c r="J11" s="2">
        <f t="shared" si="4"/>
        <v>0.30532305959198169</v>
      </c>
      <c r="K11" s="2">
        <f t="shared" si="5"/>
        <v>0.69467694040801831</v>
      </c>
      <c r="L11" s="2">
        <f t="shared" si="6"/>
        <v>0.40456183929994655</v>
      </c>
      <c r="M11" s="2">
        <f t="shared" si="7"/>
        <v>0.12352205856921929</v>
      </c>
      <c r="N11" s="2">
        <f t="shared" si="8"/>
        <v>8.09572</v>
      </c>
      <c r="O11" s="13">
        <v>14</v>
      </c>
      <c r="P11">
        <f t="shared" si="0"/>
        <v>5.6638657501992515</v>
      </c>
      <c r="X11" s="13">
        <v>94.48921</v>
      </c>
      <c r="Y11" s="13">
        <v>98.587190000000007</v>
      </c>
      <c r="Z11" s="2">
        <f t="shared" si="9"/>
        <v>4.0979800000000068</v>
      </c>
      <c r="AA11" s="2">
        <f t="shared" si="10"/>
        <v>22.614559999999997</v>
      </c>
      <c r="AB11" s="2">
        <f t="shared" si="11"/>
        <v>0.1534103458525474</v>
      </c>
      <c r="AC11" s="2">
        <f t="shared" si="12"/>
        <v>0.84658965414745257</v>
      </c>
      <c r="AD11" s="2">
        <f t="shared" si="13"/>
        <v>0.24402266482510854</v>
      </c>
      <c r="AE11" s="2">
        <f t="shared" si="14"/>
        <v>3.7435601406680154E-2</v>
      </c>
      <c r="AF11" s="2">
        <f t="shared" si="15"/>
        <v>26.712540000000004</v>
      </c>
      <c r="AG11" s="13">
        <v>19</v>
      </c>
      <c r="AH11">
        <f t="shared" si="1"/>
        <v>4.6364306316770625</v>
      </c>
    </row>
    <row r="12" spans="2:34" x14ac:dyDescent="0.35">
      <c r="B12" s="2"/>
      <c r="C12" s="2"/>
      <c r="D12" s="2"/>
      <c r="E12" s="2"/>
      <c r="F12" s="13">
        <v>53.020040000000002</v>
      </c>
      <c r="G12" s="13">
        <v>56.390999999999998</v>
      </c>
      <c r="H12" s="2">
        <f t="shared" si="2"/>
        <v>3.3709599999999966</v>
      </c>
      <c r="I12" s="2">
        <f t="shared" si="3"/>
        <v>6.0881200000000035</v>
      </c>
      <c r="J12" s="2">
        <f t="shared" si="4"/>
        <v>0.35637292421673106</v>
      </c>
      <c r="K12" s="2">
        <f t="shared" si="5"/>
        <v>0.64362707578326894</v>
      </c>
      <c r="L12" s="2">
        <f t="shared" si="6"/>
        <v>0.29665139900799803</v>
      </c>
      <c r="M12" s="2">
        <f t="shared" si="7"/>
        <v>0.10571852653746452</v>
      </c>
      <c r="N12" s="2">
        <f t="shared" si="8"/>
        <v>9.4590800000000002</v>
      </c>
      <c r="O12" s="13">
        <v>13</v>
      </c>
      <c r="P12">
        <f t="shared" si="0"/>
        <v>3.8564681871039741</v>
      </c>
      <c r="X12" s="13">
        <v>121.20175</v>
      </c>
      <c r="Y12" s="13">
        <v>126.41298999999999</v>
      </c>
      <c r="Z12" s="2">
        <f t="shared" si="9"/>
        <v>5.2112399999999894</v>
      </c>
      <c r="AA12" s="2">
        <f t="shared" si="10"/>
        <v>8.0061299999999989</v>
      </c>
      <c r="AB12" s="2">
        <f t="shared" si="11"/>
        <v>0.39427208287276472</v>
      </c>
      <c r="AC12" s="2">
        <f t="shared" si="12"/>
        <v>0.60572791712723528</v>
      </c>
      <c r="AD12" s="2">
        <f t="shared" si="13"/>
        <v>0.19189290840567735</v>
      </c>
      <c r="AE12" s="2">
        <f t="shared" si="14"/>
        <v>7.565801668561907E-2</v>
      </c>
      <c r="AF12" s="2">
        <f t="shared" si="15"/>
        <v>13.217369999999988</v>
      </c>
      <c r="AG12" s="13">
        <v>24</v>
      </c>
      <c r="AH12">
        <f t="shared" si="1"/>
        <v>4.605429801736256</v>
      </c>
    </row>
    <row r="13" spans="2:34" x14ac:dyDescent="0.35">
      <c r="B13" s="2"/>
      <c r="C13" s="2"/>
      <c r="D13" s="2"/>
      <c r="E13" s="2"/>
      <c r="F13" s="13">
        <v>62.479120000000002</v>
      </c>
      <c r="G13" s="13">
        <v>65.133250000000004</v>
      </c>
      <c r="H13" s="2">
        <f t="shared" si="2"/>
        <v>2.6541300000000021</v>
      </c>
      <c r="I13" s="2">
        <f t="shared" si="3"/>
        <v>6.9822399999999902</v>
      </c>
      <c r="J13" s="2">
        <f t="shared" si="4"/>
        <v>0.27542840301897958</v>
      </c>
      <c r="K13" s="2">
        <f t="shared" si="5"/>
        <v>0.72457159698102047</v>
      </c>
      <c r="L13" s="2">
        <f t="shared" si="6"/>
        <v>0.37677129605558102</v>
      </c>
      <c r="M13" s="2">
        <f t="shared" si="7"/>
        <v>0.10377351637597984</v>
      </c>
      <c r="N13" s="2">
        <f t="shared" si="8"/>
        <v>9.6363699999999923</v>
      </c>
      <c r="O13" s="13">
        <v>11</v>
      </c>
      <c r="P13">
        <f t="shared" si="0"/>
        <v>4.1444842566113911</v>
      </c>
      <c r="X13" s="13">
        <v>134.41911999999999</v>
      </c>
      <c r="Y13" s="13">
        <v>137.29282000000001</v>
      </c>
      <c r="Z13" s="2">
        <f t="shared" si="9"/>
        <v>2.8737000000000137</v>
      </c>
      <c r="AA13" s="2">
        <f t="shared" si="10"/>
        <v>14.995530000000002</v>
      </c>
      <c r="AB13" s="2">
        <f t="shared" si="11"/>
        <v>0.16081834527844854</v>
      </c>
      <c r="AC13" s="2">
        <f t="shared" si="12"/>
        <v>0.83918165472155148</v>
      </c>
      <c r="AD13" s="2">
        <f t="shared" si="13"/>
        <v>0.34798343598844528</v>
      </c>
      <c r="AE13" s="2">
        <f t="shared" si="14"/>
        <v>5.5962120359970696E-2</v>
      </c>
      <c r="AF13" s="2">
        <f t="shared" si="15"/>
        <v>17.869230000000016</v>
      </c>
      <c r="AG13" s="13">
        <v>12</v>
      </c>
      <c r="AH13">
        <f t="shared" si="1"/>
        <v>4.1758012318613433</v>
      </c>
    </row>
    <row r="14" spans="2:34" x14ac:dyDescent="0.35">
      <c r="B14" s="2"/>
      <c r="C14" s="2"/>
      <c r="D14" s="2"/>
      <c r="E14" s="2"/>
      <c r="F14" s="13">
        <v>72.115489999999994</v>
      </c>
      <c r="G14" s="13">
        <v>74.598140000000001</v>
      </c>
      <c r="H14" s="2">
        <f t="shared" si="2"/>
        <v>2.4826500000000067</v>
      </c>
      <c r="I14" s="2">
        <f t="shared" si="3"/>
        <v>11.983710000000002</v>
      </c>
      <c r="J14" s="2">
        <f t="shared" si="4"/>
        <v>0.1716153890819809</v>
      </c>
      <c r="K14" s="2">
        <f t="shared" si="5"/>
        <v>0.82838461091801907</v>
      </c>
      <c r="L14" s="2">
        <f t="shared" si="6"/>
        <v>0.40279540007653003</v>
      </c>
      <c r="M14" s="2">
        <f t="shared" si="7"/>
        <v>6.9125889304565855E-2</v>
      </c>
      <c r="N14" s="2">
        <f t="shared" si="8"/>
        <v>14.466360000000009</v>
      </c>
      <c r="O14" s="13">
        <v>11</v>
      </c>
      <c r="P14">
        <f t="shared" si="0"/>
        <v>4.4307494008418304</v>
      </c>
      <c r="X14" s="13">
        <v>152.28835000000001</v>
      </c>
      <c r="Y14" s="13">
        <v>157.28683000000001</v>
      </c>
      <c r="Z14" s="2">
        <f t="shared" si="9"/>
        <v>4.9984800000000007</v>
      </c>
      <c r="AA14" s="2">
        <f t="shared" si="10"/>
        <v>18.346549999999979</v>
      </c>
      <c r="AB14" s="2">
        <f t="shared" si="11"/>
        <v>0.21411323952036065</v>
      </c>
      <c r="AC14" s="2">
        <f t="shared" si="12"/>
        <v>0.78588676047963935</v>
      </c>
      <c r="AD14" s="2">
        <f t="shared" si="13"/>
        <v>0.20006081848882057</v>
      </c>
      <c r="AE14" s="2">
        <f t="shared" si="14"/>
        <v>4.2835669947736237E-2</v>
      </c>
      <c r="AF14" s="2">
        <f t="shared" si="15"/>
        <v>23.34502999999998</v>
      </c>
      <c r="AG14" s="13">
        <v>22</v>
      </c>
      <c r="AH14">
        <f t="shared" si="1"/>
        <v>4.4013380067540524</v>
      </c>
    </row>
    <row r="15" spans="2:34" x14ac:dyDescent="0.35">
      <c r="B15" s="2"/>
      <c r="C15" s="2"/>
      <c r="D15" s="2"/>
      <c r="E15" s="2"/>
      <c r="F15" s="13">
        <v>86.581850000000003</v>
      </c>
      <c r="G15" s="13">
        <v>88.922669999999997</v>
      </c>
      <c r="H15" s="2">
        <f t="shared" si="2"/>
        <v>2.3408199999999937</v>
      </c>
      <c r="I15" s="2">
        <f t="shared" si="3"/>
        <v>7.3128800000000069</v>
      </c>
      <c r="J15" s="2">
        <f t="shared" si="4"/>
        <v>0.24247904948361701</v>
      </c>
      <c r="K15" s="2">
        <f t="shared" si="5"/>
        <v>0.75752095051638302</v>
      </c>
      <c r="L15" s="2">
        <f t="shared" si="6"/>
        <v>0.42720072453242997</v>
      </c>
      <c r="M15" s="2">
        <f t="shared" si="7"/>
        <v>0.10358722562333612</v>
      </c>
      <c r="N15" s="2">
        <f t="shared" si="8"/>
        <v>9.6537000000000006</v>
      </c>
      <c r="O15">
        <v>12</v>
      </c>
      <c r="P15">
        <f t="shared" si="0"/>
        <v>5.1264086943891591</v>
      </c>
      <c r="X15" s="13">
        <v>175.63337999999999</v>
      </c>
      <c r="Y15" s="13">
        <v>180.57915</v>
      </c>
      <c r="Z15" s="2">
        <f t="shared" si="9"/>
        <v>4.9457700000000102</v>
      </c>
      <c r="AA15" s="2">
        <f t="shared" si="10"/>
        <v>13.760109999999997</v>
      </c>
      <c r="AB15" s="2">
        <f t="shared" si="11"/>
        <v>0.26439654269138946</v>
      </c>
      <c r="AC15" s="2">
        <f t="shared" si="12"/>
        <v>0.73560345730861054</v>
      </c>
      <c r="AD15" s="2">
        <f t="shared" si="13"/>
        <v>0.20219298511657394</v>
      </c>
      <c r="AE15" s="2">
        <f t="shared" si="14"/>
        <v>5.3459126221273717E-2</v>
      </c>
      <c r="AF15" s="2">
        <f t="shared" si="15"/>
        <v>18.705880000000008</v>
      </c>
      <c r="AG15" s="13">
        <v>22</v>
      </c>
      <c r="AH15">
        <f t="shared" si="1"/>
        <v>4.4482456725646271</v>
      </c>
    </row>
    <row r="16" spans="2:34" x14ac:dyDescent="0.35">
      <c r="B16" s="2"/>
      <c r="C16" s="2"/>
      <c r="D16" s="2"/>
      <c r="E16" s="2"/>
      <c r="F16" s="13">
        <v>96.235550000000003</v>
      </c>
      <c r="G16">
        <v>98.468260000000001</v>
      </c>
      <c r="H16" s="2">
        <f t="shared" si="2"/>
        <v>2.2327099999999973</v>
      </c>
      <c r="I16" s="2">
        <f t="shared" si="3"/>
        <v>8.6864099999999951</v>
      </c>
      <c r="J16" s="2">
        <f t="shared" si="4"/>
        <v>0.20447710071873915</v>
      </c>
      <c r="K16" s="2">
        <f t="shared" si="5"/>
        <v>0.79552289928126085</v>
      </c>
      <c r="L16" s="2">
        <f t="shared" si="6"/>
        <v>0.44788620107403165</v>
      </c>
      <c r="M16" s="2">
        <f t="shared" si="7"/>
        <v>9.1582471847548225E-2</v>
      </c>
      <c r="N16" s="2">
        <f t="shared" si="8"/>
        <v>10.919119999999992</v>
      </c>
      <c r="O16">
        <v>9</v>
      </c>
      <c r="P16">
        <f t="shared" si="0"/>
        <v>4.0309758096662849</v>
      </c>
      <c r="X16" s="13">
        <v>194.33926</v>
      </c>
      <c r="Y16">
        <v>199.31732</v>
      </c>
      <c r="Z16" s="2">
        <f t="shared" si="9"/>
        <v>4.9780599999999993</v>
      </c>
      <c r="AA16" s="2">
        <f t="shared" si="10"/>
        <v>25.614660000000015</v>
      </c>
      <c r="AB16" s="2">
        <f t="shared" si="11"/>
        <v>0.16272041191499145</v>
      </c>
      <c r="AC16" s="2">
        <f t="shared" si="12"/>
        <v>0.83727958808500857</v>
      </c>
      <c r="AD16" s="2">
        <f t="shared" si="13"/>
        <v>0.20088146788106212</v>
      </c>
      <c r="AE16" s="2">
        <f t="shared" si="14"/>
        <v>3.2687515199694553E-2</v>
      </c>
      <c r="AF16" s="2">
        <f t="shared" si="15"/>
        <v>30.592720000000014</v>
      </c>
      <c r="AG16">
        <v>24</v>
      </c>
      <c r="AH16">
        <f t="shared" si="1"/>
        <v>4.8211552291454911</v>
      </c>
    </row>
    <row r="17" spans="2:34" x14ac:dyDescent="0.35">
      <c r="B17" s="2"/>
      <c r="C17" s="2"/>
      <c r="D17" s="2"/>
      <c r="E17" s="2"/>
      <c r="F17" s="13">
        <v>107.15467</v>
      </c>
      <c r="G17">
        <v>109.26419</v>
      </c>
      <c r="H17" s="2">
        <f t="shared" si="2"/>
        <v>2.1095200000000034</v>
      </c>
      <c r="I17" s="2">
        <f t="shared" si="3"/>
        <v>10.473129999999998</v>
      </c>
      <c r="J17" s="2">
        <f t="shared" si="4"/>
        <v>0.16765307784926095</v>
      </c>
      <c r="K17" s="2">
        <f t="shared" si="5"/>
        <v>0.83234692215073902</v>
      </c>
      <c r="L17" s="2">
        <f t="shared" si="6"/>
        <v>0.47404148811103869</v>
      </c>
      <c r="M17" s="2">
        <f t="shared" si="7"/>
        <v>7.9474514510059477E-2</v>
      </c>
      <c r="N17" s="2">
        <f t="shared" si="8"/>
        <v>12.582650000000001</v>
      </c>
      <c r="O17">
        <v>9</v>
      </c>
      <c r="P17">
        <f t="shared" si="0"/>
        <v>4.2663733929993484</v>
      </c>
      <c r="X17" s="13">
        <v>224.93198000000001</v>
      </c>
      <c r="Y17">
        <v>229.95114000000001</v>
      </c>
      <c r="Z17" s="2">
        <f t="shared" si="9"/>
        <v>5.0191599999999994</v>
      </c>
      <c r="AA17" s="2"/>
      <c r="AB17" s="2"/>
      <c r="AC17" s="2"/>
      <c r="AD17" s="2"/>
      <c r="AE17" s="2"/>
      <c r="AF17" s="2"/>
      <c r="AG17">
        <v>24</v>
      </c>
      <c r="AH17">
        <f t="shared" si="1"/>
        <v>4.7816766152105137</v>
      </c>
    </row>
    <row r="18" spans="2:34" ht="16" thickBot="1" x14ac:dyDescent="0.4">
      <c r="B18" s="2"/>
      <c r="C18" s="2"/>
      <c r="D18" s="2"/>
      <c r="E18" s="2"/>
      <c r="F18" s="13">
        <v>119.73732</v>
      </c>
      <c r="G18">
        <v>121.88003999999999</v>
      </c>
      <c r="H18" s="2">
        <f t="shared" si="2"/>
        <v>2.1427199999999971</v>
      </c>
      <c r="I18" s="2">
        <f t="shared" si="3"/>
        <v>11.818120000000008</v>
      </c>
      <c r="J18" s="2">
        <f t="shared" si="4"/>
        <v>0.15348073611616467</v>
      </c>
      <c r="K18" s="2">
        <f t="shared" si="5"/>
        <v>0.84651926388383536</v>
      </c>
      <c r="L18" s="2">
        <f t="shared" si="6"/>
        <v>0.46669653524492299</v>
      </c>
      <c r="M18" s="2">
        <f t="shared" si="7"/>
        <v>7.1628927772254367E-2</v>
      </c>
      <c r="N18" s="2">
        <f t="shared" si="8"/>
        <v>13.960840000000005</v>
      </c>
      <c r="O18">
        <v>3</v>
      </c>
      <c r="P18">
        <f t="shared" si="0"/>
        <v>1.4000896057347689</v>
      </c>
      <c r="X18" s="13"/>
      <c r="Y18" s="13"/>
      <c r="Z18" s="9" t="s">
        <v>3</v>
      </c>
      <c r="AA18" s="9" t="s">
        <v>4</v>
      </c>
      <c r="AB18" s="9" t="s">
        <v>5</v>
      </c>
      <c r="AC18" s="9" t="s">
        <v>6</v>
      </c>
      <c r="AD18" s="9" t="s">
        <v>7</v>
      </c>
      <c r="AE18" s="9" t="s">
        <v>8</v>
      </c>
      <c r="AF18" s="9" t="s">
        <v>9</v>
      </c>
      <c r="AG18" s="9" t="s">
        <v>10</v>
      </c>
      <c r="AH18" s="44" t="s">
        <v>139</v>
      </c>
    </row>
    <row r="19" spans="2:34" x14ac:dyDescent="0.35">
      <c r="B19" s="2"/>
      <c r="C19" s="2"/>
      <c r="D19" s="2"/>
      <c r="E19" s="2"/>
      <c r="F19" s="13">
        <v>133.69816</v>
      </c>
      <c r="G19">
        <v>135.75843</v>
      </c>
      <c r="H19" s="2">
        <f t="shared" si="2"/>
        <v>2.0602700000000027</v>
      </c>
      <c r="I19" s="2">
        <f t="shared" si="3"/>
        <v>10.264530000000008</v>
      </c>
      <c r="J19" s="2">
        <f t="shared" si="4"/>
        <v>0.16716457873555765</v>
      </c>
      <c r="K19" s="2">
        <f t="shared" si="5"/>
        <v>0.83283542126444232</v>
      </c>
      <c r="L19" s="2">
        <f t="shared" si="6"/>
        <v>0.48537327631815186</v>
      </c>
      <c r="M19" s="2">
        <f t="shared" si="7"/>
        <v>8.1137219265221272E-2</v>
      </c>
      <c r="N19" s="2">
        <f t="shared" si="8"/>
        <v>12.32480000000001</v>
      </c>
      <c r="O19">
        <v>6</v>
      </c>
      <c r="P19">
        <f t="shared" si="0"/>
        <v>2.9122396579089109</v>
      </c>
      <c r="X19" s="13"/>
      <c r="Y19" s="49" t="s">
        <v>77</v>
      </c>
      <c r="Z19" s="2">
        <f>AVERAGE(Z7:Z14)</f>
        <v>4.3257187500000027</v>
      </c>
      <c r="AA19" s="2">
        <f t="shared" ref="AA19:AF19" si="16">AVERAGE(AA7:AA16)</f>
        <v>17.688158999999999</v>
      </c>
      <c r="AB19" s="2">
        <f t="shared" si="16"/>
        <v>0.22325721749655969</v>
      </c>
      <c r="AC19" s="2">
        <f t="shared" si="16"/>
        <v>0.77674278250344042</v>
      </c>
      <c r="AD19" s="2">
        <f t="shared" si="16"/>
        <v>0.2337517257432678</v>
      </c>
      <c r="AE19" s="2">
        <f t="shared" si="16"/>
        <v>4.9801997674436077E-2</v>
      </c>
      <c r="AF19" s="2">
        <f t="shared" si="16"/>
        <v>22.141117000000001</v>
      </c>
      <c r="AG19" s="2">
        <f>AVERAGE(AG7:AG17)</f>
        <v>20.545454545454547</v>
      </c>
      <c r="AH19" s="2">
        <f>AVERAGE(AH7:AH17)</f>
        <v>4.5518810630904234</v>
      </c>
    </row>
    <row r="20" spans="2:34" x14ac:dyDescent="0.35">
      <c r="B20" s="2"/>
      <c r="C20" s="2"/>
      <c r="D20" s="2"/>
      <c r="E20" s="2"/>
      <c r="F20" s="13">
        <v>146.02296000000001</v>
      </c>
      <c r="G20">
        <v>148.16072</v>
      </c>
      <c r="H20" s="2">
        <f t="shared" si="2"/>
        <v>2.1377599999999859</v>
      </c>
      <c r="I20" s="2">
        <f t="shared" si="3"/>
        <v>10.167450000000002</v>
      </c>
      <c r="J20" s="2">
        <f t="shared" si="4"/>
        <v>0.1737280387738192</v>
      </c>
      <c r="K20" s="2">
        <f t="shared" si="5"/>
        <v>0.82627196122618074</v>
      </c>
      <c r="L20" s="2">
        <f t="shared" si="6"/>
        <v>0.46777935783250063</v>
      </c>
      <c r="M20" s="2">
        <f t="shared" si="7"/>
        <v>8.1266390415116921E-2</v>
      </c>
      <c r="N20" s="2">
        <f t="shared" si="8"/>
        <v>12.305209999999988</v>
      </c>
      <c r="O20">
        <v>9</v>
      </c>
      <c r="P20">
        <f t="shared" si="0"/>
        <v>4.2100142204925062</v>
      </c>
      <c r="X20" s="13"/>
      <c r="Y20" s="49" t="s">
        <v>94</v>
      </c>
      <c r="Z20" s="2">
        <f>_xlfn.STDEV.S(Z7:Z14)</f>
        <v>0.90403942797135783</v>
      </c>
      <c r="AA20" s="2">
        <f t="shared" ref="AA20:AF20" si="17">_xlfn.STDEV.S(AA7:AA16)</f>
        <v>6.9573070661275027</v>
      </c>
      <c r="AB20" s="2">
        <f t="shared" si="17"/>
        <v>0.10030071438078943</v>
      </c>
      <c r="AC20" s="2">
        <f t="shared" si="17"/>
        <v>0.10030071438078965</v>
      </c>
      <c r="AD20" s="2">
        <f t="shared" si="17"/>
        <v>5.4556589099899112E-2</v>
      </c>
      <c r="AE20" s="2">
        <f t="shared" si="17"/>
        <v>1.7149775711176034E-2</v>
      </c>
      <c r="AF20" s="2">
        <f t="shared" si="17"/>
        <v>6.9643331386174854</v>
      </c>
      <c r="AG20" s="2">
        <f>_xlfn.STDEV.S(AG7:AG15)</f>
        <v>3.993049516903648</v>
      </c>
      <c r="AH20" s="2">
        <f>_xlfn.STDEV.S(AH7:AH15)</f>
        <v>0.16476636117536786</v>
      </c>
    </row>
    <row r="21" spans="2:34" x14ac:dyDescent="0.35">
      <c r="B21" s="2"/>
      <c r="C21" s="2"/>
      <c r="D21" s="2"/>
      <c r="E21" s="2"/>
      <c r="F21" s="2">
        <v>158.32817</v>
      </c>
      <c r="G21" s="45">
        <v>160.57174000000001</v>
      </c>
      <c r="H21" s="2">
        <f t="shared" si="2"/>
        <v>2.2435700000000054</v>
      </c>
      <c r="I21" s="2">
        <f t="shared" si="3"/>
        <v>13.01979</v>
      </c>
      <c r="J21" s="2">
        <f t="shared" si="4"/>
        <v>0.1469905708834755</v>
      </c>
      <c r="K21" s="2">
        <f t="shared" si="5"/>
        <v>0.85300942911652455</v>
      </c>
      <c r="L21" s="2">
        <f t="shared" si="6"/>
        <v>0.44571820803451534</v>
      </c>
      <c r="M21" s="2">
        <f t="shared" si="7"/>
        <v>6.5516373852153101E-2</v>
      </c>
      <c r="N21" s="2">
        <f t="shared" si="8"/>
        <v>15.263360000000006</v>
      </c>
      <c r="O21" s="2">
        <v>10</v>
      </c>
      <c r="P21">
        <f t="shared" si="0"/>
        <v>4.4571820803451532</v>
      </c>
      <c r="X21" s="13"/>
      <c r="Y21" s="49" t="s">
        <v>95</v>
      </c>
      <c r="Z21" s="2">
        <f>Z20/SQRT(8)</f>
        <v>0.31962620498927724</v>
      </c>
      <c r="AA21" s="2">
        <f t="shared" ref="AA21:AF21" si="18">AA20/SQRT(11)</f>
        <v>2.097707008148479</v>
      </c>
      <c r="AB21" s="2">
        <f t="shared" si="18"/>
        <v>3.0241803255062052E-2</v>
      </c>
      <c r="AC21" s="2">
        <f t="shared" si="18"/>
        <v>3.0241803255062118E-2</v>
      </c>
      <c r="AD21" s="2">
        <f t="shared" si="18"/>
        <v>1.6449430535087146E-2</v>
      </c>
      <c r="AE21" s="2">
        <f t="shared" si="18"/>
        <v>5.1708519338837583E-3</v>
      </c>
      <c r="AF21" s="2">
        <f t="shared" si="18"/>
        <v>2.0998254487120347</v>
      </c>
      <c r="AG21" s="2">
        <f>AG20/SQRT(11)</f>
        <v>1.2039497288072083</v>
      </c>
      <c r="AH21" s="2">
        <f>AH20/SQRT(11)</f>
        <v>4.9678927099170593E-2</v>
      </c>
    </row>
    <row r="22" spans="2:34" x14ac:dyDescent="0.35">
      <c r="B22" s="2"/>
      <c r="C22" s="2"/>
      <c r="D22" s="2"/>
      <c r="E22" s="2"/>
      <c r="F22">
        <v>173.59153000000001</v>
      </c>
      <c r="G22">
        <v>177.24914000000001</v>
      </c>
      <c r="H22" s="2">
        <f t="shared" si="2"/>
        <v>3.6576100000000054</v>
      </c>
      <c r="I22" s="2">
        <f t="shared" si="3"/>
        <v>14.40625</v>
      </c>
      <c r="J22" s="2">
        <f t="shared" si="4"/>
        <v>0.20248219372825102</v>
      </c>
      <c r="K22" s="2">
        <f t="shared" si="5"/>
        <v>0.79751780627174895</v>
      </c>
      <c r="L22" s="2">
        <f t="shared" si="6"/>
        <v>0.27340257709269128</v>
      </c>
      <c r="M22" s="2">
        <f t="shared" si="7"/>
        <v>5.5359153580685397E-2</v>
      </c>
      <c r="N22" s="2">
        <f t="shared" si="8"/>
        <v>18.063860000000005</v>
      </c>
      <c r="O22">
        <v>10</v>
      </c>
      <c r="P22">
        <f t="shared" si="0"/>
        <v>2.7340257709269129</v>
      </c>
    </row>
    <row r="23" spans="2:34" x14ac:dyDescent="0.35">
      <c r="F23">
        <v>191.65539000000001</v>
      </c>
      <c r="G23">
        <v>194.11882</v>
      </c>
      <c r="H23" s="2">
        <f t="shared" si="2"/>
        <v>2.4634299999999882</v>
      </c>
      <c r="I23" s="2">
        <f t="shared" si="3"/>
        <v>8.5244299999999953</v>
      </c>
      <c r="J23" s="2">
        <f t="shared" si="4"/>
        <v>0.22419561224842616</v>
      </c>
      <c r="K23" s="2">
        <f t="shared" si="5"/>
        <v>0.77580438775157379</v>
      </c>
      <c r="L23" s="2">
        <f t="shared" si="6"/>
        <v>0.40593806197050647</v>
      </c>
      <c r="M23" s="2">
        <f t="shared" si="7"/>
        <v>9.1009532338417257E-2</v>
      </c>
      <c r="N23" s="2">
        <f t="shared" si="8"/>
        <v>10.987859999999984</v>
      </c>
      <c r="O23">
        <v>16</v>
      </c>
      <c r="P23">
        <f t="shared" si="0"/>
        <v>6.4950089915281035</v>
      </c>
    </row>
    <row r="24" spans="2:34" x14ac:dyDescent="0.35">
      <c r="F24">
        <v>202.64324999999999</v>
      </c>
      <c r="G24">
        <v>204.81892999999999</v>
      </c>
      <c r="H24" s="2">
        <f t="shared" si="2"/>
        <v>2.1756799999999998</v>
      </c>
      <c r="I24" s="2">
        <f t="shared" si="3"/>
        <v>9.8325900000000104</v>
      </c>
      <c r="J24" s="2">
        <f t="shared" si="4"/>
        <v>0.18118180220797817</v>
      </c>
      <c r="K24" s="2">
        <f t="shared" si="5"/>
        <v>0.81881819779202181</v>
      </c>
      <c r="L24" s="2">
        <f t="shared" si="6"/>
        <v>0.45962641564936024</v>
      </c>
      <c r="M24" s="2">
        <f t="shared" si="7"/>
        <v>8.3275942329744349E-2</v>
      </c>
      <c r="N24" s="2">
        <f t="shared" si="8"/>
        <v>12.00827000000001</v>
      </c>
      <c r="O24">
        <v>14</v>
      </c>
      <c r="P24">
        <f t="shared" si="0"/>
        <v>6.4347698190910432</v>
      </c>
    </row>
    <row r="25" spans="2:34" x14ac:dyDescent="0.35">
      <c r="F25">
        <v>214.65152</v>
      </c>
      <c r="G25">
        <v>217.13851</v>
      </c>
      <c r="H25" s="2">
        <f t="shared" si="2"/>
        <v>2.4869899999999916</v>
      </c>
      <c r="I25" s="2">
        <f t="shared" si="3"/>
        <v>11.068659999999994</v>
      </c>
      <c r="J25" s="2">
        <f t="shared" si="4"/>
        <v>0.18346519716870782</v>
      </c>
      <c r="K25" s="2">
        <f t="shared" si="5"/>
        <v>0.81653480283129221</v>
      </c>
      <c r="L25" s="2">
        <f t="shared" si="6"/>
        <v>0.40209248931439345</v>
      </c>
      <c r="M25" s="2">
        <f t="shared" si="7"/>
        <v>7.3769977832121733E-2</v>
      </c>
      <c r="N25" s="2">
        <f t="shared" si="8"/>
        <v>13.555649999999986</v>
      </c>
      <c r="O25">
        <v>12</v>
      </c>
      <c r="P25">
        <f t="shared" si="0"/>
        <v>4.8251098717727219</v>
      </c>
    </row>
    <row r="26" spans="2:34" x14ac:dyDescent="0.35">
      <c r="F26">
        <v>228.20716999999999</v>
      </c>
      <c r="G26">
        <v>230.47388000000001</v>
      </c>
      <c r="H26" s="2">
        <f t="shared" si="2"/>
        <v>2.2667100000000175</v>
      </c>
      <c r="I26" s="2">
        <f t="shared" si="3"/>
        <v>9.6866399999999828</v>
      </c>
      <c r="J26" s="2">
        <f t="shared" si="4"/>
        <v>0.18962968540200173</v>
      </c>
      <c r="K26" s="2">
        <f t="shared" si="5"/>
        <v>0.81037031459799824</v>
      </c>
      <c r="L26" s="2">
        <f t="shared" si="6"/>
        <v>0.44116803649341657</v>
      </c>
      <c r="M26" s="2">
        <f t="shared" si="7"/>
        <v>8.3658555969665399E-2</v>
      </c>
      <c r="N26" s="2">
        <f t="shared" si="8"/>
        <v>11.95335</v>
      </c>
      <c r="O26">
        <v>11</v>
      </c>
      <c r="P26">
        <f t="shared" si="0"/>
        <v>4.8528484014275826</v>
      </c>
    </row>
    <row r="27" spans="2:34" x14ac:dyDescent="0.35">
      <c r="F27">
        <v>240.16051999999999</v>
      </c>
      <c r="G27">
        <v>242.21528000000001</v>
      </c>
      <c r="H27" s="2">
        <f t="shared" si="2"/>
        <v>2.0547600000000159</v>
      </c>
      <c r="I27" s="2">
        <f t="shared" si="3"/>
        <v>8.1914699999999812</v>
      </c>
      <c r="J27" s="2">
        <f t="shared" si="4"/>
        <v>0.20053814915339754</v>
      </c>
      <c r="K27" s="2">
        <f t="shared" si="5"/>
        <v>0.79946185084660248</v>
      </c>
      <c r="L27" s="2">
        <f t="shared" si="6"/>
        <v>0.48667484280402201</v>
      </c>
      <c r="M27" s="2">
        <f t="shared" si="7"/>
        <v>9.7596872215439265E-2</v>
      </c>
      <c r="N27" s="2">
        <f t="shared" si="8"/>
        <v>10.246229999999997</v>
      </c>
      <c r="O27">
        <v>13</v>
      </c>
      <c r="P27">
        <f t="shared" si="0"/>
        <v>6.3267729564522863</v>
      </c>
    </row>
    <row r="28" spans="2:34" ht="18.5" x14ac:dyDescent="0.45">
      <c r="F28">
        <v>250.40674999999999</v>
      </c>
      <c r="G28">
        <v>252.57674</v>
      </c>
      <c r="H28" s="2">
        <f t="shared" si="2"/>
        <v>2.1699900000000127</v>
      </c>
      <c r="I28" s="2">
        <f t="shared" si="3"/>
        <v>9.6922100000000171</v>
      </c>
      <c r="J28" s="2">
        <f t="shared" si="4"/>
        <v>0.18293318271484271</v>
      </c>
      <c r="K28" s="2">
        <f t="shared" si="5"/>
        <v>0.81706681728515729</v>
      </c>
      <c r="L28" s="2">
        <f t="shared" si="6"/>
        <v>0.46083161673555828</v>
      </c>
      <c r="M28" s="2">
        <f t="shared" si="7"/>
        <v>8.4301394345062258E-2</v>
      </c>
      <c r="N28" s="2">
        <f t="shared" si="8"/>
        <v>11.86220000000003</v>
      </c>
      <c r="O28">
        <v>9</v>
      </c>
      <c r="P28">
        <f t="shared" si="0"/>
        <v>4.1474845506200246</v>
      </c>
      <c r="X28" s="1" t="s">
        <v>368</v>
      </c>
      <c r="Y28" s="3"/>
      <c r="Z28" s="3"/>
      <c r="AA28" s="3"/>
      <c r="AB28" s="3"/>
      <c r="AC28" s="3"/>
      <c r="AD28" s="3"/>
      <c r="AE28" s="3"/>
      <c r="AF28" s="3"/>
      <c r="AG28" s="3"/>
    </row>
    <row r="29" spans="2:34" ht="16" thickBot="1" x14ac:dyDescent="0.4">
      <c r="F29">
        <v>262.26895000000002</v>
      </c>
      <c r="G29">
        <v>264.52963</v>
      </c>
      <c r="H29" s="2">
        <f t="shared" si="2"/>
        <v>2.2606799999999794</v>
      </c>
      <c r="I29" s="2">
        <f t="shared" si="3"/>
        <v>13.876710000000003</v>
      </c>
      <c r="J29" s="2">
        <f t="shared" si="4"/>
        <v>0.14008956838745187</v>
      </c>
      <c r="K29" s="2">
        <f t="shared" si="5"/>
        <v>0.8599104316125481</v>
      </c>
      <c r="L29" s="2">
        <f t="shared" si="6"/>
        <v>0.44234478121627524</v>
      </c>
      <c r="M29" s="2">
        <f t="shared" si="7"/>
        <v>6.1967889479029828E-2</v>
      </c>
      <c r="N29" s="2">
        <f t="shared" si="8"/>
        <v>16.137389999999982</v>
      </c>
      <c r="O29">
        <v>10</v>
      </c>
      <c r="P29">
        <f t="shared" si="0"/>
        <v>4.4234478121627525</v>
      </c>
      <c r="X29" s="9" t="s">
        <v>1</v>
      </c>
      <c r="Y29" s="9" t="s">
        <v>2</v>
      </c>
      <c r="Z29" s="9" t="s">
        <v>3</v>
      </c>
      <c r="AA29" s="9" t="s">
        <v>4</v>
      </c>
      <c r="AB29" s="9" t="s">
        <v>5</v>
      </c>
      <c r="AC29" s="9" t="s">
        <v>6</v>
      </c>
      <c r="AD29" s="9" t="s">
        <v>7</v>
      </c>
      <c r="AE29" s="9" t="s">
        <v>8</v>
      </c>
      <c r="AF29" s="9" t="s">
        <v>9</v>
      </c>
      <c r="AG29" s="9" t="s">
        <v>10</v>
      </c>
      <c r="AH29" s="44" t="s">
        <v>139</v>
      </c>
    </row>
    <row r="30" spans="2:34" x14ac:dyDescent="0.35">
      <c r="F30">
        <v>278.40634</v>
      </c>
      <c r="G30">
        <v>281.60854999999998</v>
      </c>
      <c r="H30" s="2">
        <f t="shared" si="2"/>
        <v>3.2022099999999796</v>
      </c>
      <c r="I30" s="2">
        <f t="shared" si="3"/>
        <v>13.097800000000007</v>
      </c>
      <c r="J30" s="2">
        <f t="shared" si="4"/>
        <v>0.19645448070277149</v>
      </c>
      <c r="K30" s="2">
        <f t="shared" si="5"/>
        <v>0.80354551929722851</v>
      </c>
      <c r="L30" s="2">
        <f t="shared" si="6"/>
        <v>0.31228432863553807</v>
      </c>
      <c r="M30" s="2">
        <f t="shared" si="7"/>
        <v>6.1349655613708268E-2</v>
      </c>
      <c r="N30" s="2">
        <f t="shared" si="8"/>
        <v>16.300009999999986</v>
      </c>
      <c r="O30">
        <v>11</v>
      </c>
      <c r="P30">
        <f t="shared" si="0"/>
        <v>3.4351276149909187</v>
      </c>
      <c r="X30" s="2">
        <v>16.61308</v>
      </c>
      <c r="Y30" s="2">
        <v>22.57038</v>
      </c>
      <c r="Z30" s="2">
        <f>Y30-X30</f>
        <v>5.9573</v>
      </c>
      <c r="AA30" s="2">
        <f>X31-Y30</f>
        <v>11.89481</v>
      </c>
      <c r="AB30" s="2">
        <f>Z30/AF30</f>
        <v>0.33370285081147272</v>
      </c>
      <c r="AC30" s="2">
        <f>AA30/AF30</f>
        <v>0.66629714918852734</v>
      </c>
      <c r="AD30" s="2">
        <f>1/Z30</f>
        <v>0.16786127943867188</v>
      </c>
      <c r="AE30" s="2">
        <f>1/AF30</f>
        <v>5.6015787489546054E-2</v>
      </c>
      <c r="AF30" s="2">
        <f>Z30+AA30</f>
        <v>17.85211</v>
      </c>
      <c r="AG30" s="2">
        <v>34</v>
      </c>
      <c r="AH30">
        <f>AG30/Z30</f>
        <v>5.7072835009148442</v>
      </c>
    </row>
    <row r="31" spans="2:34" x14ac:dyDescent="0.35">
      <c r="F31">
        <v>294.70634999999999</v>
      </c>
      <c r="G31">
        <v>298.13495999999998</v>
      </c>
      <c r="H31" s="2">
        <f t="shared" si="2"/>
        <v>3.4286099999999919</v>
      </c>
      <c r="I31" s="2">
        <f t="shared" si="3"/>
        <v>11.319880000000012</v>
      </c>
      <c r="J31" s="2">
        <f t="shared" si="4"/>
        <v>0.23247193441498018</v>
      </c>
      <c r="K31" s="2">
        <f t="shared" si="5"/>
        <v>0.76752806558501985</v>
      </c>
      <c r="L31" s="2">
        <f t="shared" si="6"/>
        <v>0.291663385453581</v>
      </c>
      <c r="M31" s="2">
        <f t="shared" si="7"/>
        <v>6.7803551414415963E-2</v>
      </c>
      <c r="N31" s="2">
        <f t="shared" si="8"/>
        <v>14.748490000000004</v>
      </c>
      <c r="O31">
        <v>15</v>
      </c>
      <c r="P31">
        <f t="shared" si="0"/>
        <v>4.3749507818037152</v>
      </c>
      <c r="X31" s="2">
        <v>34.46519</v>
      </c>
      <c r="Y31" s="2">
        <v>41.228580000000001</v>
      </c>
      <c r="Z31" s="2">
        <f>Y31-X31</f>
        <v>6.7633900000000011</v>
      </c>
      <c r="AA31" s="2">
        <f>X32-Y31</f>
        <v>12.774439999999998</v>
      </c>
      <c r="AB31" s="2">
        <f>Z31/AF31</f>
        <v>0.34616894506708273</v>
      </c>
      <c r="AC31" s="2">
        <f>AA31/AF31</f>
        <v>0.65383105493291727</v>
      </c>
      <c r="AD31" s="2">
        <f>1/Z31</f>
        <v>0.14785484793868162</v>
      </c>
      <c r="AE31" s="2">
        <f>1/AF31</f>
        <v>5.1182756733987346E-2</v>
      </c>
      <c r="AF31" s="2">
        <f>Z31+AA31</f>
        <v>19.53783</v>
      </c>
      <c r="AG31" s="2">
        <v>38</v>
      </c>
      <c r="AH31">
        <f>AG31/Z31</f>
        <v>5.6184842216699016</v>
      </c>
    </row>
    <row r="32" spans="2:34" x14ac:dyDescent="0.35">
      <c r="F32">
        <v>309.45483999999999</v>
      </c>
      <c r="G32">
        <v>312.62128999999999</v>
      </c>
      <c r="H32" s="2">
        <f t="shared" si="2"/>
        <v>3.1664499999999975</v>
      </c>
      <c r="I32" s="2">
        <f t="shared" si="3"/>
        <v>10.097970000000032</v>
      </c>
      <c r="J32" s="2">
        <f t="shared" si="4"/>
        <v>0.23871756171773742</v>
      </c>
      <c r="K32" s="2">
        <f t="shared" si="5"/>
        <v>0.76128243828226261</v>
      </c>
      <c r="L32" s="2">
        <f t="shared" si="6"/>
        <v>0.31581108181086098</v>
      </c>
      <c r="M32" s="2">
        <f t="shared" si="7"/>
        <v>7.5389651413329622E-2</v>
      </c>
      <c r="N32" s="2">
        <f t="shared" si="8"/>
        <v>13.26442000000003</v>
      </c>
      <c r="O32">
        <v>15</v>
      </c>
      <c r="P32">
        <f t="shared" si="0"/>
        <v>4.7371662271629145</v>
      </c>
      <c r="X32" s="13">
        <v>54.003019999999999</v>
      </c>
      <c r="Y32" s="13">
        <v>60.548490000000001</v>
      </c>
      <c r="Z32" s="2">
        <f>Y32-X32</f>
        <v>6.5454700000000017</v>
      </c>
      <c r="AA32" s="2">
        <f>X33-Y32</f>
        <v>10.956689999999995</v>
      </c>
      <c r="AB32" s="2">
        <f>Z32/AF32</f>
        <v>0.37398069723965516</v>
      </c>
      <c r="AC32" s="2">
        <f>AA32/AF32</f>
        <v>0.62601930276034479</v>
      </c>
      <c r="AD32" s="2">
        <f>1/Z32</f>
        <v>0.15277741705332082</v>
      </c>
      <c r="AE32" s="2">
        <f>1/AF32</f>
        <v>5.7135804952074501E-2</v>
      </c>
      <c r="AF32" s="2">
        <f>Z32+AA32</f>
        <v>17.502159999999996</v>
      </c>
      <c r="AG32" s="13">
        <v>36</v>
      </c>
      <c r="AH32">
        <f>AG32/Z32</f>
        <v>5.499987013919549</v>
      </c>
    </row>
    <row r="33" spans="6:34" x14ac:dyDescent="0.35">
      <c r="F33">
        <v>322.71926000000002</v>
      </c>
      <c r="G33">
        <v>324.96215999999998</v>
      </c>
      <c r="H33" s="2">
        <f t="shared" si="2"/>
        <v>2.2428999999999633</v>
      </c>
      <c r="I33" s="2">
        <f t="shared" si="3"/>
        <v>9.4745200000000409</v>
      </c>
      <c r="J33" s="2">
        <f t="shared" si="4"/>
        <v>0.19141585775707984</v>
      </c>
      <c r="K33" s="2">
        <f t="shared" si="5"/>
        <v>0.80858414224292019</v>
      </c>
      <c r="L33" s="2">
        <f t="shared" si="6"/>
        <v>0.44585135315886415</v>
      </c>
      <c r="M33" s="2">
        <f t="shared" si="7"/>
        <v>8.5343019197058709E-2</v>
      </c>
      <c r="N33" s="2">
        <f t="shared" si="8"/>
        <v>11.717420000000004</v>
      </c>
      <c r="O33">
        <v>14</v>
      </c>
      <c r="P33">
        <f t="shared" si="0"/>
        <v>6.2419189442240981</v>
      </c>
      <c r="X33" s="13">
        <v>71.505179999999996</v>
      </c>
      <c r="Y33" s="13">
        <v>78.293310000000005</v>
      </c>
      <c r="Z33" s="2">
        <f>Y33-X33</f>
        <v>6.7881300000000095</v>
      </c>
      <c r="AA33" s="2">
        <f>X34-Y33</f>
        <v>10.933299999999988</v>
      </c>
      <c r="AB33" s="2">
        <f>Z33/AF33</f>
        <v>0.38304640201157641</v>
      </c>
      <c r="AC33" s="2">
        <f>AA33/AF33</f>
        <v>0.61695359798842364</v>
      </c>
      <c r="AD33" s="2">
        <f>1/Z33</f>
        <v>0.14731597656497425</v>
      </c>
      <c r="AE33" s="2">
        <f>1/AF33</f>
        <v>5.642885478203509E-2</v>
      </c>
      <c r="AF33" s="2">
        <f>Z33+AA33</f>
        <v>17.721429999999998</v>
      </c>
      <c r="AG33" s="13">
        <v>39</v>
      </c>
      <c r="AH33">
        <f>AG33/Z33</f>
        <v>5.745323086033995</v>
      </c>
    </row>
    <row r="34" spans="6:34" x14ac:dyDescent="0.35">
      <c r="F34">
        <v>334.43668000000002</v>
      </c>
      <c r="G34">
        <v>338.13285000000002</v>
      </c>
      <c r="H34" s="2">
        <f t="shared" si="2"/>
        <v>3.6961699999999951</v>
      </c>
      <c r="I34" s="2">
        <f t="shared" si="3"/>
        <v>10.908529999999985</v>
      </c>
      <c r="J34" s="2">
        <f t="shared" si="4"/>
        <v>0.25308085753216431</v>
      </c>
      <c r="K34" s="2">
        <f t="shared" si="5"/>
        <v>0.74691914246783564</v>
      </c>
      <c r="L34" s="2">
        <f t="shared" si="6"/>
        <v>0.2705503264189692</v>
      </c>
      <c r="M34" s="2">
        <f t="shared" si="7"/>
        <v>6.8471108615719686E-2</v>
      </c>
      <c r="N34" s="2">
        <f t="shared" si="8"/>
        <v>14.60469999999998</v>
      </c>
      <c r="O34">
        <v>11</v>
      </c>
      <c r="P34">
        <f t="shared" si="0"/>
        <v>2.9760535906086609</v>
      </c>
      <c r="X34" s="13">
        <v>89.226609999999994</v>
      </c>
      <c r="Y34" s="13">
        <v>96.938760000000002</v>
      </c>
      <c r="Z34" s="2">
        <f>Y34-X34</f>
        <v>7.7121500000000083</v>
      </c>
      <c r="AA34" s="2"/>
      <c r="AB34" s="2"/>
      <c r="AC34" s="2"/>
      <c r="AD34" s="2"/>
      <c r="AE34" s="2"/>
      <c r="AF34" s="2"/>
      <c r="AG34" s="13">
        <v>44</v>
      </c>
      <c r="AH34">
        <f>AG34/Z34</f>
        <v>5.7052832219290277</v>
      </c>
    </row>
    <row r="35" spans="6:34" x14ac:dyDescent="0.35">
      <c r="F35">
        <v>349.04138</v>
      </c>
      <c r="G35">
        <v>352.78953999999999</v>
      </c>
      <c r="H35" s="2">
        <f t="shared" si="2"/>
        <v>3.7481599999999844</v>
      </c>
      <c r="I35" s="2"/>
      <c r="J35" s="2"/>
      <c r="K35" s="2"/>
      <c r="L35" s="2"/>
      <c r="M35" s="2"/>
      <c r="N35" s="2"/>
      <c r="X35" s="13"/>
      <c r="Y35" s="13"/>
      <c r="Z35" s="2"/>
      <c r="AA35" s="2"/>
      <c r="AB35" s="2"/>
      <c r="AC35" s="2"/>
      <c r="AD35" s="2"/>
      <c r="AE35" s="2"/>
      <c r="AF35" s="2"/>
      <c r="AG35" s="13"/>
    </row>
    <row r="36" spans="6:34" ht="16" thickBot="1" x14ac:dyDescent="0.4">
      <c r="H36" s="2"/>
      <c r="I36" s="2"/>
      <c r="J36" s="2"/>
      <c r="K36" s="2"/>
      <c r="L36" s="2"/>
      <c r="M36" s="2"/>
      <c r="N36" s="2"/>
      <c r="X36" s="13"/>
      <c r="Y36" s="13"/>
      <c r="Z36" s="9" t="s">
        <v>3</v>
      </c>
      <c r="AA36" s="9" t="s">
        <v>4</v>
      </c>
      <c r="AB36" s="9" t="s">
        <v>5</v>
      </c>
      <c r="AC36" s="9" t="s">
        <v>6</v>
      </c>
      <c r="AD36" s="9" t="s">
        <v>7</v>
      </c>
      <c r="AE36" s="9" t="s">
        <v>8</v>
      </c>
      <c r="AF36" s="9" t="s">
        <v>9</v>
      </c>
      <c r="AG36" s="9" t="s">
        <v>10</v>
      </c>
      <c r="AH36" s="44" t="s">
        <v>139</v>
      </c>
    </row>
    <row r="37" spans="6:34" x14ac:dyDescent="0.35">
      <c r="X37" s="13"/>
      <c r="Y37" s="49" t="s">
        <v>77</v>
      </c>
      <c r="Z37" s="2">
        <f>AVERAGE(Z30:Z33)</f>
        <v>6.5135725000000031</v>
      </c>
      <c r="AA37" s="2">
        <f t="shared" ref="AA37:AF37" si="19">AVERAGE(AA30:AA33)</f>
        <v>11.639809999999995</v>
      </c>
      <c r="AB37" s="2">
        <f t="shared" si="19"/>
        <v>0.35922472378244674</v>
      </c>
      <c r="AC37" s="2">
        <f t="shared" si="19"/>
        <v>0.64077527621755326</v>
      </c>
      <c r="AD37" s="2">
        <f t="shared" si="19"/>
        <v>0.15395238024891214</v>
      </c>
      <c r="AE37" s="2">
        <f t="shared" si="19"/>
        <v>5.5190800989410746E-2</v>
      </c>
      <c r="AF37" s="2">
        <f t="shared" si="19"/>
        <v>18.153382499999999</v>
      </c>
      <c r="AG37" s="2">
        <f>AVERAGE(AG30:AG34)</f>
        <v>38.200000000000003</v>
      </c>
      <c r="AH37" s="2">
        <f>AVERAGE(AH30:AH34)</f>
        <v>5.6552722088934626</v>
      </c>
    </row>
    <row r="38" spans="6:34" x14ac:dyDescent="0.35">
      <c r="X38" s="13"/>
      <c r="Y38" s="49" t="s">
        <v>94</v>
      </c>
      <c r="Z38" s="2">
        <f>_xlfn.STDEV.S(Z30:Z33)</f>
        <v>0.38654329161384837</v>
      </c>
      <c r="AA38" s="2">
        <f t="shared" ref="AA38:AF38" si="20">_xlfn.STDEV.S(AA30:AA33)</f>
        <v>0.87905622713605369</v>
      </c>
      <c r="AB38" s="2">
        <f t="shared" si="20"/>
        <v>2.314469315799424E-2</v>
      </c>
      <c r="AC38" s="2">
        <f t="shared" si="20"/>
        <v>2.3144693157994254E-2</v>
      </c>
      <c r="AD38" s="2">
        <f t="shared" si="20"/>
        <v>9.5927015540007102E-3</v>
      </c>
      <c r="AE38" s="2">
        <f t="shared" si="20"/>
        <v>2.7117546033916399E-3</v>
      </c>
      <c r="AF38" s="2">
        <f t="shared" si="20"/>
        <v>0.93419014950116119</v>
      </c>
      <c r="AG38" s="2">
        <f>_xlfn.STDEV.S(AG30:AG34)</f>
        <v>3.7682887362833544</v>
      </c>
      <c r="AH38" s="2">
        <f>_xlfn.STDEV.S(AH30:AH34)</f>
        <v>9.8466090836393266E-2</v>
      </c>
    </row>
    <row r="39" spans="6:34" ht="16" thickBot="1" x14ac:dyDescent="0.4">
      <c r="G39" s="13"/>
      <c r="H39" s="9" t="s">
        <v>3</v>
      </c>
      <c r="I39" s="9" t="s">
        <v>4</v>
      </c>
      <c r="J39" s="9" t="s">
        <v>5</v>
      </c>
      <c r="K39" s="9" t="s">
        <v>6</v>
      </c>
      <c r="L39" s="9" t="s">
        <v>7</v>
      </c>
      <c r="M39" s="9" t="s">
        <v>8</v>
      </c>
      <c r="N39" s="9" t="s">
        <v>9</v>
      </c>
      <c r="O39" s="9" t="s">
        <v>10</v>
      </c>
      <c r="P39" s="44" t="s">
        <v>139</v>
      </c>
      <c r="X39" s="13"/>
      <c r="Y39" s="49" t="s">
        <v>95</v>
      </c>
      <c r="Z39" s="2">
        <f>Z38/SQRT(4)</f>
        <v>0.19327164580692419</v>
      </c>
      <c r="AA39" s="2">
        <f t="shared" ref="AA39:AF39" si="21">AA38/SQRT(4)</f>
        <v>0.43952811356802685</v>
      </c>
      <c r="AB39" s="2">
        <f t="shared" si="21"/>
        <v>1.157234657899712E-2</v>
      </c>
      <c r="AC39" s="2">
        <f t="shared" si="21"/>
        <v>1.1572346578997127E-2</v>
      </c>
      <c r="AD39" s="2">
        <f t="shared" si="21"/>
        <v>4.7963507770003551E-3</v>
      </c>
      <c r="AE39" s="2">
        <f t="shared" si="21"/>
        <v>1.3558773016958199E-3</v>
      </c>
      <c r="AF39" s="2">
        <f t="shared" si="21"/>
        <v>0.4670950747505806</v>
      </c>
      <c r="AG39" s="2">
        <f>AG38/SQRT(5)</f>
        <v>1.6852299546352716</v>
      </c>
      <c r="AH39" s="2">
        <f>AH38/SQRT(5)</f>
        <v>4.4035374517768892E-2</v>
      </c>
    </row>
    <row r="40" spans="6:34" x14ac:dyDescent="0.35">
      <c r="G40" s="49" t="s">
        <v>77</v>
      </c>
      <c r="H40" s="2">
        <f>AVERAGE(H7:H34)</f>
        <v>2.5153992857142833</v>
      </c>
      <c r="I40" s="2">
        <f t="shared" ref="I40:P40" si="22">AVERAGE(I7:I34)</f>
        <v>9.6521000000000026</v>
      </c>
      <c r="J40" s="2">
        <f t="shared" si="22"/>
        <v>0.21285176985629009</v>
      </c>
      <c r="K40" s="2">
        <f t="shared" si="22"/>
        <v>0.78714823014370972</v>
      </c>
      <c r="L40" s="2">
        <f t="shared" si="22"/>
        <v>0.4111668475636141</v>
      </c>
      <c r="M40" s="2">
        <f t="shared" si="22"/>
        <v>8.5905663973539118E-2</v>
      </c>
      <c r="N40" s="2">
        <f t="shared" si="22"/>
        <v>12.167499285714285</v>
      </c>
      <c r="O40" s="2">
        <f t="shared" si="22"/>
        <v>11.107142857142858</v>
      </c>
      <c r="P40" s="2">
        <f t="shared" si="22"/>
        <v>4.4885838561748574</v>
      </c>
      <c r="X40" s="13"/>
      <c r="Z40" s="2"/>
      <c r="AA40" s="2"/>
      <c r="AB40" s="2"/>
      <c r="AC40" s="2"/>
      <c r="AD40" s="2"/>
      <c r="AE40" s="2"/>
      <c r="AF40" s="2"/>
    </row>
    <row r="41" spans="6:34" x14ac:dyDescent="0.35">
      <c r="G41" s="49" t="s">
        <v>94</v>
      </c>
      <c r="H41" s="2">
        <f>_xlfn.STDEV.S(H7:H34)</f>
        <v>0.51464178696288931</v>
      </c>
      <c r="I41" s="2">
        <f t="shared" ref="I41:P41" si="23">_xlfn.STDEV.S(I7:I34)</f>
        <v>2.4274072628797807</v>
      </c>
      <c r="J41" s="2">
        <f t="shared" si="23"/>
        <v>5.0209039956789131E-2</v>
      </c>
      <c r="K41" s="2">
        <f t="shared" si="23"/>
        <v>5.0209039956788985E-2</v>
      </c>
      <c r="L41" s="2">
        <f t="shared" si="23"/>
        <v>6.9801184260572746E-2</v>
      </c>
      <c r="M41" s="2">
        <f t="shared" si="23"/>
        <v>1.8468720950022426E-2</v>
      </c>
      <c r="N41" s="2">
        <f t="shared" si="23"/>
        <v>2.6066923998330971</v>
      </c>
      <c r="O41" s="2">
        <f t="shared" si="23"/>
        <v>2.8328664414568294</v>
      </c>
      <c r="P41" s="2">
        <f t="shared" si="23"/>
        <v>1.1720092714331622</v>
      </c>
      <c r="X41" s="13"/>
      <c r="Z41" s="2"/>
      <c r="AA41" s="2"/>
      <c r="AB41" s="2"/>
      <c r="AC41" s="2"/>
      <c r="AD41" s="2"/>
      <c r="AE41" s="2"/>
      <c r="AF41" s="2"/>
    </row>
    <row r="42" spans="6:34" x14ac:dyDescent="0.35">
      <c r="G42" s="49" t="s">
        <v>95</v>
      </c>
      <c r="H42" s="2">
        <f>H41/SQRT(29)</f>
        <v>9.5566580670116016E-2</v>
      </c>
      <c r="I42" s="2">
        <f t="shared" ref="I42:P42" si="24">I41/SQRT(29)</f>
        <v>0.45075821257389276</v>
      </c>
      <c r="J42" s="2">
        <f t="shared" si="24"/>
        <v>9.3235846543210672E-3</v>
      </c>
      <c r="K42" s="2">
        <f t="shared" si="24"/>
        <v>9.3235846543210411E-3</v>
      </c>
      <c r="L42" s="2">
        <f t="shared" si="24"/>
        <v>1.2961754516425767E-2</v>
      </c>
      <c r="M42" s="2">
        <f t="shared" si="24"/>
        <v>3.4295553825120172E-3</v>
      </c>
      <c r="N42" s="2">
        <f t="shared" si="24"/>
        <v>0.48405062671055787</v>
      </c>
      <c r="O42" s="2">
        <f t="shared" si="24"/>
        <v>0.52605009185674745</v>
      </c>
      <c r="P42" s="2">
        <f t="shared" si="24"/>
        <v>0.21763665800542126</v>
      </c>
      <c r="X42" s="13"/>
      <c r="Z42" s="2"/>
      <c r="AA42" s="2"/>
      <c r="AB42" s="2"/>
      <c r="AC42" s="2"/>
      <c r="AD42" s="2"/>
      <c r="AE42" s="2"/>
      <c r="AF42" s="2"/>
    </row>
    <row r="43" spans="6:34" x14ac:dyDescent="0.35">
      <c r="X43" s="13"/>
      <c r="Z43" s="2"/>
      <c r="AA43" s="2"/>
      <c r="AB43" s="2"/>
      <c r="AC43" s="2"/>
      <c r="AD43" s="2"/>
      <c r="AE43" s="2"/>
      <c r="AF43" s="2"/>
    </row>
    <row r="44" spans="6:34" x14ac:dyDescent="0.35">
      <c r="X44" s="13"/>
      <c r="Z44" s="2"/>
      <c r="AA44" s="2"/>
      <c r="AB44" s="2"/>
      <c r="AC44" s="2"/>
      <c r="AD44" s="2"/>
      <c r="AE44" s="2"/>
      <c r="AF44" s="2"/>
    </row>
    <row r="48" spans="6:34" ht="18.5" x14ac:dyDescent="0.45">
      <c r="F48" s="1" t="s">
        <v>52</v>
      </c>
      <c r="G48" s="3"/>
      <c r="H48" s="3"/>
      <c r="I48" s="3"/>
      <c r="J48" s="3"/>
      <c r="K48" s="3"/>
      <c r="L48" s="3"/>
      <c r="M48" s="3"/>
      <c r="N48" s="3"/>
      <c r="O48" s="3"/>
    </row>
    <row r="49" spans="6:16" ht="16" thickBot="1" x14ac:dyDescent="0.4">
      <c r="F49" s="9" t="s">
        <v>1</v>
      </c>
      <c r="G49" s="9" t="s">
        <v>2</v>
      </c>
      <c r="H49" s="9" t="s">
        <v>3</v>
      </c>
      <c r="I49" s="9" t="s">
        <v>4</v>
      </c>
      <c r="J49" s="9" t="s">
        <v>5</v>
      </c>
      <c r="K49" s="9" t="s">
        <v>6</v>
      </c>
      <c r="L49" s="9" t="s">
        <v>7</v>
      </c>
      <c r="M49" s="9" t="s">
        <v>8</v>
      </c>
      <c r="N49" s="9" t="s">
        <v>9</v>
      </c>
      <c r="O49" s="9" t="s">
        <v>10</v>
      </c>
      <c r="P49" s="44" t="s">
        <v>139</v>
      </c>
    </row>
    <row r="50" spans="6:16" x14ac:dyDescent="0.35">
      <c r="F50" s="2">
        <v>6.6005000000000003</v>
      </c>
      <c r="G50" s="2">
        <v>9.2989300000000004</v>
      </c>
      <c r="H50" s="2">
        <f>G50-F50</f>
        <v>2.6984300000000001</v>
      </c>
      <c r="I50" s="2">
        <f>F51-G50</f>
        <v>7.9973299999999998</v>
      </c>
      <c r="J50" s="2">
        <f>H50/N50</f>
        <v>0.252289692364077</v>
      </c>
      <c r="K50" s="2">
        <f>I50/N50</f>
        <v>0.74771030763592305</v>
      </c>
      <c r="L50" s="2">
        <f>1/H50</f>
        <v>0.3705858591847852</v>
      </c>
      <c r="M50" s="2">
        <f>1/N50</f>
        <v>9.349499240820662E-2</v>
      </c>
      <c r="N50" s="2">
        <f>H50+I50</f>
        <v>10.69576</v>
      </c>
      <c r="O50" s="2">
        <v>11</v>
      </c>
      <c r="P50">
        <f t="shared" ref="P50:P59" si="25">O50/H50</f>
        <v>4.0764444510326374</v>
      </c>
    </row>
    <row r="51" spans="6:16" x14ac:dyDescent="0.35">
      <c r="F51" s="2">
        <v>17.29626</v>
      </c>
      <c r="G51" s="2">
        <v>20.249700000000001</v>
      </c>
      <c r="H51" s="2">
        <f t="shared" ref="H51:H58" si="26">G51-F51</f>
        <v>2.9534400000000005</v>
      </c>
      <c r="I51" s="2">
        <f t="shared" ref="I51:I58" si="27">F52-G51</f>
        <v>7.5671399999999984</v>
      </c>
      <c r="J51" s="2">
        <f t="shared" ref="J51:J58" si="28">H51/N51</f>
        <v>0.28072976965148316</v>
      </c>
      <c r="K51" s="2">
        <f t="shared" ref="K51:K58" si="29">I51/N51</f>
        <v>0.71927023034851678</v>
      </c>
      <c r="L51" s="2">
        <f t="shared" ref="L51:L58" si="30">1/H51</f>
        <v>0.33858822254726684</v>
      </c>
      <c r="M51" s="2">
        <f t="shared" ref="M51:M58" si="31">1/N51</f>
        <v>9.5051793722399344E-2</v>
      </c>
      <c r="N51" s="2">
        <f t="shared" ref="N51:N58" si="32">H51+I51</f>
        <v>10.520579999999999</v>
      </c>
      <c r="O51" s="2">
        <v>11</v>
      </c>
      <c r="P51">
        <f t="shared" si="25"/>
        <v>3.7244704480199355</v>
      </c>
    </row>
    <row r="52" spans="6:16" x14ac:dyDescent="0.35">
      <c r="F52" s="13">
        <v>27.816839999999999</v>
      </c>
      <c r="G52" s="13">
        <v>30.118379999999998</v>
      </c>
      <c r="H52" s="2">
        <f t="shared" si="26"/>
        <v>2.3015399999999993</v>
      </c>
      <c r="I52" s="2">
        <f t="shared" si="27"/>
        <v>9.3261900000000004</v>
      </c>
      <c r="J52" s="2">
        <f t="shared" si="28"/>
        <v>0.19793545257758818</v>
      </c>
      <c r="K52" s="2">
        <f t="shared" si="29"/>
        <v>0.80206454742241184</v>
      </c>
      <c r="L52" s="2">
        <f t="shared" si="30"/>
        <v>0.43449168817400535</v>
      </c>
      <c r="M52" s="2">
        <f t="shared" si="31"/>
        <v>8.6001308939922069E-2</v>
      </c>
      <c r="N52" s="2">
        <f t="shared" si="32"/>
        <v>11.62773</v>
      </c>
      <c r="O52" s="13">
        <v>10</v>
      </c>
      <c r="P52">
        <f t="shared" si="25"/>
        <v>4.3449168817400539</v>
      </c>
    </row>
    <row r="53" spans="6:16" x14ac:dyDescent="0.35">
      <c r="F53" s="13">
        <v>39.444569999999999</v>
      </c>
      <c r="G53" s="13">
        <v>42.448450000000001</v>
      </c>
      <c r="H53" s="2">
        <f t="shared" si="26"/>
        <v>3.0038800000000023</v>
      </c>
      <c r="I53" s="2">
        <f t="shared" si="27"/>
        <v>8.7874199999999973</v>
      </c>
      <c r="J53" s="2">
        <f t="shared" si="28"/>
        <v>0.25475392874407421</v>
      </c>
      <c r="K53" s="2">
        <f t="shared" si="29"/>
        <v>0.74524607125592579</v>
      </c>
      <c r="L53" s="2">
        <f t="shared" si="30"/>
        <v>0.33290277907239946</v>
      </c>
      <c r="M53" s="2">
        <f t="shared" si="31"/>
        <v>8.4808290858514337E-2</v>
      </c>
      <c r="N53" s="2">
        <f t="shared" si="32"/>
        <v>11.7913</v>
      </c>
      <c r="O53" s="13">
        <v>11</v>
      </c>
      <c r="P53">
        <f t="shared" si="25"/>
        <v>3.661930569796394</v>
      </c>
    </row>
    <row r="54" spans="6:16" x14ac:dyDescent="0.35">
      <c r="F54" s="13">
        <v>51.235869999999998</v>
      </c>
      <c r="G54" s="13">
        <v>53.66075</v>
      </c>
      <c r="H54" s="2">
        <f t="shared" si="26"/>
        <v>2.4248800000000017</v>
      </c>
      <c r="I54" s="2">
        <f t="shared" si="27"/>
        <v>9.9868900000000025</v>
      </c>
      <c r="J54" s="2">
        <f t="shared" si="28"/>
        <v>0.19536939534006842</v>
      </c>
      <c r="K54" s="2">
        <f t="shared" si="29"/>
        <v>0.80463060465993164</v>
      </c>
      <c r="L54" s="2">
        <f t="shared" si="30"/>
        <v>0.41239154102471021</v>
      </c>
      <c r="M54" s="2">
        <f t="shared" si="31"/>
        <v>8.056868601335665E-2</v>
      </c>
      <c r="N54" s="2">
        <f t="shared" si="32"/>
        <v>12.411770000000004</v>
      </c>
      <c r="O54" s="13">
        <v>10</v>
      </c>
      <c r="P54">
        <f t="shared" si="25"/>
        <v>4.1239154102471023</v>
      </c>
    </row>
    <row r="55" spans="6:16" x14ac:dyDescent="0.35">
      <c r="F55" s="13">
        <v>63.647640000000003</v>
      </c>
      <c r="G55" s="13">
        <v>65.629289999999997</v>
      </c>
      <c r="H55" s="2">
        <f t="shared" si="26"/>
        <v>1.9816499999999948</v>
      </c>
      <c r="I55" s="2">
        <f t="shared" si="27"/>
        <v>9.3932999999999964</v>
      </c>
      <c r="J55" s="2">
        <f t="shared" si="28"/>
        <v>0.17421175477694376</v>
      </c>
      <c r="K55" s="2">
        <f t="shared" si="29"/>
        <v>0.82578824522305627</v>
      </c>
      <c r="L55" s="2">
        <f t="shared" si="30"/>
        <v>0.50462998006711712</v>
      </c>
      <c r="M55" s="2">
        <f t="shared" si="31"/>
        <v>8.7912474340546623E-2</v>
      </c>
      <c r="N55" s="2">
        <f t="shared" si="32"/>
        <v>11.374949999999991</v>
      </c>
      <c r="O55" s="13">
        <v>9</v>
      </c>
      <c r="P55">
        <f t="shared" si="25"/>
        <v>4.5416698206040538</v>
      </c>
    </row>
    <row r="56" spans="6:16" x14ac:dyDescent="0.35">
      <c r="F56" s="13">
        <v>75.022589999999994</v>
      </c>
      <c r="G56" s="13">
        <v>78.12697</v>
      </c>
      <c r="H56" s="2">
        <f t="shared" si="26"/>
        <v>3.1043800000000061</v>
      </c>
      <c r="I56" s="2">
        <f t="shared" si="27"/>
        <v>9.3009399999999971</v>
      </c>
      <c r="J56" s="2">
        <f t="shared" si="28"/>
        <v>0.25024586225909573</v>
      </c>
      <c r="K56" s="2">
        <f t="shared" si="29"/>
        <v>0.74975413774090427</v>
      </c>
      <c r="L56" s="2">
        <f t="shared" si="30"/>
        <v>0.32212551298487879</v>
      </c>
      <c r="M56" s="2">
        <f t="shared" si="31"/>
        <v>8.0610576752554522E-2</v>
      </c>
      <c r="N56" s="2">
        <f t="shared" si="32"/>
        <v>12.405320000000003</v>
      </c>
      <c r="O56" s="13">
        <v>12</v>
      </c>
      <c r="P56">
        <f t="shared" si="25"/>
        <v>3.8655061558185455</v>
      </c>
    </row>
    <row r="57" spans="6:16" x14ac:dyDescent="0.35">
      <c r="F57" s="13">
        <v>87.427909999999997</v>
      </c>
      <c r="G57" s="13">
        <v>90.964699999999993</v>
      </c>
      <c r="H57" s="2">
        <f t="shared" si="26"/>
        <v>3.5367899999999963</v>
      </c>
      <c r="I57" s="2">
        <f t="shared" si="27"/>
        <v>10.90758000000001</v>
      </c>
      <c r="J57" s="2">
        <f t="shared" si="28"/>
        <v>0.24485595425761003</v>
      </c>
      <c r="K57" s="2">
        <f t="shared" si="29"/>
        <v>0.75514404574238991</v>
      </c>
      <c r="L57" s="2">
        <f t="shared" si="30"/>
        <v>0.28274226063747099</v>
      </c>
      <c r="M57" s="2">
        <f t="shared" si="31"/>
        <v>6.9231126037341856E-2</v>
      </c>
      <c r="N57" s="2">
        <f t="shared" si="32"/>
        <v>14.444370000000006</v>
      </c>
      <c r="O57" s="13">
        <v>14</v>
      </c>
      <c r="P57">
        <f t="shared" si="25"/>
        <v>3.9583916489245938</v>
      </c>
    </row>
    <row r="58" spans="6:16" x14ac:dyDescent="0.35">
      <c r="F58" s="13">
        <v>101.87228</v>
      </c>
      <c r="G58" s="13">
        <v>105.0052</v>
      </c>
      <c r="H58" s="2">
        <f t="shared" si="26"/>
        <v>3.1329199999999986</v>
      </c>
      <c r="I58" s="2">
        <f t="shared" si="27"/>
        <v>8.5561500000000024</v>
      </c>
      <c r="J58" s="2">
        <f t="shared" si="28"/>
        <v>0.26802132248331118</v>
      </c>
      <c r="K58" s="2">
        <f t="shared" si="29"/>
        <v>0.73197867751668877</v>
      </c>
      <c r="L58" s="2">
        <f t="shared" si="30"/>
        <v>0.3191910422225912</v>
      </c>
      <c r="M58" s="2">
        <f t="shared" si="31"/>
        <v>8.5550005261325321E-2</v>
      </c>
      <c r="N58" s="2">
        <f t="shared" si="32"/>
        <v>11.689070000000001</v>
      </c>
      <c r="O58" s="13">
        <v>12</v>
      </c>
      <c r="P58">
        <f t="shared" si="25"/>
        <v>3.8302925066710944</v>
      </c>
    </row>
    <row r="59" spans="6:16" x14ac:dyDescent="0.35">
      <c r="F59" s="13">
        <v>113.56135</v>
      </c>
      <c r="G59">
        <v>116.86060000000001</v>
      </c>
      <c r="H59" s="2">
        <f>G59-F59</f>
        <v>3.2992500000000007</v>
      </c>
      <c r="I59" s="2"/>
      <c r="J59" s="2"/>
      <c r="K59" s="2"/>
      <c r="L59" s="2"/>
      <c r="M59" s="2"/>
      <c r="N59" s="2"/>
      <c r="O59">
        <v>14</v>
      </c>
      <c r="P59">
        <f t="shared" si="25"/>
        <v>4.2433886489353636</v>
      </c>
    </row>
    <row r="60" spans="6:16" x14ac:dyDescent="0.35">
      <c r="F60" s="13"/>
      <c r="H60" s="2"/>
      <c r="I60" s="2"/>
      <c r="J60" s="2"/>
      <c r="K60" s="2"/>
      <c r="L60" s="2"/>
      <c r="M60" s="2"/>
      <c r="N60" s="2"/>
    </row>
    <row r="61" spans="6:16" x14ac:dyDescent="0.35">
      <c r="F61" s="13"/>
      <c r="H61" s="2"/>
      <c r="I61" s="2"/>
      <c r="J61" s="2"/>
      <c r="K61" s="2"/>
      <c r="L61" s="2"/>
      <c r="M61" s="2"/>
      <c r="N61" s="2"/>
    </row>
    <row r="62" spans="6:16" x14ac:dyDescent="0.35">
      <c r="F62" s="13"/>
      <c r="H62" s="2"/>
      <c r="I62" s="2"/>
      <c r="J62" s="2"/>
      <c r="K62" s="2"/>
      <c r="L62" s="2"/>
      <c r="M62" s="2"/>
      <c r="N62" s="2"/>
    </row>
    <row r="63" spans="6:16" x14ac:dyDescent="0.35">
      <c r="F63" s="13"/>
    </row>
    <row r="64" spans="6:16" ht="16" thickBot="1" x14ac:dyDescent="0.4">
      <c r="F64" s="13"/>
      <c r="G64" s="13"/>
      <c r="H64" s="9" t="s">
        <v>3</v>
      </c>
      <c r="I64" s="9" t="s">
        <v>4</v>
      </c>
      <c r="J64" s="9" t="s">
        <v>5</v>
      </c>
      <c r="K64" s="9" t="s">
        <v>6</v>
      </c>
      <c r="L64" s="9" t="s">
        <v>7</v>
      </c>
      <c r="M64" s="9" t="s">
        <v>8</v>
      </c>
      <c r="N64" s="9" t="s">
        <v>9</v>
      </c>
      <c r="O64" s="9" t="s">
        <v>10</v>
      </c>
      <c r="P64" s="44" t="s">
        <v>139</v>
      </c>
    </row>
    <row r="65" spans="6:34" x14ac:dyDescent="0.35">
      <c r="G65" s="49" t="s">
        <v>77</v>
      </c>
      <c r="H65" s="2">
        <f>AVERAGE(H50:H58)</f>
        <v>2.793101111111111</v>
      </c>
      <c r="I65" s="2">
        <f t="shared" ref="I65:N65" si="33">AVERAGE(I50:I58)</f>
        <v>9.0914377777777773</v>
      </c>
      <c r="J65" s="2">
        <f t="shared" si="33"/>
        <v>0.23537923693936127</v>
      </c>
      <c r="K65" s="2">
        <f t="shared" si="33"/>
        <v>0.76462076306063875</v>
      </c>
      <c r="L65" s="2">
        <f t="shared" si="33"/>
        <v>0.36862765399058062</v>
      </c>
      <c r="M65" s="2">
        <f t="shared" si="33"/>
        <v>8.4803250481574152E-2</v>
      </c>
      <c r="N65" s="2">
        <f t="shared" si="33"/>
        <v>11.884538888888891</v>
      </c>
      <c r="O65" s="2">
        <f>AVERAGE(O50:O59)</f>
        <v>11.4</v>
      </c>
      <c r="P65" s="2">
        <f>AVERAGE(P50:P59)</f>
        <v>4.037092654178978</v>
      </c>
    </row>
    <row r="66" spans="6:34" x14ac:dyDescent="0.35">
      <c r="G66" s="49" t="s">
        <v>94</v>
      </c>
      <c r="H66" s="2">
        <f>_xlfn.STDEV.S(H50:H58)</f>
        <v>0.48479577198662999</v>
      </c>
      <c r="I66" s="2">
        <f t="shared" ref="I66:N66" si="34">_xlfn.STDEV.S(I50:I58)</f>
        <v>1.011795631584981</v>
      </c>
      <c r="J66" s="2">
        <f t="shared" si="34"/>
        <v>3.6807996340604027E-2</v>
      </c>
      <c r="K66" s="2">
        <f t="shared" si="34"/>
        <v>3.680799634060377E-2</v>
      </c>
      <c r="L66" s="2">
        <f t="shared" si="34"/>
        <v>6.9745231642610553E-2</v>
      </c>
      <c r="M66" s="2">
        <f t="shared" si="34"/>
        <v>7.6668149384189069E-3</v>
      </c>
      <c r="N66" s="2">
        <f t="shared" si="34"/>
        <v>1.1590962666496332</v>
      </c>
      <c r="O66" s="2">
        <f>_xlfn.STDEV.S(O50:O59)</f>
        <v>1.6465452046971323</v>
      </c>
      <c r="P66" s="2">
        <f>_xlfn.STDEV.S(P50:P59)</f>
        <v>0.28242599291957976</v>
      </c>
    </row>
    <row r="67" spans="6:34" x14ac:dyDescent="0.35">
      <c r="G67" s="49" t="s">
        <v>95</v>
      </c>
      <c r="H67" s="2">
        <f>H66/SQRT(9)</f>
        <v>0.16159859066221</v>
      </c>
      <c r="I67" s="2">
        <f t="shared" ref="I67:N67" si="35">I66/SQRT(9)</f>
        <v>0.33726521052832698</v>
      </c>
      <c r="J67" s="2">
        <f t="shared" si="35"/>
        <v>1.2269332113534676E-2</v>
      </c>
      <c r="K67" s="2">
        <f t="shared" si="35"/>
        <v>1.2269332113534591E-2</v>
      </c>
      <c r="L67" s="2">
        <f t="shared" si="35"/>
        <v>2.324841054753685E-2</v>
      </c>
      <c r="M67" s="2">
        <f t="shared" si="35"/>
        <v>2.5556049794729688E-3</v>
      </c>
      <c r="N67" s="2">
        <f t="shared" si="35"/>
        <v>0.38636542221654441</v>
      </c>
      <c r="O67" s="2">
        <f>O66/SQRT(10)</f>
        <v>0.52068331172711124</v>
      </c>
      <c r="P67" s="2">
        <f>P66/SQRT(10)</f>
        <v>8.9310940806045985E-2</v>
      </c>
    </row>
    <row r="77" spans="6:34" ht="18.5" x14ac:dyDescent="0.45">
      <c r="F77" s="1" t="s">
        <v>0</v>
      </c>
      <c r="G77" s="3"/>
      <c r="H77" s="3"/>
      <c r="I77" s="3"/>
      <c r="J77" s="3"/>
      <c r="K77" s="3"/>
      <c r="L77" s="3"/>
      <c r="M77" s="3"/>
      <c r="N77" s="3"/>
      <c r="O77" s="3"/>
      <c r="X77" s="1" t="s">
        <v>86</v>
      </c>
      <c r="Y77" s="3"/>
      <c r="Z77" s="3"/>
      <c r="AA77" s="3"/>
      <c r="AB77" s="3"/>
      <c r="AC77" s="3"/>
      <c r="AD77" s="3"/>
      <c r="AE77" s="3"/>
      <c r="AF77" s="3"/>
      <c r="AG77" s="3"/>
    </row>
    <row r="78" spans="6:34" ht="16" thickBot="1" x14ac:dyDescent="0.4">
      <c r="F78" s="9" t="s">
        <v>11</v>
      </c>
      <c r="G78" s="9" t="s">
        <v>12</v>
      </c>
      <c r="H78" s="9" t="s">
        <v>3</v>
      </c>
      <c r="I78" s="9" t="s">
        <v>4</v>
      </c>
      <c r="J78" s="9" t="s">
        <v>655</v>
      </c>
      <c r="K78" s="9" t="s">
        <v>654</v>
      </c>
      <c r="L78" s="9" t="s">
        <v>653</v>
      </c>
      <c r="M78" s="9" t="s">
        <v>8</v>
      </c>
      <c r="N78" s="9" t="s">
        <v>9</v>
      </c>
      <c r="O78" s="9" t="s">
        <v>10</v>
      </c>
      <c r="P78" s="44" t="s">
        <v>139</v>
      </c>
      <c r="X78" s="9" t="s">
        <v>11</v>
      </c>
      <c r="Y78" s="9" t="s">
        <v>12</v>
      </c>
      <c r="Z78" s="9" t="s">
        <v>3</v>
      </c>
      <c r="AA78" s="9" t="s">
        <v>4</v>
      </c>
      <c r="AB78" s="9" t="s">
        <v>655</v>
      </c>
      <c r="AC78" s="9" t="s">
        <v>654</v>
      </c>
      <c r="AD78" s="9" t="s">
        <v>653</v>
      </c>
      <c r="AE78" s="9" t="s">
        <v>8</v>
      </c>
      <c r="AF78" s="9" t="s">
        <v>9</v>
      </c>
      <c r="AG78" s="9" t="s">
        <v>10</v>
      </c>
      <c r="AH78" s="44" t="s">
        <v>139</v>
      </c>
    </row>
    <row r="79" spans="6:34" x14ac:dyDescent="0.35">
      <c r="F79">
        <v>2.4039999999999999E-2</v>
      </c>
      <c r="G79">
        <v>42.581009999999999</v>
      </c>
      <c r="H79" s="2">
        <f>G79-F79</f>
        <v>42.55697</v>
      </c>
      <c r="I79" s="2">
        <f>F80-G79</f>
        <v>37.093579999999996</v>
      </c>
      <c r="J79" s="2">
        <f>H79/N79</f>
        <v>0.53429599670058781</v>
      </c>
      <c r="K79" s="2">
        <f>I79/N79</f>
        <v>0.46570400329941219</v>
      </c>
      <c r="L79" s="2">
        <f>1/H79</f>
        <v>2.3497913502770522E-2</v>
      </c>
      <c r="M79" s="2">
        <f>1/N79</f>
        <v>1.2554841115346976E-2</v>
      </c>
      <c r="N79" s="2">
        <f>H79+I79</f>
        <v>79.650549999999996</v>
      </c>
      <c r="O79">
        <v>508</v>
      </c>
      <c r="P79">
        <f>O79/H79</f>
        <v>11.936940059407425</v>
      </c>
      <c r="X79">
        <v>19.21285</v>
      </c>
      <c r="Y79">
        <v>63.899540000000002</v>
      </c>
      <c r="Z79" s="2">
        <f>Y79-X79</f>
        <v>44.686689999999999</v>
      </c>
      <c r="AA79" s="2">
        <f>X80-Y79</f>
        <v>10.719579999999993</v>
      </c>
      <c r="AB79" s="2">
        <f>Z79/AF79</f>
        <v>0.80652767277060888</v>
      </c>
      <c r="AC79" s="2">
        <f>AA79/AF79</f>
        <v>0.19347232722939109</v>
      </c>
      <c r="AD79" s="2">
        <f>1/Z79</f>
        <v>2.2378027998941074E-2</v>
      </c>
      <c r="AE79" s="2">
        <f>1/AF79</f>
        <v>1.8048498843181469E-2</v>
      </c>
      <c r="AF79" s="2">
        <f>Z79+AA79</f>
        <v>55.406269999999992</v>
      </c>
      <c r="AG79">
        <v>122</v>
      </c>
      <c r="AH79">
        <f>AG79/Z79</f>
        <v>2.7301194158708109</v>
      </c>
    </row>
    <row r="80" spans="6:34" x14ac:dyDescent="0.35">
      <c r="F80">
        <v>79.674589999999995</v>
      </c>
      <c r="G80">
        <v>176.21204</v>
      </c>
      <c r="H80" s="2">
        <f>G80-F80</f>
        <v>96.537450000000007</v>
      </c>
      <c r="I80" s="2">
        <f>F81-G80</f>
        <v>17.942980000000006</v>
      </c>
      <c r="J80" s="2">
        <f>H80/N80</f>
        <v>0.84326596257543751</v>
      </c>
      <c r="K80" s="2">
        <f>I80/N80</f>
        <v>0.15673403742456246</v>
      </c>
      <c r="L80" s="2">
        <f>1/H80</f>
        <v>1.035867427614879E-2</v>
      </c>
      <c r="M80" s="2">
        <f>1/N80</f>
        <v>8.7351174344820325E-3</v>
      </c>
      <c r="N80" s="2">
        <f>H80+I80</f>
        <v>114.48043000000001</v>
      </c>
      <c r="O80">
        <v>1065</v>
      </c>
      <c r="P80">
        <f>O80/H80</f>
        <v>11.03198810409846</v>
      </c>
      <c r="X80">
        <v>74.619119999999995</v>
      </c>
      <c r="Y80">
        <v>125.25089</v>
      </c>
      <c r="Z80" s="2">
        <f>Y80-X80</f>
        <v>50.631770000000003</v>
      </c>
      <c r="AA80" s="2">
        <f>X81-Y80</f>
        <v>11.090489999999988</v>
      </c>
      <c r="AB80" s="2">
        <f>Z80/AF80</f>
        <v>0.82031620358684221</v>
      </c>
      <c r="AC80" s="2">
        <f>AA80/AF80</f>
        <v>0.17968379641315774</v>
      </c>
      <c r="AD80" s="2">
        <f>1/Z80</f>
        <v>1.975044522441147E-2</v>
      </c>
      <c r="AE80" s="2">
        <f>1/AF80</f>
        <v>1.6201610245639094E-2</v>
      </c>
      <c r="AF80" s="2">
        <f>Z80+AA80</f>
        <v>61.722259999999991</v>
      </c>
      <c r="AG80">
        <v>1714</v>
      </c>
      <c r="AH80">
        <f>AG80/Z80</f>
        <v>33.852263114641261</v>
      </c>
    </row>
    <row r="81" spans="6:34" x14ac:dyDescent="0.35">
      <c r="F81">
        <v>194.15502000000001</v>
      </c>
      <c r="G81">
        <v>266.91998999999998</v>
      </c>
      <c r="H81" s="2">
        <f>G81-F81</f>
        <v>72.764969999999977</v>
      </c>
      <c r="I81" s="2">
        <f>F82-G81</f>
        <v>18.644240000000025</v>
      </c>
      <c r="J81" s="2">
        <f>H81/N81</f>
        <v>0.79603543231584628</v>
      </c>
      <c r="K81" s="2">
        <f>I81/N81</f>
        <v>0.20396456768415375</v>
      </c>
      <c r="L81" s="2">
        <f>1/H81</f>
        <v>1.3742876551725375E-2</v>
      </c>
      <c r="M81" s="2">
        <f>1/N81</f>
        <v>1.0939816677116014E-2</v>
      </c>
      <c r="N81" s="2">
        <f>H81+I81</f>
        <v>91.409210000000002</v>
      </c>
      <c r="O81">
        <v>757</v>
      </c>
      <c r="P81">
        <f>O81/H81</f>
        <v>10.403357549656109</v>
      </c>
      <c r="X81">
        <v>136.34137999999999</v>
      </c>
      <c r="Y81">
        <v>195.69341</v>
      </c>
      <c r="Z81" s="2">
        <f>Y81-X81</f>
        <v>59.352030000000013</v>
      </c>
      <c r="AA81" s="2">
        <f>X82-Y81</f>
        <v>9.7802800000000047</v>
      </c>
      <c r="AB81" s="2">
        <f>Z81/AF81</f>
        <v>0.85852808910913003</v>
      </c>
      <c r="AC81" s="2">
        <f>AA81/AF81</f>
        <v>0.14147191089087002</v>
      </c>
      <c r="AD81" s="2">
        <f>1/Z81</f>
        <v>1.6848623374802845E-2</v>
      </c>
      <c r="AE81" s="2">
        <f>1/AF81</f>
        <v>1.4465016430088908E-2</v>
      </c>
      <c r="AF81" s="2">
        <f>Z81+AA81</f>
        <v>69.132310000000018</v>
      </c>
      <c r="AG81">
        <v>1050</v>
      </c>
      <c r="AH81">
        <f>AG81/Z81</f>
        <v>17.69105454354299</v>
      </c>
    </row>
    <row r="82" spans="6:34" x14ac:dyDescent="0.35">
      <c r="F82">
        <v>285.56423000000001</v>
      </c>
      <c r="G82">
        <v>349.48302999999999</v>
      </c>
      <c r="H82" s="2">
        <f>G82-F82</f>
        <v>63.918799999999976</v>
      </c>
      <c r="I82" s="2">
        <f>F83-G82</f>
        <v>-349.48302999999999</v>
      </c>
      <c r="J82" s="2">
        <f>H82/N82</f>
        <v>-0.2238333561594881</v>
      </c>
      <c r="K82" s="2">
        <f>I82/N82</f>
        <v>1.2238333561594881</v>
      </c>
      <c r="L82" s="2">
        <f>1/H82</f>
        <v>1.5644849402679656E-2</v>
      </c>
      <c r="M82" s="2">
        <f>1/N82</f>
        <v>-3.5018391484115501E-3</v>
      </c>
      <c r="N82" s="2">
        <f>H82+I82</f>
        <v>-285.56423000000001</v>
      </c>
      <c r="O82">
        <v>663</v>
      </c>
      <c r="P82">
        <f>O82/H82</f>
        <v>10.372535153976612</v>
      </c>
      <c r="X82">
        <v>205.47369</v>
      </c>
      <c r="Y82">
        <v>226.13488000000001</v>
      </c>
      <c r="Z82" s="2">
        <f>Y82-X82</f>
        <v>20.661190000000005</v>
      </c>
      <c r="AA82" s="2">
        <f>X83-Y82</f>
        <v>11.67734999999999</v>
      </c>
      <c r="AB82" s="2">
        <f>Z82/AF82</f>
        <v>0.63890299314687704</v>
      </c>
      <c r="AC82" s="2">
        <f>AA82/AF82</f>
        <v>0.36109700685312296</v>
      </c>
      <c r="AD82" s="2">
        <f>1/Z82</f>
        <v>4.8399922753723276E-2</v>
      </c>
      <c r="AE82" s="2">
        <f>1/AF82</f>
        <v>3.0922855515431436E-2</v>
      </c>
      <c r="AF82" s="2">
        <f>Z82+AA82</f>
        <v>32.338539999999995</v>
      </c>
      <c r="AG82">
        <v>424</v>
      </c>
      <c r="AH82">
        <f>AG82/Z82</f>
        <v>20.52156724757867</v>
      </c>
    </row>
    <row r="83" spans="6:34" x14ac:dyDescent="0.35">
      <c r="H83" s="2"/>
      <c r="I83" s="2"/>
      <c r="J83" s="2"/>
      <c r="K83" s="2"/>
      <c r="L83" s="2"/>
      <c r="M83" s="2"/>
      <c r="N83" s="2"/>
      <c r="X83">
        <v>237.81223</v>
      </c>
      <c r="Y83">
        <v>239.96266</v>
      </c>
      <c r="Z83" s="2">
        <f>Y83-X83</f>
        <v>2.1504300000000001</v>
      </c>
      <c r="AA83" s="2"/>
      <c r="AB83" s="2"/>
      <c r="AC83" s="2"/>
      <c r="AD83" s="2"/>
      <c r="AE83" s="2"/>
      <c r="AF83" s="2"/>
    </row>
    <row r="84" spans="6:34" x14ac:dyDescent="0.35">
      <c r="H84" s="2"/>
      <c r="I84" s="2"/>
      <c r="J84" s="2"/>
      <c r="K84" s="2"/>
      <c r="L84" s="2"/>
      <c r="M84" s="2"/>
      <c r="N84" s="2"/>
      <c r="Z84" s="2"/>
      <c r="AA84" s="2"/>
      <c r="AB84" s="2"/>
      <c r="AC84" s="2"/>
      <c r="AD84" s="2"/>
      <c r="AE84" s="2"/>
      <c r="AF84" s="2"/>
    </row>
    <row r="85" spans="6:34" x14ac:dyDescent="0.35">
      <c r="H85" s="2"/>
      <c r="I85" s="2"/>
      <c r="J85" s="2"/>
      <c r="K85" s="2"/>
      <c r="L85" s="2"/>
      <c r="M85" s="2"/>
      <c r="N85" s="2"/>
      <c r="Z85" s="2"/>
      <c r="AA85" s="2"/>
      <c r="AB85" s="2"/>
      <c r="AC85" s="2"/>
      <c r="AD85" s="2"/>
      <c r="AE85" s="2"/>
      <c r="AF85" s="2"/>
    </row>
    <row r="86" spans="6:34" x14ac:dyDescent="0.35">
      <c r="H86" s="2"/>
      <c r="I86" s="2"/>
      <c r="J86" s="2"/>
      <c r="K86" s="2"/>
      <c r="L86" s="2"/>
      <c r="M86" s="2"/>
      <c r="N86" s="2"/>
      <c r="Z86" s="2"/>
      <c r="AA86" s="2"/>
      <c r="AB86" s="2"/>
      <c r="AC86" s="2"/>
      <c r="AD86" s="2"/>
      <c r="AE86" s="2"/>
      <c r="AF86" s="2"/>
    </row>
    <row r="87" spans="6:34" x14ac:dyDescent="0.35">
      <c r="H87" s="2"/>
      <c r="I87" s="2"/>
      <c r="J87" s="2"/>
      <c r="K87" s="2"/>
      <c r="L87" s="2"/>
      <c r="M87" s="2"/>
      <c r="N87" s="2"/>
      <c r="Z87" s="2"/>
      <c r="AA87" s="2"/>
      <c r="AB87" s="2"/>
      <c r="AC87" s="2"/>
      <c r="AD87" s="2"/>
      <c r="AE87" s="2"/>
      <c r="AF87" s="2"/>
    </row>
    <row r="88" spans="6:34" ht="16" thickBot="1" x14ac:dyDescent="0.4">
      <c r="G88" s="13"/>
      <c r="H88" s="9" t="s">
        <v>3</v>
      </c>
      <c r="I88" s="9" t="s">
        <v>4</v>
      </c>
      <c r="J88" s="9" t="s">
        <v>5</v>
      </c>
      <c r="K88" s="9" t="s">
        <v>6</v>
      </c>
      <c r="L88" s="9" t="s">
        <v>7</v>
      </c>
      <c r="M88" s="9" t="s">
        <v>8</v>
      </c>
      <c r="N88" s="9" t="s">
        <v>9</v>
      </c>
      <c r="O88" s="9" t="s">
        <v>10</v>
      </c>
      <c r="P88" s="44" t="s">
        <v>139</v>
      </c>
      <c r="Y88" s="13"/>
      <c r="Z88" s="9" t="s">
        <v>3</v>
      </c>
      <c r="AA88" s="9" t="s">
        <v>4</v>
      </c>
      <c r="AB88" s="9" t="s">
        <v>5</v>
      </c>
      <c r="AC88" s="9" t="s">
        <v>6</v>
      </c>
      <c r="AD88" s="9" t="s">
        <v>7</v>
      </c>
      <c r="AE88" s="9" t="s">
        <v>8</v>
      </c>
      <c r="AF88" s="9" t="s">
        <v>9</v>
      </c>
      <c r="AG88" s="9" t="s">
        <v>10</v>
      </c>
      <c r="AH88" s="44" t="s">
        <v>139</v>
      </c>
    </row>
    <row r="89" spans="6:34" x14ac:dyDescent="0.35">
      <c r="G89" s="49" t="s">
        <v>77</v>
      </c>
      <c r="H89" s="2">
        <f>AVERAGE(H79:H81)</f>
        <v>70.619796666666659</v>
      </c>
      <c r="I89" s="2">
        <f t="shared" ref="I89:P89" si="36">AVERAGE(I79:I81)</f>
        <v>24.560266666666678</v>
      </c>
      <c r="J89" s="2">
        <f t="shared" si="36"/>
        <v>0.72453246386395731</v>
      </c>
      <c r="K89" s="2">
        <f t="shared" si="36"/>
        <v>0.2754675361360428</v>
      </c>
      <c r="L89" s="2">
        <f t="shared" si="36"/>
        <v>1.5866488110214894E-2</v>
      </c>
      <c r="M89" s="2">
        <f t="shared" si="36"/>
        <v>1.0743258408981674E-2</v>
      </c>
      <c r="N89" s="2">
        <f t="shared" si="36"/>
        <v>95.180063333333351</v>
      </c>
      <c r="O89" s="2">
        <f t="shared" si="36"/>
        <v>776.66666666666663</v>
      </c>
      <c r="P89" s="2">
        <f t="shared" si="36"/>
        <v>11.124095237720665</v>
      </c>
      <c r="Y89" s="49" t="s">
        <v>77</v>
      </c>
      <c r="Z89" s="2">
        <f>AVERAGE(Z79:Z81)</f>
        <v>51.556830000000012</v>
      </c>
      <c r="AA89" s="2">
        <f t="shared" ref="AA89:AH89" si="37">AVERAGE(AA79:AA81)</f>
        <v>10.530116666666663</v>
      </c>
      <c r="AB89" s="2">
        <f t="shared" si="37"/>
        <v>0.82845732182219367</v>
      </c>
      <c r="AC89" s="2">
        <f t="shared" si="37"/>
        <v>0.1715426781778063</v>
      </c>
      <c r="AD89" s="2">
        <f t="shared" si="37"/>
        <v>1.965903219938513E-2</v>
      </c>
      <c r="AE89" s="2">
        <f t="shared" si="37"/>
        <v>1.6238375172969822E-2</v>
      </c>
      <c r="AF89" s="2">
        <f t="shared" si="37"/>
        <v>62.08694666666667</v>
      </c>
      <c r="AG89" s="2">
        <f t="shared" si="37"/>
        <v>962</v>
      </c>
      <c r="AH89" s="2">
        <f t="shared" si="37"/>
        <v>18.091145691351688</v>
      </c>
    </row>
    <row r="90" spans="6:34" x14ac:dyDescent="0.35">
      <c r="G90" s="49" t="s">
        <v>94</v>
      </c>
      <c r="H90" s="2">
        <f>_xlfn.STDEV.S(H79:H81)</f>
        <v>27.05410101500571</v>
      </c>
      <c r="I90" s="2">
        <f t="shared" ref="I90:P90" si="38">_xlfn.STDEV.S(I79:I81)</f>
        <v>10.859829590308165</v>
      </c>
      <c r="J90" s="2">
        <f t="shared" si="38"/>
        <v>0.16643351773681347</v>
      </c>
      <c r="K90" s="2">
        <f t="shared" si="38"/>
        <v>0.16643351773681384</v>
      </c>
      <c r="L90" s="2">
        <f t="shared" si="38"/>
        <v>6.8221841372181971E-3</v>
      </c>
      <c r="M90" s="2">
        <f t="shared" si="38"/>
        <v>1.9174328186716439E-3</v>
      </c>
      <c r="N90" s="2">
        <f t="shared" si="38"/>
        <v>17.71848290203571</v>
      </c>
      <c r="O90" s="2">
        <f t="shared" si="38"/>
        <v>279.02030989398133</v>
      </c>
      <c r="P90" s="2">
        <f t="shared" si="38"/>
        <v>0.77092906392343263</v>
      </c>
      <c r="Y90" s="49" t="s">
        <v>94</v>
      </c>
      <c r="Z90" s="2">
        <f>_xlfn.STDEV.S(Z79:Z81)</f>
        <v>7.3763033649382521</v>
      </c>
      <c r="AA90" s="2">
        <f t="shared" ref="AA90:AH90" si="39">_xlfn.STDEV.S(AA79:AA81)</f>
        <v>0.67534052672212852</v>
      </c>
      <c r="AB90" s="2">
        <f t="shared" si="39"/>
        <v>2.6939175552276352E-2</v>
      </c>
      <c r="AC90" s="2">
        <f t="shared" si="39"/>
        <v>2.6939175552276175E-2</v>
      </c>
      <c r="AD90" s="2">
        <f t="shared" si="39"/>
        <v>2.7658355211795686E-3</v>
      </c>
      <c r="AE90" s="2">
        <f t="shared" si="39"/>
        <v>1.7920240780042956E-3</v>
      </c>
      <c r="AF90" s="2">
        <f t="shared" si="39"/>
        <v>6.8702831669468702</v>
      </c>
      <c r="AG90" s="2">
        <f t="shared" si="39"/>
        <v>799.63991896352945</v>
      </c>
      <c r="AH90" s="2">
        <f t="shared" si="39"/>
        <v>15.564928904323512</v>
      </c>
    </row>
    <row r="91" spans="6:34" x14ac:dyDescent="0.35">
      <c r="G91" s="49" t="s">
        <v>95</v>
      </c>
      <c r="H91" s="2">
        <f>H90/SQRT(COUNT(H79:H81))</f>
        <v>15.619692503696875</v>
      </c>
      <c r="I91" s="2">
        <f t="shared" ref="I91:P91" si="40">I90/SQRT(COUNT(I79:I81))</f>
        <v>6.2699255373178824</v>
      </c>
      <c r="J91" s="2">
        <f t="shared" si="40"/>
        <v>9.6090436267525614E-2</v>
      </c>
      <c r="K91" s="2">
        <f t="shared" si="40"/>
        <v>9.6090436267525822E-2</v>
      </c>
      <c r="L91" s="2">
        <f t="shared" si="40"/>
        <v>3.938789848084121E-3</v>
      </c>
      <c r="M91" s="2">
        <f t="shared" si="40"/>
        <v>1.1070303540130966E-3</v>
      </c>
      <c r="N91" s="2">
        <f t="shared" si="40"/>
        <v>10.229770873122099</v>
      </c>
      <c r="O91" s="2">
        <f t="shared" si="40"/>
        <v>161.09245102666293</v>
      </c>
      <c r="P91" s="2">
        <f t="shared" si="40"/>
        <v>0.44509610258230009</v>
      </c>
      <c r="Y91" s="49" t="s">
        <v>95</v>
      </c>
      <c r="Z91" s="2">
        <f t="shared" ref="Z91:AH91" si="41">Z90/SQRT(COUNT(Z79:Z81))</f>
        <v>4.2587107333714425</v>
      </c>
      <c r="AA91" s="2">
        <f t="shared" si="41"/>
        <v>0.38990803489768455</v>
      </c>
      <c r="AB91" s="2">
        <f t="shared" si="41"/>
        <v>1.5553340256853338E-2</v>
      </c>
      <c r="AC91" s="2">
        <f t="shared" si="41"/>
        <v>1.5553340256853235E-2</v>
      </c>
      <c r="AD91" s="2">
        <f t="shared" si="41"/>
        <v>1.5968558826872528E-3</v>
      </c>
      <c r="AE91" s="2">
        <f t="shared" si="41"/>
        <v>1.034625583830071E-3</v>
      </c>
      <c r="AF91" s="2">
        <f t="shared" si="41"/>
        <v>3.9665598358457306</v>
      </c>
      <c r="AG91" s="2">
        <f t="shared" si="41"/>
        <v>461.67232246836431</v>
      </c>
      <c r="AH91" s="2">
        <f t="shared" si="41"/>
        <v>8.9864158928285676</v>
      </c>
    </row>
    <row r="92" spans="6:34" x14ac:dyDescent="0.35">
      <c r="H92" s="2"/>
      <c r="I92" s="2"/>
      <c r="J92" s="2"/>
      <c r="K92" s="2"/>
      <c r="L92" s="2"/>
      <c r="M92" s="2"/>
      <c r="N92" s="2"/>
      <c r="Z92" s="2"/>
      <c r="AA92" s="2"/>
      <c r="AB92" s="2"/>
      <c r="AC92" s="2"/>
      <c r="AD92" s="2"/>
      <c r="AE92" s="2"/>
      <c r="AF92" s="2"/>
    </row>
    <row r="93" spans="6:34" x14ac:dyDescent="0.35">
      <c r="H93" s="2"/>
      <c r="I93" s="2"/>
      <c r="J93" s="2"/>
      <c r="K93" s="2"/>
      <c r="L93" s="2"/>
      <c r="M93" s="2"/>
      <c r="N93" s="2"/>
      <c r="Z93" s="2"/>
      <c r="AA93" s="2"/>
      <c r="AB93" s="2"/>
      <c r="AC93" s="2"/>
      <c r="AD93" s="2"/>
      <c r="AE93" s="2"/>
      <c r="AF93" s="2"/>
    </row>
    <row r="94" spans="6:34" x14ac:dyDescent="0.35">
      <c r="H94" s="2"/>
      <c r="I94" s="2"/>
      <c r="J94" s="2"/>
      <c r="K94" s="2"/>
      <c r="L94" s="2"/>
      <c r="M94" s="2"/>
      <c r="N94" s="2"/>
      <c r="Z94" s="2"/>
      <c r="AA94" s="2"/>
      <c r="AB94" s="2"/>
      <c r="AC94" s="2"/>
      <c r="AD94" s="2"/>
      <c r="AE94" s="2"/>
      <c r="AF94" s="2"/>
    </row>
    <row r="99" spans="6:34" ht="18.5" x14ac:dyDescent="0.45">
      <c r="F99" s="1" t="s">
        <v>91</v>
      </c>
      <c r="G99" s="3"/>
      <c r="H99" s="3"/>
      <c r="I99" s="3"/>
      <c r="J99" s="3"/>
      <c r="K99" s="3"/>
      <c r="L99" s="3"/>
      <c r="M99" s="3"/>
      <c r="N99" s="3"/>
      <c r="O99" s="3"/>
      <c r="X99" s="1" t="s">
        <v>92</v>
      </c>
      <c r="Y99" s="3"/>
      <c r="Z99" s="3"/>
      <c r="AA99" s="3"/>
      <c r="AB99" s="3"/>
      <c r="AC99" s="3"/>
      <c r="AD99" s="3"/>
      <c r="AE99" s="3"/>
      <c r="AF99" s="3"/>
      <c r="AG99" s="3"/>
    </row>
    <row r="100" spans="6:34" ht="16" thickBot="1" x14ac:dyDescent="0.4">
      <c r="F100" s="9" t="s">
        <v>11</v>
      </c>
      <c r="G100" s="9" t="s">
        <v>12</v>
      </c>
      <c r="H100" s="9" t="s">
        <v>3</v>
      </c>
      <c r="I100" s="9" t="s">
        <v>4</v>
      </c>
      <c r="J100" s="9" t="s">
        <v>655</v>
      </c>
      <c r="K100" s="9" t="s">
        <v>654</v>
      </c>
      <c r="L100" s="9" t="s">
        <v>653</v>
      </c>
      <c r="M100" s="9" t="s">
        <v>8</v>
      </c>
      <c r="N100" s="9" t="s">
        <v>9</v>
      </c>
      <c r="O100" s="9" t="s">
        <v>10</v>
      </c>
      <c r="P100" s="44" t="s">
        <v>139</v>
      </c>
      <c r="X100" s="9" t="s">
        <v>11</v>
      </c>
      <c r="Y100" s="9" t="s">
        <v>12</v>
      </c>
      <c r="Z100" s="9" t="s">
        <v>3</v>
      </c>
      <c r="AA100" s="9" t="s">
        <v>4</v>
      </c>
      <c r="AB100" s="9" t="s">
        <v>655</v>
      </c>
      <c r="AC100" s="9" t="s">
        <v>654</v>
      </c>
      <c r="AD100" s="9" t="s">
        <v>653</v>
      </c>
      <c r="AE100" s="9" t="s">
        <v>8</v>
      </c>
      <c r="AF100" s="9" t="s">
        <v>9</v>
      </c>
      <c r="AG100" s="9" t="s">
        <v>10</v>
      </c>
      <c r="AH100" s="44" t="s">
        <v>139</v>
      </c>
    </row>
    <row r="101" spans="6:34" x14ac:dyDescent="0.35">
      <c r="H101" s="2"/>
      <c r="I101" s="2"/>
      <c r="J101" s="2"/>
      <c r="K101" s="2"/>
      <c r="L101" s="2"/>
      <c r="M101" s="2"/>
      <c r="N101" s="2"/>
      <c r="Z101" s="2"/>
      <c r="AA101" s="2"/>
      <c r="AB101" s="2"/>
      <c r="AC101" s="2"/>
      <c r="AD101" s="2"/>
      <c r="AE101" s="2"/>
      <c r="AF101" s="2"/>
    </row>
    <row r="102" spans="6:34" x14ac:dyDescent="0.35">
      <c r="H102" s="2"/>
      <c r="I102" s="2"/>
      <c r="J102" s="2"/>
      <c r="K102" s="2"/>
      <c r="L102" s="2"/>
      <c r="M102" s="2"/>
      <c r="N102" s="2"/>
      <c r="Z102" s="2"/>
      <c r="AA102" s="2"/>
      <c r="AB102" s="2"/>
      <c r="AC102" s="2"/>
      <c r="AD102" s="2"/>
      <c r="AE102" s="2"/>
      <c r="AF102" s="2"/>
    </row>
    <row r="103" spans="6:34" x14ac:dyDescent="0.35">
      <c r="F103" s="104" t="s">
        <v>657</v>
      </c>
      <c r="H103" s="2"/>
      <c r="I103" s="2"/>
      <c r="J103" s="2"/>
      <c r="K103" s="2"/>
      <c r="L103" s="2"/>
      <c r="M103" s="2"/>
      <c r="N103" s="2"/>
      <c r="X103" s="104" t="s">
        <v>657</v>
      </c>
      <c r="Z103" s="2"/>
      <c r="AA103" s="2"/>
      <c r="AB103" s="2"/>
      <c r="AC103" s="2"/>
      <c r="AD103" s="2"/>
      <c r="AE103" s="2"/>
      <c r="AF103" s="2"/>
    </row>
    <row r="104" spans="6:34" x14ac:dyDescent="0.35">
      <c r="H104" s="2"/>
      <c r="I104" s="2"/>
      <c r="J104" s="2"/>
      <c r="K104" s="2"/>
      <c r="L104" s="2"/>
      <c r="M104" s="2"/>
      <c r="N104" s="2"/>
    </row>
    <row r="105" spans="6:34" x14ac:dyDescent="0.35">
      <c r="H105" s="2"/>
      <c r="I105" s="2"/>
      <c r="J105" s="2"/>
      <c r="K105" s="2"/>
      <c r="L105" s="2"/>
      <c r="M105" s="2"/>
      <c r="N105" s="2"/>
    </row>
    <row r="106" spans="6:34" x14ac:dyDescent="0.35">
      <c r="H106" s="2"/>
      <c r="I106" s="2"/>
      <c r="J106" s="2"/>
      <c r="K106" s="2"/>
      <c r="L106" s="2"/>
      <c r="M106" s="2"/>
      <c r="N106" s="2"/>
    </row>
    <row r="107" spans="6:34" x14ac:dyDescent="0.35">
      <c r="H107" s="2"/>
      <c r="I107" s="2"/>
      <c r="J107" s="2"/>
      <c r="K107" s="2"/>
      <c r="L107" s="2"/>
      <c r="M107" s="2"/>
      <c r="N107" s="2"/>
    </row>
    <row r="108" spans="6:34" x14ac:dyDescent="0.35">
      <c r="H108" s="2"/>
      <c r="I108" s="2"/>
      <c r="J108" s="2"/>
      <c r="K108" s="2"/>
      <c r="L108" s="2"/>
      <c r="M108" s="2"/>
      <c r="N108" s="2"/>
    </row>
    <row r="109" spans="6:34" x14ac:dyDescent="0.35">
      <c r="H109" s="2"/>
      <c r="I109" s="2"/>
      <c r="J109" s="2"/>
      <c r="K109" s="2"/>
      <c r="L109" s="2"/>
      <c r="M109" s="2"/>
      <c r="N109" s="2"/>
    </row>
    <row r="110" spans="6:34" ht="16" thickBot="1" x14ac:dyDescent="0.4">
      <c r="G110" s="13"/>
      <c r="H110" s="9"/>
      <c r="I110" s="9"/>
      <c r="J110" s="9"/>
      <c r="K110" s="9"/>
      <c r="L110" s="9"/>
      <c r="M110" s="9"/>
      <c r="N110" s="9"/>
      <c r="O110" s="9"/>
      <c r="P110" s="44"/>
    </row>
    <row r="111" spans="6:34" x14ac:dyDescent="0.35">
      <c r="G111" s="49"/>
      <c r="H111" s="2"/>
      <c r="I111" s="2"/>
      <c r="J111" s="2"/>
      <c r="K111" s="2"/>
      <c r="L111" s="2"/>
      <c r="M111" s="2"/>
      <c r="N111" s="2"/>
      <c r="O111" s="2"/>
      <c r="P111" s="2"/>
    </row>
    <row r="112" spans="6:34" x14ac:dyDescent="0.35">
      <c r="G112" s="49"/>
      <c r="H112" s="2"/>
      <c r="I112" s="2"/>
      <c r="J112" s="2"/>
      <c r="K112" s="2"/>
      <c r="L112" s="2"/>
      <c r="M112" s="2"/>
      <c r="N112" s="2"/>
      <c r="O112" s="2"/>
      <c r="P112" s="2"/>
    </row>
    <row r="113" spans="7:16" x14ac:dyDescent="0.35">
      <c r="G113" s="49"/>
      <c r="H113" s="2"/>
      <c r="I113" s="2"/>
      <c r="J113" s="2"/>
      <c r="K113" s="2"/>
      <c r="L113" s="2"/>
      <c r="M113" s="2"/>
      <c r="N113" s="2"/>
      <c r="O113" s="2"/>
      <c r="P113" s="2"/>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I187"/>
  <sheetViews>
    <sheetView topLeftCell="O64" workbookViewId="0">
      <selection activeCell="AB92" sqref="AB92"/>
    </sheetView>
  </sheetViews>
  <sheetFormatPr defaultRowHeight="14.5" x14ac:dyDescent="0.35"/>
  <sheetData>
    <row r="4" spans="2:34" ht="18.5" x14ac:dyDescent="0.45">
      <c r="B4" s="2"/>
      <c r="C4" s="1" t="s">
        <v>376</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282</v>
      </c>
      <c r="Y5" s="3"/>
      <c r="Z5" s="3"/>
      <c r="AA5" s="3"/>
      <c r="AB5" s="3"/>
      <c r="AC5" s="3"/>
      <c r="AD5" s="3"/>
      <c r="AE5" s="3"/>
      <c r="AF5" s="3"/>
      <c r="AG5" s="3"/>
    </row>
    <row r="6" spans="2:34"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1.7695000000000001</v>
      </c>
      <c r="G7" s="2">
        <v>5.6580899999999996</v>
      </c>
      <c r="H7" s="2">
        <f t="shared" ref="H7:H33" si="0">G7-F7</f>
        <v>3.8885899999999998</v>
      </c>
      <c r="I7" s="2">
        <f t="shared" ref="I7:I32" si="1">F8-G7</f>
        <v>3.8374400000000009</v>
      </c>
      <c r="J7" s="2">
        <f t="shared" ref="J7:J32" si="2">H7/N7</f>
        <v>0.50331023824655086</v>
      </c>
      <c r="K7" s="2">
        <f t="shared" ref="K7:K32" si="3">I7/N7</f>
        <v>0.49668976175344914</v>
      </c>
      <c r="L7" s="2">
        <f t="shared" ref="L7:L32" si="4">1/H7</f>
        <v>0.25716262192722816</v>
      </c>
      <c r="M7" s="2">
        <f t="shared" ref="M7:M32" si="5">1/N7</f>
        <v>0.12943258051030088</v>
      </c>
      <c r="N7" s="2">
        <f t="shared" ref="N7:N32" si="6">H7+I7</f>
        <v>7.7260300000000006</v>
      </c>
      <c r="O7" s="2">
        <v>15</v>
      </c>
      <c r="P7">
        <f t="shared" ref="P7:P33" si="7">O7/H7</f>
        <v>3.8574393289084221</v>
      </c>
      <c r="X7" s="2">
        <v>4.9603900000000003</v>
      </c>
      <c r="Y7" s="2">
        <v>8.6518599999999992</v>
      </c>
      <c r="Z7" s="2">
        <f>Y7-X7</f>
        <v>3.6914699999999989</v>
      </c>
      <c r="AA7" s="2">
        <f>X8-Y7</f>
        <v>11.537179999999999</v>
      </c>
      <c r="AB7" s="2">
        <f>Z7/AF7</f>
        <v>0.24240297071637995</v>
      </c>
      <c r="AC7" s="2">
        <f>AA7/AF7</f>
        <v>0.75759702928362005</v>
      </c>
      <c r="AD7" s="2">
        <f>1/Z7</f>
        <v>0.27089479258940213</v>
      </c>
      <c r="AE7" s="2">
        <f>1/AF7</f>
        <v>6.5665702475268664E-2</v>
      </c>
      <c r="AF7" s="2">
        <f>Z7+AA7</f>
        <v>15.228649999999998</v>
      </c>
      <c r="AG7" s="2">
        <v>12</v>
      </c>
      <c r="AH7">
        <f t="shared" ref="AH7:AH31" si="8">AG7/Z7</f>
        <v>3.2507375110728254</v>
      </c>
    </row>
    <row r="8" spans="2:34" x14ac:dyDescent="0.35">
      <c r="B8" s="2"/>
      <c r="C8" s="2"/>
      <c r="D8" s="2"/>
      <c r="E8" s="2"/>
      <c r="F8" s="2">
        <v>9.4955300000000005</v>
      </c>
      <c r="G8" s="2">
        <v>13.326269999999999</v>
      </c>
      <c r="H8" s="2">
        <f t="shared" si="0"/>
        <v>3.8307399999999987</v>
      </c>
      <c r="I8" s="2">
        <f t="shared" si="1"/>
        <v>12.309100000000003</v>
      </c>
      <c r="J8" s="2">
        <f t="shared" si="2"/>
        <v>0.23734683863037048</v>
      </c>
      <c r="K8" s="2">
        <f t="shared" si="3"/>
        <v>0.76265316136962957</v>
      </c>
      <c r="L8" s="2">
        <f t="shared" si="4"/>
        <v>0.26104616862538316</v>
      </c>
      <c r="M8" s="2">
        <f t="shared" si="5"/>
        <v>6.1958482859805306E-2</v>
      </c>
      <c r="N8" s="2">
        <f t="shared" si="6"/>
        <v>16.13984</v>
      </c>
      <c r="O8" s="13">
        <v>18</v>
      </c>
      <c r="P8">
        <f t="shared" si="7"/>
        <v>4.6988310352568972</v>
      </c>
      <c r="X8" s="2">
        <v>20.189039999999999</v>
      </c>
      <c r="Y8" s="2">
        <v>23.825600000000001</v>
      </c>
      <c r="Z8" s="2">
        <f t="shared" ref="Z8:Z31" si="9">Y8-X8</f>
        <v>3.6365600000000029</v>
      </c>
      <c r="AA8" s="2">
        <f t="shared" ref="AA8:AA30" si="10">X9-Y8</f>
        <v>11.475239999999999</v>
      </c>
      <c r="AB8" s="2">
        <f t="shared" ref="AB8:AB30" si="11">Z8/AF8</f>
        <v>0.24064373535912348</v>
      </c>
      <c r="AC8" s="2">
        <f t="shared" ref="AC8:AC30" si="12">AA8/AF8</f>
        <v>0.75935626464087647</v>
      </c>
      <c r="AD8" s="2">
        <f t="shared" ref="AD8:AD30" si="13">1/Z8</f>
        <v>0.27498515080185648</v>
      </c>
      <c r="AE8" s="2">
        <f t="shared" ref="AE8:AE30" si="14">1/AF8</f>
        <v>6.6173453857250611E-2</v>
      </c>
      <c r="AF8" s="2">
        <f t="shared" ref="AF8:AF30" si="15">Z8+AA8</f>
        <v>15.111800000000002</v>
      </c>
      <c r="AG8" s="2">
        <v>11</v>
      </c>
      <c r="AH8">
        <f t="shared" si="8"/>
        <v>3.0248366588204214</v>
      </c>
    </row>
    <row r="9" spans="2:34" x14ac:dyDescent="0.35">
      <c r="B9" s="2"/>
      <c r="C9" s="2"/>
      <c r="D9" s="2"/>
      <c r="E9" s="2"/>
      <c r="F9" s="13">
        <v>25.635370000000002</v>
      </c>
      <c r="G9" s="13">
        <v>28.57208</v>
      </c>
      <c r="H9" s="2">
        <f t="shared" si="0"/>
        <v>2.9367099999999979</v>
      </c>
      <c r="I9" s="2">
        <f t="shared" si="1"/>
        <v>12.353000000000002</v>
      </c>
      <c r="J9" s="2">
        <f t="shared" si="2"/>
        <v>0.19207100723296897</v>
      </c>
      <c r="K9" s="2">
        <f t="shared" si="3"/>
        <v>0.80792899276703101</v>
      </c>
      <c r="L9" s="2">
        <f t="shared" si="4"/>
        <v>0.34051710928215612</v>
      </c>
      <c r="M9" s="2">
        <f t="shared" si="5"/>
        <v>6.5403464159882699E-2</v>
      </c>
      <c r="N9" s="2">
        <f t="shared" si="6"/>
        <v>15.289709999999999</v>
      </c>
      <c r="O9" s="13">
        <v>13</v>
      </c>
      <c r="P9">
        <f t="shared" si="7"/>
        <v>4.42672242066803</v>
      </c>
      <c r="X9" s="13">
        <v>35.300840000000001</v>
      </c>
      <c r="Y9" s="13">
        <v>38.09402</v>
      </c>
      <c r="Z9" s="2">
        <f t="shared" si="9"/>
        <v>2.7931799999999996</v>
      </c>
      <c r="AA9" s="2">
        <f t="shared" si="10"/>
        <v>13.359720000000003</v>
      </c>
      <c r="AB9" s="2">
        <f t="shared" si="11"/>
        <v>0.17292127110302169</v>
      </c>
      <c r="AC9" s="2">
        <f t="shared" si="12"/>
        <v>0.82707872889697831</v>
      </c>
      <c r="AD9" s="2">
        <f t="shared" si="13"/>
        <v>0.35801487909837537</v>
      </c>
      <c r="AE9" s="2">
        <f t="shared" si="14"/>
        <v>6.1908387967485705E-2</v>
      </c>
      <c r="AF9" s="2">
        <f t="shared" si="15"/>
        <v>16.152900000000002</v>
      </c>
      <c r="AG9" s="13">
        <v>11</v>
      </c>
      <c r="AH9">
        <f t="shared" si="8"/>
        <v>3.9381636700821292</v>
      </c>
    </row>
    <row r="10" spans="2:34" x14ac:dyDescent="0.35">
      <c r="B10" s="2"/>
      <c r="C10" s="2"/>
      <c r="D10" s="2"/>
      <c r="E10" s="2"/>
      <c r="F10" s="13">
        <v>40.925080000000001</v>
      </c>
      <c r="G10" s="13">
        <v>46.480550000000001</v>
      </c>
      <c r="H10" s="2">
        <f t="shared" si="0"/>
        <v>5.5554699999999997</v>
      </c>
      <c r="I10" s="2">
        <f t="shared" si="1"/>
        <v>10.328449999999997</v>
      </c>
      <c r="J10" s="2">
        <f t="shared" si="2"/>
        <v>0.34975434275669992</v>
      </c>
      <c r="K10" s="2">
        <f t="shared" si="3"/>
        <v>0.65024565724330008</v>
      </c>
      <c r="L10" s="2">
        <f t="shared" si="4"/>
        <v>0.18000277204268947</v>
      </c>
      <c r="M10" s="2">
        <f t="shared" si="5"/>
        <v>6.295675123017494E-2</v>
      </c>
      <c r="N10" s="2">
        <f t="shared" si="6"/>
        <v>15.883919999999996</v>
      </c>
      <c r="O10" s="13">
        <v>24</v>
      </c>
      <c r="P10">
        <f t="shared" si="7"/>
        <v>4.3200665290245475</v>
      </c>
      <c r="X10" s="13">
        <v>51.453740000000003</v>
      </c>
      <c r="Y10" s="13">
        <v>55.0227</v>
      </c>
      <c r="Z10" s="2">
        <f t="shared" si="9"/>
        <v>3.568959999999997</v>
      </c>
      <c r="AA10" s="2">
        <f t="shared" si="10"/>
        <v>10.691040000000001</v>
      </c>
      <c r="AB10" s="2">
        <f t="shared" si="11"/>
        <v>0.25027769985974735</v>
      </c>
      <c r="AC10" s="2">
        <f t="shared" si="12"/>
        <v>0.74972230014025265</v>
      </c>
      <c r="AD10" s="2">
        <f t="shared" si="13"/>
        <v>0.28019366986461064</v>
      </c>
      <c r="AE10" s="2">
        <f t="shared" si="14"/>
        <v>7.0126227208976169E-2</v>
      </c>
      <c r="AF10" s="2">
        <f t="shared" si="15"/>
        <v>14.259999999999998</v>
      </c>
      <c r="AG10" s="13">
        <v>11</v>
      </c>
      <c r="AH10">
        <f t="shared" si="8"/>
        <v>3.0821303685107173</v>
      </c>
    </row>
    <row r="11" spans="2:34" x14ac:dyDescent="0.35">
      <c r="B11" s="2"/>
      <c r="C11" s="2"/>
      <c r="D11" s="2"/>
      <c r="E11" s="2"/>
      <c r="F11" s="13">
        <v>56.808999999999997</v>
      </c>
      <c r="G11" s="13">
        <v>59.625360000000001</v>
      </c>
      <c r="H11" s="2">
        <f t="shared" si="0"/>
        <v>2.8163600000000031</v>
      </c>
      <c r="I11" s="2">
        <f t="shared" si="1"/>
        <v>7.7581200000000052</v>
      </c>
      <c r="J11" s="2">
        <f t="shared" si="2"/>
        <v>0.26633555503438477</v>
      </c>
      <c r="K11" s="2">
        <f t="shared" si="3"/>
        <v>0.73366444496561523</v>
      </c>
      <c r="L11" s="2">
        <f t="shared" si="4"/>
        <v>0.35506824411651883</v>
      </c>
      <c r="M11" s="2">
        <f t="shared" si="5"/>
        <v>9.4567297871857456E-2</v>
      </c>
      <c r="N11" s="2">
        <f t="shared" si="6"/>
        <v>10.574480000000008</v>
      </c>
      <c r="O11" s="13">
        <v>10</v>
      </c>
      <c r="P11">
        <f t="shared" si="7"/>
        <v>3.5506824411651881</v>
      </c>
      <c r="X11" s="13">
        <v>65.713740000000001</v>
      </c>
      <c r="Y11" s="13">
        <v>69.518820000000005</v>
      </c>
      <c r="Z11" s="2">
        <f t="shared" si="9"/>
        <v>3.8050800000000038</v>
      </c>
      <c r="AA11" s="2">
        <f t="shared" si="10"/>
        <v>9.6176999999999992</v>
      </c>
      <c r="AB11" s="2">
        <f t="shared" si="11"/>
        <v>0.28347927925511729</v>
      </c>
      <c r="AC11" s="2">
        <f t="shared" si="12"/>
        <v>0.71652072074488271</v>
      </c>
      <c r="AD11" s="2">
        <f t="shared" si="13"/>
        <v>0.26280656385673862</v>
      </c>
      <c r="AE11" s="2">
        <f t="shared" si="14"/>
        <v>7.4500215305622217E-2</v>
      </c>
      <c r="AF11" s="2">
        <f t="shared" si="15"/>
        <v>13.422780000000003</v>
      </c>
      <c r="AG11" s="13">
        <v>12</v>
      </c>
      <c r="AH11">
        <f t="shared" si="8"/>
        <v>3.1536787662808634</v>
      </c>
    </row>
    <row r="12" spans="2:34" x14ac:dyDescent="0.35">
      <c r="B12" s="2"/>
      <c r="C12" s="2"/>
      <c r="D12" s="2"/>
      <c r="E12" s="2"/>
      <c r="F12" s="13">
        <v>67.383480000000006</v>
      </c>
      <c r="G12" s="13">
        <v>71.213099999999997</v>
      </c>
      <c r="H12" s="2">
        <f t="shared" si="0"/>
        <v>3.8296199999999914</v>
      </c>
      <c r="I12" s="2">
        <f t="shared" si="1"/>
        <v>13.666759999999996</v>
      </c>
      <c r="J12" s="2">
        <f t="shared" si="2"/>
        <v>0.21888070560881703</v>
      </c>
      <c r="K12" s="2">
        <f t="shared" si="3"/>
        <v>0.78111929439118299</v>
      </c>
      <c r="L12" s="2">
        <f t="shared" si="4"/>
        <v>0.26112251346086618</v>
      </c>
      <c r="M12" s="2">
        <f t="shared" si="5"/>
        <v>5.7154679996662204E-2</v>
      </c>
      <c r="N12" s="2">
        <f t="shared" si="6"/>
        <v>17.496379999999988</v>
      </c>
      <c r="O12" s="13">
        <v>20</v>
      </c>
      <c r="P12">
        <f t="shared" si="7"/>
        <v>5.2224502692173234</v>
      </c>
      <c r="X12" s="13">
        <v>79.136520000000004</v>
      </c>
      <c r="Y12" s="13">
        <v>82.748080000000002</v>
      </c>
      <c r="Z12" s="2">
        <f t="shared" si="9"/>
        <v>3.6115599999999972</v>
      </c>
      <c r="AA12" s="2">
        <f t="shared" si="10"/>
        <v>11.501539999999991</v>
      </c>
      <c r="AB12" s="2">
        <f t="shared" si="11"/>
        <v>0.23896884160099516</v>
      </c>
      <c r="AC12" s="2">
        <f t="shared" si="12"/>
        <v>0.76103115839900481</v>
      </c>
      <c r="AD12" s="2">
        <f t="shared" si="13"/>
        <v>0.27688865753303304</v>
      </c>
      <c r="AE12" s="2">
        <f t="shared" si="14"/>
        <v>6.6167761743123568E-2</v>
      </c>
      <c r="AF12" s="2">
        <f t="shared" si="15"/>
        <v>15.113099999999989</v>
      </c>
      <c r="AG12" s="13">
        <v>12</v>
      </c>
      <c r="AH12">
        <f t="shared" si="8"/>
        <v>3.3226638903963965</v>
      </c>
    </row>
    <row r="13" spans="2:34" x14ac:dyDescent="0.35">
      <c r="B13" s="2"/>
      <c r="C13" s="2"/>
      <c r="D13" s="2"/>
      <c r="E13" s="2"/>
      <c r="F13" s="13">
        <v>84.879859999999994</v>
      </c>
      <c r="G13" s="13">
        <v>87.836950000000002</v>
      </c>
      <c r="H13" s="2">
        <f t="shared" si="0"/>
        <v>2.957090000000008</v>
      </c>
      <c r="I13" s="2">
        <f t="shared" si="1"/>
        <v>8.0167799999999971</v>
      </c>
      <c r="J13" s="2">
        <f t="shared" si="2"/>
        <v>0.26946646898496213</v>
      </c>
      <c r="K13" s="2">
        <f t="shared" si="3"/>
        <v>0.73053353101503782</v>
      </c>
      <c r="L13" s="2">
        <f t="shared" si="4"/>
        <v>0.33817029579755681</v>
      </c>
      <c r="M13" s="2">
        <f t="shared" si="5"/>
        <v>9.1125555524167817E-2</v>
      </c>
      <c r="N13" s="2">
        <f t="shared" si="6"/>
        <v>10.973870000000005</v>
      </c>
      <c r="O13" s="13">
        <v>11</v>
      </c>
      <c r="P13">
        <f t="shared" si="7"/>
        <v>3.7198732537731249</v>
      </c>
      <c r="X13" s="13">
        <v>94.249619999999993</v>
      </c>
      <c r="Y13" s="13">
        <v>97.396500000000003</v>
      </c>
      <c r="Z13" s="2">
        <f t="shared" si="9"/>
        <v>3.1468800000000101</v>
      </c>
      <c r="AA13" s="2">
        <f t="shared" si="10"/>
        <v>10.31622999999999</v>
      </c>
      <c r="AB13" s="2">
        <f t="shared" si="11"/>
        <v>0.23374094098614734</v>
      </c>
      <c r="AC13" s="2">
        <f t="shared" si="12"/>
        <v>0.76625905901385272</v>
      </c>
      <c r="AD13" s="2">
        <f t="shared" si="13"/>
        <v>0.31777506609721273</v>
      </c>
      <c r="AE13" s="2">
        <f t="shared" si="14"/>
        <v>7.4277042971497662E-2</v>
      </c>
      <c r="AF13" s="2">
        <f t="shared" si="15"/>
        <v>13.46311</v>
      </c>
      <c r="AG13" s="13">
        <v>11</v>
      </c>
      <c r="AH13">
        <f t="shared" si="8"/>
        <v>3.4955257270693401</v>
      </c>
    </row>
    <row r="14" spans="2:34" x14ac:dyDescent="0.35">
      <c r="B14" s="2"/>
      <c r="C14" s="2"/>
      <c r="D14" s="2"/>
      <c r="E14" s="2"/>
      <c r="F14" s="13">
        <v>95.853729999999999</v>
      </c>
      <c r="G14" s="13">
        <v>100.58402</v>
      </c>
      <c r="H14" s="2">
        <f t="shared" si="0"/>
        <v>4.7302899999999966</v>
      </c>
      <c r="I14" s="2">
        <f t="shared" si="1"/>
        <v>12.826890000000006</v>
      </c>
      <c r="J14" s="2">
        <f t="shared" si="2"/>
        <v>0.26942196867606277</v>
      </c>
      <c r="K14" s="2">
        <f t="shared" si="3"/>
        <v>0.73057803132393717</v>
      </c>
      <c r="L14" s="2">
        <f t="shared" si="4"/>
        <v>0.21140352917051614</v>
      </c>
      <c r="M14" s="2">
        <f t="shared" si="5"/>
        <v>5.6956755014187919E-2</v>
      </c>
      <c r="N14" s="2">
        <f t="shared" si="6"/>
        <v>17.557180000000002</v>
      </c>
      <c r="O14" s="13">
        <v>20</v>
      </c>
      <c r="P14">
        <f t="shared" si="7"/>
        <v>4.2280705834103225</v>
      </c>
      <c r="X14" s="13">
        <v>107.71272999999999</v>
      </c>
      <c r="Y14" s="13">
        <v>111.37768</v>
      </c>
      <c r="Z14" s="2">
        <f t="shared" si="9"/>
        <v>3.6649500000000046</v>
      </c>
      <c r="AA14" s="2">
        <f t="shared" si="10"/>
        <v>10.432490000000001</v>
      </c>
      <c r="AB14" s="2">
        <f t="shared" si="11"/>
        <v>0.25997273263798271</v>
      </c>
      <c r="AC14" s="2">
        <f t="shared" si="12"/>
        <v>0.74002726736201729</v>
      </c>
      <c r="AD14" s="2">
        <f t="shared" si="13"/>
        <v>0.27285501848592714</v>
      </c>
      <c r="AE14" s="2">
        <f t="shared" si="14"/>
        <v>7.0934864769773773E-2</v>
      </c>
      <c r="AF14" s="2">
        <f t="shared" si="15"/>
        <v>14.097440000000006</v>
      </c>
      <c r="AG14" s="13">
        <v>12</v>
      </c>
      <c r="AH14">
        <f t="shared" si="8"/>
        <v>3.2742602218311259</v>
      </c>
    </row>
    <row r="15" spans="2:34" x14ac:dyDescent="0.35">
      <c r="B15" s="2"/>
      <c r="C15" s="2"/>
      <c r="D15" s="2"/>
      <c r="E15" s="2"/>
      <c r="F15" s="13">
        <v>113.41091</v>
      </c>
      <c r="G15" s="13">
        <v>115.37605000000001</v>
      </c>
      <c r="H15" s="2">
        <f t="shared" si="0"/>
        <v>1.9651400000000052</v>
      </c>
      <c r="I15" s="2">
        <f t="shared" si="1"/>
        <v>8.8991599999999949</v>
      </c>
      <c r="J15" s="2">
        <f t="shared" si="2"/>
        <v>0.1808804985134804</v>
      </c>
      <c r="K15" s="2">
        <f t="shared" si="3"/>
        <v>0.81911950148651957</v>
      </c>
      <c r="L15" s="2">
        <f t="shared" si="4"/>
        <v>0.50886959707705171</v>
      </c>
      <c r="M15" s="2">
        <f t="shared" si="5"/>
        <v>9.2044586397651021E-2</v>
      </c>
      <c r="N15" s="2">
        <f t="shared" si="6"/>
        <v>10.8643</v>
      </c>
      <c r="O15">
        <v>9</v>
      </c>
      <c r="P15">
        <f t="shared" si="7"/>
        <v>4.5798263736934652</v>
      </c>
      <c r="X15" s="13">
        <v>121.81017</v>
      </c>
      <c r="Y15" s="13">
        <v>124.93029</v>
      </c>
      <c r="Z15" s="2">
        <f t="shared" si="9"/>
        <v>3.12012</v>
      </c>
      <c r="AA15" s="2">
        <f t="shared" si="10"/>
        <v>12.109690000000015</v>
      </c>
      <c r="AB15" s="2">
        <f t="shared" si="11"/>
        <v>0.20486926626136484</v>
      </c>
      <c r="AC15" s="2">
        <f t="shared" si="12"/>
        <v>0.79513073373863519</v>
      </c>
      <c r="AD15" s="2">
        <f t="shared" si="13"/>
        <v>0.3205004935707601</v>
      </c>
      <c r="AE15" s="2">
        <f t="shared" si="14"/>
        <v>6.5660700954246906E-2</v>
      </c>
      <c r="AF15" s="2">
        <f t="shared" si="15"/>
        <v>15.229810000000015</v>
      </c>
      <c r="AG15" s="13">
        <v>12</v>
      </c>
      <c r="AH15">
        <f t="shared" si="8"/>
        <v>3.846005922849121</v>
      </c>
    </row>
    <row r="16" spans="2:34" x14ac:dyDescent="0.35">
      <c r="B16" s="2"/>
      <c r="C16" s="2"/>
      <c r="D16" s="2"/>
      <c r="E16" s="2"/>
      <c r="F16" s="13">
        <v>124.27521</v>
      </c>
      <c r="G16">
        <v>128.07368</v>
      </c>
      <c r="H16" s="2">
        <f t="shared" si="0"/>
        <v>3.7984699999999947</v>
      </c>
      <c r="I16" s="2">
        <f t="shared" si="1"/>
        <v>7.0563199999999995</v>
      </c>
      <c r="J16" s="2">
        <f t="shared" si="2"/>
        <v>0.34993491352665473</v>
      </c>
      <c r="K16" s="2">
        <f t="shared" si="3"/>
        <v>0.65006508647334527</v>
      </c>
      <c r="L16" s="2">
        <f t="shared" si="4"/>
        <v>0.26326389309379866</v>
      </c>
      <c r="M16" s="2">
        <f t="shared" si="5"/>
        <v>9.2125227664468914E-2</v>
      </c>
      <c r="N16" s="2">
        <f t="shared" si="6"/>
        <v>10.854789999999994</v>
      </c>
      <c r="O16">
        <v>16</v>
      </c>
      <c r="P16">
        <f t="shared" si="7"/>
        <v>4.2122222895007786</v>
      </c>
      <c r="X16" s="13">
        <v>137.03998000000001</v>
      </c>
      <c r="Y16">
        <v>139.83042</v>
      </c>
      <c r="Z16" s="2">
        <f t="shared" si="9"/>
        <v>2.7904399999999896</v>
      </c>
      <c r="AA16" s="2">
        <f t="shared" si="10"/>
        <v>13.162409999999994</v>
      </c>
      <c r="AB16" s="2">
        <f t="shared" si="11"/>
        <v>0.17491796136740409</v>
      </c>
      <c r="AC16" s="2">
        <f t="shared" si="12"/>
        <v>0.82508203863259588</v>
      </c>
      <c r="AD16" s="2">
        <f t="shared" si="13"/>
        <v>0.35836642249967882</v>
      </c>
      <c r="AE16" s="2">
        <f t="shared" si="14"/>
        <v>6.2684724046173632E-2</v>
      </c>
      <c r="AF16" s="2">
        <f t="shared" si="15"/>
        <v>15.952849999999984</v>
      </c>
      <c r="AG16">
        <v>10</v>
      </c>
      <c r="AH16">
        <f t="shared" si="8"/>
        <v>3.5836642249967881</v>
      </c>
    </row>
    <row r="17" spans="2:34" x14ac:dyDescent="0.35">
      <c r="B17" s="2"/>
      <c r="C17" s="2"/>
      <c r="D17" s="2"/>
      <c r="E17" s="2"/>
      <c r="F17" s="13">
        <v>135.13</v>
      </c>
      <c r="G17">
        <v>137.21737999999999</v>
      </c>
      <c r="H17" s="2">
        <f t="shared" si="0"/>
        <v>2.087379999999996</v>
      </c>
      <c r="I17" s="2">
        <f t="shared" si="1"/>
        <v>11.05519000000001</v>
      </c>
      <c r="J17" s="2">
        <f t="shared" si="2"/>
        <v>0.15882586130414333</v>
      </c>
      <c r="K17" s="2">
        <f t="shared" si="3"/>
        <v>0.84117413869585667</v>
      </c>
      <c r="L17" s="2">
        <f t="shared" si="4"/>
        <v>0.47906945548965779</v>
      </c>
      <c r="M17" s="2">
        <f t="shared" si="5"/>
        <v>7.6088618892651852E-2</v>
      </c>
      <c r="N17" s="2">
        <f t="shared" si="6"/>
        <v>13.142570000000006</v>
      </c>
      <c r="O17">
        <v>9</v>
      </c>
      <c r="P17">
        <f t="shared" si="7"/>
        <v>4.3116250994069203</v>
      </c>
      <c r="X17" s="13">
        <v>152.99283</v>
      </c>
      <c r="Y17">
        <v>155.96023</v>
      </c>
      <c r="Z17" s="2">
        <f t="shared" si="9"/>
        <v>2.9673999999999978</v>
      </c>
      <c r="AA17" s="2">
        <f t="shared" si="10"/>
        <v>10.554200000000009</v>
      </c>
      <c r="AB17" s="2">
        <f t="shared" si="11"/>
        <v>0.21945627736362533</v>
      </c>
      <c r="AC17" s="2">
        <f t="shared" si="12"/>
        <v>0.78054372263637462</v>
      </c>
      <c r="AD17" s="2">
        <f t="shared" si="13"/>
        <v>0.33699534946417764</v>
      </c>
      <c r="AE17" s="2">
        <f t="shared" si="14"/>
        <v>7.395574488226242E-2</v>
      </c>
      <c r="AF17" s="2">
        <f t="shared" si="15"/>
        <v>13.521600000000007</v>
      </c>
      <c r="AG17">
        <v>11</v>
      </c>
      <c r="AH17">
        <f t="shared" si="8"/>
        <v>3.7069488441059542</v>
      </c>
    </row>
    <row r="18" spans="2:34" x14ac:dyDescent="0.35">
      <c r="B18" s="2"/>
      <c r="C18" s="2"/>
      <c r="D18" s="2"/>
      <c r="E18" s="2"/>
      <c r="F18" s="13">
        <v>148.27257</v>
      </c>
      <c r="G18">
        <v>151.21943999999999</v>
      </c>
      <c r="H18" s="2">
        <f t="shared" si="0"/>
        <v>2.9468699999999899</v>
      </c>
      <c r="I18" s="2">
        <f t="shared" si="1"/>
        <v>6.0745500000000163</v>
      </c>
      <c r="J18" s="2">
        <f t="shared" si="2"/>
        <v>0.32665256689079852</v>
      </c>
      <c r="K18" s="2">
        <f t="shared" si="3"/>
        <v>0.67334743310920142</v>
      </c>
      <c r="L18" s="2">
        <f t="shared" si="4"/>
        <v>0.33934309962774178</v>
      </c>
      <c r="M18" s="2">
        <f t="shared" si="5"/>
        <v>0.11084729455008184</v>
      </c>
      <c r="N18" s="2">
        <f t="shared" si="6"/>
        <v>9.0214200000000062</v>
      </c>
      <c r="O18">
        <v>13</v>
      </c>
      <c r="P18">
        <f t="shared" si="7"/>
        <v>4.4114602951606434</v>
      </c>
      <c r="X18">
        <v>166.51443</v>
      </c>
      <c r="Y18">
        <v>170.14762999999999</v>
      </c>
      <c r="Z18" s="2">
        <f t="shared" si="9"/>
        <v>3.633199999999988</v>
      </c>
      <c r="AA18" s="2">
        <f t="shared" si="10"/>
        <v>12.362750000000005</v>
      </c>
      <c r="AB18" s="2">
        <f t="shared" si="11"/>
        <v>0.22713249291226775</v>
      </c>
      <c r="AC18" s="2">
        <f t="shared" si="12"/>
        <v>0.77286750708773222</v>
      </c>
      <c r="AD18" s="2">
        <f t="shared" si="13"/>
        <v>0.27523945832874691</v>
      </c>
      <c r="AE18" s="2">
        <f t="shared" si="14"/>
        <v>6.251582431803053E-2</v>
      </c>
      <c r="AF18" s="2">
        <f t="shared" si="15"/>
        <v>15.995949999999993</v>
      </c>
      <c r="AG18">
        <v>12</v>
      </c>
      <c r="AH18">
        <f t="shared" si="8"/>
        <v>3.3028734999449632</v>
      </c>
    </row>
    <row r="19" spans="2:34" x14ac:dyDescent="0.35">
      <c r="B19" s="2"/>
      <c r="C19" s="2"/>
      <c r="D19" s="2"/>
      <c r="E19" s="2"/>
      <c r="F19" s="13">
        <v>157.29399000000001</v>
      </c>
      <c r="G19">
        <v>160.20421999999999</v>
      </c>
      <c r="H19" s="2">
        <f t="shared" si="0"/>
        <v>2.9102299999999843</v>
      </c>
      <c r="I19" s="2">
        <f t="shared" si="1"/>
        <v>11.372330000000005</v>
      </c>
      <c r="J19" s="2">
        <f t="shared" si="2"/>
        <v>0.20376109044877014</v>
      </c>
      <c r="K19" s="2">
        <f t="shared" si="3"/>
        <v>0.79623890955122989</v>
      </c>
      <c r="L19" s="2">
        <f t="shared" si="4"/>
        <v>0.34361545307415753</v>
      </c>
      <c r="M19" s="2">
        <f t="shared" si="5"/>
        <v>7.0015459413438536E-2</v>
      </c>
      <c r="N19" s="2">
        <f t="shared" si="6"/>
        <v>14.282559999999989</v>
      </c>
      <c r="O19">
        <v>11</v>
      </c>
      <c r="P19">
        <f t="shared" si="7"/>
        <v>3.7797699838157324</v>
      </c>
      <c r="X19">
        <v>182.51038</v>
      </c>
      <c r="Y19">
        <v>186.18007</v>
      </c>
      <c r="Z19" s="2">
        <f t="shared" si="9"/>
        <v>3.6696900000000028</v>
      </c>
      <c r="AA19" s="2">
        <f t="shared" si="10"/>
        <v>10.598639999999989</v>
      </c>
      <c r="AB19" s="2">
        <f t="shared" si="11"/>
        <v>0.25719127606384246</v>
      </c>
      <c r="AC19" s="2">
        <f t="shared" si="12"/>
        <v>0.7428087239361576</v>
      </c>
      <c r="AD19" s="2">
        <f t="shared" si="13"/>
        <v>0.27250258196196386</v>
      </c>
      <c r="AE19" s="2">
        <f t="shared" si="14"/>
        <v>7.0085286785489309E-2</v>
      </c>
      <c r="AF19" s="2">
        <f t="shared" si="15"/>
        <v>14.268329999999992</v>
      </c>
      <c r="AG19">
        <v>12</v>
      </c>
      <c r="AH19">
        <f t="shared" si="8"/>
        <v>3.2700309835435668</v>
      </c>
    </row>
    <row r="20" spans="2:34" x14ac:dyDescent="0.35">
      <c r="B20" s="2"/>
      <c r="C20" s="2"/>
      <c r="D20" s="2"/>
      <c r="E20" s="2"/>
      <c r="F20" s="13">
        <v>171.57655</v>
      </c>
      <c r="G20">
        <v>175.47577999999999</v>
      </c>
      <c r="H20" s="2">
        <f t="shared" si="0"/>
        <v>3.8992299999999886</v>
      </c>
      <c r="I20" s="2">
        <f t="shared" si="1"/>
        <v>8.3359900000000096</v>
      </c>
      <c r="J20" s="2">
        <f t="shared" si="2"/>
        <v>0.31868899782758209</v>
      </c>
      <c r="K20" s="2">
        <f t="shared" si="3"/>
        <v>0.68131100217241791</v>
      </c>
      <c r="L20" s="2">
        <f t="shared" si="4"/>
        <v>0.25646089099642827</v>
      </c>
      <c r="M20" s="2">
        <f t="shared" si="5"/>
        <v>8.173126433362049E-2</v>
      </c>
      <c r="N20" s="2">
        <f t="shared" si="6"/>
        <v>12.235219999999998</v>
      </c>
      <c r="O20">
        <v>16</v>
      </c>
      <c r="P20">
        <f t="shared" si="7"/>
        <v>4.1033742559428523</v>
      </c>
      <c r="X20">
        <v>196.77870999999999</v>
      </c>
      <c r="Y20">
        <v>200.47646</v>
      </c>
      <c r="Z20" s="2">
        <f t="shared" si="9"/>
        <v>3.6977500000000134</v>
      </c>
      <c r="AA20" s="2">
        <f t="shared" si="10"/>
        <v>8.8550899999999899</v>
      </c>
      <c r="AB20" s="2">
        <f t="shared" si="11"/>
        <v>0.29457477351738831</v>
      </c>
      <c r="AC20" s="2">
        <f t="shared" si="12"/>
        <v>0.70542522648261174</v>
      </c>
      <c r="AD20" s="2">
        <f t="shared" si="13"/>
        <v>0.27043472381853734</v>
      </c>
      <c r="AE20" s="2">
        <f t="shared" si="14"/>
        <v>7.966324752008308E-2</v>
      </c>
      <c r="AF20" s="2">
        <f t="shared" si="15"/>
        <v>12.552840000000003</v>
      </c>
      <c r="AG20">
        <v>12</v>
      </c>
      <c r="AH20">
        <f t="shared" si="8"/>
        <v>3.2452166858224478</v>
      </c>
    </row>
    <row r="21" spans="2:34" x14ac:dyDescent="0.35">
      <c r="B21" s="2"/>
      <c r="C21" s="2"/>
      <c r="D21" s="2"/>
      <c r="E21" s="2"/>
      <c r="F21" s="13">
        <v>183.81177</v>
      </c>
      <c r="G21">
        <v>186.13111000000001</v>
      </c>
      <c r="H21" s="2">
        <f t="shared" si="0"/>
        <v>2.3193400000000111</v>
      </c>
      <c r="I21" s="2">
        <f t="shared" si="1"/>
        <v>11.17179999999999</v>
      </c>
      <c r="J21" s="2">
        <f t="shared" si="2"/>
        <v>0.17191579065964854</v>
      </c>
      <c r="K21" s="2">
        <f t="shared" si="3"/>
        <v>0.82808420934035143</v>
      </c>
      <c r="L21" s="2">
        <f t="shared" si="4"/>
        <v>0.43115713953107143</v>
      </c>
      <c r="M21" s="2">
        <f t="shared" si="5"/>
        <v>7.4122720541036552E-2</v>
      </c>
      <c r="N21" s="2">
        <f t="shared" si="6"/>
        <v>13.491140000000001</v>
      </c>
      <c r="O21" s="2">
        <v>10</v>
      </c>
      <c r="P21">
        <f t="shared" si="7"/>
        <v>4.3115713953107146</v>
      </c>
      <c r="X21">
        <v>209.33154999999999</v>
      </c>
      <c r="Y21">
        <v>212.94474</v>
      </c>
      <c r="Z21" s="2">
        <f t="shared" si="9"/>
        <v>3.613190000000003</v>
      </c>
      <c r="AA21" s="2">
        <f t="shared" si="10"/>
        <v>9.7438400000000058</v>
      </c>
      <c r="AB21" s="2">
        <f t="shared" si="11"/>
        <v>0.27050848878830103</v>
      </c>
      <c r="AC21" s="2">
        <f t="shared" si="12"/>
        <v>0.72949151121169897</v>
      </c>
      <c r="AD21" s="2">
        <f t="shared" si="13"/>
        <v>0.27676374616336236</v>
      </c>
      <c r="AE21" s="2">
        <f t="shared" si="14"/>
        <v>7.4866942726040095E-2</v>
      </c>
      <c r="AF21" s="2">
        <f t="shared" si="15"/>
        <v>13.357030000000009</v>
      </c>
      <c r="AG21">
        <v>11</v>
      </c>
      <c r="AH21">
        <f t="shared" si="8"/>
        <v>3.0444012077969855</v>
      </c>
    </row>
    <row r="22" spans="2:34" x14ac:dyDescent="0.35">
      <c r="B22" s="2"/>
      <c r="C22" s="2"/>
      <c r="D22" s="2"/>
      <c r="E22" s="2"/>
      <c r="F22" s="2">
        <v>197.30291</v>
      </c>
      <c r="G22" s="45">
        <v>200.58572000000001</v>
      </c>
      <c r="H22" s="2">
        <f t="shared" si="0"/>
        <v>3.282810000000012</v>
      </c>
      <c r="I22" s="2">
        <f t="shared" si="1"/>
        <v>11.243549999999999</v>
      </c>
      <c r="J22" s="2">
        <f t="shared" si="2"/>
        <v>0.22598985568304858</v>
      </c>
      <c r="K22" s="2">
        <f t="shared" si="3"/>
        <v>0.77401014431695148</v>
      </c>
      <c r="L22" s="2">
        <f t="shared" si="4"/>
        <v>0.3046170810982044</v>
      </c>
      <c r="M22" s="2">
        <f t="shared" si="5"/>
        <v>6.8840370195974707E-2</v>
      </c>
      <c r="N22" s="2">
        <f t="shared" si="6"/>
        <v>14.526360000000011</v>
      </c>
      <c r="O22">
        <v>15</v>
      </c>
      <c r="P22">
        <f t="shared" si="7"/>
        <v>4.5692562164730655</v>
      </c>
      <c r="X22">
        <v>222.68858</v>
      </c>
      <c r="Y22">
        <v>226.35975999999999</v>
      </c>
      <c r="Z22" s="2">
        <f t="shared" si="9"/>
        <v>3.6711799999999926</v>
      </c>
      <c r="AA22" s="2">
        <f t="shared" si="10"/>
        <v>8.9196400000000153</v>
      </c>
      <c r="AB22" s="2">
        <f t="shared" si="11"/>
        <v>0.29157592595239945</v>
      </c>
      <c r="AC22" s="2">
        <f t="shared" si="12"/>
        <v>0.70842407404760055</v>
      </c>
      <c r="AD22" s="2">
        <f t="shared" si="13"/>
        <v>0.27239198295915812</v>
      </c>
      <c r="AE22" s="2">
        <f t="shared" si="14"/>
        <v>7.9422944653326735E-2</v>
      </c>
      <c r="AF22" s="2">
        <f t="shared" si="15"/>
        <v>12.590820000000008</v>
      </c>
      <c r="AG22">
        <v>12</v>
      </c>
      <c r="AH22">
        <f t="shared" si="8"/>
        <v>3.268703795509897</v>
      </c>
    </row>
    <row r="23" spans="2:34" x14ac:dyDescent="0.35">
      <c r="F23">
        <v>211.82927000000001</v>
      </c>
      <c r="G23">
        <v>214.12145000000001</v>
      </c>
      <c r="H23" s="2">
        <f t="shared" si="0"/>
        <v>2.2921800000000019</v>
      </c>
      <c r="I23" s="2">
        <f t="shared" si="1"/>
        <v>10.308699999999988</v>
      </c>
      <c r="J23" s="2">
        <f t="shared" si="2"/>
        <v>0.1819063430490572</v>
      </c>
      <c r="K23" s="2">
        <f t="shared" si="3"/>
        <v>0.81809365695094283</v>
      </c>
      <c r="L23" s="2">
        <f t="shared" si="4"/>
        <v>0.43626591279916899</v>
      </c>
      <c r="M23" s="2">
        <f t="shared" si="5"/>
        <v>7.9359536794255711E-2</v>
      </c>
      <c r="N23" s="2">
        <f t="shared" si="6"/>
        <v>12.600879999999989</v>
      </c>
      <c r="O23">
        <v>10</v>
      </c>
      <c r="P23">
        <f t="shared" si="7"/>
        <v>4.36265912799169</v>
      </c>
      <c r="X23">
        <v>235.27940000000001</v>
      </c>
      <c r="Y23">
        <v>238.94454999999999</v>
      </c>
      <c r="Z23" s="2">
        <f t="shared" si="9"/>
        <v>3.6651499999999828</v>
      </c>
      <c r="AA23" s="2">
        <f t="shared" si="10"/>
        <v>10.190619999999996</v>
      </c>
      <c r="AB23" s="2">
        <f t="shared" si="11"/>
        <v>0.2645215675491141</v>
      </c>
      <c r="AC23" s="2">
        <f t="shared" si="12"/>
        <v>0.73547843245088595</v>
      </c>
      <c r="AD23" s="2">
        <f t="shared" si="13"/>
        <v>0.27284012932622259</v>
      </c>
      <c r="AE23" s="2">
        <f t="shared" si="14"/>
        <v>7.2172098699675405E-2</v>
      </c>
      <c r="AF23" s="2">
        <f t="shared" si="15"/>
        <v>13.855769999999978</v>
      </c>
      <c r="AG23">
        <v>12</v>
      </c>
      <c r="AH23">
        <f t="shared" si="8"/>
        <v>3.2740815519146711</v>
      </c>
    </row>
    <row r="24" spans="2:34" x14ac:dyDescent="0.35">
      <c r="F24">
        <v>224.43015</v>
      </c>
      <c r="G24">
        <v>227.84218000000001</v>
      </c>
      <c r="H24" s="2">
        <f t="shared" si="0"/>
        <v>3.4120300000000157</v>
      </c>
      <c r="I24" s="2">
        <f t="shared" si="1"/>
        <v>21.849249999999984</v>
      </c>
      <c r="J24" s="2">
        <f t="shared" si="2"/>
        <v>0.13506956100403525</v>
      </c>
      <c r="K24" s="2">
        <f t="shared" si="3"/>
        <v>0.86493043899596478</v>
      </c>
      <c r="L24" s="2">
        <f t="shared" si="4"/>
        <v>0.2930806587280872</v>
      </c>
      <c r="M24" s="2">
        <f t="shared" si="5"/>
        <v>3.9586275913176212E-2</v>
      </c>
      <c r="N24" s="2">
        <f t="shared" si="6"/>
        <v>25.261279999999999</v>
      </c>
      <c r="O24">
        <v>14</v>
      </c>
      <c r="P24">
        <f t="shared" si="7"/>
        <v>4.1031292221932212</v>
      </c>
      <c r="X24">
        <v>249.13516999999999</v>
      </c>
      <c r="Y24">
        <v>251.16336999999999</v>
      </c>
      <c r="Z24" s="2">
        <f t="shared" si="9"/>
        <v>2.0281999999999982</v>
      </c>
      <c r="AA24" s="2">
        <f t="shared" si="10"/>
        <v>9.7793300000000158</v>
      </c>
      <c r="AB24" s="2">
        <f t="shared" si="11"/>
        <v>0.17177174226955136</v>
      </c>
      <c r="AC24" s="2">
        <f t="shared" si="12"/>
        <v>0.82822825773044861</v>
      </c>
      <c r="AD24" s="2">
        <f t="shared" si="13"/>
        <v>0.49304802287742872</v>
      </c>
      <c r="AE24" s="2">
        <f t="shared" si="14"/>
        <v>8.4691717912213541E-2</v>
      </c>
      <c r="AF24" s="2">
        <f t="shared" si="15"/>
        <v>11.807530000000014</v>
      </c>
      <c r="AG24">
        <v>9</v>
      </c>
      <c r="AH24">
        <f t="shared" si="8"/>
        <v>4.4374322058968581</v>
      </c>
    </row>
    <row r="25" spans="2:34" x14ac:dyDescent="0.35">
      <c r="F25">
        <v>249.69143</v>
      </c>
      <c r="G25">
        <v>253.12479999999999</v>
      </c>
      <c r="H25" s="2">
        <f t="shared" si="0"/>
        <v>3.4333699999999965</v>
      </c>
      <c r="I25" s="2">
        <f t="shared" si="1"/>
        <v>8.2952399999999784</v>
      </c>
      <c r="J25" s="2">
        <f t="shared" si="2"/>
        <v>0.29273460367426352</v>
      </c>
      <c r="K25" s="2">
        <f t="shared" si="3"/>
        <v>0.70726539632573648</v>
      </c>
      <c r="L25" s="2">
        <f t="shared" si="4"/>
        <v>0.29125902538904952</v>
      </c>
      <c r="M25" s="2">
        <f t="shared" si="5"/>
        <v>8.5261595363815668E-2</v>
      </c>
      <c r="N25" s="2">
        <f t="shared" si="6"/>
        <v>11.728609999999975</v>
      </c>
      <c r="O25">
        <v>14</v>
      </c>
      <c r="P25">
        <f t="shared" si="7"/>
        <v>4.0776263554466938</v>
      </c>
      <c r="X25">
        <v>260.9427</v>
      </c>
      <c r="Y25">
        <v>263.82153</v>
      </c>
      <c r="Z25" s="2">
        <f t="shared" si="9"/>
        <v>2.8788299999999936</v>
      </c>
      <c r="AA25" s="2">
        <f t="shared" si="10"/>
        <v>13.261300000000006</v>
      </c>
      <c r="AB25" s="2">
        <f t="shared" si="11"/>
        <v>0.17836473436087527</v>
      </c>
      <c r="AC25" s="2">
        <f t="shared" si="12"/>
        <v>0.8216352656391247</v>
      </c>
      <c r="AD25" s="2">
        <f t="shared" si="13"/>
        <v>0.34736333857852053</v>
      </c>
      <c r="AE25" s="2">
        <f t="shared" si="14"/>
        <v>6.1957369612264591E-2</v>
      </c>
      <c r="AF25" s="2">
        <f t="shared" si="15"/>
        <v>16.140129999999999</v>
      </c>
      <c r="AG25">
        <v>10</v>
      </c>
      <c r="AH25">
        <f t="shared" si="8"/>
        <v>3.4736333857852051</v>
      </c>
    </row>
    <row r="26" spans="2:34" x14ac:dyDescent="0.35">
      <c r="F26">
        <v>261.42003999999997</v>
      </c>
      <c r="G26">
        <v>263.60980999999998</v>
      </c>
      <c r="H26" s="2">
        <f t="shared" si="0"/>
        <v>2.18977000000001</v>
      </c>
      <c r="I26" s="2">
        <f t="shared" si="1"/>
        <v>12.918920000000014</v>
      </c>
      <c r="J26" s="2">
        <f t="shared" si="2"/>
        <v>0.14493447148627753</v>
      </c>
      <c r="K26" s="2">
        <f t="shared" si="3"/>
        <v>0.85506552851372242</v>
      </c>
      <c r="L26" s="2">
        <f t="shared" si="4"/>
        <v>0.45666896523378958</v>
      </c>
      <c r="M26" s="2">
        <f t="shared" si="5"/>
        <v>6.6187075120344538E-2</v>
      </c>
      <c r="N26" s="2">
        <f t="shared" si="6"/>
        <v>15.108690000000024</v>
      </c>
      <c r="O26">
        <v>9</v>
      </c>
      <c r="P26">
        <f t="shared" si="7"/>
        <v>4.1100206871041065</v>
      </c>
      <c r="X26">
        <v>277.08283</v>
      </c>
      <c r="Y26">
        <v>279.82549</v>
      </c>
      <c r="Z26" s="2">
        <f t="shared" si="9"/>
        <v>2.7426600000000008</v>
      </c>
      <c r="AA26" s="2">
        <f t="shared" si="10"/>
        <v>14.031990000000008</v>
      </c>
      <c r="AB26" s="2">
        <f t="shared" si="11"/>
        <v>0.16350028167502745</v>
      </c>
      <c r="AC26" s="2">
        <f t="shared" si="12"/>
        <v>0.8364997183249725</v>
      </c>
      <c r="AD26" s="2">
        <f t="shared" si="13"/>
        <v>0.36460953964399512</v>
      </c>
      <c r="AE26" s="2">
        <f t="shared" si="14"/>
        <v>5.96137624331953E-2</v>
      </c>
      <c r="AF26" s="2">
        <f t="shared" si="15"/>
        <v>16.774650000000008</v>
      </c>
      <c r="AG26">
        <v>10</v>
      </c>
      <c r="AH26">
        <f t="shared" si="8"/>
        <v>3.6460953964399514</v>
      </c>
    </row>
    <row r="27" spans="2:34" x14ac:dyDescent="0.35">
      <c r="F27">
        <v>276.52873</v>
      </c>
      <c r="G27">
        <v>279.72559999999999</v>
      </c>
      <c r="H27" s="2">
        <f t="shared" si="0"/>
        <v>3.1968699999999899</v>
      </c>
      <c r="I27" s="2">
        <f t="shared" si="1"/>
        <v>8.7581800000000385</v>
      </c>
      <c r="J27" s="2">
        <f t="shared" si="2"/>
        <v>0.26740749725011459</v>
      </c>
      <c r="K27" s="2">
        <f t="shared" si="3"/>
        <v>0.73259250274988541</v>
      </c>
      <c r="L27" s="2">
        <f t="shared" si="4"/>
        <v>0.31280596333288596</v>
      </c>
      <c r="M27" s="2">
        <f t="shared" si="5"/>
        <v>8.3646659779758145E-2</v>
      </c>
      <c r="N27" s="2">
        <f t="shared" si="6"/>
        <v>11.955050000000028</v>
      </c>
      <c r="O27">
        <v>13</v>
      </c>
      <c r="P27">
        <f t="shared" si="7"/>
        <v>4.0664775233275172</v>
      </c>
      <c r="X27">
        <v>293.85748000000001</v>
      </c>
      <c r="Y27">
        <v>296.90167000000002</v>
      </c>
      <c r="Z27" s="2">
        <f t="shared" si="9"/>
        <v>3.0441900000000146</v>
      </c>
      <c r="AA27" s="2">
        <f t="shared" si="10"/>
        <v>10.379269999999963</v>
      </c>
      <c r="AB27" s="2">
        <f t="shared" si="11"/>
        <v>0.22678132165626594</v>
      </c>
      <c r="AC27" s="2">
        <f t="shared" si="12"/>
        <v>0.77321867834373403</v>
      </c>
      <c r="AD27" s="2">
        <f t="shared" si="13"/>
        <v>0.32849460776101203</v>
      </c>
      <c r="AE27" s="2">
        <f t="shared" si="14"/>
        <v>7.4496441304998981E-2</v>
      </c>
      <c r="AF27" s="2">
        <f t="shared" si="15"/>
        <v>13.423459999999977</v>
      </c>
      <c r="AG27">
        <v>11</v>
      </c>
      <c r="AH27">
        <f t="shared" si="8"/>
        <v>3.6134406853711325</v>
      </c>
    </row>
    <row r="28" spans="2:34" x14ac:dyDescent="0.35">
      <c r="F28">
        <v>288.48378000000002</v>
      </c>
      <c r="G28">
        <v>290.87078000000002</v>
      </c>
      <c r="H28" s="2">
        <f t="shared" si="0"/>
        <v>2.3870000000000005</v>
      </c>
      <c r="I28" s="2">
        <f t="shared" si="1"/>
        <v>11.56617</v>
      </c>
      <c r="J28" s="2">
        <f t="shared" si="2"/>
        <v>0.17107223663153251</v>
      </c>
      <c r="K28" s="2">
        <f t="shared" si="3"/>
        <v>0.82892776336846752</v>
      </c>
      <c r="L28" s="2">
        <f t="shared" si="4"/>
        <v>0.41893590280687049</v>
      </c>
      <c r="M28" s="2">
        <f t="shared" si="5"/>
        <v>7.1668301898421646E-2</v>
      </c>
      <c r="N28" s="2">
        <f t="shared" si="6"/>
        <v>13.95317</v>
      </c>
      <c r="O28">
        <v>10</v>
      </c>
      <c r="P28">
        <f t="shared" si="7"/>
        <v>4.1893590280687043</v>
      </c>
      <c r="X28">
        <v>307.28093999999999</v>
      </c>
      <c r="Y28">
        <v>310.21260999999998</v>
      </c>
      <c r="Z28" s="2">
        <f t="shared" si="9"/>
        <v>2.9316699999999969</v>
      </c>
      <c r="AA28" s="2">
        <f t="shared" si="10"/>
        <v>10.529429999999991</v>
      </c>
      <c r="AB28" s="2">
        <f t="shared" si="11"/>
        <v>0.21778829367585112</v>
      </c>
      <c r="AC28" s="2">
        <f t="shared" si="12"/>
        <v>0.78221170632414883</v>
      </c>
      <c r="AD28" s="2">
        <f t="shared" si="13"/>
        <v>0.34110251153779281</v>
      </c>
      <c r="AE28" s="2">
        <f t="shared" si="14"/>
        <v>7.4288133956363217E-2</v>
      </c>
      <c r="AF28" s="2">
        <f t="shared" si="15"/>
        <v>13.461099999999988</v>
      </c>
      <c r="AG28">
        <v>13</v>
      </c>
      <c r="AH28">
        <f t="shared" si="8"/>
        <v>4.4343326499913065</v>
      </c>
    </row>
    <row r="29" spans="2:34" x14ac:dyDescent="0.35">
      <c r="F29">
        <v>302.43695000000002</v>
      </c>
      <c r="G29">
        <v>305.82438000000002</v>
      </c>
      <c r="H29" s="2">
        <f t="shared" si="0"/>
        <v>3.3874299999999948</v>
      </c>
      <c r="I29" s="2">
        <f t="shared" si="1"/>
        <v>8.4694499999999948</v>
      </c>
      <c r="J29" s="2">
        <f t="shared" si="2"/>
        <v>0.28569320090951394</v>
      </c>
      <c r="K29" s="2">
        <f t="shared" si="3"/>
        <v>0.714306799090486</v>
      </c>
      <c r="L29" s="2">
        <f t="shared" si="4"/>
        <v>0.29520905229037986</v>
      </c>
      <c r="M29" s="2">
        <f t="shared" si="5"/>
        <v>8.4339219086302708E-2</v>
      </c>
      <c r="N29" s="2">
        <f t="shared" si="6"/>
        <v>11.85687999999999</v>
      </c>
      <c r="O29">
        <v>14</v>
      </c>
      <c r="P29">
        <f t="shared" si="7"/>
        <v>4.132926732065318</v>
      </c>
      <c r="X29">
        <v>320.74203999999997</v>
      </c>
      <c r="Y29">
        <v>322.77638000000002</v>
      </c>
      <c r="Z29" s="2">
        <f t="shared" si="9"/>
        <v>2.0343400000000429</v>
      </c>
      <c r="AA29" s="2">
        <f t="shared" si="10"/>
        <v>15.110809999999958</v>
      </c>
      <c r="AB29" s="2">
        <f t="shared" si="11"/>
        <v>0.11865396336573567</v>
      </c>
      <c r="AC29" s="2">
        <f t="shared" si="12"/>
        <v>0.88134603663426436</v>
      </c>
      <c r="AD29" s="2">
        <f t="shared" si="13"/>
        <v>0.49155991623817991</v>
      </c>
      <c r="AE29" s="2">
        <f t="shared" si="14"/>
        <v>5.832553229338909E-2</v>
      </c>
      <c r="AF29" s="2">
        <f t="shared" si="15"/>
        <v>17.145150000000001</v>
      </c>
      <c r="AG29">
        <v>9</v>
      </c>
      <c r="AH29">
        <f t="shared" si="8"/>
        <v>4.4240392461436189</v>
      </c>
    </row>
    <row r="30" spans="2:34" x14ac:dyDescent="0.35">
      <c r="F30">
        <v>314.29383000000001</v>
      </c>
      <c r="G30">
        <v>316.56580000000002</v>
      </c>
      <c r="H30" s="2">
        <f t="shared" si="0"/>
        <v>2.2719700000000103</v>
      </c>
      <c r="I30" s="2">
        <f t="shared" si="1"/>
        <v>11.840319999999963</v>
      </c>
      <c r="J30" s="2">
        <f t="shared" si="2"/>
        <v>0.16099229820248978</v>
      </c>
      <c r="K30" s="2">
        <f t="shared" si="3"/>
        <v>0.83900770179751016</v>
      </c>
      <c r="L30" s="2">
        <f t="shared" si="4"/>
        <v>0.4401466568660658</v>
      </c>
      <c r="M30" s="2">
        <f t="shared" si="5"/>
        <v>7.0860221835010617E-2</v>
      </c>
      <c r="N30" s="2">
        <f t="shared" si="6"/>
        <v>14.112289999999973</v>
      </c>
      <c r="O30">
        <v>9</v>
      </c>
      <c r="P30">
        <f t="shared" si="7"/>
        <v>3.9613199117945919</v>
      </c>
      <c r="X30">
        <v>337.88718999999998</v>
      </c>
      <c r="Y30">
        <v>340.71451000000002</v>
      </c>
      <c r="Z30" s="2">
        <f t="shared" si="9"/>
        <v>2.8273200000000429</v>
      </c>
      <c r="AA30" s="2">
        <f t="shared" si="10"/>
        <v>14.271739999999966</v>
      </c>
      <c r="AB30" s="2">
        <f t="shared" si="11"/>
        <v>0.16534944026163084</v>
      </c>
      <c r="AC30" s="2">
        <f t="shared" si="12"/>
        <v>0.8346505597383691</v>
      </c>
      <c r="AD30" s="2">
        <f t="shared" si="13"/>
        <v>0.3536918353776668</v>
      </c>
      <c r="AE30" s="2">
        <f t="shared" si="14"/>
        <v>5.8482747004806081E-2</v>
      </c>
      <c r="AF30" s="2">
        <f t="shared" si="15"/>
        <v>17.099060000000009</v>
      </c>
      <c r="AG30">
        <v>11</v>
      </c>
      <c r="AH30">
        <f t="shared" si="8"/>
        <v>3.8906101891543345</v>
      </c>
    </row>
    <row r="31" spans="2:34" x14ac:dyDescent="0.35">
      <c r="F31">
        <v>328.40611999999999</v>
      </c>
      <c r="G31">
        <v>331.88677999999999</v>
      </c>
      <c r="H31" s="2">
        <f t="shared" si="0"/>
        <v>3.4806600000000003</v>
      </c>
      <c r="I31" s="2">
        <f t="shared" si="1"/>
        <v>8.499650000000031</v>
      </c>
      <c r="J31" s="2">
        <f t="shared" si="2"/>
        <v>0.29053171412091933</v>
      </c>
      <c r="K31" s="2">
        <f t="shared" si="3"/>
        <v>0.70946828587908062</v>
      </c>
      <c r="L31" s="2">
        <f t="shared" si="4"/>
        <v>0.28730183356030176</v>
      </c>
      <c r="M31" s="2">
        <f t="shared" si="5"/>
        <v>8.3470294174357543E-2</v>
      </c>
      <c r="N31" s="2">
        <f t="shared" si="6"/>
        <v>11.980310000000031</v>
      </c>
      <c r="O31">
        <v>14</v>
      </c>
      <c r="P31">
        <f t="shared" si="7"/>
        <v>4.0222256698442242</v>
      </c>
      <c r="X31">
        <v>354.98624999999998</v>
      </c>
      <c r="Y31">
        <v>357.77854000000002</v>
      </c>
      <c r="Z31" s="2">
        <f t="shared" si="9"/>
        <v>2.7922900000000368</v>
      </c>
      <c r="AA31" s="2"/>
      <c r="AB31" s="2"/>
      <c r="AC31" s="2"/>
      <c r="AD31" s="2"/>
      <c r="AE31" s="2"/>
      <c r="AF31" s="2"/>
      <c r="AG31">
        <v>12</v>
      </c>
      <c r="AH31">
        <f t="shared" si="8"/>
        <v>4.297547890799251</v>
      </c>
    </row>
    <row r="32" spans="2:34" x14ac:dyDescent="0.35">
      <c r="F32">
        <v>340.38643000000002</v>
      </c>
      <c r="G32">
        <v>342.70375999999999</v>
      </c>
      <c r="H32" s="2">
        <f t="shared" si="0"/>
        <v>2.3173299999999699</v>
      </c>
      <c r="I32" s="2">
        <f t="shared" si="1"/>
        <v>11.812870000000032</v>
      </c>
      <c r="J32" s="2">
        <f t="shared" si="2"/>
        <v>0.16399838643472631</v>
      </c>
      <c r="K32" s="2">
        <f t="shared" si="3"/>
        <v>0.83600161356527369</v>
      </c>
      <c r="L32" s="2">
        <f t="shared" si="4"/>
        <v>0.43153111555109241</v>
      </c>
      <c r="M32" s="2">
        <f t="shared" si="5"/>
        <v>7.0770406646756587E-2</v>
      </c>
      <c r="N32" s="2">
        <f t="shared" si="6"/>
        <v>14.130200000000002</v>
      </c>
      <c r="O32">
        <v>9</v>
      </c>
      <c r="P32">
        <f t="shared" si="7"/>
        <v>3.8837800399598317</v>
      </c>
    </row>
    <row r="33" spans="6:34" x14ac:dyDescent="0.35">
      <c r="F33">
        <v>354.51663000000002</v>
      </c>
      <c r="G33">
        <v>356.99061</v>
      </c>
      <c r="H33" s="2">
        <f t="shared" si="0"/>
        <v>2.4739799999999832</v>
      </c>
      <c r="I33" s="2"/>
      <c r="J33" s="2"/>
      <c r="K33" s="2"/>
      <c r="L33" s="2"/>
      <c r="M33" s="2"/>
      <c r="N33" s="2"/>
      <c r="O33">
        <v>11</v>
      </c>
      <c r="P33">
        <f t="shared" si="7"/>
        <v>4.4462768494490961</v>
      </c>
    </row>
    <row r="34" spans="6:34" x14ac:dyDescent="0.35">
      <c r="H34" s="2"/>
      <c r="I34" s="2"/>
      <c r="J34" s="2"/>
      <c r="K34" s="2"/>
      <c r="L34" s="2"/>
      <c r="M34" s="2"/>
      <c r="N34" s="2"/>
    </row>
    <row r="35" spans="6:34" x14ac:dyDescent="0.35">
      <c r="H35" s="2"/>
      <c r="I35" s="2"/>
      <c r="J35" s="2"/>
      <c r="K35" s="2"/>
      <c r="L35" s="2"/>
      <c r="M35" s="2"/>
      <c r="N35" s="2"/>
    </row>
    <row r="36" spans="6:34" x14ac:dyDescent="0.35">
      <c r="H36" s="2"/>
      <c r="I36" s="2"/>
      <c r="J36" s="2"/>
      <c r="K36" s="2"/>
      <c r="L36" s="2"/>
      <c r="M36" s="2"/>
      <c r="N36" s="2"/>
    </row>
    <row r="39" spans="6:34" ht="16" thickBot="1" x14ac:dyDescent="0.4">
      <c r="G39" s="13"/>
      <c r="H39" s="9" t="s">
        <v>3</v>
      </c>
      <c r="I39" s="9" t="s">
        <v>4</v>
      </c>
      <c r="J39" s="9" t="s">
        <v>5</v>
      </c>
      <c r="K39" s="9" t="s">
        <v>6</v>
      </c>
      <c r="L39" s="9" t="s">
        <v>7</v>
      </c>
      <c r="M39" s="9" t="s">
        <v>8</v>
      </c>
      <c r="N39" s="9" t="s">
        <v>9</v>
      </c>
      <c r="O39" s="9" t="s">
        <v>10</v>
      </c>
      <c r="P39" s="44" t="s">
        <v>139</v>
      </c>
      <c r="X39" s="13"/>
      <c r="Y39" s="13"/>
      <c r="Z39" s="9" t="s">
        <v>3</v>
      </c>
      <c r="AA39" s="9" t="s">
        <v>4</v>
      </c>
      <c r="AB39" s="9" t="s">
        <v>5</v>
      </c>
      <c r="AC39" s="9" t="s">
        <v>6</v>
      </c>
      <c r="AD39" s="9" t="s">
        <v>7</v>
      </c>
      <c r="AE39" s="9" t="s">
        <v>8</v>
      </c>
      <c r="AF39" s="9" t="s">
        <v>9</v>
      </c>
      <c r="AG39" s="9" t="s">
        <v>10</v>
      </c>
      <c r="AH39" s="44" t="s">
        <v>139</v>
      </c>
    </row>
    <row r="40" spans="6:34" x14ac:dyDescent="0.35">
      <c r="G40" s="49" t="s">
        <v>77</v>
      </c>
      <c r="H40" s="2">
        <f>AVERAGE(H7:H32)</f>
        <v>3.158574999999999</v>
      </c>
      <c r="I40" s="2">
        <f t="shared" ref="I40:N40" si="16">AVERAGE(I7:I32)</f>
        <v>10.40862230769231</v>
      </c>
      <c r="J40" s="2">
        <f t="shared" si="16"/>
        <v>0.24375296203030283</v>
      </c>
      <c r="K40" s="2">
        <f t="shared" si="16"/>
        <v>0.75624703796969706</v>
      </c>
      <c r="L40" s="2">
        <f t="shared" si="16"/>
        <v>0.33823442119110447</v>
      </c>
      <c r="M40" s="2">
        <f t="shared" si="16"/>
        <v>7.7712334452621629E-2</v>
      </c>
      <c r="N40" s="2">
        <f t="shared" si="16"/>
        <v>13.567197307692309</v>
      </c>
      <c r="O40" s="2">
        <f>AVERAGE(O7:O33)</f>
        <v>13.222222222222221</v>
      </c>
      <c r="P40" s="2">
        <f>AVERAGE(P7:P33)</f>
        <v>4.209594182147149</v>
      </c>
      <c r="X40" s="13"/>
      <c r="Y40" s="49" t="s">
        <v>77</v>
      </c>
      <c r="Z40" s="2">
        <f>AVERAGE(Z7:Z30)</f>
        <v>3.2180820833333361</v>
      </c>
      <c r="AA40" s="2">
        <f t="shared" ref="AA40:AF40" si="17">AVERAGE(AA7:AA30)</f>
        <v>11.366328749999996</v>
      </c>
      <c r="AB40" s="2">
        <f t="shared" si="17"/>
        <v>0.22372355327329832</v>
      </c>
      <c r="AC40" s="2">
        <f t="shared" si="17"/>
        <v>0.7762764467267016</v>
      </c>
      <c r="AD40" s="2">
        <f t="shared" si="17"/>
        <v>0.32042993576809836</v>
      </c>
      <c r="AE40" s="2">
        <f t="shared" si="17"/>
        <v>6.927653647506489E-2</v>
      </c>
      <c r="AF40" s="2">
        <f t="shared" si="17"/>
        <v>14.584410833333331</v>
      </c>
      <c r="AG40" s="2">
        <f>AVERAGE(AG7:AG31)</f>
        <v>11.24</v>
      </c>
      <c r="AH40" s="2">
        <f>AVERAGE(AH7:AH31)</f>
        <v>3.5720422072051941</v>
      </c>
    </row>
    <row r="41" spans="6:34" x14ac:dyDescent="0.35">
      <c r="G41" s="49" t="s">
        <v>94</v>
      </c>
      <c r="H41" s="2">
        <f>_xlfn.STDEV.S(H7:H32)</f>
        <v>0.85531336854394691</v>
      </c>
      <c r="I41" s="2">
        <f t="shared" ref="I41:N41" si="18">_xlfn.STDEV.S(I7:I32)</f>
        <v>3.3236581927139262</v>
      </c>
      <c r="J41" s="2">
        <f t="shared" si="18"/>
        <v>8.4040742076120292E-2</v>
      </c>
      <c r="K41" s="2">
        <f t="shared" si="18"/>
        <v>8.4040742076121666E-2</v>
      </c>
      <c r="L41" s="2">
        <f t="shared" si="18"/>
        <v>8.7067702840331607E-2</v>
      </c>
      <c r="M41" s="2">
        <f t="shared" si="18"/>
        <v>1.8089341708648982E-2</v>
      </c>
      <c r="N41" s="2">
        <f t="shared" si="18"/>
        <v>3.3886778816671876</v>
      </c>
      <c r="O41" s="2">
        <f>_xlfn.STDEV.S(O7:O33)</f>
        <v>3.9255899442321303</v>
      </c>
      <c r="P41" s="2">
        <f>_xlfn.STDEV.S(P7:P33)</f>
        <v>0.33938494812776632</v>
      </c>
      <c r="X41" s="13"/>
      <c r="Y41" s="49" t="s">
        <v>94</v>
      </c>
      <c r="Z41" s="2">
        <f>_xlfn.STDEV.S(Z7:Z30)</f>
        <v>0.5214163273904846</v>
      </c>
      <c r="AA41" s="2">
        <f t="shared" ref="AA41:AF41" si="19">_xlfn.STDEV.S(AA7:AA30)</f>
        <v>1.7345780959928916</v>
      </c>
      <c r="AB41" s="2">
        <f t="shared" si="19"/>
        <v>4.6334441137283057E-2</v>
      </c>
      <c r="AC41" s="2">
        <f t="shared" si="19"/>
        <v>4.6334441137283154E-2</v>
      </c>
      <c r="AD41" s="2">
        <f t="shared" si="19"/>
        <v>6.3734239782032256E-2</v>
      </c>
      <c r="AE41" s="2">
        <f t="shared" si="19"/>
        <v>7.1960110212428057E-3</v>
      </c>
      <c r="AF41" s="2">
        <f t="shared" si="19"/>
        <v>1.5101258714537937</v>
      </c>
      <c r="AG41" s="2">
        <f>_xlfn.STDEV.S(AG7:AG31)</f>
        <v>1.011599393699568</v>
      </c>
      <c r="AH41" s="2">
        <f>_xlfn.STDEV.S(AH7:AH31)</f>
        <v>0.44696259517860609</v>
      </c>
    </row>
    <row r="42" spans="6:34" x14ac:dyDescent="0.35">
      <c r="G42" s="49" t="s">
        <v>95</v>
      </c>
      <c r="H42" s="2">
        <f>H41/SQRT(26)</f>
        <v>0.1677407521708601</v>
      </c>
      <c r="I42" s="2">
        <f t="shared" ref="I42:N42" si="20">I41/SQRT(26)</f>
        <v>0.65182299927541687</v>
      </c>
      <c r="J42" s="2">
        <f t="shared" si="20"/>
        <v>1.6481745530113678E-2</v>
      </c>
      <c r="K42" s="2">
        <f t="shared" si="20"/>
        <v>1.6481745530113948E-2</v>
      </c>
      <c r="L42" s="2">
        <f t="shared" si="20"/>
        <v>1.7075381376405723E-2</v>
      </c>
      <c r="M42" s="2">
        <f t="shared" si="20"/>
        <v>3.5476117830941928E-3</v>
      </c>
      <c r="N42" s="2">
        <f t="shared" si="20"/>
        <v>0.66457440938081747</v>
      </c>
      <c r="O42" s="2">
        <f>O41/SQRT(27)</f>
        <v>0.75548013701016947</v>
      </c>
      <c r="P42" s="2">
        <f>P41/SQRT(27)</f>
        <v>6.5314663720157679E-2</v>
      </c>
      <c r="X42" s="13"/>
      <c r="Y42" s="49" t="s">
        <v>95</v>
      </c>
      <c r="Z42" s="2">
        <f>Z41/SQRT(24)</f>
        <v>0.10643366213855564</v>
      </c>
      <c r="AA42" s="2">
        <f t="shared" ref="AA42:AF42" si="21">AA41/SQRT(24)</f>
        <v>0.35406927118258025</v>
      </c>
      <c r="AB42" s="2">
        <f t="shared" si="21"/>
        <v>9.4579781919471497E-3</v>
      </c>
      <c r="AC42" s="2">
        <f t="shared" si="21"/>
        <v>9.4579781919471688E-3</v>
      </c>
      <c r="AD42" s="2">
        <f t="shared" si="21"/>
        <v>1.3009697217514301E-2</v>
      </c>
      <c r="AE42" s="2">
        <f t="shared" si="21"/>
        <v>1.4688795987907463E-3</v>
      </c>
      <c r="AF42" s="2">
        <f t="shared" si="21"/>
        <v>0.30825315270313136</v>
      </c>
      <c r="AG42" s="2">
        <f>AG41/SQRT(24)</f>
        <v>0.2064918615560645</v>
      </c>
      <c r="AH42" s="2">
        <f>AH41/SQRT(24)</f>
        <v>9.1235857691478808E-2</v>
      </c>
    </row>
    <row r="48" spans="6:34" ht="18.5" x14ac:dyDescent="0.45">
      <c r="F48" s="1" t="s">
        <v>52</v>
      </c>
      <c r="G48" s="3"/>
      <c r="H48" s="3"/>
      <c r="I48" s="3"/>
      <c r="J48" s="3"/>
      <c r="K48" s="3"/>
      <c r="L48" s="3"/>
      <c r="M48" s="3"/>
      <c r="N48" s="3"/>
      <c r="O48" s="3"/>
    </row>
    <row r="49" spans="6:34" ht="19" thickBot="1" x14ac:dyDescent="0.5">
      <c r="F49" s="9" t="s">
        <v>1</v>
      </c>
      <c r="G49" s="9" t="s">
        <v>2</v>
      </c>
      <c r="H49" s="9" t="s">
        <v>3</v>
      </c>
      <c r="I49" s="9" t="s">
        <v>4</v>
      </c>
      <c r="J49" s="9" t="s">
        <v>5</v>
      </c>
      <c r="K49" s="9" t="s">
        <v>6</v>
      </c>
      <c r="L49" s="9" t="s">
        <v>7</v>
      </c>
      <c r="M49" s="9" t="s">
        <v>8</v>
      </c>
      <c r="N49" s="9" t="s">
        <v>9</v>
      </c>
      <c r="O49" s="9" t="s">
        <v>10</v>
      </c>
      <c r="P49" s="44" t="s">
        <v>139</v>
      </c>
      <c r="X49" s="1" t="s">
        <v>373</v>
      </c>
      <c r="Y49" s="3"/>
      <c r="Z49" s="3"/>
      <c r="AA49" s="3"/>
      <c r="AB49" s="3"/>
      <c r="AC49" s="3"/>
      <c r="AD49" s="3"/>
      <c r="AE49" s="3"/>
      <c r="AF49" s="3"/>
      <c r="AG49" s="3"/>
    </row>
    <row r="50" spans="6:34" ht="16" thickBot="1" x14ac:dyDescent="0.4">
      <c r="F50" s="13">
        <v>47.318730000000002</v>
      </c>
      <c r="G50" s="13">
        <v>49.70655</v>
      </c>
      <c r="H50" s="2">
        <f t="shared" ref="H50:H68" si="22">G50-F50</f>
        <v>2.3878199999999978</v>
      </c>
      <c r="I50" s="2">
        <f t="shared" ref="I50:I67" si="23">F51-G50</f>
        <v>6.2184400000000011</v>
      </c>
      <c r="J50" s="2">
        <f t="shared" ref="J50:J67" si="24">H50/N50</f>
        <v>0.27745152946808466</v>
      </c>
      <c r="K50" s="2">
        <f t="shared" ref="K50:K67" si="25">I50/N50</f>
        <v>0.7225484705319154</v>
      </c>
      <c r="L50" s="2">
        <f t="shared" ref="L50:L67" si="26">1/H50</f>
        <v>0.41879203625063904</v>
      </c>
      <c r="M50" s="2">
        <f t="shared" ref="M50:M67" si="27">1/N50</f>
        <v>0.11619449098679335</v>
      </c>
      <c r="N50" s="2">
        <f t="shared" ref="N50:N67" si="28">H50+I50</f>
        <v>8.6062599999999989</v>
      </c>
      <c r="O50" s="13">
        <v>12</v>
      </c>
      <c r="P50">
        <f t="shared" ref="P50:P67" si="29">O50/H50</f>
        <v>5.0255044350076687</v>
      </c>
      <c r="X50" s="9" t="s">
        <v>1</v>
      </c>
      <c r="Y50" s="9" t="s">
        <v>2</v>
      </c>
      <c r="Z50" s="9" t="s">
        <v>3</v>
      </c>
      <c r="AA50" s="9" t="s">
        <v>4</v>
      </c>
      <c r="AB50" s="9" t="s">
        <v>5</v>
      </c>
      <c r="AC50" s="9" t="s">
        <v>6</v>
      </c>
      <c r="AD50" s="9" t="s">
        <v>7</v>
      </c>
      <c r="AE50" s="9" t="s">
        <v>8</v>
      </c>
      <c r="AF50" s="9" t="s">
        <v>9</v>
      </c>
      <c r="AG50" s="9" t="s">
        <v>10</v>
      </c>
      <c r="AH50" s="44" t="s">
        <v>139</v>
      </c>
    </row>
    <row r="51" spans="6:34" x14ac:dyDescent="0.35">
      <c r="F51" s="13">
        <v>55.924990000000001</v>
      </c>
      <c r="G51" s="13">
        <v>58.56579</v>
      </c>
      <c r="H51" s="2">
        <f t="shared" si="22"/>
        <v>2.6407999999999987</v>
      </c>
      <c r="I51" s="2">
        <f t="shared" si="23"/>
        <v>6.9621699999999933</v>
      </c>
      <c r="J51" s="2">
        <f t="shared" si="24"/>
        <v>0.27499825574796138</v>
      </c>
      <c r="K51" s="2">
        <f t="shared" si="25"/>
        <v>0.72500174425203856</v>
      </c>
      <c r="L51" s="2">
        <f t="shared" si="26"/>
        <v>0.37867312935474118</v>
      </c>
      <c r="M51" s="2">
        <f t="shared" si="27"/>
        <v>0.10413445007117599</v>
      </c>
      <c r="N51" s="2">
        <f t="shared" si="28"/>
        <v>9.602969999999992</v>
      </c>
      <c r="O51" s="13">
        <v>13</v>
      </c>
      <c r="P51">
        <f t="shared" si="29"/>
        <v>4.9227506816116353</v>
      </c>
      <c r="X51" s="2">
        <v>4.6780999999999997</v>
      </c>
      <c r="Y51" s="2">
        <v>10.0761</v>
      </c>
      <c r="Z51" s="2">
        <f>Y51-X51</f>
        <v>5.3980000000000006</v>
      </c>
      <c r="AA51" s="2">
        <f>X52-Y51</f>
        <v>8.167189999999998</v>
      </c>
      <c r="AB51" s="2">
        <f>Z51/AF51</f>
        <v>0.39793029069257424</v>
      </c>
      <c r="AC51" s="2">
        <f>AA51/AF51</f>
        <v>0.60206970930742576</v>
      </c>
      <c r="AD51" s="2">
        <f>1/Z51</f>
        <v>0.18525379770285288</v>
      </c>
      <c r="AE51" s="2">
        <f>1/AF51</f>
        <v>7.371809757179959E-2</v>
      </c>
      <c r="AF51" s="2">
        <f>Z51+AA51</f>
        <v>13.565189999999998</v>
      </c>
      <c r="AG51" s="2">
        <v>28</v>
      </c>
      <c r="AH51">
        <f>AG51/Z51</f>
        <v>5.1871063356798812</v>
      </c>
    </row>
    <row r="52" spans="6:34" x14ac:dyDescent="0.35">
      <c r="F52" s="13">
        <v>65.527959999999993</v>
      </c>
      <c r="G52" s="13">
        <v>67.890450000000001</v>
      </c>
      <c r="H52" s="2">
        <f t="shared" si="22"/>
        <v>2.3624900000000082</v>
      </c>
      <c r="I52" s="2">
        <f t="shared" si="23"/>
        <v>6.1791699999999992</v>
      </c>
      <c r="J52" s="2">
        <f t="shared" si="24"/>
        <v>0.27658441099271175</v>
      </c>
      <c r="K52" s="2">
        <f t="shared" si="25"/>
        <v>0.72341558900728831</v>
      </c>
      <c r="L52" s="2">
        <f t="shared" si="26"/>
        <v>0.42328221495117291</v>
      </c>
      <c r="M52" s="2">
        <f t="shared" si="27"/>
        <v>0.11707326210596057</v>
      </c>
      <c r="N52" s="2">
        <f t="shared" si="28"/>
        <v>8.5416600000000074</v>
      </c>
      <c r="O52" s="13">
        <v>14</v>
      </c>
      <c r="P52">
        <f t="shared" si="29"/>
        <v>5.9259510093164209</v>
      </c>
      <c r="X52" s="2">
        <v>18.243289999999998</v>
      </c>
      <c r="Y52" s="2">
        <v>22.79702</v>
      </c>
      <c r="Z52" s="2">
        <f t="shared" ref="Z52:Z85" si="30">Y52-X52</f>
        <v>4.5537300000000016</v>
      </c>
      <c r="AA52" s="2">
        <f t="shared" ref="AA52:AA85" si="31">X53-Y52</f>
        <v>8.9886300000000006</v>
      </c>
      <c r="AB52" s="2">
        <f t="shared" ref="AB52:AB85" si="32">Z52/AF52</f>
        <v>0.33625822973248393</v>
      </c>
      <c r="AC52" s="2">
        <f t="shared" ref="AC52:AC85" si="33">AA52/AF52</f>
        <v>0.66374177026751613</v>
      </c>
      <c r="AD52" s="2">
        <f t="shared" ref="AD52:AD85" si="34">1/Z52</f>
        <v>0.21960019588337465</v>
      </c>
      <c r="AE52" s="2">
        <f t="shared" ref="AE52:AE85" si="35">1/AF52</f>
        <v>7.3842373116650262E-2</v>
      </c>
      <c r="AF52" s="2">
        <f t="shared" ref="AF52:AF85" si="36">Z52+AA52</f>
        <v>13.542360000000002</v>
      </c>
      <c r="AG52" s="2">
        <v>27</v>
      </c>
      <c r="AH52">
        <f>AG52/Z52</f>
        <v>5.929205288851116</v>
      </c>
    </row>
    <row r="53" spans="6:34" x14ac:dyDescent="0.35">
      <c r="F53" s="13">
        <v>74.06962</v>
      </c>
      <c r="G53" s="13">
        <v>76.275530000000003</v>
      </c>
      <c r="H53" s="2">
        <f t="shared" si="22"/>
        <v>2.2059100000000029</v>
      </c>
      <c r="I53" s="2">
        <f t="shared" si="23"/>
        <v>6.3118800000000022</v>
      </c>
      <c r="J53" s="2">
        <f t="shared" si="24"/>
        <v>0.25897680032027104</v>
      </c>
      <c r="K53" s="2">
        <f t="shared" si="25"/>
        <v>0.74102319967972896</v>
      </c>
      <c r="L53" s="2">
        <f t="shared" si="26"/>
        <v>0.45332765162676569</v>
      </c>
      <c r="M53" s="2">
        <f t="shared" si="27"/>
        <v>0.1174013447150023</v>
      </c>
      <c r="N53" s="2">
        <f t="shared" si="28"/>
        <v>8.5177900000000051</v>
      </c>
      <c r="O53" s="13">
        <v>11</v>
      </c>
      <c r="P53">
        <f t="shared" si="29"/>
        <v>4.9866041678944226</v>
      </c>
      <c r="X53" s="13">
        <v>31.78565</v>
      </c>
      <c r="Y53" s="13">
        <v>38.274389999999997</v>
      </c>
      <c r="Z53" s="2">
        <f t="shared" si="30"/>
        <v>6.4887399999999964</v>
      </c>
      <c r="AA53" s="2">
        <f t="shared" si="31"/>
        <v>9.9631400000000028</v>
      </c>
      <c r="AB53" s="2">
        <f t="shared" si="32"/>
        <v>0.39440720452616945</v>
      </c>
      <c r="AC53" s="2">
        <f t="shared" si="33"/>
        <v>0.60559279547383049</v>
      </c>
      <c r="AD53" s="2">
        <f t="shared" si="34"/>
        <v>0.15411312519842074</v>
      </c>
      <c r="AE53" s="2">
        <f t="shared" si="35"/>
        <v>6.0783326890300686E-2</v>
      </c>
      <c r="AF53" s="2">
        <f t="shared" si="36"/>
        <v>16.451879999999999</v>
      </c>
      <c r="AG53" s="13">
        <v>31</v>
      </c>
      <c r="AH53">
        <f>AG53/Z53</f>
        <v>4.7775068811510426</v>
      </c>
    </row>
    <row r="54" spans="6:34" x14ac:dyDescent="0.35">
      <c r="F54" s="13">
        <v>82.587410000000006</v>
      </c>
      <c r="G54" s="13">
        <v>84.860290000000006</v>
      </c>
      <c r="H54" s="2">
        <f t="shared" si="22"/>
        <v>2.2728800000000007</v>
      </c>
      <c r="I54" s="2">
        <f t="shared" si="23"/>
        <v>7.2401199999999903</v>
      </c>
      <c r="J54" s="2">
        <f t="shared" si="24"/>
        <v>0.2389235782613269</v>
      </c>
      <c r="K54" s="2">
        <f t="shared" si="25"/>
        <v>0.76107642173867307</v>
      </c>
      <c r="L54" s="2">
        <f t="shared" si="26"/>
        <v>0.43997043398683594</v>
      </c>
      <c r="M54" s="2">
        <f t="shared" si="27"/>
        <v>0.10511931041732377</v>
      </c>
      <c r="N54" s="2">
        <f t="shared" si="28"/>
        <v>9.512999999999991</v>
      </c>
      <c r="O54" s="13">
        <v>11</v>
      </c>
      <c r="P54">
        <f t="shared" si="29"/>
        <v>4.8396747738551955</v>
      </c>
      <c r="X54" s="13">
        <v>48.23753</v>
      </c>
      <c r="Y54" s="13">
        <v>53.860289999999999</v>
      </c>
      <c r="Z54" s="2">
        <f t="shared" si="30"/>
        <v>5.6227599999999995</v>
      </c>
      <c r="AA54" s="2">
        <f t="shared" si="31"/>
        <v>8.7690199999999976</v>
      </c>
      <c r="AB54" s="2">
        <f t="shared" si="32"/>
        <v>0.39069246472639246</v>
      </c>
      <c r="AC54" s="2">
        <f t="shared" si="33"/>
        <v>0.60930753527360748</v>
      </c>
      <c r="AD54" s="2">
        <f t="shared" si="34"/>
        <v>0.1778486010429042</v>
      </c>
      <c r="AE54" s="2">
        <f t="shared" si="35"/>
        <v>6.9484108289593102E-2</v>
      </c>
      <c r="AF54" s="2">
        <f t="shared" si="36"/>
        <v>14.391779999999997</v>
      </c>
      <c r="AG54" s="13">
        <v>29</v>
      </c>
      <c r="AH54">
        <f>AG54/Z54</f>
        <v>5.1576094302442224</v>
      </c>
    </row>
    <row r="55" spans="6:34" x14ac:dyDescent="0.35">
      <c r="F55" s="13">
        <v>92.100409999999997</v>
      </c>
      <c r="G55" s="13">
        <v>94.280969999999996</v>
      </c>
      <c r="H55" s="2">
        <f t="shared" si="22"/>
        <v>2.1805599999999998</v>
      </c>
      <c r="I55" s="2">
        <f t="shared" si="23"/>
        <v>6.3146700000000067</v>
      </c>
      <c r="J55" s="2">
        <f t="shared" si="24"/>
        <v>0.25668051365295563</v>
      </c>
      <c r="K55" s="2">
        <f t="shared" si="25"/>
        <v>0.74331948634704437</v>
      </c>
      <c r="L55" s="2">
        <f t="shared" si="26"/>
        <v>0.45859779139303669</v>
      </c>
      <c r="M55" s="2">
        <f t="shared" si="27"/>
        <v>0.11771311665487565</v>
      </c>
      <c r="N55" s="2">
        <f t="shared" si="28"/>
        <v>8.4952300000000065</v>
      </c>
      <c r="O55" s="13">
        <v>13</v>
      </c>
      <c r="P55">
        <f t="shared" si="29"/>
        <v>5.9617712881094773</v>
      </c>
      <c r="X55" s="13">
        <v>62.629309999999997</v>
      </c>
      <c r="Y55" s="13">
        <v>68.108900000000006</v>
      </c>
      <c r="Z55" s="2">
        <f t="shared" si="30"/>
        <v>5.4795900000000088</v>
      </c>
      <c r="AA55" s="2">
        <f t="shared" si="31"/>
        <v>4.8181000000000012</v>
      </c>
      <c r="AB55" s="2">
        <f t="shared" si="32"/>
        <v>0.53211836829424886</v>
      </c>
      <c r="AC55" s="2">
        <f t="shared" si="33"/>
        <v>0.46788163170575114</v>
      </c>
      <c r="AD55" s="2">
        <f t="shared" si="34"/>
        <v>0.18249540567816175</v>
      </c>
      <c r="AE55" s="2">
        <f t="shared" si="35"/>
        <v>9.710915749066043E-2</v>
      </c>
      <c r="AF55" s="2">
        <f t="shared" si="36"/>
        <v>10.29769000000001</v>
      </c>
      <c r="AG55" s="13">
        <v>25</v>
      </c>
      <c r="AH55">
        <f>AG55/Z55</f>
        <v>4.562385141954044</v>
      </c>
    </row>
    <row r="56" spans="6:34" x14ac:dyDescent="0.35">
      <c r="F56" s="13">
        <v>100.59564</v>
      </c>
      <c r="G56" s="13">
        <v>102.94091</v>
      </c>
      <c r="H56" s="2">
        <f t="shared" si="22"/>
        <v>2.3452699999999993</v>
      </c>
      <c r="I56" s="2">
        <f t="shared" si="23"/>
        <v>8.2144899999999978</v>
      </c>
      <c r="J56" s="2">
        <f t="shared" si="24"/>
        <v>0.22209500973506974</v>
      </c>
      <c r="K56" s="2">
        <f t="shared" si="25"/>
        <v>0.77790499026493032</v>
      </c>
      <c r="L56" s="2">
        <f t="shared" si="26"/>
        <v>0.42639013844887808</v>
      </c>
      <c r="M56" s="2">
        <f t="shared" si="27"/>
        <v>9.4699121949741311E-2</v>
      </c>
      <c r="N56" s="2">
        <f t="shared" si="28"/>
        <v>10.559759999999997</v>
      </c>
      <c r="O56" s="13">
        <v>12</v>
      </c>
      <c r="P56">
        <f t="shared" si="29"/>
        <v>5.1166816613865373</v>
      </c>
      <c r="X56" s="13">
        <v>72.927000000000007</v>
      </c>
      <c r="Y56" s="13">
        <v>76.442359999999994</v>
      </c>
      <c r="Z56" s="2">
        <f t="shared" si="30"/>
        <v>3.5153599999999869</v>
      </c>
      <c r="AA56" s="2">
        <f t="shared" si="31"/>
        <v>7.9736400000000032</v>
      </c>
      <c r="AB56" s="2">
        <f t="shared" si="32"/>
        <v>0.30597615110105231</v>
      </c>
      <c r="AC56" s="2">
        <f t="shared" si="33"/>
        <v>0.69402384889894764</v>
      </c>
      <c r="AD56" s="2">
        <f t="shared" si="34"/>
        <v>0.28446588685084989</v>
      </c>
      <c r="AE56" s="2">
        <f t="shared" si="35"/>
        <v>8.7039777178170505E-2</v>
      </c>
      <c r="AF56" s="2">
        <f t="shared" si="36"/>
        <v>11.48899999999999</v>
      </c>
      <c r="AG56" s="13">
        <v>16</v>
      </c>
      <c r="AH56">
        <f t="shared" ref="AH56:AH85" si="37">AG56/Z56</f>
        <v>4.5514541896135983</v>
      </c>
    </row>
    <row r="57" spans="6:34" x14ac:dyDescent="0.35">
      <c r="F57" s="13">
        <v>111.1554</v>
      </c>
      <c r="G57">
        <v>113.465</v>
      </c>
      <c r="H57" s="2">
        <f t="shared" si="22"/>
        <v>2.3096000000000032</v>
      </c>
      <c r="I57" s="2">
        <f t="shared" si="23"/>
        <v>6.2260599999999897</v>
      </c>
      <c r="J57" s="2">
        <f t="shared" si="24"/>
        <v>0.27058247399732477</v>
      </c>
      <c r="K57" s="2">
        <f t="shared" si="25"/>
        <v>0.72941752600267529</v>
      </c>
      <c r="L57" s="2">
        <f t="shared" si="26"/>
        <v>0.43297540699688197</v>
      </c>
      <c r="M57" s="2">
        <f t="shared" si="27"/>
        <v>0.11715555680521493</v>
      </c>
      <c r="N57" s="2">
        <f t="shared" si="28"/>
        <v>8.5356599999999929</v>
      </c>
      <c r="O57">
        <v>15</v>
      </c>
      <c r="P57">
        <f t="shared" si="29"/>
        <v>6.4946311049532293</v>
      </c>
      <c r="X57" s="13">
        <v>84.415999999999997</v>
      </c>
      <c r="Y57">
        <v>88.925970000000007</v>
      </c>
      <c r="Z57" s="2">
        <f t="shared" si="30"/>
        <v>4.5099700000000098</v>
      </c>
      <c r="AA57" s="2">
        <f t="shared" si="31"/>
        <v>7.938839999999999</v>
      </c>
      <c r="AB57" s="2">
        <f t="shared" si="32"/>
        <v>0.3622812140276867</v>
      </c>
      <c r="AC57" s="2">
        <f t="shared" si="33"/>
        <v>0.63771878597231324</v>
      </c>
      <c r="AD57" s="2">
        <f t="shared" si="34"/>
        <v>0.22173096495098588</v>
      </c>
      <c r="AE57" s="2">
        <f t="shared" si="35"/>
        <v>8.0328963169973622E-2</v>
      </c>
      <c r="AF57" s="2">
        <f t="shared" si="36"/>
        <v>12.448810000000009</v>
      </c>
      <c r="AG57">
        <v>25</v>
      </c>
      <c r="AH57">
        <f t="shared" si="37"/>
        <v>5.5432741237746468</v>
      </c>
    </row>
    <row r="58" spans="6:34" x14ac:dyDescent="0.35">
      <c r="F58" s="13">
        <v>119.69105999999999</v>
      </c>
      <c r="G58">
        <v>121.93138999999999</v>
      </c>
      <c r="H58" s="2">
        <f t="shared" si="22"/>
        <v>2.2403300000000002</v>
      </c>
      <c r="I58" s="2">
        <f t="shared" si="23"/>
        <v>9.1851400000000183</v>
      </c>
      <c r="J58" s="2">
        <f t="shared" si="24"/>
        <v>0.19608208677629863</v>
      </c>
      <c r="K58" s="2">
        <f t="shared" si="25"/>
        <v>0.80391791322370143</v>
      </c>
      <c r="L58" s="2">
        <f t="shared" si="26"/>
        <v>0.44636281262135485</v>
      </c>
      <c r="M58" s="2">
        <f t="shared" si="27"/>
        <v>8.752375175813322E-2</v>
      </c>
      <c r="N58" s="2">
        <f t="shared" si="28"/>
        <v>11.425470000000018</v>
      </c>
      <c r="O58">
        <v>11</v>
      </c>
      <c r="P58">
        <f t="shared" si="29"/>
        <v>4.9099909388349037</v>
      </c>
      <c r="X58" s="13">
        <v>96.864810000000006</v>
      </c>
      <c r="Y58">
        <v>102.65394000000001</v>
      </c>
      <c r="Z58" s="2">
        <f t="shared" si="30"/>
        <v>5.7891300000000001</v>
      </c>
      <c r="AA58" s="2">
        <f t="shared" si="31"/>
        <v>8.757639999999995</v>
      </c>
      <c r="AB58" s="2">
        <f t="shared" si="32"/>
        <v>0.39796669638689564</v>
      </c>
      <c r="AC58" s="2">
        <f t="shared" si="33"/>
        <v>0.60203330361310436</v>
      </c>
      <c r="AD58" s="2">
        <f t="shared" si="34"/>
        <v>0.17273752705501516</v>
      </c>
      <c r="AE58" s="2">
        <f t="shared" si="35"/>
        <v>6.8743782984126395E-2</v>
      </c>
      <c r="AF58" s="2">
        <f t="shared" si="36"/>
        <v>14.546769999999995</v>
      </c>
      <c r="AG58">
        <v>27</v>
      </c>
      <c r="AH58">
        <f t="shared" si="37"/>
        <v>4.6639132304854094</v>
      </c>
    </row>
    <row r="59" spans="6:34" x14ac:dyDescent="0.35">
      <c r="F59" s="13">
        <v>131.11653000000001</v>
      </c>
      <c r="G59">
        <v>133.49618000000001</v>
      </c>
      <c r="H59" s="2">
        <f t="shared" si="22"/>
        <v>2.379649999999998</v>
      </c>
      <c r="I59" s="2">
        <f t="shared" si="23"/>
        <v>7.1056299999999908</v>
      </c>
      <c r="J59" s="2">
        <f t="shared" si="24"/>
        <v>0.2508782028574803</v>
      </c>
      <c r="K59" s="2">
        <f t="shared" si="25"/>
        <v>0.7491217971425197</v>
      </c>
      <c r="L59" s="2">
        <f t="shared" si="26"/>
        <v>0.42022986573655824</v>
      </c>
      <c r="M59" s="2">
        <f t="shared" si="27"/>
        <v>0.10542651350302798</v>
      </c>
      <c r="N59" s="2">
        <f t="shared" si="28"/>
        <v>9.4852799999999888</v>
      </c>
      <c r="O59">
        <v>13</v>
      </c>
      <c r="P59">
        <f t="shared" si="29"/>
        <v>5.4629882545752571</v>
      </c>
      <c r="X59" s="13">
        <v>111.41158</v>
      </c>
      <c r="Y59">
        <v>116.80737999999999</v>
      </c>
      <c r="Z59" s="2">
        <f t="shared" si="30"/>
        <v>5.3957999999999942</v>
      </c>
      <c r="AA59" s="2">
        <f t="shared" si="31"/>
        <v>7.9876800000000117</v>
      </c>
      <c r="AB59" s="2">
        <f t="shared" si="32"/>
        <v>0.40316868258479799</v>
      </c>
      <c r="AC59" s="2">
        <f t="shared" si="33"/>
        <v>0.59683131741520201</v>
      </c>
      <c r="AD59" s="2">
        <f t="shared" si="34"/>
        <v>0.18532933021980078</v>
      </c>
      <c r="AE59" s="2">
        <f t="shared" si="35"/>
        <v>7.4718981909040069E-2</v>
      </c>
      <c r="AF59" s="2">
        <f t="shared" si="36"/>
        <v>13.383480000000006</v>
      </c>
      <c r="AG59">
        <v>29</v>
      </c>
      <c r="AH59">
        <f t="shared" si="37"/>
        <v>5.3745505763742232</v>
      </c>
    </row>
    <row r="60" spans="6:34" x14ac:dyDescent="0.35">
      <c r="F60" s="13">
        <v>140.60181</v>
      </c>
      <c r="G60">
        <v>143.83135999999999</v>
      </c>
      <c r="H60" s="2">
        <f t="shared" si="22"/>
        <v>3.229549999999989</v>
      </c>
      <c r="I60" s="2">
        <f t="shared" si="23"/>
        <v>8.3574800000000096</v>
      </c>
      <c r="J60" s="2">
        <f t="shared" si="24"/>
        <v>0.27872112180601838</v>
      </c>
      <c r="K60" s="2">
        <f t="shared" si="25"/>
        <v>0.72127887819398162</v>
      </c>
      <c r="L60" s="2">
        <f t="shared" si="26"/>
        <v>0.30964066201173646</v>
      </c>
      <c r="M60" s="2">
        <f t="shared" si="27"/>
        <v>8.6303392672669371E-2</v>
      </c>
      <c r="N60" s="2">
        <f t="shared" si="28"/>
        <v>11.587029999999999</v>
      </c>
      <c r="O60">
        <v>15</v>
      </c>
      <c r="P60">
        <f t="shared" si="29"/>
        <v>4.6446099301760464</v>
      </c>
      <c r="X60" s="13">
        <v>124.79506000000001</v>
      </c>
      <c r="Y60">
        <v>130.17991000000001</v>
      </c>
      <c r="Z60" s="2">
        <f t="shared" si="30"/>
        <v>5.3848500000000001</v>
      </c>
      <c r="AA60" s="2">
        <f t="shared" si="31"/>
        <v>10.030270000000002</v>
      </c>
      <c r="AB60" s="2">
        <f t="shared" si="32"/>
        <v>0.3493226131227003</v>
      </c>
      <c r="AC60" s="2">
        <f t="shared" si="33"/>
        <v>0.6506773868772997</v>
      </c>
      <c r="AD60" s="2">
        <f t="shared" si="34"/>
        <v>0.18570619423010853</v>
      </c>
      <c r="AE60" s="2">
        <f t="shared" si="35"/>
        <v>6.4871373041533245E-2</v>
      </c>
      <c r="AF60" s="2">
        <f t="shared" si="36"/>
        <v>15.415120000000002</v>
      </c>
      <c r="AG60">
        <v>27</v>
      </c>
      <c r="AH60">
        <f t="shared" si="37"/>
        <v>5.0140672442129306</v>
      </c>
    </row>
    <row r="61" spans="6:34" x14ac:dyDescent="0.35">
      <c r="F61" s="13">
        <v>152.18884</v>
      </c>
      <c r="G61">
        <v>154.56467000000001</v>
      </c>
      <c r="H61" s="2">
        <f t="shared" si="22"/>
        <v>2.3758300000000077</v>
      </c>
      <c r="I61" s="2">
        <f t="shared" si="23"/>
        <v>8.1954700000000003</v>
      </c>
      <c r="J61" s="2">
        <f t="shared" si="24"/>
        <v>0.22474340904146187</v>
      </c>
      <c r="K61" s="2">
        <f t="shared" si="25"/>
        <v>0.77525659095853816</v>
      </c>
      <c r="L61" s="2">
        <f t="shared" si="26"/>
        <v>0.4209055361705159</v>
      </c>
      <c r="M61" s="2">
        <f t="shared" si="27"/>
        <v>9.4595745083386085E-2</v>
      </c>
      <c r="N61" s="2">
        <f t="shared" si="28"/>
        <v>10.571300000000008</v>
      </c>
      <c r="O61">
        <v>13</v>
      </c>
      <c r="P61">
        <f t="shared" si="29"/>
        <v>5.4717719702167065</v>
      </c>
      <c r="X61">
        <v>140.21018000000001</v>
      </c>
      <c r="Y61">
        <v>145.80597</v>
      </c>
      <c r="Z61" s="2">
        <f t="shared" si="30"/>
        <v>5.5957899999999938</v>
      </c>
      <c r="AA61" s="2">
        <f t="shared" si="31"/>
        <v>8.9187000000000012</v>
      </c>
      <c r="AB61" s="2">
        <f t="shared" si="32"/>
        <v>0.38553128632146194</v>
      </c>
      <c r="AC61" s="2">
        <f t="shared" si="33"/>
        <v>0.61446871367853806</v>
      </c>
      <c r="AD61" s="2">
        <f t="shared" si="34"/>
        <v>0.17870577702165397</v>
      </c>
      <c r="AE61" s="2">
        <f t="shared" si="35"/>
        <v>6.8896668088234608E-2</v>
      </c>
      <c r="AF61" s="2">
        <f t="shared" si="36"/>
        <v>14.514489999999995</v>
      </c>
      <c r="AG61">
        <v>30</v>
      </c>
      <c r="AH61">
        <f t="shared" si="37"/>
        <v>5.3611733106496189</v>
      </c>
    </row>
    <row r="62" spans="6:34" x14ac:dyDescent="0.35">
      <c r="F62">
        <v>162.76014000000001</v>
      </c>
      <c r="G62">
        <v>164.96511000000001</v>
      </c>
      <c r="H62" s="2">
        <f t="shared" si="22"/>
        <v>2.204970000000003</v>
      </c>
      <c r="I62" s="2">
        <f t="shared" si="23"/>
        <v>9.3648999999999774</v>
      </c>
      <c r="J62" s="2">
        <f t="shared" si="24"/>
        <v>0.19057863225775282</v>
      </c>
      <c r="K62" s="2">
        <f t="shared" si="25"/>
        <v>0.80942136774224716</v>
      </c>
      <c r="L62" s="2">
        <f t="shared" si="26"/>
        <v>0.45352090958153563</v>
      </c>
      <c r="M62" s="2">
        <f t="shared" si="27"/>
        <v>8.6431394648341056E-2</v>
      </c>
      <c r="N62" s="2">
        <f t="shared" si="28"/>
        <v>11.56986999999998</v>
      </c>
      <c r="O62">
        <v>12</v>
      </c>
      <c r="P62">
        <f t="shared" si="29"/>
        <v>5.4422509149784277</v>
      </c>
      <c r="X62">
        <v>154.72467</v>
      </c>
      <c r="Y62">
        <v>160.00133</v>
      </c>
      <c r="Z62" s="2">
        <f t="shared" si="30"/>
        <v>5.2766599999999926</v>
      </c>
      <c r="AA62" s="2">
        <f t="shared" si="31"/>
        <v>7.1846999999999923</v>
      </c>
      <c r="AB62" s="2">
        <f t="shared" si="32"/>
        <v>0.4234417431163211</v>
      </c>
      <c r="AC62" s="2">
        <f t="shared" si="33"/>
        <v>0.5765582568836789</v>
      </c>
      <c r="AD62" s="2">
        <f t="shared" si="34"/>
        <v>0.18951382124298352</v>
      </c>
      <c r="AE62" s="2">
        <f t="shared" si="35"/>
        <v>8.0248062811763818E-2</v>
      </c>
      <c r="AF62" s="2">
        <f t="shared" si="36"/>
        <v>12.461359999999985</v>
      </c>
      <c r="AG62">
        <v>29</v>
      </c>
      <c r="AH62">
        <f t="shared" si="37"/>
        <v>5.4959008160465217</v>
      </c>
    </row>
    <row r="63" spans="6:34" x14ac:dyDescent="0.35">
      <c r="F63">
        <v>174.33000999999999</v>
      </c>
      <c r="G63">
        <v>176.76479</v>
      </c>
      <c r="H63" s="2">
        <f t="shared" si="22"/>
        <v>2.4347800000000177</v>
      </c>
      <c r="I63" s="2">
        <f t="shared" si="23"/>
        <v>7.1013999999999839</v>
      </c>
      <c r="J63" s="2">
        <f t="shared" si="24"/>
        <v>0.25532026450843182</v>
      </c>
      <c r="K63" s="2">
        <f t="shared" si="25"/>
        <v>0.74467973549156818</v>
      </c>
      <c r="L63" s="2">
        <f t="shared" si="26"/>
        <v>0.41071472576577461</v>
      </c>
      <c r="M63" s="2">
        <f t="shared" si="27"/>
        <v>0.10486379242002561</v>
      </c>
      <c r="N63" s="2">
        <f t="shared" si="28"/>
        <v>9.5361800000000017</v>
      </c>
      <c r="O63">
        <v>15</v>
      </c>
      <c r="P63">
        <f t="shared" si="29"/>
        <v>6.1607208864866196</v>
      </c>
      <c r="X63">
        <v>167.18602999999999</v>
      </c>
      <c r="Y63">
        <v>173.47526999999999</v>
      </c>
      <c r="Z63" s="2">
        <f t="shared" si="30"/>
        <v>6.2892400000000066</v>
      </c>
      <c r="AA63" s="2">
        <f t="shared" si="31"/>
        <v>8.1823300000000074</v>
      </c>
      <c r="AB63" s="2">
        <f t="shared" si="32"/>
        <v>0.43459279124517936</v>
      </c>
      <c r="AC63" s="2">
        <f t="shared" si="33"/>
        <v>0.56540720875482064</v>
      </c>
      <c r="AD63" s="2">
        <f t="shared" si="34"/>
        <v>0.15900172357868342</v>
      </c>
      <c r="AE63" s="2">
        <f t="shared" si="35"/>
        <v>6.9101002862854477E-2</v>
      </c>
      <c r="AF63" s="2">
        <f t="shared" si="36"/>
        <v>14.471570000000014</v>
      </c>
      <c r="AG63">
        <v>27</v>
      </c>
      <c r="AH63">
        <f t="shared" si="37"/>
        <v>4.2930465366244528</v>
      </c>
    </row>
    <row r="64" spans="6:34" x14ac:dyDescent="0.35">
      <c r="F64">
        <v>183.86618999999999</v>
      </c>
      <c r="G64">
        <v>186.27162000000001</v>
      </c>
      <c r="H64" s="2">
        <f t="shared" si="22"/>
        <v>2.4054300000000239</v>
      </c>
      <c r="I64" s="2">
        <f t="shared" si="23"/>
        <v>9.13248999999999</v>
      </c>
      <c r="J64" s="2">
        <f t="shared" si="24"/>
        <v>0.20848038467938945</v>
      </c>
      <c r="K64" s="2">
        <f t="shared" si="25"/>
        <v>0.79151961532061055</v>
      </c>
      <c r="L64" s="2">
        <f t="shared" si="26"/>
        <v>0.41572608639619113</v>
      </c>
      <c r="M64" s="2">
        <f t="shared" si="27"/>
        <v>8.6670734413135012E-2</v>
      </c>
      <c r="N64" s="2">
        <f t="shared" si="28"/>
        <v>11.537920000000014</v>
      </c>
      <c r="O64">
        <v>13</v>
      </c>
      <c r="P64">
        <f t="shared" si="29"/>
        <v>5.4044391231504845</v>
      </c>
      <c r="X64">
        <v>181.6576</v>
      </c>
      <c r="Y64">
        <v>186.94023000000001</v>
      </c>
      <c r="Z64" s="2">
        <f t="shared" si="30"/>
        <v>5.2826300000000117</v>
      </c>
      <c r="AA64" s="2">
        <f t="shared" si="31"/>
        <v>8.0990999999999929</v>
      </c>
      <c r="AB64" s="2">
        <f t="shared" si="32"/>
        <v>0.39476435408575794</v>
      </c>
      <c r="AC64" s="2">
        <f t="shared" si="33"/>
        <v>0.60523564591424206</v>
      </c>
      <c r="AD64" s="2">
        <f t="shared" si="34"/>
        <v>0.18929964809195376</v>
      </c>
      <c r="AE64" s="2">
        <f t="shared" si="35"/>
        <v>7.4728753307681417E-2</v>
      </c>
      <c r="AF64" s="2">
        <f t="shared" si="36"/>
        <v>13.381730000000005</v>
      </c>
      <c r="AG64">
        <v>27</v>
      </c>
      <c r="AH64">
        <f t="shared" si="37"/>
        <v>5.1110904984827519</v>
      </c>
    </row>
    <row r="65" spans="6:34" x14ac:dyDescent="0.35">
      <c r="F65">
        <v>195.40411</v>
      </c>
      <c r="G65">
        <v>197.95338000000001</v>
      </c>
      <c r="H65" s="2">
        <f t="shared" si="22"/>
        <v>2.549270000000007</v>
      </c>
      <c r="I65" s="2">
        <f t="shared" si="23"/>
        <v>4.8107799999999941</v>
      </c>
      <c r="J65" s="2">
        <f t="shared" si="24"/>
        <v>0.34636585349284404</v>
      </c>
      <c r="K65" s="2">
        <f t="shared" si="25"/>
        <v>0.65363414650715601</v>
      </c>
      <c r="L65" s="2">
        <f t="shared" si="26"/>
        <v>0.39226915940641721</v>
      </c>
      <c r="M65" s="2">
        <f t="shared" si="27"/>
        <v>0.13586864219672418</v>
      </c>
      <c r="N65" s="2">
        <f t="shared" si="28"/>
        <v>7.3600500000000011</v>
      </c>
      <c r="O65">
        <v>15</v>
      </c>
      <c r="P65">
        <f t="shared" si="29"/>
        <v>5.8840373910962587</v>
      </c>
      <c r="X65">
        <v>195.03933000000001</v>
      </c>
      <c r="Y65">
        <v>200.40475000000001</v>
      </c>
      <c r="Z65" s="2">
        <f t="shared" si="30"/>
        <v>5.3654200000000003</v>
      </c>
      <c r="AA65" s="2">
        <f t="shared" si="31"/>
        <v>9.9863200000000063</v>
      </c>
      <c r="AB65" s="2">
        <f t="shared" si="32"/>
        <v>0.34949914472235705</v>
      </c>
      <c r="AC65" s="2">
        <f t="shared" si="33"/>
        <v>0.6505008552776429</v>
      </c>
      <c r="AD65" s="2">
        <f t="shared" si="34"/>
        <v>0.1863786991512314</v>
      </c>
      <c r="AE65" s="2">
        <f t="shared" si="35"/>
        <v>6.5139195947820874E-2</v>
      </c>
      <c r="AF65" s="2">
        <f t="shared" si="36"/>
        <v>15.351740000000007</v>
      </c>
      <c r="AG65">
        <v>27</v>
      </c>
      <c r="AH65">
        <f t="shared" si="37"/>
        <v>5.0322248770832481</v>
      </c>
    </row>
    <row r="66" spans="6:34" x14ac:dyDescent="0.35">
      <c r="F66">
        <v>202.76416</v>
      </c>
      <c r="G66">
        <v>206.16139000000001</v>
      </c>
      <c r="H66" s="2">
        <f t="shared" si="22"/>
        <v>3.3972300000000075</v>
      </c>
      <c r="I66" s="2">
        <f t="shared" si="23"/>
        <v>11.517769999999985</v>
      </c>
      <c r="J66" s="2">
        <f t="shared" si="24"/>
        <v>0.22777271203486485</v>
      </c>
      <c r="K66" s="2">
        <f t="shared" si="25"/>
        <v>0.77222728796513518</v>
      </c>
      <c r="L66" s="2">
        <f t="shared" si="26"/>
        <v>0.29435746181447764</v>
      </c>
      <c r="M66" s="2">
        <f t="shared" si="27"/>
        <v>6.7046597385182732E-2</v>
      </c>
      <c r="N66" s="2">
        <f t="shared" si="28"/>
        <v>14.914999999999992</v>
      </c>
      <c r="O66">
        <v>19</v>
      </c>
      <c r="P66">
        <f t="shared" si="29"/>
        <v>5.5927917744750744</v>
      </c>
      <c r="X66">
        <v>210.39107000000001</v>
      </c>
      <c r="Y66">
        <v>215.85938999999999</v>
      </c>
      <c r="Z66" s="2">
        <f t="shared" si="30"/>
        <v>5.4683199999999772</v>
      </c>
      <c r="AA66" s="2">
        <f t="shared" si="31"/>
        <v>9.0144000000000233</v>
      </c>
      <c r="AB66" s="2">
        <f t="shared" si="32"/>
        <v>0.37757548305842942</v>
      </c>
      <c r="AC66" s="2">
        <f t="shared" si="33"/>
        <v>0.62242451694157053</v>
      </c>
      <c r="AD66" s="2">
        <f t="shared" si="34"/>
        <v>0.18287152178365643</v>
      </c>
      <c r="AE66" s="2">
        <f t="shared" si="35"/>
        <v>6.904780317509418E-2</v>
      </c>
      <c r="AF66" s="2">
        <f t="shared" si="36"/>
        <v>14.48272</v>
      </c>
      <c r="AG66">
        <v>29</v>
      </c>
      <c r="AH66">
        <f t="shared" si="37"/>
        <v>5.3032741317260363</v>
      </c>
    </row>
    <row r="67" spans="6:34" x14ac:dyDescent="0.35">
      <c r="F67">
        <v>217.67916</v>
      </c>
      <c r="G67">
        <v>219.97948</v>
      </c>
      <c r="H67" s="2">
        <f t="shared" si="22"/>
        <v>2.3003199999999993</v>
      </c>
      <c r="I67" s="2">
        <f t="shared" si="23"/>
        <v>9.3299499999999966</v>
      </c>
      <c r="J67" s="2">
        <f t="shared" si="24"/>
        <v>0.19778732565967944</v>
      </c>
      <c r="K67" s="2">
        <f t="shared" si="25"/>
        <v>0.80221267434032051</v>
      </c>
      <c r="L67" s="2">
        <f t="shared" si="26"/>
        <v>0.43472212561730555</v>
      </c>
      <c r="M67" s="2">
        <f t="shared" si="27"/>
        <v>8.5982526630938097E-2</v>
      </c>
      <c r="N67" s="2">
        <f t="shared" si="28"/>
        <v>11.630269999999996</v>
      </c>
      <c r="O67">
        <v>15</v>
      </c>
      <c r="P67">
        <f t="shared" si="29"/>
        <v>6.5208318842595832</v>
      </c>
      <c r="X67">
        <v>224.87379000000001</v>
      </c>
      <c r="Y67">
        <v>230.13876999999999</v>
      </c>
      <c r="Z67" s="2">
        <f t="shared" si="30"/>
        <v>5.26497999999998</v>
      </c>
      <c r="AA67" s="2">
        <f t="shared" si="31"/>
        <v>8.099410000000006</v>
      </c>
      <c r="AB67" s="2">
        <f t="shared" si="32"/>
        <v>0.39395587827053724</v>
      </c>
      <c r="AC67" s="2">
        <f t="shared" si="33"/>
        <v>0.60604412172946276</v>
      </c>
      <c r="AD67" s="2">
        <f t="shared" si="34"/>
        <v>0.18993424476446327</v>
      </c>
      <c r="AE67" s="2">
        <f t="shared" si="35"/>
        <v>7.4825712209835318E-2</v>
      </c>
      <c r="AF67" s="2">
        <f t="shared" si="36"/>
        <v>13.364389999999986</v>
      </c>
      <c r="AG67">
        <v>27</v>
      </c>
      <c r="AH67">
        <f t="shared" si="37"/>
        <v>5.1282246086405081</v>
      </c>
    </row>
    <row r="68" spans="6:34" x14ac:dyDescent="0.35">
      <c r="F68">
        <v>229.30942999999999</v>
      </c>
      <c r="G68">
        <v>232.60117</v>
      </c>
      <c r="H68" s="2">
        <f t="shared" si="22"/>
        <v>3.2917400000000043</v>
      </c>
      <c r="I68" s="2"/>
      <c r="J68" s="2"/>
      <c r="K68" s="2"/>
      <c r="L68" s="2"/>
      <c r="M68" s="2"/>
      <c r="N68" s="2"/>
      <c r="X68">
        <v>238.23818</v>
      </c>
      <c r="Y68">
        <v>243.27918</v>
      </c>
      <c r="Z68" s="2">
        <f t="shared" si="30"/>
        <v>5.0409999999999968</v>
      </c>
      <c r="AA68" s="2">
        <f t="shared" si="31"/>
        <v>9.0695399999999893</v>
      </c>
      <c r="AB68" s="2">
        <f t="shared" si="32"/>
        <v>0.35725067927946075</v>
      </c>
      <c r="AC68" s="2">
        <f t="shared" si="33"/>
        <v>0.64274932072053925</v>
      </c>
      <c r="AD68" s="2">
        <f t="shared" si="34"/>
        <v>0.19837333862328915</v>
      </c>
      <c r="AE68" s="2">
        <f t="shared" si="35"/>
        <v>7.086900997410453E-2</v>
      </c>
      <c r="AF68" s="2">
        <f t="shared" si="36"/>
        <v>14.110539999999986</v>
      </c>
      <c r="AG68">
        <v>24</v>
      </c>
      <c r="AH68">
        <f t="shared" si="37"/>
        <v>4.7609601269589401</v>
      </c>
    </row>
    <row r="69" spans="6:34" x14ac:dyDescent="0.35">
      <c r="H69" s="2"/>
      <c r="I69" s="2"/>
      <c r="J69" s="2"/>
      <c r="K69" s="2"/>
      <c r="L69" s="2"/>
      <c r="M69" s="2"/>
      <c r="N69" s="2"/>
      <c r="X69">
        <v>252.34871999999999</v>
      </c>
      <c r="Y69">
        <v>257.90102999999999</v>
      </c>
      <c r="Z69" s="2">
        <f t="shared" si="30"/>
        <v>5.5523100000000056</v>
      </c>
      <c r="AA69" s="2">
        <f t="shared" si="31"/>
        <v>8.8730899999999906</v>
      </c>
      <c r="AB69" s="2">
        <f t="shared" si="32"/>
        <v>0.38489816573543939</v>
      </c>
      <c r="AC69" s="2">
        <f t="shared" si="33"/>
        <v>0.61510183426456067</v>
      </c>
      <c r="AD69" s="2">
        <f t="shared" si="34"/>
        <v>0.18010521746804464</v>
      </c>
      <c r="AE69" s="2">
        <f t="shared" si="35"/>
        <v>6.9322167842832794E-2</v>
      </c>
      <c r="AF69" s="2">
        <f t="shared" si="36"/>
        <v>14.425399999999996</v>
      </c>
      <c r="AG69">
        <v>29</v>
      </c>
      <c r="AH69">
        <f t="shared" si="37"/>
        <v>5.2230513065732946</v>
      </c>
    </row>
    <row r="70" spans="6:34" x14ac:dyDescent="0.35">
      <c r="H70" s="2"/>
      <c r="I70" s="2"/>
      <c r="J70" s="2"/>
      <c r="K70" s="2"/>
      <c r="L70" s="2"/>
      <c r="M70" s="2"/>
      <c r="N70" s="2"/>
      <c r="X70">
        <v>266.77411999999998</v>
      </c>
      <c r="Y70">
        <v>272.04259000000002</v>
      </c>
      <c r="Z70" s="2">
        <f t="shared" si="30"/>
        <v>5.2684700000000362</v>
      </c>
      <c r="AA70" s="2">
        <f t="shared" si="31"/>
        <v>8.0806900000000041</v>
      </c>
      <c r="AB70" s="2">
        <f t="shared" si="32"/>
        <v>0.39466678053151061</v>
      </c>
      <c r="AC70" s="2">
        <f t="shared" si="33"/>
        <v>0.60533321946848939</v>
      </c>
      <c r="AD70" s="2">
        <f t="shared" si="34"/>
        <v>0.18980842635527831</v>
      </c>
      <c r="AE70" s="2">
        <f t="shared" si="35"/>
        <v>7.4911080547390027E-2</v>
      </c>
      <c r="AF70" s="2">
        <f t="shared" si="36"/>
        <v>13.34916000000004</v>
      </c>
      <c r="AG70">
        <v>27</v>
      </c>
      <c r="AH70">
        <f t="shared" si="37"/>
        <v>5.1248275115925148</v>
      </c>
    </row>
    <row r="71" spans="6:34" x14ac:dyDescent="0.35">
      <c r="H71" s="2"/>
      <c r="I71" s="2"/>
      <c r="J71" s="2"/>
      <c r="K71" s="2"/>
      <c r="L71" s="2"/>
      <c r="M71" s="2"/>
      <c r="N71" s="2"/>
      <c r="X71">
        <v>280.12328000000002</v>
      </c>
      <c r="Y71">
        <v>285.32684</v>
      </c>
      <c r="Z71" s="2">
        <f t="shared" si="30"/>
        <v>5.2035599999999818</v>
      </c>
      <c r="AA71" s="2">
        <f t="shared" si="31"/>
        <v>10.174329999999998</v>
      </c>
      <c r="AB71" s="2">
        <f t="shared" si="32"/>
        <v>0.33837932252083924</v>
      </c>
      <c r="AC71" s="2">
        <f t="shared" si="33"/>
        <v>0.66162067747916076</v>
      </c>
      <c r="AD71" s="2">
        <f t="shared" si="34"/>
        <v>0.19217612557556818</v>
      </c>
      <c r="AE71" s="2">
        <f t="shared" si="35"/>
        <v>6.502842717694049E-2</v>
      </c>
      <c r="AF71" s="2">
        <f t="shared" si="36"/>
        <v>15.377889999999979</v>
      </c>
      <c r="AG71">
        <v>27</v>
      </c>
      <c r="AH71">
        <f t="shared" si="37"/>
        <v>5.188755390540341</v>
      </c>
    </row>
    <row r="72" spans="6:34" x14ac:dyDescent="0.35">
      <c r="X72">
        <v>295.50117</v>
      </c>
      <c r="Y72">
        <v>300.89247</v>
      </c>
      <c r="Z72" s="2">
        <f t="shared" si="30"/>
        <v>5.3913000000000011</v>
      </c>
      <c r="AA72" s="2">
        <f t="shared" si="31"/>
        <v>8.0261199999999917</v>
      </c>
      <c r="AB72" s="2">
        <f t="shared" si="32"/>
        <v>0.40181346339311164</v>
      </c>
      <c r="AC72" s="2">
        <f t="shared" si="33"/>
        <v>0.59818653660688836</v>
      </c>
      <c r="AD72" s="2">
        <f t="shared" si="34"/>
        <v>0.18548402055162944</v>
      </c>
      <c r="AE72" s="2">
        <f t="shared" si="35"/>
        <v>7.4529976701929318E-2</v>
      </c>
      <c r="AF72" s="2">
        <f t="shared" si="36"/>
        <v>13.417419999999993</v>
      </c>
      <c r="AG72">
        <v>28</v>
      </c>
      <c r="AH72">
        <f t="shared" si="37"/>
        <v>5.193552575445624</v>
      </c>
    </row>
    <row r="73" spans="6:34" x14ac:dyDescent="0.35">
      <c r="X73">
        <v>308.91858999999999</v>
      </c>
      <c r="Y73">
        <v>314.22766999999999</v>
      </c>
      <c r="Z73" s="2">
        <f t="shared" si="30"/>
        <v>5.3090799999999945</v>
      </c>
      <c r="AA73" s="2">
        <f t="shared" si="31"/>
        <v>2.8763600000000338</v>
      </c>
      <c r="AB73" s="2">
        <f t="shared" si="32"/>
        <v>0.6486004417600002</v>
      </c>
      <c r="AC73" s="2">
        <f t="shared" si="33"/>
        <v>0.3513995582399998</v>
      </c>
      <c r="AD73" s="2">
        <f t="shared" si="34"/>
        <v>0.1883565514175716</v>
      </c>
      <c r="AE73" s="2">
        <f t="shared" si="35"/>
        <v>0.12216814245782713</v>
      </c>
      <c r="AF73" s="2">
        <f t="shared" si="36"/>
        <v>8.1854400000000282</v>
      </c>
      <c r="AG73">
        <v>23</v>
      </c>
      <c r="AH73">
        <f t="shared" si="37"/>
        <v>4.3322006826041468</v>
      </c>
    </row>
    <row r="74" spans="6:34" ht="16" thickBot="1" x14ac:dyDescent="0.4">
      <c r="G74" s="13"/>
      <c r="H74" s="9" t="s">
        <v>3</v>
      </c>
      <c r="I74" s="9" t="s">
        <v>4</v>
      </c>
      <c r="J74" s="9" t="s">
        <v>5</v>
      </c>
      <c r="K74" s="9" t="s">
        <v>6</v>
      </c>
      <c r="L74" s="9" t="s">
        <v>7</v>
      </c>
      <c r="M74" s="9" t="s">
        <v>8</v>
      </c>
      <c r="N74" s="9" t="s">
        <v>9</v>
      </c>
      <c r="O74" s="9" t="s">
        <v>10</v>
      </c>
      <c r="P74" s="44" t="s">
        <v>139</v>
      </c>
      <c r="X74">
        <v>317.10403000000002</v>
      </c>
      <c r="Y74">
        <v>320.37671</v>
      </c>
      <c r="Z74" s="2">
        <f t="shared" si="30"/>
        <v>3.2726799999999798</v>
      </c>
      <c r="AA74" s="2">
        <f t="shared" si="31"/>
        <v>8.9772100000000137</v>
      </c>
      <c r="AB74" s="2">
        <f t="shared" si="32"/>
        <v>0.26715995000771287</v>
      </c>
      <c r="AC74" s="2">
        <f t="shared" si="33"/>
        <v>0.73284004999228713</v>
      </c>
      <c r="AD74" s="2">
        <f t="shared" si="34"/>
        <v>0.30555996919955697</v>
      </c>
      <c r="AE74" s="2">
        <f t="shared" si="35"/>
        <v>8.1633386095711927E-2</v>
      </c>
      <c r="AF74" s="2">
        <f t="shared" si="36"/>
        <v>12.249889999999994</v>
      </c>
      <c r="AG74">
        <v>13</v>
      </c>
      <c r="AH74">
        <f t="shared" si="37"/>
        <v>3.9722795995942408</v>
      </c>
    </row>
    <row r="75" spans="6:34" x14ac:dyDescent="0.35">
      <c r="G75" s="49" t="s">
        <v>77</v>
      </c>
      <c r="H75" s="2">
        <f>AVERAGE(H50:H67)</f>
        <v>2.4568161111111149</v>
      </c>
      <c r="I75" s="2">
        <f t="shared" ref="I75:P75" si="38">AVERAGE(I50:I67)</f>
        <v>7.6537783333333289</v>
      </c>
      <c r="J75" s="2">
        <f t="shared" si="38"/>
        <v>0.24739014251610708</v>
      </c>
      <c r="K75" s="2">
        <f t="shared" si="38"/>
        <v>0.75260985748389286</v>
      </c>
      <c r="L75" s="2">
        <f t="shared" si="38"/>
        <v>0.41280323045171219</v>
      </c>
      <c r="M75" s="2">
        <f t="shared" si="38"/>
        <v>0.10167798580098061</v>
      </c>
      <c r="N75" s="2">
        <f t="shared" si="38"/>
        <v>10.110594444444445</v>
      </c>
      <c r="O75" s="2">
        <f t="shared" si="38"/>
        <v>13.444444444444445</v>
      </c>
      <c r="P75" s="2">
        <f t="shared" si="38"/>
        <v>5.4871112327991076</v>
      </c>
      <c r="X75">
        <v>329.35392000000002</v>
      </c>
      <c r="Y75">
        <v>334.68178999999998</v>
      </c>
      <c r="Z75" s="2">
        <f t="shared" si="30"/>
        <v>5.3278699999999617</v>
      </c>
      <c r="AA75" s="2">
        <f t="shared" si="31"/>
        <v>9.1148300000000404</v>
      </c>
      <c r="AB75" s="2">
        <f t="shared" si="32"/>
        <v>0.36889708987931347</v>
      </c>
      <c r="AC75" s="2">
        <f t="shared" si="33"/>
        <v>0.63110291012068653</v>
      </c>
      <c r="AD75" s="2">
        <f t="shared" si="34"/>
        <v>0.18769226726628224</v>
      </c>
      <c r="AE75" s="2">
        <f t="shared" si="35"/>
        <v>6.9239131187381855E-2</v>
      </c>
      <c r="AF75" s="2">
        <f t="shared" si="36"/>
        <v>14.442700000000002</v>
      </c>
      <c r="AG75">
        <v>27</v>
      </c>
      <c r="AH75">
        <f t="shared" si="37"/>
        <v>5.0676912161896208</v>
      </c>
    </row>
    <row r="76" spans="6:34" x14ac:dyDescent="0.35">
      <c r="G76" s="49" t="s">
        <v>94</v>
      </c>
      <c r="H76" s="2">
        <f>_xlfn.STDEV.S(H50:H67)</f>
        <v>0.33388918186479116</v>
      </c>
      <c r="I76" s="2">
        <f t="shared" ref="I76:P76" si="39">_xlfn.STDEV.S(I50:I67)</f>
        <v>1.6361218790004985</v>
      </c>
      <c r="J76" s="2">
        <f t="shared" si="39"/>
        <v>3.8785411644609254E-2</v>
      </c>
      <c r="K76" s="2">
        <f t="shared" si="39"/>
        <v>3.8785411644609129E-2</v>
      </c>
      <c r="L76" s="2">
        <f t="shared" si="39"/>
        <v>4.5290805968905848E-2</v>
      </c>
      <c r="M76" s="2">
        <f t="shared" si="39"/>
        <v>1.6876134566631208E-2</v>
      </c>
      <c r="N76" s="2">
        <f t="shared" si="39"/>
        <v>1.8008808246006618</v>
      </c>
      <c r="O76" s="2">
        <f t="shared" si="39"/>
        <v>2.0065253028181993</v>
      </c>
      <c r="P76" s="2">
        <f t="shared" si="39"/>
        <v>0.56957412129092744</v>
      </c>
      <c r="X76">
        <v>343.79662000000002</v>
      </c>
      <c r="Y76">
        <v>349.08609999999999</v>
      </c>
      <c r="Z76" s="2">
        <f t="shared" si="30"/>
        <v>5.2894799999999691</v>
      </c>
      <c r="AA76" s="2">
        <f t="shared" si="31"/>
        <v>9.0417600000000107</v>
      </c>
      <c r="AB76" s="2">
        <f t="shared" si="32"/>
        <v>0.36908739229822241</v>
      </c>
      <c r="AC76" s="2">
        <f t="shared" si="33"/>
        <v>0.63091260770177759</v>
      </c>
      <c r="AD76" s="2">
        <f t="shared" si="34"/>
        <v>0.18905450063144313</v>
      </c>
      <c r="AE76" s="2">
        <f t="shared" si="35"/>
        <v>6.9777632640301984E-2</v>
      </c>
      <c r="AF76" s="2">
        <f t="shared" si="36"/>
        <v>14.33123999999998</v>
      </c>
      <c r="AG76">
        <v>27</v>
      </c>
      <c r="AH76">
        <f t="shared" si="37"/>
        <v>5.1044715170489647</v>
      </c>
    </row>
    <row r="77" spans="6:34" x14ac:dyDescent="0.35">
      <c r="G77" s="49" t="s">
        <v>95</v>
      </c>
      <c r="H77" s="2">
        <f>H76/SQRT(COUNT(H50:H67))</f>
        <v>7.8698434887140761E-2</v>
      </c>
      <c r="I77" s="2">
        <f t="shared" ref="I77:P77" si="40">I76/SQRT(COUNT(I50:I67))</f>
        <v>0.38563762516297623</v>
      </c>
      <c r="J77" s="2">
        <f t="shared" si="40"/>
        <v>9.1418091950049643E-3</v>
      </c>
      <c r="K77" s="2">
        <f t="shared" si="40"/>
        <v>9.1418091950049348E-3</v>
      </c>
      <c r="L77" s="2">
        <f t="shared" si="40"/>
        <v>1.067514534200583E-2</v>
      </c>
      <c r="M77" s="2">
        <f t="shared" si="40"/>
        <v>3.9777430640938749E-3</v>
      </c>
      <c r="N77" s="2">
        <f t="shared" si="40"/>
        <v>0.4244716810613165</v>
      </c>
      <c r="O77" s="2">
        <f t="shared" si="40"/>
        <v>0.47294254941504654</v>
      </c>
      <c r="P77" s="2">
        <f t="shared" si="40"/>
        <v>0.13424990785106131</v>
      </c>
      <c r="X77">
        <v>358.12786</v>
      </c>
      <c r="Y77">
        <v>362.36381999999998</v>
      </c>
      <c r="Z77" s="2">
        <f t="shared" si="30"/>
        <v>4.2359599999999773</v>
      </c>
      <c r="AA77" s="2">
        <f t="shared" si="31"/>
        <v>4.5346300000000497</v>
      </c>
      <c r="AB77" s="2">
        <f t="shared" si="32"/>
        <v>0.48297320932798871</v>
      </c>
      <c r="AC77" s="2">
        <f t="shared" si="33"/>
        <v>0.51702679067201129</v>
      </c>
      <c r="AD77" s="2">
        <f t="shared" si="34"/>
        <v>0.23607399503300441</v>
      </c>
      <c r="AE77" s="2">
        <f t="shared" si="35"/>
        <v>0.1140174150199698</v>
      </c>
      <c r="AF77" s="2">
        <f t="shared" si="36"/>
        <v>8.770590000000027</v>
      </c>
      <c r="AG77">
        <v>22</v>
      </c>
      <c r="AH77">
        <f>AG77/Z77</f>
        <v>5.1936278907260967</v>
      </c>
    </row>
    <row r="78" spans="6:34" x14ac:dyDescent="0.35">
      <c r="X78">
        <v>366.89845000000003</v>
      </c>
      <c r="Y78">
        <v>370.45911000000001</v>
      </c>
      <c r="Z78" s="2">
        <f t="shared" si="30"/>
        <v>3.5606599999999844</v>
      </c>
      <c r="AA78" s="2">
        <f t="shared" si="31"/>
        <v>8.7090299999999843</v>
      </c>
      <c r="AB78" s="2">
        <f t="shared" si="32"/>
        <v>0.2901996708963302</v>
      </c>
      <c r="AC78" s="2">
        <f t="shared" si="33"/>
        <v>0.70980032910366986</v>
      </c>
      <c r="AD78" s="2">
        <f t="shared" si="34"/>
        <v>0.28084680929940076</v>
      </c>
      <c r="AE78" s="2">
        <f t="shared" si="35"/>
        <v>8.1501651630970506E-2</v>
      </c>
      <c r="AF78" s="2">
        <f t="shared" si="36"/>
        <v>12.269689999999969</v>
      </c>
      <c r="AG78">
        <v>18</v>
      </c>
      <c r="AH78">
        <f t="shared" si="37"/>
        <v>5.0552425673892136</v>
      </c>
    </row>
    <row r="79" spans="6:34" x14ac:dyDescent="0.35">
      <c r="X79">
        <v>379.16813999999999</v>
      </c>
      <c r="Y79">
        <v>383.58859000000001</v>
      </c>
      <c r="Z79" s="2">
        <f t="shared" si="30"/>
        <v>4.4204500000000166</v>
      </c>
      <c r="AA79" s="2">
        <f t="shared" si="31"/>
        <v>8.9569399999999746</v>
      </c>
      <c r="AB79" s="2">
        <f t="shared" si="32"/>
        <v>0.33044188739358121</v>
      </c>
      <c r="AC79" s="2">
        <f t="shared" si="33"/>
        <v>0.66955811260641873</v>
      </c>
      <c r="AD79" s="2">
        <f t="shared" si="34"/>
        <v>0.22622131230983186</v>
      </c>
      <c r="AE79" s="2">
        <f t="shared" si="35"/>
        <v>7.4752997408313634E-2</v>
      </c>
      <c r="AF79" s="2">
        <f t="shared" si="36"/>
        <v>13.377389999999991</v>
      </c>
      <c r="AG79">
        <v>25</v>
      </c>
      <c r="AH79">
        <f t="shared" si="37"/>
        <v>5.6555328077457965</v>
      </c>
    </row>
    <row r="80" spans="6:34" x14ac:dyDescent="0.35">
      <c r="X80">
        <v>392.54552999999999</v>
      </c>
      <c r="Y80">
        <v>397.22935000000001</v>
      </c>
      <c r="Z80" s="2">
        <f t="shared" si="30"/>
        <v>4.6838200000000256</v>
      </c>
      <c r="AA80" s="2">
        <f t="shared" si="31"/>
        <v>9.6386699999999905</v>
      </c>
      <c r="AB80" s="2">
        <f t="shared" si="32"/>
        <v>0.32702553815712354</v>
      </c>
      <c r="AC80" s="2">
        <f t="shared" si="33"/>
        <v>0.67297446184287646</v>
      </c>
      <c r="AD80" s="2">
        <f t="shared" si="34"/>
        <v>0.21350094580918877</v>
      </c>
      <c r="AE80" s="2">
        <f t="shared" si="35"/>
        <v>6.9820261700304823E-2</v>
      </c>
      <c r="AF80" s="2">
        <f t="shared" si="36"/>
        <v>14.322490000000016</v>
      </c>
      <c r="AG80">
        <v>25</v>
      </c>
      <c r="AH80">
        <f t="shared" si="37"/>
        <v>5.3375236452297194</v>
      </c>
    </row>
    <row r="81" spans="24:34" x14ac:dyDescent="0.35">
      <c r="X81">
        <v>406.86802</v>
      </c>
      <c r="Y81">
        <v>411.31385999999998</v>
      </c>
      <c r="Z81" s="2">
        <f t="shared" si="30"/>
        <v>4.4458399999999756</v>
      </c>
      <c r="AA81" s="2">
        <f t="shared" si="31"/>
        <v>8.901520000000005</v>
      </c>
      <c r="AB81" s="2">
        <f t="shared" si="32"/>
        <v>0.33308759185336889</v>
      </c>
      <c r="AC81" s="2">
        <f t="shared" si="33"/>
        <v>0.66691240814663111</v>
      </c>
      <c r="AD81" s="2">
        <f t="shared" si="34"/>
        <v>0.22492937217713763</v>
      </c>
      <c r="AE81" s="2">
        <f t="shared" si="35"/>
        <v>7.4921182915572926E-2</v>
      </c>
      <c r="AF81" s="2">
        <f t="shared" si="36"/>
        <v>13.347359999999981</v>
      </c>
      <c r="AG81">
        <v>26</v>
      </c>
      <c r="AH81">
        <f t="shared" si="37"/>
        <v>5.8481636766055782</v>
      </c>
    </row>
    <row r="82" spans="24:34" x14ac:dyDescent="0.35">
      <c r="X82">
        <v>420.21537999999998</v>
      </c>
      <c r="Y82">
        <v>426.41027000000003</v>
      </c>
      <c r="Z82" s="2">
        <f t="shared" si="30"/>
        <v>6.1948900000000435</v>
      </c>
      <c r="AA82" s="2">
        <f t="shared" si="31"/>
        <v>10.117429999999956</v>
      </c>
      <c r="AB82" s="2">
        <f t="shared" si="32"/>
        <v>0.3797675621861295</v>
      </c>
      <c r="AC82" s="2">
        <f t="shared" si="33"/>
        <v>0.6202324378138705</v>
      </c>
      <c r="AD82" s="2">
        <f t="shared" si="34"/>
        <v>0.16142336667801899</v>
      </c>
      <c r="AE82" s="2">
        <f t="shared" si="35"/>
        <v>6.1303358443188953E-2</v>
      </c>
      <c r="AF82" s="2">
        <f t="shared" si="36"/>
        <v>16.31232</v>
      </c>
      <c r="AG82">
        <v>31</v>
      </c>
      <c r="AH82">
        <f t="shared" si="37"/>
        <v>5.004124367018588</v>
      </c>
    </row>
    <row r="83" spans="24:34" x14ac:dyDescent="0.35">
      <c r="X83">
        <v>436.52769999999998</v>
      </c>
      <c r="Y83">
        <v>441.07324</v>
      </c>
      <c r="Z83" s="2">
        <f t="shared" si="30"/>
        <v>4.5455400000000168</v>
      </c>
      <c r="AA83" s="2">
        <f t="shared" si="31"/>
        <v>7.8566099999999892</v>
      </c>
      <c r="AB83" s="2">
        <f t="shared" si="32"/>
        <v>0.36651225795527503</v>
      </c>
      <c r="AC83" s="2">
        <f t="shared" si="33"/>
        <v>0.63348774204472491</v>
      </c>
      <c r="AD83" s="2">
        <f t="shared" si="34"/>
        <v>0.21999586407775454</v>
      </c>
      <c r="AE83" s="2">
        <f t="shared" si="35"/>
        <v>8.0631180883959597E-2</v>
      </c>
      <c r="AF83" s="2">
        <f t="shared" si="36"/>
        <v>12.402150000000006</v>
      </c>
      <c r="AG83">
        <v>25</v>
      </c>
      <c r="AH83">
        <f t="shared" si="37"/>
        <v>5.4998966019438633</v>
      </c>
    </row>
    <row r="84" spans="24:34" x14ac:dyDescent="0.35">
      <c r="X84">
        <v>448.92984999999999</v>
      </c>
      <c r="Y84">
        <v>454.31446</v>
      </c>
      <c r="Z84" s="2">
        <f t="shared" si="30"/>
        <v>5.3846100000000092</v>
      </c>
      <c r="AA84" s="2">
        <f t="shared" si="31"/>
        <v>9.9415000000000191</v>
      </c>
      <c r="AB84" s="2">
        <f t="shared" si="32"/>
        <v>0.35133572706968691</v>
      </c>
      <c r="AC84" s="2">
        <f t="shared" si="33"/>
        <v>0.64866427293031304</v>
      </c>
      <c r="AD84" s="2">
        <f t="shared" si="34"/>
        <v>0.18571447142875683</v>
      </c>
      <c r="AE84" s="2">
        <f t="shared" si="35"/>
        <v>6.5248128846784881E-2</v>
      </c>
      <c r="AF84" s="2">
        <f t="shared" si="36"/>
        <v>15.326110000000028</v>
      </c>
      <c r="AG84">
        <v>27</v>
      </c>
      <c r="AH84">
        <f t="shared" si="37"/>
        <v>5.0142907285764347</v>
      </c>
    </row>
    <row r="85" spans="24:34" x14ac:dyDescent="0.35">
      <c r="X85">
        <v>464.25596000000002</v>
      </c>
      <c r="Y85">
        <v>469.51136000000002</v>
      </c>
      <c r="Z85" s="2">
        <f t="shared" si="30"/>
        <v>5.2554000000000087</v>
      </c>
      <c r="AA85" s="2">
        <f t="shared" si="31"/>
        <v>9.1477899999999863</v>
      </c>
      <c r="AB85" s="2">
        <f t="shared" si="32"/>
        <v>0.36487750283097081</v>
      </c>
      <c r="AC85" s="2">
        <f t="shared" si="33"/>
        <v>0.63512249716902913</v>
      </c>
      <c r="AD85" s="2">
        <f t="shared" si="34"/>
        <v>0.19028047341781754</v>
      </c>
      <c r="AE85" s="2">
        <f t="shared" si="35"/>
        <v>6.9429063978188182E-2</v>
      </c>
      <c r="AF85" s="2">
        <f t="shared" si="36"/>
        <v>14.403189999999995</v>
      </c>
      <c r="AG85">
        <v>28</v>
      </c>
      <c r="AH85">
        <f t="shared" si="37"/>
        <v>5.3278532556988916</v>
      </c>
    </row>
    <row r="86" spans="24:34" x14ac:dyDescent="0.35">
      <c r="X86">
        <v>478.65915000000001</v>
      </c>
      <c r="Y86">
        <v>479.88195000000002</v>
      </c>
      <c r="Z86" s="2">
        <f>Y86-X86</f>
        <v>1.2228000000000065</v>
      </c>
      <c r="AA86" s="2"/>
      <c r="AB86" s="2"/>
      <c r="AC86" s="2"/>
      <c r="AD86" s="2"/>
      <c r="AE86" s="2"/>
      <c r="AF86" s="2"/>
    </row>
    <row r="87" spans="24:34" x14ac:dyDescent="0.35">
      <c r="Z87" s="2"/>
      <c r="AA87" s="2"/>
      <c r="AB87" s="2"/>
      <c r="AC87" s="2"/>
      <c r="AD87" s="2"/>
      <c r="AE87" s="2"/>
      <c r="AF87" s="2"/>
    </row>
    <row r="88" spans="24:34" x14ac:dyDescent="0.35">
      <c r="Z88" s="2"/>
      <c r="AA88" s="2"/>
      <c r="AB88" s="2"/>
      <c r="AC88" s="2"/>
      <c r="AD88" s="2"/>
      <c r="AE88" s="2"/>
      <c r="AF88" s="2"/>
    </row>
    <row r="90" spans="24:34" ht="16" thickBot="1" x14ac:dyDescent="0.4">
      <c r="Y90" s="13"/>
      <c r="Z90" s="9" t="s">
        <v>3</v>
      </c>
      <c r="AA90" s="9" t="s">
        <v>4</v>
      </c>
      <c r="AB90" s="9" t="s">
        <v>5</v>
      </c>
      <c r="AC90" s="9" t="s">
        <v>6</v>
      </c>
      <c r="AD90" s="9" t="s">
        <v>7</v>
      </c>
      <c r="AE90" s="9" t="s">
        <v>8</v>
      </c>
      <c r="AF90" s="9" t="s">
        <v>9</v>
      </c>
      <c r="AG90" s="9" t="s">
        <v>10</v>
      </c>
      <c r="AH90" s="44" t="s">
        <v>139</v>
      </c>
    </row>
    <row r="91" spans="24:34" x14ac:dyDescent="0.35">
      <c r="Y91" s="49" t="s">
        <v>77</v>
      </c>
      <c r="Z91" s="2">
        <f>AVERAGE(Z51:Z85)</f>
        <v>5.1161111428571413</v>
      </c>
      <c r="AA91" s="2">
        <f t="shared" ref="AA91:AH91" si="41">AVERAGE(AA51:AA85)</f>
        <v>8.426204571428574</v>
      </c>
      <c r="AB91" s="2">
        <f t="shared" si="41"/>
        <v>0.3824701951168889</v>
      </c>
      <c r="AC91" s="2">
        <f t="shared" si="41"/>
        <v>0.61752980488311093</v>
      </c>
      <c r="AD91" s="2">
        <f t="shared" si="41"/>
        <v>0.20001667119333355</v>
      </c>
      <c r="AE91" s="2">
        <f t="shared" si="41"/>
        <v>7.5478038157051605E-2</v>
      </c>
      <c r="AF91" s="2">
        <f t="shared" si="41"/>
        <v>13.542315714285714</v>
      </c>
      <c r="AG91" s="2">
        <f t="shared" si="41"/>
        <v>26.057142857142857</v>
      </c>
      <c r="AH91" s="2">
        <f t="shared" si="41"/>
        <v>5.0968586482593183</v>
      </c>
    </row>
    <row r="92" spans="24:34" x14ac:dyDescent="0.35">
      <c r="Y92" s="49" t="s">
        <v>94</v>
      </c>
      <c r="Z92" s="2">
        <f>_xlfn.STDEV.S(Z51:Z85)</f>
        <v>0.72310445806614121</v>
      </c>
      <c r="AA92" s="2">
        <f t="shared" ref="AA92:AH92" si="42">_xlfn.STDEV.S(AA51:AA85)</f>
        <v>1.5638010522899595</v>
      </c>
      <c r="AB92" s="2">
        <f t="shared" si="42"/>
        <v>6.7469725102550629E-2</v>
      </c>
      <c r="AC92" s="2">
        <f t="shared" si="42"/>
        <v>6.7469725102552169E-2</v>
      </c>
      <c r="AD92" s="2">
        <f t="shared" si="42"/>
        <v>3.3890917197912505E-2</v>
      </c>
      <c r="AE92" s="2">
        <f t="shared" si="42"/>
        <v>1.2924088332935301E-2</v>
      </c>
      <c r="AF92" s="2">
        <f t="shared" si="42"/>
        <v>1.8080286098193163</v>
      </c>
      <c r="AG92" s="2">
        <f t="shared" si="42"/>
        <v>3.8420495230820717</v>
      </c>
      <c r="AH92" s="2">
        <f t="shared" si="42"/>
        <v>0.41861299479473429</v>
      </c>
    </row>
    <row r="93" spans="24:34" x14ac:dyDescent="0.35">
      <c r="Y93" s="49" t="s">
        <v>95</v>
      </c>
      <c r="Z93" s="2">
        <f>Z92/SQRT(35)</f>
        <v>0.12222696186955148</v>
      </c>
      <c r="AA93" s="2">
        <f t="shared" ref="AA93:AH93" si="43">AA92/SQRT(35)</f>
        <v>0.26433062257835815</v>
      </c>
      <c r="AB93" s="2">
        <f t="shared" si="43"/>
        <v>1.1404465047156812E-2</v>
      </c>
      <c r="AC93" s="2">
        <f t="shared" si="43"/>
        <v>1.1404465047157072E-2</v>
      </c>
      <c r="AD93" s="2">
        <f t="shared" si="43"/>
        <v>5.7286105732935215E-3</v>
      </c>
      <c r="AE93" s="2">
        <f t="shared" si="43"/>
        <v>2.1845696486134901E-3</v>
      </c>
      <c r="AF93" s="2">
        <f t="shared" si="43"/>
        <v>0.30561261445193605</v>
      </c>
      <c r="AG93" s="2">
        <f t="shared" si="43"/>
        <v>0.64942490026209621</v>
      </c>
      <c r="AH93" s="2">
        <f t="shared" si="43"/>
        <v>7.075851072708321E-2</v>
      </c>
    </row>
    <row r="100" spans="6:34" ht="18.5" x14ac:dyDescent="0.45">
      <c r="F100" s="1" t="s">
        <v>0</v>
      </c>
      <c r="G100" s="3"/>
      <c r="H100" s="3"/>
      <c r="I100" s="3"/>
      <c r="J100" s="3"/>
      <c r="K100" s="3"/>
      <c r="L100" s="3"/>
      <c r="M100" s="3"/>
      <c r="N100" s="3"/>
      <c r="O100" s="3"/>
      <c r="X100" s="1" t="s">
        <v>86</v>
      </c>
      <c r="Y100" s="3"/>
      <c r="Z100" s="3"/>
      <c r="AA100" s="3"/>
      <c r="AB100" s="3"/>
      <c r="AC100" s="3"/>
      <c r="AD100" s="3"/>
      <c r="AE100" s="3"/>
      <c r="AF100" s="3"/>
      <c r="AG100" s="3"/>
    </row>
    <row r="101" spans="6:34" ht="16" thickBot="1" x14ac:dyDescent="0.4">
      <c r="F101" s="9" t="s">
        <v>11</v>
      </c>
      <c r="G101" s="9" t="s">
        <v>12</v>
      </c>
      <c r="H101" s="9" t="s">
        <v>3</v>
      </c>
      <c r="I101" s="9" t="s">
        <v>4</v>
      </c>
      <c r="J101" s="9" t="s">
        <v>655</v>
      </c>
      <c r="K101" s="9" t="s">
        <v>654</v>
      </c>
      <c r="L101" s="9" t="s">
        <v>653</v>
      </c>
      <c r="M101" s="9" t="s">
        <v>8</v>
      </c>
      <c r="N101" s="9" t="s">
        <v>9</v>
      </c>
      <c r="O101" s="9" t="s">
        <v>10</v>
      </c>
      <c r="P101" s="44" t="s">
        <v>139</v>
      </c>
      <c r="X101" s="9" t="s">
        <v>11</v>
      </c>
      <c r="Y101" s="9" t="s">
        <v>12</v>
      </c>
      <c r="Z101" s="9" t="s">
        <v>3</v>
      </c>
      <c r="AA101" s="9" t="s">
        <v>4</v>
      </c>
      <c r="AB101" s="9" t="s">
        <v>655</v>
      </c>
      <c r="AC101" s="9" t="s">
        <v>654</v>
      </c>
      <c r="AD101" s="9" t="s">
        <v>653</v>
      </c>
      <c r="AE101" s="9" t="s">
        <v>8</v>
      </c>
      <c r="AF101" s="9" t="s">
        <v>9</v>
      </c>
      <c r="AG101" s="9" t="s">
        <v>10</v>
      </c>
      <c r="AH101" s="44" t="s">
        <v>139</v>
      </c>
    </row>
    <row r="102" spans="6:34" x14ac:dyDescent="0.35">
      <c r="F102">
        <v>19.911549999999998</v>
      </c>
      <c r="G102">
        <v>45.26444</v>
      </c>
      <c r="H102" s="2">
        <f>G102-F102</f>
        <v>25.352890000000002</v>
      </c>
      <c r="I102" s="2">
        <f t="shared" ref="I102:I113" si="44">F103-G102</f>
        <v>16.481319999999997</v>
      </c>
      <c r="J102" s="2">
        <f t="shared" ref="J102:J113" si="45">H102/N102</f>
        <v>0.60603247915999858</v>
      </c>
      <c r="K102" s="2">
        <f t="shared" ref="K102:K113" si="46">I102/N102</f>
        <v>0.39396752084000147</v>
      </c>
      <c r="L102" s="2">
        <f t="shared" ref="L102:L113" si="47">1/H102</f>
        <v>3.9443235071031348E-2</v>
      </c>
      <c r="M102" s="2">
        <f t="shared" ref="M102:M113" si="48">1/N102</f>
        <v>2.3903881536187728E-2</v>
      </c>
      <c r="N102" s="2">
        <f t="shared" ref="N102:N113" si="49">H102+I102</f>
        <v>41.834209999999999</v>
      </c>
      <c r="O102">
        <v>332</v>
      </c>
      <c r="P102">
        <f t="shared" ref="P102:P113" si="50">O102/H102</f>
        <v>13.095154043582408</v>
      </c>
      <c r="X102">
        <v>11.07132</v>
      </c>
      <c r="Y102">
        <v>20.09412</v>
      </c>
      <c r="Z102" s="2">
        <f>Y102-X102</f>
        <v>9.0228000000000002</v>
      </c>
      <c r="AA102" s="2">
        <f>X103-Y102</f>
        <v>6.6800099999999993</v>
      </c>
      <c r="AB102" s="2">
        <f>Z102/AF102</f>
        <v>0.57459779491696072</v>
      </c>
      <c r="AC102" s="2">
        <f>AA102/AF102</f>
        <v>0.42540220508303928</v>
      </c>
      <c r="AD102" s="2">
        <f>1/Z102</f>
        <v>0.11083034091412865</v>
      </c>
      <c r="AE102" s="2">
        <f>1/AF102</f>
        <v>6.3682869499153333E-2</v>
      </c>
      <c r="AF102" s="2">
        <f>Z102+AA102</f>
        <v>15.702809999999999</v>
      </c>
      <c r="AG102">
        <v>104</v>
      </c>
      <c r="AH102">
        <f t="shared" ref="AH102:AH124" si="51">AG102/Z102</f>
        <v>11.52635545506938</v>
      </c>
    </row>
    <row r="103" spans="6:34" x14ac:dyDescent="0.35">
      <c r="F103">
        <v>61.745759999999997</v>
      </c>
      <c r="G103">
        <v>69.901529999999994</v>
      </c>
      <c r="H103" s="2">
        <f t="shared" ref="H103:H114" si="52">G103-F103</f>
        <v>8.1557699999999969</v>
      </c>
      <c r="I103" s="2">
        <f t="shared" si="44"/>
        <v>19.87321</v>
      </c>
      <c r="J103" s="2">
        <f t="shared" si="45"/>
        <v>0.29097633948862917</v>
      </c>
      <c r="K103" s="2">
        <f t="shared" si="46"/>
        <v>0.70902366051137078</v>
      </c>
      <c r="L103" s="2">
        <f t="shared" si="47"/>
        <v>0.12261257980546293</v>
      </c>
      <c r="M103" s="2">
        <f t="shared" si="48"/>
        <v>3.5677359647051023E-2</v>
      </c>
      <c r="N103" s="2">
        <f t="shared" si="49"/>
        <v>28.028979999999997</v>
      </c>
      <c r="O103">
        <v>116</v>
      </c>
      <c r="P103">
        <f t="shared" si="50"/>
        <v>14.2230592574337</v>
      </c>
      <c r="X103">
        <v>26.77413</v>
      </c>
      <c r="Y103">
        <v>35.55294</v>
      </c>
      <c r="Z103" s="2">
        <f t="shared" ref="Z103:Z125" si="53">Y103-X103</f>
        <v>8.77881</v>
      </c>
      <c r="AA103" s="2">
        <f t="shared" ref="AA103:AA124" si="54">X104-Y103</f>
        <v>6.3436000000000021</v>
      </c>
      <c r="AB103" s="2">
        <f t="shared" ref="AB103:AB124" si="55">Z103/AF103</f>
        <v>0.58051659755290319</v>
      </c>
      <c r="AC103" s="2">
        <f t="shared" ref="AC103:AC124" si="56">AA103/AF103</f>
        <v>0.41948340244709681</v>
      </c>
      <c r="AD103" s="2">
        <f t="shared" ref="AD103:AD124" si="57">1/Z103</f>
        <v>0.11391065531660897</v>
      </c>
      <c r="AE103" s="2">
        <f t="shared" ref="AE103:AE124" si="58">1/AF103</f>
        <v>6.6127026049419363E-2</v>
      </c>
      <c r="AF103" s="2">
        <f t="shared" ref="AF103:AF124" si="59">Z103+AA103</f>
        <v>15.122410000000002</v>
      </c>
      <c r="AG103">
        <v>100</v>
      </c>
      <c r="AH103">
        <f t="shared" si="51"/>
        <v>11.391065531660898</v>
      </c>
    </row>
    <row r="104" spans="6:34" x14ac:dyDescent="0.35">
      <c r="F104">
        <v>89.774739999999994</v>
      </c>
      <c r="G104">
        <v>98.730149999999995</v>
      </c>
      <c r="H104" s="2">
        <f t="shared" si="52"/>
        <v>8.9554100000000005</v>
      </c>
      <c r="I104" s="2">
        <f t="shared" si="44"/>
        <v>19.212569999999999</v>
      </c>
      <c r="J104" s="2">
        <f t="shared" si="45"/>
        <v>0.31792872616353746</v>
      </c>
      <c r="K104" s="2">
        <f t="shared" si="46"/>
        <v>0.68207127383646249</v>
      </c>
      <c r="L104" s="2">
        <f t="shared" si="47"/>
        <v>0.11166434590934418</v>
      </c>
      <c r="M104" s="2">
        <f t="shared" si="48"/>
        <v>3.5501303252842412E-2</v>
      </c>
      <c r="N104" s="2">
        <f t="shared" si="49"/>
        <v>28.16798</v>
      </c>
      <c r="O104">
        <v>126</v>
      </c>
      <c r="P104">
        <f t="shared" si="50"/>
        <v>14.069707584577367</v>
      </c>
      <c r="X104">
        <v>41.896540000000002</v>
      </c>
      <c r="Y104">
        <v>51.634419999999999</v>
      </c>
      <c r="Z104" s="2">
        <f t="shared" si="53"/>
        <v>9.737879999999997</v>
      </c>
      <c r="AA104" s="2">
        <f t="shared" si="54"/>
        <v>6.7073000000000036</v>
      </c>
      <c r="AB104" s="2">
        <f t="shared" si="55"/>
        <v>0.59214189203158596</v>
      </c>
      <c r="AC104" s="2">
        <f t="shared" si="56"/>
        <v>0.40785810796841404</v>
      </c>
      <c r="AD104" s="2">
        <f t="shared" si="57"/>
        <v>0.10269175631656996</v>
      </c>
      <c r="AE104" s="2">
        <f t="shared" si="58"/>
        <v>6.0808090881340308E-2</v>
      </c>
      <c r="AF104" s="2">
        <f t="shared" si="59"/>
        <v>16.445180000000001</v>
      </c>
      <c r="AG104">
        <v>105</v>
      </c>
      <c r="AH104">
        <f t="shared" si="51"/>
        <v>10.782634413239846</v>
      </c>
    </row>
    <row r="105" spans="6:34" x14ac:dyDescent="0.35">
      <c r="F105">
        <v>117.94271999999999</v>
      </c>
      <c r="G105">
        <v>128.05867000000001</v>
      </c>
      <c r="H105" s="2">
        <f t="shared" si="52"/>
        <v>10.115950000000012</v>
      </c>
      <c r="I105" s="2">
        <f t="shared" si="44"/>
        <v>13.836169999999981</v>
      </c>
      <c r="J105" s="2">
        <f t="shared" si="45"/>
        <v>0.42234048593610984</v>
      </c>
      <c r="K105" s="2">
        <f t="shared" si="46"/>
        <v>0.57765951406389016</v>
      </c>
      <c r="L105" s="2">
        <f t="shared" si="47"/>
        <v>9.8853790301454511E-2</v>
      </c>
      <c r="M105" s="2">
        <f t="shared" si="48"/>
        <v>4.1749957832542602E-2</v>
      </c>
      <c r="N105" s="2">
        <f t="shared" si="49"/>
        <v>23.952119999999994</v>
      </c>
      <c r="O105">
        <v>129</v>
      </c>
      <c r="P105">
        <f t="shared" si="50"/>
        <v>12.752138948887632</v>
      </c>
      <c r="X105">
        <v>58.341720000000002</v>
      </c>
      <c r="Y105">
        <v>66.941900000000004</v>
      </c>
      <c r="Z105" s="2">
        <f t="shared" si="53"/>
        <v>8.6001800000000017</v>
      </c>
      <c r="AA105" s="2">
        <f t="shared" si="54"/>
        <v>6.3909699999999958</v>
      </c>
      <c r="AB105" s="2">
        <f t="shared" si="55"/>
        <v>0.57368380677933339</v>
      </c>
      <c r="AC105" s="2">
        <f t="shared" si="56"/>
        <v>0.42631619322066666</v>
      </c>
      <c r="AD105" s="2">
        <f t="shared" si="57"/>
        <v>0.11627663607040781</v>
      </c>
      <c r="AE105" s="2">
        <f t="shared" si="58"/>
        <v>6.67060232203667E-2</v>
      </c>
      <c r="AF105" s="2">
        <f t="shared" si="59"/>
        <v>14.991149999999998</v>
      </c>
      <c r="AG105">
        <v>100</v>
      </c>
      <c r="AH105">
        <f t="shared" si="51"/>
        <v>11.62766360704078</v>
      </c>
    </row>
    <row r="106" spans="6:34" x14ac:dyDescent="0.35">
      <c r="F106">
        <v>141.89483999999999</v>
      </c>
      <c r="G106">
        <v>152.37963999999999</v>
      </c>
      <c r="H106" s="2">
        <f t="shared" si="52"/>
        <v>10.484800000000007</v>
      </c>
      <c r="I106" s="2">
        <f t="shared" si="44"/>
        <v>12.171750000000003</v>
      </c>
      <c r="J106" s="2">
        <f t="shared" si="45"/>
        <v>0.46277125158066884</v>
      </c>
      <c r="K106" s="2">
        <f t="shared" si="46"/>
        <v>0.53722874841933121</v>
      </c>
      <c r="L106" s="2">
        <f t="shared" si="47"/>
        <v>9.537616358919572E-2</v>
      </c>
      <c r="M106" s="2">
        <f t="shared" si="48"/>
        <v>4.413734659513472E-2</v>
      </c>
      <c r="N106" s="2">
        <f t="shared" si="49"/>
        <v>22.65655000000001</v>
      </c>
      <c r="O106">
        <v>131</v>
      </c>
      <c r="P106">
        <f t="shared" si="50"/>
        <v>12.49427743018464</v>
      </c>
      <c r="X106">
        <v>73.33287</v>
      </c>
      <c r="Y106">
        <v>79.320790000000002</v>
      </c>
      <c r="Z106" s="2">
        <f t="shared" si="53"/>
        <v>5.9879200000000026</v>
      </c>
      <c r="AA106" s="2">
        <f t="shared" si="54"/>
        <v>6.7536599999999964</v>
      </c>
      <c r="AB106" s="2">
        <f t="shared" si="55"/>
        <v>0.46995113635828545</v>
      </c>
      <c r="AC106" s="2">
        <f t="shared" si="56"/>
        <v>0.53004886364171455</v>
      </c>
      <c r="AD106" s="2">
        <f t="shared" si="57"/>
        <v>0.16700289917032954</v>
      </c>
      <c r="AE106" s="2">
        <f t="shared" si="58"/>
        <v>7.8483202240224537E-2</v>
      </c>
      <c r="AF106" s="2">
        <f t="shared" si="59"/>
        <v>12.741579999999999</v>
      </c>
      <c r="AG106">
        <v>77</v>
      </c>
      <c r="AH106">
        <f t="shared" si="51"/>
        <v>12.859223236115373</v>
      </c>
    </row>
    <row r="107" spans="6:34" x14ac:dyDescent="0.35">
      <c r="F107">
        <v>164.55139</v>
      </c>
      <c r="G107">
        <v>174.34851</v>
      </c>
      <c r="H107" s="2">
        <f t="shared" si="52"/>
        <v>9.7971200000000067</v>
      </c>
      <c r="I107" s="2">
        <f t="shared" si="44"/>
        <v>15.284840000000003</v>
      </c>
      <c r="J107" s="2">
        <f t="shared" si="45"/>
        <v>0.39060424304958635</v>
      </c>
      <c r="K107" s="2">
        <f t="shared" si="46"/>
        <v>0.60939575695041359</v>
      </c>
      <c r="L107" s="2">
        <f t="shared" si="47"/>
        <v>0.1020708126469819</v>
      </c>
      <c r="M107" s="2">
        <f t="shared" si="48"/>
        <v>3.986929251143051E-2</v>
      </c>
      <c r="N107" s="2">
        <f t="shared" si="49"/>
        <v>25.081960000000009</v>
      </c>
      <c r="O107">
        <v>126</v>
      </c>
      <c r="P107">
        <f t="shared" si="50"/>
        <v>12.860922393519719</v>
      </c>
      <c r="X107">
        <v>86.074449999999999</v>
      </c>
      <c r="Y107">
        <v>93.666470000000004</v>
      </c>
      <c r="Z107" s="2">
        <f t="shared" si="53"/>
        <v>7.5920200000000051</v>
      </c>
      <c r="AA107" s="2">
        <f t="shared" si="54"/>
        <v>6.6572699999999969</v>
      </c>
      <c r="AB107" s="2">
        <f t="shared" si="55"/>
        <v>0.53279987985366317</v>
      </c>
      <c r="AC107" s="2">
        <f t="shared" si="56"/>
        <v>0.46720012014633683</v>
      </c>
      <c r="AD107" s="2">
        <f t="shared" si="57"/>
        <v>0.13171725048142646</v>
      </c>
      <c r="AE107" s="2">
        <f t="shared" si="58"/>
        <v>7.0178935231158882E-2</v>
      </c>
      <c r="AF107" s="2">
        <f t="shared" si="59"/>
        <v>14.249290000000002</v>
      </c>
      <c r="AG107">
        <v>92</v>
      </c>
      <c r="AH107">
        <f t="shared" si="51"/>
        <v>12.117987044291235</v>
      </c>
    </row>
    <row r="108" spans="6:34" x14ac:dyDescent="0.35">
      <c r="F108">
        <v>189.63335000000001</v>
      </c>
      <c r="G108">
        <v>199.35284999999999</v>
      </c>
      <c r="H108" s="2">
        <f t="shared" si="52"/>
        <v>9.7194999999999823</v>
      </c>
      <c r="I108" s="2">
        <f t="shared" si="44"/>
        <v>17.43768</v>
      </c>
      <c r="J108" s="2">
        <f t="shared" si="45"/>
        <v>0.35789798498960451</v>
      </c>
      <c r="K108" s="2">
        <f t="shared" si="46"/>
        <v>0.64210201501039543</v>
      </c>
      <c r="L108" s="2">
        <f t="shared" si="47"/>
        <v>0.1028859509234016</v>
      </c>
      <c r="M108" s="2">
        <f t="shared" si="48"/>
        <v>3.6822674519224774E-2</v>
      </c>
      <c r="N108" s="2">
        <f t="shared" si="49"/>
        <v>27.157179999999983</v>
      </c>
      <c r="O108">
        <v>126</v>
      </c>
      <c r="P108">
        <f t="shared" si="50"/>
        <v>12.963629816348602</v>
      </c>
      <c r="X108">
        <v>100.32374</v>
      </c>
      <c r="Y108">
        <v>107.46681</v>
      </c>
      <c r="Z108" s="2">
        <f t="shared" si="53"/>
        <v>7.1430699999999945</v>
      </c>
      <c r="AA108" s="2">
        <f t="shared" si="54"/>
        <v>5.1329900000000066</v>
      </c>
      <c r="AB108" s="2">
        <f t="shared" si="55"/>
        <v>0.58186991591764736</v>
      </c>
      <c r="AC108" s="2">
        <f t="shared" si="56"/>
        <v>0.41813008408235264</v>
      </c>
      <c r="AD108" s="2">
        <f t="shared" si="57"/>
        <v>0.13999582812432201</v>
      </c>
      <c r="AE108" s="2">
        <f t="shared" si="58"/>
        <v>8.1459360739520648E-2</v>
      </c>
      <c r="AF108" s="2">
        <f t="shared" si="59"/>
        <v>12.276060000000001</v>
      </c>
      <c r="AG108">
        <v>83</v>
      </c>
      <c r="AH108">
        <f t="shared" si="51"/>
        <v>11.619653734318726</v>
      </c>
    </row>
    <row r="109" spans="6:34" x14ac:dyDescent="0.35">
      <c r="F109">
        <v>216.79052999999999</v>
      </c>
      <c r="G109">
        <v>227.04145</v>
      </c>
      <c r="H109" s="2">
        <f t="shared" si="52"/>
        <v>10.250920000000008</v>
      </c>
      <c r="I109" s="2">
        <f t="shared" si="44"/>
        <v>15.594250000000017</v>
      </c>
      <c r="J109" s="2">
        <f t="shared" si="45"/>
        <v>0.39662807402698447</v>
      </c>
      <c r="K109" s="2">
        <f t="shared" si="46"/>
        <v>0.60337192597301559</v>
      </c>
      <c r="L109" s="2">
        <f t="shared" si="47"/>
        <v>9.7552219703207058E-2</v>
      </c>
      <c r="M109" s="2">
        <f t="shared" si="48"/>
        <v>3.8691949017940257E-2</v>
      </c>
      <c r="N109" s="2">
        <f t="shared" si="49"/>
        <v>25.845170000000024</v>
      </c>
      <c r="O109">
        <v>132</v>
      </c>
      <c r="P109">
        <f t="shared" si="50"/>
        <v>12.876893000823332</v>
      </c>
      <c r="X109">
        <v>112.5998</v>
      </c>
      <c r="Y109">
        <v>122.00115</v>
      </c>
      <c r="Z109" s="2">
        <f t="shared" si="53"/>
        <v>9.4013499999999937</v>
      </c>
      <c r="AA109" s="2">
        <f t="shared" si="54"/>
        <v>6.6582300000000032</v>
      </c>
      <c r="AB109" s="2">
        <f t="shared" si="55"/>
        <v>0.58540447508589866</v>
      </c>
      <c r="AC109" s="2">
        <f t="shared" si="56"/>
        <v>0.4145955249141014</v>
      </c>
      <c r="AD109" s="2">
        <f t="shared" si="57"/>
        <v>0.10636770251080969</v>
      </c>
      <c r="AE109" s="2">
        <f t="shared" si="58"/>
        <v>6.2268129054433567E-2</v>
      </c>
      <c r="AF109" s="2">
        <f t="shared" si="59"/>
        <v>16.059579999999997</v>
      </c>
      <c r="AG109">
        <v>97</v>
      </c>
      <c r="AH109">
        <f t="shared" si="51"/>
        <v>10.31766714354854</v>
      </c>
    </row>
    <row r="110" spans="6:34" x14ac:dyDescent="0.35">
      <c r="F110">
        <v>242.63570000000001</v>
      </c>
      <c r="G110">
        <v>252.47685000000001</v>
      </c>
      <c r="H110" s="2">
        <f t="shared" si="52"/>
        <v>9.841149999999999</v>
      </c>
      <c r="I110" s="2">
        <f t="shared" si="44"/>
        <v>15.106749999999977</v>
      </c>
      <c r="J110" s="2">
        <f t="shared" si="45"/>
        <v>0.39446807146092489</v>
      </c>
      <c r="K110" s="2">
        <f t="shared" si="46"/>
        <v>0.60553192853907511</v>
      </c>
      <c r="L110" s="2">
        <f t="shared" si="47"/>
        <v>0.10161414062380922</v>
      </c>
      <c r="M110" s="2">
        <f t="shared" si="48"/>
        <v>4.0083534085033248E-2</v>
      </c>
      <c r="N110" s="2">
        <f t="shared" si="49"/>
        <v>24.947899999999976</v>
      </c>
      <c r="O110">
        <v>128</v>
      </c>
      <c r="P110">
        <f t="shared" si="50"/>
        <v>13.00660999984758</v>
      </c>
      <c r="X110">
        <v>128.65938</v>
      </c>
      <c r="Y110">
        <v>137.26783</v>
      </c>
      <c r="Z110" s="2">
        <f t="shared" si="53"/>
        <v>8.6084500000000048</v>
      </c>
      <c r="AA110" s="2">
        <f t="shared" si="54"/>
        <v>6.857689999999991</v>
      </c>
      <c r="AB110" s="2">
        <f t="shared" si="55"/>
        <v>0.55659977214741407</v>
      </c>
      <c r="AC110" s="2">
        <f t="shared" si="56"/>
        <v>0.44340022785258587</v>
      </c>
      <c r="AD110" s="2">
        <f t="shared" si="57"/>
        <v>0.11616493096898971</v>
      </c>
      <c r="AE110" s="2">
        <f t="shared" si="58"/>
        <v>6.4657374108859758E-2</v>
      </c>
      <c r="AF110" s="2">
        <f t="shared" si="59"/>
        <v>15.466139999999996</v>
      </c>
      <c r="AG110">
        <v>97</v>
      </c>
      <c r="AH110">
        <f t="shared" si="51"/>
        <v>11.267998303992002</v>
      </c>
    </row>
    <row r="111" spans="6:34" x14ac:dyDescent="0.35">
      <c r="F111">
        <v>267.58359999999999</v>
      </c>
      <c r="G111">
        <v>278.25860999999998</v>
      </c>
      <c r="H111" s="2">
        <f t="shared" si="52"/>
        <v>10.675009999999986</v>
      </c>
      <c r="I111" s="2">
        <f t="shared" si="44"/>
        <v>15.952200000000005</v>
      </c>
      <c r="J111" s="2">
        <f t="shared" si="45"/>
        <v>0.4009060656373683</v>
      </c>
      <c r="K111" s="2">
        <f t="shared" si="46"/>
        <v>0.5990939343626317</v>
      </c>
      <c r="L111" s="2">
        <f t="shared" si="47"/>
        <v>9.367672723491606E-2</v>
      </c>
      <c r="M111" s="2">
        <f t="shared" si="48"/>
        <v>3.7555568157535107E-2</v>
      </c>
      <c r="N111" s="2">
        <f t="shared" si="49"/>
        <v>26.627209999999991</v>
      </c>
      <c r="O111">
        <v>134</v>
      </c>
      <c r="P111">
        <f t="shared" si="50"/>
        <v>12.552681449478753</v>
      </c>
      <c r="X111">
        <v>144.12551999999999</v>
      </c>
      <c r="Y111">
        <v>152.71822</v>
      </c>
      <c r="Z111" s="2">
        <f t="shared" si="53"/>
        <v>8.5927000000000078</v>
      </c>
      <c r="AA111" s="2">
        <f t="shared" si="54"/>
        <v>6.5255500000000097</v>
      </c>
      <c r="AB111" s="2">
        <f t="shared" si="55"/>
        <v>0.56836604765763221</v>
      </c>
      <c r="AC111" s="2">
        <f t="shared" si="56"/>
        <v>0.43163395234236779</v>
      </c>
      <c r="AD111" s="2">
        <f t="shared" si="57"/>
        <v>0.11637785562163221</v>
      </c>
      <c r="AE111" s="2">
        <f t="shared" si="58"/>
        <v>6.6145221834537651E-2</v>
      </c>
      <c r="AF111" s="2">
        <f t="shared" si="59"/>
        <v>15.118250000000018</v>
      </c>
      <c r="AG111">
        <v>96</v>
      </c>
      <c r="AH111">
        <f t="shared" si="51"/>
        <v>11.172274139676691</v>
      </c>
    </row>
    <row r="112" spans="6:34" x14ac:dyDescent="0.35">
      <c r="F112">
        <v>294.21080999999998</v>
      </c>
      <c r="G112">
        <v>303.35512</v>
      </c>
      <c r="H112" s="2">
        <f t="shared" si="52"/>
        <v>9.1443100000000186</v>
      </c>
      <c r="I112" s="2">
        <f t="shared" si="44"/>
        <v>16.435260000000028</v>
      </c>
      <c r="J112" s="2">
        <f t="shared" si="45"/>
        <v>0.35748489908157183</v>
      </c>
      <c r="K112" s="2">
        <f t="shared" si="46"/>
        <v>0.64251510091842823</v>
      </c>
      <c r="L112" s="2">
        <f t="shared" si="47"/>
        <v>0.10935762239031682</v>
      </c>
      <c r="M112" s="2">
        <f t="shared" si="48"/>
        <v>3.9093698604003045E-2</v>
      </c>
      <c r="N112" s="2">
        <f t="shared" si="49"/>
        <v>25.579570000000047</v>
      </c>
      <c r="O112">
        <v>123</v>
      </c>
      <c r="P112">
        <f t="shared" si="50"/>
        <v>13.450987554008968</v>
      </c>
      <c r="X112">
        <v>159.24377000000001</v>
      </c>
      <c r="Y112">
        <v>167.83656999999999</v>
      </c>
      <c r="Z112" s="2">
        <f t="shared" si="53"/>
        <v>8.5927999999999827</v>
      </c>
      <c r="AA112" s="2">
        <f t="shared" si="54"/>
        <v>5.3515199999999936</v>
      </c>
      <c r="AB112" s="2">
        <f t="shared" si="55"/>
        <v>0.61622223242151619</v>
      </c>
      <c r="AC112" s="2">
        <f t="shared" si="56"/>
        <v>0.38377776757848375</v>
      </c>
      <c r="AD112" s="2">
        <f t="shared" si="57"/>
        <v>0.11637650125686645</v>
      </c>
      <c r="AE112" s="2">
        <f t="shared" si="58"/>
        <v>7.1713787405911639E-2</v>
      </c>
      <c r="AF112" s="2">
        <f t="shared" si="59"/>
        <v>13.944319999999976</v>
      </c>
      <c r="AG112">
        <v>89</v>
      </c>
      <c r="AH112">
        <f t="shared" si="51"/>
        <v>10.357508611861114</v>
      </c>
    </row>
    <row r="113" spans="6:34" x14ac:dyDescent="0.35">
      <c r="F113">
        <v>319.79038000000003</v>
      </c>
      <c r="G113">
        <v>330.06461000000002</v>
      </c>
      <c r="H113" s="2">
        <f t="shared" si="52"/>
        <v>10.274229999999989</v>
      </c>
      <c r="I113" s="2">
        <f t="shared" si="44"/>
        <v>15.993159999999989</v>
      </c>
      <c r="J113" s="2">
        <f t="shared" si="45"/>
        <v>0.39114011708053209</v>
      </c>
      <c r="K113" s="2">
        <f t="shared" si="46"/>
        <v>0.60885988291946791</v>
      </c>
      <c r="L113" s="2">
        <f t="shared" si="47"/>
        <v>9.733089486998063E-2</v>
      </c>
      <c r="M113" s="2">
        <f t="shared" si="48"/>
        <v>3.8070017614997183E-2</v>
      </c>
      <c r="N113" s="2">
        <f t="shared" si="49"/>
        <v>26.267389999999978</v>
      </c>
      <c r="O113">
        <v>128</v>
      </c>
      <c r="P113">
        <f t="shared" si="50"/>
        <v>12.458354543357521</v>
      </c>
      <c r="X113">
        <v>173.18808999999999</v>
      </c>
      <c r="Y113">
        <v>182.79731000000001</v>
      </c>
      <c r="Z113" s="2">
        <f t="shared" si="53"/>
        <v>9.6092200000000219</v>
      </c>
      <c r="AA113" s="2">
        <f t="shared" si="54"/>
        <v>6.6429799999999943</v>
      </c>
      <c r="AB113" s="2">
        <f t="shared" si="55"/>
        <v>0.59125656834151763</v>
      </c>
      <c r="AC113" s="2">
        <f t="shared" si="56"/>
        <v>0.40874343165848243</v>
      </c>
      <c r="AD113" s="2">
        <f t="shared" si="57"/>
        <v>0.10406671925504855</v>
      </c>
      <c r="AE113" s="2">
        <f t="shared" si="58"/>
        <v>6.1530131305300141E-2</v>
      </c>
      <c r="AF113" s="2">
        <f t="shared" si="59"/>
        <v>16.252200000000016</v>
      </c>
      <c r="AG113">
        <v>112</v>
      </c>
      <c r="AH113">
        <f t="shared" si="51"/>
        <v>11.655472556565439</v>
      </c>
    </row>
    <row r="114" spans="6:34" x14ac:dyDescent="0.35">
      <c r="F114">
        <v>346.05777</v>
      </c>
      <c r="G114">
        <v>356.70175999999998</v>
      </c>
      <c r="H114" s="2">
        <f t="shared" si="52"/>
        <v>10.643989999999974</v>
      </c>
      <c r="I114" s="2"/>
      <c r="J114" s="2"/>
      <c r="K114" s="2"/>
      <c r="L114" s="2"/>
      <c r="M114" s="2"/>
      <c r="N114" s="2"/>
      <c r="X114">
        <v>189.44029</v>
      </c>
      <c r="Y114">
        <v>196.35724999999999</v>
      </c>
      <c r="Z114" s="2">
        <f t="shared" si="53"/>
        <v>6.9169599999999889</v>
      </c>
      <c r="AA114" s="2">
        <f t="shared" si="54"/>
        <v>6.6095600000000161</v>
      </c>
      <c r="AB114" s="2">
        <f t="shared" si="55"/>
        <v>0.51136286347116522</v>
      </c>
      <c r="AC114" s="2">
        <f t="shared" si="56"/>
        <v>0.48863713652883473</v>
      </c>
      <c r="AD114" s="2">
        <f t="shared" si="57"/>
        <v>0.14457218199902871</v>
      </c>
      <c r="AE114" s="2">
        <f t="shared" si="58"/>
        <v>7.392884496529778E-2</v>
      </c>
      <c r="AF114" s="2">
        <f t="shared" si="59"/>
        <v>13.526520000000005</v>
      </c>
      <c r="AG114">
        <v>80</v>
      </c>
      <c r="AH114">
        <f t="shared" si="51"/>
        <v>11.565774559922296</v>
      </c>
    </row>
    <row r="115" spans="6:34" x14ac:dyDescent="0.35">
      <c r="H115" s="2"/>
      <c r="I115" s="2"/>
      <c r="J115" s="2"/>
      <c r="K115" s="2"/>
      <c r="L115" s="2"/>
      <c r="M115" s="2"/>
      <c r="N115" s="2"/>
      <c r="X115">
        <v>202.96681000000001</v>
      </c>
      <c r="Y115">
        <v>209.67514</v>
      </c>
      <c r="Z115" s="2">
        <f t="shared" si="53"/>
        <v>6.7083299999999895</v>
      </c>
      <c r="AA115" s="2">
        <f t="shared" si="54"/>
        <v>6.5880300000000034</v>
      </c>
      <c r="AB115" s="2">
        <f t="shared" si="55"/>
        <v>0.50452379448209839</v>
      </c>
      <c r="AC115" s="2">
        <f t="shared" si="56"/>
        <v>0.49547620551790167</v>
      </c>
      <c r="AD115" s="2">
        <f t="shared" si="57"/>
        <v>0.1490683970526199</v>
      </c>
      <c r="AE115" s="2">
        <f t="shared" si="58"/>
        <v>7.5208553318351828E-2</v>
      </c>
      <c r="AF115" s="2">
        <f t="shared" si="59"/>
        <v>13.296359999999993</v>
      </c>
      <c r="AG115">
        <v>81</v>
      </c>
      <c r="AH115">
        <f t="shared" si="51"/>
        <v>12.074540161262211</v>
      </c>
    </row>
    <row r="116" spans="6:34" x14ac:dyDescent="0.35">
      <c r="H116" s="2"/>
      <c r="I116" s="2"/>
      <c r="J116" s="2"/>
      <c r="K116" s="2"/>
      <c r="L116" s="2"/>
      <c r="M116" s="2"/>
      <c r="N116" s="2"/>
      <c r="X116">
        <v>216.26317</v>
      </c>
      <c r="Y116">
        <v>223.2808</v>
      </c>
      <c r="Z116" s="2">
        <f t="shared" si="53"/>
        <v>7.0176299999999969</v>
      </c>
      <c r="AA116" s="2">
        <f t="shared" si="54"/>
        <v>6.4872499999999889</v>
      </c>
      <c r="AB116" s="2">
        <f t="shared" si="55"/>
        <v>0.51963660543448031</v>
      </c>
      <c r="AC116" s="2">
        <f t="shared" si="56"/>
        <v>0.48036339456551969</v>
      </c>
      <c r="AD116" s="2">
        <f t="shared" si="57"/>
        <v>0.14249825083397108</v>
      </c>
      <c r="AE116" s="2">
        <f t="shared" si="58"/>
        <v>7.4047307343715826E-2</v>
      </c>
      <c r="AF116" s="2">
        <f t="shared" si="59"/>
        <v>13.504879999999986</v>
      </c>
      <c r="AG116">
        <v>89</v>
      </c>
      <c r="AH116">
        <f t="shared" si="51"/>
        <v>12.682344324223426</v>
      </c>
    </row>
    <row r="117" spans="6:34" x14ac:dyDescent="0.35">
      <c r="H117" s="2"/>
      <c r="I117" s="2"/>
      <c r="J117" s="2"/>
      <c r="K117" s="2"/>
      <c r="L117" s="2"/>
      <c r="M117" s="2"/>
      <c r="N117" s="2"/>
      <c r="X117">
        <v>229.76804999999999</v>
      </c>
      <c r="Y117">
        <v>235.53345999999999</v>
      </c>
      <c r="Z117" s="2">
        <f t="shared" si="53"/>
        <v>5.7654100000000028</v>
      </c>
      <c r="AA117" s="2">
        <f t="shared" si="54"/>
        <v>6.4039400000000057</v>
      </c>
      <c r="AB117" s="2">
        <f t="shared" si="55"/>
        <v>0.47376482720934138</v>
      </c>
      <c r="AC117" s="2">
        <f t="shared" si="56"/>
        <v>0.52623517279065857</v>
      </c>
      <c r="AD117" s="2">
        <f t="shared" si="57"/>
        <v>0.17344820229610722</v>
      </c>
      <c r="AE117" s="2">
        <f t="shared" si="58"/>
        <v>8.2173657590586133E-2</v>
      </c>
      <c r="AF117" s="2">
        <f t="shared" si="59"/>
        <v>12.169350000000009</v>
      </c>
      <c r="AG117">
        <v>69</v>
      </c>
      <c r="AH117">
        <f t="shared" si="51"/>
        <v>11.967925958431398</v>
      </c>
    </row>
    <row r="118" spans="6:34" x14ac:dyDescent="0.35">
      <c r="X118">
        <v>241.9374</v>
      </c>
      <c r="Y118">
        <v>248.62987000000001</v>
      </c>
      <c r="Z118" s="2">
        <f t="shared" si="53"/>
        <v>6.6924700000000144</v>
      </c>
      <c r="AA118" s="2">
        <f t="shared" si="54"/>
        <v>6.5925399999999854</v>
      </c>
      <c r="AB118" s="2">
        <f t="shared" si="55"/>
        <v>0.50376100582536365</v>
      </c>
      <c r="AC118" s="2">
        <f t="shared" si="56"/>
        <v>0.49623899417463635</v>
      </c>
      <c r="AD118" s="2">
        <f t="shared" si="57"/>
        <v>0.14942166345161023</v>
      </c>
      <c r="AE118" s="2">
        <f t="shared" si="58"/>
        <v>7.5272807472482148E-2</v>
      </c>
      <c r="AF118" s="2">
        <f t="shared" si="59"/>
        <v>13.28501</v>
      </c>
      <c r="AG118">
        <v>80</v>
      </c>
      <c r="AH118">
        <f t="shared" si="51"/>
        <v>11.953733076128819</v>
      </c>
    </row>
    <row r="119" spans="6:34" x14ac:dyDescent="0.35">
      <c r="X119">
        <v>255.22241</v>
      </c>
      <c r="Y119">
        <v>262.59591</v>
      </c>
      <c r="Z119" s="2">
        <f t="shared" si="53"/>
        <v>7.373500000000007</v>
      </c>
      <c r="AA119" s="2">
        <f t="shared" si="54"/>
        <v>6.693589999999972</v>
      </c>
      <c r="AB119" s="2">
        <f t="shared" si="55"/>
        <v>0.52416668977023806</v>
      </c>
      <c r="AC119" s="2">
        <f t="shared" si="56"/>
        <v>0.47583331022976194</v>
      </c>
      <c r="AD119" s="2">
        <f t="shared" si="57"/>
        <v>0.13562080423136896</v>
      </c>
      <c r="AE119" s="2">
        <f t="shared" si="58"/>
        <v>7.1087908017934159E-2</v>
      </c>
      <c r="AF119" s="2">
        <f t="shared" si="59"/>
        <v>14.067089999999979</v>
      </c>
      <c r="AG119">
        <v>85</v>
      </c>
      <c r="AH119">
        <f t="shared" si="51"/>
        <v>11.527768359666362</v>
      </c>
    </row>
    <row r="120" spans="6:34" x14ac:dyDescent="0.35">
      <c r="X120">
        <v>269.28949999999998</v>
      </c>
      <c r="Y120">
        <v>277.1977</v>
      </c>
      <c r="Z120" s="2">
        <f t="shared" si="53"/>
        <v>7.9082000000000221</v>
      </c>
      <c r="AA120" s="2">
        <f t="shared" si="54"/>
        <v>6.6437900000000241</v>
      </c>
      <c r="AB120" s="2">
        <f t="shared" si="55"/>
        <v>0.54344457356004205</v>
      </c>
      <c r="AC120" s="2">
        <f t="shared" si="56"/>
        <v>0.45655542643995789</v>
      </c>
      <c r="AD120" s="2">
        <f t="shared" si="57"/>
        <v>0.12645102551781659</v>
      </c>
      <c r="AE120" s="2">
        <f t="shared" si="58"/>
        <v>6.8719123638759844E-2</v>
      </c>
      <c r="AF120" s="2">
        <f t="shared" si="59"/>
        <v>14.551990000000046</v>
      </c>
      <c r="AG120">
        <v>92</v>
      </c>
      <c r="AH120">
        <f t="shared" si="51"/>
        <v>11.633494347639127</v>
      </c>
    </row>
    <row r="121" spans="6:34" ht="16" thickBot="1" x14ac:dyDescent="0.4">
      <c r="G121" s="13"/>
      <c r="H121" s="9" t="s">
        <v>3</v>
      </c>
      <c r="I121" s="9" t="s">
        <v>4</v>
      </c>
      <c r="J121" s="9" t="s">
        <v>5</v>
      </c>
      <c r="K121" s="9" t="s">
        <v>6</v>
      </c>
      <c r="L121" s="9" t="s">
        <v>7</v>
      </c>
      <c r="M121" s="9" t="s">
        <v>8</v>
      </c>
      <c r="N121" s="9" t="s">
        <v>9</v>
      </c>
      <c r="O121" s="9" t="s">
        <v>10</v>
      </c>
      <c r="P121" s="44" t="s">
        <v>139</v>
      </c>
      <c r="X121">
        <v>283.84149000000002</v>
      </c>
      <c r="Y121">
        <v>293.42872</v>
      </c>
      <c r="Z121" s="2">
        <f t="shared" si="53"/>
        <v>9.5872299999999768</v>
      </c>
      <c r="AA121" s="2">
        <f t="shared" si="54"/>
        <v>6.5480400000000145</v>
      </c>
      <c r="AB121" s="2">
        <f t="shared" si="55"/>
        <v>0.59417846741950908</v>
      </c>
      <c r="AC121" s="2">
        <f t="shared" si="56"/>
        <v>0.40582153258049092</v>
      </c>
      <c r="AD121" s="2">
        <f t="shared" si="57"/>
        <v>0.10430541459837747</v>
      </c>
      <c r="AE121" s="2">
        <f t="shared" si="58"/>
        <v>6.1976031389620413E-2</v>
      </c>
      <c r="AF121" s="2">
        <f t="shared" si="59"/>
        <v>16.135269999999991</v>
      </c>
      <c r="AG121">
        <v>98</v>
      </c>
      <c r="AH121">
        <f t="shared" si="51"/>
        <v>10.221930630640992</v>
      </c>
    </row>
    <row r="122" spans="6:34" x14ac:dyDescent="0.35">
      <c r="G122" s="49" t="s">
        <v>77</v>
      </c>
      <c r="H122" s="2">
        <f>AVERAGE(H102:H113)</f>
        <v>11.063921666666667</v>
      </c>
      <c r="I122" s="2">
        <f t="shared" ref="I122:P122" si="60">AVERAGE(I102:I113)</f>
        <v>16.114930000000001</v>
      </c>
      <c r="J122" s="2">
        <f t="shared" si="60"/>
        <v>0.39909822813795975</v>
      </c>
      <c r="K122" s="2">
        <f t="shared" si="60"/>
        <v>0.6009017718620403</v>
      </c>
      <c r="L122" s="2">
        <f t="shared" si="60"/>
        <v>9.7703206922425179E-2</v>
      </c>
      <c r="M122" s="2">
        <f t="shared" si="60"/>
        <v>3.7596381947826878E-2</v>
      </c>
      <c r="N122" s="2">
        <f t="shared" si="60"/>
        <v>27.17885166666667</v>
      </c>
      <c r="O122" s="2">
        <f>AVERAGE(O102:O113)</f>
        <v>144.25</v>
      </c>
      <c r="P122" s="2">
        <f t="shared" si="60"/>
        <v>13.067034668504185</v>
      </c>
      <c r="X122">
        <v>299.97676000000001</v>
      </c>
      <c r="Y122">
        <v>306.72021999999998</v>
      </c>
      <c r="Z122" s="2">
        <f t="shared" si="53"/>
        <v>6.7434599999999705</v>
      </c>
      <c r="AA122" s="2">
        <f t="shared" si="54"/>
        <v>6.9853400000000079</v>
      </c>
      <c r="AB122" s="2">
        <f t="shared" si="55"/>
        <v>0.49119078142299261</v>
      </c>
      <c r="AC122" s="2">
        <f t="shared" si="56"/>
        <v>0.50880921857700734</v>
      </c>
      <c r="AD122" s="2">
        <f t="shared" si="57"/>
        <v>0.1482918264511103</v>
      </c>
      <c r="AE122" s="2">
        <f t="shared" si="58"/>
        <v>7.2839578113163689E-2</v>
      </c>
      <c r="AF122" s="2">
        <f t="shared" si="59"/>
        <v>13.728799999999978</v>
      </c>
      <c r="AG122">
        <v>77</v>
      </c>
      <c r="AH122">
        <f t="shared" si="51"/>
        <v>11.418470636735494</v>
      </c>
    </row>
    <row r="123" spans="6:34" x14ac:dyDescent="0.35">
      <c r="G123" s="49" t="s">
        <v>94</v>
      </c>
      <c r="H123" s="2">
        <f>_xlfn.STDEV.S(H102:H113)</f>
        <v>4.5561146553970984</v>
      </c>
      <c r="I123" s="2">
        <f t="shared" ref="I123:P123" si="61">_xlfn.STDEV.S(I102:I113)</f>
        <v>2.0990446149314432</v>
      </c>
      <c r="J123" s="2">
        <f t="shared" si="61"/>
        <v>7.9367092079864393E-2</v>
      </c>
      <c r="K123" s="2">
        <f t="shared" si="61"/>
        <v>7.9367092079864518E-2</v>
      </c>
      <c r="L123" s="2">
        <f t="shared" si="61"/>
        <v>2.006757928439136E-2</v>
      </c>
      <c r="M123" s="2">
        <f t="shared" si="61"/>
        <v>4.9654430567922748E-3</v>
      </c>
      <c r="N123" s="2">
        <f t="shared" si="61"/>
        <v>4.8821537696144448</v>
      </c>
      <c r="O123" s="2">
        <f t="shared" si="61"/>
        <v>59.306790964825055</v>
      </c>
      <c r="P123" s="2">
        <f t="shared" si="61"/>
        <v>0.57565749515808928</v>
      </c>
      <c r="X123">
        <v>313.70555999999999</v>
      </c>
      <c r="Y123">
        <v>320.03176999999999</v>
      </c>
      <c r="Z123" s="2">
        <f t="shared" si="53"/>
        <v>6.3262100000000032</v>
      </c>
      <c r="AA123" s="2">
        <f t="shared" si="54"/>
        <v>6.475689999999986</v>
      </c>
      <c r="AB123" s="2">
        <f t="shared" si="55"/>
        <v>0.49416180410720351</v>
      </c>
      <c r="AC123" s="2">
        <f t="shared" si="56"/>
        <v>0.50583819589279644</v>
      </c>
      <c r="AD123" s="2">
        <f t="shared" si="57"/>
        <v>0.15807252683676315</v>
      </c>
      <c r="AE123" s="2">
        <f t="shared" si="58"/>
        <v>7.8113405041439224E-2</v>
      </c>
      <c r="AF123" s="2">
        <f t="shared" si="59"/>
        <v>12.801899999999989</v>
      </c>
      <c r="AG123">
        <v>76</v>
      </c>
      <c r="AH123">
        <f t="shared" si="51"/>
        <v>12.013512039594</v>
      </c>
    </row>
    <row r="124" spans="6:34" x14ac:dyDescent="0.35">
      <c r="G124" s="49" t="s">
        <v>95</v>
      </c>
      <c r="H124" s="2">
        <f>H123/SQRT(COUNT(H102:H113))</f>
        <v>1.3152370113761569</v>
      </c>
      <c r="I124" s="2">
        <f t="shared" ref="I124:P124" si="62">I123/SQRT(COUNT(I102:I113))</f>
        <v>0.60594198673585153</v>
      </c>
      <c r="J124" s="2">
        <f t="shared" si="62"/>
        <v>2.2911305988553763E-2</v>
      </c>
      <c r="K124" s="2">
        <f t="shared" si="62"/>
        <v>2.2911305988553798E-2</v>
      </c>
      <c r="L124" s="2">
        <f t="shared" si="62"/>
        <v>5.7930111509137553E-3</v>
      </c>
      <c r="M124" s="2">
        <f t="shared" si="62"/>
        <v>1.4333999427423891E-3</v>
      </c>
      <c r="N124" s="2">
        <f t="shared" si="62"/>
        <v>1.409356396556023</v>
      </c>
      <c r="O124" s="2">
        <f t="shared" si="62"/>
        <v>17.120395864157306</v>
      </c>
      <c r="P124" s="2">
        <f t="shared" si="62"/>
        <v>0.16617800489527429</v>
      </c>
      <c r="X124">
        <v>326.50745999999998</v>
      </c>
      <c r="Y124">
        <v>338.55288000000002</v>
      </c>
      <c r="Z124" s="2">
        <f t="shared" si="53"/>
        <v>12.045420000000036</v>
      </c>
      <c r="AA124" s="2">
        <f t="shared" si="54"/>
        <v>6.6930999999999585</v>
      </c>
      <c r="AB124" s="2">
        <f t="shared" si="55"/>
        <v>0.64281597479416941</v>
      </c>
      <c r="AC124" s="2">
        <f t="shared" si="56"/>
        <v>0.35718402520583059</v>
      </c>
      <c r="AD124" s="2">
        <f t="shared" si="57"/>
        <v>8.3019106017058517E-2</v>
      </c>
      <c r="AE124" s="2">
        <f t="shared" si="58"/>
        <v>5.3366007560895969E-2</v>
      </c>
      <c r="AF124" s="2">
        <f t="shared" si="59"/>
        <v>18.738519999999994</v>
      </c>
      <c r="AG124">
        <v>123</v>
      </c>
      <c r="AH124">
        <f t="shared" si="51"/>
        <v>10.211350040098198</v>
      </c>
    </row>
    <row r="125" spans="6:34" x14ac:dyDescent="0.35">
      <c r="X125">
        <v>345.24597999999997</v>
      </c>
      <c r="Y125">
        <v>354.899</v>
      </c>
      <c r="Z125" s="2">
        <f t="shared" si="53"/>
        <v>9.6530200000000264</v>
      </c>
      <c r="AA125" s="2"/>
      <c r="AB125" s="2"/>
      <c r="AC125" s="2"/>
      <c r="AD125" s="2"/>
      <c r="AE125" s="2"/>
      <c r="AF125" s="2"/>
    </row>
    <row r="126" spans="6:34" x14ac:dyDescent="0.35">
      <c r="Z126" s="2"/>
      <c r="AA126" s="2"/>
      <c r="AB126" s="2"/>
      <c r="AC126" s="2"/>
      <c r="AD126" s="2"/>
      <c r="AE126" s="2"/>
      <c r="AF126" s="2"/>
    </row>
    <row r="131" spans="6:34" ht="19" thickBot="1" x14ac:dyDescent="0.5">
      <c r="F131" s="1" t="s">
        <v>52</v>
      </c>
      <c r="G131" s="3"/>
      <c r="H131" s="3"/>
      <c r="I131" s="3"/>
      <c r="J131" s="3"/>
      <c r="K131" s="3"/>
      <c r="L131" s="3"/>
      <c r="M131" s="3"/>
      <c r="N131" s="3"/>
      <c r="O131" s="3"/>
      <c r="Y131" s="13"/>
      <c r="Z131" s="9" t="s">
        <v>3</v>
      </c>
      <c r="AA131" s="9" t="s">
        <v>4</v>
      </c>
      <c r="AB131" s="9" t="s">
        <v>5</v>
      </c>
      <c r="AC131" s="9" t="s">
        <v>6</v>
      </c>
      <c r="AD131" s="9" t="s">
        <v>7</v>
      </c>
      <c r="AE131" s="9" t="s">
        <v>8</v>
      </c>
      <c r="AF131" s="9" t="s">
        <v>9</v>
      </c>
      <c r="AG131" s="9" t="s">
        <v>10</v>
      </c>
      <c r="AH131" s="44" t="s">
        <v>139</v>
      </c>
    </row>
    <row r="132" spans="6:34" ht="16" thickBot="1" x14ac:dyDescent="0.4">
      <c r="F132" s="9" t="s">
        <v>11</v>
      </c>
      <c r="G132" s="9" t="s">
        <v>12</v>
      </c>
      <c r="H132" s="9" t="s">
        <v>3</v>
      </c>
      <c r="I132" s="9" t="s">
        <v>4</v>
      </c>
      <c r="J132" s="9" t="s">
        <v>655</v>
      </c>
      <c r="K132" s="9" t="s">
        <v>654</v>
      </c>
      <c r="L132" s="9" t="s">
        <v>653</v>
      </c>
      <c r="M132" s="9" t="s">
        <v>8</v>
      </c>
      <c r="N132" s="9" t="s">
        <v>9</v>
      </c>
      <c r="O132" s="9" t="s">
        <v>10</v>
      </c>
      <c r="P132" s="44" t="s">
        <v>139</v>
      </c>
      <c r="Y132" s="49" t="s">
        <v>77</v>
      </c>
      <c r="Z132" s="2">
        <f>AVERAGE(Z102:Z124)</f>
        <v>8.0326965217391315</v>
      </c>
      <c r="AA132" s="2">
        <f t="shared" ref="AA132:AH132" si="63">AVERAGE(AA102:AA124)</f>
        <v>6.496636521739128</v>
      </c>
      <c r="AB132" s="2">
        <f t="shared" si="63"/>
        <v>0.54897467419830281</v>
      </c>
      <c r="AC132" s="2">
        <f t="shared" si="63"/>
        <v>0.4510253258016973</v>
      </c>
      <c r="AD132" s="2">
        <f t="shared" si="63"/>
        <v>0.12854558588230314</v>
      </c>
      <c r="AE132" s="2">
        <f t="shared" si="63"/>
        <v>6.9586668522716236E-2</v>
      </c>
      <c r="AF132" s="2">
        <f t="shared" si="63"/>
        <v>14.529333043478259</v>
      </c>
      <c r="AG132" s="2">
        <f t="shared" si="63"/>
        <v>91.391304347826093</v>
      </c>
      <c r="AH132" s="2">
        <f t="shared" si="63"/>
        <v>11.476797735292278</v>
      </c>
    </row>
    <row r="133" spans="6:34" x14ac:dyDescent="0.35">
      <c r="F133">
        <v>7.2959999999999997E-2</v>
      </c>
      <c r="G133">
        <v>7.4174600000000002</v>
      </c>
      <c r="H133" s="2">
        <f>G133-F133</f>
        <v>7.3445</v>
      </c>
      <c r="I133" s="2">
        <f>F134-G133</f>
        <v>13.257060000000001</v>
      </c>
      <c r="J133" s="2">
        <f>H133/N133</f>
        <v>0.35650212896499101</v>
      </c>
      <c r="K133" s="2">
        <f>I133/N133</f>
        <v>0.64349787103500911</v>
      </c>
      <c r="L133" s="2">
        <f>1/H133</f>
        <v>0.1361563074409422</v>
      </c>
      <c r="M133" s="2">
        <f>1/N133</f>
        <v>4.8540013474707745E-2</v>
      </c>
      <c r="N133" s="2">
        <f>H133+I133</f>
        <v>20.601559999999999</v>
      </c>
      <c r="O133">
        <v>69</v>
      </c>
      <c r="P133">
        <f>O133/H133</f>
        <v>9.3947852134250116</v>
      </c>
      <c r="Y133" s="49" t="s">
        <v>94</v>
      </c>
      <c r="Z133" s="2">
        <f>_xlfn.STDEV.S(Z102:Z124)</f>
        <v>1.5039286677825676</v>
      </c>
      <c r="AA133" s="2">
        <f t="shared" ref="AA133:AH133" si="64">_xlfn.STDEV.S(AA102:AA124)</f>
        <v>0.42286578845053929</v>
      </c>
      <c r="AB133" s="2">
        <f t="shared" si="64"/>
        <v>4.7470654112194387E-2</v>
      </c>
      <c r="AC133" s="2">
        <f t="shared" si="64"/>
        <v>4.7470654112193936E-2</v>
      </c>
      <c r="AD133" s="2">
        <f t="shared" si="64"/>
        <v>2.3168161855516529E-2</v>
      </c>
      <c r="AE133" s="2">
        <f t="shared" si="64"/>
        <v>7.3243891255166419E-3</v>
      </c>
      <c r="AF133" s="2">
        <f t="shared" si="64"/>
        <v>1.5907320089061177</v>
      </c>
      <c r="AG133" s="2">
        <f t="shared" si="64"/>
        <v>12.946530354552296</v>
      </c>
      <c r="AH133" s="2">
        <f t="shared" si="64"/>
        <v>0.719962264907275</v>
      </c>
    </row>
    <row r="134" spans="6:34" x14ac:dyDescent="0.35">
      <c r="F134">
        <v>20.674520000000001</v>
      </c>
      <c r="G134">
        <v>30.47748</v>
      </c>
      <c r="H134" s="2">
        <f>G134-F134</f>
        <v>9.8029599999999988</v>
      </c>
      <c r="I134" s="2">
        <f>F135-G134</f>
        <v>12.250300000000003</v>
      </c>
      <c r="J134" s="2">
        <f>H134/N134</f>
        <v>0.44451296543005425</v>
      </c>
      <c r="K134" s="2">
        <f>I134/N134</f>
        <v>0.55548703456994575</v>
      </c>
      <c r="L134" s="2">
        <f>1/H134</f>
        <v>0.10201000514130427</v>
      </c>
      <c r="M134" s="2">
        <f>1/N134</f>
        <v>4.5344769888896241E-2</v>
      </c>
      <c r="N134" s="2">
        <f>H134+I134</f>
        <v>22.053260000000002</v>
      </c>
      <c r="O134">
        <v>108</v>
      </c>
      <c r="P134">
        <f>O134/H134</f>
        <v>11.017080555260861</v>
      </c>
      <c r="Y134" s="49" t="s">
        <v>95</v>
      </c>
      <c r="Z134" s="2">
        <f>Z133/SQRT(COUNT(Z102:Z124))</f>
        <v>0.31359080494631919</v>
      </c>
      <c r="AA134" s="2">
        <f t="shared" ref="AA134:AH134" si="65">AA133/SQRT(COUNT(AA102:AA124))</f>
        <v>8.8173612103547142E-2</v>
      </c>
      <c r="AB134" s="2">
        <f t="shared" si="65"/>
        <v>9.8983156271102799E-3</v>
      </c>
      <c r="AC134" s="2">
        <f t="shared" si="65"/>
        <v>9.8983156271101862E-3</v>
      </c>
      <c r="AD134" s="2">
        <f t="shared" si="65"/>
        <v>4.8308956940824998E-3</v>
      </c>
      <c r="AE134" s="2">
        <f t="shared" si="65"/>
        <v>1.5272407068331129E-3</v>
      </c>
      <c r="AF134" s="2">
        <f t="shared" si="65"/>
        <v>0.33169055275889259</v>
      </c>
      <c r="AG134" s="2">
        <f t="shared" si="65"/>
        <v>2.6995381909516047</v>
      </c>
      <c r="AH134" s="2">
        <f t="shared" si="65"/>
        <v>0.15012250981034489</v>
      </c>
    </row>
    <row r="135" spans="6:34" x14ac:dyDescent="0.35">
      <c r="F135">
        <v>42.727780000000003</v>
      </c>
      <c r="G135">
        <v>198.80323000000001</v>
      </c>
      <c r="H135" s="2">
        <f>G135-F135</f>
        <v>156.07545000000002</v>
      </c>
      <c r="I135" s="2">
        <f>F136-G135</f>
        <v>10.42376999999999</v>
      </c>
      <c r="J135" s="2">
        <f>H135/N135</f>
        <v>0.93739448148766114</v>
      </c>
      <c r="K135" s="2">
        <f>I135/N135</f>
        <v>6.260551851233892E-2</v>
      </c>
      <c r="L135" s="2">
        <f>1/H135</f>
        <v>6.4071575638577358E-3</v>
      </c>
      <c r="M135" s="2">
        <f>1/N135</f>
        <v>6.0060341423821681E-3</v>
      </c>
      <c r="N135" s="2">
        <f>H135+I135</f>
        <v>166.49922000000001</v>
      </c>
      <c r="O135">
        <v>1514</v>
      </c>
      <c r="P135">
        <f>O135/H135</f>
        <v>9.7004365516806121</v>
      </c>
    </row>
    <row r="136" spans="6:34" x14ac:dyDescent="0.35">
      <c r="F136">
        <v>209.227</v>
      </c>
      <c r="G136">
        <v>239.95961</v>
      </c>
      <c r="H136" s="2">
        <f>G136-F136</f>
        <v>30.732609999999994</v>
      </c>
      <c r="I136" s="2"/>
      <c r="J136" s="2"/>
      <c r="K136" s="2"/>
      <c r="L136" s="2"/>
      <c r="M136" s="2"/>
      <c r="N136" s="2"/>
    </row>
    <row r="137" spans="6:34" x14ac:dyDescent="0.35">
      <c r="H137" s="2"/>
      <c r="I137" s="2"/>
      <c r="J137" s="2"/>
      <c r="K137" s="2"/>
      <c r="L137" s="2"/>
      <c r="M137" s="2"/>
      <c r="N137" s="2"/>
    </row>
    <row r="138" spans="6:34" x14ac:dyDescent="0.35">
      <c r="H138" s="2"/>
      <c r="I138" s="2"/>
      <c r="J138" s="2"/>
      <c r="K138" s="2"/>
      <c r="L138" s="2"/>
      <c r="M138" s="2"/>
      <c r="N138" s="2"/>
    </row>
    <row r="139" spans="6:34" x14ac:dyDescent="0.35">
      <c r="H139" s="2"/>
      <c r="I139" s="2"/>
      <c r="J139" s="2"/>
      <c r="K139" s="2"/>
      <c r="L139" s="2"/>
      <c r="M139" s="2"/>
      <c r="N139" s="2"/>
    </row>
    <row r="140" spans="6:34" ht="16" thickBot="1" x14ac:dyDescent="0.4">
      <c r="G140" s="13"/>
      <c r="H140" s="9" t="s">
        <v>3</v>
      </c>
      <c r="I140" s="9" t="s">
        <v>4</v>
      </c>
      <c r="J140" s="9" t="s">
        <v>5</v>
      </c>
      <c r="K140" s="9" t="s">
        <v>6</v>
      </c>
      <c r="L140" s="9" t="s">
        <v>7</v>
      </c>
      <c r="M140" s="9" t="s">
        <v>8</v>
      </c>
      <c r="N140" s="9" t="s">
        <v>9</v>
      </c>
      <c r="O140" s="9" t="s">
        <v>10</v>
      </c>
      <c r="P140" s="44" t="s">
        <v>139</v>
      </c>
    </row>
    <row r="141" spans="6:34" x14ac:dyDescent="0.35">
      <c r="G141" s="49" t="s">
        <v>77</v>
      </c>
      <c r="H141" s="2">
        <f>AVERAGE(H133:H135)</f>
        <v>57.740970000000004</v>
      </c>
      <c r="I141" s="2">
        <f t="shared" ref="I141:P141" si="66">AVERAGE(I133:I135)</f>
        <v>11.977043333333333</v>
      </c>
      <c r="J141" s="2">
        <f>AVERAGE(J133:J135)</f>
        <v>0.57946985862756872</v>
      </c>
      <c r="K141" s="2">
        <f t="shared" si="66"/>
        <v>0.42053014137243122</v>
      </c>
      <c r="L141" s="2">
        <f t="shared" si="66"/>
        <v>8.1524490048701395E-2</v>
      </c>
      <c r="M141" s="2">
        <f t="shared" si="66"/>
        <v>3.3296939168662047E-2</v>
      </c>
      <c r="N141" s="2">
        <f t="shared" si="66"/>
        <v>69.718013333333332</v>
      </c>
      <c r="O141" s="2">
        <f t="shared" si="66"/>
        <v>563.66666666666663</v>
      </c>
      <c r="P141" s="2">
        <f t="shared" si="66"/>
        <v>10.037434106788828</v>
      </c>
    </row>
    <row r="142" spans="6:34" x14ac:dyDescent="0.35">
      <c r="G142" s="49" t="s">
        <v>94</v>
      </c>
      <c r="H142" s="2">
        <f>_xlfn.STDEV.S(H133:H135)</f>
        <v>85.169028842917442</v>
      </c>
      <c r="I142" s="2">
        <f t="shared" ref="I142:P142" si="67">_xlfn.STDEV.S(I133:I135)</f>
        <v>1.4362746814009324</v>
      </c>
      <c r="J142" s="2">
        <f>_xlfn.STDEV.S(J133:J135)</f>
        <v>0.31307986771904478</v>
      </c>
      <c r="K142" s="2">
        <f t="shared" si="67"/>
        <v>0.31307986771904472</v>
      </c>
      <c r="L142" s="2">
        <f t="shared" si="67"/>
        <v>6.7256618409740732E-2</v>
      </c>
      <c r="M142" s="2">
        <f t="shared" si="67"/>
        <v>2.368855247283462E-2</v>
      </c>
      <c r="N142" s="2">
        <f t="shared" si="67"/>
        <v>83.818126506827468</v>
      </c>
      <c r="O142" s="2">
        <f t="shared" si="67"/>
        <v>823.24378730321018</v>
      </c>
      <c r="P142" s="2">
        <f t="shared" si="67"/>
        <v>0.86205339634344036</v>
      </c>
    </row>
    <row r="143" spans="6:34" x14ac:dyDescent="0.35">
      <c r="G143" s="49" t="s">
        <v>95</v>
      </c>
      <c r="H143" s="2">
        <f>H142/SQRT(COUNT(H133:H135))</f>
        <v>49.172361729077387</v>
      </c>
      <c r="I143" s="2">
        <f t="shared" ref="I143:P143" si="68">I142/SQRT(COUNT(I133:I135))</f>
        <v>0.82923357393707231</v>
      </c>
      <c r="J143" s="2">
        <f>J142/SQRT(COUNT(J133:J135))</f>
        <v>0.18075674590544294</v>
      </c>
      <c r="K143" s="2">
        <f t="shared" si="68"/>
        <v>0.18075674590544291</v>
      </c>
      <c r="L143" s="2">
        <f t="shared" si="68"/>
        <v>3.8830626743647755E-2</v>
      </c>
      <c r="M143" s="2">
        <f t="shared" si="68"/>
        <v>1.3676592146903643E-2</v>
      </c>
      <c r="N143" s="2">
        <f t="shared" si="68"/>
        <v>48.392417901686947</v>
      </c>
      <c r="O143" s="2">
        <f t="shared" si="68"/>
        <v>475.30002220819546</v>
      </c>
      <c r="P143" s="2">
        <f t="shared" si="68"/>
        <v>0.49770676043471646</v>
      </c>
    </row>
    <row r="147" spans="24:35" ht="18.5" x14ac:dyDescent="0.45">
      <c r="X147" s="1" t="s">
        <v>87</v>
      </c>
      <c r="Y147" s="3"/>
      <c r="Z147" s="3"/>
      <c r="AA147" s="3"/>
      <c r="AB147" s="3"/>
      <c r="AC147" s="3"/>
      <c r="AD147" s="3"/>
      <c r="AE147" s="3"/>
      <c r="AF147" s="3"/>
      <c r="AG147" s="3"/>
    </row>
    <row r="148" spans="24:35" ht="16" thickBot="1" x14ac:dyDescent="0.4">
      <c r="X148" s="9" t="s">
        <v>11</v>
      </c>
      <c r="Y148" s="9" t="s">
        <v>12</v>
      </c>
      <c r="Z148" s="9" t="s">
        <v>3</v>
      </c>
      <c r="AA148" s="9" t="s">
        <v>4</v>
      </c>
      <c r="AB148" s="9" t="s">
        <v>655</v>
      </c>
      <c r="AC148" s="9" t="s">
        <v>654</v>
      </c>
      <c r="AD148" s="9" t="s">
        <v>653</v>
      </c>
      <c r="AE148" s="9" t="s">
        <v>8</v>
      </c>
      <c r="AF148" s="9" t="s">
        <v>9</v>
      </c>
      <c r="AG148" s="9" t="s">
        <v>10</v>
      </c>
      <c r="AH148" s="44" t="s">
        <v>139</v>
      </c>
    </row>
    <row r="149" spans="24:35" x14ac:dyDescent="0.35">
      <c r="X149">
        <v>13.91442</v>
      </c>
      <c r="Y149">
        <v>20.084769999999999</v>
      </c>
      <c r="Z149" s="2">
        <f>Y149-X149</f>
        <v>6.1703499999999991</v>
      </c>
      <c r="AA149" s="2">
        <f>X150-Y149</f>
        <v>7.2728199999999994</v>
      </c>
      <c r="AB149" s="2">
        <f>Z149/AF149</f>
        <v>0.45899516259929762</v>
      </c>
      <c r="AC149" s="2">
        <f>AA149/AF149</f>
        <v>0.54100483740070238</v>
      </c>
      <c r="AD149" s="2">
        <f>1/Z149</f>
        <v>0.16206536096007523</v>
      </c>
      <c r="AE149" s="2">
        <f>1/AF149</f>
        <v>7.4387216705583584E-2</v>
      </c>
      <c r="AF149" s="2">
        <f>Z149+AA149</f>
        <v>13.443169999999999</v>
      </c>
      <c r="AG149">
        <v>79</v>
      </c>
      <c r="AH149">
        <f>AG149/Z149</f>
        <v>12.803163515845943</v>
      </c>
    </row>
    <row r="150" spans="24:35" x14ac:dyDescent="0.35">
      <c r="X150">
        <v>27.357589999999998</v>
      </c>
      <c r="Y150">
        <v>36.362119999999997</v>
      </c>
      <c r="Z150" s="2">
        <f t="shared" ref="Z150:Z180" si="69">Y150-X150</f>
        <v>9.004529999999999</v>
      </c>
      <c r="AA150" s="2">
        <f t="shared" ref="AA150:AA179" si="70">X151-Y150</f>
        <v>7.1970300000000051</v>
      </c>
      <c r="AB150" s="2">
        <f t="shared" ref="AB150:AB179" si="71">Z150/AF150</f>
        <v>0.5557816654692509</v>
      </c>
      <c r="AC150" s="2">
        <f t="shared" ref="AC150:AC179" si="72">AA150/AF150</f>
        <v>0.4442183345307491</v>
      </c>
      <c r="AD150" s="2">
        <f t="shared" ref="AD150:AD179" si="73">1/Z150</f>
        <v>0.11105521332040652</v>
      </c>
      <c r="AE150" s="2">
        <f t="shared" ref="AE150:AE179" si="74">1/AF150</f>
        <v>6.1722451418258474E-2</v>
      </c>
      <c r="AF150" s="2">
        <f t="shared" ref="AF150:AF179" si="75">Z150+AA150</f>
        <v>16.201560000000004</v>
      </c>
      <c r="AG150">
        <v>101</v>
      </c>
      <c r="AH150">
        <f t="shared" ref="AH150:AH179" si="76">AG150/Z150</f>
        <v>11.216576545361058</v>
      </c>
    </row>
    <row r="151" spans="24:35" x14ac:dyDescent="0.35">
      <c r="X151">
        <v>43.559150000000002</v>
      </c>
      <c r="Y151">
        <v>51.105829999999997</v>
      </c>
      <c r="Z151" s="2">
        <f t="shared" si="69"/>
        <v>7.5466799999999949</v>
      </c>
      <c r="AA151" s="2">
        <f t="shared" si="70"/>
        <v>7.1930700000000058</v>
      </c>
      <c r="AB151" s="2">
        <f t="shared" si="71"/>
        <v>0.51199511524957986</v>
      </c>
      <c r="AC151" s="2">
        <f t="shared" si="72"/>
        <v>0.48800488475042014</v>
      </c>
      <c r="AD151" s="2">
        <f t="shared" si="73"/>
        <v>0.13250859980812763</v>
      </c>
      <c r="AE151" s="2">
        <f t="shared" si="74"/>
        <v>6.7843755830322761E-2</v>
      </c>
      <c r="AF151" s="2">
        <f t="shared" si="75"/>
        <v>14.739750000000001</v>
      </c>
      <c r="AG151">
        <v>90</v>
      </c>
      <c r="AH151">
        <f t="shared" si="76"/>
        <v>11.925773982731487</v>
      </c>
    </row>
    <row r="152" spans="24:35" x14ac:dyDescent="0.35">
      <c r="X152">
        <v>58.298900000000003</v>
      </c>
      <c r="Y152">
        <v>67.247870000000006</v>
      </c>
      <c r="Z152" s="2">
        <f t="shared" si="69"/>
        <v>8.9489700000000028</v>
      </c>
      <c r="AA152" s="2">
        <f t="shared" si="70"/>
        <v>10.210309999999993</v>
      </c>
      <c r="AB152" s="2">
        <f t="shared" si="71"/>
        <v>0.46708279225524157</v>
      </c>
      <c r="AC152" s="2">
        <f t="shared" si="72"/>
        <v>0.53291720774475837</v>
      </c>
      <c r="AD152" s="2">
        <f t="shared" si="73"/>
        <v>0.11174470358041201</v>
      </c>
      <c r="AE152" s="2">
        <f t="shared" si="74"/>
        <v>5.2194028168073135E-2</v>
      </c>
      <c r="AF152" s="2">
        <f t="shared" si="75"/>
        <v>19.159279999999995</v>
      </c>
      <c r="AG152">
        <v>101</v>
      </c>
      <c r="AH152">
        <f t="shared" si="76"/>
        <v>11.286215061621613</v>
      </c>
    </row>
    <row r="153" spans="24:35" x14ac:dyDescent="0.35">
      <c r="X153">
        <v>77.458179999999999</v>
      </c>
      <c r="Y153">
        <v>85.011449999999996</v>
      </c>
      <c r="Z153" s="2">
        <f t="shared" si="69"/>
        <v>7.5532699999999977</v>
      </c>
      <c r="AA153" s="2">
        <f t="shared" si="70"/>
        <v>7.5485800000000012</v>
      </c>
      <c r="AB153" s="2">
        <f t="shared" si="71"/>
        <v>0.50015527898899792</v>
      </c>
      <c r="AC153" s="2">
        <f t="shared" si="72"/>
        <v>0.49984472101100208</v>
      </c>
      <c r="AD153" s="2">
        <f t="shared" si="73"/>
        <v>0.13239299005596256</v>
      </c>
      <c r="AE153" s="2">
        <f t="shared" si="74"/>
        <v>6.621705287762758E-2</v>
      </c>
      <c r="AF153" s="2">
        <f t="shared" si="75"/>
        <v>15.101849999999999</v>
      </c>
      <c r="AG153">
        <v>98</v>
      </c>
      <c r="AH153">
        <f t="shared" si="76"/>
        <v>12.974513025484331</v>
      </c>
    </row>
    <row r="154" spans="24:35" x14ac:dyDescent="0.35">
      <c r="X154">
        <v>92.560029999999998</v>
      </c>
      <c r="Y154">
        <v>99.400530000000003</v>
      </c>
      <c r="Z154" s="2">
        <f t="shared" si="69"/>
        <v>6.8405000000000058</v>
      </c>
      <c r="AA154" s="2">
        <f t="shared" si="70"/>
        <v>7.3203099999999921</v>
      </c>
      <c r="AB154" s="2">
        <f t="shared" si="71"/>
        <v>0.48305852560693963</v>
      </c>
      <c r="AC154" s="2">
        <f t="shared" si="72"/>
        <v>0.51694147439306037</v>
      </c>
      <c r="AD154" s="2">
        <f t="shared" si="73"/>
        <v>0.14618814414150999</v>
      </c>
      <c r="AE154" s="2">
        <f t="shared" si="74"/>
        <v>7.0617429370212592E-2</v>
      </c>
      <c r="AF154" s="2">
        <f t="shared" si="75"/>
        <v>14.160809999999998</v>
      </c>
      <c r="AG154">
        <v>87</v>
      </c>
      <c r="AH154">
        <f t="shared" si="76"/>
        <v>12.718368540311371</v>
      </c>
    </row>
    <row r="155" spans="24:35" x14ac:dyDescent="0.35">
      <c r="X155">
        <v>106.72084</v>
      </c>
      <c r="Y155">
        <v>112.92301</v>
      </c>
      <c r="Z155" s="2">
        <f t="shared" si="69"/>
        <v>6.2021700000000095</v>
      </c>
      <c r="AA155" s="2">
        <f t="shared" si="70"/>
        <v>7.0787399999999963</v>
      </c>
      <c r="AB155" s="2">
        <f t="shared" si="71"/>
        <v>0.46699887281820346</v>
      </c>
      <c r="AC155" s="2">
        <f t="shared" si="72"/>
        <v>0.53300112718179649</v>
      </c>
      <c r="AD155" s="2">
        <f t="shared" si="73"/>
        <v>0.1612338907188933</v>
      </c>
      <c r="AE155" s="2">
        <f t="shared" si="74"/>
        <v>7.5296045225816566E-2</v>
      </c>
      <c r="AF155" s="2">
        <f t="shared" si="75"/>
        <v>13.280910000000006</v>
      </c>
      <c r="AG155">
        <v>82</v>
      </c>
      <c r="AH155">
        <f t="shared" si="76"/>
        <v>13.22117903894925</v>
      </c>
      <c r="AI155" s="2"/>
    </row>
    <row r="156" spans="24:35" x14ac:dyDescent="0.35">
      <c r="X156">
        <v>120.00175</v>
      </c>
      <c r="Y156" s="13">
        <v>127.44535999999999</v>
      </c>
      <c r="Z156" s="2">
        <f t="shared" si="69"/>
        <v>7.4436099999999925</v>
      </c>
      <c r="AA156" s="2">
        <f t="shared" si="70"/>
        <v>7.6503900000000158</v>
      </c>
      <c r="AB156" s="2">
        <f t="shared" si="71"/>
        <v>0.49315025838081278</v>
      </c>
      <c r="AC156" s="2">
        <f t="shared" si="72"/>
        <v>0.50684974161918717</v>
      </c>
      <c r="AD156" s="2">
        <f t="shared" si="73"/>
        <v>0.13434341670237976</v>
      </c>
      <c r="AE156" s="2">
        <f t="shared" si="74"/>
        <v>6.6251490658539774E-2</v>
      </c>
      <c r="AF156" s="2">
        <f t="shared" si="75"/>
        <v>15.094000000000008</v>
      </c>
      <c r="AG156">
        <v>90</v>
      </c>
      <c r="AH156">
        <f t="shared" si="76"/>
        <v>12.090907503214179</v>
      </c>
      <c r="AI156" s="2"/>
    </row>
    <row r="157" spans="24:35" x14ac:dyDescent="0.35">
      <c r="X157">
        <v>135.09575000000001</v>
      </c>
      <c r="Y157" s="45">
        <v>142.89026999999999</v>
      </c>
      <c r="Z157" s="2">
        <f t="shared" si="69"/>
        <v>7.7945199999999772</v>
      </c>
      <c r="AA157" s="2">
        <f t="shared" si="70"/>
        <v>7.549430000000001</v>
      </c>
      <c r="AB157" s="2">
        <f t="shared" si="71"/>
        <v>0.50798653540972094</v>
      </c>
      <c r="AC157" s="2">
        <f t="shared" si="72"/>
        <v>0.492013464590279</v>
      </c>
      <c r="AD157" s="2">
        <f t="shared" si="73"/>
        <v>0.12829526385204001</v>
      </c>
      <c r="AE157" s="2">
        <f t="shared" si="74"/>
        <v>6.5172266593673825E-2</v>
      </c>
      <c r="AF157" s="2">
        <f t="shared" si="75"/>
        <v>15.343949999999978</v>
      </c>
      <c r="AG157">
        <v>94</v>
      </c>
      <c r="AH157">
        <f t="shared" si="76"/>
        <v>12.059754802091762</v>
      </c>
      <c r="AI157" s="2"/>
    </row>
    <row r="158" spans="24:35" x14ac:dyDescent="0.35">
      <c r="X158">
        <v>150.43969999999999</v>
      </c>
      <c r="Y158" s="45">
        <v>156.34583000000001</v>
      </c>
      <c r="Z158" s="2">
        <f t="shared" si="69"/>
        <v>5.9061300000000188</v>
      </c>
      <c r="AA158" s="2">
        <f t="shared" si="70"/>
        <v>7.4040899999999965</v>
      </c>
      <c r="AB158" s="2">
        <f t="shared" si="71"/>
        <v>0.44372895414200608</v>
      </c>
      <c r="AC158" s="2">
        <f t="shared" si="72"/>
        <v>0.55627104585799392</v>
      </c>
      <c r="AD158" s="2">
        <f t="shared" si="73"/>
        <v>0.16931560937534337</v>
      </c>
      <c r="AE158" s="2">
        <f t="shared" si="74"/>
        <v>7.5130238268037552E-2</v>
      </c>
      <c r="AF158" s="2">
        <f t="shared" si="75"/>
        <v>13.310220000000015</v>
      </c>
      <c r="AG158">
        <v>76</v>
      </c>
      <c r="AH158">
        <f t="shared" si="76"/>
        <v>12.867986312526098</v>
      </c>
      <c r="AI158" s="2"/>
    </row>
    <row r="159" spans="24:35" x14ac:dyDescent="0.35">
      <c r="X159">
        <v>163.74992</v>
      </c>
      <c r="Y159" s="45">
        <v>170.08276000000001</v>
      </c>
      <c r="Z159" s="2">
        <f t="shared" si="69"/>
        <v>6.3328400000000045</v>
      </c>
      <c r="AA159" s="2">
        <f t="shared" si="70"/>
        <v>7.1851099999999803</v>
      </c>
      <c r="AB159" s="2">
        <f t="shared" si="71"/>
        <v>0.46847635921127179</v>
      </c>
      <c r="AC159" s="2">
        <f t="shared" si="72"/>
        <v>0.53152364078872816</v>
      </c>
      <c r="AD159" s="2">
        <f t="shared" si="73"/>
        <v>0.15790703696919539</v>
      </c>
      <c r="AE159" s="2">
        <f t="shared" si="74"/>
        <v>7.3975713773168347E-2</v>
      </c>
      <c r="AF159" s="2">
        <f t="shared" si="75"/>
        <v>13.517949999999985</v>
      </c>
      <c r="AG159">
        <v>80</v>
      </c>
      <c r="AH159">
        <f t="shared" si="76"/>
        <v>12.632562957535631</v>
      </c>
      <c r="AI159" s="2"/>
    </row>
    <row r="160" spans="24:35" x14ac:dyDescent="0.35">
      <c r="X160">
        <v>177.26786999999999</v>
      </c>
      <c r="Y160">
        <v>183.02626000000001</v>
      </c>
      <c r="Z160" s="2">
        <f t="shared" si="69"/>
        <v>5.7583900000000199</v>
      </c>
      <c r="AA160" s="2">
        <f t="shared" si="70"/>
        <v>7.4388699999999801</v>
      </c>
      <c r="AB160" s="2">
        <f t="shared" si="71"/>
        <v>0.4363322386616631</v>
      </c>
      <c r="AC160" s="2">
        <f t="shared" si="72"/>
        <v>0.56366776133833696</v>
      </c>
      <c r="AD160" s="2">
        <f t="shared" si="73"/>
        <v>0.17365965139561518</v>
      </c>
      <c r="AE160" s="2">
        <f t="shared" si="74"/>
        <v>7.5773304458652782E-2</v>
      </c>
      <c r="AF160" s="2">
        <f t="shared" si="75"/>
        <v>13.19726</v>
      </c>
      <c r="AG160">
        <v>75</v>
      </c>
      <c r="AH160">
        <f t="shared" si="76"/>
        <v>13.02447385467114</v>
      </c>
    </row>
    <row r="161" spans="24:34" x14ac:dyDescent="0.35">
      <c r="X161">
        <v>190.46512999999999</v>
      </c>
      <c r="Y161">
        <v>197.74906999999999</v>
      </c>
      <c r="Z161" s="2">
        <f t="shared" si="69"/>
        <v>7.2839400000000012</v>
      </c>
      <c r="AA161" s="2">
        <f t="shared" si="70"/>
        <v>7.6880700000000104</v>
      </c>
      <c r="AB161" s="2">
        <f t="shared" si="71"/>
        <v>0.48650381612088128</v>
      </c>
      <c r="AC161" s="2">
        <f t="shared" si="72"/>
        <v>0.51349618387911877</v>
      </c>
      <c r="AD161" s="2">
        <f t="shared" si="73"/>
        <v>0.13728833570842153</v>
      </c>
      <c r="AE161" s="2">
        <f t="shared" si="74"/>
        <v>6.679129923103172E-2</v>
      </c>
      <c r="AF161" s="2">
        <f t="shared" si="75"/>
        <v>14.972010000000012</v>
      </c>
      <c r="AG161">
        <v>89</v>
      </c>
      <c r="AH161">
        <f t="shared" si="76"/>
        <v>12.218661878049515</v>
      </c>
    </row>
    <row r="162" spans="24:34" x14ac:dyDescent="0.35">
      <c r="X162">
        <v>205.43714</v>
      </c>
      <c r="Y162">
        <v>213.05391</v>
      </c>
      <c r="Z162" s="2">
        <f t="shared" si="69"/>
        <v>7.6167700000000025</v>
      </c>
      <c r="AA162" s="2">
        <f t="shared" si="70"/>
        <v>7.5944800000000043</v>
      </c>
      <c r="AB162" s="2">
        <f t="shared" si="71"/>
        <v>0.50073268140356642</v>
      </c>
      <c r="AC162" s="2">
        <f t="shared" si="72"/>
        <v>0.49926731859643364</v>
      </c>
      <c r="AD162" s="2">
        <f t="shared" si="73"/>
        <v>0.13128924727935853</v>
      </c>
      <c r="AE162" s="2">
        <f t="shared" si="74"/>
        <v>6.5740816829649079E-2</v>
      </c>
      <c r="AF162" s="2">
        <f t="shared" si="75"/>
        <v>15.211250000000007</v>
      </c>
      <c r="AG162">
        <v>94</v>
      </c>
      <c r="AH162">
        <f t="shared" si="76"/>
        <v>12.341189244259702</v>
      </c>
    </row>
    <row r="163" spans="24:34" x14ac:dyDescent="0.35">
      <c r="X163">
        <v>220.64839000000001</v>
      </c>
      <c r="Y163">
        <v>226.40548999999999</v>
      </c>
      <c r="Z163" s="2">
        <f t="shared" si="69"/>
        <v>5.7570999999999799</v>
      </c>
      <c r="AA163" s="2">
        <f t="shared" si="70"/>
        <v>7.384490000000028</v>
      </c>
      <c r="AB163" s="2">
        <f t="shared" si="71"/>
        <v>0.4380824542540116</v>
      </c>
      <c r="AC163" s="2">
        <f t="shared" si="72"/>
        <v>0.5619175457459884</v>
      </c>
      <c r="AD163" s="2">
        <f t="shared" si="73"/>
        <v>0.17369856351288035</v>
      </c>
      <c r="AE163" s="2">
        <f t="shared" si="74"/>
        <v>7.6094293004118935E-2</v>
      </c>
      <c r="AF163" s="2">
        <f t="shared" si="75"/>
        <v>13.141590000000008</v>
      </c>
      <c r="AG163">
        <v>76</v>
      </c>
      <c r="AH163">
        <f t="shared" si="76"/>
        <v>13.201090826978907</v>
      </c>
    </row>
    <row r="164" spans="24:34" x14ac:dyDescent="0.35">
      <c r="X164">
        <v>233.78998000000001</v>
      </c>
      <c r="Y164">
        <v>239.91577000000001</v>
      </c>
      <c r="Z164" s="2">
        <f t="shared" si="69"/>
        <v>6.125789999999995</v>
      </c>
      <c r="AA164" s="2">
        <f t="shared" si="70"/>
        <v>7.3294699999999864</v>
      </c>
      <c r="AB164" s="2">
        <f t="shared" si="71"/>
        <v>0.45527102411993553</v>
      </c>
      <c r="AC164" s="2">
        <f t="shared" si="72"/>
        <v>0.54472897588006453</v>
      </c>
      <c r="AD164" s="2">
        <f t="shared" si="73"/>
        <v>0.16324425094559245</v>
      </c>
      <c r="AE164" s="2">
        <f t="shared" si="74"/>
        <v>7.4320377309691626E-2</v>
      </c>
      <c r="AF164" s="2">
        <f t="shared" si="75"/>
        <v>13.455259999999981</v>
      </c>
      <c r="AG164">
        <v>79</v>
      </c>
      <c r="AH164">
        <f t="shared" si="76"/>
        <v>12.896295824701804</v>
      </c>
    </row>
    <row r="165" spans="24:34" x14ac:dyDescent="0.35">
      <c r="X165">
        <v>247.24524</v>
      </c>
      <c r="Y165">
        <v>254.09557000000001</v>
      </c>
      <c r="Z165" s="2">
        <f t="shared" si="69"/>
        <v>6.8503300000000138</v>
      </c>
      <c r="AA165" s="2">
        <f t="shared" si="70"/>
        <v>7.7510899999999765</v>
      </c>
      <c r="AB165" s="2">
        <f t="shared" si="71"/>
        <v>0.46915505478234432</v>
      </c>
      <c r="AC165" s="2">
        <f t="shared" si="72"/>
        <v>0.53084494521765568</v>
      </c>
      <c r="AD165" s="2">
        <f t="shared" si="73"/>
        <v>0.14597836892529237</v>
      </c>
      <c r="AE165" s="2">
        <f t="shared" si="74"/>
        <v>6.848648967018281E-2</v>
      </c>
      <c r="AF165" s="2">
        <f t="shared" si="75"/>
        <v>14.60141999999999</v>
      </c>
      <c r="AG165">
        <v>86</v>
      </c>
      <c r="AH165">
        <f t="shared" si="76"/>
        <v>12.554139727575143</v>
      </c>
    </row>
    <row r="166" spans="24:34" x14ac:dyDescent="0.35">
      <c r="X166">
        <v>261.84665999999999</v>
      </c>
      <c r="Y166">
        <v>268.46814999999998</v>
      </c>
      <c r="Z166" s="2">
        <f t="shared" si="69"/>
        <v>6.6214899999999943</v>
      </c>
      <c r="AA166" s="2">
        <f t="shared" si="70"/>
        <v>7.5245500000000334</v>
      </c>
      <c r="AB166" s="2">
        <f t="shared" si="71"/>
        <v>0.46808081979126182</v>
      </c>
      <c r="AC166" s="2">
        <f t="shared" si="72"/>
        <v>0.53191918020873818</v>
      </c>
      <c r="AD166" s="2">
        <f t="shared" si="73"/>
        <v>0.15102341013880574</v>
      </c>
      <c r="AE166" s="2">
        <f t="shared" si="74"/>
        <v>7.0691161625444157E-2</v>
      </c>
      <c r="AF166" s="2">
        <f t="shared" si="75"/>
        <v>14.146040000000028</v>
      </c>
      <c r="AG166">
        <v>84</v>
      </c>
      <c r="AH166">
        <f t="shared" si="76"/>
        <v>12.685966451659683</v>
      </c>
    </row>
    <row r="167" spans="24:34" x14ac:dyDescent="0.35">
      <c r="X167">
        <v>275.99270000000001</v>
      </c>
      <c r="Y167">
        <v>282.71755000000002</v>
      </c>
      <c r="Z167" s="2">
        <f t="shared" si="69"/>
        <v>6.7248500000000035</v>
      </c>
      <c r="AA167" s="2">
        <f t="shared" si="70"/>
        <v>7.0266199999999799</v>
      </c>
      <c r="AB167" s="2">
        <f t="shared" si="71"/>
        <v>0.48902771849118759</v>
      </c>
      <c r="AC167" s="2">
        <f t="shared" si="72"/>
        <v>0.51097228150881235</v>
      </c>
      <c r="AD167" s="2">
        <f t="shared" si="73"/>
        <v>0.14870220153609368</v>
      </c>
      <c r="AE167" s="2">
        <f t="shared" si="74"/>
        <v>7.2719498351812656E-2</v>
      </c>
      <c r="AF167" s="2">
        <f t="shared" si="75"/>
        <v>13.751469999999983</v>
      </c>
      <c r="AG167">
        <v>81</v>
      </c>
      <c r="AH167">
        <f t="shared" si="76"/>
        <v>12.044878324423587</v>
      </c>
    </row>
    <row r="168" spans="24:34" x14ac:dyDescent="0.35">
      <c r="X168">
        <v>289.74417</v>
      </c>
      <c r="Y168">
        <v>297.18092999999999</v>
      </c>
      <c r="Z168" s="2">
        <f t="shared" si="69"/>
        <v>7.4367599999999925</v>
      </c>
      <c r="AA168" s="2">
        <f t="shared" si="70"/>
        <v>7.5882000000000289</v>
      </c>
      <c r="AB168" s="2">
        <f t="shared" si="71"/>
        <v>0.49496038591783154</v>
      </c>
      <c r="AC168" s="2">
        <f t="shared" si="72"/>
        <v>0.50503961408216846</v>
      </c>
      <c r="AD168" s="2">
        <f t="shared" si="73"/>
        <v>0.13446716043007989</v>
      </c>
      <c r="AE168" s="2">
        <f t="shared" si="74"/>
        <v>6.6555917619747315E-2</v>
      </c>
      <c r="AF168" s="2">
        <f t="shared" si="75"/>
        <v>15.024960000000021</v>
      </c>
      <c r="AG168">
        <v>92</v>
      </c>
      <c r="AH168">
        <f t="shared" si="76"/>
        <v>12.37097875956735</v>
      </c>
    </row>
    <row r="169" spans="24:34" x14ac:dyDescent="0.35">
      <c r="X169">
        <v>304.76913000000002</v>
      </c>
      <c r="Y169">
        <v>315.09363999999999</v>
      </c>
      <c r="Z169" s="2">
        <f t="shared" si="69"/>
        <v>10.324509999999975</v>
      </c>
      <c r="AA169" s="2">
        <f t="shared" si="70"/>
        <v>8.1729200000000333</v>
      </c>
      <c r="AB169" s="2">
        <f t="shared" si="71"/>
        <v>0.55815916048877978</v>
      </c>
      <c r="AC169" s="2">
        <f t="shared" si="72"/>
        <v>0.44184083951122016</v>
      </c>
      <c r="AD169" s="2">
        <f t="shared" si="73"/>
        <v>9.6856896840625109E-2</v>
      </c>
      <c r="AE169" s="2">
        <f t="shared" si="74"/>
        <v>5.4061564228111661E-2</v>
      </c>
      <c r="AF169" s="2">
        <f t="shared" si="75"/>
        <v>18.497430000000008</v>
      </c>
      <c r="AG169">
        <v>116</v>
      </c>
      <c r="AH169">
        <f t="shared" si="76"/>
        <v>11.235400033512514</v>
      </c>
    </row>
    <row r="170" spans="24:34" x14ac:dyDescent="0.35">
      <c r="X170">
        <v>323.26656000000003</v>
      </c>
      <c r="Y170">
        <v>331.04723000000001</v>
      </c>
      <c r="Z170" s="2">
        <f t="shared" si="69"/>
        <v>7.7806699999999864</v>
      </c>
      <c r="AA170" s="2">
        <f t="shared" si="70"/>
        <v>7.8122399999999743</v>
      </c>
      <c r="AB170" s="2">
        <f t="shared" si="71"/>
        <v>0.49898768093960694</v>
      </c>
      <c r="AC170" s="2">
        <f t="shared" si="72"/>
        <v>0.50101231906039312</v>
      </c>
      <c r="AD170" s="2">
        <f t="shared" si="73"/>
        <v>0.12852363613930443</v>
      </c>
      <c r="AE170" s="2">
        <f t="shared" si="74"/>
        <v>6.4131711143077363E-2</v>
      </c>
      <c r="AF170" s="2">
        <f t="shared" si="75"/>
        <v>15.592909999999961</v>
      </c>
      <c r="AG170">
        <v>96</v>
      </c>
      <c r="AH170">
        <f t="shared" si="76"/>
        <v>12.338269069373224</v>
      </c>
    </row>
    <row r="171" spans="24:34" x14ac:dyDescent="0.35">
      <c r="X171">
        <v>338.85946999999999</v>
      </c>
      <c r="Y171">
        <v>346.14326</v>
      </c>
      <c r="Z171" s="2">
        <f t="shared" si="69"/>
        <v>7.2837900000000104</v>
      </c>
      <c r="AA171" s="2">
        <f t="shared" si="70"/>
        <v>7.5104000000000042</v>
      </c>
      <c r="AB171" s="2">
        <f t="shared" si="71"/>
        <v>0.49234125017996949</v>
      </c>
      <c r="AC171" s="2">
        <f t="shared" si="72"/>
        <v>0.50765874982003045</v>
      </c>
      <c r="AD171" s="2">
        <f t="shared" si="73"/>
        <v>0.13729116297971228</v>
      </c>
      <c r="AE171" s="2">
        <f t="shared" si="74"/>
        <v>6.7594102820093496E-2</v>
      </c>
      <c r="AF171" s="2">
        <f t="shared" si="75"/>
        <v>14.794190000000015</v>
      </c>
      <c r="AG171">
        <v>88</v>
      </c>
      <c r="AH171">
        <f t="shared" si="76"/>
        <v>12.081622342214681</v>
      </c>
    </row>
    <row r="172" spans="24:34" x14ac:dyDescent="0.35">
      <c r="X172">
        <v>353.65366</v>
      </c>
      <c r="Y172">
        <v>366.09005999999999</v>
      </c>
      <c r="Z172" s="2">
        <f t="shared" si="69"/>
        <v>12.436399999999992</v>
      </c>
      <c r="AA172" s="2">
        <f t="shared" si="70"/>
        <v>8.1394300000000044</v>
      </c>
      <c r="AB172" s="2">
        <f t="shared" si="71"/>
        <v>0.60441790197527845</v>
      </c>
      <c r="AC172" s="2">
        <f t="shared" si="72"/>
        <v>0.3955820980247215</v>
      </c>
      <c r="AD172" s="2">
        <f t="shared" si="73"/>
        <v>8.0409121610755571E-2</v>
      </c>
      <c r="AE172" s="2">
        <f t="shared" si="74"/>
        <v>4.8600712583647912E-2</v>
      </c>
      <c r="AF172" s="2">
        <f t="shared" si="75"/>
        <v>20.575829999999996</v>
      </c>
      <c r="AG172">
        <v>131</v>
      </c>
      <c r="AH172">
        <f t="shared" si="76"/>
        <v>10.533594931008981</v>
      </c>
    </row>
    <row r="173" spans="24:34" x14ac:dyDescent="0.35">
      <c r="X173">
        <v>374.22949</v>
      </c>
      <c r="Y173">
        <v>380.01646</v>
      </c>
      <c r="Z173" s="2">
        <f t="shared" si="69"/>
        <v>5.7869699999999966</v>
      </c>
      <c r="AA173" s="2">
        <f t="shared" si="70"/>
        <v>7.8664600000000178</v>
      </c>
      <c r="AB173" s="2">
        <f t="shared" si="71"/>
        <v>0.42384734092458748</v>
      </c>
      <c r="AC173" s="2">
        <f t="shared" si="72"/>
        <v>0.57615265907541247</v>
      </c>
      <c r="AD173" s="2">
        <f t="shared" si="73"/>
        <v>0.17280200173838825</v>
      </c>
      <c r="AE173" s="2">
        <f t="shared" si="74"/>
        <v>7.3241668943261798E-2</v>
      </c>
      <c r="AF173" s="2">
        <f t="shared" si="75"/>
        <v>13.653430000000014</v>
      </c>
      <c r="AG173">
        <v>76</v>
      </c>
      <c r="AH173">
        <f t="shared" si="76"/>
        <v>13.132952132117506</v>
      </c>
    </row>
    <row r="174" spans="24:34" x14ac:dyDescent="0.35">
      <c r="X174">
        <v>387.88292000000001</v>
      </c>
      <c r="Y174">
        <v>393.31150000000002</v>
      </c>
      <c r="Z174" s="2">
        <f t="shared" si="69"/>
        <v>5.4285800000000108</v>
      </c>
      <c r="AA174" s="2">
        <f t="shared" si="70"/>
        <v>7.6873999999999683</v>
      </c>
      <c r="AB174" s="2">
        <f t="shared" si="71"/>
        <v>0.41389053658209446</v>
      </c>
      <c r="AC174" s="2">
        <f t="shared" si="72"/>
        <v>0.58610946341790549</v>
      </c>
      <c r="AD174" s="2">
        <f t="shared" si="73"/>
        <v>0.1842102354575226</v>
      </c>
      <c r="AE174" s="2">
        <f t="shared" si="74"/>
        <v>7.6242873197427993E-2</v>
      </c>
      <c r="AF174" s="2">
        <f t="shared" si="75"/>
        <v>13.115979999999979</v>
      </c>
      <c r="AG174">
        <v>74</v>
      </c>
      <c r="AH174">
        <f t="shared" si="76"/>
        <v>13.631557423856671</v>
      </c>
    </row>
    <row r="175" spans="24:34" x14ac:dyDescent="0.35">
      <c r="X175">
        <v>400.99889999999999</v>
      </c>
      <c r="Y175">
        <v>407.37786</v>
      </c>
      <c r="Z175" s="2">
        <f t="shared" si="69"/>
        <v>6.3789600000000064</v>
      </c>
      <c r="AA175" s="2">
        <f t="shared" si="70"/>
        <v>7.9764000000000124</v>
      </c>
      <c r="AB175" s="2">
        <f t="shared" si="71"/>
        <v>0.44436085197445402</v>
      </c>
      <c r="AC175" s="2">
        <f t="shared" si="72"/>
        <v>0.55563914802554604</v>
      </c>
      <c r="AD175" s="2">
        <f t="shared" si="73"/>
        <v>0.15676536614118899</v>
      </c>
      <c r="AE175" s="2">
        <f t="shared" si="74"/>
        <v>6.9660391658585966E-2</v>
      </c>
      <c r="AF175" s="2">
        <f t="shared" si="75"/>
        <v>14.355360000000019</v>
      </c>
      <c r="AG175">
        <v>86</v>
      </c>
      <c r="AH175">
        <f t="shared" si="76"/>
        <v>13.481821488142254</v>
      </c>
    </row>
    <row r="176" spans="24:34" x14ac:dyDescent="0.35">
      <c r="X176">
        <v>415.35426000000001</v>
      </c>
      <c r="Y176">
        <v>423.76522</v>
      </c>
      <c r="Z176" s="2">
        <f t="shared" si="69"/>
        <v>8.4109599999999887</v>
      </c>
      <c r="AA176" s="2">
        <f t="shared" si="70"/>
        <v>7.9197500000000218</v>
      </c>
      <c r="AB176" s="2">
        <f t="shared" si="71"/>
        <v>0.51503945633716985</v>
      </c>
      <c r="AC176" s="2">
        <f t="shared" si="72"/>
        <v>0.48496054366283015</v>
      </c>
      <c r="AD176" s="2">
        <f t="shared" si="73"/>
        <v>0.11889249265244412</v>
      </c>
      <c r="AE176" s="2">
        <f t="shared" si="74"/>
        <v>6.1234324778285776E-2</v>
      </c>
      <c r="AF176" s="2">
        <f t="shared" si="75"/>
        <v>16.33071000000001</v>
      </c>
      <c r="AG176">
        <v>99</v>
      </c>
      <c r="AH176">
        <f t="shared" si="76"/>
        <v>11.770356772591967</v>
      </c>
    </row>
    <row r="177" spans="24:34" x14ac:dyDescent="0.35">
      <c r="X177">
        <v>431.68497000000002</v>
      </c>
      <c r="Y177">
        <v>437.15543000000002</v>
      </c>
      <c r="Z177" s="2">
        <f t="shared" si="69"/>
        <v>5.4704600000000028</v>
      </c>
      <c r="AA177" s="2">
        <f t="shared" si="70"/>
        <v>7.7139199999999732</v>
      </c>
      <c r="AB177" s="2">
        <f t="shared" si="71"/>
        <v>0.41491977628072102</v>
      </c>
      <c r="AC177" s="2">
        <f t="shared" si="72"/>
        <v>0.58508022371927892</v>
      </c>
      <c r="AD177" s="2">
        <f t="shared" si="73"/>
        <v>0.18279998391360133</v>
      </c>
      <c r="AE177" s="2">
        <f t="shared" si="74"/>
        <v>7.5847328429550859E-2</v>
      </c>
      <c r="AF177" s="2">
        <f t="shared" si="75"/>
        <v>13.184379999999976</v>
      </c>
      <c r="AG177">
        <v>75</v>
      </c>
      <c r="AH177">
        <f t="shared" si="76"/>
        <v>13.7099987935201</v>
      </c>
    </row>
    <row r="178" spans="24:34" x14ac:dyDescent="0.35">
      <c r="X178">
        <v>444.86935</v>
      </c>
      <c r="Y178">
        <v>452.10590999999999</v>
      </c>
      <c r="Z178" s="2">
        <f t="shared" si="69"/>
        <v>7.2365599999999972</v>
      </c>
      <c r="AA178" s="2">
        <f t="shared" si="70"/>
        <v>7.6426999999999907</v>
      </c>
      <c r="AB178" s="2">
        <f t="shared" si="71"/>
        <v>0.48635214385661674</v>
      </c>
      <c r="AC178" s="2">
        <f t="shared" si="72"/>
        <v>0.51364785614338326</v>
      </c>
      <c r="AD178" s="2">
        <f t="shared" si="73"/>
        <v>0.13818720497031745</v>
      </c>
      <c r="AE178" s="2">
        <f t="shared" si="74"/>
        <v>6.7207643390867614E-2</v>
      </c>
      <c r="AF178" s="2">
        <f t="shared" si="75"/>
        <v>14.879259999999988</v>
      </c>
      <c r="AG178">
        <v>90</v>
      </c>
      <c r="AH178">
        <f t="shared" si="76"/>
        <v>12.43684844732857</v>
      </c>
    </row>
    <row r="179" spans="24:34" x14ac:dyDescent="0.35">
      <c r="X179">
        <v>459.74860999999999</v>
      </c>
      <c r="Y179">
        <v>465.89762000000002</v>
      </c>
      <c r="Z179" s="2">
        <f t="shared" si="69"/>
        <v>6.1490100000000325</v>
      </c>
      <c r="AA179" s="2">
        <f t="shared" si="70"/>
        <v>7.6761300000000006</v>
      </c>
      <c r="AB179" s="2">
        <f t="shared" si="71"/>
        <v>0.44477017954248693</v>
      </c>
      <c r="AC179" s="2">
        <f t="shared" si="72"/>
        <v>0.55522982045751301</v>
      </c>
      <c r="AD179" s="2">
        <f t="shared" si="73"/>
        <v>0.1626278051263528</v>
      </c>
      <c r="AE179" s="2">
        <f t="shared" si="74"/>
        <v>7.2331998084648519E-2</v>
      </c>
      <c r="AF179" s="2">
        <f t="shared" si="75"/>
        <v>13.825140000000033</v>
      </c>
      <c r="AG179">
        <v>80</v>
      </c>
      <c r="AH179">
        <f t="shared" si="76"/>
        <v>13.010224410108226</v>
      </c>
    </row>
    <row r="180" spans="24:34" x14ac:dyDescent="0.35">
      <c r="X180">
        <v>473.57375000000002</v>
      </c>
      <c r="Y180">
        <v>479.92788999999999</v>
      </c>
      <c r="Z180" s="2">
        <f t="shared" si="69"/>
        <v>6.3541399999999726</v>
      </c>
    </row>
    <row r="184" spans="24:34" ht="16" thickBot="1" x14ac:dyDescent="0.4">
      <c r="Y184" s="13"/>
      <c r="Z184" s="9" t="s">
        <v>3</v>
      </c>
      <c r="AA184" s="9" t="s">
        <v>4</v>
      </c>
      <c r="AB184" s="9" t="s">
        <v>5</v>
      </c>
      <c r="AC184" s="9" t="s">
        <v>6</v>
      </c>
      <c r="AD184" s="9" t="s">
        <v>7</v>
      </c>
      <c r="AE184" s="9" t="s">
        <v>8</v>
      </c>
      <c r="AF184" s="9" t="s">
        <v>9</v>
      </c>
      <c r="AG184" s="9" t="s">
        <v>10</v>
      </c>
      <c r="AH184" s="44" t="s">
        <v>139</v>
      </c>
    </row>
    <row r="185" spans="24:34" x14ac:dyDescent="0.35">
      <c r="Y185" s="49" t="s">
        <v>77</v>
      </c>
      <c r="Z185" s="2">
        <f>AVERAGE(Z149:Z179)</f>
        <v>7.180834193548387</v>
      </c>
      <c r="AA185" s="2">
        <f t="shared" ref="AA185:AH185" si="77">AVERAGE(AA149:AA179)</f>
        <v>7.6468861290322581</v>
      </c>
      <c r="AB185" s="2">
        <f t="shared" si="77"/>
        <v>0.48040780621792806</v>
      </c>
      <c r="AC185" s="2">
        <f t="shared" si="77"/>
        <v>0.51959219378207178</v>
      </c>
      <c r="AD185" s="2">
        <f t="shared" si="77"/>
        <v>0.14405701054602255</v>
      </c>
      <c r="AE185" s="2">
        <f t="shared" si="77"/>
        <v>6.8262424717651746E-2</v>
      </c>
      <c r="AF185" s="2">
        <f t="shared" si="77"/>
        <v>14.827720322580648</v>
      </c>
      <c r="AG185" s="2">
        <f t="shared" si="77"/>
        <v>88.548387096774192</v>
      </c>
      <c r="AH185" s="2">
        <f t="shared" si="77"/>
        <v>12.4676555490753</v>
      </c>
    </row>
    <row r="186" spans="24:34" x14ac:dyDescent="0.35">
      <c r="Y186" s="49" t="s">
        <v>94</v>
      </c>
      <c r="Z186" s="2">
        <f>_xlfn.STDEV.S(Z149:Z179)</f>
        <v>1.4911449145086939</v>
      </c>
      <c r="AA186" s="2">
        <f t="shared" ref="AA186:AH186" si="78">_xlfn.STDEV.S(AA149:AA179)</f>
        <v>0.55602885938697832</v>
      </c>
      <c r="AB186" s="2">
        <f t="shared" si="78"/>
        <v>4.2154939495155808E-2</v>
      </c>
      <c r="AC186" s="2">
        <f t="shared" si="78"/>
        <v>4.2154939495155815E-2</v>
      </c>
      <c r="AD186" s="2">
        <f t="shared" si="78"/>
        <v>2.4749695412221336E-2</v>
      </c>
      <c r="AE186" s="2">
        <f t="shared" si="78"/>
        <v>7.0798916580167258E-3</v>
      </c>
      <c r="AF186" s="2">
        <f t="shared" si="78"/>
        <v>1.7953885467468784</v>
      </c>
      <c r="AG186" s="2">
        <f t="shared" si="78"/>
        <v>12.534854631991614</v>
      </c>
      <c r="AH186" s="2">
        <f t="shared" si="78"/>
        <v>0.74563317095106174</v>
      </c>
    </row>
    <row r="187" spans="24:34" x14ac:dyDescent="0.35">
      <c r="Y187" s="49" t="s">
        <v>95</v>
      </c>
      <c r="Z187" s="2">
        <f>Z186/SQRT(COUNT(Z149:Z179))</f>
        <v>0.26781753273602343</v>
      </c>
      <c r="AA187" s="2">
        <f t="shared" ref="AA187:AH187" si="79">AA186/SQRT(COUNT(AA149:AA179))</f>
        <v>9.9865731225801405E-2</v>
      </c>
      <c r="AB187" s="2">
        <f t="shared" si="79"/>
        <v>7.571250639947881E-3</v>
      </c>
      <c r="AC187" s="2">
        <f t="shared" si="79"/>
        <v>7.5712506399478827E-3</v>
      </c>
      <c r="AD187" s="2">
        <f t="shared" si="79"/>
        <v>4.4451765195826984E-3</v>
      </c>
      <c r="AE187" s="2">
        <f t="shared" si="79"/>
        <v>1.2715860795549383E-3</v>
      </c>
      <c r="AF187" s="2">
        <f t="shared" si="79"/>
        <v>0.32246130219388558</v>
      </c>
      <c r="AG187" s="2">
        <f t="shared" si="79"/>
        <v>2.2513263520405724</v>
      </c>
      <c r="AH187" s="2">
        <f t="shared" si="79"/>
        <v>0.13391967086984732</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H205"/>
  <sheetViews>
    <sheetView topLeftCell="B124" workbookViewId="0">
      <selection activeCell="H154" sqref="H154"/>
    </sheetView>
  </sheetViews>
  <sheetFormatPr defaultRowHeight="14.5" x14ac:dyDescent="0.35"/>
  <sheetData>
    <row r="4" spans="2:34" ht="18.5" x14ac:dyDescent="0.45">
      <c r="B4" s="2"/>
      <c r="C4" s="1" t="s">
        <v>377</v>
      </c>
      <c r="D4" s="2"/>
      <c r="E4" s="2"/>
      <c r="F4" s="2"/>
      <c r="G4" s="2"/>
      <c r="H4" s="2"/>
      <c r="I4" s="2"/>
      <c r="J4" s="2"/>
      <c r="K4" s="2"/>
      <c r="L4" s="2"/>
      <c r="M4" s="2"/>
      <c r="N4" s="2"/>
      <c r="O4" s="2"/>
    </row>
    <row r="5" spans="2:34" ht="18.5" x14ac:dyDescent="0.45">
      <c r="B5" s="2"/>
      <c r="C5" s="2"/>
      <c r="D5" s="2"/>
      <c r="E5" s="2"/>
      <c r="F5" s="1" t="s">
        <v>366</v>
      </c>
      <c r="G5" s="3"/>
      <c r="H5" s="3"/>
      <c r="I5" s="3"/>
      <c r="J5" s="3"/>
      <c r="K5" s="3"/>
      <c r="L5" s="3"/>
      <c r="M5" s="3"/>
      <c r="N5" s="3"/>
      <c r="O5" s="3"/>
      <c r="X5" s="1" t="s">
        <v>379</v>
      </c>
      <c r="Y5" s="3"/>
      <c r="Z5" s="3"/>
      <c r="AA5" s="3"/>
      <c r="AB5" s="3"/>
      <c r="AC5" s="3"/>
      <c r="AD5" s="3"/>
      <c r="AE5" s="3"/>
      <c r="AF5" s="3"/>
      <c r="AG5" s="3"/>
    </row>
    <row r="6" spans="2:34"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X6" s="9" t="s">
        <v>1</v>
      </c>
      <c r="Y6" s="9" t="s">
        <v>2</v>
      </c>
      <c r="Z6" s="9" t="s">
        <v>3</v>
      </c>
      <c r="AA6" s="9" t="s">
        <v>4</v>
      </c>
      <c r="AB6" s="9" t="s">
        <v>5</v>
      </c>
      <c r="AC6" s="9" t="s">
        <v>6</v>
      </c>
      <c r="AD6" s="9" t="s">
        <v>7</v>
      </c>
      <c r="AE6" s="9" t="s">
        <v>8</v>
      </c>
      <c r="AF6" s="9" t="s">
        <v>9</v>
      </c>
      <c r="AG6" s="9" t="s">
        <v>10</v>
      </c>
      <c r="AH6" s="44" t="s">
        <v>139</v>
      </c>
    </row>
    <row r="7" spans="2:34" x14ac:dyDescent="0.35">
      <c r="B7" s="2"/>
      <c r="C7" s="2"/>
      <c r="D7" s="2"/>
      <c r="E7" s="2"/>
      <c r="F7" s="2">
        <v>3.2550000000000003E-2</v>
      </c>
      <c r="G7" s="2">
        <v>7.64663</v>
      </c>
      <c r="H7" s="2">
        <f t="shared" ref="H7:H14" si="0">G7-F7</f>
        <v>7.6140800000000004</v>
      </c>
      <c r="I7" s="2">
        <f t="shared" ref="I7:I13" si="1">F8-G7</f>
        <v>6.4707299999999996</v>
      </c>
      <c r="J7" s="2">
        <f t="shared" ref="J7:J13" si="2">H7/N7</f>
        <v>0.54058805195100257</v>
      </c>
      <c r="K7" s="2">
        <f t="shared" ref="K7:K13" si="3">I7/N7</f>
        <v>0.45941194804899743</v>
      </c>
      <c r="L7" s="2">
        <f t="shared" ref="L7:L13" si="4">1/H7</f>
        <v>0.13133563083130201</v>
      </c>
      <c r="M7" s="2">
        <f t="shared" ref="M7:M13" si="5">1/N7</f>
        <v>7.0998472822849573E-2</v>
      </c>
      <c r="N7" s="2">
        <f t="shared" ref="N7:N13" si="6">H7+I7</f>
        <v>14.084810000000001</v>
      </c>
      <c r="O7" s="2">
        <v>25</v>
      </c>
      <c r="P7">
        <f t="shared" ref="P7:P13" si="7">O7/H7</f>
        <v>3.28339077078255</v>
      </c>
      <c r="R7" t="s">
        <v>692</v>
      </c>
      <c r="X7" s="2">
        <v>0.20654</v>
      </c>
      <c r="Y7" s="2">
        <v>7.5581199999999997</v>
      </c>
      <c r="Z7" s="2">
        <f t="shared" ref="Z7:Z24" si="8">Y7-X7</f>
        <v>7.3515799999999993</v>
      </c>
      <c r="AA7" s="2">
        <f t="shared" ref="AA7:AA23" si="9">X8-Y7</f>
        <v>10.548719999999999</v>
      </c>
      <c r="AB7" s="2">
        <f t="shared" ref="AB7:AB23" si="10">Z7/AF7</f>
        <v>0.41069591012441131</v>
      </c>
      <c r="AC7" s="2">
        <f t="shared" ref="AC7:AC23" si="11">AA7/AF7</f>
        <v>0.58930408987558869</v>
      </c>
      <c r="AD7" s="2">
        <f t="shared" ref="AD7:AD23" si="12">1/Z7</f>
        <v>0.13602518098150332</v>
      </c>
      <c r="AE7" s="2">
        <f t="shared" ref="AE7:AE23" si="13">1/AF7</f>
        <v>5.5864985503036271E-2</v>
      </c>
      <c r="AF7" s="2">
        <f t="shared" ref="AF7:AF23" si="14">Z7+AA7</f>
        <v>17.900299999999998</v>
      </c>
      <c r="AG7" s="2">
        <v>28</v>
      </c>
      <c r="AH7">
        <f t="shared" ref="AH7:AH23" si="15">AG7/Z7</f>
        <v>3.8087050674820926</v>
      </c>
    </row>
    <row r="8" spans="2:34" x14ac:dyDescent="0.35">
      <c r="B8" s="2"/>
      <c r="C8" s="2"/>
      <c r="D8" s="2" t="s">
        <v>541</v>
      </c>
      <c r="E8" s="2"/>
      <c r="F8" s="2">
        <v>14.11736</v>
      </c>
      <c r="G8" s="2">
        <v>21.243819999999999</v>
      </c>
      <c r="H8" s="2">
        <f t="shared" si="0"/>
        <v>7.1264599999999998</v>
      </c>
      <c r="I8" s="2">
        <f t="shared" si="1"/>
        <v>10.526690000000002</v>
      </c>
      <c r="J8" s="2">
        <f t="shared" si="2"/>
        <v>0.40369339183091962</v>
      </c>
      <c r="K8" s="2">
        <f t="shared" si="3"/>
        <v>0.59630660816908032</v>
      </c>
      <c r="L8" s="2">
        <f t="shared" si="4"/>
        <v>0.14032212346663001</v>
      </c>
      <c r="M8" s="2">
        <f t="shared" si="5"/>
        <v>5.6647113971160942E-2</v>
      </c>
      <c r="N8" s="2">
        <f t="shared" si="6"/>
        <v>17.653150000000004</v>
      </c>
      <c r="O8" s="13">
        <v>24</v>
      </c>
      <c r="P8">
        <f t="shared" si="7"/>
        <v>3.3677309631991199</v>
      </c>
      <c r="X8" s="2">
        <v>18.106839999999998</v>
      </c>
      <c r="Y8" s="2">
        <v>25.80153</v>
      </c>
      <c r="Z8" s="2">
        <f t="shared" si="8"/>
        <v>7.6946900000000014</v>
      </c>
      <c r="AA8" s="2">
        <f t="shared" si="9"/>
        <v>13.673189999999998</v>
      </c>
      <c r="AB8" s="2">
        <f t="shared" si="10"/>
        <v>0.36010544799016103</v>
      </c>
      <c r="AC8" s="2">
        <f t="shared" si="11"/>
        <v>0.63989455200983902</v>
      </c>
      <c r="AD8" s="2">
        <f t="shared" si="12"/>
        <v>0.12995975146497127</v>
      </c>
      <c r="AE8" s="2">
        <f t="shared" si="13"/>
        <v>4.6799214521983462E-2</v>
      </c>
      <c r="AF8" s="2">
        <f t="shared" si="14"/>
        <v>21.36788</v>
      </c>
      <c r="AG8" s="2">
        <v>27</v>
      </c>
      <c r="AH8">
        <f t="shared" si="15"/>
        <v>3.5089132895542243</v>
      </c>
    </row>
    <row r="9" spans="2:34" x14ac:dyDescent="0.35">
      <c r="B9" s="2"/>
      <c r="C9" s="2"/>
      <c r="D9" s="2"/>
      <c r="E9" s="2"/>
      <c r="F9" s="13">
        <v>31.770510000000002</v>
      </c>
      <c r="G9" s="13">
        <v>38.751260000000002</v>
      </c>
      <c r="H9" s="2">
        <f t="shared" si="0"/>
        <v>6.9807500000000005</v>
      </c>
      <c r="I9" s="2">
        <f t="shared" si="1"/>
        <v>6.5408899999999974</v>
      </c>
      <c r="J9" s="2">
        <f t="shared" si="2"/>
        <v>0.51626503885623354</v>
      </c>
      <c r="K9" s="2">
        <f t="shared" si="3"/>
        <v>0.48373496114376646</v>
      </c>
      <c r="L9" s="2">
        <f t="shared" si="4"/>
        <v>0.14325108333631772</v>
      </c>
      <c r="M9" s="2">
        <f t="shared" si="5"/>
        <v>7.3955526104821617E-2</v>
      </c>
      <c r="N9" s="2">
        <f t="shared" si="6"/>
        <v>13.521639999999998</v>
      </c>
      <c r="O9" s="13">
        <v>24</v>
      </c>
      <c r="P9">
        <f t="shared" si="7"/>
        <v>3.4380260000716252</v>
      </c>
      <c r="X9" s="13">
        <v>39.474719999999998</v>
      </c>
      <c r="Y9" s="13">
        <v>49.744030000000002</v>
      </c>
      <c r="Z9" s="2">
        <f t="shared" si="8"/>
        <v>10.269310000000004</v>
      </c>
      <c r="AA9" s="2">
        <f t="shared" si="9"/>
        <v>14.788049999999991</v>
      </c>
      <c r="AB9" s="2">
        <f t="shared" si="10"/>
        <v>0.40983208127272808</v>
      </c>
      <c r="AC9" s="2">
        <f t="shared" si="11"/>
        <v>0.59016791872727192</v>
      </c>
      <c r="AD9" s="2">
        <f t="shared" si="12"/>
        <v>9.7377525851298635E-2</v>
      </c>
      <c r="AE9" s="2">
        <f t="shared" si="13"/>
        <v>3.9908434088826605E-2</v>
      </c>
      <c r="AF9" s="2">
        <f t="shared" si="14"/>
        <v>25.057359999999996</v>
      </c>
      <c r="AG9" s="13">
        <v>37</v>
      </c>
      <c r="AH9">
        <f t="shared" si="15"/>
        <v>3.6029684564980493</v>
      </c>
    </row>
    <row r="10" spans="2:34" x14ac:dyDescent="0.35">
      <c r="B10" s="2"/>
      <c r="C10" s="2"/>
      <c r="D10" s="2" t="s">
        <v>541</v>
      </c>
      <c r="E10" s="2"/>
      <c r="F10" s="13">
        <v>45.292149999999999</v>
      </c>
      <c r="G10" s="13">
        <v>52.053489999999996</v>
      </c>
      <c r="H10" s="2">
        <f t="shared" si="0"/>
        <v>6.761339999999997</v>
      </c>
      <c r="I10" s="2">
        <f t="shared" si="1"/>
        <v>9.5754900000000021</v>
      </c>
      <c r="J10" s="2">
        <f t="shared" si="2"/>
        <v>0.41387098965956048</v>
      </c>
      <c r="K10" s="2">
        <f t="shared" si="3"/>
        <v>0.58612901034043952</v>
      </c>
      <c r="L10" s="2">
        <f t="shared" si="4"/>
        <v>0.14789967669130683</v>
      </c>
      <c r="M10" s="2">
        <f t="shared" si="5"/>
        <v>6.1211385562560179E-2</v>
      </c>
      <c r="N10" s="2">
        <f t="shared" si="6"/>
        <v>16.336829999999999</v>
      </c>
      <c r="O10" s="13">
        <v>27</v>
      </c>
      <c r="P10">
        <f t="shared" si="7"/>
        <v>3.9932912706652841</v>
      </c>
      <c r="X10" s="13">
        <v>64.532079999999993</v>
      </c>
      <c r="Y10" s="13">
        <v>74.251589999999993</v>
      </c>
      <c r="Z10" s="2">
        <f t="shared" si="8"/>
        <v>9.7195099999999996</v>
      </c>
      <c r="AA10" s="2">
        <f t="shared" si="9"/>
        <v>7.2470500000000015</v>
      </c>
      <c r="AB10" s="2">
        <f t="shared" si="10"/>
        <v>0.5728627370545355</v>
      </c>
      <c r="AC10" s="2">
        <f t="shared" si="11"/>
        <v>0.42713726294546456</v>
      </c>
      <c r="AD10" s="2">
        <f t="shared" si="12"/>
        <v>0.10288584506832135</v>
      </c>
      <c r="AE10" s="2">
        <f t="shared" si="13"/>
        <v>5.8939466810007446E-2</v>
      </c>
      <c r="AF10" s="2">
        <f t="shared" si="14"/>
        <v>16.966560000000001</v>
      </c>
      <c r="AG10" s="13">
        <v>36</v>
      </c>
      <c r="AH10">
        <f t="shared" si="15"/>
        <v>3.7038904224595686</v>
      </c>
    </row>
    <row r="11" spans="2:34" x14ac:dyDescent="0.35">
      <c r="B11" s="2"/>
      <c r="C11" s="2"/>
      <c r="D11" s="2" t="s">
        <v>541</v>
      </c>
      <c r="E11" s="2"/>
      <c r="F11" s="13">
        <v>61.628979999999999</v>
      </c>
      <c r="G11" s="13">
        <v>69.440979999999996</v>
      </c>
      <c r="H11" s="2">
        <f t="shared" si="0"/>
        <v>7.8119999999999976</v>
      </c>
      <c r="I11" s="2">
        <f t="shared" si="1"/>
        <v>11.064130000000006</v>
      </c>
      <c r="J11" s="2">
        <f t="shared" si="2"/>
        <v>0.41385601815626383</v>
      </c>
      <c r="K11" s="2">
        <f t="shared" si="3"/>
        <v>0.58614398184373617</v>
      </c>
      <c r="L11" s="2">
        <f t="shared" si="4"/>
        <v>0.12800819252432161</v>
      </c>
      <c r="M11" s="2">
        <f t="shared" si="5"/>
        <v>5.2976960849496151E-2</v>
      </c>
      <c r="N11" s="2">
        <f t="shared" si="6"/>
        <v>18.876130000000003</v>
      </c>
      <c r="O11" s="13">
        <v>26</v>
      </c>
      <c r="P11">
        <f t="shared" si="7"/>
        <v>3.3282130056323616</v>
      </c>
      <c r="X11" s="13">
        <v>81.498639999999995</v>
      </c>
      <c r="Y11" s="13">
        <v>91.652699999999996</v>
      </c>
      <c r="Z11" s="2">
        <f t="shared" si="8"/>
        <v>10.154060000000001</v>
      </c>
      <c r="AA11" s="2">
        <f t="shared" si="9"/>
        <v>12.064090000000007</v>
      </c>
      <c r="AB11" s="2">
        <f t="shared" si="10"/>
        <v>0.45701644826414428</v>
      </c>
      <c r="AC11" s="2">
        <f t="shared" si="11"/>
        <v>0.54298355173585566</v>
      </c>
      <c r="AD11" s="2">
        <f t="shared" si="12"/>
        <v>9.8482774377933541E-2</v>
      </c>
      <c r="AE11" s="2">
        <f t="shared" si="13"/>
        <v>4.5008247761402262E-2</v>
      </c>
      <c r="AF11" s="2">
        <f t="shared" si="14"/>
        <v>22.218150000000009</v>
      </c>
      <c r="AG11" s="13">
        <v>37</v>
      </c>
      <c r="AH11">
        <f t="shared" si="15"/>
        <v>3.6438626519835413</v>
      </c>
    </row>
    <row r="12" spans="2:34" x14ac:dyDescent="0.35">
      <c r="B12" s="2"/>
      <c r="C12" s="2"/>
      <c r="D12" s="2"/>
      <c r="E12" s="2"/>
      <c r="F12" s="13">
        <v>80.505110000000002</v>
      </c>
      <c r="G12" s="13">
        <v>88.655659999999997</v>
      </c>
      <c r="H12" s="2">
        <f t="shared" si="0"/>
        <v>8.1505499999999955</v>
      </c>
      <c r="I12" s="2">
        <f t="shared" si="1"/>
        <v>7.2694800000000015</v>
      </c>
      <c r="J12" s="2">
        <f t="shared" si="2"/>
        <v>0.52856901056612715</v>
      </c>
      <c r="K12" s="2">
        <f t="shared" si="3"/>
        <v>0.4714309894338729</v>
      </c>
      <c r="L12" s="2">
        <f t="shared" si="4"/>
        <v>0.12269110673512837</v>
      </c>
      <c r="M12" s="2">
        <f t="shared" si="5"/>
        <v>6.4850716892249902E-2</v>
      </c>
      <c r="N12" s="2">
        <f t="shared" si="6"/>
        <v>15.420029999999997</v>
      </c>
      <c r="O12" s="13">
        <v>31</v>
      </c>
      <c r="P12">
        <f t="shared" si="7"/>
        <v>3.8034243087889794</v>
      </c>
      <c r="X12" s="13">
        <v>103.71679</v>
      </c>
      <c r="Y12" s="13">
        <v>112.95197</v>
      </c>
      <c r="Z12" s="2">
        <f t="shared" si="8"/>
        <v>9.2351799999999997</v>
      </c>
      <c r="AA12" s="2">
        <f t="shared" si="9"/>
        <v>9.18719999999999</v>
      </c>
      <c r="AB12" s="2">
        <f t="shared" si="10"/>
        <v>0.50130222045142947</v>
      </c>
      <c r="AC12" s="2">
        <f t="shared" si="11"/>
        <v>0.49869777954857053</v>
      </c>
      <c r="AD12" s="2">
        <f t="shared" si="12"/>
        <v>0.10828159277891715</v>
      </c>
      <c r="AE12" s="2">
        <f t="shared" si="13"/>
        <v>5.4281802894088634E-2</v>
      </c>
      <c r="AF12" s="2">
        <f t="shared" si="14"/>
        <v>18.42237999999999</v>
      </c>
      <c r="AG12" s="13">
        <v>35</v>
      </c>
      <c r="AH12">
        <f t="shared" si="15"/>
        <v>3.7898557472620999</v>
      </c>
    </row>
    <row r="13" spans="2:34" x14ac:dyDescent="0.35">
      <c r="B13" s="2"/>
      <c r="C13" s="2"/>
      <c r="D13" s="2" t="s">
        <v>541</v>
      </c>
      <c r="E13" s="2"/>
      <c r="F13" s="13">
        <v>95.925139999999999</v>
      </c>
      <c r="G13" s="13">
        <v>103.11320000000001</v>
      </c>
      <c r="H13" s="2">
        <f t="shared" si="0"/>
        <v>7.1880600000000072</v>
      </c>
      <c r="I13" s="2">
        <f t="shared" si="1"/>
        <v>13.023669999999996</v>
      </c>
      <c r="J13" s="2">
        <f t="shared" si="2"/>
        <v>0.35563803791164866</v>
      </c>
      <c r="K13" s="2">
        <f t="shared" si="3"/>
        <v>0.64436196208835139</v>
      </c>
      <c r="L13" s="2">
        <f t="shared" si="4"/>
        <v>0.13911959555151168</v>
      </c>
      <c r="M13" s="2">
        <f t="shared" si="5"/>
        <v>4.9476219997001733E-2</v>
      </c>
      <c r="N13" s="2">
        <f t="shared" si="6"/>
        <v>20.211730000000003</v>
      </c>
      <c r="O13" s="13">
        <v>24</v>
      </c>
      <c r="P13">
        <f t="shared" si="7"/>
        <v>3.3388702932362802</v>
      </c>
      <c r="X13" s="13">
        <v>122.13916999999999</v>
      </c>
      <c r="Y13" s="13">
        <v>132.97398000000001</v>
      </c>
      <c r="Z13" s="2">
        <f t="shared" si="8"/>
        <v>10.834810000000019</v>
      </c>
      <c r="AA13" s="2">
        <f t="shared" si="9"/>
        <v>13.395989999999983</v>
      </c>
      <c r="AB13" s="2">
        <f t="shared" si="10"/>
        <v>0.44715032107895808</v>
      </c>
      <c r="AC13" s="2">
        <f t="shared" si="11"/>
        <v>0.55284967892104186</v>
      </c>
      <c r="AD13" s="2">
        <f t="shared" si="12"/>
        <v>9.2295111773994951E-2</v>
      </c>
      <c r="AE13" s="2">
        <f t="shared" si="13"/>
        <v>4.1269788863760169E-2</v>
      </c>
      <c r="AF13" s="2">
        <f t="shared" si="14"/>
        <v>24.230800000000002</v>
      </c>
      <c r="AG13" s="13">
        <v>40</v>
      </c>
      <c r="AH13">
        <f t="shared" si="15"/>
        <v>3.6918044709597981</v>
      </c>
    </row>
    <row r="14" spans="2:34" x14ac:dyDescent="0.35">
      <c r="B14" s="2"/>
      <c r="C14" s="2"/>
      <c r="D14" s="2"/>
      <c r="E14" s="2"/>
      <c r="F14" s="13">
        <v>116.13687</v>
      </c>
      <c r="G14" s="13">
        <v>119.84502999999999</v>
      </c>
      <c r="H14" s="2">
        <f t="shared" si="0"/>
        <v>3.7081599999999924</v>
      </c>
      <c r="I14" s="2"/>
      <c r="J14" s="2"/>
      <c r="K14" s="2"/>
      <c r="L14" s="2"/>
      <c r="M14" s="2"/>
      <c r="N14" s="2"/>
      <c r="O14" s="13"/>
      <c r="X14" s="13">
        <v>146.36997</v>
      </c>
      <c r="Y14" s="13">
        <v>158.05155999999999</v>
      </c>
      <c r="Z14" s="2">
        <f t="shared" si="8"/>
        <v>11.68159</v>
      </c>
      <c r="AA14" s="2">
        <f t="shared" si="9"/>
        <v>14.531599999999997</v>
      </c>
      <c r="AB14" s="2">
        <f t="shared" si="10"/>
        <v>0.44563786399137234</v>
      </c>
      <c r="AC14" s="2">
        <f t="shared" si="11"/>
        <v>0.55436213600862772</v>
      </c>
      <c r="AD14" s="2">
        <f t="shared" si="12"/>
        <v>8.560478496506041E-2</v>
      </c>
      <c r="AE14" s="2">
        <f t="shared" si="13"/>
        <v>3.8148733519270263E-2</v>
      </c>
      <c r="AF14" s="2">
        <f t="shared" si="14"/>
        <v>26.213189999999997</v>
      </c>
      <c r="AG14" s="13">
        <v>41</v>
      </c>
      <c r="AH14">
        <f t="shared" si="15"/>
        <v>3.5097961835674769</v>
      </c>
    </row>
    <row r="15" spans="2:34" x14ac:dyDescent="0.35">
      <c r="B15" s="2"/>
      <c r="C15" s="2"/>
      <c r="D15" s="2"/>
      <c r="E15" s="2"/>
      <c r="F15" s="13"/>
      <c r="G15" s="13"/>
      <c r="H15" s="2"/>
      <c r="I15" s="2"/>
      <c r="J15" s="2"/>
      <c r="K15" s="2"/>
      <c r="L15" s="2"/>
      <c r="M15" s="2"/>
      <c r="N15" s="2"/>
      <c r="X15" s="13">
        <v>172.58315999999999</v>
      </c>
      <c r="Y15" s="13">
        <v>183.99109999999999</v>
      </c>
      <c r="Z15" s="2">
        <f t="shared" si="8"/>
        <v>11.407939999999996</v>
      </c>
      <c r="AA15" s="2">
        <f t="shared" si="9"/>
        <v>8.3250100000000202</v>
      </c>
      <c r="AB15" s="2">
        <f t="shared" si="10"/>
        <v>0.57811629786727214</v>
      </c>
      <c r="AC15" s="2">
        <f t="shared" si="11"/>
        <v>0.42188370213272791</v>
      </c>
      <c r="AD15" s="2">
        <f t="shared" si="12"/>
        <v>8.7658245046870892E-2</v>
      </c>
      <c r="AE15" s="2">
        <f t="shared" si="13"/>
        <v>5.0676660104039144E-2</v>
      </c>
      <c r="AF15" s="2">
        <f t="shared" si="14"/>
        <v>19.732950000000017</v>
      </c>
      <c r="AG15" s="13">
        <v>42</v>
      </c>
      <c r="AH15">
        <f t="shared" si="15"/>
        <v>3.6816462919685775</v>
      </c>
    </row>
    <row r="16" spans="2:34" x14ac:dyDescent="0.35">
      <c r="B16" s="2"/>
      <c r="C16" s="2"/>
      <c r="D16" s="2"/>
      <c r="E16" s="2"/>
      <c r="F16" s="13"/>
      <c r="H16" s="2"/>
      <c r="I16" s="2"/>
      <c r="J16" s="2"/>
      <c r="K16" s="2"/>
      <c r="L16" s="2"/>
      <c r="M16" s="2"/>
      <c r="N16" s="2"/>
      <c r="X16" s="13">
        <v>192.31611000000001</v>
      </c>
      <c r="Y16">
        <v>201.31083000000001</v>
      </c>
      <c r="Z16" s="2">
        <f t="shared" si="8"/>
        <v>8.9947200000000009</v>
      </c>
      <c r="AA16" s="2">
        <f t="shared" si="9"/>
        <v>11.682339999999982</v>
      </c>
      <c r="AB16" s="2">
        <f t="shared" si="10"/>
        <v>0.43500961935594368</v>
      </c>
      <c r="AC16" s="2">
        <f t="shared" si="11"/>
        <v>0.56499038064405638</v>
      </c>
      <c r="AD16" s="2">
        <f t="shared" si="12"/>
        <v>0.11117633456072006</v>
      </c>
      <c r="AE16" s="2">
        <f t="shared" si="13"/>
        <v>4.8362774978647875E-2</v>
      </c>
      <c r="AF16" s="2">
        <f t="shared" si="14"/>
        <v>20.677059999999983</v>
      </c>
      <c r="AG16">
        <v>34</v>
      </c>
      <c r="AH16">
        <f t="shared" si="15"/>
        <v>3.7799953750644817</v>
      </c>
    </row>
    <row r="17" spans="2:34" ht="16" thickBot="1" x14ac:dyDescent="0.4">
      <c r="B17" s="2"/>
      <c r="C17" s="2"/>
      <c r="D17" s="2"/>
      <c r="E17" s="2"/>
      <c r="F17" s="13"/>
      <c r="G17" s="13"/>
      <c r="H17" s="9" t="s">
        <v>3</v>
      </c>
      <c r="I17" s="9" t="s">
        <v>4</v>
      </c>
      <c r="J17" s="9" t="s">
        <v>5</v>
      </c>
      <c r="K17" s="9" t="s">
        <v>6</v>
      </c>
      <c r="L17" s="9" t="s">
        <v>7</v>
      </c>
      <c r="M17" s="9" t="s">
        <v>8</v>
      </c>
      <c r="N17" s="9" t="s">
        <v>9</v>
      </c>
      <c r="O17" s="9" t="s">
        <v>10</v>
      </c>
      <c r="P17" s="44" t="s">
        <v>139</v>
      </c>
      <c r="X17" s="13">
        <v>212.99316999999999</v>
      </c>
      <c r="Y17">
        <v>222.97073</v>
      </c>
      <c r="Z17" s="2">
        <f t="shared" si="8"/>
        <v>9.9775600000000111</v>
      </c>
      <c r="AA17" s="2">
        <f t="shared" si="9"/>
        <v>11.680790000000002</v>
      </c>
      <c r="AB17" s="2">
        <f t="shared" si="10"/>
        <v>0.46067959932312502</v>
      </c>
      <c r="AC17" s="2">
        <f t="shared" si="11"/>
        <v>0.53932040067687492</v>
      </c>
      <c r="AD17" s="2">
        <f t="shared" si="12"/>
        <v>0.10022490468611553</v>
      </c>
      <c r="AE17" s="2">
        <f t="shared" si="13"/>
        <v>4.6171568932998099E-2</v>
      </c>
      <c r="AF17" s="2">
        <f t="shared" si="14"/>
        <v>21.658350000000013</v>
      </c>
      <c r="AG17">
        <v>38</v>
      </c>
      <c r="AH17">
        <f t="shared" si="15"/>
        <v>3.80854637807239</v>
      </c>
    </row>
    <row r="18" spans="2:34" x14ac:dyDescent="0.35">
      <c r="B18" s="2"/>
      <c r="C18" s="2"/>
      <c r="D18" s="2"/>
      <c r="E18" s="2"/>
      <c r="F18" s="13"/>
      <c r="G18" s="49" t="s">
        <v>77</v>
      </c>
      <c r="H18" s="2">
        <f>AVERAGE(H7:H13)</f>
        <v>7.3761771428571432</v>
      </c>
      <c r="I18" s="2">
        <f t="shared" ref="I18:P18" si="16">AVERAGE(I7:I13)</f>
        <v>9.2101542857142853</v>
      </c>
      <c r="J18" s="2">
        <f t="shared" si="16"/>
        <v>0.45321150556167938</v>
      </c>
      <c r="K18" s="2">
        <f t="shared" si="16"/>
        <v>0.54678849443832067</v>
      </c>
      <c r="L18" s="2">
        <f t="shared" si="16"/>
        <v>0.13608962987664547</v>
      </c>
      <c r="M18" s="2">
        <f t="shared" si="16"/>
        <v>6.1445199457162876E-2</v>
      </c>
      <c r="N18" s="2">
        <f t="shared" si="16"/>
        <v>16.58633142857143</v>
      </c>
      <c r="O18" s="2">
        <f>AVERAGE(O7:O13)</f>
        <v>25.857142857142858</v>
      </c>
      <c r="P18" s="2">
        <f t="shared" si="16"/>
        <v>3.5075638017680286</v>
      </c>
      <c r="X18">
        <v>234.65152</v>
      </c>
      <c r="Y18">
        <v>244.68828999999999</v>
      </c>
      <c r="Z18" s="2">
        <f t="shared" si="8"/>
        <v>10.03676999999999</v>
      </c>
      <c r="AA18" s="2">
        <f t="shared" si="9"/>
        <v>13.139470000000017</v>
      </c>
      <c r="AB18" s="2">
        <f t="shared" si="10"/>
        <v>0.43306291270715125</v>
      </c>
      <c r="AC18" s="2">
        <f t="shared" si="11"/>
        <v>0.56693708729284875</v>
      </c>
      <c r="AD18" s="2">
        <f t="shared" si="12"/>
        <v>9.9633647079688081E-2</v>
      </c>
      <c r="AE18" s="2">
        <f t="shared" si="13"/>
        <v>4.3147637407966073E-2</v>
      </c>
      <c r="AF18" s="2">
        <f t="shared" si="14"/>
        <v>23.176240000000007</v>
      </c>
      <c r="AG18">
        <v>38</v>
      </c>
      <c r="AH18">
        <f t="shared" si="15"/>
        <v>3.7860785890281474</v>
      </c>
    </row>
    <row r="19" spans="2:34" x14ac:dyDescent="0.35">
      <c r="B19" s="2"/>
      <c r="C19" s="2"/>
      <c r="D19" s="2"/>
      <c r="E19" s="2"/>
      <c r="F19" s="13"/>
      <c r="G19" s="49" t="s">
        <v>94</v>
      </c>
      <c r="H19" s="2">
        <f>_xlfn.STDEV.S(H7:H13)</f>
        <v>0.49637464052582453</v>
      </c>
      <c r="I19" s="2">
        <f t="shared" ref="I19:P19" si="17">_xlfn.STDEV.S(I7:I13)</f>
        <v>2.5246286344322488</v>
      </c>
      <c r="J19" s="2">
        <f t="shared" si="17"/>
        <v>7.3437408992755179E-2</v>
      </c>
      <c r="K19" s="2">
        <f t="shared" si="17"/>
        <v>7.343740899275443E-2</v>
      </c>
      <c r="L19" s="2">
        <f t="shared" si="17"/>
        <v>8.9934130930745034E-3</v>
      </c>
      <c r="M19" s="2">
        <f t="shared" si="17"/>
        <v>9.105078084360077E-3</v>
      </c>
      <c r="N19" s="2">
        <f t="shared" si="17"/>
        <v>2.4697249225668059</v>
      </c>
      <c r="O19" s="2">
        <f t="shared" si="17"/>
        <v>2.5448360411214073</v>
      </c>
      <c r="P19" s="2">
        <f t="shared" si="17"/>
        <v>0.27650530374042259</v>
      </c>
      <c r="X19">
        <v>257.82776000000001</v>
      </c>
      <c r="Y19">
        <v>267.20478000000003</v>
      </c>
      <c r="Z19" s="2">
        <f t="shared" si="8"/>
        <v>9.3770200000000159</v>
      </c>
      <c r="AA19" s="2">
        <f t="shared" si="9"/>
        <v>8.731399999999951</v>
      </c>
      <c r="AB19" s="2">
        <f t="shared" si="10"/>
        <v>0.51782651385377809</v>
      </c>
      <c r="AC19" s="2">
        <f t="shared" si="11"/>
        <v>0.48217348614622185</v>
      </c>
      <c r="AD19" s="2">
        <f t="shared" si="12"/>
        <v>0.10664368850658293</v>
      </c>
      <c r="AE19" s="2">
        <f t="shared" si="13"/>
        <v>5.5222929443872068E-2</v>
      </c>
      <c r="AF19" s="2">
        <f t="shared" si="14"/>
        <v>18.108419999999967</v>
      </c>
      <c r="AG19">
        <v>36</v>
      </c>
      <c r="AH19">
        <f t="shared" si="15"/>
        <v>3.8391727862369858</v>
      </c>
    </row>
    <row r="20" spans="2:34" x14ac:dyDescent="0.35">
      <c r="B20" s="2"/>
      <c r="C20" s="2"/>
      <c r="D20" s="2"/>
      <c r="E20" s="2"/>
      <c r="F20" s="13"/>
      <c r="G20" s="49" t="s">
        <v>95</v>
      </c>
      <c r="H20" s="2">
        <f>H19/SQRT(7)</f>
        <v>0.18761197942148786</v>
      </c>
      <c r="I20" s="2">
        <f t="shared" ref="I20:P20" si="18">I19/SQRT(7)</f>
        <v>0.95421993135718985</v>
      </c>
      <c r="J20" s="2">
        <f t="shared" si="18"/>
        <v>2.7756731589109795E-2</v>
      </c>
      <c r="K20" s="2">
        <f t="shared" si="18"/>
        <v>2.7756731589109511E-2</v>
      </c>
      <c r="L20" s="2">
        <f t="shared" si="18"/>
        <v>3.3991906402781888E-3</v>
      </c>
      <c r="M20" s="2">
        <f t="shared" si="18"/>
        <v>3.4413960398630206E-3</v>
      </c>
      <c r="N20" s="2">
        <f t="shared" si="18"/>
        <v>0.93346827883571726</v>
      </c>
      <c r="O20" s="2">
        <f t="shared" si="18"/>
        <v>0.96185761317734075</v>
      </c>
      <c r="P20" s="2">
        <f t="shared" si="18"/>
        <v>0.10450918141250512</v>
      </c>
      <c r="X20">
        <v>275.93617999999998</v>
      </c>
      <c r="Y20">
        <v>285.09678000000002</v>
      </c>
      <c r="Z20" s="2">
        <f t="shared" si="8"/>
        <v>9.1606000000000449</v>
      </c>
      <c r="AA20" s="2">
        <f t="shared" si="9"/>
        <v>13.350699999999961</v>
      </c>
      <c r="AB20" s="2">
        <f t="shared" si="10"/>
        <v>0.40693340677793122</v>
      </c>
      <c r="AC20" s="2">
        <f t="shared" si="11"/>
        <v>0.59306659322206878</v>
      </c>
      <c r="AD20" s="2">
        <f t="shared" si="12"/>
        <v>0.10916315525183887</v>
      </c>
      <c r="AE20" s="2">
        <f t="shared" si="13"/>
        <v>4.4422134661259001E-2</v>
      </c>
      <c r="AF20" s="2">
        <f t="shared" si="14"/>
        <v>22.511300000000006</v>
      </c>
      <c r="AG20">
        <v>34</v>
      </c>
      <c r="AH20">
        <f t="shared" si="15"/>
        <v>3.7115472785625214</v>
      </c>
    </row>
    <row r="21" spans="2:34" x14ac:dyDescent="0.35">
      <c r="B21" s="2"/>
      <c r="C21" s="2"/>
      <c r="D21" s="2"/>
      <c r="E21" s="2"/>
      <c r="F21" s="13"/>
      <c r="H21" s="2"/>
      <c r="I21" s="2"/>
      <c r="J21" s="2"/>
      <c r="K21" s="2"/>
      <c r="L21" s="2"/>
      <c r="M21" s="2"/>
      <c r="N21" s="2"/>
      <c r="O21" s="2"/>
      <c r="X21">
        <v>298.44747999999998</v>
      </c>
      <c r="Y21">
        <v>307.89740999999998</v>
      </c>
      <c r="Z21" s="2">
        <f t="shared" si="8"/>
        <v>9.4499299999999948</v>
      </c>
      <c r="AA21" s="2">
        <f t="shared" si="9"/>
        <v>11.271020000000021</v>
      </c>
      <c r="AB21" s="2">
        <f t="shared" si="10"/>
        <v>0.45605679276287947</v>
      </c>
      <c r="AC21" s="2">
        <f t="shared" si="11"/>
        <v>0.54394320723712053</v>
      </c>
      <c r="AD21" s="2">
        <f t="shared" si="12"/>
        <v>0.10582088967854794</v>
      </c>
      <c r="AE21" s="2">
        <f t="shared" si="13"/>
        <v>4.8260335554113069E-2</v>
      </c>
      <c r="AF21" s="2">
        <f t="shared" si="14"/>
        <v>20.720950000000016</v>
      </c>
      <c r="AG21">
        <v>39</v>
      </c>
      <c r="AH21">
        <f t="shared" si="15"/>
        <v>4.1270146974633697</v>
      </c>
    </row>
    <row r="22" spans="2:34" x14ac:dyDescent="0.35">
      <c r="B22" s="2"/>
      <c r="C22" s="2"/>
      <c r="D22" s="2"/>
      <c r="E22" s="2"/>
      <c r="F22" s="2"/>
      <c r="G22" s="49"/>
      <c r="H22" s="2"/>
      <c r="I22" s="2"/>
      <c r="J22" s="2"/>
      <c r="K22" s="2"/>
      <c r="L22" s="2"/>
      <c r="M22" s="2"/>
      <c r="N22" s="2"/>
      <c r="X22">
        <v>319.16843</v>
      </c>
      <c r="Y22">
        <v>326.14762000000002</v>
      </c>
      <c r="Z22" s="2">
        <f t="shared" si="8"/>
        <v>6.9791900000000169</v>
      </c>
      <c r="AA22" s="2">
        <f t="shared" si="9"/>
        <v>9.9631599999999594</v>
      </c>
      <c r="AB22" s="2">
        <f t="shared" si="10"/>
        <v>0.41193754113213493</v>
      </c>
      <c r="AC22" s="2">
        <f t="shared" si="11"/>
        <v>0.58806245886786501</v>
      </c>
      <c r="AD22" s="2">
        <f t="shared" si="12"/>
        <v>0.14328310305350586</v>
      </c>
      <c r="AE22" s="2">
        <f t="shared" si="13"/>
        <v>5.90236891576435E-2</v>
      </c>
      <c r="AF22" s="2">
        <f t="shared" si="14"/>
        <v>16.942349999999976</v>
      </c>
      <c r="AG22">
        <v>26</v>
      </c>
      <c r="AH22">
        <f t="shared" si="15"/>
        <v>3.7253606793911525</v>
      </c>
    </row>
    <row r="23" spans="2:34" x14ac:dyDescent="0.35">
      <c r="H23" s="2"/>
      <c r="I23" s="2"/>
      <c r="J23" s="2"/>
      <c r="K23" s="2"/>
      <c r="L23" s="2"/>
      <c r="M23" s="2"/>
      <c r="N23" s="2"/>
      <c r="X23">
        <v>336.11077999999998</v>
      </c>
      <c r="Y23">
        <v>344.95204999999999</v>
      </c>
      <c r="Z23" s="2">
        <f t="shared" si="8"/>
        <v>8.8412700000000086</v>
      </c>
      <c r="AA23" s="2">
        <f t="shared" si="9"/>
        <v>12.646900000000016</v>
      </c>
      <c r="AB23" s="2">
        <f t="shared" si="10"/>
        <v>0.41144825268973573</v>
      </c>
      <c r="AC23" s="2">
        <f t="shared" si="11"/>
        <v>0.58855174731026427</v>
      </c>
      <c r="AD23" s="2">
        <f t="shared" si="12"/>
        <v>0.11310592256542318</v>
      </c>
      <c r="AE23" s="2">
        <f t="shared" si="13"/>
        <v>4.6537234208403916E-2</v>
      </c>
      <c r="AF23" s="2">
        <f t="shared" si="14"/>
        <v>21.488170000000025</v>
      </c>
      <c r="AG23">
        <v>32</v>
      </c>
      <c r="AH23">
        <f t="shared" si="15"/>
        <v>3.6193895220935417</v>
      </c>
    </row>
    <row r="24" spans="2:34" ht="16" thickBot="1" x14ac:dyDescent="0.4">
      <c r="E24" s="104" t="s">
        <v>81</v>
      </c>
      <c r="G24" s="13"/>
      <c r="H24" s="9" t="s">
        <v>3</v>
      </c>
      <c r="I24" s="9" t="s">
        <v>4</v>
      </c>
      <c r="J24" s="9" t="s">
        <v>5</v>
      </c>
      <c r="K24" s="9" t="s">
        <v>6</v>
      </c>
      <c r="L24" s="9" t="s">
        <v>7</v>
      </c>
      <c r="M24" s="9" t="s">
        <v>8</v>
      </c>
      <c r="N24" s="9" t="s">
        <v>9</v>
      </c>
      <c r="O24" s="9" t="s">
        <v>10</v>
      </c>
      <c r="P24" s="44" t="s">
        <v>139</v>
      </c>
      <c r="X24">
        <v>357.59895</v>
      </c>
      <c r="Y24">
        <v>359.76537999999999</v>
      </c>
      <c r="Z24" s="2">
        <f t="shared" si="8"/>
        <v>2.1664299999999912</v>
      </c>
      <c r="AA24" s="2"/>
      <c r="AB24" s="2"/>
      <c r="AC24" s="2"/>
      <c r="AD24" s="2"/>
      <c r="AE24" s="2"/>
      <c r="AF24" s="2"/>
    </row>
    <row r="25" spans="2:34" x14ac:dyDescent="0.35">
      <c r="G25" s="49" t="s">
        <v>77</v>
      </c>
      <c r="H25" s="2">
        <f>AVERAGE(H8,H10,H11,H13)</f>
        <v>7.2219650000000009</v>
      </c>
      <c r="I25" s="2">
        <f t="shared" ref="I25:P25" si="19">AVERAGE(I8,I10,I11,I13)</f>
        <v>11.047495000000001</v>
      </c>
      <c r="J25" s="2">
        <f t="shared" si="19"/>
        <v>0.39676460938959812</v>
      </c>
      <c r="K25" s="2">
        <f t="shared" si="19"/>
        <v>0.60323539061040188</v>
      </c>
      <c r="L25" s="2">
        <f t="shared" si="19"/>
        <v>0.13883739705844253</v>
      </c>
      <c r="M25" s="2">
        <f t="shared" si="19"/>
        <v>5.5077920095054758E-2</v>
      </c>
      <c r="N25" s="2">
        <f t="shared" si="19"/>
        <v>18.269460000000002</v>
      </c>
      <c r="O25" s="2">
        <f t="shared" si="19"/>
        <v>25.25</v>
      </c>
      <c r="P25" s="2">
        <f t="shared" si="19"/>
        <v>3.5070263831832613</v>
      </c>
      <c r="Z25" s="2"/>
      <c r="AA25" s="2"/>
      <c r="AB25" s="2"/>
      <c r="AC25" s="2"/>
      <c r="AD25" s="2"/>
      <c r="AE25" s="2"/>
      <c r="AF25" s="2"/>
    </row>
    <row r="26" spans="2:34" x14ac:dyDescent="0.35">
      <c r="G26" s="49" t="s">
        <v>94</v>
      </c>
      <c r="H26" s="2">
        <f>_xlfn.STDEV.S(H8,H10,H11,H13)</f>
        <v>0.43611445206505117</v>
      </c>
      <c r="I26" s="2">
        <f t="shared" ref="I26:P26" si="20">_xlfn.STDEV.S(I8,I10,I11,I13)</f>
        <v>1.4541413184304517</v>
      </c>
      <c r="J26" s="2">
        <f t="shared" si="20"/>
        <v>2.783371700665619E-2</v>
      </c>
      <c r="K26" s="2">
        <f t="shared" si="20"/>
        <v>2.7833717006656222E-2</v>
      </c>
      <c r="L26" s="2">
        <f t="shared" si="20"/>
        <v>8.199199787839298E-3</v>
      </c>
      <c r="M26" s="2">
        <f t="shared" si="20"/>
        <v>5.0290768470935138E-3</v>
      </c>
      <c r="N26" s="2">
        <f t="shared" si="20"/>
        <v>1.658850804502926</v>
      </c>
      <c r="O26" s="2">
        <f t="shared" si="20"/>
        <v>1.5</v>
      </c>
      <c r="P26" s="2">
        <f t="shared" si="20"/>
        <v>0.32460614566162094</v>
      </c>
      <c r="Z26" s="2"/>
      <c r="AA26" s="2"/>
      <c r="AB26" s="2"/>
      <c r="AC26" s="2"/>
      <c r="AD26" s="2"/>
      <c r="AE26" s="2"/>
      <c r="AF26" s="2"/>
    </row>
    <row r="27" spans="2:34" x14ac:dyDescent="0.35">
      <c r="G27" s="49" t="s">
        <v>95</v>
      </c>
      <c r="H27" s="2">
        <f>H26/SQRT(4)</f>
        <v>0.21805722603252559</v>
      </c>
      <c r="I27" s="2">
        <f t="shared" ref="I27:P27" si="21">I26/SQRT(4)</f>
        <v>0.72707065921522585</v>
      </c>
      <c r="J27" s="2">
        <f t="shared" si="21"/>
        <v>1.3916858503328095E-2</v>
      </c>
      <c r="K27" s="2">
        <f t="shared" si="21"/>
        <v>1.3916858503328111E-2</v>
      </c>
      <c r="L27" s="2">
        <f t="shared" si="21"/>
        <v>4.099599893919649E-3</v>
      </c>
      <c r="M27" s="2">
        <f t="shared" si="21"/>
        <v>2.5145384235467569E-3</v>
      </c>
      <c r="N27" s="2">
        <f t="shared" si="21"/>
        <v>0.829425402251463</v>
      </c>
      <c r="O27" s="2">
        <f t="shared" si="21"/>
        <v>0.75</v>
      </c>
      <c r="P27" s="2">
        <f t="shared" si="21"/>
        <v>0.16230307283081047</v>
      </c>
      <c r="Z27" s="2"/>
      <c r="AA27" s="2"/>
      <c r="AB27" s="2"/>
      <c r="AC27" s="2"/>
      <c r="AD27" s="2"/>
      <c r="AE27" s="2"/>
      <c r="AF27" s="2"/>
    </row>
    <row r="28" spans="2:34" ht="16" thickBot="1" x14ac:dyDescent="0.4">
      <c r="H28" s="2"/>
      <c r="I28" s="2"/>
      <c r="J28" s="2"/>
      <c r="K28" s="2"/>
      <c r="L28" s="2"/>
      <c r="M28" s="2"/>
      <c r="N28" s="2"/>
      <c r="Y28" s="13"/>
      <c r="Z28" s="9" t="s">
        <v>3</v>
      </c>
      <c r="AA28" s="9" t="s">
        <v>4</v>
      </c>
      <c r="AB28" s="9" t="s">
        <v>5</v>
      </c>
      <c r="AC28" s="9" t="s">
        <v>6</v>
      </c>
      <c r="AD28" s="9" t="s">
        <v>7</v>
      </c>
      <c r="AE28" s="9" t="s">
        <v>8</v>
      </c>
      <c r="AF28" s="9" t="s">
        <v>9</v>
      </c>
      <c r="AG28" s="9" t="s">
        <v>10</v>
      </c>
      <c r="AH28" s="44" t="s">
        <v>139</v>
      </c>
    </row>
    <row r="29" spans="2:34" x14ac:dyDescent="0.35">
      <c r="H29" s="2"/>
      <c r="I29" s="2"/>
      <c r="J29" s="2"/>
      <c r="K29" s="2"/>
      <c r="L29" s="2"/>
      <c r="M29" s="2"/>
      <c r="N29" s="2"/>
      <c r="Y29" s="49" t="s">
        <v>77</v>
      </c>
      <c r="Z29" s="2">
        <f>AVERAGE(Z7:Z23)</f>
        <v>9.4803370588235367</v>
      </c>
      <c r="AA29" s="2">
        <f t="shared" ref="AA29:AH29" si="22">AVERAGE(AA7:AA23)</f>
        <v>11.542745882352936</v>
      </c>
      <c r="AB29" s="2">
        <f t="shared" si="22"/>
        <v>0.45386317451162889</v>
      </c>
      <c r="AC29" s="2">
        <f t="shared" si="22"/>
        <v>0.54613682548837106</v>
      </c>
      <c r="AD29" s="2">
        <f t="shared" si="22"/>
        <v>0.10750720339360552</v>
      </c>
      <c r="AE29" s="2">
        <f t="shared" si="22"/>
        <v>4.8355625788901048E-2</v>
      </c>
      <c r="AF29" s="2">
        <f t="shared" si="22"/>
        <v>21.023082941176469</v>
      </c>
      <c r="AG29" s="2">
        <f t="shared" si="22"/>
        <v>35.294117647058826</v>
      </c>
      <c r="AH29" s="2">
        <f t="shared" si="22"/>
        <v>3.7257969345675308</v>
      </c>
    </row>
    <row r="30" spans="2:34" ht="16" thickBot="1" x14ac:dyDescent="0.4">
      <c r="E30" s="104" t="s">
        <v>82</v>
      </c>
      <c r="G30" s="13"/>
      <c r="H30" s="9" t="s">
        <v>3</v>
      </c>
      <c r="I30" s="9" t="s">
        <v>4</v>
      </c>
      <c r="J30" s="9" t="s">
        <v>5</v>
      </c>
      <c r="K30" s="9" t="s">
        <v>6</v>
      </c>
      <c r="L30" s="9" t="s">
        <v>7</v>
      </c>
      <c r="M30" s="9" t="s">
        <v>8</v>
      </c>
      <c r="N30" s="9" t="s">
        <v>9</v>
      </c>
      <c r="O30" s="9" t="s">
        <v>10</v>
      </c>
      <c r="P30" s="44" t="s">
        <v>139</v>
      </c>
      <c r="Y30" s="49" t="s">
        <v>94</v>
      </c>
      <c r="Z30" s="2">
        <f>_xlfn.STDEV.S(Z7:Z23)</f>
        <v>1.296153913515691</v>
      </c>
      <c r="AA30" s="2">
        <f t="shared" ref="AA30:AH30" si="23">_xlfn.STDEV.S(AA7:AA23)</f>
        <v>2.2444707298800353</v>
      </c>
      <c r="AB30" s="2">
        <f t="shared" si="23"/>
        <v>5.8766167624084528E-2</v>
      </c>
      <c r="AC30" s="2">
        <f t="shared" si="23"/>
        <v>5.8766167624084528E-2</v>
      </c>
      <c r="AD30" s="2">
        <f t="shared" si="23"/>
        <v>1.5958116114324409E-2</v>
      </c>
      <c r="AE30" s="2">
        <f t="shared" si="23"/>
        <v>6.4223039191478011E-3</v>
      </c>
      <c r="AF30" s="2">
        <f t="shared" si="23"/>
        <v>2.7671485242049569</v>
      </c>
      <c r="AG30" s="2">
        <f t="shared" si="23"/>
        <v>4.7271120396383823</v>
      </c>
      <c r="AH30" s="2">
        <f t="shared" si="23"/>
        <v>0.14335951972762825</v>
      </c>
    </row>
    <row r="31" spans="2:34" x14ac:dyDescent="0.35">
      <c r="G31" s="49" t="s">
        <v>77</v>
      </c>
      <c r="H31" s="2">
        <f t="shared" ref="H31:P31" si="24">AVERAGE(H7,H9,H12)</f>
        <v>7.5817933333333327</v>
      </c>
      <c r="I31" s="2">
        <f t="shared" si="24"/>
        <v>6.7603666666666662</v>
      </c>
      <c r="J31" s="2">
        <f t="shared" si="24"/>
        <v>0.52847403379112112</v>
      </c>
      <c r="K31" s="2">
        <f t="shared" si="24"/>
        <v>0.47152596620887893</v>
      </c>
      <c r="L31" s="2">
        <f t="shared" si="24"/>
        <v>0.13242594030091603</v>
      </c>
      <c r="M31" s="2">
        <f t="shared" si="24"/>
        <v>6.9934905273307035E-2</v>
      </c>
      <c r="N31" s="2">
        <f t="shared" si="24"/>
        <v>14.342159999999998</v>
      </c>
      <c r="O31" s="2">
        <f t="shared" si="24"/>
        <v>26.666666666666668</v>
      </c>
      <c r="P31" s="2">
        <f t="shared" si="24"/>
        <v>3.5082803598810517</v>
      </c>
      <c r="Y31" s="49" t="s">
        <v>95</v>
      </c>
      <c r="Z31" s="2">
        <f>Z30/SQRT(17)</f>
        <v>0.31436349955781717</v>
      </c>
      <c r="AA31" s="2">
        <f t="shared" ref="AA31:AH31" si="25">AA30/SQRT(17)</f>
        <v>0.54436411134720886</v>
      </c>
      <c r="AB31" s="2">
        <f t="shared" si="25"/>
        <v>1.4252889195697255E-2</v>
      </c>
      <c r="AC31" s="2">
        <f t="shared" si="25"/>
        <v>1.4252889195697255E-2</v>
      </c>
      <c r="AD31" s="2">
        <f t="shared" si="25"/>
        <v>3.8704116661900478E-3</v>
      </c>
      <c r="AE31" s="2">
        <f t="shared" si="25"/>
        <v>1.5576374952038028E-3</v>
      </c>
      <c r="AF31" s="2">
        <f t="shared" si="25"/>
        <v>0.67113209688641562</v>
      </c>
      <c r="AG31" s="2">
        <f t="shared" si="25"/>
        <v>1.1464930731504699</v>
      </c>
      <c r="AH31" s="2">
        <f t="shared" si="25"/>
        <v>3.4769790722048825E-2</v>
      </c>
    </row>
    <row r="32" spans="2:34" x14ac:dyDescent="0.35">
      <c r="G32" s="49" t="s">
        <v>94</v>
      </c>
      <c r="H32" s="2">
        <f t="shared" ref="H32:P32" si="26">_xlfn.STDEV.S(H7,H9,H12)</f>
        <v>0.58556795646050386</v>
      </c>
      <c r="I32" s="2">
        <f t="shared" si="26"/>
        <v>0.44229842418138315</v>
      </c>
      <c r="J32" s="2">
        <f t="shared" si="26"/>
        <v>1.216178469398794E-2</v>
      </c>
      <c r="K32" s="2">
        <f t="shared" si="26"/>
        <v>1.216178469398794E-2</v>
      </c>
      <c r="L32" s="2">
        <f t="shared" si="26"/>
        <v>1.0323262106282633E-2</v>
      </c>
      <c r="M32" s="2">
        <f t="shared" si="26"/>
        <v>4.6446495722134561E-3</v>
      </c>
      <c r="N32" s="2">
        <f t="shared" si="26"/>
        <v>0.9750091870849209</v>
      </c>
      <c r="O32" s="2">
        <f t="shared" si="26"/>
        <v>3.7859388972001722</v>
      </c>
      <c r="P32" s="2">
        <f t="shared" si="26"/>
        <v>0.26704021507451897</v>
      </c>
      <c r="Y32" s="49"/>
      <c r="Z32" s="2"/>
      <c r="AA32" s="2"/>
      <c r="AB32" s="2"/>
      <c r="AC32" s="2"/>
      <c r="AD32" s="2"/>
      <c r="AE32" s="2"/>
      <c r="AF32" s="2"/>
      <c r="AG32" s="2"/>
      <c r="AH32" s="2"/>
    </row>
    <row r="33" spans="4:34" x14ac:dyDescent="0.35">
      <c r="G33" s="49" t="s">
        <v>95</v>
      </c>
      <c r="H33" s="2">
        <f>H32/SQRT(3)</f>
        <v>0.33807781729129099</v>
      </c>
      <c r="I33" s="2">
        <f t="shared" ref="I33:P33" si="27">I32/SQRT(3)</f>
        <v>0.25536111426326885</v>
      </c>
      <c r="J33" s="2">
        <f t="shared" si="27"/>
        <v>7.0216096669002076E-3</v>
      </c>
      <c r="K33" s="2">
        <f t="shared" si="27"/>
        <v>7.0216096669002076E-3</v>
      </c>
      <c r="L33" s="2">
        <f t="shared" si="27"/>
        <v>5.9601381559773415E-3</v>
      </c>
      <c r="M33" s="2">
        <f t="shared" si="27"/>
        <v>2.6815896808089191E-3</v>
      </c>
      <c r="N33" s="2">
        <f t="shared" si="27"/>
        <v>0.56292181662583729</v>
      </c>
      <c r="O33" s="2">
        <f t="shared" si="27"/>
        <v>2.1858128414339943</v>
      </c>
      <c r="P33" s="2">
        <f t="shared" si="27"/>
        <v>0.1541757400577291</v>
      </c>
      <c r="Y33" s="49"/>
      <c r="Z33" s="2"/>
      <c r="AA33" s="2"/>
      <c r="AB33" s="2"/>
      <c r="AC33" s="2"/>
      <c r="AD33" s="2"/>
      <c r="AE33" s="2"/>
      <c r="AF33" s="2"/>
      <c r="AG33" s="2"/>
      <c r="AH33" s="2"/>
    </row>
    <row r="34" spans="4:34" x14ac:dyDescent="0.35">
      <c r="H34" s="2"/>
      <c r="I34" s="2"/>
      <c r="J34" s="2"/>
      <c r="K34" s="2"/>
      <c r="L34" s="2"/>
      <c r="M34" s="2"/>
      <c r="N34" s="2"/>
      <c r="Y34" s="49"/>
      <c r="Z34" s="2"/>
      <c r="AA34" s="2"/>
      <c r="AB34" s="2"/>
      <c r="AC34" s="2"/>
      <c r="AD34" s="2"/>
      <c r="AE34" s="2"/>
      <c r="AF34" s="2"/>
      <c r="AG34" s="2"/>
      <c r="AH34" s="2"/>
    </row>
    <row r="35" spans="4:34" x14ac:dyDescent="0.35">
      <c r="H35" s="2"/>
      <c r="I35" s="2"/>
      <c r="J35" s="2"/>
      <c r="K35" s="2"/>
      <c r="L35" s="2"/>
      <c r="M35" s="2"/>
      <c r="N35" s="2"/>
    </row>
    <row r="36" spans="4:34" ht="18.5" x14ac:dyDescent="0.45">
      <c r="F36" s="1" t="s">
        <v>52</v>
      </c>
      <c r="G36" s="3"/>
      <c r="H36" s="3"/>
      <c r="I36" s="3"/>
      <c r="J36" s="3"/>
      <c r="K36" s="3"/>
      <c r="L36" s="3"/>
      <c r="M36" s="3"/>
      <c r="N36" s="3"/>
      <c r="O36" s="3"/>
    </row>
    <row r="37" spans="4:34" ht="16" thickBot="1" x14ac:dyDescent="0.4">
      <c r="D37" s="204" t="s">
        <v>122</v>
      </c>
      <c r="F37" s="9" t="s">
        <v>1</v>
      </c>
      <c r="G37" s="9" t="s">
        <v>2</v>
      </c>
      <c r="H37" s="9" t="s">
        <v>3</v>
      </c>
      <c r="I37" s="9" t="s">
        <v>4</v>
      </c>
      <c r="J37" s="9" t="s">
        <v>5</v>
      </c>
      <c r="K37" s="9" t="s">
        <v>6</v>
      </c>
      <c r="L37" s="9" t="s">
        <v>7</v>
      </c>
      <c r="M37" s="9" t="s">
        <v>8</v>
      </c>
      <c r="N37" s="9" t="s">
        <v>9</v>
      </c>
      <c r="O37" s="9" t="s">
        <v>10</v>
      </c>
      <c r="P37" s="44" t="s">
        <v>139</v>
      </c>
    </row>
    <row r="38" spans="4:34" x14ac:dyDescent="0.35">
      <c r="F38" s="2">
        <v>0.10284</v>
      </c>
      <c r="G38" s="2">
        <v>6.6926899999999998</v>
      </c>
      <c r="H38" s="2">
        <f t="shared" ref="H38:H45" si="28">G38-F38</f>
        <v>6.5898500000000002</v>
      </c>
      <c r="I38" s="2">
        <f t="shared" ref="I38:I44" si="29">F39-G38</f>
        <v>7.1700799999999996</v>
      </c>
      <c r="J38" s="2">
        <f t="shared" ref="J38:J44" si="30">H38/N38</f>
        <v>0.47891595378755558</v>
      </c>
      <c r="K38" s="2">
        <f t="shared" ref="K38:K44" si="31">I38/N38</f>
        <v>0.52108404621244431</v>
      </c>
      <c r="L38" s="2">
        <f t="shared" ref="L38:L44" si="32">1/H38</f>
        <v>0.15174852234876363</v>
      </c>
      <c r="M38" s="2">
        <f t="shared" ref="M38:M44" si="33">1/N38</f>
        <v>7.2674788316510322E-2</v>
      </c>
      <c r="N38" s="2">
        <f t="shared" ref="N38:N44" si="34">H38+I38</f>
        <v>13.759930000000001</v>
      </c>
      <c r="O38" s="2">
        <v>23</v>
      </c>
      <c r="P38">
        <f t="shared" ref="P38:P44" si="35">O38/H38</f>
        <v>3.4902160140215632</v>
      </c>
    </row>
    <row r="39" spans="4:34" ht="18.5" x14ac:dyDescent="0.45">
      <c r="D39" t="s">
        <v>541</v>
      </c>
      <c r="F39" s="2">
        <v>13.862769999999999</v>
      </c>
      <c r="G39" s="2">
        <v>19.9727</v>
      </c>
      <c r="H39" s="2">
        <f t="shared" si="28"/>
        <v>6.1099300000000003</v>
      </c>
      <c r="I39" s="2">
        <f t="shared" si="29"/>
        <v>9.4676399999999994</v>
      </c>
      <c r="J39" s="2">
        <f t="shared" si="30"/>
        <v>0.39222613026293579</v>
      </c>
      <c r="K39" s="2">
        <f t="shared" si="31"/>
        <v>0.60777386973706427</v>
      </c>
      <c r="L39" s="2">
        <f t="shared" si="32"/>
        <v>0.16366799619635575</v>
      </c>
      <c r="M39" s="2">
        <f t="shared" si="33"/>
        <v>6.4194864795985518E-2</v>
      </c>
      <c r="N39" s="2">
        <f t="shared" si="34"/>
        <v>15.57757</v>
      </c>
      <c r="O39" s="2">
        <v>20</v>
      </c>
      <c r="P39">
        <f t="shared" si="35"/>
        <v>3.2733599239271154</v>
      </c>
      <c r="X39" s="1" t="s">
        <v>378</v>
      </c>
      <c r="Y39" s="3"/>
      <c r="Z39" s="3"/>
      <c r="AA39" s="3"/>
      <c r="AB39" s="3"/>
      <c r="AC39" s="3"/>
      <c r="AD39" s="3"/>
      <c r="AE39" s="3"/>
      <c r="AF39" s="3"/>
      <c r="AG39" s="3"/>
    </row>
    <row r="40" spans="4:34" ht="16" thickBot="1" x14ac:dyDescent="0.4">
      <c r="F40" s="13">
        <v>29.440339999999999</v>
      </c>
      <c r="G40" s="13">
        <v>36.76408</v>
      </c>
      <c r="H40" s="2">
        <f t="shared" si="28"/>
        <v>7.3237400000000008</v>
      </c>
      <c r="I40" s="2">
        <f t="shared" si="29"/>
        <v>7.4756199999999993</v>
      </c>
      <c r="J40" s="2">
        <f t="shared" si="30"/>
        <v>0.49486869702473624</v>
      </c>
      <c r="K40" s="2">
        <f t="shared" si="31"/>
        <v>0.50513130297526376</v>
      </c>
      <c r="L40" s="2">
        <f t="shared" si="32"/>
        <v>0.13654225846357188</v>
      </c>
      <c r="M40" s="2">
        <f t="shared" si="33"/>
        <v>6.7570489534682587E-2</v>
      </c>
      <c r="N40" s="2">
        <f t="shared" si="34"/>
        <v>14.79936</v>
      </c>
      <c r="O40" s="13">
        <v>29</v>
      </c>
      <c r="P40">
        <f t="shared" si="35"/>
        <v>3.9597254954435845</v>
      </c>
      <c r="X40" s="9" t="s">
        <v>1</v>
      </c>
      <c r="Y40" s="9" t="s">
        <v>2</v>
      </c>
      <c r="Z40" s="9" t="s">
        <v>3</v>
      </c>
      <c r="AA40" s="9" t="s">
        <v>4</v>
      </c>
      <c r="AB40" s="9" t="s">
        <v>5</v>
      </c>
      <c r="AC40" s="9" t="s">
        <v>6</v>
      </c>
      <c r="AD40" s="9" t="s">
        <v>7</v>
      </c>
      <c r="AE40" s="9" t="s">
        <v>8</v>
      </c>
      <c r="AF40" s="9" t="s">
        <v>9</v>
      </c>
      <c r="AG40" s="9" t="s">
        <v>10</v>
      </c>
      <c r="AH40" s="44" t="s">
        <v>139</v>
      </c>
    </row>
    <row r="41" spans="4:34" x14ac:dyDescent="0.35">
      <c r="F41" s="13">
        <v>44.239699999999999</v>
      </c>
      <c r="G41" s="13">
        <v>49.722999999999999</v>
      </c>
      <c r="H41" s="2">
        <f t="shared" si="28"/>
        <v>5.4832999999999998</v>
      </c>
      <c r="I41" s="2">
        <f t="shared" si="29"/>
        <v>8.1328900000000033</v>
      </c>
      <c r="J41" s="2">
        <f t="shared" si="30"/>
        <v>0.40270442759685332</v>
      </c>
      <c r="K41" s="2">
        <f t="shared" si="31"/>
        <v>0.59729557240314668</v>
      </c>
      <c r="L41" s="2">
        <f t="shared" si="32"/>
        <v>0.18237192931264021</v>
      </c>
      <c r="M41" s="2">
        <f t="shared" si="33"/>
        <v>7.3441983403580574E-2</v>
      </c>
      <c r="N41" s="2">
        <f t="shared" si="34"/>
        <v>13.616190000000003</v>
      </c>
      <c r="O41" s="13">
        <v>21</v>
      </c>
      <c r="P41">
        <f t="shared" si="35"/>
        <v>3.8298105155654443</v>
      </c>
      <c r="X41" s="2">
        <v>5.7326100000000002</v>
      </c>
      <c r="Y41" s="2">
        <v>15.994109999999999</v>
      </c>
      <c r="Z41" s="2">
        <f>Y41-X41</f>
        <v>10.261499999999998</v>
      </c>
      <c r="AA41" s="2">
        <f>X42-Y41</f>
        <v>9.6852499999999999</v>
      </c>
      <c r="AB41" s="2">
        <f>Z41/AF41</f>
        <v>0.51444470903781314</v>
      </c>
      <c r="AC41" s="2">
        <f>AA41/AF41</f>
        <v>0.48555529096218686</v>
      </c>
      <c r="AD41" s="2">
        <f>1/Z41</f>
        <v>9.7451639623836683E-2</v>
      </c>
      <c r="AE41" s="2">
        <f>1/AF41</f>
        <v>5.0133480391542487E-2</v>
      </c>
      <c r="AF41" s="2">
        <f>Z41+AA41</f>
        <v>19.946749999999998</v>
      </c>
      <c r="AG41" s="2">
        <v>47</v>
      </c>
      <c r="AH41">
        <f>AG41/Z41</f>
        <v>4.5802270623203247</v>
      </c>
    </row>
    <row r="42" spans="4:34" x14ac:dyDescent="0.35">
      <c r="D42" t="s">
        <v>693</v>
      </c>
      <c r="F42" s="13">
        <v>57.855890000000002</v>
      </c>
      <c r="G42" s="13">
        <v>67.96405</v>
      </c>
      <c r="H42" s="2">
        <f t="shared" si="28"/>
        <v>10.108159999999998</v>
      </c>
      <c r="I42" s="2">
        <f t="shared" si="29"/>
        <v>8.0622299999999996</v>
      </c>
      <c r="J42" s="2">
        <f t="shared" si="30"/>
        <v>0.55629846139791161</v>
      </c>
      <c r="K42" s="2">
        <f t="shared" si="31"/>
        <v>0.44370153860208839</v>
      </c>
      <c r="L42" s="2">
        <f t="shared" si="32"/>
        <v>9.8929973407623162E-2</v>
      </c>
      <c r="M42" s="2">
        <f t="shared" si="33"/>
        <v>5.5034591992797081E-2</v>
      </c>
      <c r="N42" s="2">
        <f t="shared" si="34"/>
        <v>18.170389999999998</v>
      </c>
      <c r="O42" s="13">
        <v>40</v>
      </c>
      <c r="P42">
        <f t="shared" si="35"/>
        <v>3.9571989363049265</v>
      </c>
      <c r="X42" s="2">
        <v>25.679359999999999</v>
      </c>
      <c r="Y42" s="2">
        <v>34.232489999999999</v>
      </c>
      <c r="Z42" s="2">
        <f t="shared" ref="Z42:Z64" si="36">Y42-X42</f>
        <v>8.5531299999999995</v>
      </c>
      <c r="AA42" s="2">
        <f t="shared" ref="AA42:AA63" si="37">X43-Y42</f>
        <v>9.6445800000000048</v>
      </c>
      <c r="AB42" s="2">
        <f t="shared" ref="AB42:AB63" si="38">Z42/AF42</f>
        <v>0.47001133659125227</v>
      </c>
      <c r="AC42" s="2">
        <f t="shared" ref="AC42:AC63" si="39">AA42/AF42</f>
        <v>0.52998866340874773</v>
      </c>
      <c r="AD42" s="2">
        <f t="shared" ref="AD42:AD63" si="40">1/Z42</f>
        <v>0.11691626340298815</v>
      </c>
      <c r="AE42" s="2">
        <f t="shared" ref="AE42:AE63" si="41">1/AF42</f>
        <v>5.4951969231293377E-2</v>
      </c>
      <c r="AF42" s="2">
        <f t="shared" ref="AF42:AF63" si="42">Z42+AA42</f>
        <v>18.197710000000004</v>
      </c>
      <c r="AG42" s="2">
        <v>37</v>
      </c>
      <c r="AH42">
        <f>AG42/Z42</f>
        <v>4.3259017459105618</v>
      </c>
    </row>
    <row r="43" spans="4:34" x14ac:dyDescent="0.35">
      <c r="D43" t="s">
        <v>541</v>
      </c>
      <c r="F43" s="13">
        <v>76.02628</v>
      </c>
      <c r="G43" s="13">
        <v>83.371369999999999</v>
      </c>
      <c r="H43" s="2">
        <f t="shared" si="28"/>
        <v>7.345089999999999</v>
      </c>
      <c r="I43" s="2">
        <f t="shared" si="29"/>
        <v>8.9500400000000013</v>
      </c>
      <c r="J43" s="2">
        <f t="shared" si="30"/>
        <v>0.45075369144032595</v>
      </c>
      <c r="K43" s="2">
        <f t="shared" si="31"/>
        <v>0.54924630855967405</v>
      </c>
      <c r="L43" s="2">
        <f t="shared" si="32"/>
        <v>0.13614537058089146</v>
      </c>
      <c r="M43" s="2">
        <f t="shared" si="33"/>
        <v>6.1368028361847987E-2</v>
      </c>
      <c r="N43" s="2">
        <f t="shared" si="34"/>
        <v>16.29513</v>
      </c>
      <c r="O43" s="13">
        <v>36</v>
      </c>
      <c r="P43">
        <f t="shared" si="35"/>
        <v>4.9012333409120927</v>
      </c>
      <c r="X43" s="13">
        <v>43.877070000000003</v>
      </c>
      <c r="Y43" s="13">
        <v>53.900649999999999</v>
      </c>
      <c r="Z43" s="2">
        <f t="shared" si="36"/>
        <v>10.023579999999995</v>
      </c>
      <c r="AA43" s="2">
        <f t="shared" si="37"/>
        <v>10.481480000000005</v>
      </c>
      <c r="AB43" s="2">
        <f t="shared" si="38"/>
        <v>0.48883446329832714</v>
      </c>
      <c r="AC43" s="2">
        <f t="shared" si="39"/>
        <v>0.51116553670167286</v>
      </c>
      <c r="AD43" s="2">
        <f t="shared" si="40"/>
        <v>9.9764754708397643E-2</v>
      </c>
      <c r="AE43" s="2">
        <f t="shared" si="41"/>
        <v>4.8768450323968815E-2</v>
      </c>
      <c r="AF43" s="2">
        <f t="shared" si="42"/>
        <v>20.50506</v>
      </c>
      <c r="AG43" s="13">
        <v>42</v>
      </c>
      <c r="AH43">
        <f>AG43/Z43</f>
        <v>4.1901196977527011</v>
      </c>
    </row>
    <row r="44" spans="4:34" x14ac:dyDescent="0.35">
      <c r="F44" s="13">
        <v>92.32141</v>
      </c>
      <c r="G44" s="13">
        <v>100.09292000000001</v>
      </c>
      <c r="H44" s="2">
        <f t="shared" si="28"/>
        <v>7.7715100000000064</v>
      </c>
      <c r="I44" s="2">
        <f t="shared" si="29"/>
        <v>8.4639999999999986</v>
      </c>
      <c r="J44" s="2">
        <f t="shared" si="30"/>
        <v>0.4786735987967119</v>
      </c>
      <c r="K44" s="2">
        <f t="shared" si="31"/>
        <v>0.5213264012032881</v>
      </c>
      <c r="L44" s="2">
        <f t="shared" si="32"/>
        <v>0.12867512233787246</v>
      </c>
      <c r="M44" s="2">
        <f t="shared" si="33"/>
        <v>6.1593383885076583E-2</v>
      </c>
      <c r="N44" s="2">
        <f t="shared" si="34"/>
        <v>16.235510000000005</v>
      </c>
      <c r="O44" s="13">
        <v>40</v>
      </c>
      <c r="P44">
        <f t="shared" si="35"/>
        <v>5.1470048935148984</v>
      </c>
      <c r="X44" s="13">
        <v>64.382130000000004</v>
      </c>
      <c r="Y44" s="13">
        <v>76.353219999999993</v>
      </c>
      <c r="Z44" s="2">
        <f t="shared" si="36"/>
        <v>11.97108999999999</v>
      </c>
      <c r="AA44" s="2">
        <f t="shared" si="37"/>
        <v>7.706860000000006</v>
      </c>
      <c r="AB44" s="2">
        <f t="shared" si="38"/>
        <v>0.6083504633358654</v>
      </c>
      <c r="AC44" s="2">
        <f t="shared" si="39"/>
        <v>0.3916495366641346</v>
      </c>
      <c r="AD44" s="2">
        <f t="shared" si="40"/>
        <v>8.3534582063955823E-2</v>
      </c>
      <c r="AE44" s="2">
        <f t="shared" si="41"/>
        <v>5.0818301703175396E-2</v>
      </c>
      <c r="AF44" s="2">
        <f t="shared" si="42"/>
        <v>19.677949999999996</v>
      </c>
      <c r="AG44" s="13">
        <v>65</v>
      </c>
      <c r="AH44">
        <f>AG44/Z44</f>
        <v>5.4297478341571281</v>
      </c>
    </row>
    <row r="45" spans="4:34" x14ac:dyDescent="0.35">
      <c r="F45" s="13">
        <v>108.55692000000001</v>
      </c>
      <c r="G45" s="13">
        <v>114.35887</v>
      </c>
      <c r="H45" s="2">
        <f t="shared" si="28"/>
        <v>5.8019499999999908</v>
      </c>
      <c r="I45" s="2"/>
      <c r="J45" s="2"/>
      <c r="K45" s="2"/>
      <c r="L45" s="2"/>
      <c r="M45" s="2"/>
      <c r="N45" s="2"/>
      <c r="O45" s="13"/>
      <c r="X45" s="13">
        <v>84.060079999999999</v>
      </c>
      <c r="Y45" s="13">
        <v>96.874859999999998</v>
      </c>
      <c r="Z45" s="2">
        <f t="shared" si="36"/>
        <v>12.814779999999999</v>
      </c>
      <c r="AA45" s="2">
        <f t="shared" si="37"/>
        <v>6.8139500000000055</v>
      </c>
      <c r="AB45" s="2">
        <f t="shared" si="38"/>
        <v>0.65285833571504603</v>
      </c>
      <c r="AC45" s="2">
        <f t="shared" si="39"/>
        <v>0.34714166428495397</v>
      </c>
      <c r="AD45" s="2">
        <f t="shared" si="40"/>
        <v>7.8034894083238271E-2</v>
      </c>
      <c r="AE45" s="2">
        <f t="shared" si="41"/>
        <v>5.0945731078882832E-2</v>
      </c>
      <c r="AF45" s="2">
        <f t="shared" si="42"/>
        <v>19.628730000000004</v>
      </c>
      <c r="AG45" s="13">
        <v>69</v>
      </c>
      <c r="AH45">
        <f>AG45/Z45</f>
        <v>5.3844076917434407</v>
      </c>
    </row>
    <row r="46" spans="4:34" x14ac:dyDescent="0.35">
      <c r="F46" s="13"/>
      <c r="G46" s="13"/>
      <c r="H46" s="2"/>
      <c r="I46" s="2"/>
      <c r="J46" s="2"/>
      <c r="K46" s="2"/>
      <c r="L46" s="2"/>
      <c r="M46" s="2"/>
      <c r="N46" s="2"/>
      <c r="O46" s="13"/>
      <c r="X46" s="13">
        <v>103.68881</v>
      </c>
      <c r="Y46" s="13">
        <v>113.11586</v>
      </c>
      <c r="Z46" s="2">
        <f t="shared" si="36"/>
        <v>9.4270499999999942</v>
      </c>
      <c r="AA46" s="2">
        <f t="shared" si="37"/>
        <v>9.7474200000000053</v>
      </c>
      <c r="AB46" s="2">
        <f t="shared" si="38"/>
        <v>0.49164592293815657</v>
      </c>
      <c r="AC46" s="2">
        <f t="shared" si="39"/>
        <v>0.50835407706184343</v>
      </c>
      <c r="AD46" s="2">
        <f t="shared" si="40"/>
        <v>0.10607772314775042</v>
      </c>
      <c r="AE46" s="2">
        <f t="shared" si="41"/>
        <v>5.215268010015401E-2</v>
      </c>
      <c r="AF46" s="2">
        <f t="shared" si="42"/>
        <v>19.174469999999999</v>
      </c>
      <c r="AG46" s="13">
        <v>51</v>
      </c>
      <c r="AH46">
        <f t="shared" ref="AH46:AH63" si="43">AG46/Z46</f>
        <v>5.4099638805352717</v>
      </c>
    </row>
    <row r="47" spans="4:34" ht="16" thickBot="1" x14ac:dyDescent="0.4">
      <c r="F47" s="13"/>
      <c r="G47" s="13"/>
      <c r="H47" s="9" t="s">
        <v>3</v>
      </c>
      <c r="I47" s="9" t="s">
        <v>4</v>
      </c>
      <c r="J47" s="9" t="s">
        <v>5</v>
      </c>
      <c r="K47" s="9" t="s">
        <v>6</v>
      </c>
      <c r="L47" s="9" t="s">
        <v>7</v>
      </c>
      <c r="M47" s="9" t="s">
        <v>8</v>
      </c>
      <c r="N47" s="9" t="s">
        <v>9</v>
      </c>
      <c r="O47" s="9" t="s">
        <v>10</v>
      </c>
      <c r="P47" s="44" t="s">
        <v>139</v>
      </c>
      <c r="X47" s="13">
        <v>122.86328</v>
      </c>
      <c r="Y47">
        <v>133.63320999999999</v>
      </c>
      <c r="Z47" s="2">
        <f t="shared" si="36"/>
        <v>10.769929999999988</v>
      </c>
      <c r="AA47" s="2">
        <f t="shared" si="37"/>
        <v>7.6939000000000135</v>
      </c>
      <c r="AB47" s="2">
        <f t="shared" si="38"/>
        <v>0.58329880636899212</v>
      </c>
      <c r="AC47" s="2">
        <f t="shared" si="39"/>
        <v>0.41670119363100794</v>
      </c>
      <c r="AD47" s="2">
        <f t="shared" si="40"/>
        <v>9.2851114166944554E-2</v>
      </c>
      <c r="AE47" s="2">
        <f t="shared" si="41"/>
        <v>5.4159944063609765E-2</v>
      </c>
      <c r="AF47" s="2">
        <f t="shared" si="42"/>
        <v>18.463830000000002</v>
      </c>
      <c r="AG47">
        <v>57</v>
      </c>
      <c r="AH47">
        <f t="shared" si="43"/>
        <v>5.2925135075158396</v>
      </c>
    </row>
    <row r="48" spans="4:34" x14ac:dyDescent="0.35">
      <c r="F48" s="13"/>
      <c r="G48" s="49" t="s">
        <v>77</v>
      </c>
      <c r="H48" s="2">
        <f>AVERAGE(H38:H44)</f>
        <v>7.2473685714285727</v>
      </c>
      <c r="I48" s="2">
        <f t="shared" ref="I48:P48" si="44">AVERAGE(I38:I44)</f>
        <v>8.2460714285714278</v>
      </c>
      <c r="J48" s="2">
        <f t="shared" si="44"/>
        <v>0.46492013718671865</v>
      </c>
      <c r="K48" s="2">
        <f t="shared" si="44"/>
        <v>0.53507986281328135</v>
      </c>
      <c r="L48" s="2">
        <f t="shared" si="44"/>
        <v>0.14258302466395981</v>
      </c>
      <c r="M48" s="2">
        <f t="shared" si="44"/>
        <v>6.5125447184354382E-2</v>
      </c>
      <c r="N48" s="2">
        <f t="shared" si="44"/>
        <v>15.493440000000001</v>
      </c>
      <c r="O48" s="2">
        <f t="shared" si="44"/>
        <v>29.857142857142858</v>
      </c>
      <c r="P48" s="2">
        <f t="shared" si="44"/>
        <v>4.0797927313842317</v>
      </c>
      <c r="X48" s="13">
        <v>141.32711</v>
      </c>
      <c r="Y48">
        <v>153.23999000000001</v>
      </c>
      <c r="Z48" s="2">
        <f t="shared" si="36"/>
        <v>11.912880000000001</v>
      </c>
      <c r="AA48" s="2">
        <f t="shared" si="37"/>
        <v>8.7233300000000042</v>
      </c>
      <c r="AB48" s="2">
        <f t="shared" si="38"/>
        <v>0.5772804211626068</v>
      </c>
      <c r="AC48" s="2">
        <f t="shared" si="39"/>
        <v>0.4227195788373932</v>
      </c>
      <c r="AD48" s="2">
        <f t="shared" si="40"/>
        <v>8.3942757754631947E-2</v>
      </c>
      <c r="AE48" s="2">
        <f t="shared" si="41"/>
        <v>4.8458510550144614E-2</v>
      </c>
      <c r="AF48" s="2">
        <f t="shared" si="42"/>
        <v>20.636210000000005</v>
      </c>
      <c r="AG48">
        <v>64</v>
      </c>
      <c r="AH48">
        <f t="shared" si="43"/>
        <v>5.3723364962964446</v>
      </c>
    </row>
    <row r="49" spans="5:34" x14ac:dyDescent="0.35">
      <c r="F49" s="13"/>
      <c r="G49" s="49" t="s">
        <v>94</v>
      </c>
      <c r="H49" s="2">
        <f>_xlfn.STDEV.S(H38:H44)</f>
        <v>1.4895339879688108</v>
      </c>
      <c r="I49" s="2">
        <f t="shared" ref="I49:P49" si="45">_xlfn.STDEV.S(I38:I44)</f>
        <v>0.79929709237614055</v>
      </c>
      <c r="J49" s="2">
        <f t="shared" si="45"/>
        <v>5.6255157257045683E-2</v>
      </c>
      <c r="K49" s="2">
        <f t="shared" si="45"/>
        <v>5.6255157257046197E-2</v>
      </c>
      <c r="L49" s="2">
        <f t="shared" si="45"/>
        <v>2.673540780486678E-2</v>
      </c>
      <c r="M49" s="2">
        <f t="shared" si="45"/>
        <v>6.6007646999749568E-3</v>
      </c>
      <c r="N49" s="2">
        <f t="shared" si="45"/>
        <v>1.6009052350363102</v>
      </c>
      <c r="O49" s="2">
        <f t="shared" si="45"/>
        <v>8.8209706840870901</v>
      </c>
      <c r="P49" s="2">
        <f t="shared" si="45"/>
        <v>0.69565047983218431</v>
      </c>
      <c r="X49" s="13">
        <v>161.96332000000001</v>
      </c>
      <c r="Y49">
        <v>170.34120999999999</v>
      </c>
      <c r="Z49" s="2">
        <f t="shared" si="36"/>
        <v>8.3778899999999794</v>
      </c>
      <c r="AA49" s="2">
        <f t="shared" si="37"/>
        <v>7.4584100000000149</v>
      </c>
      <c r="AB49" s="2">
        <f t="shared" si="38"/>
        <v>0.52903077107657615</v>
      </c>
      <c r="AC49" s="2">
        <f t="shared" si="39"/>
        <v>0.47096922892342385</v>
      </c>
      <c r="AD49" s="2">
        <f t="shared" si="40"/>
        <v>0.11936179634729061</v>
      </c>
      <c r="AE49" s="2">
        <f t="shared" si="41"/>
        <v>6.3146063158692395E-2</v>
      </c>
      <c r="AF49" s="2">
        <f t="shared" si="42"/>
        <v>15.836299999999994</v>
      </c>
      <c r="AG49">
        <v>48</v>
      </c>
      <c r="AH49">
        <f t="shared" si="43"/>
        <v>5.729366224669949</v>
      </c>
    </row>
    <row r="50" spans="5:34" x14ac:dyDescent="0.35">
      <c r="F50" s="13"/>
      <c r="G50" s="49" t="s">
        <v>95</v>
      </c>
      <c r="H50" s="2">
        <f>H49/SQRT(7)</f>
        <v>0.56299092879196411</v>
      </c>
      <c r="I50" s="2">
        <f t="shared" ref="I50:P50" si="46">I49/SQRT(7)</f>
        <v>0.30210590429775558</v>
      </c>
      <c r="J50" s="2">
        <f t="shared" si="46"/>
        <v>2.1262450866710476E-2</v>
      </c>
      <c r="K50" s="2">
        <f t="shared" si="46"/>
        <v>2.1262450866710671E-2</v>
      </c>
      <c r="L50" s="2">
        <f t="shared" si="46"/>
        <v>1.0105034321653253E-2</v>
      </c>
      <c r="M50" s="2">
        <f t="shared" si="46"/>
        <v>2.4948545512839442E-3</v>
      </c>
      <c r="N50" s="2">
        <f t="shared" si="46"/>
        <v>0.60508530349821199</v>
      </c>
      <c r="O50" s="2">
        <f t="shared" si="46"/>
        <v>3.3340135360408194</v>
      </c>
      <c r="P50" s="2">
        <f t="shared" si="46"/>
        <v>0.26293116700838759</v>
      </c>
      <c r="X50" s="13">
        <v>177.79962</v>
      </c>
      <c r="Y50">
        <v>188.29351</v>
      </c>
      <c r="Z50" s="2">
        <f t="shared" si="36"/>
        <v>10.493889999999993</v>
      </c>
      <c r="AA50" s="2">
        <f t="shared" si="37"/>
        <v>8.3537200000000098</v>
      </c>
      <c r="AB50" s="2">
        <f t="shared" si="38"/>
        <v>0.55677563362145077</v>
      </c>
      <c r="AC50" s="2">
        <f t="shared" si="39"/>
        <v>0.44322436637854923</v>
      </c>
      <c r="AD50" s="2">
        <f t="shared" si="40"/>
        <v>9.5293547006877394E-2</v>
      </c>
      <c r="AE50" s="2">
        <f t="shared" si="41"/>
        <v>5.3057125014789666E-2</v>
      </c>
      <c r="AF50" s="2">
        <f t="shared" si="42"/>
        <v>18.847610000000003</v>
      </c>
      <c r="AG50">
        <v>57</v>
      </c>
      <c r="AH50">
        <f t="shared" si="43"/>
        <v>5.4317321793920117</v>
      </c>
    </row>
    <row r="51" spans="5:34" x14ac:dyDescent="0.35">
      <c r="F51" s="13"/>
      <c r="H51" s="2"/>
      <c r="I51" s="2"/>
      <c r="J51" s="2"/>
      <c r="K51" s="2"/>
      <c r="L51" s="2"/>
      <c r="M51" s="2"/>
      <c r="N51" s="2"/>
      <c r="X51">
        <v>196.64723000000001</v>
      </c>
      <c r="Y51">
        <v>206.53232</v>
      </c>
      <c r="Z51" s="2">
        <f t="shared" si="36"/>
        <v>9.8850899999999911</v>
      </c>
      <c r="AA51" s="2">
        <f t="shared" si="37"/>
        <v>7.7663200000000074</v>
      </c>
      <c r="AB51" s="2">
        <f t="shared" si="38"/>
        <v>0.56001701847047869</v>
      </c>
      <c r="AC51" s="2">
        <f t="shared" si="39"/>
        <v>0.43998298152952131</v>
      </c>
      <c r="AD51" s="2">
        <f t="shared" si="40"/>
        <v>0.10116245780260988</v>
      </c>
      <c r="AE51" s="2">
        <f t="shared" si="41"/>
        <v>5.6652697999763198E-2</v>
      </c>
      <c r="AF51" s="2">
        <f t="shared" si="42"/>
        <v>17.651409999999998</v>
      </c>
      <c r="AG51">
        <v>57</v>
      </c>
      <c r="AH51">
        <f t="shared" si="43"/>
        <v>5.7662600947487634</v>
      </c>
    </row>
    <row r="52" spans="5:34" x14ac:dyDescent="0.35">
      <c r="F52" s="13"/>
      <c r="H52" s="2"/>
      <c r="I52" s="2"/>
      <c r="J52" s="2"/>
      <c r="K52" s="2"/>
      <c r="L52" s="2"/>
      <c r="M52" s="2"/>
      <c r="N52" s="2"/>
      <c r="X52">
        <v>214.29864000000001</v>
      </c>
      <c r="Y52">
        <v>225.34370000000001</v>
      </c>
      <c r="Z52" s="2">
        <f t="shared" si="36"/>
        <v>11.045060000000007</v>
      </c>
      <c r="AA52" s="2">
        <f t="shared" si="37"/>
        <v>9.2942499999999768</v>
      </c>
      <c r="AB52" s="2">
        <f t="shared" si="38"/>
        <v>0.54304005396446664</v>
      </c>
      <c r="AC52" s="2">
        <f t="shared" si="39"/>
        <v>0.45695994603553336</v>
      </c>
      <c r="AD52" s="2">
        <f t="shared" si="40"/>
        <v>9.0538213463756595E-2</v>
      </c>
      <c r="AE52" s="2">
        <f t="shared" si="41"/>
        <v>4.9165876325204777E-2</v>
      </c>
      <c r="AF52" s="2">
        <f t="shared" si="42"/>
        <v>20.339309999999983</v>
      </c>
      <c r="AG52">
        <v>57</v>
      </c>
      <c r="AH52">
        <f t="shared" si="43"/>
        <v>5.160678167434126</v>
      </c>
    </row>
    <row r="53" spans="5:34" ht="16" thickBot="1" x14ac:dyDescent="0.4">
      <c r="E53" s="104" t="s">
        <v>81</v>
      </c>
      <c r="G53" s="13"/>
      <c r="H53" s="9" t="s">
        <v>3</v>
      </c>
      <c r="I53" s="9" t="s">
        <v>4</v>
      </c>
      <c r="J53" s="9" t="s">
        <v>5</v>
      </c>
      <c r="K53" s="9" t="s">
        <v>6</v>
      </c>
      <c r="L53" s="9" t="s">
        <v>7</v>
      </c>
      <c r="M53" s="9" t="s">
        <v>8</v>
      </c>
      <c r="N53" s="9" t="s">
        <v>9</v>
      </c>
      <c r="O53" s="9" t="s">
        <v>10</v>
      </c>
      <c r="P53" s="44" t="s">
        <v>139</v>
      </c>
      <c r="X53">
        <v>234.63794999999999</v>
      </c>
      <c r="Y53">
        <v>246.13151999999999</v>
      </c>
      <c r="Z53" s="2">
        <f t="shared" si="36"/>
        <v>11.493570000000005</v>
      </c>
      <c r="AA53" s="2">
        <f t="shared" si="37"/>
        <v>8.2677000000000191</v>
      </c>
      <c r="AB53" s="2">
        <f t="shared" si="38"/>
        <v>0.58162101929683629</v>
      </c>
      <c r="AC53" s="2">
        <f t="shared" si="39"/>
        <v>0.41837898070316376</v>
      </c>
      <c r="AD53" s="2">
        <f t="shared" si="40"/>
        <v>8.700516897708889E-2</v>
      </c>
      <c r="AE53" s="2">
        <f t="shared" si="41"/>
        <v>5.0604035064547914E-2</v>
      </c>
      <c r="AF53" s="2">
        <f t="shared" si="42"/>
        <v>19.761270000000025</v>
      </c>
      <c r="AG53">
        <v>57</v>
      </c>
      <c r="AH53">
        <f t="shared" si="43"/>
        <v>4.9592946316940667</v>
      </c>
    </row>
    <row r="54" spans="5:34" x14ac:dyDescent="0.35">
      <c r="G54" s="49" t="s">
        <v>77</v>
      </c>
      <c r="H54" s="2">
        <f>AVERAGE(H39,H42:H43)</f>
        <v>7.8543933333333316</v>
      </c>
      <c r="I54" s="2">
        <f t="shared" ref="I54:P54" si="47">AVERAGE(I39,I42:I43)</f>
        <v>8.8266366666666674</v>
      </c>
      <c r="J54" s="2">
        <f t="shared" si="47"/>
        <v>0.46642609436705779</v>
      </c>
      <c r="K54" s="2">
        <f t="shared" si="47"/>
        <v>0.53357390563294216</v>
      </c>
      <c r="L54" s="2">
        <f t="shared" si="47"/>
        <v>0.13291444672829011</v>
      </c>
      <c r="M54" s="2">
        <f t="shared" si="47"/>
        <v>6.0199161716876864E-2</v>
      </c>
      <c r="N54" s="2">
        <f t="shared" si="47"/>
        <v>16.68103</v>
      </c>
      <c r="O54" s="2">
        <f t="shared" si="47"/>
        <v>32</v>
      </c>
      <c r="P54" s="2">
        <f t="shared" si="47"/>
        <v>4.0439307337147117</v>
      </c>
      <c r="X54">
        <v>254.39922000000001</v>
      </c>
      <c r="Y54">
        <v>264.65611999999999</v>
      </c>
      <c r="Z54" s="2">
        <f t="shared" si="36"/>
        <v>10.256899999999973</v>
      </c>
      <c r="AA54" s="2">
        <f t="shared" si="37"/>
        <v>9.3092100000000073</v>
      </c>
      <c r="AB54" s="2">
        <f t="shared" si="38"/>
        <v>0.52421763958190892</v>
      </c>
      <c r="AC54" s="2">
        <f t="shared" si="39"/>
        <v>0.47578236041809113</v>
      </c>
      <c r="AD54" s="2">
        <f t="shared" si="40"/>
        <v>9.7495344597295738E-2</v>
      </c>
      <c r="AE54" s="2">
        <f t="shared" si="41"/>
        <v>5.1108779415019186E-2</v>
      </c>
      <c r="AF54" s="2">
        <f t="shared" si="42"/>
        <v>19.566109999999981</v>
      </c>
      <c r="AG54">
        <v>51</v>
      </c>
      <c r="AH54">
        <f t="shared" si="43"/>
        <v>4.9722625744620821</v>
      </c>
    </row>
    <row r="55" spans="5:34" x14ac:dyDescent="0.35">
      <c r="G55" s="49" t="s">
        <v>94</v>
      </c>
      <c r="H55" s="2">
        <f>_xlfn.STDEV.S(H39,H42:H43)</f>
        <v>2.0471939813396638</v>
      </c>
      <c r="I55" s="2">
        <f t="shared" ref="I55:P55" si="48">_xlfn.STDEV.S(I39,I42:I43)</f>
        <v>0.71078520245805166</v>
      </c>
      <c r="J55" s="2">
        <f t="shared" si="48"/>
        <v>8.3151371733361026E-2</v>
      </c>
      <c r="K55" s="2">
        <f t="shared" si="48"/>
        <v>8.3151371733361693E-2</v>
      </c>
      <c r="L55" s="2">
        <f t="shared" si="48"/>
        <v>3.2489722226491845E-2</v>
      </c>
      <c r="M55" s="2">
        <f t="shared" si="48"/>
        <v>4.6906648124229655E-3</v>
      </c>
      <c r="N55" s="2">
        <f t="shared" si="48"/>
        <v>1.3387934850453957</v>
      </c>
      <c r="O55" s="2">
        <f t="shared" si="48"/>
        <v>10.583005244258363</v>
      </c>
      <c r="P55" s="2">
        <f t="shared" si="48"/>
        <v>0.81739511189083702</v>
      </c>
      <c r="X55">
        <v>273.96532999999999</v>
      </c>
      <c r="Y55">
        <v>284.88817999999998</v>
      </c>
      <c r="Z55" s="2">
        <f t="shared" si="36"/>
        <v>10.922849999999983</v>
      </c>
      <c r="AA55" s="2">
        <f t="shared" si="37"/>
        <v>7.4784000000000219</v>
      </c>
      <c r="AB55" s="2">
        <f t="shared" si="38"/>
        <v>0.59359282657428059</v>
      </c>
      <c r="AC55" s="2">
        <f t="shared" si="39"/>
        <v>0.40640717342571947</v>
      </c>
      <c r="AD55" s="2">
        <f t="shared" si="40"/>
        <v>9.1551197718544294E-2</v>
      </c>
      <c r="AE55" s="2">
        <f t="shared" si="41"/>
        <v>5.4344134230011533E-2</v>
      </c>
      <c r="AF55" s="2">
        <f t="shared" si="42"/>
        <v>18.401250000000005</v>
      </c>
      <c r="AG55">
        <v>55</v>
      </c>
      <c r="AH55">
        <f t="shared" si="43"/>
        <v>5.0353158745199362</v>
      </c>
    </row>
    <row r="56" spans="5:34" x14ac:dyDescent="0.35">
      <c r="G56" s="49" t="s">
        <v>95</v>
      </c>
      <c r="H56" s="2">
        <f>H55/SQRT(3)</f>
        <v>1.1819479962098367</v>
      </c>
      <c r="I56" s="2">
        <f t="shared" ref="I56:P56" si="49">I55/SQRT(3)</f>
        <v>0.41037202797515882</v>
      </c>
      <c r="J56" s="2">
        <f t="shared" si="49"/>
        <v>4.8007466853742631E-2</v>
      </c>
      <c r="K56" s="2">
        <f t="shared" si="49"/>
        <v>4.8007466853743012E-2</v>
      </c>
      <c r="L56" s="2">
        <f t="shared" si="49"/>
        <v>1.8757949873361233E-2</v>
      </c>
      <c r="M56" s="2">
        <f t="shared" si="49"/>
        <v>2.7081565921307049E-3</v>
      </c>
      <c r="N56" s="2">
        <f t="shared" si="49"/>
        <v>0.77295277898027648</v>
      </c>
      <c r="O56" s="2">
        <f t="shared" si="49"/>
        <v>6.110100926607787</v>
      </c>
      <c r="P56" s="2">
        <f t="shared" si="49"/>
        <v>0.47192328788445903</v>
      </c>
      <c r="X56">
        <v>292.36658</v>
      </c>
      <c r="Y56">
        <v>302.27609000000001</v>
      </c>
      <c r="Z56" s="2">
        <f t="shared" si="36"/>
        <v>9.9095100000000116</v>
      </c>
      <c r="AA56" s="2">
        <f t="shared" si="37"/>
        <v>11.203640000000007</v>
      </c>
      <c r="AB56" s="2">
        <f t="shared" si="38"/>
        <v>0.46935251253365806</v>
      </c>
      <c r="AC56" s="2">
        <f t="shared" si="39"/>
        <v>0.53064748746634194</v>
      </c>
      <c r="AD56" s="2">
        <f t="shared" si="40"/>
        <v>0.10091316321392267</v>
      </c>
      <c r="AE56" s="2">
        <f t="shared" si="41"/>
        <v>4.7363846702173723E-2</v>
      </c>
      <c r="AF56" s="2">
        <f t="shared" si="42"/>
        <v>21.113150000000019</v>
      </c>
      <c r="AG56">
        <v>54</v>
      </c>
      <c r="AH56">
        <f t="shared" si="43"/>
        <v>5.4493108135518238</v>
      </c>
    </row>
    <row r="57" spans="5:34" x14ac:dyDescent="0.35">
      <c r="H57" s="2"/>
      <c r="I57" s="2"/>
      <c r="J57" s="2"/>
      <c r="K57" s="2"/>
      <c r="L57" s="2"/>
      <c r="M57" s="2"/>
      <c r="N57" s="2"/>
      <c r="X57">
        <v>313.47973000000002</v>
      </c>
      <c r="Y57">
        <v>323.64934</v>
      </c>
      <c r="Z57" s="2">
        <f t="shared" si="36"/>
        <v>10.169609999999977</v>
      </c>
      <c r="AA57" s="2">
        <f t="shared" si="37"/>
        <v>10.685490000000016</v>
      </c>
      <c r="AB57" s="2">
        <f t="shared" si="38"/>
        <v>0.48763180229296338</v>
      </c>
      <c r="AC57" s="2">
        <f t="shared" si="39"/>
        <v>0.51236819770703657</v>
      </c>
      <c r="AD57" s="2">
        <f t="shared" si="40"/>
        <v>9.833218776334611E-2</v>
      </c>
      <c r="AE57" s="2">
        <f t="shared" si="41"/>
        <v>4.7949901942450544E-2</v>
      </c>
      <c r="AF57" s="2">
        <f t="shared" si="42"/>
        <v>20.855099999999993</v>
      </c>
      <c r="AG57">
        <v>53</v>
      </c>
      <c r="AH57">
        <f t="shared" si="43"/>
        <v>5.2116059514573436</v>
      </c>
    </row>
    <row r="58" spans="5:34" x14ac:dyDescent="0.35">
      <c r="H58" s="2"/>
      <c r="I58" s="2"/>
      <c r="J58" s="2"/>
      <c r="K58" s="2"/>
      <c r="L58" s="2"/>
      <c r="M58" s="2"/>
      <c r="N58" s="2"/>
      <c r="X58">
        <v>334.33483000000001</v>
      </c>
      <c r="Y58">
        <v>338.99381</v>
      </c>
      <c r="Z58" s="2">
        <f t="shared" si="36"/>
        <v>4.6589799999999855</v>
      </c>
      <c r="AA58" s="2">
        <f t="shared" si="37"/>
        <v>8.2680199999999786</v>
      </c>
      <c r="AB58" s="2">
        <f t="shared" si="38"/>
        <v>0.36040690028622252</v>
      </c>
      <c r="AC58" s="2">
        <f t="shared" si="39"/>
        <v>0.63959309971377754</v>
      </c>
      <c r="AD58" s="2">
        <f t="shared" si="40"/>
        <v>0.21463925580277296</v>
      </c>
      <c r="AE58" s="2">
        <f t="shared" si="41"/>
        <v>7.7357468863618994E-2</v>
      </c>
      <c r="AF58" s="2">
        <f t="shared" si="42"/>
        <v>12.926999999999964</v>
      </c>
      <c r="AG58">
        <v>22</v>
      </c>
      <c r="AH58">
        <f t="shared" si="43"/>
        <v>4.7220636276610053</v>
      </c>
    </row>
    <row r="59" spans="5:34" ht="16" thickBot="1" x14ac:dyDescent="0.4">
      <c r="E59" s="104" t="s">
        <v>82</v>
      </c>
      <c r="G59" s="13"/>
      <c r="H59" s="9" t="s">
        <v>3</v>
      </c>
      <c r="I59" s="9" t="s">
        <v>4</v>
      </c>
      <c r="J59" s="9" t="s">
        <v>5</v>
      </c>
      <c r="K59" s="9" t="s">
        <v>6</v>
      </c>
      <c r="L59" s="9" t="s">
        <v>7</v>
      </c>
      <c r="M59" s="9" t="s">
        <v>8</v>
      </c>
      <c r="N59" s="9" t="s">
        <v>9</v>
      </c>
      <c r="O59" s="9" t="s">
        <v>10</v>
      </c>
      <c r="P59" s="44" t="s">
        <v>139</v>
      </c>
      <c r="X59">
        <v>347.26182999999997</v>
      </c>
      <c r="Y59">
        <v>357.21935000000002</v>
      </c>
      <c r="Z59" s="2">
        <f t="shared" si="36"/>
        <v>9.957520000000045</v>
      </c>
      <c r="AA59" s="2">
        <f t="shared" si="37"/>
        <v>16.661039999999957</v>
      </c>
      <c r="AB59" s="2">
        <f t="shared" si="38"/>
        <v>0.37408184364593894</v>
      </c>
      <c r="AC59" s="2">
        <f t="shared" si="39"/>
        <v>0.62591815635406112</v>
      </c>
      <c r="AD59" s="2">
        <f t="shared" si="40"/>
        <v>0.10042661224883259</v>
      </c>
      <c r="AE59" s="2">
        <f t="shared" si="41"/>
        <v>3.7567772261159128E-2</v>
      </c>
      <c r="AF59" s="2">
        <f t="shared" si="42"/>
        <v>26.618560000000002</v>
      </c>
      <c r="AG59">
        <v>45</v>
      </c>
      <c r="AH59">
        <f t="shared" si="43"/>
        <v>4.5191975511974665</v>
      </c>
    </row>
    <row r="60" spans="5:34" x14ac:dyDescent="0.35">
      <c r="G60" s="49" t="s">
        <v>77</v>
      </c>
      <c r="H60" s="2">
        <f t="shared" ref="H60:P60" si="50">AVERAGE(H38,H40:H41,H44)</f>
        <v>6.7921000000000014</v>
      </c>
      <c r="I60" s="2">
        <f t="shared" si="50"/>
        <v>7.8106475</v>
      </c>
      <c r="J60" s="2">
        <f t="shared" si="50"/>
        <v>0.46379066930146429</v>
      </c>
      <c r="K60" s="2">
        <f t="shared" si="50"/>
        <v>0.53620933069853571</v>
      </c>
      <c r="L60" s="2">
        <f t="shared" si="50"/>
        <v>0.14983445811571205</v>
      </c>
      <c r="M60" s="2">
        <f t="shared" si="50"/>
        <v>6.8820161284962517E-2</v>
      </c>
      <c r="N60" s="2">
        <f t="shared" si="50"/>
        <v>14.602747500000003</v>
      </c>
      <c r="O60" s="2">
        <f t="shared" si="50"/>
        <v>28.25</v>
      </c>
      <c r="P60" s="2">
        <f t="shared" si="50"/>
        <v>4.1066892296363733</v>
      </c>
      <c r="X60">
        <v>373.88038999999998</v>
      </c>
      <c r="Y60">
        <v>385.49142000000001</v>
      </c>
      <c r="Z60" s="2">
        <f t="shared" si="36"/>
        <v>11.611030000000028</v>
      </c>
      <c r="AA60" s="2">
        <f t="shared" si="37"/>
        <v>11.248760000000004</v>
      </c>
      <c r="AB60" s="2">
        <f t="shared" si="38"/>
        <v>0.507923738582026</v>
      </c>
      <c r="AC60" s="2">
        <f t="shared" si="39"/>
        <v>0.492076261417974</v>
      </c>
      <c r="AD60" s="2">
        <f t="shared" si="40"/>
        <v>8.612500355265619E-2</v>
      </c>
      <c r="AE60" s="2">
        <f t="shared" si="41"/>
        <v>4.3744933789855403E-2</v>
      </c>
      <c r="AF60" s="2">
        <f t="shared" si="42"/>
        <v>22.859790000000032</v>
      </c>
      <c r="AG60">
        <v>52</v>
      </c>
      <c r="AH60">
        <f t="shared" si="43"/>
        <v>4.4785001847381221</v>
      </c>
    </row>
    <row r="61" spans="5:34" x14ac:dyDescent="0.35">
      <c r="G61" s="49" t="s">
        <v>94</v>
      </c>
      <c r="H61" s="2">
        <f t="shared" ref="H61:P61" si="51">_xlfn.STDEV.S(H38,H40:H41,H44)</f>
        <v>0.99929100536330728</v>
      </c>
      <c r="I61" s="2">
        <f t="shared" si="51"/>
        <v>0.5925312553992409</v>
      </c>
      <c r="J61" s="2">
        <f t="shared" si="51"/>
        <v>4.1423216332182274E-2</v>
      </c>
      <c r="K61" s="2">
        <f t="shared" si="51"/>
        <v>4.1423216332182287E-2</v>
      </c>
      <c r="L61" s="2">
        <f t="shared" si="51"/>
        <v>2.371181657550293E-2</v>
      </c>
      <c r="M61" s="2">
        <f t="shared" si="51"/>
        <v>5.4774501464165473E-3</v>
      </c>
      <c r="N61" s="2">
        <f t="shared" si="51"/>
        <v>1.2094360801181969</v>
      </c>
      <c r="O61" s="2">
        <f t="shared" si="51"/>
        <v>8.5391256382996659</v>
      </c>
      <c r="P61" s="2">
        <f t="shared" si="51"/>
        <v>0.72123876480097604</v>
      </c>
      <c r="R61" s="2"/>
      <c r="X61">
        <v>396.74018000000001</v>
      </c>
      <c r="Y61">
        <v>405.72541999999999</v>
      </c>
      <c r="Z61" s="2">
        <f t="shared" si="36"/>
        <v>8.9852399999999761</v>
      </c>
      <c r="AA61" s="2">
        <f t="shared" si="37"/>
        <v>14.563390000000027</v>
      </c>
      <c r="AB61" s="2">
        <f t="shared" si="38"/>
        <v>0.38156105047299888</v>
      </c>
      <c r="AC61" s="2">
        <f t="shared" si="39"/>
        <v>0.61843894952700118</v>
      </c>
      <c r="AD61" s="2">
        <f t="shared" si="40"/>
        <v>0.11129363266868805</v>
      </c>
      <c r="AE61" s="2">
        <f t="shared" si="41"/>
        <v>4.2465315392020676E-2</v>
      </c>
      <c r="AF61" s="2">
        <f t="shared" si="42"/>
        <v>23.548630000000003</v>
      </c>
      <c r="AG61">
        <v>40</v>
      </c>
      <c r="AH61">
        <f t="shared" si="43"/>
        <v>4.4517453067475223</v>
      </c>
    </row>
    <row r="62" spans="5:34" x14ac:dyDescent="0.35">
      <c r="G62" s="49" t="s">
        <v>95</v>
      </c>
      <c r="H62" s="2">
        <f>H61/SQRT(4)</f>
        <v>0.49964550268165364</v>
      </c>
      <c r="I62" s="2">
        <f t="shared" ref="I62:P62" si="52">I61/SQRT(4)</f>
        <v>0.29626562769962045</v>
      </c>
      <c r="J62" s="2">
        <f t="shared" si="52"/>
        <v>2.0711608166091137E-2</v>
      </c>
      <c r="K62" s="2">
        <f t="shared" si="52"/>
        <v>2.0711608166091144E-2</v>
      </c>
      <c r="L62" s="2">
        <f t="shared" si="52"/>
        <v>1.1855908287751465E-2</v>
      </c>
      <c r="M62" s="2">
        <f t="shared" si="52"/>
        <v>2.7387250732082737E-3</v>
      </c>
      <c r="N62" s="2">
        <f t="shared" si="52"/>
        <v>0.60471804005909846</v>
      </c>
      <c r="O62" s="2">
        <f t="shared" si="52"/>
        <v>4.2695628191498329</v>
      </c>
      <c r="P62" s="2">
        <f t="shared" si="52"/>
        <v>0.36061938240048802</v>
      </c>
      <c r="X62">
        <v>420.28881000000001</v>
      </c>
      <c r="Y62">
        <v>431.03176000000002</v>
      </c>
      <c r="Z62" s="2">
        <f t="shared" si="36"/>
        <v>10.742950000000008</v>
      </c>
      <c r="AA62" s="2">
        <f t="shared" si="37"/>
        <v>12.020080000000007</v>
      </c>
      <c r="AB62" s="2">
        <f t="shared" si="38"/>
        <v>0.47194727591186236</v>
      </c>
      <c r="AC62" s="2">
        <f t="shared" si="39"/>
        <v>0.52805272408813764</v>
      </c>
      <c r="AD62" s="2">
        <f t="shared" si="40"/>
        <v>9.3084301797923222E-2</v>
      </c>
      <c r="AE62" s="2">
        <f t="shared" si="41"/>
        <v>4.393088266368754E-2</v>
      </c>
      <c r="AF62" s="2">
        <f t="shared" si="42"/>
        <v>22.763030000000015</v>
      </c>
      <c r="AG62">
        <v>52</v>
      </c>
      <c r="AH62">
        <f t="shared" si="43"/>
        <v>4.8403836934920079</v>
      </c>
    </row>
    <row r="63" spans="5:34" x14ac:dyDescent="0.35">
      <c r="H63" s="2"/>
      <c r="I63" s="2"/>
      <c r="J63" s="2"/>
      <c r="K63" s="2"/>
      <c r="L63" s="2"/>
      <c r="M63" s="2"/>
      <c r="N63" s="2"/>
      <c r="X63">
        <v>443.05184000000003</v>
      </c>
      <c r="Y63">
        <v>453.54854999999998</v>
      </c>
      <c r="Z63" s="2">
        <f t="shared" si="36"/>
        <v>10.49670999999995</v>
      </c>
      <c r="AA63" s="2">
        <f t="shared" si="37"/>
        <v>9.3990000000000009</v>
      </c>
      <c r="AB63" s="2">
        <f t="shared" si="38"/>
        <v>0.52758660032740612</v>
      </c>
      <c r="AC63" s="2">
        <f t="shared" si="39"/>
        <v>0.47241339967259394</v>
      </c>
      <c r="AD63" s="2">
        <f t="shared" si="40"/>
        <v>9.5267945861132172E-2</v>
      </c>
      <c r="AE63" s="2">
        <f t="shared" si="41"/>
        <v>5.0262091677050098E-2</v>
      </c>
      <c r="AF63" s="2">
        <f t="shared" si="42"/>
        <v>19.895709999999951</v>
      </c>
      <c r="AG63">
        <v>46</v>
      </c>
      <c r="AH63">
        <f t="shared" si="43"/>
        <v>4.3823255096120803</v>
      </c>
    </row>
    <row r="64" spans="5:34" x14ac:dyDescent="0.35">
      <c r="H64" s="2"/>
      <c r="I64" s="2"/>
      <c r="J64" s="2"/>
      <c r="K64" s="2"/>
      <c r="L64" s="2"/>
      <c r="M64" s="2"/>
      <c r="N64" s="2"/>
      <c r="R64" s="2"/>
      <c r="X64">
        <v>462.94754999999998</v>
      </c>
      <c r="Y64">
        <v>472.64661000000001</v>
      </c>
      <c r="Z64" s="2">
        <f t="shared" si="36"/>
        <v>9.6990600000000313</v>
      </c>
      <c r="AA64" s="2"/>
      <c r="AB64" s="2"/>
      <c r="AC64" s="2"/>
      <c r="AD64" s="2"/>
      <c r="AE64" s="2"/>
      <c r="AF64" s="2"/>
    </row>
    <row r="65" spans="3:34" x14ac:dyDescent="0.35">
      <c r="H65" s="2"/>
      <c r="I65" s="2"/>
      <c r="J65" s="2"/>
      <c r="K65" s="2"/>
      <c r="L65" s="2"/>
      <c r="M65" s="2"/>
      <c r="N65" s="2"/>
      <c r="Z65" s="2"/>
      <c r="AA65" s="2"/>
      <c r="AB65" s="2"/>
      <c r="AC65" s="2"/>
      <c r="AD65" s="2"/>
      <c r="AE65" s="2"/>
      <c r="AF65" s="2"/>
    </row>
    <row r="66" spans="3:34" ht="18.5" x14ac:dyDescent="0.45">
      <c r="C66" s="155"/>
      <c r="E66" s="104"/>
      <c r="F66" s="1" t="s">
        <v>215</v>
      </c>
      <c r="G66" s="2"/>
      <c r="H66" s="2"/>
      <c r="I66" s="2"/>
      <c r="J66" s="2"/>
      <c r="K66" s="2"/>
      <c r="L66" s="2"/>
      <c r="M66" s="2"/>
      <c r="N66" s="2"/>
      <c r="O66" s="2"/>
      <c r="P66" s="2"/>
      <c r="Q66" s="2"/>
      <c r="Z66" s="2"/>
      <c r="AA66" s="2"/>
      <c r="AB66" s="2"/>
      <c r="AC66" s="2"/>
      <c r="AD66" s="2"/>
      <c r="AE66" s="2"/>
      <c r="AF66" s="2"/>
    </row>
    <row r="67" spans="3:34" ht="24" thickBot="1" x14ac:dyDescent="0.6">
      <c r="C67" s="248" t="s">
        <v>216</v>
      </c>
      <c r="D67" s="204" t="s">
        <v>122</v>
      </c>
      <c r="E67" s="104"/>
      <c r="F67" s="9" t="s">
        <v>1</v>
      </c>
      <c r="G67" s="9" t="s">
        <v>2</v>
      </c>
      <c r="H67" s="9" t="s">
        <v>3</v>
      </c>
      <c r="I67" s="9" t="s">
        <v>4</v>
      </c>
      <c r="J67" s="9" t="s">
        <v>5</v>
      </c>
      <c r="K67" s="9" t="s">
        <v>6</v>
      </c>
      <c r="L67" s="9" t="s">
        <v>7</v>
      </c>
      <c r="M67" s="9" t="s">
        <v>8</v>
      </c>
      <c r="N67" s="9" t="s">
        <v>9</v>
      </c>
      <c r="O67" s="9" t="s">
        <v>10</v>
      </c>
      <c r="P67" s="44" t="s">
        <v>139</v>
      </c>
      <c r="R67" s="44" t="s">
        <v>134</v>
      </c>
      <c r="Z67" s="2"/>
      <c r="AA67" s="2"/>
      <c r="AB67" s="2"/>
      <c r="AC67" s="2"/>
      <c r="AD67" s="2"/>
      <c r="AE67" s="2"/>
      <c r="AF67" s="2"/>
    </row>
    <row r="68" spans="3:34" ht="16" thickBot="1" x14ac:dyDescent="0.4">
      <c r="C68" s="155">
        <v>2</v>
      </c>
      <c r="E68" s="104"/>
      <c r="F68" s="141">
        <v>0.27601999999999999</v>
      </c>
      <c r="G68" s="45">
        <v>0.86700999999999995</v>
      </c>
      <c r="H68" s="2">
        <f>G68-F68</f>
        <v>0.5909899999999999</v>
      </c>
      <c r="I68" s="2">
        <f>F69-G68</f>
        <v>7.83331</v>
      </c>
      <c r="J68" s="2">
        <f>H68/N68</f>
        <v>7.0153009745616834E-2</v>
      </c>
      <c r="K68" s="2">
        <f>I68/N68</f>
        <v>0.92984699025438311</v>
      </c>
      <c r="L68" s="2">
        <f>1/H68</f>
        <v>1.692076008054282</v>
      </c>
      <c r="M68" s="2">
        <f>1/N68</f>
        <v>0.11870422468335648</v>
      </c>
      <c r="N68" s="2">
        <f>H68+I68</f>
        <v>8.4243000000000006</v>
      </c>
      <c r="O68" s="2">
        <v>3</v>
      </c>
      <c r="P68" s="2">
        <f>O68/H68</f>
        <v>5.0762280241628464</v>
      </c>
      <c r="Q68" s="2"/>
      <c r="R68" t="s">
        <v>694</v>
      </c>
      <c r="Y68" s="13"/>
      <c r="Z68" s="9" t="s">
        <v>3</v>
      </c>
      <c r="AA68" s="9" t="s">
        <v>4</v>
      </c>
      <c r="AB68" s="9" t="s">
        <v>5</v>
      </c>
      <c r="AC68" s="9" t="s">
        <v>6</v>
      </c>
      <c r="AD68" s="9" t="s">
        <v>7</v>
      </c>
      <c r="AE68" s="9" t="s">
        <v>8</v>
      </c>
      <c r="AF68" s="9" t="s">
        <v>9</v>
      </c>
      <c r="AG68" s="9" t="s">
        <v>10</v>
      </c>
      <c r="AH68" s="44" t="s">
        <v>139</v>
      </c>
    </row>
    <row r="69" spans="3:34" x14ac:dyDescent="0.35">
      <c r="C69" s="155">
        <v>2</v>
      </c>
      <c r="E69" s="104"/>
      <c r="F69" s="141">
        <v>8.7003199999999996</v>
      </c>
      <c r="G69" s="46">
        <v>14.597860000000001</v>
      </c>
      <c r="H69" s="2">
        <f t="shared" ref="H69:H76" si="53">G69-F69</f>
        <v>5.8975400000000011</v>
      </c>
      <c r="I69" s="2">
        <f t="shared" ref="I69:I75" si="54">F70-G69</f>
        <v>7.8076299999999996</v>
      </c>
      <c r="J69" s="2">
        <f t="shared" ref="J69:J75" si="55">H69/N69</f>
        <v>0.43031498332381146</v>
      </c>
      <c r="K69" s="2">
        <f t="shared" ref="K69:K75" si="56">I69/N69</f>
        <v>0.56968501667618854</v>
      </c>
      <c r="L69" s="2">
        <f t="shared" ref="L69:L75" si="57">1/H69</f>
        <v>0.16956222424943279</v>
      </c>
      <c r="M69" s="2">
        <f t="shared" ref="M69:M75" si="58">1/N69</f>
        <v>7.2965165700243043E-2</v>
      </c>
      <c r="N69" s="2">
        <f t="shared" ref="N69:N75" si="59">H69+I69</f>
        <v>13.705170000000001</v>
      </c>
      <c r="O69" s="2">
        <v>33</v>
      </c>
      <c r="P69" s="2">
        <f t="shared" ref="P69:P75" si="60">O69/H69</f>
        <v>5.5955534002312817</v>
      </c>
      <c r="Q69" s="2"/>
      <c r="Y69" s="49" t="s">
        <v>77</v>
      </c>
      <c r="Z69" s="2">
        <f>AVERAGE(Z41:Z63)</f>
        <v>10.206119130434777</v>
      </c>
      <c r="AA69" s="2">
        <f t="shared" ref="AA69:AH69" si="61">AVERAGE(AA41:AA63)</f>
        <v>9.6727913043478306</v>
      </c>
      <c r="AB69" s="2">
        <f t="shared" si="61"/>
        <v>0.51545700630813629</v>
      </c>
      <c r="AC69" s="2">
        <f t="shared" si="61"/>
        <v>0.48454299369186377</v>
      </c>
      <c r="AD69" s="2">
        <f t="shared" si="61"/>
        <v>0.10178537207715137</v>
      </c>
      <c r="AE69" s="2">
        <f t="shared" si="61"/>
        <v>5.1265651823600711E-2</v>
      </c>
      <c r="AF69" s="2">
        <f t="shared" si="61"/>
        <v>19.878910434782608</v>
      </c>
      <c r="AG69" s="2">
        <f t="shared" si="61"/>
        <v>51.217391304347828</v>
      </c>
      <c r="AH69" s="2">
        <f t="shared" si="61"/>
        <v>5.0041417522439149</v>
      </c>
    </row>
    <row r="70" spans="3:34" x14ac:dyDescent="0.35">
      <c r="C70" s="155">
        <v>2</v>
      </c>
      <c r="D70" t="s">
        <v>541</v>
      </c>
      <c r="E70" s="104"/>
      <c r="F70" s="141">
        <v>22.40549</v>
      </c>
      <c r="G70" s="141">
        <v>27.254760000000001</v>
      </c>
      <c r="H70" s="2">
        <f t="shared" si="53"/>
        <v>4.8492700000000006</v>
      </c>
      <c r="I70" s="2">
        <f t="shared" si="54"/>
        <v>12.670629999999999</v>
      </c>
      <c r="J70" s="2">
        <f t="shared" si="55"/>
        <v>0.27678639718263237</v>
      </c>
      <c r="K70" s="2">
        <f t="shared" si="56"/>
        <v>0.72321360281736768</v>
      </c>
      <c r="L70" s="2">
        <f t="shared" si="57"/>
        <v>0.20621660579839848</v>
      </c>
      <c r="M70" s="2">
        <f t="shared" si="58"/>
        <v>5.7077951358169857E-2</v>
      </c>
      <c r="N70" s="2">
        <f t="shared" si="59"/>
        <v>17.5199</v>
      </c>
      <c r="O70">
        <v>24</v>
      </c>
      <c r="P70" s="2">
        <f t="shared" si="60"/>
        <v>4.9491985391615643</v>
      </c>
      <c r="Y70" s="49" t="s">
        <v>94</v>
      </c>
      <c r="Z70" s="2">
        <f>_xlfn.STDEV.S(Z41:Z63)</f>
        <v>1.6193657582323984</v>
      </c>
      <c r="AA70" s="2">
        <f t="shared" ref="AA70:AH70" si="62">_xlfn.STDEV.S(AA41:AA63)</f>
        <v>2.345435108094986</v>
      </c>
      <c r="AB70" s="2">
        <f t="shared" si="62"/>
        <v>7.4292111218894133E-2</v>
      </c>
      <c r="AC70" s="2">
        <f t="shared" si="62"/>
        <v>7.4292111218894397E-2</v>
      </c>
      <c r="AD70" s="2">
        <f t="shared" si="62"/>
        <v>2.6619812324129685E-2</v>
      </c>
      <c r="AE70" s="2">
        <f t="shared" si="62"/>
        <v>7.7154552414508259E-3</v>
      </c>
      <c r="AF70" s="2">
        <f t="shared" si="62"/>
        <v>2.6813546239040584</v>
      </c>
      <c r="AG70" s="2">
        <f t="shared" si="62"/>
        <v>10.054200938997552</v>
      </c>
      <c r="AH70" s="2">
        <f t="shared" si="62"/>
        <v>0.47099919897977494</v>
      </c>
    </row>
    <row r="71" spans="3:34" x14ac:dyDescent="0.35">
      <c r="C71" s="155">
        <v>2</v>
      </c>
      <c r="E71" s="104"/>
      <c r="F71" s="141">
        <v>39.92539</v>
      </c>
      <c r="G71" s="45">
        <v>48.443379999999998</v>
      </c>
      <c r="H71" s="2">
        <f t="shared" si="53"/>
        <v>8.5179899999999975</v>
      </c>
      <c r="I71" s="2">
        <f t="shared" si="54"/>
        <v>8.2787100000000038</v>
      </c>
      <c r="J71" s="2">
        <f t="shared" si="55"/>
        <v>0.50712282769829764</v>
      </c>
      <c r="K71" s="2">
        <f t="shared" si="56"/>
        <v>0.4928771723017023</v>
      </c>
      <c r="L71" s="2">
        <f t="shared" si="57"/>
        <v>0.11739858816457877</v>
      </c>
      <c r="M71" s="2">
        <f t="shared" si="58"/>
        <v>5.9535503997809089E-2</v>
      </c>
      <c r="N71" s="2">
        <f t="shared" si="59"/>
        <v>16.796700000000001</v>
      </c>
      <c r="O71">
        <v>41</v>
      </c>
      <c r="P71" s="2">
        <f t="shared" si="60"/>
        <v>4.8133421147477291</v>
      </c>
      <c r="Y71" s="49" t="s">
        <v>95</v>
      </c>
      <c r="Z71" s="2">
        <f>Z70/SQRT(23)</f>
        <v>0.33766110222191914</v>
      </c>
      <c r="AA71" s="2">
        <f t="shared" ref="AA71:AH71" si="63">AA70/SQRT(23)</f>
        <v>0.48905702727331785</v>
      </c>
      <c r="AB71" s="2">
        <f t="shared" si="63"/>
        <v>1.5490976039870742E-2</v>
      </c>
      <c r="AC71" s="2">
        <f t="shared" si="63"/>
        <v>1.5490976039870798E-2</v>
      </c>
      <c r="AD71" s="2">
        <f t="shared" si="63"/>
        <v>5.550614569075199E-3</v>
      </c>
      <c r="AE71" s="2">
        <f t="shared" si="63"/>
        <v>1.6087836288547054E-3</v>
      </c>
      <c r="AF71" s="2">
        <f t="shared" si="63"/>
        <v>0.55910108828258287</v>
      </c>
      <c r="AG71" s="2">
        <f t="shared" si="63"/>
        <v>2.0964458176071656</v>
      </c>
      <c r="AH71" s="2">
        <f t="shared" si="63"/>
        <v>9.821012199661934E-2</v>
      </c>
    </row>
    <row r="72" spans="3:34" x14ac:dyDescent="0.35">
      <c r="C72" s="155">
        <v>2</v>
      </c>
      <c r="D72" t="s">
        <v>541</v>
      </c>
      <c r="E72" s="104"/>
      <c r="F72" s="141">
        <v>56.722090000000001</v>
      </c>
      <c r="G72" s="45">
        <v>63.385840000000002</v>
      </c>
      <c r="H72" s="2">
        <f t="shared" si="53"/>
        <v>6.6637500000000003</v>
      </c>
      <c r="I72" s="2">
        <f t="shared" si="54"/>
        <v>8.5685299999999955</v>
      </c>
      <c r="J72" s="2">
        <f t="shared" si="55"/>
        <v>0.43747554535499622</v>
      </c>
      <c r="K72" s="2">
        <f t="shared" si="56"/>
        <v>0.56252445464500378</v>
      </c>
      <c r="L72" s="2">
        <f t="shared" si="57"/>
        <v>0.15006565372350403</v>
      </c>
      <c r="M72" s="2">
        <f t="shared" si="58"/>
        <v>6.5650053701743941E-2</v>
      </c>
      <c r="N72" s="2">
        <f t="shared" si="59"/>
        <v>15.232279999999996</v>
      </c>
      <c r="O72">
        <v>25</v>
      </c>
      <c r="P72" s="2">
        <f t="shared" si="60"/>
        <v>3.7516413430876008</v>
      </c>
      <c r="Z72" s="2"/>
      <c r="AA72" s="2"/>
      <c r="AB72" s="2"/>
      <c r="AC72" s="2"/>
      <c r="AD72" s="2"/>
      <c r="AE72" s="2"/>
      <c r="AF72" s="2"/>
    </row>
    <row r="73" spans="3:34" x14ac:dyDescent="0.35">
      <c r="C73" s="155">
        <v>2</v>
      </c>
      <c r="E73" s="104"/>
      <c r="F73" s="141">
        <v>71.954369999999997</v>
      </c>
      <c r="G73" s="45">
        <v>79.61524</v>
      </c>
      <c r="H73" s="2">
        <f t="shared" si="53"/>
        <v>7.6608700000000027</v>
      </c>
      <c r="I73" s="2">
        <f t="shared" si="54"/>
        <v>7.3378799999999984</v>
      </c>
      <c r="J73" s="2">
        <f t="shared" si="55"/>
        <v>0.51076723060255036</v>
      </c>
      <c r="K73" s="2">
        <f t="shared" si="56"/>
        <v>0.48923276939744964</v>
      </c>
      <c r="L73" s="2">
        <f t="shared" si="57"/>
        <v>0.13053347726824754</v>
      </c>
      <c r="M73" s="2">
        <f t="shared" si="58"/>
        <v>6.667222268522377E-2</v>
      </c>
      <c r="N73" s="2">
        <f t="shared" si="59"/>
        <v>14.998750000000001</v>
      </c>
      <c r="O73">
        <v>39</v>
      </c>
      <c r="P73" s="2">
        <f t="shared" si="60"/>
        <v>5.0908056134616544</v>
      </c>
      <c r="Z73" s="2"/>
      <c r="AA73" s="2"/>
      <c r="AB73" s="2"/>
      <c r="AC73" s="2"/>
      <c r="AD73" s="2"/>
      <c r="AE73" s="2"/>
      <c r="AF73" s="2"/>
    </row>
    <row r="74" spans="3:34" x14ac:dyDescent="0.35">
      <c r="C74" s="155">
        <v>2</v>
      </c>
      <c r="F74" s="141">
        <v>86.953119999999998</v>
      </c>
      <c r="G74" s="141">
        <v>94.593419999999995</v>
      </c>
      <c r="H74" s="2">
        <f t="shared" si="53"/>
        <v>7.6402999999999963</v>
      </c>
      <c r="I74" s="2">
        <f t="shared" si="54"/>
        <v>7.9368100000000084</v>
      </c>
      <c r="J74" s="2">
        <f t="shared" si="55"/>
        <v>0.49048250927161674</v>
      </c>
      <c r="K74" s="2">
        <f t="shared" si="56"/>
        <v>0.50951749072838326</v>
      </c>
      <c r="L74" s="2">
        <f t="shared" si="57"/>
        <v>0.13088491289609053</v>
      </c>
      <c r="M74" s="2">
        <f t="shared" si="58"/>
        <v>6.4196760503071479E-2</v>
      </c>
      <c r="N74" s="2">
        <f t="shared" si="59"/>
        <v>15.577110000000005</v>
      </c>
      <c r="O74">
        <v>47</v>
      </c>
      <c r="P74" s="2">
        <f t="shared" si="60"/>
        <v>6.1515909061162546</v>
      </c>
      <c r="Z74" s="2"/>
      <c r="AA74" s="2"/>
      <c r="AB74" s="2"/>
      <c r="AC74" s="2"/>
      <c r="AD74" s="2"/>
      <c r="AE74" s="2"/>
      <c r="AF74" s="2"/>
    </row>
    <row r="75" spans="3:34" x14ac:dyDescent="0.35">
      <c r="C75" s="155">
        <v>2</v>
      </c>
      <c r="E75" s="104"/>
      <c r="F75" s="141">
        <v>102.53023</v>
      </c>
      <c r="G75" s="45">
        <v>108.88144</v>
      </c>
      <c r="H75" s="2">
        <f t="shared" si="53"/>
        <v>6.3512099999999947</v>
      </c>
      <c r="I75" s="2">
        <f t="shared" si="54"/>
        <v>7.2160000000000082</v>
      </c>
      <c r="J75" s="2">
        <f t="shared" si="55"/>
        <v>0.46812940906789186</v>
      </c>
      <c r="K75" s="2">
        <f t="shared" si="56"/>
        <v>0.53187059093210809</v>
      </c>
      <c r="L75" s="2">
        <f t="shared" si="57"/>
        <v>0.15745031261759584</v>
      </c>
      <c r="M75" s="2">
        <f t="shared" si="58"/>
        <v>7.3707121803229983E-2</v>
      </c>
      <c r="N75" s="2">
        <f t="shared" si="59"/>
        <v>13.567210000000003</v>
      </c>
      <c r="O75">
        <v>49</v>
      </c>
      <c r="P75" s="2">
        <f t="shared" si="60"/>
        <v>7.7150653182621962</v>
      </c>
      <c r="Z75" s="2"/>
      <c r="AA75" s="2"/>
      <c r="AB75" s="2"/>
      <c r="AC75" s="2"/>
      <c r="AD75" s="2"/>
      <c r="AE75" s="2"/>
      <c r="AF75" s="2"/>
    </row>
    <row r="76" spans="3:34" x14ac:dyDescent="0.35">
      <c r="C76" s="155">
        <v>2</v>
      </c>
      <c r="E76" s="104"/>
      <c r="F76" s="141">
        <v>116.09744000000001</v>
      </c>
      <c r="G76" s="45">
        <v>119.94513000000001</v>
      </c>
      <c r="H76" s="2">
        <f t="shared" si="53"/>
        <v>3.8476900000000001</v>
      </c>
      <c r="I76" s="2"/>
      <c r="J76" s="2"/>
      <c r="K76" s="2"/>
      <c r="L76" s="2"/>
      <c r="M76" s="2"/>
      <c r="N76" s="2"/>
      <c r="P76" s="2"/>
      <c r="Z76" s="2"/>
      <c r="AA76" s="2"/>
      <c r="AB76" s="2"/>
      <c r="AC76" s="2"/>
      <c r="AD76" s="2"/>
      <c r="AE76" s="2"/>
      <c r="AF76" s="2"/>
    </row>
    <row r="77" spans="3:34" x14ac:dyDescent="0.35">
      <c r="C77" s="155">
        <v>2</v>
      </c>
      <c r="E77" s="104"/>
      <c r="F77" s="141"/>
      <c r="G77" s="45"/>
      <c r="H77" s="2"/>
      <c r="I77" s="2"/>
      <c r="J77" s="2"/>
      <c r="K77" s="2"/>
      <c r="L77" s="2"/>
      <c r="M77" s="2"/>
      <c r="N77" s="2"/>
      <c r="Z77" s="2"/>
      <c r="AA77" s="2"/>
      <c r="AB77" s="2"/>
      <c r="AC77" s="2"/>
      <c r="AD77" s="2"/>
      <c r="AE77" s="2"/>
      <c r="AF77" s="2"/>
    </row>
    <row r="78" spans="3:34" x14ac:dyDescent="0.35">
      <c r="C78" s="155"/>
      <c r="E78" s="104"/>
      <c r="F78" s="141"/>
      <c r="G78" s="45"/>
      <c r="Z78" s="2"/>
      <c r="AA78" s="2"/>
      <c r="AB78" s="2"/>
      <c r="AC78" s="2"/>
      <c r="AD78" s="2"/>
      <c r="AE78" s="2"/>
      <c r="AF78" s="2"/>
    </row>
    <row r="79" spans="3:34" ht="16" thickBot="1" x14ac:dyDescent="0.4">
      <c r="C79" s="155"/>
      <c r="G79" s="13"/>
      <c r="H79" s="9" t="s">
        <v>3</v>
      </c>
      <c r="I79" s="9" t="s">
        <v>4</v>
      </c>
      <c r="J79" s="9" t="s">
        <v>5</v>
      </c>
      <c r="K79" s="9" t="s">
        <v>6</v>
      </c>
      <c r="L79" s="9" t="s">
        <v>7</v>
      </c>
      <c r="M79" s="9" t="s">
        <v>8</v>
      </c>
      <c r="N79" s="9" t="s">
        <v>9</v>
      </c>
      <c r="O79" s="9" t="s">
        <v>10</v>
      </c>
      <c r="P79" s="44" t="s">
        <v>139</v>
      </c>
    </row>
    <row r="80" spans="3:34" x14ac:dyDescent="0.35">
      <c r="C80" s="155"/>
      <c r="G80" s="49" t="s">
        <v>77</v>
      </c>
      <c r="H80" s="13">
        <f>AVERAGE(H69:H75)</f>
        <v>6.7972757142857132</v>
      </c>
      <c r="I80" s="13">
        <f t="shared" ref="I80:P80" si="64">AVERAGE(I69:I75)</f>
        <v>8.5451700000000024</v>
      </c>
      <c r="J80" s="13">
        <f t="shared" si="64"/>
        <v>0.44586841464311383</v>
      </c>
      <c r="K80" s="13">
        <f t="shared" si="64"/>
        <v>0.55413158535688622</v>
      </c>
      <c r="L80" s="13">
        <f t="shared" si="64"/>
        <v>0.15173025353112116</v>
      </c>
      <c r="M80" s="13">
        <f t="shared" si="64"/>
        <v>6.5686397107070166E-2</v>
      </c>
      <c r="N80" s="13">
        <f t="shared" si="64"/>
        <v>15.342445714285716</v>
      </c>
      <c r="O80" s="13">
        <f t="shared" si="64"/>
        <v>36.857142857142854</v>
      </c>
      <c r="P80" s="13">
        <f t="shared" si="64"/>
        <v>5.4381710335811837</v>
      </c>
    </row>
    <row r="81" spans="3:34" x14ac:dyDescent="0.35">
      <c r="C81" s="155"/>
      <c r="G81" s="49" t="s">
        <v>94</v>
      </c>
      <c r="H81" s="2">
        <f>_xlfn.STDEV.S(H69:H75)</f>
        <v>1.2408597184997314</v>
      </c>
      <c r="I81" s="2">
        <f t="shared" ref="I81:P81" si="65">_xlfn.STDEV.S(I69:I75)</f>
        <v>1.8810137340894977</v>
      </c>
      <c r="J81" s="2">
        <f t="shared" si="65"/>
        <v>8.0984573482825575E-2</v>
      </c>
      <c r="K81" s="2">
        <f t="shared" si="65"/>
        <v>8.0984573482825811E-2</v>
      </c>
      <c r="L81" s="2">
        <f t="shared" si="65"/>
        <v>2.9957543648007942E-2</v>
      </c>
      <c r="M81" s="2">
        <f t="shared" si="65"/>
        <v>6.2241935389720487E-3</v>
      </c>
      <c r="N81" s="2">
        <f t="shared" si="65"/>
        <v>1.4647882017190188</v>
      </c>
      <c r="O81" s="2">
        <f t="shared" si="65"/>
        <v>9.9402979738800514</v>
      </c>
      <c r="P81" s="2">
        <f t="shared" si="65"/>
        <v>1.2458287146577094</v>
      </c>
    </row>
    <row r="82" spans="3:34" ht="18.5" x14ac:dyDescent="0.45">
      <c r="C82" s="155"/>
      <c r="G82" s="49" t="s">
        <v>95</v>
      </c>
      <c r="H82" s="2">
        <f>H81/(SQRT(COUNT(H69:H75)))</f>
        <v>0.46900088958112901</v>
      </c>
      <c r="I82" s="2">
        <f t="shared" ref="I82:P82" si="66">I81/(SQRT(COUNT(I69:I75)))</f>
        <v>0.71095636472825563</v>
      </c>
      <c r="J82" s="2">
        <f t="shared" si="66"/>
        <v>3.0609291638313205E-2</v>
      </c>
      <c r="K82" s="2">
        <f t="shared" si="66"/>
        <v>3.0609291638313295E-2</v>
      </c>
      <c r="L82" s="2">
        <f t="shared" si="66"/>
        <v>1.1322887197570243E-2</v>
      </c>
      <c r="M82" s="2">
        <f t="shared" si="66"/>
        <v>2.3525240308650071E-3</v>
      </c>
      <c r="N82" s="2">
        <f t="shared" si="66"/>
        <v>0.55363790073286256</v>
      </c>
      <c r="O82" s="2">
        <f t="shared" si="66"/>
        <v>3.7570794852522624</v>
      </c>
      <c r="P82" s="2">
        <f t="shared" si="66"/>
        <v>0.470878993595364</v>
      </c>
      <c r="X82" s="1" t="s">
        <v>0</v>
      </c>
      <c r="Y82" s="3"/>
      <c r="Z82" s="3"/>
      <c r="AA82" s="3"/>
      <c r="AB82" s="3"/>
      <c r="AC82" s="3"/>
      <c r="AD82" s="3"/>
      <c r="AE82" s="3"/>
      <c r="AF82" s="3"/>
      <c r="AG82" s="3"/>
    </row>
    <row r="83" spans="3:34" ht="16" thickBot="1" x14ac:dyDescent="0.4">
      <c r="C83" s="250"/>
      <c r="G83" s="49"/>
      <c r="H83" s="2"/>
      <c r="I83" s="2"/>
      <c r="J83" s="2"/>
      <c r="K83" s="2"/>
      <c r="L83" s="2"/>
      <c r="M83" s="2"/>
      <c r="N83" s="2"/>
      <c r="O83" s="2"/>
      <c r="P83" s="2"/>
      <c r="X83" s="9" t="s">
        <v>11</v>
      </c>
      <c r="Y83" s="9" t="s">
        <v>12</v>
      </c>
      <c r="Z83" s="9" t="s">
        <v>3</v>
      </c>
      <c r="AA83" s="9" t="s">
        <v>4</v>
      </c>
      <c r="AB83" s="9" t="s">
        <v>655</v>
      </c>
      <c r="AC83" s="9" t="s">
        <v>654</v>
      </c>
      <c r="AD83" s="9" t="s">
        <v>653</v>
      </c>
      <c r="AE83" s="9" t="s">
        <v>8</v>
      </c>
      <c r="AF83" s="9" t="s">
        <v>9</v>
      </c>
      <c r="AG83" s="9" t="s">
        <v>10</v>
      </c>
      <c r="AH83" s="44" t="s">
        <v>139</v>
      </c>
    </row>
    <row r="84" spans="3:34" ht="16" thickBot="1" x14ac:dyDescent="0.4">
      <c r="C84" s="250"/>
      <c r="E84" s="104" t="s">
        <v>81</v>
      </c>
      <c r="G84" s="13"/>
      <c r="H84" s="9" t="s">
        <v>3</v>
      </c>
      <c r="I84" s="9" t="s">
        <v>4</v>
      </c>
      <c r="J84" s="9" t="s">
        <v>5</v>
      </c>
      <c r="K84" s="9" t="s">
        <v>6</v>
      </c>
      <c r="L84" s="9" t="s">
        <v>7</v>
      </c>
      <c r="M84" s="9" t="s">
        <v>8</v>
      </c>
      <c r="N84" s="9" t="s">
        <v>9</v>
      </c>
      <c r="O84" s="9" t="s">
        <v>10</v>
      </c>
      <c r="P84" s="44" t="s">
        <v>139</v>
      </c>
      <c r="X84">
        <v>6.3159999999999994E-2</v>
      </c>
      <c r="Y84">
        <v>11.0572</v>
      </c>
      <c r="Z84" s="2">
        <f>Y84-X84</f>
        <v>10.99404</v>
      </c>
      <c r="AA84" s="2">
        <f>X85-Y84</f>
        <v>31.391799999999996</v>
      </c>
      <c r="AB84" s="2">
        <f>Z84/AF84</f>
        <v>0.25938001936495775</v>
      </c>
      <c r="AC84" s="2">
        <f>AA84/AF84</f>
        <v>0.74061998063504231</v>
      </c>
      <c r="AD84" s="2">
        <f>1/Z84</f>
        <v>9.0958373809809673E-2</v>
      </c>
      <c r="AE84" s="2">
        <f>1/AF84</f>
        <v>2.35927847601935E-2</v>
      </c>
      <c r="AF84" s="2">
        <f>Z84+AA84</f>
        <v>42.385839999999995</v>
      </c>
      <c r="AG84">
        <v>111</v>
      </c>
      <c r="AH84">
        <f>AG84/Z84</f>
        <v>10.096379492888873</v>
      </c>
    </row>
    <row r="85" spans="3:34" x14ac:dyDescent="0.35">
      <c r="C85" s="250"/>
      <c r="G85" s="49" t="s">
        <v>77</v>
      </c>
      <c r="H85" s="2">
        <f>AVERAGE(H70,H72)</f>
        <v>5.7565100000000005</v>
      </c>
      <c r="I85" s="2">
        <f t="shared" ref="I85:P85" si="67">AVERAGE(I70,I72)</f>
        <v>10.619579999999997</v>
      </c>
      <c r="J85" s="2">
        <f t="shared" si="67"/>
        <v>0.35713097126881432</v>
      </c>
      <c r="K85" s="2">
        <f t="shared" si="67"/>
        <v>0.64286902873118579</v>
      </c>
      <c r="L85" s="2">
        <f t="shared" si="67"/>
        <v>0.17814112976095126</v>
      </c>
      <c r="M85" s="2">
        <f t="shared" si="67"/>
        <v>6.1364002529956899E-2</v>
      </c>
      <c r="N85" s="2">
        <f t="shared" si="67"/>
        <v>16.376089999999998</v>
      </c>
      <c r="O85" s="2">
        <f t="shared" si="67"/>
        <v>24.5</v>
      </c>
      <c r="P85" s="2">
        <f t="shared" si="67"/>
        <v>4.3504199411245823</v>
      </c>
      <c r="X85">
        <v>42.448999999999998</v>
      </c>
      <c r="Y85">
        <v>53.396169999999998</v>
      </c>
      <c r="Z85" s="2">
        <f>Y85-X85</f>
        <v>10.94717</v>
      </c>
      <c r="AA85" s="2">
        <f>X86-Y85</f>
        <v>20.936689999999999</v>
      </c>
      <c r="AB85" s="2">
        <f>Z85/AF85</f>
        <v>0.34334519095241295</v>
      </c>
      <c r="AC85" s="2">
        <f>AA85/AF85</f>
        <v>0.65665480904758711</v>
      </c>
      <c r="AD85" s="2">
        <f>1/Z85</f>
        <v>9.1347809525201495E-2</v>
      </c>
      <c r="AE85" s="2">
        <f>1/AF85</f>
        <v>3.1363831104514947E-2</v>
      </c>
      <c r="AF85" s="2">
        <f>Z85+AA85</f>
        <v>31.883859999999999</v>
      </c>
      <c r="AG85">
        <v>147</v>
      </c>
      <c r="AH85">
        <f>AG85/Z85</f>
        <v>13.428128000204619</v>
      </c>
    </row>
    <row r="86" spans="3:34" x14ac:dyDescent="0.35">
      <c r="C86" s="250"/>
      <c r="G86" s="49" t="s">
        <v>94</v>
      </c>
      <c r="H86" s="2">
        <f>_xlfn.STDEV.S(H70,H72)</f>
        <v>1.2830311123273617</v>
      </c>
      <c r="I86" s="2">
        <f t="shared" ref="I86:P86" si="68">_xlfn.STDEV.S(I70,I72)</f>
        <v>2.9006227271053353</v>
      </c>
      <c r="J86" s="2">
        <f t="shared" si="68"/>
        <v>0.11362438633576812</v>
      </c>
      <c r="K86" s="2">
        <f t="shared" si="68"/>
        <v>0.11362438633576763</v>
      </c>
      <c r="L86" s="2">
        <f t="shared" si="68"/>
        <v>3.9704718982238714E-2</v>
      </c>
      <c r="M86" s="2">
        <f t="shared" si="68"/>
        <v>6.0613916961663314E-3</v>
      </c>
      <c r="N86" s="2">
        <f t="shared" si="68"/>
        <v>1.6175916147779728</v>
      </c>
      <c r="O86" s="2">
        <f t="shared" si="68"/>
        <v>0.70710678118654757</v>
      </c>
      <c r="P86" s="2">
        <f t="shared" si="68"/>
        <v>0.8468008142026493</v>
      </c>
      <c r="X86">
        <v>74.332859999999997</v>
      </c>
      <c r="Y86">
        <v>85.26755</v>
      </c>
      <c r="Z86" s="2">
        <f>Y86-X86</f>
        <v>10.934690000000003</v>
      </c>
      <c r="AA86" s="2">
        <f>X87-Y86</f>
        <v>25.400880000000001</v>
      </c>
      <c r="AB86" s="2">
        <f>Z86/AF86</f>
        <v>0.30093624511738781</v>
      </c>
      <c r="AC86" s="2">
        <f>AA86/AF86</f>
        <v>0.69906375488261219</v>
      </c>
      <c r="AD86" s="2">
        <f>1/Z86</f>
        <v>9.1452066770982957E-2</v>
      </c>
      <c r="AE86" s="2">
        <f>1/AF86</f>
        <v>2.7521241582284243E-2</v>
      </c>
      <c r="AF86" s="2">
        <f>Z86+AA86</f>
        <v>36.335570000000004</v>
      </c>
      <c r="AG86">
        <v>157</v>
      </c>
      <c r="AH86">
        <f>AG86/Z86</f>
        <v>14.357974483044325</v>
      </c>
    </row>
    <row r="87" spans="3:34" x14ac:dyDescent="0.35">
      <c r="C87" s="250"/>
      <c r="G87" s="49" t="s">
        <v>95</v>
      </c>
      <c r="H87" s="2">
        <f>H86/SQRT(2)</f>
        <v>0.90723999999999638</v>
      </c>
      <c r="I87" s="2">
        <f t="shared" ref="I87:P87" si="69">I86/SQRT(2)</f>
        <v>2.0510499999999992</v>
      </c>
      <c r="J87" s="2">
        <f t="shared" si="69"/>
        <v>8.0344574086181716E-2</v>
      </c>
      <c r="K87" s="2">
        <f t="shared" si="69"/>
        <v>8.034457408618137E-2</v>
      </c>
      <c r="L87" s="2">
        <f t="shared" si="69"/>
        <v>2.8075476037447228E-2</v>
      </c>
      <c r="M87" s="2">
        <f t="shared" si="69"/>
        <v>4.286051171787042E-3</v>
      </c>
      <c r="N87" s="2">
        <f t="shared" si="69"/>
        <v>1.143810000000002</v>
      </c>
      <c r="O87" s="2">
        <f t="shared" si="69"/>
        <v>0.5</v>
      </c>
      <c r="P87" s="2">
        <f t="shared" si="69"/>
        <v>0.59877859803698297</v>
      </c>
      <c r="X87">
        <v>110.66843</v>
      </c>
      <c r="Y87">
        <v>119.90158</v>
      </c>
      <c r="Z87" s="2">
        <f>Y87-X87</f>
        <v>9.2331499999999949</v>
      </c>
      <c r="AA87" s="2"/>
      <c r="AB87" s="2"/>
      <c r="AC87" s="2"/>
      <c r="AD87" s="2"/>
      <c r="AE87" s="2"/>
      <c r="AF87" s="2"/>
    </row>
    <row r="88" spans="3:34" x14ac:dyDescent="0.35">
      <c r="C88" s="250"/>
      <c r="H88" s="2"/>
      <c r="I88" s="2"/>
      <c r="J88" s="2"/>
      <c r="K88" s="2"/>
      <c r="L88" s="2"/>
      <c r="M88" s="2"/>
      <c r="N88" s="2"/>
      <c r="Z88" s="2"/>
      <c r="AA88" s="2"/>
      <c r="AB88" s="2"/>
      <c r="AC88" s="2"/>
      <c r="AD88" s="2"/>
      <c r="AE88" s="2"/>
      <c r="AF88" s="2"/>
    </row>
    <row r="89" spans="3:34" x14ac:dyDescent="0.35">
      <c r="C89" s="250"/>
      <c r="H89" s="2"/>
      <c r="I89" s="2"/>
      <c r="J89" s="2"/>
      <c r="K89" s="2"/>
      <c r="L89" s="2"/>
      <c r="M89" s="2"/>
      <c r="N89" s="2"/>
      <c r="Z89" s="2"/>
      <c r="AA89" s="2"/>
      <c r="AB89" s="2"/>
      <c r="AC89" s="2"/>
      <c r="AD89" s="2"/>
      <c r="AE89" s="2"/>
      <c r="AF89" s="2"/>
    </row>
    <row r="90" spans="3:34" ht="16" thickBot="1" x14ac:dyDescent="0.4">
      <c r="C90" s="250"/>
      <c r="E90" s="104" t="s">
        <v>82</v>
      </c>
      <c r="G90" s="13"/>
      <c r="H90" s="9" t="s">
        <v>3</v>
      </c>
      <c r="I90" s="9" t="s">
        <v>4</v>
      </c>
      <c r="J90" s="9" t="s">
        <v>5</v>
      </c>
      <c r="K90" s="9" t="s">
        <v>6</v>
      </c>
      <c r="L90" s="9" t="s">
        <v>7</v>
      </c>
      <c r="M90" s="9" t="s">
        <v>8</v>
      </c>
      <c r="N90" s="9" t="s">
        <v>9</v>
      </c>
      <c r="O90" s="9" t="s">
        <v>10</v>
      </c>
      <c r="P90" s="44" t="s">
        <v>139</v>
      </c>
      <c r="Z90" s="2"/>
      <c r="AA90" s="2"/>
      <c r="AB90" s="2"/>
      <c r="AC90" s="2"/>
      <c r="AD90" s="2"/>
      <c r="AE90" s="2"/>
      <c r="AF90" s="2"/>
    </row>
    <row r="91" spans="3:34" ht="16" thickBot="1" x14ac:dyDescent="0.4">
      <c r="C91" s="250"/>
      <c r="G91" s="49" t="s">
        <v>77</v>
      </c>
      <c r="H91" s="2">
        <f t="shared" ref="H91:P91" si="70">AVERAGE(H69,H71,H73:H75)</f>
        <v>7.2135819999999979</v>
      </c>
      <c r="I91" s="2">
        <f t="shared" si="70"/>
        <v>7.7154060000000042</v>
      </c>
      <c r="J91" s="2">
        <f t="shared" si="70"/>
        <v>0.48136339199283362</v>
      </c>
      <c r="K91" s="2">
        <f t="shared" si="70"/>
        <v>0.51863660800716649</v>
      </c>
      <c r="L91" s="2">
        <f t="shared" si="70"/>
        <v>0.14116590303918911</v>
      </c>
      <c r="M91" s="2">
        <f t="shared" si="70"/>
        <v>6.7415354937915478E-2</v>
      </c>
      <c r="N91" s="2">
        <f t="shared" si="70"/>
        <v>14.928988000000004</v>
      </c>
      <c r="O91" s="2">
        <f t="shared" si="70"/>
        <v>41.8</v>
      </c>
      <c r="P91" s="2">
        <f t="shared" si="70"/>
        <v>5.8732714705638234</v>
      </c>
      <c r="Y91" s="13"/>
      <c r="Z91" s="9" t="s">
        <v>3</v>
      </c>
      <c r="AA91" s="9" t="s">
        <v>4</v>
      </c>
      <c r="AB91" s="9" t="s">
        <v>5</v>
      </c>
      <c r="AC91" s="9" t="s">
        <v>6</v>
      </c>
      <c r="AD91" s="9" t="s">
        <v>7</v>
      </c>
      <c r="AE91" s="9" t="s">
        <v>8</v>
      </c>
      <c r="AF91" s="9" t="s">
        <v>9</v>
      </c>
      <c r="AG91" s="9" t="s">
        <v>10</v>
      </c>
      <c r="AH91" s="44" t="s">
        <v>139</v>
      </c>
    </row>
    <row r="92" spans="3:34" x14ac:dyDescent="0.35">
      <c r="C92" s="250"/>
      <c r="G92" s="49" t="s">
        <v>94</v>
      </c>
      <c r="H92" s="2">
        <f t="shared" ref="H92:P92" si="71">_xlfn.STDEV.S(H69,H71,H73:H75)</f>
        <v>1.0676243544758697</v>
      </c>
      <c r="I92" s="2">
        <f t="shared" si="71"/>
        <v>0.43782662873562206</v>
      </c>
      <c r="J92" s="2">
        <f t="shared" si="71"/>
        <v>3.3137482118031962E-2</v>
      </c>
      <c r="K92" s="2">
        <f t="shared" si="71"/>
        <v>3.3137482118031962E-2</v>
      </c>
      <c r="L92" s="2">
        <f t="shared" si="71"/>
        <v>2.1535816365061376E-2</v>
      </c>
      <c r="M92" s="2">
        <f t="shared" si="71"/>
        <v>5.9872860359350489E-3</v>
      </c>
      <c r="N92" s="2">
        <f t="shared" si="71"/>
        <v>1.3477246377580252</v>
      </c>
      <c r="O92" s="2">
        <f t="shared" si="71"/>
        <v>6.4187226143524709</v>
      </c>
      <c r="P92" s="2">
        <f t="shared" si="71"/>
        <v>1.149184131141133</v>
      </c>
      <c r="Y92" s="49" t="s">
        <v>77</v>
      </c>
      <c r="Z92" s="2">
        <f>AVERAGE(Z84:Z86)</f>
        <v>10.958633333333333</v>
      </c>
      <c r="AA92" s="2">
        <f t="shared" ref="AA92:AH92" si="72">AVERAGE(AA84:AA86)</f>
        <v>25.909789999999997</v>
      </c>
      <c r="AB92" s="2">
        <f t="shared" si="72"/>
        <v>0.3012204851449195</v>
      </c>
      <c r="AC92" s="2">
        <f t="shared" si="72"/>
        <v>0.6987795148550805</v>
      </c>
      <c r="AD92" s="2">
        <f t="shared" si="72"/>
        <v>9.1252750035331384E-2</v>
      </c>
      <c r="AE92" s="2">
        <f t="shared" si="72"/>
        <v>2.749261914899756E-2</v>
      </c>
      <c r="AF92" s="2">
        <f t="shared" si="72"/>
        <v>36.868423333333332</v>
      </c>
      <c r="AG92" s="2">
        <f t="shared" si="72"/>
        <v>138.33333333333334</v>
      </c>
      <c r="AH92" s="2">
        <f t="shared" si="72"/>
        <v>12.62749399204594</v>
      </c>
    </row>
    <row r="93" spans="3:34" x14ac:dyDescent="0.35">
      <c r="G93" s="49" t="s">
        <v>95</v>
      </c>
      <c r="H93" s="2">
        <f>H92/SQRT(5)</f>
        <v>0.47745612620847527</v>
      </c>
      <c r="I93" s="2">
        <f t="shared" ref="I93:P93" si="73">I92/SQRT(5)</f>
        <v>0.19580202084248274</v>
      </c>
      <c r="J93" s="2">
        <f t="shared" si="73"/>
        <v>1.4819532523820634E-2</v>
      </c>
      <c r="K93" s="2">
        <f t="shared" si="73"/>
        <v>1.4819532523820634E-2</v>
      </c>
      <c r="L93" s="2">
        <f t="shared" si="73"/>
        <v>9.6311098686459318E-3</v>
      </c>
      <c r="M93" s="2">
        <f t="shared" si="73"/>
        <v>2.6775957154172034E-3</v>
      </c>
      <c r="N93" s="2">
        <f t="shared" si="73"/>
        <v>0.60272078099564474</v>
      </c>
      <c r="O93" s="2">
        <f t="shared" si="73"/>
        <v>2.8705400188814583</v>
      </c>
      <c r="P93" s="2">
        <f t="shared" si="73"/>
        <v>0.51393076717912123</v>
      </c>
      <c r="Y93" s="49" t="s">
        <v>94</v>
      </c>
      <c r="Z93" s="2">
        <f>_xlfn.STDEV.S(Z84:Z86)</f>
        <v>3.1291558499589887E-2</v>
      </c>
      <c r="AA93" s="2">
        <f t="shared" ref="AA93:AH93" si="74">_xlfn.STDEV.S(AA84:AA86)</f>
        <v>5.2461007728693305</v>
      </c>
      <c r="AB93" s="2">
        <f t="shared" si="74"/>
        <v>4.1983307447396694E-2</v>
      </c>
      <c r="AC93" s="2">
        <f t="shared" si="74"/>
        <v>4.1983307447396721E-2</v>
      </c>
      <c r="AD93" s="2">
        <f t="shared" si="74"/>
        <v>2.6021224978618323E-4</v>
      </c>
      <c r="AE93" s="2">
        <f t="shared" si="74"/>
        <v>3.885602238284738E-3</v>
      </c>
      <c r="AF93" s="2">
        <f t="shared" si="74"/>
        <v>5.2712280814088102</v>
      </c>
      <c r="AG93" s="2">
        <f t="shared" si="74"/>
        <v>24.193663082165383</v>
      </c>
      <c r="AH93" s="2">
        <f t="shared" si="74"/>
        <v>2.2407719822183392</v>
      </c>
    </row>
    <row r="94" spans="3:34" x14ac:dyDescent="0.35">
      <c r="Y94" s="49" t="s">
        <v>95</v>
      </c>
      <c r="Z94" s="2">
        <f>Z93/SQRT(COUNT(Z84:Z86))</f>
        <v>1.8066189723101145E-2</v>
      </c>
      <c r="AA94" s="2">
        <f t="shared" ref="AA94:AH94" si="75">AA93/SQRT(COUNT(AA84:AA86))</f>
        <v>3.028837693412012</v>
      </c>
      <c r="AB94" s="2">
        <f t="shared" si="75"/>
        <v>2.4239073856225302E-2</v>
      </c>
      <c r="AC94" s="2">
        <f t="shared" si="75"/>
        <v>2.423907385622532E-2</v>
      </c>
      <c r="AD94" s="2">
        <f t="shared" si="75"/>
        <v>1.5023361246049104E-4</v>
      </c>
      <c r="AE94" s="2">
        <f t="shared" si="75"/>
        <v>2.243353498237506E-3</v>
      </c>
      <c r="AF94" s="2">
        <f t="shared" si="75"/>
        <v>3.0433449517612914</v>
      </c>
      <c r="AG94" s="2">
        <f t="shared" si="75"/>
        <v>13.968217893171296</v>
      </c>
      <c r="AH94" s="2">
        <f t="shared" si="75"/>
        <v>1.2937103071263296</v>
      </c>
    </row>
    <row r="97" spans="3:34" ht="18.5" x14ac:dyDescent="0.45">
      <c r="C97" s="155"/>
      <c r="E97" s="104"/>
      <c r="F97" s="1" t="s">
        <v>215</v>
      </c>
      <c r="G97" s="2"/>
      <c r="H97" s="2"/>
      <c r="I97" s="2"/>
      <c r="J97" s="2"/>
      <c r="K97" s="2"/>
      <c r="L97" s="2"/>
      <c r="M97" s="2"/>
      <c r="N97" s="2"/>
      <c r="O97" s="2"/>
      <c r="P97" s="2"/>
    </row>
    <row r="98" spans="3:34" ht="24" thickBot="1" x14ac:dyDescent="0.6">
      <c r="C98" s="248" t="s">
        <v>216</v>
      </c>
      <c r="D98" s="204" t="s">
        <v>122</v>
      </c>
      <c r="E98" s="104"/>
      <c r="F98" s="9" t="s">
        <v>1</v>
      </c>
      <c r="G98" s="9" t="s">
        <v>2</v>
      </c>
      <c r="H98" s="9" t="s">
        <v>3</v>
      </c>
      <c r="I98" s="9" t="s">
        <v>4</v>
      </c>
      <c r="J98" s="9" t="s">
        <v>5</v>
      </c>
      <c r="K98" s="9" t="s">
        <v>6</v>
      </c>
      <c r="L98" s="9" t="s">
        <v>7</v>
      </c>
      <c r="M98" s="9" t="s">
        <v>8</v>
      </c>
      <c r="N98" s="9" t="s">
        <v>9</v>
      </c>
      <c r="O98" s="9" t="s">
        <v>10</v>
      </c>
      <c r="P98" s="44" t="s">
        <v>139</v>
      </c>
      <c r="R98" s="44" t="s">
        <v>134</v>
      </c>
    </row>
    <row r="99" spans="3:34" ht="14.5" customHeight="1" x14ac:dyDescent="0.35">
      <c r="C99" s="155">
        <v>3</v>
      </c>
      <c r="D99" s="336" t="s">
        <v>696</v>
      </c>
      <c r="E99" s="104"/>
      <c r="F99" s="141">
        <v>0.15007000000000001</v>
      </c>
      <c r="G99" s="45">
        <v>4.3295599999999999</v>
      </c>
      <c r="H99" s="2">
        <f>G99-F99</f>
        <v>4.1794899999999995</v>
      </c>
      <c r="I99" s="2">
        <f>F100-G99</f>
        <v>6.6053199999999999</v>
      </c>
      <c r="J99" s="2">
        <f>H99/N99</f>
        <v>0.38753487544055015</v>
      </c>
      <c r="K99" s="2">
        <f>I99/N99</f>
        <v>0.61246512455944979</v>
      </c>
      <c r="L99" s="2">
        <f>1/H99</f>
        <v>0.23926364221472002</v>
      </c>
      <c r="M99" s="2">
        <f>1/N99</f>
        <v>9.2723005783133874E-2</v>
      </c>
      <c r="N99" s="2">
        <f>H99+I99</f>
        <v>10.78481</v>
      </c>
      <c r="O99" s="2">
        <v>24</v>
      </c>
      <c r="P99" s="2">
        <f>O99/H99</f>
        <v>5.74232741315328</v>
      </c>
      <c r="R99" t="s">
        <v>695</v>
      </c>
    </row>
    <row r="100" spans="3:34" x14ac:dyDescent="0.35">
      <c r="C100" s="155">
        <v>3</v>
      </c>
      <c r="D100" s="337"/>
      <c r="E100" s="104"/>
      <c r="F100" s="141">
        <v>10.93488</v>
      </c>
      <c r="G100" s="46">
        <v>20.229209999999998</v>
      </c>
      <c r="H100" s="2">
        <f t="shared" ref="H100:H106" si="76">G100-F100</f>
        <v>9.2943299999999986</v>
      </c>
      <c r="I100" s="2">
        <f t="shared" ref="I100:I105" si="77">F101-G100</f>
        <v>7.3110600000000012</v>
      </c>
      <c r="J100" s="2">
        <f t="shared" ref="J100:J105" si="78">H100/N100</f>
        <v>0.55971765794118644</v>
      </c>
      <c r="K100" s="2">
        <f t="shared" ref="K100:K105" si="79">I100/N100</f>
        <v>0.4402823420588135</v>
      </c>
      <c r="L100" s="2">
        <f t="shared" ref="L100:L105" si="80">1/H100</f>
        <v>0.10759247842501828</v>
      </c>
      <c r="M100" s="2">
        <f t="shared" ref="M100:M105" si="81">1/N100</f>
        <v>6.0221410036138866E-2</v>
      </c>
      <c r="N100" s="2">
        <f t="shared" ref="N100:N105" si="82">H100+I100</f>
        <v>16.60539</v>
      </c>
      <c r="O100" s="2">
        <v>59</v>
      </c>
      <c r="P100" s="2">
        <f t="shared" ref="P100:P105" si="83">O100/H100</f>
        <v>6.3479562270760788</v>
      </c>
    </row>
    <row r="101" spans="3:34" x14ac:dyDescent="0.35">
      <c r="C101" s="155">
        <v>3</v>
      </c>
      <c r="D101" s="337"/>
      <c r="E101" s="104"/>
      <c r="F101" s="141">
        <v>27.54027</v>
      </c>
      <c r="G101" s="141">
        <v>35.554819999999999</v>
      </c>
      <c r="H101" s="2">
        <f t="shared" si="76"/>
        <v>8.0145499999999998</v>
      </c>
      <c r="I101" s="2">
        <f t="shared" si="77"/>
        <v>6.5209200000000038</v>
      </c>
      <c r="J101" s="2">
        <f t="shared" si="78"/>
        <v>0.55137879958473979</v>
      </c>
      <c r="K101" s="2">
        <f t="shared" si="79"/>
        <v>0.44862120041526021</v>
      </c>
      <c r="L101" s="2">
        <f t="shared" si="80"/>
        <v>0.12477306898079119</v>
      </c>
      <c r="M101" s="2">
        <f t="shared" si="81"/>
        <v>6.8797224995132578E-2</v>
      </c>
      <c r="N101" s="2">
        <f t="shared" si="82"/>
        <v>14.535470000000004</v>
      </c>
      <c r="O101">
        <v>60</v>
      </c>
      <c r="P101" s="2">
        <f t="shared" si="83"/>
        <v>7.4863841388474714</v>
      </c>
    </row>
    <row r="102" spans="3:34" x14ac:dyDescent="0.35">
      <c r="C102" s="155">
        <v>3</v>
      </c>
      <c r="D102" s="250" t="s">
        <v>32</v>
      </c>
      <c r="E102" s="104"/>
      <c r="F102" s="141">
        <v>42.075740000000003</v>
      </c>
      <c r="G102" s="45">
        <v>50.098289999999999</v>
      </c>
      <c r="H102" s="2">
        <f t="shared" si="76"/>
        <v>8.0225499999999954</v>
      </c>
      <c r="I102" s="2">
        <f t="shared" si="77"/>
        <v>6.6047599999999989</v>
      </c>
      <c r="J102" s="2">
        <f t="shared" si="78"/>
        <v>0.5484637981966608</v>
      </c>
      <c r="K102" s="2">
        <f t="shared" si="79"/>
        <v>0.4515362018033392</v>
      </c>
      <c r="L102" s="2">
        <f t="shared" si="80"/>
        <v>0.12464864662731931</v>
      </c>
      <c r="M102" s="2">
        <f t="shared" si="81"/>
        <v>6.8365270169292947E-2</v>
      </c>
      <c r="N102" s="2">
        <f t="shared" si="82"/>
        <v>14.627309999999994</v>
      </c>
      <c r="O102">
        <v>62</v>
      </c>
      <c r="P102" s="2">
        <f t="shared" si="83"/>
        <v>7.7282160908937971</v>
      </c>
    </row>
    <row r="103" spans="3:34" ht="18.5" x14ac:dyDescent="0.45">
      <c r="C103" s="155">
        <v>3</v>
      </c>
      <c r="D103" s="250" t="s">
        <v>32</v>
      </c>
      <c r="E103" s="104"/>
      <c r="F103" s="141">
        <v>56.703049999999998</v>
      </c>
      <c r="G103" s="45">
        <v>64.806910000000002</v>
      </c>
      <c r="H103" s="2">
        <f t="shared" si="76"/>
        <v>8.1038600000000045</v>
      </c>
      <c r="I103" s="2">
        <f t="shared" si="77"/>
        <v>6.6038599999999974</v>
      </c>
      <c r="J103" s="2">
        <f t="shared" si="78"/>
        <v>0.55099362783626582</v>
      </c>
      <c r="K103" s="2">
        <f t="shared" si="79"/>
        <v>0.44900637216373418</v>
      </c>
      <c r="L103" s="2">
        <f t="shared" si="80"/>
        <v>0.12339798565128215</v>
      </c>
      <c r="M103" s="2">
        <f t="shared" si="81"/>
        <v>6.7991503781687432E-2</v>
      </c>
      <c r="N103" s="2">
        <f t="shared" si="82"/>
        <v>14.707720000000002</v>
      </c>
      <c r="O103">
        <v>61</v>
      </c>
      <c r="P103" s="2">
        <f t="shared" si="83"/>
        <v>7.5272771247282115</v>
      </c>
      <c r="X103" s="1" t="s">
        <v>52</v>
      </c>
      <c r="Y103" s="3"/>
      <c r="Z103" s="3"/>
      <c r="AA103" s="3"/>
      <c r="AB103" s="3"/>
      <c r="AC103" s="3"/>
      <c r="AD103" s="3"/>
      <c r="AE103" s="3"/>
      <c r="AF103" s="3"/>
      <c r="AG103" s="3"/>
    </row>
    <row r="104" spans="3:34" ht="16" thickBot="1" x14ac:dyDescent="0.4">
      <c r="C104" s="155">
        <v>3</v>
      </c>
      <c r="D104" s="250" t="s">
        <v>32</v>
      </c>
      <c r="E104" s="104"/>
      <c r="F104" s="141">
        <v>71.410769999999999</v>
      </c>
      <c r="G104" s="45">
        <v>80.287270000000007</v>
      </c>
      <c r="H104" s="2">
        <f t="shared" si="76"/>
        <v>8.8765000000000072</v>
      </c>
      <c r="I104" s="2">
        <f t="shared" si="77"/>
        <v>8.1277099999999933</v>
      </c>
      <c r="J104" s="2">
        <f t="shared" si="78"/>
        <v>0.52201778265500176</v>
      </c>
      <c r="K104" s="2">
        <f t="shared" si="79"/>
        <v>0.47798221734499829</v>
      </c>
      <c r="L104" s="2">
        <f t="shared" si="80"/>
        <v>0.11265701571565361</v>
      </c>
      <c r="M104" s="2">
        <f t="shared" si="81"/>
        <v>5.8808965544415177E-2</v>
      </c>
      <c r="N104" s="2">
        <f t="shared" si="82"/>
        <v>17.00421</v>
      </c>
      <c r="O104">
        <v>64</v>
      </c>
      <c r="P104" s="2">
        <f t="shared" si="83"/>
        <v>7.2100490058018307</v>
      </c>
      <c r="X104" s="9" t="s">
        <v>11</v>
      </c>
      <c r="Y104" s="9" t="s">
        <v>12</v>
      </c>
      <c r="Z104" s="9" t="s">
        <v>3</v>
      </c>
      <c r="AA104" s="9" t="s">
        <v>4</v>
      </c>
      <c r="AB104" s="9" t="s">
        <v>655</v>
      </c>
      <c r="AC104" s="9" t="s">
        <v>654</v>
      </c>
      <c r="AD104" s="9" t="s">
        <v>653</v>
      </c>
      <c r="AE104" s="9" t="s">
        <v>8</v>
      </c>
      <c r="AF104" s="9" t="s">
        <v>9</v>
      </c>
      <c r="AG104" s="9" t="s">
        <v>10</v>
      </c>
      <c r="AH104" s="44" t="s">
        <v>139</v>
      </c>
    </row>
    <row r="105" spans="3:34" x14ac:dyDescent="0.35">
      <c r="C105" s="155">
        <v>3</v>
      </c>
      <c r="D105" s="250" t="s">
        <v>32</v>
      </c>
      <c r="F105" s="141">
        <v>88.41498</v>
      </c>
      <c r="G105" s="141">
        <v>99.118759999999995</v>
      </c>
      <c r="H105" s="2">
        <f t="shared" si="76"/>
        <v>10.703779999999995</v>
      </c>
      <c r="I105" s="2">
        <f t="shared" si="77"/>
        <v>8.2480800000000016</v>
      </c>
      <c r="J105" s="2">
        <f t="shared" si="78"/>
        <v>0.56478783612795769</v>
      </c>
      <c r="K105" s="2">
        <f t="shared" si="79"/>
        <v>0.43521216387204226</v>
      </c>
      <c r="L105" s="2">
        <f t="shared" si="80"/>
        <v>9.3424939600776594E-2</v>
      </c>
      <c r="M105" s="2">
        <f t="shared" si="81"/>
        <v>5.2765269477507759E-2</v>
      </c>
      <c r="N105" s="2">
        <f t="shared" si="82"/>
        <v>18.951859999999996</v>
      </c>
      <c r="O105">
        <v>85</v>
      </c>
      <c r="P105" s="2">
        <f t="shared" si="83"/>
        <v>7.9411198660660105</v>
      </c>
      <c r="X105">
        <v>25.641400000000001</v>
      </c>
      <c r="Y105">
        <v>35.538539999999998</v>
      </c>
      <c r="Z105" s="2">
        <f>Y105-X105</f>
        <v>9.8971399999999967</v>
      </c>
      <c r="AA105" s="2">
        <f>X106-Y105</f>
        <v>22.488669999999999</v>
      </c>
      <c r="AB105" s="2">
        <f>Z105/AF105</f>
        <v>0.30560112592521227</v>
      </c>
      <c r="AC105" s="2">
        <f>AA105/AF105</f>
        <v>0.69439887407478784</v>
      </c>
      <c r="AD105" s="2">
        <f>1/Z105</f>
        <v>0.10103929013836324</v>
      </c>
      <c r="AE105" s="2">
        <f>1/AF105</f>
        <v>3.0877720828968003E-2</v>
      </c>
      <c r="AF105" s="2">
        <f>Z105+AA105</f>
        <v>32.385809999999992</v>
      </c>
      <c r="AG105">
        <v>133</v>
      </c>
      <c r="AH105">
        <f>AG105/Z105</f>
        <v>13.438225588402311</v>
      </c>
    </row>
    <row r="106" spans="3:34" x14ac:dyDescent="0.35">
      <c r="C106" s="155">
        <v>3</v>
      </c>
      <c r="D106" s="250" t="s">
        <v>697</v>
      </c>
      <c r="E106" s="104"/>
      <c r="F106" s="141">
        <v>107.36684</v>
      </c>
      <c r="G106" s="45">
        <v>116.25629000000001</v>
      </c>
      <c r="H106" s="2">
        <f t="shared" si="76"/>
        <v>8.8894500000000107</v>
      </c>
      <c r="I106" s="2"/>
      <c r="J106" s="2"/>
      <c r="K106" s="2"/>
      <c r="L106" s="2"/>
      <c r="M106" s="2"/>
      <c r="N106" s="2"/>
      <c r="P106" s="2"/>
      <c r="X106">
        <v>58.027209999999997</v>
      </c>
      <c r="Y106">
        <v>67.386489999999995</v>
      </c>
      <c r="Z106" s="2">
        <f>Y106-X106</f>
        <v>9.3592799999999983</v>
      </c>
      <c r="AA106" s="2">
        <f>X107-Y106</f>
        <v>20.935010000000005</v>
      </c>
      <c r="AB106" s="2">
        <f>Z106/AF106</f>
        <v>0.30894534910704285</v>
      </c>
      <c r="AC106" s="2">
        <f>AA106/AF106</f>
        <v>0.69105465089295715</v>
      </c>
      <c r="AD106" s="2">
        <f>1/Z106</f>
        <v>0.10684582574727973</v>
      </c>
      <c r="AE106" s="2">
        <f>1/AF106</f>
        <v>3.3009520936123603E-2</v>
      </c>
      <c r="AF106" s="2">
        <f>Z106+AA106</f>
        <v>30.294290000000004</v>
      </c>
      <c r="AG106">
        <v>118</v>
      </c>
      <c r="AH106">
        <f>AG106/Z106</f>
        <v>12.607807438179007</v>
      </c>
    </row>
    <row r="107" spans="3:34" x14ac:dyDescent="0.35">
      <c r="C107" s="155"/>
      <c r="E107" s="104"/>
      <c r="F107" s="141"/>
      <c r="G107" s="45"/>
      <c r="H107" s="2"/>
      <c r="I107" s="2"/>
      <c r="J107" s="2"/>
      <c r="K107" s="2"/>
      <c r="L107" s="2"/>
      <c r="M107" s="2"/>
      <c r="N107" s="2"/>
      <c r="P107" s="2"/>
      <c r="X107">
        <v>88.3215</v>
      </c>
      <c r="Y107">
        <v>98.089759999999998</v>
      </c>
      <c r="Z107" s="2">
        <f>Y107-X107</f>
        <v>9.7682599999999979</v>
      </c>
      <c r="AA107" s="2">
        <f>X108-Y107</f>
        <v>20.640219999999999</v>
      </c>
      <c r="AB107" s="2">
        <f>Z107/AF107</f>
        <v>0.32123473452142293</v>
      </c>
      <c r="AC107" s="2">
        <f>AA107/AF107</f>
        <v>0.67876526547857707</v>
      </c>
      <c r="AD107" s="2">
        <f>1/Z107</f>
        <v>0.10237237747562004</v>
      </c>
      <c r="AE107" s="2">
        <f>1/AF107</f>
        <v>3.2885563500707697E-2</v>
      </c>
      <c r="AF107" s="2">
        <f>Z107+AA107</f>
        <v>30.408479999999997</v>
      </c>
      <c r="AG107">
        <v>138</v>
      </c>
      <c r="AH107">
        <f>AG107/Z107</f>
        <v>14.127388091635565</v>
      </c>
    </row>
    <row r="108" spans="3:34" x14ac:dyDescent="0.35">
      <c r="C108" s="155"/>
      <c r="E108" s="104"/>
      <c r="F108" s="141"/>
      <c r="G108" s="45"/>
      <c r="H108" s="2"/>
      <c r="I108" s="2"/>
      <c r="J108" s="2"/>
      <c r="K108" s="2"/>
      <c r="L108" s="2"/>
      <c r="M108" s="2"/>
      <c r="N108" s="2"/>
      <c r="X108">
        <v>118.72998</v>
      </c>
      <c r="Y108">
        <v>119.95497</v>
      </c>
      <c r="Z108" s="2">
        <f>Y108-X108</f>
        <v>1.2249900000000054</v>
      </c>
      <c r="AA108" s="2"/>
      <c r="AB108" s="2"/>
      <c r="AC108" s="2"/>
      <c r="AD108" s="2"/>
      <c r="AE108" s="2"/>
      <c r="AF108" s="2"/>
    </row>
    <row r="109" spans="3:34" x14ac:dyDescent="0.35">
      <c r="C109" s="155"/>
      <c r="E109" s="104"/>
      <c r="F109" s="141"/>
      <c r="G109" s="45"/>
      <c r="Z109" s="2"/>
      <c r="AA109" s="2"/>
      <c r="AB109" s="2"/>
      <c r="AC109" s="2"/>
      <c r="AD109" s="2"/>
      <c r="AE109" s="2"/>
      <c r="AF109" s="2"/>
    </row>
    <row r="110" spans="3:34" ht="16" thickBot="1" x14ac:dyDescent="0.4">
      <c r="C110" s="155"/>
      <c r="G110" s="13"/>
      <c r="H110" s="9" t="s">
        <v>3</v>
      </c>
      <c r="I110" s="9" t="s">
        <v>4</v>
      </c>
      <c r="J110" s="9" t="s">
        <v>5</v>
      </c>
      <c r="K110" s="9" t="s">
        <v>6</v>
      </c>
      <c r="L110" s="9" t="s">
        <v>7</v>
      </c>
      <c r="M110" s="9" t="s">
        <v>8</v>
      </c>
      <c r="N110" s="9" t="s">
        <v>9</v>
      </c>
      <c r="O110" s="9" t="s">
        <v>10</v>
      </c>
      <c r="P110" s="44" t="s">
        <v>139</v>
      </c>
      <c r="Z110" s="2"/>
      <c r="AA110" s="2"/>
      <c r="AB110" s="2"/>
      <c r="AC110" s="2"/>
      <c r="AD110" s="2"/>
      <c r="AE110" s="2"/>
      <c r="AF110" s="2"/>
    </row>
    <row r="111" spans="3:34" x14ac:dyDescent="0.35">
      <c r="C111" s="155"/>
      <c r="G111" s="49" t="s">
        <v>77</v>
      </c>
      <c r="H111" s="13">
        <f>AVERAGE(H99:H105)</f>
        <v>8.1707228571428576</v>
      </c>
      <c r="I111" s="13">
        <f t="shared" ref="I111:P111" si="84">AVERAGE(I99:I105)</f>
        <v>7.1459585714285714</v>
      </c>
      <c r="J111" s="13">
        <f t="shared" si="84"/>
        <v>0.52641348254033737</v>
      </c>
      <c r="K111" s="13">
        <f t="shared" si="84"/>
        <v>0.47358651745966246</v>
      </c>
      <c r="L111" s="13">
        <f t="shared" si="84"/>
        <v>0.13225111103079443</v>
      </c>
      <c r="M111" s="13">
        <f t="shared" si="84"/>
        <v>6.7096092826758366E-2</v>
      </c>
      <c r="N111" s="13">
        <f t="shared" si="84"/>
        <v>15.316681428571428</v>
      </c>
      <c r="O111" s="13">
        <f t="shared" si="84"/>
        <v>59.285714285714285</v>
      </c>
      <c r="P111" s="13">
        <f t="shared" si="84"/>
        <v>7.1404756952238113</v>
      </c>
      <c r="Z111" s="2"/>
      <c r="AA111" s="2"/>
      <c r="AB111" s="2"/>
      <c r="AC111" s="2"/>
      <c r="AD111" s="2"/>
      <c r="AE111" s="2"/>
      <c r="AF111" s="2"/>
    </row>
    <row r="112" spans="3:34" ht="16" thickBot="1" x14ac:dyDescent="0.4">
      <c r="C112" s="155"/>
      <c r="G112" s="49" t="s">
        <v>94</v>
      </c>
      <c r="H112" s="2">
        <f>_xlfn.STDEV.S(H99:H105)</f>
        <v>2.006562084525958</v>
      </c>
      <c r="I112" s="2">
        <f t="shared" ref="I112:P112" si="85">_xlfn.STDEV.S(I99:I105)</f>
        <v>0.761084317283101</v>
      </c>
      <c r="J112" s="2">
        <f t="shared" si="85"/>
        <v>6.2718970838572044E-2</v>
      </c>
      <c r="K112" s="2">
        <f t="shared" si="85"/>
        <v>6.2718970838570864E-2</v>
      </c>
      <c r="L112" s="2">
        <f t="shared" si="85"/>
        <v>4.8551049694114681E-2</v>
      </c>
      <c r="M112" s="2">
        <f t="shared" si="85"/>
        <v>1.28020527661632E-2</v>
      </c>
      <c r="N112" s="2">
        <f t="shared" si="85"/>
        <v>2.5728474056605588</v>
      </c>
      <c r="O112" s="2">
        <f t="shared" si="85"/>
        <v>17.978823522079953</v>
      </c>
      <c r="P112" s="2">
        <f t="shared" si="85"/>
        <v>0.80036283749282955</v>
      </c>
      <c r="Y112" s="13"/>
      <c r="Z112" s="9" t="s">
        <v>3</v>
      </c>
      <c r="AA112" s="9" t="s">
        <v>4</v>
      </c>
      <c r="AB112" s="9" t="s">
        <v>5</v>
      </c>
      <c r="AC112" s="9" t="s">
        <v>6</v>
      </c>
      <c r="AD112" s="9" t="s">
        <v>7</v>
      </c>
      <c r="AE112" s="9" t="s">
        <v>8</v>
      </c>
      <c r="AF112" s="9" t="s">
        <v>9</v>
      </c>
      <c r="AG112" s="9" t="s">
        <v>10</v>
      </c>
      <c r="AH112" s="44" t="s">
        <v>139</v>
      </c>
    </row>
    <row r="113" spans="3:34" x14ac:dyDescent="0.35">
      <c r="C113" s="155"/>
      <c r="G113" s="49" t="s">
        <v>95</v>
      </c>
      <c r="H113" s="2">
        <f>H112/(SQRT(COUNT(H99:H105)))</f>
        <v>0.75840918083815012</v>
      </c>
      <c r="I113" s="2">
        <f t="shared" ref="I113:P113" si="86">I112/(SQRT(COUNT(I99:I105)))</f>
        <v>0.28766283289749472</v>
      </c>
      <c r="J113" s="2">
        <f t="shared" si="86"/>
        <v>2.3705542760681972E-2</v>
      </c>
      <c r="K113" s="2">
        <f t="shared" si="86"/>
        <v>2.3705542760681524E-2</v>
      </c>
      <c r="L113" s="2">
        <f t="shared" si="86"/>
        <v>1.8350571911680859E-2</v>
      </c>
      <c r="M113" s="2">
        <f t="shared" si="86"/>
        <v>4.8387211271991937E-3</v>
      </c>
      <c r="N113" s="2">
        <f t="shared" si="86"/>
        <v>0.9724449138136505</v>
      </c>
      <c r="O113" s="2">
        <f t="shared" si="86"/>
        <v>6.795356557848848</v>
      </c>
      <c r="P113" s="2">
        <f t="shared" si="86"/>
        <v>0.30250871808914709</v>
      </c>
      <c r="Y113" s="49" t="s">
        <v>77</v>
      </c>
      <c r="Z113" s="2">
        <f>AVERAGE(Z105:Z107)</f>
        <v>9.6748933333333316</v>
      </c>
      <c r="AA113" s="2">
        <f t="shared" ref="AA113:AH113" si="87">AVERAGE(AA105:AA107)</f>
        <v>21.354633333333336</v>
      </c>
      <c r="AB113" s="2">
        <f t="shared" si="87"/>
        <v>0.31192706985122604</v>
      </c>
      <c r="AC113" s="2">
        <f t="shared" si="87"/>
        <v>0.68807293014877402</v>
      </c>
      <c r="AD113" s="2">
        <f t="shared" si="87"/>
        <v>0.10341916445375433</v>
      </c>
      <c r="AE113" s="2">
        <f t="shared" si="87"/>
        <v>3.2257601755266437E-2</v>
      </c>
      <c r="AF113" s="2">
        <f t="shared" si="87"/>
        <v>31.029526666666666</v>
      </c>
      <c r="AG113" s="2">
        <f t="shared" si="87"/>
        <v>129.66666666666666</v>
      </c>
      <c r="AH113" s="2">
        <f t="shared" si="87"/>
        <v>13.391140372738962</v>
      </c>
    </row>
    <row r="114" spans="3:34" x14ac:dyDescent="0.35">
      <c r="C114" s="250"/>
      <c r="G114" s="49"/>
      <c r="H114" s="2"/>
      <c r="I114" s="2"/>
      <c r="J114" s="2"/>
      <c r="K114" s="2"/>
      <c r="L114" s="2"/>
      <c r="M114" s="2"/>
      <c r="N114" s="2"/>
      <c r="O114" s="2"/>
      <c r="P114" s="2"/>
      <c r="Y114" s="49" t="s">
        <v>94</v>
      </c>
      <c r="Z114" s="2">
        <f>_xlfn.STDEV.S(Z105:Z107)</f>
        <v>0.28082262325769441</v>
      </c>
      <c r="AA114" s="2">
        <f t="shared" ref="AA114:AH114" si="88">_xlfn.STDEV.S(AA105:AA107)</f>
        <v>0.99310354799151246</v>
      </c>
      <c r="AB114" s="2">
        <f t="shared" si="88"/>
        <v>8.2322793552027304E-3</v>
      </c>
      <c r="AC114" s="2">
        <f t="shared" si="88"/>
        <v>8.2322793552027738E-3</v>
      </c>
      <c r="AD114" s="2">
        <f t="shared" si="88"/>
        <v>3.0415105092038461E-3</v>
      </c>
      <c r="AE114" s="2">
        <f t="shared" si="88"/>
        <v>1.1966181051281085E-3</v>
      </c>
      <c r="AF114" s="2">
        <f t="shared" si="88"/>
        <v>1.1759626691495448</v>
      </c>
      <c r="AG114" s="2">
        <f t="shared" si="88"/>
        <v>10.408329997330663</v>
      </c>
      <c r="AH114" s="2">
        <f t="shared" si="88"/>
        <v>0.7608837649341802</v>
      </c>
    </row>
    <row r="115" spans="3:34" x14ac:dyDescent="0.35">
      <c r="C115" s="250"/>
      <c r="G115" s="49"/>
      <c r="H115" s="2"/>
      <c r="I115" s="2"/>
      <c r="J115" s="2"/>
      <c r="K115" s="2"/>
      <c r="L115" s="2"/>
      <c r="M115" s="2"/>
      <c r="N115" s="2"/>
      <c r="O115" s="2"/>
      <c r="P115" s="2"/>
      <c r="Y115" s="49" t="s">
        <v>95</v>
      </c>
      <c r="Z115" s="2">
        <f t="shared" ref="Z115:AH115" si="89">Z114/SQRT(COUNT(Z105:Z107))</f>
        <v>0.16213301713236675</v>
      </c>
      <c r="AA115" s="2">
        <f t="shared" si="89"/>
        <v>0.57336860076607221</v>
      </c>
      <c r="AB115" s="2">
        <f t="shared" si="89"/>
        <v>4.7529087017704951E-3</v>
      </c>
      <c r="AC115" s="2">
        <f t="shared" si="89"/>
        <v>4.7529087017705203E-3</v>
      </c>
      <c r="AD115" s="2">
        <f t="shared" si="89"/>
        <v>1.7560169112319163E-3</v>
      </c>
      <c r="AE115" s="2">
        <f t="shared" si="89"/>
        <v>6.9086778511289338E-4</v>
      </c>
      <c r="AF115" s="2">
        <f t="shared" si="89"/>
        <v>0.67894236359044058</v>
      </c>
      <c r="AG115" s="2">
        <f t="shared" si="89"/>
        <v>6.0092521257733154</v>
      </c>
      <c r="AH115" s="2">
        <f t="shared" si="89"/>
        <v>0.43929644650676491</v>
      </c>
    </row>
    <row r="120" spans="3:34" ht="18.5" x14ac:dyDescent="0.45">
      <c r="C120" s="155"/>
      <c r="E120" s="104"/>
      <c r="F120" s="1" t="s">
        <v>215</v>
      </c>
      <c r="G120" s="2"/>
      <c r="H120" s="2"/>
      <c r="I120" s="2"/>
      <c r="J120" s="2"/>
      <c r="K120" s="2"/>
      <c r="L120" s="2"/>
      <c r="M120" s="2"/>
      <c r="N120" s="2"/>
      <c r="O120" s="2"/>
      <c r="P120" s="2"/>
    </row>
    <row r="121" spans="3:34" ht="24" thickBot="1" x14ac:dyDescent="0.6">
      <c r="C121" s="248" t="s">
        <v>216</v>
      </c>
      <c r="D121" s="204" t="s">
        <v>122</v>
      </c>
      <c r="E121" s="104"/>
      <c r="F121" s="9" t="s">
        <v>1</v>
      </c>
      <c r="G121" s="9" t="s">
        <v>2</v>
      </c>
      <c r="H121" s="9" t="s">
        <v>3</v>
      </c>
      <c r="I121" s="9" t="s">
        <v>4</v>
      </c>
      <c r="J121" s="9" t="s">
        <v>5</v>
      </c>
      <c r="K121" s="9" t="s">
        <v>6</v>
      </c>
      <c r="L121" s="9" t="s">
        <v>7</v>
      </c>
      <c r="M121" s="9" t="s">
        <v>8</v>
      </c>
      <c r="N121" s="9" t="s">
        <v>9</v>
      </c>
      <c r="O121" s="9" t="s">
        <v>10</v>
      </c>
      <c r="P121" s="44" t="s">
        <v>139</v>
      </c>
      <c r="R121" s="44" t="s">
        <v>134</v>
      </c>
    </row>
    <row r="122" spans="3:34" x14ac:dyDescent="0.35">
      <c r="C122" s="155">
        <v>5</v>
      </c>
      <c r="D122" s="336" t="s">
        <v>696</v>
      </c>
      <c r="E122" s="104"/>
      <c r="F122" s="141">
        <v>2.6640100000000002</v>
      </c>
      <c r="G122" s="45">
        <v>12.612880000000001</v>
      </c>
      <c r="H122" s="2">
        <f t="shared" ref="H122:H127" si="90">G122-F122</f>
        <v>9.9488699999999994</v>
      </c>
      <c r="I122" s="2">
        <f t="shared" ref="I122:I127" si="91">F123-G122</f>
        <v>7.5860999999999983</v>
      </c>
      <c r="J122" s="2">
        <f t="shared" ref="J122:J127" si="92">H122/N122</f>
        <v>0.56737308361519867</v>
      </c>
      <c r="K122" s="2">
        <f t="shared" ref="K122:K127" si="93">I122/N122</f>
        <v>0.43262691638480127</v>
      </c>
      <c r="L122" s="2">
        <f t="shared" ref="L122:L127" si="94">1/H122</f>
        <v>0.10051392771239347</v>
      </c>
      <c r="M122" s="2">
        <f t="shared" ref="M122:M127" si="95">1/N122</f>
        <v>5.7028897112455859E-2</v>
      </c>
      <c r="N122" s="2">
        <f t="shared" ref="N122:N127" si="96">H122+I122</f>
        <v>17.534969999999998</v>
      </c>
      <c r="O122" s="2">
        <v>74</v>
      </c>
      <c r="P122" s="2">
        <f t="shared" ref="P122:P127" si="97">O122/H122</f>
        <v>7.438030650717117</v>
      </c>
      <c r="R122" t="s">
        <v>698</v>
      </c>
    </row>
    <row r="123" spans="3:34" ht="18.5" x14ac:dyDescent="0.45">
      <c r="C123" s="155">
        <v>5</v>
      </c>
      <c r="D123" s="337"/>
      <c r="E123" s="104"/>
      <c r="F123" s="141">
        <v>20.198979999999999</v>
      </c>
      <c r="G123" s="46">
        <v>29.265440000000002</v>
      </c>
      <c r="H123" s="2">
        <f t="shared" si="90"/>
        <v>9.0664600000000029</v>
      </c>
      <c r="I123" s="2">
        <f t="shared" si="91"/>
        <v>6.8292899999999968</v>
      </c>
      <c r="J123" s="2">
        <f t="shared" si="92"/>
        <v>0.57037006747086505</v>
      </c>
      <c r="K123" s="2">
        <f t="shared" si="93"/>
        <v>0.42962993252913495</v>
      </c>
      <c r="L123" s="2">
        <f t="shared" si="94"/>
        <v>0.11029663176145924</v>
      </c>
      <c r="M123" s="2">
        <f t="shared" si="95"/>
        <v>6.2909897299592663E-2</v>
      </c>
      <c r="N123" s="2">
        <f t="shared" si="96"/>
        <v>15.89575</v>
      </c>
      <c r="O123" s="2">
        <v>60</v>
      </c>
      <c r="P123" s="2">
        <f t="shared" si="97"/>
        <v>6.6177979056875538</v>
      </c>
      <c r="X123" s="1" t="s">
        <v>86</v>
      </c>
      <c r="Y123" s="3"/>
      <c r="Z123" s="3"/>
      <c r="AA123" s="3"/>
      <c r="AB123" s="3"/>
      <c r="AC123" s="3"/>
      <c r="AD123" s="3"/>
      <c r="AE123" s="3"/>
      <c r="AF123" s="3"/>
      <c r="AG123" s="3"/>
    </row>
    <row r="124" spans="3:34" ht="16" thickBot="1" x14ac:dyDescent="0.4">
      <c r="C124" s="155">
        <v>5</v>
      </c>
      <c r="D124" s="337"/>
      <c r="E124" s="104"/>
      <c r="F124" s="141">
        <v>36.094729999999998</v>
      </c>
      <c r="G124" s="141">
        <v>45.342919999999999</v>
      </c>
      <c r="H124" s="2">
        <f t="shared" si="90"/>
        <v>9.248190000000001</v>
      </c>
      <c r="I124" s="2">
        <f t="shared" si="91"/>
        <v>7.5271899999999974</v>
      </c>
      <c r="J124" s="2">
        <f t="shared" si="92"/>
        <v>0.55129541029771023</v>
      </c>
      <c r="K124" s="2">
        <f t="shared" si="93"/>
        <v>0.44870458970228977</v>
      </c>
      <c r="L124" s="2">
        <f t="shared" si="94"/>
        <v>0.10812926637536641</v>
      </c>
      <c r="M124" s="2">
        <f t="shared" si="95"/>
        <v>5.9611168271598028E-2</v>
      </c>
      <c r="N124" s="2">
        <f t="shared" si="96"/>
        <v>16.775379999999998</v>
      </c>
      <c r="O124">
        <v>68</v>
      </c>
      <c r="P124" s="2">
        <f t="shared" si="97"/>
        <v>7.3527901135249163</v>
      </c>
      <c r="X124" s="9" t="s">
        <v>11</v>
      </c>
      <c r="Y124" s="9" t="s">
        <v>12</v>
      </c>
      <c r="Z124" s="9" t="s">
        <v>3</v>
      </c>
      <c r="AA124" s="9" t="s">
        <v>4</v>
      </c>
      <c r="AB124" s="9" t="s">
        <v>655</v>
      </c>
      <c r="AC124" s="9" t="s">
        <v>654</v>
      </c>
      <c r="AD124" s="9" t="s">
        <v>653</v>
      </c>
      <c r="AE124" s="9" t="s">
        <v>8</v>
      </c>
      <c r="AF124" s="9" t="s">
        <v>9</v>
      </c>
      <c r="AG124" s="9" t="s">
        <v>10</v>
      </c>
      <c r="AH124" s="44" t="s">
        <v>139</v>
      </c>
    </row>
    <row r="125" spans="3:34" x14ac:dyDescent="0.35">
      <c r="C125" s="155">
        <v>5</v>
      </c>
      <c r="D125" s="250" t="s">
        <v>32</v>
      </c>
      <c r="E125" s="104"/>
      <c r="F125" s="141">
        <v>52.870109999999997</v>
      </c>
      <c r="G125" s="45">
        <v>60.38711</v>
      </c>
      <c r="H125" s="2">
        <f t="shared" si="90"/>
        <v>7.517000000000003</v>
      </c>
      <c r="I125" s="2">
        <f t="shared" si="91"/>
        <v>6.7713000000000036</v>
      </c>
      <c r="J125" s="2">
        <f t="shared" si="92"/>
        <v>0.52609477684539097</v>
      </c>
      <c r="K125" s="2">
        <f t="shared" si="93"/>
        <v>0.47390522315460903</v>
      </c>
      <c r="L125" s="2">
        <f t="shared" si="94"/>
        <v>0.1330317945989091</v>
      </c>
      <c r="M125" s="2">
        <f t="shared" si="95"/>
        <v>6.9987332292854962E-2</v>
      </c>
      <c r="N125" s="2">
        <f t="shared" si="96"/>
        <v>14.288300000000007</v>
      </c>
      <c r="O125">
        <v>52</v>
      </c>
      <c r="P125" s="2">
        <f t="shared" si="97"/>
        <v>6.9176533191432723</v>
      </c>
      <c r="X125">
        <v>25.389379999999999</v>
      </c>
      <c r="Y125">
        <v>45.393279999999997</v>
      </c>
      <c r="Z125" s="2">
        <f>Y125-X125</f>
        <v>20.003899999999998</v>
      </c>
      <c r="AA125" s="2">
        <f>X126-Y125</f>
        <v>13.457900000000002</v>
      </c>
      <c r="AB125" s="2">
        <f>Z125/AF125</f>
        <v>0.59781302858782248</v>
      </c>
      <c r="AC125" s="2">
        <f>AA125/AF125</f>
        <v>0.40218697141217757</v>
      </c>
      <c r="AD125" s="2">
        <f>1/Z125</f>
        <v>4.9990251900879336E-2</v>
      </c>
      <c r="AE125" s="2">
        <f>1/AF125</f>
        <v>2.9884823888732828E-2</v>
      </c>
      <c r="AF125" s="2">
        <f>Z125+AA125</f>
        <v>33.461799999999997</v>
      </c>
      <c r="AG125">
        <v>266</v>
      </c>
      <c r="AH125">
        <f t="shared" ref="AH125:AH132" si="98">AG125/Z125</f>
        <v>13.297407005633902</v>
      </c>
    </row>
    <row r="126" spans="3:34" x14ac:dyDescent="0.35">
      <c r="C126" s="155">
        <v>5</v>
      </c>
      <c r="D126" s="250" t="s">
        <v>32</v>
      </c>
      <c r="E126" s="104"/>
      <c r="F126" s="141">
        <v>67.158410000000003</v>
      </c>
      <c r="G126" s="45">
        <v>75.674210000000002</v>
      </c>
      <c r="H126" s="2">
        <f t="shared" si="90"/>
        <v>8.5157999999999987</v>
      </c>
      <c r="I126" s="2">
        <f t="shared" si="91"/>
        <v>8.3820400000000035</v>
      </c>
      <c r="J126" s="2">
        <f t="shared" si="92"/>
        <v>0.50395790231177462</v>
      </c>
      <c r="K126" s="2">
        <f t="shared" si="93"/>
        <v>0.49604209768822538</v>
      </c>
      <c r="L126" s="2">
        <f t="shared" si="94"/>
        <v>0.11742877944526646</v>
      </c>
      <c r="M126" s="2">
        <f t="shared" si="95"/>
        <v>5.9179161360268524E-2</v>
      </c>
      <c r="N126" s="2">
        <f t="shared" si="96"/>
        <v>16.897840000000002</v>
      </c>
      <c r="O126">
        <v>64</v>
      </c>
      <c r="P126" s="2">
        <f t="shared" si="97"/>
        <v>7.5154418844970534</v>
      </c>
      <c r="X126">
        <v>58.851179999999999</v>
      </c>
      <c r="Y126">
        <v>74.665779999999998</v>
      </c>
      <c r="Z126" s="2">
        <f t="shared" ref="Z126:Z132" si="99">Y126-X126</f>
        <v>15.814599999999999</v>
      </c>
      <c r="AA126" s="2">
        <f t="shared" ref="AA126:AA132" si="100">X127-Y126</f>
        <v>22.444330000000008</v>
      </c>
      <c r="AB126" s="2">
        <f t="shared" ref="AB126:AB132" si="101">Z126/AF126</f>
        <v>0.41335709074979349</v>
      </c>
      <c r="AC126" s="2">
        <f t="shared" ref="AC126:AC132" si="102">AA126/AF126</f>
        <v>0.58664290925020657</v>
      </c>
      <c r="AD126" s="2">
        <f t="shared" ref="AD126:AD132" si="103">1/Z126</f>
        <v>6.323270901571966E-2</v>
      </c>
      <c r="AE126" s="2">
        <f t="shared" ref="AE126:AE132" si="104">1/AF126</f>
        <v>2.6137688638966115E-2</v>
      </c>
      <c r="AF126" s="2">
        <f t="shared" ref="AF126:AF132" si="105">Z126+AA126</f>
        <v>38.258930000000007</v>
      </c>
      <c r="AG126">
        <v>204</v>
      </c>
      <c r="AH126">
        <f t="shared" si="98"/>
        <v>12.89947263920681</v>
      </c>
    </row>
    <row r="127" spans="3:34" x14ac:dyDescent="0.35">
      <c r="C127" s="155">
        <v>5</v>
      </c>
      <c r="D127" s="250" t="s">
        <v>32</v>
      </c>
      <c r="E127" s="104"/>
      <c r="F127" s="141">
        <v>84.056250000000006</v>
      </c>
      <c r="G127" s="45">
        <v>93.119470000000007</v>
      </c>
      <c r="H127" s="2">
        <f t="shared" si="90"/>
        <v>9.0632200000000012</v>
      </c>
      <c r="I127" s="2">
        <f t="shared" si="91"/>
        <v>8.3804899999999947</v>
      </c>
      <c r="J127" s="2">
        <f t="shared" si="92"/>
        <v>0.51956951818162556</v>
      </c>
      <c r="K127" s="2">
        <f t="shared" si="93"/>
        <v>0.48043048181837444</v>
      </c>
      <c r="L127" s="2">
        <f t="shared" si="94"/>
        <v>0.11033606157634923</v>
      </c>
      <c r="M127" s="2">
        <f t="shared" si="95"/>
        <v>5.7327254351281935E-2</v>
      </c>
      <c r="N127" s="2">
        <f t="shared" si="96"/>
        <v>17.443709999999996</v>
      </c>
      <c r="O127">
        <v>57</v>
      </c>
      <c r="P127" s="2">
        <f t="shared" si="97"/>
        <v>6.2891555098519065</v>
      </c>
      <c r="X127">
        <v>97.110110000000006</v>
      </c>
      <c r="Y127">
        <v>113.13420000000001</v>
      </c>
      <c r="Z127" s="2">
        <f t="shared" si="99"/>
        <v>16.024090000000001</v>
      </c>
      <c r="AA127" s="2">
        <f t="shared" si="100"/>
        <v>24.148649999999989</v>
      </c>
      <c r="AB127" s="2">
        <f t="shared" si="101"/>
        <v>0.39887968806708241</v>
      </c>
      <c r="AC127" s="2">
        <f t="shared" si="102"/>
        <v>0.60112031193291759</v>
      </c>
      <c r="AD127" s="2">
        <f t="shared" si="103"/>
        <v>6.2406039906166277E-2</v>
      </c>
      <c r="AE127" s="2">
        <f t="shared" si="104"/>
        <v>2.4892501731273501E-2</v>
      </c>
      <c r="AF127" s="2">
        <f t="shared" si="105"/>
        <v>40.17273999999999</v>
      </c>
      <c r="AG127">
        <v>218</v>
      </c>
      <c r="AH127">
        <f t="shared" si="98"/>
        <v>13.604516699544249</v>
      </c>
    </row>
    <row r="128" spans="3:34" x14ac:dyDescent="0.35">
      <c r="C128" s="155">
        <v>5</v>
      </c>
      <c r="D128" s="250" t="s">
        <v>697</v>
      </c>
      <c r="F128" s="141">
        <v>101.49996</v>
      </c>
      <c r="G128" s="141">
        <v>111.47485</v>
      </c>
      <c r="H128" s="2"/>
      <c r="I128" s="2"/>
      <c r="J128" s="2"/>
      <c r="K128" s="2"/>
      <c r="L128" s="2"/>
      <c r="M128" s="2"/>
      <c r="N128" s="2"/>
      <c r="P128" s="2"/>
      <c r="X128">
        <v>137.28285</v>
      </c>
      <c r="Y128">
        <v>154.32220000000001</v>
      </c>
      <c r="Z128" s="2">
        <f t="shared" si="99"/>
        <v>17.039350000000013</v>
      </c>
      <c r="AA128" s="2">
        <f t="shared" si="100"/>
        <v>13.85320999999999</v>
      </c>
      <c r="AB128" s="2">
        <f t="shared" si="101"/>
        <v>0.55156807982245604</v>
      </c>
      <c r="AC128" s="2">
        <f t="shared" si="102"/>
        <v>0.44843192017754402</v>
      </c>
      <c r="AD128" s="2">
        <f t="shared" si="103"/>
        <v>5.8687684682807689E-2</v>
      </c>
      <c r="AE128" s="2">
        <f t="shared" si="104"/>
        <v>3.2370253549721999E-2</v>
      </c>
      <c r="AF128" s="2">
        <f t="shared" si="105"/>
        <v>30.892560000000003</v>
      </c>
      <c r="AG128">
        <v>241</v>
      </c>
      <c r="AH128">
        <f t="shared" si="98"/>
        <v>14.143732008556654</v>
      </c>
    </row>
    <row r="129" spans="3:34" x14ac:dyDescent="0.35">
      <c r="C129" s="155"/>
      <c r="D129" s="250"/>
      <c r="E129" s="104"/>
      <c r="F129" s="141"/>
      <c r="G129" s="45"/>
      <c r="H129" s="2"/>
      <c r="I129" s="2"/>
      <c r="J129" s="2"/>
      <c r="K129" s="2"/>
      <c r="L129" s="2"/>
      <c r="M129" s="2"/>
      <c r="N129" s="2"/>
      <c r="P129" s="2"/>
      <c r="X129">
        <v>168.17541</v>
      </c>
      <c r="Y129">
        <v>181.9786</v>
      </c>
      <c r="Z129" s="2">
        <f t="shared" si="99"/>
        <v>13.803190000000001</v>
      </c>
      <c r="AA129" s="2">
        <f t="shared" si="100"/>
        <v>19.636590000000012</v>
      </c>
      <c r="AB129" s="2">
        <f t="shared" si="101"/>
        <v>0.41277753621584817</v>
      </c>
      <c r="AC129" s="2">
        <f t="shared" si="102"/>
        <v>0.58722246378415188</v>
      </c>
      <c r="AD129" s="2">
        <f t="shared" si="103"/>
        <v>7.2447021304495554E-2</v>
      </c>
      <c r="AE129" s="2">
        <f t="shared" si="104"/>
        <v>2.9904502960246736E-2</v>
      </c>
      <c r="AF129" s="2">
        <f t="shared" si="105"/>
        <v>33.439780000000013</v>
      </c>
      <c r="AG129">
        <v>191</v>
      </c>
      <c r="AH129">
        <f t="shared" si="98"/>
        <v>13.837381069158651</v>
      </c>
    </row>
    <row r="130" spans="3:34" x14ac:dyDescent="0.35">
      <c r="C130" s="155"/>
      <c r="E130" s="104"/>
      <c r="F130" s="141"/>
      <c r="G130" s="45"/>
      <c r="H130" s="2"/>
      <c r="I130" s="2"/>
      <c r="J130" s="2"/>
      <c r="K130" s="2"/>
      <c r="L130" s="2"/>
      <c r="M130" s="2"/>
      <c r="N130" s="2"/>
      <c r="P130" s="2"/>
      <c r="X130">
        <v>201.61519000000001</v>
      </c>
      <c r="Y130">
        <v>222.58041</v>
      </c>
      <c r="Z130" s="2">
        <f t="shared" si="99"/>
        <v>20.965219999999988</v>
      </c>
      <c r="AA130" s="2">
        <f t="shared" si="100"/>
        <v>26.21871999999999</v>
      </c>
      <c r="AB130" s="2">
        <f t="shared" si="101"/>
        <v>0.44432957485110397</v>
      </c>
      <c r="AC130" s="2">
        <f t="shared" si="102"/>
        <v>0.55567042514889609</v>
      </c>
      <c r="AD130" s="2">
        <f t="shared" si="103"/>
        <v>4.7698044666356972E-2</v>
      </c>
      <c r="AE130" s="2">
        <f t="shared" si="104"/>
        <v>2.119365190783136E-2</v>
      </c>
      <c r="AF130" s="2">
        <f t="shared" si="105"/>
        <v>47.183939999999978</v>
      </c>
      <c r="AG130">
        <v>281</v>
      </c>
      <c r="AH130">
        <f t="shared" si="98"/>
        <v>13.403150551246309</v>
      </c>
    </row>
    <row r="131" spans="3:34" x14ac:dyDescent="0.35">
      <c r="C131" s="155"/>
      <c r="E131" s="104"/>
      <c r="F131" s="141"/>
      <c r="G131" s="45"/>
      <c r="H131" s="2"/>
      <c r="I131" s="2"/>
      <c r="J131" s="2"/>
      <c r="K131" s="2"/>
      <c r="L131" s="2"/>
      <c r="M131" s="2"/>
      <c r="N131" s="2"/>
      <c r="X131">
        <v>248.79912999999999</v>
      </c>
      <c r="Y131">
        <v>285.25484999999998</v>
      </c>
      <c r="Z131" s="2">
        <f t="shared" si="99"/>
        <v>36.455719999999985</v>
      </c>
      <c r="AA131" s="2">
        <f t="shared" si="100"/>
        <v>25.547360000000026</v>
      </c>
      <c r="AB131" s="2">
        <f t="shared" si="101"/>
        <v>0.58796627522374656</v>
      </c>
      <c r="AC131" s="2">
        <f t="shared" si="102"/>
        <v>0.41203372477625338</v>
      </c>
      <c r="AD131" s="2">
        <f t="shared" si="103"/>
        <v>2.7430537649510155E-2</v>
      </c>
      <c r="AE131" s="2">
        <f t="shared" si="104"/>
        <v>1.6128231049167233E-2</v>
      </c>
      <c r="AF131" s="2">
        <f t="shared" si="105"/>
        <v>62.003080000000011</v>
      </c>
      <c r="AG131">
        <v>449</v>
      </c>
      <c r="AH131">
        <f t="shared" si="98"/>
        <v>12.31631140463006</v>
      </c>
    </row>
    <row r="132" spans="3:34" x14ac:dyDescent="0.35">
      <c r="C132" s="155"/>
      <c r="E132" s="104"/>
      <c r="F132" s="141"/>
      <c r="G132" s="45"/>
      <c r="X132">
        <v>310.80221</v>
      </c>
      <c r="Y132">
        <v>342.27408000000003</v>
      </c>
      <c r="Z132" s="2">
        <f t="shared" si="99"/>
        <v>31.471870000000024</v>
      </c>
      <c r="AA132" s="2">
        <f t="shared" si="100"/>
        <v>-342.27408000000003</v>
      </c>
      <c r="AB132" s="2">
        <f t="shared" si="101"/>
        <v>-0.10126012295729822</v>
      </c>
      <c r="AC132" s="2">
        <f t="shared" si="102"/>
        <v>1.1012601229572982</v>
      </c>
      <c r="AD132" s="2">
        <f t="shared" si="103"/>
        <v>3.1774406795655907E-2</v>
      </c>
      <c r="AE132" s="2">
        <f t="shared" si="104"/>
        <v>-3.2174803390233294E-3</v>
      </c>
      <c r="AF132" s="2">
        <f t="shared" si="105"/>
        <v>-310.80221</v>
      </c>
      <c r="AG132">
        <v>377</v>
      </c>
      <c r="AH132">
        <f t="shared" si="98"/>
        <v>11.978951361962277</v>
      </c>
    </row>
    <row r="133" spans="3:34" ht="16" thickBot="1" x14ac:dyDescent="0.4">
      <c r="C133" s="155"/>
      <c r="G133" s="13"/>
      <c r="H133" s="9" t="s">
        <v>3</v>
      </c>
      <c r="I133" s="9" t="s">
        <v>4</v>
      </c>
      <c r="J133" s="9" t="s">
        <v>5</v>
      </c>
      <c r="K133" s="9" t="s">
        <v>6</v>
      </c>
      <c r="L133" s="9" t="s">
        <v>7</v>
      </c>
      <c r="M133" s="9" t="s">
        <v>8</v>
      </c>
      <c r="N133" s="9" t="s">
        <v>9</v>
      </c>
      <c r="O133" s="9" t="s">
        <v>10</v>
      </c>
      <c r="P133" s="44" t="s">
        <v>139</v>
      </c>
    </row>
    <row r="134" spans="3:34" ht="16" thickBot="1" x14ac:dyDescent="0.4">
      <c r="C134" s="155"/>
      <c r="G134" s="49" t="s">
        <v>77</v>
      </c>
      <c r="H134" s="13">
        <f>AVERAGE(H122:H127)</f>
        <v>8.8932566666666677</v>
      </c>
      <c r="I134" s="13">
        <f t="shared" ref="I134:P134" si="106">AVERAGE(I122:I127)</f>
        <v>7.5794016666666657</v>
      </c>
      <c r="J134" s="13">
        <f t="shared" si="106"/>
        <v>0.53977679312042737</v>
      </c>
      <c r="K134" s="13">
        <f t="shared" si="106"/>
        <v>0.46022320687957247</v>
      </c>
      <c r="L134" s="13">
        <f t="shared" si="106"/>
        <v>0.11328941024495731</v>
      </c>
      <c r="M134" s="13">
        <f t="shared" si="106"/>
        <v>6.1007285114675326E-2</v>
      </c>
      <c r="N134" s="13">
        <f t="shared" si="106"/>
        <v>16.472658333333332</v>
      </c>
      <c r="O134" s="13">
        <f t="shared" si="106"/>
        <v>62.5</v>
      </c>
      <c r="P134" s="13">
        <f t="shared" si="106"/>
        <v>7.0218115639036371</v>
      </c>
      <c r="Y134" s="13"/>
      <c r="Z134" s="9" t="s">
        <v>3</v>
      </c>
      <c r="AA134" s="9" t="s">
        <v>4</v>
      </c>
      <c r="AB134" s="9" t="s">
        <v>5</v>
      </c>
      <c r="AC134" s="9" t="s">
        <v>6</v>
      </c>
      <c r="AD134" s="9" t="s">
        <v>7</v>
      </c>
      <c r="AE134" s="9" t="s">
        <v>8</v>
      </c>
      <c r="AF134" s="9" t="s">
        <v>9</v>
      </c>
      <c r="AG134" s="9" t="s">
        <v>10</v>
      </c>
      <c r="AH134" s="44" t="s">
        <v>139</v>
      </c>
    </row>
    <row r="135" spans="3:34" x14ac:dyDescent="0.35">
      <c r="C135" s="155"/>
      <c r="G135" s="49" t="s">
        <v>94</v>
      </c>
      <c r="H135" s="2">
        <f>_xlfn.STDEV.S(H122:H127)</f>
        <v>0.81679129007762163</v>
      </c>
      <c r="I135" s="2">
        <f t="shared" ref="I135:P135" si="107">_xlfn.STDEV.S(I122:I127)</f>
        <v>0.70773406783668813</v>
      </c>
      <c r="J135" s="2">
        <f t="shared" si="107"/>
        <v>2.7234928657129346E-2</v>
      </c>
      <c r="K135" s="2">
        <f t="shared" si="107"/>
        <v>2.7234928657129356E-2</v>
      </c>
      <c r="L135" s="2">
        <f t="shared" si="107"/>
        <v>1.1085261814319109E-2</v>
      </c>
      <c r="M135" s="2">
        <f t="shared" si="107"/>
        <v>4.8769366751108024E-3</v>
      </c>
      <c r="N135" s="2">
        <f t="shared" si="107"/>
        <v>1.2205008666185611</v>
      </c>
      <c r="O135" s="2">
        <f t="shared" si="107"/>
        <v>7.893034904268446</v>
      </c>
      <c r="P135" s="2">
        <f t="shared" si="107"/>
        <v>0.49745691099064376</v>
      </c>
      <c r="Y135" s="49" t="s">
        <v>77</v>
      </c>
      <c r="Z135" s="2">
        <f t="shared" ref="Z135:AH135" si="108">AVERAGE(Z125:Z127)</f>
        <v>17.280863333333333</v>
      </c>
      <c r="AA135" s="2">
        <f t="shared" si="108"/>
        <v>20.016960000000001</v>
      </c>
      <c r="AB135" s="2">
        <f t="shared" si="108"/>
        <v>0.47001660246823279</v>
      </c>
      <c r="AC135" s="2">
        <f t="shared" si="108"/>
        <v>0.52998339753176726</v>
      </c>
      <c r="AD135" s="2">
        <f t="shared" si="108"/>
        <v>5.8543000274255096E-2</v>
      </c>
      <c r="AE135" s="2">
        <f t="shared" si="108"/>
        <v>2.6971671419657482E-2</v>
      </c>
      <c r="AF135" s="2">
        <f t="shared" si="108"/>
        <v>37.297823333333334</v>
      </c>
      <c r="AG135" s="2">
        <f t="shared" si="108"/>
        <v>229.33333333333334</v>
      </c>
      <c r="AH135" s="2">
        <f t="shared" si="108"/>
        <v>13.267132114794988</v>
      </c>
    </row>
    <row r="136" spans="3:34" x14ac:dyDescent="0.35">
      <c r="C136" s="155"/>
      <c r="G136" s="49" t="s">
        <v>95</v>
      </c>
      <c r="H136" s="2">
        <f>H135/(SQRT(COUNT(H122:H127)))</f>
        <v>0.33345364783996229</v>
      </c>
      <c r="I136" s="2">
        <f t="shared" ref="I136:P136" si="109">I135/(SQRT(COUNT(I122:I127)))</f>
        <v>0.28893122329736359</v>
      </c>
      <c r="J136" s="2">
        <f t="shared" si="109"/>
        <v>1.1118613065178329E-2</v>
      </c>
      <c r="K136" s="2">
        <f t="shared" si="109"/>
        <v>1.1118613065178333E-2</v>
      </c>
      <c r="L136" s="2">
        <f t="shared" si="109"/>
        <v>4.5255391850401172E-3</v>
      </c>
      <c r="M136" s="2">
        <f t="shared" si="109"/>
        <v>1.9910010603145013E-3</v>
      </c>
      <c r="N136" s="2">
        <f t="shared" si="109"/>
        <v>0.49826739230669087</v>
      </c>
      <c r="O136" s="2">
        <f t="shared" si="109"/>
        <v>3.2223180062391941</v>
      </c>
      <c r="P136" s="2">
        <f t="shared" si="109"/>
        <v>0.20308593349136439</v>
      </c>
      <c r="Y136" s="49" t="s">
        <v>94</v>
      </c>
      <c r="Z136" s="2">
        <f t="shared" ref="Z136:AH136" si="110">_xlfn.STDEV.S(Z125:Z127)</f>
        <v>2.3605440116704668</v>
      </c>
      <c r="AA136" s="2">
        <f t="shared" si="110"/>
        <v>5.7438774123670084</v>
      </c>
      <c r="AB136" s="2">
        <f t="shared" si="110"/>
        <v>0.1109114227382112</v>
      </c>
      <c r="AC136" s="2">
        <f t="shared" si="110"/>
        <v>0.1109114227382112</v>
      </c>
      <c r="AD136" s="2">
        <f t="shared" si="110"/>
        <v>7.4184212611500882E-3</v>
      </c>
      <c r="AE136" s="2">
        <f t="shared" si="110"/>
        <v>2.5985506710149249E-3</v>
      </c>
      <c r="AF136" s="2">
        <f t="shared" si="110"/>
        <v>3.4571626284329358</v>
      </c>
      <c r="AG136" s="2">
        <f t="shared" si="110"/>
        <v>32.516662395352455</v>
      </c>
      <c r="AH136" s="2">
        <f t="shared" si="110"/>
        <v>0.35349569801591191</v>
      </c>
    </row>
    <row r="137" spans="3:34" x14ac:dyDescent="0.35">
      <c r="C137" s="250"/>
      <c r="G137" s="49"/>
      <c r="H137" s="2"/>
      <c r="I137" s="2"/>
      <c r="J137" s="2"/>
      <c r="K137" s="2"/>
      <c r="L137" s="2"/>
      <c r="M137" s="2"/>
      <c r="N137" s="2"/>
      <c r="O137" s="2"/>
      <c r="P137" s="2"/>
      <c r="Y137" s="49" t="s">
        <v>95</v>
      </c>
      <c r="Z137" s="2">
        <f t="shared" ref="Z137:AH137" si="111">Z136/SQRT(COUNT(Z125:Z127))</f>
        <v>1.3628607205719032</v>
      </c>
      <c r="AA137" s="2">
        <f t="shared" si="111"/>
        <v>3.3162291702223037</v>
      </c>
      <c r="AB137" s="2">
        <f t="shared" si="111"/>
        <v>6.4034739774110616E-2</v>
      </c>
      <c r="AC137" s="2">
        <f t="shared" si="111"/>
        <v>6.4034739774110616E-2</v>
      </c>
      <c r="AD137" s="2">
        <f t="shared" si="111"/>
        <v>4.2830275120870464E-3</v>
      </c>
      <c r="AE137" s="2">
        <f t="shared" si="111"/>
        <v>1.5002739294133496E-3</v>
      </c>
      <c r="AF137" s="2">
        <f t="shared" si="111"/>
        <v>1.9959937741580698</v>
      </c>
      <c r="AG137" s="2">
        <f t="shared" si="111"/>
        <v>18.773503787104922</v>
      </c>
      <c r="AH137" s="2">
        <f t="shared" si="111"/>
        <v>0.2040908364068614</v>
      </c>
    </row>
    <row r="138" spans="3:34" x14ac:dyDescent="0.35">
      <c r="C138" s="250"/>
      <c r="G138" s="49"/>
      <c r="H138" s="2"/>
      <c r="I138" s="2"/>
      <c r="J138" s="2"/>
      <c r="K138" s="2"/>
      <c r="L138" s="2"/>
      <c r="M138" s="2"/>
      <c r="N138" s="2"/>
      <c r="O138" s="2"/>
      <c r="P138" s="2"/>
    </row>
    <row r="141" spans="3:34" ht="18.5" x14ac:dyDescent="0.45">
      <c r="C141" s="155"/>
      <c r="E141" s="104"/>
      <c r="F141" s="1" t="s">
        <v>555</v>
      </c>
      <c r="G141" s="2"/>
      <c r="H141" s="2"/>
      <c r="I141" s="2"/>
      <c r="J141" s="2"/>
      <c r="K141" s="2"/>
      <c r="L141" s="2"/>
      <c r="M141" s="2"/>
      <c r="N141" s="2"/>
      <c r="O141" s="2"/>
      <c r="P141" s="2"/>
    </row>
    <row r="142" spans="3:34" ht="24" thickBot="1" x14ac:dyDescent="0.6">
      <c r="C142" s="248" t="s">
        <v>216</v>
      </c>
      <c r="D142" s="204" t="s">
        <v>122</v>
      </c>
      <c r="E142" s="104"/>
      <c r="F142" s="9" t="s">
        <v>1</v>
      </c>
      <c r="G142" s="9" t="s">
        <v>2</v>
      </c>
      <c r="H142" s="9" t="s">
        <v>3</v>
      </c>
      <c r="I142" s="9" t="s">
        <v>4</v>
      </c>
      <c r="J142" s="9" t="s">
        <v>5</v>
      </c>
      <c r="K142" s="9" t="s">
        <v>6</v>
      </c>
      <c r="L142" s="9" t="s">
        <v>7</v>
      </c>
      <c r="M142" s="9" t="s">
        <v>8</v>
      </c>
      <c r="N142" s="9" t="s">
        <v>9</v>
      </c>
      <c r="O142" s="9" t="s">
        <v>10</v>
      </c>
      <c r="P142" s="44" t="s">
        <v>139</v>
      </c>
    </row>
    <row r="143" spans="3:34" ht="18.5" x14ac:dyDescent="0.45">
      <c r="C143" s="155">
        <v>-1</v>
      </c>
      <c r="D143" t="s">
        <v>541</v>
      </c>
      <c r="E143" s="104"/>
      <c r="F143" s="141">
        <v>12.425520000000001</v>
      </c>
      <c r="G143" s="45">
        <v>19.537310000000002</v>
      </c>
      <c r="H143" s="2">
        <f t="shared" ref="H143:H148" si="112">G143-F143</f>
        <v>7.1117900000000009</v>
      </c>
      <c r="I143" s="2">
        <f>F144-G143</f>
        <v>14.0427</v>
      </c>
      <c r="J143" s="2">
        <f>H143/N143</f>
        <v>0.33618347688835798</v>
      </c>
      <c r="K143" s="2">
        <f>I143/N143</f>
        <v>0.66381652311164197</v>
      </c>
      <c r="L143" s="2">
        <f>1/H143</f>
        <v>0.14061157598860483</v>
      </c>
      <c r="M143" s="2">
        <f>1/N143</f>
        <v>4.7271288506600721E-2</v>
      </c>
      <c r="N143" s="2">
        <f>H143+I143</f>
        <v>21.154490000000003</v>
      </c>
      <c r="O143" s="2">
        <v>29</v>
      </c>
      <c r="P143" s="2">
        <f>O143/H143</f>
        <v>4.0777357036695401</v>
      </c>
      <c r="X143" s="1" t="s">
        <v>87</v>
      </c>
      <c r="Y143" s="3"/>
      <c r="Z143" s="3"/>
      <c r="AA143" s="3"/>
      <c r="AB143" s="3"/>
      <c r="AC143" s="3"/>
      <c r="AD143" s="3"/>
      <c r="AE143" s="3"/>
      <c r="AF143" s="3"/>
      <c r="AG143" s="3"/>
    </row>
    <row r="144" spans="3:34" ht="16" thickBot="1" x14ac:dyDescent="0.4">
      <c r="C144" s="155">
        <v>-1</v>
      </c>
      <c r="D144" t="s">
        <v>541</v>
      </c>
      <c r="E144" s="104"/>
      <c r="F144" s="141">
        <v>33.580010000000001</v>
      </c>
      <c r="G144" s="46">
        <v>41.428350000000002</v>
      </c>
      <c r="H144" s="2">
        <f t="shared" si="112"/>
        <v>7.8483400000000003</v>
      </c>
      <c r="I144" s="2">
        <f>F145-G144</f>
        <v>10.949570000000001</v>
      </c>
      <c r="J144" s="2">
        <f>H144/N144</f>
        <v>0.41751130843801249</v>
      </c>
      <c r="K144" s="2">
        <f>I144/N144</f>
        <v>0.58248869156198746</v>
      </c>
      <c r="L144" s="2">
        <f>1/H144</f>
        <v>0.1274154789420438</v>
      </c>
      <c r="M144" s="2">
        <f>1/N144</f>
        <v>5.3197403328348734E-2</v>
      </c>
      <c r="N144" s="2">
        <f>H144+I144</f>
        <v>18.797910000000002</v>
      </c>
      <c r="O144" s="2">
        <v>42</v>
      </c>
      <c r="P144" s="2">
        <f>O144/H144</f>
        <v>5.3514501155658394</v>
      </c>
      <c r="X144" s="9" t="s">
        <v>11</v>
      </c>
      <c r="Y144" s="9" t="s">
        <v>12</v>
      </c>
      <c r="Z144" s="9" t="s">
        <v>3</v>
      </c>
      <c r="AA144" s="9" t="s">
        <v>4</v>
      </c>
      <c r="AB144" s="9" t="s">
        <v>655</v>
      </c>
      <c r="AC144" s="9" t="s">
        <v>654</v>
      </c>
      <c r="AD144" s="9" t="s">
        <v>653</v>
      </c>
      <c r="AE144" s="9" t="s">
        <v>8</v>
      </c>
      <c r="AF144" s="9" t="s">
        <v>9</v>
      </c>
      <c r="AG144" s="9" t="s">
        <v>10</v>
      </c>
      <c r="AH144" s="44" t="s">
        <v>139</v>
      </c>
    </row>
    <row r="145" spans="3:34" x14ac:dyDescent="0.35">
      <c r="C145" s="155">
        <v>-1</v>
      </c>
      <c r="D145" t="s">
        <v>541</v>
      </c>
      <c r="E145" s="104"/>
      <c r="F145" s="141">
        <v>52.377920000000003</v>
      </c>
      <c r="G145" s="141">
        <v>60.412010000000002</v>
      </c>
      <c r="H145" s="2">
        <f t="shared" si="112"/>
        <v>8.0340899999999991</v>
      </c>
      <c r="I145" s="2">
        <f>F146-G145</f>
        <v>11.794029999999999</v>
      </c>
      <c r="J145" s="2">
        <f>H145/N145</f>
        <v>0.4051866742787516</v>
      </c>
      <c r="K145" s="2">
        <f>I145/N145</f>
        <v>0.59481332572124845</v>
      </c>
      <c r="L145" s="2">
        <f>1/H145</f>
        <v>0.12446960390037952</v>
      </c>
      <c r="M145" s="2">
        <f>1/N145</f>
        <v>5.0433424853188302E-2</v>
      </c>
      <c r="N145" s="2">
        <f>H145+I145</f>
        <v>19.828119999999998</v>
      </c>
      <c r="O145">
        <v>40</v>
      </c>
      <c r="P145" s="2">
        <f>O145/H145</f>
        <v>4.9787841560151813</v>
      </c>
      <c r="X145">
        <v>3.6729999999999999E-2</v>
      </c>
      <c r="Y145">
        <v>13.66046</v>
      </c>
      <c r="Z145" s="2">
        <f>Y145-X145</f>
        <v>13.62373</v>
      </c>
      <c r="AA145" s="2">
        <f>X146-Y145</f>
        <v>23.579700000000003</v>
      </c>
      <c r="AB145" s="2">
        <f>Z145/AF145</f>
        <v>0.36619553627178997</v>
      </c>
      <c r="AC145" s="2">
        <f>AA145/AF145</f>
        <v>0.63380446372820998</v>
      </c>
      <c r="AD145" s="2">
        <f>1/Z145</f>
        <v>7.340133722556158E-2</v>
      </c>
      <c r="AE145" s="2">
        <f>1/AF145</f>
        <v>2.6879242048381019E-2</v>
      </c>
      <c r="AF145" s="2">
        <f>Z145+AA145</f>
        <v>37.203430000000004</v>
      </c>
      <c r="AG145">
        <v>160</v>
      </c>
      <c r="AH145">
        <f>AG145/Z145</f>
        <v>11.744213956089851</v>
      </c>
    </row>
    <row r="146" spans="3:34" x14ac:dyDescent="0.35">
      <c r="C146" s="155">
        <v>-1</v>
      </c>
      <c r="E146" s="104"/>
      <c r="F146" s="141">
        <v>72.206040000000002</v>
      </c>
      <c r="G146" s="45">
        <v>80.049199999999999</v>
      </c>
      <c r="H146" s="2">
        <f t="shared" si="112"/>
        <v>7.8431599999999975</v>
      </c>
      <c r="I146" s="2">
        <f>F147-G146</f>
        <v>13.305769999999995</v>
      </c>
      <c r="J146" s="2">
        <f>H146/N146</f>
        <v>0.37085375004787474</v>
      </c>
      <c r="K146" s="2">
        <f>I146/N146</f>
        <v>0.6291462499521252</v>
      </c>
      <c r="L146" s="2">
        <f>1/H146</f>
        <v>0.1274996302510723</v>
      </c>
      <c r="M146" s="2">
        <f>1/N146</f>
        <v>4.7283716008327627E-2</v>
      </c>
      <c r="N146" s="2">
        <f>H146+I146</f>
        <v>21.148929999999993</v>
      </c>
      <c r="O146">
        <v>42</v>
      </c>
      <c r="P146" s="2">
        <f>O146/H146</f>
        <v>5.3549844705450376</v>
      </c>
      <c r="X146">
        <v>37.240160000000003</v>
      </c>
      <c r="Y146">
        <v>53.550660000000001</v>
      </c>
      <c r="Z146" s="2">
        <f t="shared" ref="Z146:Z158" si="113">Y146-X146</f>
        <v>16.310499999999998</v>
      </c>
      <c r="AA146" s="2">
        <f t="shared" ref="AA146:AA157" si="114">X147-Y146</f>
        <v>25.638010000000001</v>
      </c>
      <c r="AB146" s="2">
        <f t="shared" ref="AB146:AB157" si="115">Z146/AF146</f>
        <v>0.3888219152480028</v>
      </c>
      <c r="AC146" s="2">
        <f t="shared" ref="AC146:AC157" si="116">AA146/AF146</f>
        <v>0.6111780847519972</v>
      </c>
      <c r="AD146" s="2">
        <f t="shared" ref="AD146:AD157" si="117">1/Z146</f>
        <v>6.1310198951595604E-2</v>
      </c>
      <c r="AE146" s="2">
        <f t="shared" ref="AE146:AE157" si="118">1/AF146</f>
        <v>2.3838748980595497E-2</v>
      </c>
      <c r="AF146" s="2">
        <f t="shared" ref="AF146:AF157" si="119">Z146+AA146</f>
        <v>41.948509999999999</v>
      </c>
      <c r="AG146">
        <v>228</v>
      </c>
      <c r="AH146">
        <f>AG146/Z146</f>
        <v>13.978725360963798</v>
      </c>
    </row>
    <row r="147" spans="3:34" x14ac:dyDescent="0.35">
      <c r="C147" s="155">
        <v>-1</v>
      </c>
      <c r="D147" t="s">
        <v>541</v>
      </c>
      <c r="E147" s="104"/>
      <c r="F147" s="141">
        <v>93.354969999999994</v>
      </c>
      <c r="G147" s="45">
        <v>99.871489999999994</v>
      </c>
      <c r="H147" s="2">
        <f t="shared" si="112"/>
        <v>6.5165199999999999</v>
      </c>
      <c r="I147" s="2">
        <f>F148-G147</f>
        <v>11.046910000000011</v>
      </c>
      <c r="J147" s="2">
        <f>H147/N147</f>
        <v>0.37102775482921024</v>
      </c>
      <c r="K147" s="2">
        <f>I147/N147</f>
        <v>0.62897224517078976</v>
      </c>
      <c r="L147" s="2">
        <f>1/H147</f>
        <v>0.15345613916630349</v>
      </c>
      <c r="M147" s="2">
        <f>1/N147</f>
        <v>5.6936486779632416E-2</v>
      </c>
      <c r="N147" s="2">
        <f>H147+I147</f>
        <v>17.563430000000011</v>
      </c>
      <c r="O147">
        <v>32</v>
      </c>
      <c r="P147" s="2">
        <f>O147/H147</f>
        <v>4.9105964533217117</v>
      </c>
      <c r="X147">
        <v>79.188670000000002</v>
      </c>
      <c r="Y147">
        <v>94.560630000000003</v>
      </c>
      <c r="Z147" s="2">
        <f t="shared" si="113"/>
        <v>15.371960000000001</v>
      </c>
      <c r="AA147" s="2">
        <f t="shared" si="114"/>
        <v>22.333129999999997</v>
      </c>
      <c r="AB147" s="2">
        <f t="shared" si="115"/>
        <v>0.40768925362596936</v>
      </c>
      <c r="AC147" s="2">
        <f t="shared" si="116"/>
        <v>0.59231074637403058</v>
      </c>
      <c r="AD147" s="2">
        <f t="shared" si="117"/>
        <v>6.5053513019810091E-2</v>
      </c>
      <c r="AE147" s="2">
        <f t="shared" si="118"/>
        <v>2.6521618168793656E-2</v>
      </c>
      <c r="AF147" s="2">
        <f t="shared" si="119"/>
        <v>37.705089999999998</v>
      </c>
      <c r="AG147">
        <v>209</v>
      </c>
      <c r="AH147">
        <f>AG147/Z147</f>
        <v>13.596184221140309</v>
      </c>
    </row>
    <row r="148" spans="3:34" x14ac:dyDescent="0.35">
      <c r="C148" s="155">
        <v>-1</v>
      </c>
      <c r="E148" s="104"/>
      <c r="F148" s="141">
        <v>110.91840000000001</v>
      </c>
      <c r="G148" s="45">
        <v>118.22588</v>
      </c>
      <c r="H148" s="2">
        <f t="shared" si="112"/>
        <v>7.3074799999999982</v>
      </c>
      <c r="I148" s="2"/>
      <c r="J148" s="2"/>
      <c r="K148" s="2"/>
      <c r="L148" s="2"/>
      <c r="M148" s="2"/>
      <c r="N148" s="2"/>
      <c r="P148" s="2"/>
      <c r="X148">
        <v>116.89376</v>
      </c>
      <c r="Y148">
        <v>132.65815000000001</v>
      </c>
      <c r="Z148" s="2">
        <f t="shared" si="113"/>
        <v>15.764390000000006</v>
      </c>
      <c r="AA148" s="2">
        <f t="shared" si="114"/>
        <v>24.845689999999991</v>
      </c>
      <c r="AB148" s="2">
        <f t="shared" si="115"/>
        <v>0.38818908999933038</v>
      </c>
      <c r="AC148" s="2">
        <f t="shared" si="116"/>
        <v>0.61181091000066956</v>
      </c>
      <c r="AD148" s="2">
        <f t="shared" si="117"/>
        <v>6.3434106869977178E-2</v>
      </c>
      <c r="AE148" s="2">
        <f t="shared" si="118"/>
        <v>2.4624428220776717E-2</v>
      </c>
      <c r="AF148" s="2">
        <f t="shared" si="119"/>
        <v>40.610079999999996</v>
      </c>
      <c r="AG148">
        <v>208</v>
      </c>
      <c r="AH148">
        <f t="shared" ref="AH148:AH157" si="120">AG148/Z148</f>
        <v>13.194294228955254</v>
      </c>
    </row>
    <row r="149" spans="3:34" x14ac:dyDescent="0.35">
      <c r="C149" s="155">
        <v>-1</v>
      </c>
      <c r="F149" s="141"/>
      <c r="G149" s="141"/>
      <c r="H149" s="2"/>
      <c r="I149" s="2"/>
      <c r="J149" s="2"/>
      <c r="K149" s="2"/>
      <c r="L149" s="2"/>
      <c r="M149" s="2"/>
      <c r="N149" s="2"/>
      <c r="P149" s="2"/>
      <c r="X149">
        <v>157.50384</v>
      </c>
      <c r="Y149">
        <v>183.14751999999999</v>
      </c>
      <c r="Z149" s="2">
        <f t="shared" si="113"/>
        <v>25.643679999999989</v>
      </c>
      <c r="AA149" s="2">
        <f t="shared" si="114"/>
        <v>23.388030000000015</v>
      </c>
      <c r="AB149" s="2">
        <f t="shared" si="115"/>
        <v>0.52300195118628301</v>
      </c>
      <c r="AC149" s="2">
        <f t="shared" si="116"/>
        <v>0.47699804881371693</v>
      </c>
      <c r="AD149" s="2">
        <f t="shared" si="117"/>
        <v>3.8995963137895981E-2</v>
      </c>
      <c r="AE149" s="2">
        <f t="shared" si="118"/>
        <v>2.0394964809507969E-2</v>
      </c>
      <c r="AF149" s="2">
        <f t="shared" si="119"/>
        <v>49.031710000000004</v>
      </c>
      <c r="AG149">
        <v>315</v>
      </c>
      <c r="AH149">
        <f t="shared" si="120"/>
        <v>12.283728388437234</v>
      </c>
    </row>
    <row r="150" spans="3:34" x14ac:dyDescent="0.35">
      <c r="C150" s="155"/>
      <c r="E150" s="104"/>
      <c r="F150" s="141"/>
      <c r="G150" s="45"/>
      <c r="H150" s="2"/>
      <c r="I150" s="2"/>
      <c r="J150" s="2"/>
      <c r="K150" s="2"/>
      <c r="L150" s="2"/>
      <c r="M150" s="2"/>
      <c r="N150" s="2"/>
      <c r="P150" s="2"/>
      <c r="X150">
        <v>206.53555</v>
      </c>
      <c r="Y150">
        <v>220.40642</v>
      </c>
      <c r="Z150" s="2">
        <f t="shared" si="113"/>
        <v>13.870869999999996</v>
      </c>
      <c r="AA150" s="2">
        <f t="shared" si="114"/>
        <v>10.781409999999994</v>
      </c>
      <c r="AB150" s="2">
        <f t="shared" si="115"/>
        <v>0.56266073563986785</v>
      </c>
      <c r="AC150" s="2">
        <f t="shared" si="116"/>
        <v>0.43733926436013215</v>
      </c>
      <c r="AD150" s="2">
        <f t="shared" si="117"/>
        <v>7.2093531263720312E-2</v>
      </c>
      <c r="AE150" s="2">
        <f t="shared" si="118"/>
        <v>4.056419933572069E-2</v>
      </c>
      <c r="AF150" s="2">
        <f t="shared" si="119"/>
        <v>24.65227999999999</v>
      </c>
      <c r="AG150">
        <v>198</v>
      </c>
      <c r="AH150">
        <f t="shared" si="120"/>
        <v>14.274519190216623</v>
      </c>
    </row>
    <row r="151" spans="3:34" x14ac:dyDescent="0.35">
      <c r="C151" s="155"/>
      <c r="E151" s="104"/>
      <c r="F151" s="141"/>
      <c r="G151" s="45"/>
      <c r="X151">
        <v>231.18782999999999</v>
      </c>
      <c r="Y151">
        <v>243.22331</v>
      </c>
      <c r="Z151" s="2">
        <f t="shared" si="113"/>
        <v>12.035480000000007</v>
      </c>
      <c r="AA151" s="2">
        <f t="shared" si="114"/>
        <v>23.195000000000022</v>
      </c>
      <c r="AB151" s="2">
        <f t="shared" si="115"/>
        <v>0.34162123252365556</v>
      </c>
      <c r="AC151" s="2">
        <f t="shared" si="116"/>
        <v>0.65837876747634438</v>
      </c>
      <c r="AD151" s="2">
        <f t="shared" si="117"/>
        <v>8.3087670786707257E-2</v>
      </c>
      <c r="AE151" s="2">
        <f t="shared" si="118"/>
        <v>2.8384512501674664E-2</v>
      </c>
      <c r="AF151" s="2">
        <f t="shared" si="119"/>
        <v>35.230480000000028</v>
      </c>
      <c r="AG151">
        <v>160</v>
      </c>
      <c r="AH151">
        <f t="shared" si="120"/>
        <v>13.294027325873161</v>
      </c>
    </row>
    <row r="152" spans="3:34" ht="16" thickBot="1" x14ac:dyDescent="0.4">
      <c r="C152" s="155"/>
      <c r="G152" s="13"/>
      <c r="H152" s="9" t="s">
        <v>3</v>
      </c>
      <c r="I152" s="9" t="s">
        <v>4</v>
      </c>
      <c r="J152" s="9" t="s">
        <v>5</v>
      </c>
      <c r="K152" s="9" t="s">
        <v>6</v>
      </c>
      <c r="L152" s="9" t="s">
        <v>7</v>
      </c>
      <c r="M152" s="9" t="s">
        <v>8</v>
      </c>
      <c r="N152" s="9" t="s">
        <v>9</v>
      </c>
      <c r="O152" s="9" t="s">
        <v>10</v>
      </c>
      <c r="P152" s="44" t="s">
        <v>139</v>
      </c>
      <c r="X152">
        <v>266.41831000000002</v>
      </c>
      <c r="Y152">
        <v>282.24157000000002</v>
      </c>
      <c r="Z152" s="2">
        <f t="shared" si="113"/>
        <v>15.823260000000005</v>
      </c>
      <c r="AA152" s="2">
        <f t="shared" si="114"/>
        <v>24.125999999999976</v>
      </c>
      <c r="AB152" s="2">
        <f t="shared" si="115"/>
        <v>0.3960839324683364</v>
      </c>
      <c r="AC152" s="2">
        <f t="shared" si="116"/>
        <v>0.6039160675316636</v>
      </c>
      <c r="AD152" s="2">
        <f t="shared" si="117"/>
        <v>6.3198102034599676E-2</v>
      </c>
      <c r="AE152" s="2">
        <f t="shared" si="118"/>
        <v>2.5031752778399412E-2</v>
      </c>
      <c r="AF152" s="2">
        <f t="shared" si="119"/>
        <v>39.949259999999981</v>
      </c>
      <c r="AG152">
        <v>214</v>
      </c>
      <c r="AH152">
        <f t="shared" si="120"/>
        <v>13.52439383540433</v>
      </c>
    </row>
    <row r="153" spans="3:34" x14ac:dyDescent="0.35">
      <c r="C153" s="155"/>
      <c r="G153" s="49" t="s">
        <v>77</v>
      </c>
      <c r="H153" s="13">
        <f t="shared" ref="H153:P153" si="121">AVERAGE(H143:H147)</f>
        <v>7.4707799999999995</v>
      </c>
      <c r="I153" s="13">
        <f t="shared" si="121"/>
        <v>12.227796000000001</v>
      </c>
      <c r="J153" s="13">
        <f t="shared" si="121"/>
        <v>0.38015259289644143</v>
      </c>
      <c r="K153" s="13">
        <f t="shared" si="121"/>
        <v>0.61984740710355857</v>
      </c>
      <c r="L153" s="13">
        <f t="shared" si="121"/>
        <v>0.13469048564968078</v>
      </c>
      <c r="M153" s="13">
        <f t="shared" si="121"/>
        <v>5.102446389521955E-2</v>
      </c>
      <c r="N153" s="13">
        <f t="shared" si="121"/>
        <v>19.698576000000003</v>
      </c>
      <c r="O153" s="13">
        <f t="shared" si="121"/>
        <v>37</v>
      </c>
      <c r="P153" s="13">
        <f t="shared" si="121"/>
        <v>4.9347101798234618</v>
      </c>
      <c r="X153">
        <v>306.36757</v>
      </c>
      <c r="Y153">
        <v>320.49475999999999</v>
      </c>
      <c r="Z153" s="2">
        <f t="shared" si="113"/>
        <v>14.127189999999985</v>
      </c>
      <c r="AA153" s="2">
        <f t="shared" si="114"/>
        <v>17.186030000000017</v>
      </c>
      <c r="AB153" s="2">
        <f t="shared" si="115"/>
        <v>0.45115737059299504</v>
      </c>
      <c r="AC153" s="2">
        <f t="shared" si="116"/>
        <v>0.54884262940700501</v>
      </c>
      <c r="AD153" s="2">
        <f t="shared" si="117"/>
        <v>7.0785485294669437E-2</v>
      </c>
      <c r="AE153" s="2">
        <f t="shared" si="118"/>
        <v>3.1935393421692181E-2</v>
      </c>
      <c r="AF153" s="2">
        <f t="shared" si="119"/>
        <v>31.313220000000001</v>
      </c>
      <c r="AG153">
        <v>207</v>
      </c>
      <c r="AH153">
        <f t="shared" si="120"/>
        <v>14.652595455996574</v>
      </c>
    </row>
    <row r="154" spans="3:34" x14ac:dyDescent="0.35">
      <c r="C154" s="155"/>
      <c r="G154" s="49" t="s">
        <v>94</v>
      </c>
      <c r="H154" s="2">
        <f t="shared" ref="H154:P154" si="122">_xlfn.STDEV.S(H143:H147)</f>
        <v>0.63992627344874597</v>
      </c>
      <c r="I154" s="2">
        <f t="shared" si="122"/>
        <v>1.3849558538740625</v>
      </c>
      <c r="J154" s="2">
        <f t="shared" si="122"/>
        <v>3.211461181526247E-2</v>
      </c>
      <c r="K154" s="2">
        <f t="shared" si="122"/>
        <v>3.2114611815262449E-2</v>
      </c>
      <c r="L154" s="2">
        <f t="shared" si="122"/>
        <v>1.2209725738122594E-2</v>
      </c>
      <c r="M154" s="2">
        <f t="shared" si="122"/>
        <v>4.1262127843245946E-3</v>
      </c>
      <c r="N154" s="2">
        <f t="shared" si="122"/>
        <v>1.5500033575382939</v>
      </c>
      <c r="O154" s="2">
        <f t="shared" si="122"/>
        <v>6.0827625302982193</v>
      </c>
      <c r="P154" s="2">
        <f t="shared" si="122"/>
        <v>0.52135206277680601</v>
      </c>
      <c r="X154">
        <v>337.68079</v>
      </c>
      <c r="Y154">
        <v>357.41967</v>
      </c>
      <c r="Z154" s="2">
        <f t="shared" si="113"/>
        <v>19.738879999999995</v>
      </c>
      <c r="AA154" s="2">
        <f t="shared" si="114"/>
        <v>12.922280000000001</v>
      </c>
      <c r="AB154" s="2">
        <f t="shared" si="115"/>
        <v>0.60435330527145992</v>
      </c>
      <c r="AC154" s="2">
        <f t="shared" si="116"/>
        <v>0.39564669472854003</v>
      </c>
      <c r="AD154" s="2">
        <f t="shared" si="117"/>
        <v>5.0661435704558735E-2</v>
      </c>
      <c r="AE154" s="2">
        <f t="shared" si="118"/>
        <v>3.0617406117847624E-2</v>
      </c>
      <c r="AF154" s="2">
        <f t="shared" si="119"/>
        <v>32.661159999999995</v>
      </c>
      <c r="AG154">
        <v>256</v>
      </c>
      <c r="AH154">
        <f t="shared" si="120"/>
        <v>12.969327540367036</v>
      </c>
    </row>
    <row r="155" spans="3:34" x14ac:dyDescent="0.35">
      <c r="C155" s="155"/>
      <c r="G155" s="49" t="s">
        <v>95</v>
      </c>
      <c r="H155" s="2">
        <f t="shared" ref="H155:P155" si="123">H154/(SQRT(COUNT(H143:H147)))</f>
        <v>0.28618372960390293</v>
      </c>
      <c r="I155" s="2">
        <f t="shared" si="123"/>
        <v>0.61937108701973387</v>
      </c>
      <c r="J155" s="2">
        <f t="shared" si="123"/>
        <v>1.436209101798896E-2</v>
      </c>
      <c r="K155" s="2">
        <f t="shared" si="123"/>
        <v>1.4362091017988949E-2</v>
      </c>
      <c r="L155" s="2">
        <f t="shared" si="123"/>
        <v>5.4603553474141826E-3</v>
      </c>
      <c r="M155" s="2">
        <f t="shared" si="123"/>
        <v>1.8452984550756943E-3</v>
      </c>
      <c r="N155" s="2">
        <f t="shared" si="123"/>
        <v>0.69318257456170718</v>
      </c>
      <c r="O155" s="2">
        <f t="shared" si="123"/>
        <v>2.7202941017470885</v>
      </c>
      <c r="P155" s="2">
        <f t="shared" si="123"/>
        <v>0.23315573051573518</v>
      </c>
      <c r="X155">
        <v>370.34195</v>
      </c>
      <c r="Y155">
        <v>385.59559000000002</v>
      </c>
      <c r="Z155" s="2">
        <f t="shared" si="113"/>
        <v>15.253640000000019</v>
      </c>
      <c r="AA155" s="2">
        <f t="shared" si="114"/>
        <v>24.931119999999964</v>
      </c>
      <c r="AB155" s="2">
        <f t="shared" si="115"/>
        <v>0.37958768448536273</v>
      </c>
      <c r="AC155" s="2">
        <f t="shared" si="116"/>
        <v>0.62041231551463727</v>
      </c>
      <c r="AD155" s="2">
        <f t="shared" si="117"/>
        <v>6.5558122520263939E-2</v>
      </c>
      <c r="AE155" s="2">
        <f t="shared" si="118"/>
        <v>2.4885055926674698E-2</v>
      </c>
      <c r="AF155" s="2">
        <f t="shared" si="119"/>
        <v>40.184759999999983</v>
      </c>
      <c r="AG155">
        <v>199</v>
      </c>
      <c r="AH155">
        <f t="shared" si="120"/>
        <v>13.046066381532523</v>
      </c>
    </row>
    <row r="156" spans="3:34" x14ac:dyDescent="0.35">
      <c r="C156" s="250"/>
      <c r="G156" s="49"/>
      <c r="H156" s="2"/>
      <c r="I156" s="2"/>
      <c r="J156" s="2"/>
      <c r="K156" s="2"/>
      <c r="L156" s="2"/>
      <c r="M156" s="2"/>
      <c r="N156" s="2"/>
      <c r="O156" s="2"/>
      <c r="P156" s="2"/>
      <c r="X156">
        <v>410.52670999999998</v>
      </c>
      <c r="Y156">
        <v>427.58551</v>
      </c>
      <c r="Z156" s="2">
        <f t="shared" si="113"/>
        <v>17.058800000000019</v>
      </c>
      <c r="AA156" s="2">
        <f t="shared" si="114"/>
        <v>11.354019999999991</v>
      </c>
      <c r="AB156" s="2">
        <f t="shared" si="115"/>
        <v>0.6003909502823026</v>
      </c>
      <c r="AC156" s="2">
        <f t="shared" si="116"/>
        <v>0.3996090497176974</v>
      </c>
      <c r="AD156" s="2">
        <f t="shared" si="117"/>
        <v>5.8620770511407537E-2</v>
      </c>
      <c r="AE156" s="2">
        <f t="shared" si="118"/>
        <v>3.5195380113624754E-2</v>
      </c>
      <c r="AF156" s="2">
        <f t="shared" si="119"/>
        <v>28.412820000000011</v>
      </c>
      <c r="AG156">
        <v>233</v>
      </c>
      <c r="AH156">
        <f t="shared" si="120"/>
        <v>13.658639529157956</v>
      </c>
    </row>
    <row r="157" spans="3:34" x14ac:dyDescent="0.35">
      <c r="C157" s="250"/>
      <c r="G157" s="49"/>
      <c r="H157" s="2"/>
      <c r="I157" s="2"/>
      <c r="J157" s="2"/>
      <c r="K157" s="2"/>
      <c r="L157" s="2"/>
      <c r="M157" s="2"/>
      <c r="N157" s="2"/>
      <c r="O157" s="2"/>
      <c r="P157" s="2"/>
      <c r="X157">
        <v>438.93952999999999</v>
      </c>
      <c r="Y157">
        <v>451.35066999999998</v>
      </c>
      <c r="Z157" s="2">
        <f t="shared" si="113"/>
        <v>12.411139999999989</v>
      </c>
      <c r="AA157" s="2">
        <f t="shared" si="114"/>
        <v>22.786190000000033</v>
      </c>
      <c r="AB157" s="2">
        <f t="shared" si="115"/>
        <v>0.35261595126675749</v>
      </c>
      <c r="AC157" s="2">
        <f t="shared" si="116"/>
        <v>0.64738404873324251</v>
      </c>
      <c r="AD157" s="2">
        <f t="shared" si="117"/>
        <v>8.057277574823915E-2</v>
      </c>
      <c r="AE157" s="2">
        <f t="shared" si="118"/>
        <v>2.8411245966668476E-2</v>
      </c>
      <c r="AF157" s="2">
        <f t="shared" si="119"/>
        <v>35.197330000000022</v>
      </c>
      <c r="AG157">
        <v>166</v>
      </c>
      <c r="AH157">
        <f t="shared" si="120"/>
        <v>13.375080774207699</v>
      </c>
    </row>
    <row r="158" spans="3:34" ht="16" thickBot="1" x14ac:dyDescent="0.4">
      <c r="C158" s="250"/>
      <c r="E158" s="104" t="s">
        <v>81</v>
      </c>
      <c r="G158" s="13"/>
      <c r="H158" s="9" t="s">
        <v>3</v>
      </c>
      <c r="I158" s="9" t="s">
        <v>4</v>
      </c>
      <c r="J158" s="9" t="s">
        <v>5</v>
      </c>
      <c r="K158" s="9" t="s">
        <v>6</v>
      </c>
      <c r="L158" s="9" t="s">
        <v>7</v>
      </c>
      <c r="M158" s="9" t="s">
        <v>8</v>
      </c>
      <c r="N158" s="9" t="s">
        <v>9</v>
      </c>
      <c r="O158" s="9" t="s">
        <v>10</v>
      </c>
      <c r="P158" s="44" t="s">
        <v>139</v>
      </c>
      <c r="X158">
        <v>474.13686000000001</v>
      </c>
      <c r="Y158">
        <v>479.93466000000001</v>
      </c>
      <c r="Z158" s="2">
        <f t="shared" si="113"/>
        <v>5.7977999999999952</v>
      </c>
      <c r="AA158" s="2"/>
      <c r="AB158" s="2"/>
      <c r="AC158" s="2"/>
      <c r="AD158" s="2"/>
      <c r="AE158" s="2"/>
      <c r="AF158" s="2"/>
    </row>
    <row r="159" spans="3:34" x14ac:dyDescent="0.35">
      <c r="C159" s="250"/>
      <c r="G159" s="49" t="s">
        <v>77</v>
      </c>
      <c r="H159" s="2">
        <f>AVERAGE(H143:H145,H147)</f>
        <v>7.3776849999999996</v>
      </c>
      <c r="I159" s="2">
        <f t="shared" ref="I159:P159" si="124">AVERAGE(I143:I145,I147)</f>
        <v>11.958302500000002</v>
      </c>
      <c r="J159" s="2">
        <f t="shared" si="124"/>
        <v>0.38247730360858306</v>
      </c>
      <c r="K159" s="2">
        <f t="shared" si="124"/>
        <v>0.61752269639141688</v>
      </c>
      <c r="L159" s="2">
        <f t="shared" si="124"/>
        <v>0.13648819949933291</v>
      </c>
      <c r="M159" s="2">
        <f t="shared" si="124"/>
        <v>5.1959650866942542E-2</v>
      </c>
      <c r="N159" s="2">
        <f t="shared" si="124"/>
        <v>19.335987500000002</v>
      </c>
      <c r="O159" s="2">
        <f t="shared" si="124"/>
        <v>35.75</v>
      </c>
      <c r="P159" s="2">
        <f t="shared" si="124"/>
        <v>4.8296416071430679</v>
      </c>
    </row>
    <row r="160" spans="3:34" x14ac:dyDescent="0.35">
      <c r="C160" s="250"/>
      <c r="G160" s="49" t="s">
        <v>94</v>
      </c>
      <c r="H160" s="2">
        <f>_xlfn.STDEV.S(H143:H145,H147)</f>
        <v>0.69873432273408909</v>
      </c>
      <c r="I160" s="2">
        <f t="shared" ref="I160:P160" si="125">_xlfn.STDEV.S(I143:I145,I147)</f>
        <v>1.4398930443931295</v>
      </c>
      <c r="J160" s="2">
        <f t="shared" si="125"/>
        <v>3.6593749786345837E-2</v>
      </c>
      <c r="K160" s="2">
        <f t="shared" si="125"/>
        <v>3.6593749786345824E-2</v>
      </c>
      <c r="L160" s="2">
        <f t="shared" si="125"/>
        <v>1.3312576869212465E-2</v>
      </c>
      <c r="M160" s="2">
        <f t="shared" si="125"/>
        <v>4.1073525262422927E-3</v>
      </c>
      <c r="N160" s="2">
        <f t="shared" si="125"/>
        <v>1.525410679879899</v>
      </c>
      <c r="O160" s="2">
        <f t="shared" si="125"/>
        <v>6.2383224240709669</v>
      </c>
      <c r="P160" s="2">
        <f t="shared" si="125"/>
        <v>0.5374147356076181</v>
      </c>
    </row>
    <row r="161" spans="3:34" x14ac:dyDescent="0.35">
      <c r="C161" s="250"/>
      <c r="G161" s="49" t="s">
        <v>95</v>
      </c>
      <c r="H161" s="2">
        <f>H160/SQRT(4)</f>
        <v>0.34936716136704454</v>
      </c>
      <c r="I161" s="2">
        <f t="shared" ref="I161:P161" si="126">I160/SQRT(4)</f>
        <v>0.71994652219656474</v>
      </c>
      <c r="J161" s="2">
        <f t="shared" si="126"/>
        <v>1.8296874893172919E-2</v>
      </c>
      <c r="K161" s="2">
        <f t="shared" si="126"/>
        <v>1.8296874893172912E-2</v>
      </c>
      <c r="L161" s="2">
        <f t="shared" si="126"/>
        <v>6.6562884346062327E-3</v>
      </c>
      <c r="M161" s="2">
        <f t="shared" si="126"/>
        <v>2.0536762631211463E-3</v>
      </c>
      <c r="N161" s="2">
        <f t="shared" si="126"/>
        <v>0.76270533993994949</v>
      </c>
      <c r="O161" s="2">
        <f t="shared" si="126"/>
        <v>3.1191612120354835</v>
      </c>
      <c r="P161" s="2">
        <f t="shared" si="126"/>
        <v>0.26870736780380905</v>
      </c>
    </row>
    <row r="162" spans="3:34" x14ac:dyDescent="0.35">
      <c r="C162" s="250"/>
      <c r="H162" s="2"/>
      <c r="I162" s="2"/>
      <c r="J162" s="2"/>
      <c r="K162" s="2"/>
      <c r="L162" s="2"/>
      <c r="M162" s="2"/>
      <c r="N162" s="2"/>
    </row>
    <row r="163" spans="3:34" x14ac:dyDescent="0.35">
      <c r="C163" s="250"/>
      <c r="H163" s="2"/>
      <c r="I163" s="2"/>
      <c r="J163" s="2"/>
      <c r="K163" s="2"/>
      <c r="L163" s="2"/>
      <c r="M163" s="2"/>
      <c r="N163" s="2"/>
    </row>
    <row r="164" spans="3:34" ht="16" thickBot="1" x14ac:dyDescent="0.4">
      <c r="C164" s="250"/>
      <c r="E164" s="104" t="s">
        <v>82</v>
      </c>
      <c r="G164" s="13"/>
      <c r="H164" s="9" t="s">
        <v>3</v>
      </c>
      <c r="I164" s="9" t="s">
        <v>4</v>
      </c>
      <c r="J164" s="9" t="s">
        <v>5</v>
      </c>
      <c r="K164" s="9" t="s">
        <v>6</v>
      </c>
      <c r="L164" s="9" t="s">
        <v>7</v>
      </c>
      <c r="M164" s="9" t="s">
        <v>8</v>
      </c>
      <c r="N164" s="9" t="s">
        <v>9</v>
      </c>
      <c r="O164" s="9" t="s">
        <v>10</v>
      </c>
      <c r="P164" s="44" t="s">
        <v>139</v>
      </c>
      <c r="Y164" s="13"/>
      <c r="Z164" s="9" t="s">
        <v>3</v>
      </c>
      <c r="AA164" s="9" t="s">
        <v>4</v>
      </c>
      <c r="AB164" s="9" t="s">
        <v>5</v>
      </c>
      <c r="AC164" s="9" t="s">
        <v>6</v>
      </c>
      <c r="AD164" s="9" t="s">
        <v>7</v>
      </c>
      <c r="AE164" s="9" t="s">
        <v>8</v>
      </c>
      <c r="AF164" s="9" t="s">
        <v>9</v>
      </c>
      <c r="AG164" s="9" t="s">
        <v>10</v>
      </c>
      <c r="AH164" s="44" t="s">
        <v>139</v>
      </c>
    </row>
    <row r="165" spans="3:34" x14ac:dyDescent="0.35">
      <c r="C165" s="250"/>
      <c r="G165" s="49" t="s">
        <v>77</v>
      </c>
      <c r="H165" s="2">
        <f>AVERAGE(H146)</f>
        <v>7.8431599999999975</v>
      </c>
      <c r="I165" s="2">
        <f t="shared" ref="I165:P165" si="127">AVERAGE(I146)</f>
        <v>13.305769999999995</v>
      </c>
      <c r="J165" s="2">
        <f t="shared" si="127"/>
        <v>0.37085375004787474</v>
      </c>
      <c r="K165" s="2">
        <f t="shared" si="127"/>
        <v>0.6291462499521252</v>
      </c>
      <c r="L165" s="2">
        <f t="shared" si="127"/>
        <v>0.1274996302510723</v>
      </c>
      <c r="M165" s="2">
        <f t="shared" si="127"/>
        <v>4.7283716008327627E-2</v>
      </c>
      <c r="N165" s="2">
        <f t="shared" si="127"/>
        <v>21.148929999999993</v>
      </c>
      <c r="O165" s="2">
        <f t="shared" si="127"/>
        <v>42</v>
      </c>
      <c r="P165" s="2">
        <f t="shared" si="127"/>
        <v>5.3549844705450376</v>
      </c>
      <c r="Y165" s="49" t="s">
        <v>77</v>
      </c>
      <c r="Z165" s="2">
        <f>AVERAGE(Z145:Z157)</f>
        <v>15.925655384615386</v>
      </c>
      <c r="AA165" s="2">
        <f t="shared" ref="AA165:AH165" si="128">AVERAGE(AA145:AA157)</f>
        <v>20.543585384615383</v>
      </c>
      <c r="AB165" s="2">
        <f t="shared" si="128"/>
        <v>0.44325914683554718</v>
      </c>
      <c r="AC165" s="2">
        <f t="shared" si="128"/>
        <v>0.55674085316445288</v>
      </c>
      <c r="AD165" s="2">
        <f t="shared" si="128"/>
        <v>6.5136385620692808E-2</v>
      </c>
      <c r="AE165" s="2">
        <f t="shared" si="128"/>
        <v>2.8252611414642879E-2</v>
      </c>
      <c r="AF165" s="2">
        <f t="shared" si="128"/>
        <v>36.469240769230765</v>
      </c>
      <c r="AG165" s="2">
        <f t="shared" si="128"/>
        <v>211.76923076923077</v>
      </c>
      <c r="AH165" s="2">
        <f t="shared" si="128"/>
        <v>13.35321509141095</v>
      </c>
    </row>
    <row r="166" spans="3:34" x14ac:dyDescent="0.35">
      <c r="C166" s="250"/>
      <c r="G166" s="49" t="s">
        <v>94</v>
      </c>
      <c r="H166" s="2" t="e">
        <f>_xlfn.STDEV.S(H146)</f>
        <v>#DIV/0!</v>
      </c>
      <c r="I166" s="2" t="e">
        <f t="shared" ref="I166:P166" si="129">_xlfn.STDEV.S(I146)</f>
        <v>#DIV/0!</v>
      </c>
      <c r="J166" s="2" t="e">
        <f t="shared" si="129"/>
        <v>#DIV/0!</v>
      </c>
      <c r="K166" s="2" t="e">
        <f t="shared" si="129"/>
        <v>#DIV/0!</v>
      </c>
      <c r="L166" s="2" t="e">
        <f t="shared" si="129"/>
        <v>#DIV/0!</v>
      </c>
      <c r="M166" s="2" t="e">
        <f t="shared" si="129"/>
        <v>#DIV/0!</v>
      </c>
      <c r="N166" s="2" t="e">
        <f t="shared" si="129"/>
        <v>#DIV/0!</v>
      </c>
      <c r="O166" s="2" t="e">
        <f t="shared" si="129"/>
        <v>#DIV/0!</v>
      </c>
      <c r="P166" s="2" t="e">
        <f t="shared" si="129"/>
        <v>#DIV/0!</v>
      </c>
      <c r="Y166" s="49" t="s">
        <v>94</v>
      </c>
      <c r="Z166" s="2">
        <f>_xlfn.STDEV.S(Z145:Z157)</f>
        <v>3.5525606397560021</v>
      </c>
      <c r="AA166" s="2">
        <f t="shared" ref="AA166:AH166" si="130">_xlfn.STDEV.S(AA145:AA157)</f>
        <v>5.4636806646826486</v>
      </c>
      <c r="AB166" s="2">
        <f t="shared" si="130"/>
        <v>9.5457634121881019E-2</v>
      </c>
      <c r="AC166" s="2">
        <f t="shared" si="130"/>
        <v>9.5457634121880824E-2</v>
      </c>
      <c r="AD166" s="2">
        <f t="shared" si="130"/>
        <v>1.1782517559062998E-2</v>
      </c>
      <c r="AE166" s="2">
        <f t="shared" si="130"/>
        <v>5.3225955515323279E-3</v>
      </c>
      <c r="AF166" s="2">
        <f t="shared" si="130"/>
        <v>6.3360827814411165</v>
      </c>
      <c r="AG166" s="2">
        <f t="shared" si="130"/>
        <v>42.016175151469689</v>
      </c>
      <c r="AH166" s="2">
        <f t="shared" si="130"/>
        <v>0.76994087990347138</v>
      </c>
    </row>
    <row r="167" spans="3:34" x14ac:dyDescent="0.35">
      <c r="C167" s="250"/>
      <c r="G167" s="49" t="s">
        <v>95</v>
      </c>
      <c r="H167" s="2" t="e">
        <f>H166/SQRT(1)</f>
        <v>#DIV/0!</v>
      </c>
      <c r="I167" s="2" t="e">
        <f t="shared" ref="I167:P167" si="131">I166/SQRT(1)</f>
        <v>#DIV/0!</v>
      </c>
      <c r="J167" s="2" t="e">
        <f t="shared" si="131"/>
        <v>#DIV/0!</v>
      </c>
      <c r="K167" s="2" t="e">
        <f t="shared" si="131"/>
        <v>#DIV/0!</v>
      </c>
      <c r="L167" s="2" t="e">
        <f t="shared" si="131"/>
        <v>#DIV/0!</v>
      </c>
      <c r="M167" s="2" t="e">
        <f t="shared" si="131"/>
        <v>#DIV/0!</v>
      </c>
      <c r="N167" s="2" t="e">
        <f t="shared" si="131"/>
        <v>#DIV/0!</v>
      </c>
      <c r="O167" s="2" t="e">
        <f t="shared" si="131"/>
        <v>#DIV/0!</v>
      </c>
      <c r="P167" s="2" t="e">
        <f t="shared" si="131"/>
        <v>#DIV/0!</v>
      </c>
      <c r="Y167" s="49" t="s">
        <v>95</v>
      </c>
      <c r="Z167" s="2">
        <f>Z166/SQRT(COUNT(Z145:Z157))</f>
        <v>0.98530304198733998</v>
      </c>
      <c r="AA167" s="2">
        <f t="shared" ref="AA167:AH167" si="132">AA166/SQRT(COUNT(AA145:AA157))</f>
        <v>1.5153523684057277</v>
      </c>
      <c r="AB167" s="2">
        <f t="shared" si="132"/>
        <v>2.6475184189301764E-2</v>
      </c>
      <c r="AC167" s="2">
        <f t="shared" si="132"/>
        <v>2.6475184189301712E-2</v>
      </c>
      <c r="AD167" s="2">
        <f t="shared" si="132"/>
        <v>3.2678824010197267E-3</v>
      </c>
      <c r="AE167" s="2">
        <f t="shared" si="132"/>
        <v>1.4762223984312571E-3</v>
      </c>
      <c r="AF167" s="2">
        <f t="shared" si="132"/>
        <v>1.7573131810823415</v>
      </c>
      <c r="AG167" s="2">
        <f t="shared" si="132"/>
        <v>11.653190300576917</v>
      </c>
      <c r="AH167" s="2">
        <f t="shared" si="132"/>
        <v>0.21354317858214059</v>
      </c>
    </row>
    <row r="168" spans="3:34" x14ac:dyDescent="0.35">
      <c r="C168" s="250"/>
      <c r="G168" s="49"/>
      <c r="H168" s="2"/>
      <c r="I168" s="2"/>
      <c r="J168" s="2"/>
      <c r="K168" s="2"/>
      <c r="L168" s="2"/>
      <c r="M168" s="2"/>
      <c r="N168" s="2"/>
      <c r="O168" s="2"/>
      <c r="P168" s="2"/>
    </row>
    <row r="171" spans="3:34" ht="18.5" x14ac:dyDescent="0.45">
      <c r="C171" s="155"/>
      <c r="E171" s="104"/>
      <c r="F171" s="1" t="s">
        <v>555</v>
      </c>
      <c r="G171" s="2"/>
      <c r="H171" s="2"/>
      <c r="I171" s="2"/>
      <c r="J171" s="2"/>
      <c r="K171" s="2"/>
      <c r="L171" s="2"/>
      <c r="M171" s="2"/>
      <c r="N171" s="2"/>
      <c r="O171" s="2"/>
      <c r="P171" s="2"/>
    </row>
    <row r="172" spans="3:34" ht="24" thickBot="1" x14ac:dyDescent="0.6">
      <c r="C172" s="248" t="s">
        <v>216</v>
      </c>
      <c r="D172" s="204" t="s">
        <v>122</v>
      </c>
      <c r="E172" s="104"/>
      <c r="F172" s="9" t="s">
        <v>1</v>
      </c>
      <c r="G172" s="9" t="s">
        <v>2</v>
      </c>
      <c r="H172" s="9" t="s">
        <v>3</v>
      </c>
      <c r="I172" s="9" t="s">
        <v>4</v>
      </c>
      <c r="J172" s="9" t="s">
        <v>5</v>
      </c>
      <c r="K172" s="9" t="s">
        <v>6</v>
      </c>
      <c r="L172" s="9" t="s">
        <v>7</v>
      </c>
      <c r="M172" s="9" t="s">
        <v>8</v>
      </c>
      <c r="N172" s="9" t="s">
        <v>9</v>
      </c>
      <c r="O172" s="9" t="s">
        <v>10</v>
      </c>
      <c r="P172" s="44" t="s">
        <v>139</v>
      </c>
    </row>
    <row r="173" spans="3:34" x14ac:dyDescent="0.35">
      <c r="C173" s="155">
        <v>-2</v>
      </c>
      <c r="E173" s="104"/>
      <c r="F173" s="141">
        <v>16.046749999999999</v>
      </c>
      <c r="G173" s="45">
        <v>23.189710000000002</v>
      </c>
      <c r="H173" s="2">
        <f>G173-F173</f>
        <v>7.1429600000000022</v>
      </c>
      <c r="I173" s="2">
        <f>F174-G173</f>
        <v>16.711819999999999</v>
      </c>
      <c r="J173" s="2">
        <f>H173/N173</f>
        <v>0.29943516561460642</v>
      </c>
      <c r="K173" s="2">
        <f>I173/N173</f>
        <v>0.70056483438539352</v>
      </c>
      <c r="L173" s="2">
        <f>1/H173</f>
        <v>0.13999798402902994</v>
      </c>
      <c r="M173" s="2">
        <f>1/N173</f>
        <v>4.1920319533443606E-2</v>
      </c>
      <c r="N173" s="2">
        <f>H173+I173</f>
        <v>23.854780000000002</v>
      </c>
      <c r="O173" s="2">
        <v>36</v>
      </c>
      <c r="P173" s="2">
        <f>O173/H173</f>
        <v>5.0399274250450778</v>
      </c>
    </row>
    <row r="174" spans="3:34" x14ac:dyDescent="0.35">
      <c r="C174" s="155">
        <v>-2</v>
      </c>
      <c r="D174" t="s">
        <v>541</v>
      </c>
      <c r="E174" s="104"/>
      <c r="F174" s="141">
        <v>39.901530000000001</v>
      </c>
      <c r="G174" s="46">
        <v>45.600769999999997</v>
      </c>
      <c r="H174" s="2">
        <f>G174-F174</f>
        <v>5.6992399999999961</v>
      </c>
      <c r="I174" s="2">
        <f>F175-G174</f>
        <v>18.838279999999997</v>
      </c>
      <c r="J174" s="2">
        <f>H174/N174</f>
        <v>0.23226634150476486</v>
      </c>
      <c r="K174" s="2">
        <f>I174/N174</f>
        <v>0.76773365849523512</v>
      </c>
      <c r="L174" s="2">
        <f>1/H174</f>
        <v>0.17546199142341798</v>
      </c>
      <c r="M174" s="2">
        <f>1/N174</f>
        <v>4.0753914821057724E-2</v>
      </c>
      <c r="N174" s="2">
        <f>H174+I174</f>
        <v>24.537519999999994</v>
      </c>
      <c r="O174" s="2">
        <v>27</v>
      </c>
      <c r="P174" s="2">
        <f>O174/H174</f>
        <v>4.7374737684322854</v>
      </c>
    </row>
    <row r="175" spans="3:34" x14ac:dyDescent="0.35">
      <c r="C175" s="155">
        <v>-2</v>
      </c>
      <c r="E175" s="104"/>
      <c r="F175" s="141">
        <v>64.439049999999995</v>
      </c>
      <c r="G175" s="141">
        <v>72.660430000000005</v>
      </c>
      <c r="H175" s="2">
        <f>G175-F175</f>
        <v>8.2213800000000106</v>
      </c>
      <c r="I175" s="2">
        <f>F176-G175</f>
        <v>14.440799999999996</v>
      </c>
      <c r="J175" s="2">
        <f>H175/N175</f>
        <v>0.36277975022703057</v>
      </c>
      <c r="K175" s="2">
        <f>I175/N175</f>
        <v>0.63722024977296943</v>
      </c>
      <c r="L175" s="2">
        <f>1/H175</f>
        <v>0.12163408089639437</v>
      </c>
      <c r="M175" s="2">
        <f>1/N175</f>
        <v>4.4126381486688383E-2</v>
      </c>
      <c r="N175" s="2">
        <f>H175+I175</f>
        <v>22.662180000000006</v>
      </c>
      <c r="O175">
        <v>40</v>
      </c>
      <c r="P175" s="2">
        <f>O175/H175</f>
        <v>4.8653632358557743</v>
      </c>
    </row>
    <row r="176" spans="3:34" x14ac:dyDescent="0.35">
      <c r="C176" s="155">
        <v>-2</v>
      </c>
      <c r="D176" t="s">
        <v>541</v>
      </c>
      <c r="E176" s="104"/>
      <c r="F176" s="141">
        <v>87.101230000000001</v>
      </c>
      <c r="G176" s="45">
        <v>94.546679999999995</v>
      </c>
      <c r="H176" s="2">
        <f>G176-F176</f>
        <v>7.4454499999999939</v>
      </c>
      <c r="I176" s="2">
        <f>F177-G176</f>
        <v>12.668700000000001</v>
      </c>
      <c r="J176" s="2">
        <f>H176/N176</f>
        <v>0.37015981286805538</v>
      </c>
      <c r="K176" s="2">
        <f>I176/N176</f>
        <v>0.62984018713194467</v>
      </c>
      <c r="L176" s="2">
        <f>1/H176</f>
        <v>0.13431021630660347</v>
      </c>
      <c r="M176" s="2">
        <f>1/N176</f>
        <v>4.9716244534320379E-2</v>
      </c>
      <c r="N176" s="2">
        <f>H176+I176</f>
        <v>20.114149999999995</v>
      </c>
      <c r="O176">
        <v>32</v>
      </c>
      <c r="P176" s="2">
        <f>O176/H176</f>
        <v>4.2979269218113112</v>
      </c>
    </row>
    <row r="177" spans="3:16" x14ac:dyDescent="0.35">
      <c r="C177" s="155">
        <v>-2</v>
      </c>
      <c r="E177" s="104"/>
      <c r="F177" s="141">
        <v>107.21538</v>
      </c>
      <c r="G177" s="45">
        <v>115.52571</v>
      </c>
      <c r="H177" s="2">
        <f>G177-F177</f>
        <v>8.3103300000000075</v>
      </c>
      <c r="I177" s="2"/>
      <c r="J177" s="2"/>
      <c r="K177" s="2"/>
      <c r="L177" s="2"/>
      <c r="M177" s="2"/>
      <c r="N177" s="2"/>
      <c r="P177" s="2"/>
    </row>
    <row r="178" spans="3:16" x14ac:dyDescent="0.35">
      <c r="C178" s="155"/>
      <c r="E178" s="104"/>
      <c r="F178" s="141"/>
      <c r="G178" s="45"/>
      <c r="H178" s="2"/>
      <c r="I178" s="2"/>
      <c r="J178" s="2"/>
      <c r="K178" s="2"/>
      <c r="L178" s="2"/>
      <c r="M178" s="2"/>
      <c r="N178" s="2"/>
      <c r="P178" s="2"/>
    </row>
    <row r="179" spans="3:16" x14ac:dyDescent="0.35">
      <c r="C179" s="155"/>
      <c r="F179" s="141"/>
      <c r="G179" s="141"/>
      <c r="H179" s="2"/>
      <c r="I179" s="2"/>
      <c r="J179" s="2"/>
      <c r="K179" s="2"/>
      <c r="L179" s="2"/>
      <c r="M179" s="2"/>
      <c r="N179" s="2"/>
      <c r="P179" s="2"/>
    </row>
    <row r="180" spans="3:16" x14ac:dyDescent="0.35">
      <c r="C180" s="155"/>
      <c r="E180" s="104"/>
      <c r="F180" s="141"/>
      <c r="G180" s="45"/>
      <c r="H180" s="2"/>
      <c r="I180" s="2"/>
      <c r="J180" s="2"/>
      <c r="K180" s="2"/>
      <c r="L180" s="2"/>
      <c r="M180" s="2"/>
      <c r="N180" s="2"/>
      <c r="P180" s="2"/>
    </row>
    <row r="181" spans="3:16" ht="16" thickBot="1" x14ac:dyDescent="0.4">
      <c r="C181" s="155"/>
      <c r="E181" s="104"/>
      <c r="F181" s="141"/>
      <c r="G181" s="13"/>
      <c r="H181" s="9" t="s">
        <v>3</v>
      </c>
      <c r="I181" s="9" t="s">
        <v>4</v>
      </c>
      <c r="J181" s="9" t="s">
        <v>5</v>
      </c>
      <c r="K181" s="9" t="s">
        <v>6</v>
      </c>
      <c r="L181" s="9" t="s">
        <v>7</v>
      </c>
      <c r="M181" s="9" t="s">
        <v>8</v>
      </c>
      <c r="N181" s="9" t="s">
        <v>9</v>
      </c>
      <c r="O181" s="9" t="s">
        <v>10</v>
      </c>
      <c r="P181" s="44" t="s">
        <v>139</v>
      </c>
    </row>
    <row r="182" spans="3:16" x14ac:dyDescent="0.35">
      <c r="C182" s="155"/>
      <c r="E182" s="104"/>
      <c r="F182" s="141"/>
      <c r="G182" s="49" t="s">
        <v>77</v>
      </c>
      <c r="H182" s="13">
        <f>AVERAGE(H173:H176)</f>
        <v>7.1272575000000007</v>
      </c>
      <c r="I182" s="13">
        <f t="shared" ref="I182:P182" si="133">AVERAGE(I173:I176)</f>
        <v>15.664899999999999</v>
      </c>
      <c r="J182" s="13">
        <f t="shared" si="133"/>
        <v>0.31616026755361432</v>
      </c>
      <c r="K182" s="13">
        <f t="shared" si="133"/>
        <v>0.68383973244638574</v>
      </c>
      <c r="L182" s="13">
        <f t="shared" si="133"/>
        <v>0.14285106816386145</v>
      </c>
      <c r="M182" s="13">
        <f t="shared" si="133"/>
        <v>4.4129215093877523E-2</v>
      </c>
      <c r="N182" s="13">
        <f t="shared" si="133"/>
        <v>22.792157499999998</v>
      </c>
      <c r="O182" s="13">
        <f t="shared" si="133"/>
        <v>33.75</v>
      </c>
      <c r="P182" s="13">
        <f t="shared" si="133"/>
        <v>4.735172837786112</v>
      </c>
    </row>
    <row r="183" spans="3:16" x14ac:dyDescent="0.35">
      <c r="C183" s="155"/>
      <c r="E183" s="104"/>
      <c r="F183" s="141"/>
      <c r="G183" s="49" t="s">
        <v>94</v>
      </c>
      <c r="H183" s="2">
        <f>_xlfn.STDEV.S(H173:H176)</f>
        <v>1.0548034668245128</v>
      </c>
      <c r="I183" s="2">
        <f t="shared" ref="I183:P183" si="134">_xlfn.STDEV.S(I173:I176)</f>
        <v>2.685890129348802</v>
      </c>
      <c r="J183" s="2">
        <f t="shared" si="134"/>
        <v>6.4309789098455139E-2</v>
      </c>
      <c r="K183" s="2">
        <f t="shared" si="134"/>
        <v>6.4309789098455153E-2</v>
      </c>
      <c r="L183" s="2">
        <f t="shared" si="134"/>
        <v>2.3055867684652447E-2</v>
      </c>
      <c r="M183" s="2">
        <f t="shared" si="134"/>
        <v>3.9785582617453694E-3</v>
      </c>
      <c r="N183" s="2">
        <f t="shared" si="134"/>
        <v>1.9462849358435852</v>
      </c>
      <c r="O183" s="2">
        <f t="shared" si="134"/>
        <v>5.5602757725374259</v>
      </c>
      <c r="P183" s="2">
        <f t="shared" si="134"/>
        <v>0.31676183667618002</v>
      </c>
    </row>
    <row r="184" spans="3:16" x14ac:dyDescent="0.35">
      <c r="C184" s="155"/>
      <c r="G184" s="49" t="s">
        <v>95</v>
      </c>
      <c r="H184" s="2">
        <f>H183/(SQRT(COUNT(H173:H176)))</f>
        <v>0.52740173341225638</v>
      </c>
      <c r="I184" s="2">
        <f t="shared" ref="I184:P184" si="135">I183/(SQRT(COUNT(I173:I176)))</f>
        <v>1.342945064674401</v>
      </c>
      <c r="J184" s="2">
        <f t="shared" si="135"/>
        <v>3.215489454922757E-2</v>
      </c>
      <c r="K184" s="2">
        <f t="shared" si="135"/>
        <v>3.2154894549227576E-2</v>
      </c>
      <c r="L184" s="2">
        <f t="shared" si="135"/>
        <v>1.1527933842326223E-2</v>
      </c>
      <c r="M184" s="2">
        <f t="shared" si="135"/>
        <v>1.9892791308726847E-3</v>
      </c>
      <c r="N184" s="2">
        <f t="shared" si="135"/>
        <v>0.9731424679217926</v>
      </c>
      <c r="O184" s="2">
        <f t="shared" si="135"/>
        <v>2.7801378862687129</v>
      </c>
      <c r="P184" s="2">
        <f t="shared" si="135"/>
        <v>0.15838091833809001</v>
      </c>
    </row>
    <row r="185" spans="3:16" x14ac:dyDescent="0.35">
      <c r="C185" s="155"/>
    </row>
    <row r="186" spans="3:16" x14ac:dyDescent="0.35">
      <c r="C186" s="155"/>
    </row>
    <row r="187" spans="3:16" ht="16" thickBot="1" x14ac:dyDescent="0.4">
      <c r="C187" s="155"/>
      <c r="E187" s="104" t="s">
        <v>81</v>
      </c>
      <c r="G187" s="13"/>
      <c r="H187" s="9" t="s">
        <v>3</v>
      </c>
      <c r="I187" s="9" t="s">
        <v>4</v>
      </c>
      <c r="J187" s="9" t="s">
        <v>5</v>
      </c>
      <c r="K187" s="9" t="s">
        <v>6</v>
      </c>
      <c r="L187" s="9" t="s">
        <v>7</v>
      </c>
      <c r="M187" s="9" t="s">
        <v>8</v>
      </c>
      <c r="N187" s="9" t="s">
        <v>9</v>
      </c>
      <c r="O187" s="9" t="s">
        <v>10</v>
      </c>
      <c r="P187" s="44" t="s">
        <v>139</v>
      </c>
    </row>
    <row r="188" spans="3:16" x14ac:dyDescent="0.35">
      <c r="G188" s="49" t="s">
        <v>77</v>
      </c>
      <c r="H188" s="2">
        <f>AVERAGE(H174,H176)</f>
        <v>6.572344999999995</v>
      </c>
      <c r="I188" s="2">
        <f t="shared" ref="I188:P188" si="136">AVERAGE(I174,I176)</f>
        <v>15.753489999999999</v>
      </c>
      <c r="J188" s="2">
        <f t="shared" si="136"/>
        <v>0.30121307718641011</v>
      </c>
      <c r="K188" s="2">
        <f t="shared" si="136"/>
        <v>0.69878692281358989</v>
      </c>
      <c r="L188" s="2">
        <f t="shared" si="136"/>
        <v>0.15488610386501073</v>
      </c>
      <c r="M188" s="2">
        <f t="shared" si="136"/>
        <v>4.5235079677689055E-2</v>
      </c>
      <c r="N188" s="2">
        <f t="shared" si="136"/>
        <v>22.325834999999994</v>
      </c>
      <c r="O188" s="2">
        <f t="shared" si="136"/>
        <v>29.5</v>
      </c>
      <c r="P188" s="2">
        <f t="shared" si="136"/>
        <v>4.5177003451217983</v>
      </c>
    </row>
    <row r="189" spans="3:16" x14ac:dyDescent="0.35">
      <c r="G189" s="49" t="s">
        <v>94</v>
      </c>
      <c r="H189" s="2">
        <f>_xlfn.STDEV.S(H174,H176)</f>
        <v>1.2347569323757626</v>
      </c>
      <c r="I189" s="2">
        <f t="shared" ref="I189:P189" si="137">_xlfn.STDEV.S(I174,I176)</f>
        <v>4.3625518550728968</v>
      </c>
      <c r="J189" s="2">
        <f t="shared" si="137"/>
        <v>9.7505408682335759E-2</v>
      </c>
      <c r="K189" s="2">
        <f t="shared" si="137"/>
        <v>9.7505408682335676E-2</v>
      </c>
      <c r="L189" s="2">
        <f t="shared" si="137"/>
        <v>2.9098699242963325E-2</v>
      </c>
      <c r="M189" s="2">
        <f t="shared" si="137"/>
        <v>6.3373241154777099E-3</v>
      </c>
      <c r="N189" s="2">
        <f t="shared" si="137"/>
        <v>3.1277949226971375</v>
      </c>
      <c r="O189" s="2">
        <f t="shared" si="137"/>
        <v>3.5355339059327378</v>
      </c>
      <c r="P189" s="2">
        <f t="shared" si="137"/>
        <v>0.31080655589485418</v>
      </c>
    </row>
    <row r="190" spans="3:16" x14ac:dyDescent="0.35">
      <c r="G190" s="49" t="s">
        <v>95</v>
      </c>
      <c r="H190" s="2">
        <f>H189/SQRT(2)</f>
        <v>0.87310500000000091</v>
      </c>
      <c r="I190" s="2">
        <f t="shared" ref="I190:P190" si="138">I189/SQRT(2)</f>
        <v>3.0847899999999977</v>
      </c>
      <c r="J190" s="2">
        <f t="shared" si="138"/>
        <v>6.8946735681645277E-2</v>
      </c>
      <c r="K190" s="2">
        <f t="shared" si="138"/>
        <v>6.8946735681645221E-2</v>
      </c>
      <c r="L190" s="2">
        <f t="shared" si="138"/>
        <v>2.0575887558407224E-2</v>
      </c>
      <c r="M190" s="2">
        <f t="shared" si="138"/>
        <v>4.4811648566313277E-3</v>
      </c>
      <c r="N190" s="2">
        <f t="shared" si="138"/>
        <v>2.2116849999999992</v>
      </c>
      <c r="O190" s="2">
        <f t="shared" si="138"/>
        <v>2.5</v>
      </c>
      <c r="P190" s="2">
        <f t="shared" si="138"/>
        <v>0.21977342331048708</v>
      </c>
    </row>
    <row r="191" spans="3:16" x14ac:dyDescent="0.35">
      <c r="H191" s="2"/>
      <c r="I191" s="2"/>
      <c r="J191" s="2"/>
      <c r="K191" s="2"/>
      <c r="L191" s="2"/>
      <c r="M191" s="2"/>
      <c r="N191" s="2"/>
    </row>
    <row r="192" spans="3:16" x14ac:dyDescent="0.35">
      <c r="H192" s="2"/>
      <c r="I192" s="2"/>
      <c r="J192" s="2"/>
      <c r="K192" s="2"/>
      <c r="L192" s="2"/>
      <c r="M192" s="2"/>
      <c r="N192" s="2"/>
    </row>
    <row r="193" spans="4:17" ht="16" thickBot="1" x14ac:dyDescent="0.4">
      <c r="E193" s="104" t="s">
        <v>82</v>
      </c>
      <c r="G193" s="13"/>
      <c r="H193" s="9" t="s">
        <v>3</v>
      </c>
      <c r="I193" s="9" t="s">
        <v>4</v>
      </c>
      <c r="J193" s="9" t="s">
        <v>5</v>
      </c>
      <c r="K193" s="9" t="s">
        <v>6</v>
      </c>
      <c r="L193" s="9" t="s">
        <v>7</v>
      </c>
      <c r="M193" s="9" t="s">
        <v>8</v>
      </c>
      <c r="N193" s="9" t="s">
        <v>9</v>
      </c>
      <c r="O193" s="9" t="s">
        <v>10</v>
      </c>
      <c r="P193" s="44" t="s">
        <v>139</v>
      </c>
    </row>
    <row r="194" spans="4:17" x14ac:dyDescent="0.35">
      <c r="G194" s="49" t="s">
        <v>77</v>
      </c>
      <c r="H194" s="2">
        <f>AVERAGE(H175,H173)</f>
        <v>7.6821700000000064</v>
      </c>
      <c r="I194" s="2">
        <f t="shared" ref="I194:P194" si="139">AVERAGE(I175,I173)</f>
        <v>15.576309999999998</v>
      </c>
      <c r="J194" s="2">
        <f t="shared" si="139"/>
        <v>0.33110745792081853</v>
      </c>
      <c r="K194" s="2">
        <f t="shared" si="139"/>
        <v>0.66889254207918147</v>
      </c>
      <c r="L194" s="2">
        <f t="shared" si="139"/>
        <v>0.13081603246271215</v>
      </c>
      <c r="M194" s="2">
        <f t="shared" si="139"/>
        <v>4.3023350510065991E-2</v>
      </c>
      <c r="N194" s="2">
        <f t="shared" si="139"/>
        <v>23.258480000000006</v>
      </c>
      <c r="O194" s="2">
        <f t="shared" si="139"/>
        <v>38</v>
      </c>
      <c r="P194" s="2">
        <f t="shared" si="139"/>
        <v>4.9526453304504265</v>
      </c>
    </row>
    <row r="195" spans="4:17" x14ac:dyDescent="0.35">
      <c r="D195" s="2"/>
      <c r="G195" s="49" t="s">
        <v>94</v>
      </c>
      <c r="H195" s="2">
        <f>_xlfn.STDEV.S(H175,H173)</f>
        <v>0.7625580949672025</v>
      </c>
      <c r="I195" s="2">
        <f t="shared" ref="I195:P195" si="140">_xlfn.STDEV.S(I175,I173)</f>
        <v>1.6058536422102756</v>
      </c>
      <c r="J195" s="2">
        <f t="shared" si="140"/>
        <v>4.4791385330890145E-2</v>
      </c>
      <c r="K195" s="2">
        <f t="shared" si="140"/>
        <v>4.479138533089011E-2</v>
      </c>
      <c r="L195" s="2">
        <f t="shared" si="140"/>
        <v>1.2985240434139496E-2</v>
      </c>
      <c r="M195" s="2">
        <f t="shared" si="140"/>
        <v>1.5599213668570221E-3</v>
      </c>
      <c r="N195" s="2">
        <f t="shared" si="140"/>
        <v>0.84329554724307321</v>
      </c>
      <c r="O195" s="2">
        <f t="shared" si="140"/>
        <v>2.8284271247461903</v>
      </c>
      <c r="P195" s="2">
        <f t="shared" si="140"/>
        <v>0.1234355219280879</v>
      </c>
      <c r="Q195" s="2"/>
    </row>
    <row r="196" spans="4:17" x14ac:dyDescent="0.35">
      <c r="D196" s="2"/>
      <c r="G196" s="49" t="s">
        <v>95</v>
      </c>
      <c r="H196" s="2">
        <f>H195/SQRT(2)</f>
        <v>0.53921000000000419</v>
      </c>
      <c r="I196" s="2">
        <f t="shared" ref="I196:P196" si="141">I195/SQRT(2)</f>
        <v>1.1355100000000016</v>
      </c>
      <c r="J196" s="2">
        <f t="shared" si="141"/>
        <v>3.1672292306212067E-2</v>
      </c>
      <c r="K196" s="2">
        <f t="shared" si="141"/>
        <v>3.1672292306212046E-2</v>
      </c>
      <c r="L196" s="2">
        <f t="shared" si="141"/>
        <v>9.181951566317785E-3</v>
      </c>
      <c r="M196" s="2">
        <f t="shared" si="141"/>
        <v>1.1030309766223883E-3</v>
      </c>
      <c r="N196" s="2">
        <f t="shared" si="141"/>
        <v>0.59629999999999761</v>
      </c>
      <c r="O196" s="2">
        <f t="shared" si="141"/>
        <v>2</v>
      </c>
      <c r="P196" s="2">
        <f t="shared" si="141"/>
        <v>8.7282094594651735E-2</v>
      </c>
      <c r="Q196" s="2"/>
    </row>
    <row r="197" spans="4:17" x14ac:dyDescent="0.35">
      <c r="D197" s="2"/>
      <c r="E197" s="2"/>
      <c r="F197" s="46"/>
      <c r="G197" s="46"/>
      <c r="H197" s="2"/>
      <c r="I197" s="2"/>
      <c r="J197" s="2"/>
      <c r="K197" s="2"/>
      <c r="L197" s="2"/>
      <c r="M197" s="2"/>
      <c r="N197" s="2"/>
      <c r="O197" s="2"/>
      <c r="P197" s="2"/>
      <c r="Q197" s="2"/>
    </row>
    <row r="198" spans="4:17" x14ac:dyDescent="0.35">
      <c r="D198" s="2"/>
      <c r="E198" s="2"/>
      <c r="F198" s="46"/>
      <c r="G198" s="46"/>
      <c r="H198" s="2"/>
      <c r="I198" s="2"/>
      <c r="J198" s="2"/>
      <c r="K198" s="2"/>
      <c r="L198" s="2"/>
      <c r="M198" s="2"/>
      <c r="N198" s="2"/>
      <c r="O198" s="2"/>
      <c r="P198" s="2"/>
      <c r="Q198" s="2"/>
    </row>
    <row r="199" spans="4:17" x14ac:dyDescent="0.35">
      <c r="D199" s="2"/>
      <c r="E199" s="2"/>
      <c r="F199" s="46"/>
      <c r="G199" s="45"/>
      <c r="H199" s="2"/>
      <c r="I199" s="2"/>
      <c r="J199" s="2"/>
      <c r="K199" s="2"/>
      <c r="L199" s="2"/>
      <c r="M199" s="2"/>
      <c r="N199" s="2"/>
      <c r="O199" s="2"/>
      <c r="P199" s="2"/>
      <c r="Q199" s="2"/>
    </row>
    <row r="200" spans="4:17" x14ac:dyDescent="0.35">
      <c r="D200" s="2"/>
      <c r="E200" s="2"/>
      <c r="F200" s="46"/>
      <c r="G200" s="45"/>
      <c r="H200" s="2"/>
      <c r="I200" s="2"/>
      <c r="J200" s="2"/>
      <c r="K200" s="2"/>
      <c r="L200" s="2"/>
      <c r="M200" s="2"/>
      <c r="N200" s="2"/>
      <c r="O200" s="2"/>
      <c r="P200" s="2"/>
      <c r="Q200" s="2"/>
    </row>
    <row r="201" spans="4:17" x14ac:dyDescent="0.35">
      <c r="D201" s="2"/>
      <c r="E201" s="2"/>
      <c r="F201" s="2"/>
      <c r="G201" s="2"/>
      <c r="H201" s="2"/>
      <c r="I201" s="2"/>
      <c r="J201" s="2"/>
      <c r="K201" s="2"/>
      <c r="L201" s="2"/>
      <c r="M201" s="2"/>
      <c r="N201" s="2"/>
      <c r="O201" s="2"/>
      <c r="P201" s="2"/>
      <c r="Q201" s="2"/>
    </row>
    <row r="202" spans="4:17" x14ac:dyDescent="0.35">
      <c r="D202" s="2"/>
      <c r="E202" s="2"/>
      <c r="F202" s="2"/>
      <c r="G202" s="2"/>
      <c r="H202" s="2"/>
      <c r="I202" s="2"/>
      <c r="J202" s="2"/>
      <c r="K202" s="2"/>
      <c r="L202" s="2"/>
      <c r="M202" s="2"/>
      <c r="N202" s="2"/>
      <c r="O202" s="2"/>
      <c r="P202" s="2"/>
      <c r="Q202" s="2"/>
    </row>
    <row r="203" spans="4:17" x14ac:dyDescent="0.35">
      <c r="D203" s="2"/>
      <c r="E203" s="2"/>
      <c r="F203" s="2"/>
      <c r="G203" s="2"/>
      <c r="H203" s="2"/>
      <c r="I203" s="2"/>
      <c r="J203" s="2"/>
      <c r="K203" s="2"/>
      <c r="L203" s="2"/>
      <c r="M203" s="2"/>
      <c r="N203" s="2"/>
      <c r="O203" s="2"/>
      <c r="P203" s="2"/>
      <c r="Q203" s="2"/>
    </row>
    <row r="204" spans="4:17" x14ac:dyDescent="0.35">
      <c r="D204" s="2"/>
      <c r="E204" s="2"/>
      <c r="F204" s="2"/>
      <c r="G204" s="2"/>
      <c r="H204" s="2"/>
      <c r="I204" s="2"/>
      <c r="J204" s="2"/>
      <c r="K204" s="2"/>
      <c r="L204" s="2"/>
      <c r="M204" s="2"/>
      <c r="N204" s="2"/>
      <c r="O204" s="2"/>
      <c r="P204" s="2"/>
      <c r="Q204" s="2"/>
    </row>
    <row r="205" spans="4:17" x14ac:dyDescent="0.35">
      <c r="D205" s="2"/>
      <c r="E205" s="2"/>
      <c r="F205" s="2"/>
      <c r="G205" s="2"/>
      <c r="H205" s="2"/>
      <c r="I205" s="2"/>
      <c r="J205" s="2"/>
      <c r="K205" s="2"/>
      <c r="L205" s="2"/>
      <c r="M205" s="2"/>
      <c r="N205" s="2"/>
      <c r="O205" s="2"/>
      <c r="P205" s="2"/>
      <c r="Q205" s="2"/>
    </row>
  </sheetData>
  <mergeCells count="2">
    <mergeCell ref="D99:D101"/>
    <mergeCell ref="D122:D12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E165"/>
  <sheetViews>
    <sheetView topLeftCell="A22" workbookViewId="0">
      <selection activeCell="AM27" sqref="AM27"/>
    </sheetView>
  </sheetViews>
  <sheetFormatPr defaultRowHeight="14.5" x14ac:dyDescent="0.35"/>
  <cols>
    <col min="1" max="1" width="9.7265625" customWidth="1"/>
    <col min="2" max="2" width="10.54296875" customWidth="1"/>
    <col min="3" max="3" width="10.26953125" customWidth="1"/>
  </cols>
  <sheetData>
    <row r="4" spans="2:57" ht="18.5" x14ac:dyDescent="0.45">
      <c r="B4" s="2"/>
      <c r="C4" s="1" t="s">
        <v>231</v>
      </c>
      <c r="D4" s="2"/>
      <c r="E4" s="2"/>
      <c r="F4" s="2"/>
      <c r="G4" s="2"/>
      <c r="H4" s="2"/>
      <c r="I4" s="2"/>
      <c r="J4" s="2"/>
      <c r="K4" s="2"/>
      <c r="L4" s="2"/>
      <c r="M4" s="2"/>
      <c r="N4" s="2"/>
      <c r="O4" s="2"/>
    </row>
    <row r="5" spans="2:57" ht="18.5" x14ac:dyDescent="0.45">
      <c r="B5" s="2"/>
      <c r="C5" s="2"/>
      <c r="D5" s="2"/>
      <c r="E5" s="2"/>
      <c r="F5" s="1" t="s">
        <v>252</v>
      </c>
      <c r="G5" s="3"/>
      <c r="H5" s="3"/>
      <c r="I5" s="3"/>
      <c r="J5" s="3"/>
      <c r="K5" s="3"/>
      <c r="L5" s="3"/>
      <c r="M5" s="3"/>
      <c r="N5" s="3"/>
      <c r="O5" s="3"/>
      <c r="Y5" s="1" t="s">
        <v>243</v>
      </c>
      <c r="Z5" s="3"/>
      <c r="AA5" s="3"/>
      <c r="AB5" s="3"/>
      <c r="AC5" s="3"/>
      <c r="AD5" s="3"/>
      <c r="AE5" s="3"/>
      <c r="AF5" s="3"/>
      <c r="AG5" s="3"/>
      <c r="AH5" s="3"/>
      <c r="AS5" s="1" t="s">
        <v>253</v>
      </c>
      <c r="AT5" s="3"/>
      <c r="AU5" s="3"/>
      <c r="AV5" s="3"/>
      <c r="AW5" s="3"/>
      <c r="AX5" s="3"/>
      <c r="AY5" s="3"/>
      <c r="AZ5" s="3"/>
      <c r="BA5" s="3"/>
      <c r="BB5" s="3"/>
    </row>
    <row r="6" spans="2:5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Y6" s="9" t="s">
        <v>1</v>
      </c>
      <c r="Z6" s="9" t="s">
        <v>2</v>
      </c>
      <c r="AA6" s="9" t="s">
        <v>3</v>
      </c>
      <c r="AB6" s="9" t="s">
        <v>4</v>
      </c>
      <c r="AC6" s="9" t="s">
        <v>5</v>
      </c>
      <c r="AD6" s="9" t="s">
        <v>6</v>
      </c>
      <c r="AE6" s="9" t="s">
        <v>7</v>
      </c>
      <c r="AF6" s="9" t="s">
        <v>8</v>
      </c>
      <c r="AG6" s="9" t="s">
        <v>9</v>
      </c>
      <c r="AH6" s="9" t="s">
        <v>10</v>
      </c>
      <c r="AI6" s="44" t="s">
        <v>139</v>
      </c>
      <c r="AK6" s="44" t="s">
        <v>138</v>
      </c>
      <c r="AS6" s="9" t="s">
        <v>1</v>
      </c>
      <c r="AT6" s="9" t="s">
        <v>2</v>
      </c>
      <c r="AU6" s="9" t="s">
        <v>3</v>
      </c>
      <c r="AV6" s="9" t="s">
        <v>4</v>
      </c>
      <c r="AW6" s="9" t="s">
        <v>5</v>
      </c>
      <c r="AX6" s="9" t="s">
        <v>6</v>
      </c>
      <c r="AY6" s="9" t="s">
        <v>7</v>
      </c>
      <c r="AZ6" s="9" t="s">
        <v>8</v>
      </c>
      <c r="BA6" s="9" t="s">
        <v>9</v>
      </c>
      <c r="BB6" s="9" t="s">
        <v>10</v>
      </c>
      <c r="BC6" s="44" t="s">
        <v>139</v>
      </c>
      <c r="BE6" s="44" t="s">
        <v>138</v>
      </c>
    </row>
    <row r="7" spans="2:57" x14ac:dyDescent="0.35">
      <c r="B7" s="2"/>
      <c r="C7" s="2"/>
      <c r="D7" s="2"/>
      <c r="E7" s="2"/>
      <c r="F7" s="2">
        <v>7.8251900000000001</v>
      </c>
      <c r="G7" s="2">
        <v>12.56377</v>
      </c>
      <c r="H7" s="2">
        <f>G7-F7</f>
        <v>4.7385799999999998</v>
      </c>
      <c r="I7" s="2">
        <f>F8-G7</f>
        <v>4.4947399999999984</v>
      </c>
      <c r="J7" s="2">
        <f>H7/N7</f>
        <v>0.51320435119761909</v>
      </c>
      <c r="K7" s="2">
        <f>I7/N7</f>
        <v>0.4867956488023808</v>
      </c>
      <c r="L7" s="2">
        <f>1/H7</f>
        <v>0.21103368519683113</v>
      </c>
      <c r="M7" s="2">
        <f>1/N7</f>
        <v>0.1083034054922823</v>
      </c>
      <c r="N7" s="2">
        <f>H7+I7</f>
        <v>9.2333199999999991</v>
      </c>
      <c r="O7" s="2">
        <v>24</v>
      </c>
      <c r="P7">
        <f t="shared" ref="P7:P17" si="0">O7/H7</f>
        <v>5.0648084447239468</v>
      </c>
      <c r="R7" t="s">
        <v>232</v>
      </c>
      <c r="Y7" s="2">
        <v>12.68477</v>
      </c>
      <c r="Z7" s="2">
        <v>19.14959</v>
      </c>
      <c r="AA7" s="2">
        <f t="shared" ref="AA7:AA14" si="1">Z7-Y7</f>
        <v>6.4648199999999996</v>
      </c>
      <c r="AB7" s="2">
        <f t="shared" ref="AB7:AB13" si="2">Y8-Z7</f>
        <v>7.0456199999999995</v>
      </c>
      <c r="AC7" s="2">
        <f t="shared" ref="AC7:AC13" si="3">AA7/AG7</f>
        <v>0.47850551129348862</v>
      </c>
      <c r="AD7" s="2">
        <f t="shared" ref="AD7:AD13" si="4">AB7/AG7</f>
        <v>0.52149448870651138</v>
      </c>
      <c r="AE7" s="2">
        <f t="shared" ref="AE7:AE13" si="5">1/AA7</f>
        <v>0.15468334771888467</v>
      </c>
      <c r="AF7" s="2">
        <f t="shared" ref="AF7:AF13" si="6">1/AG7</f>
        <v>7.4016834388813402E-2</v>
      </c>
      <c r="AG7" s="2">
        <f t="shared" ref="AG7:AG13" si="7">AA7+AB7</f>
        <v>13.510439999999999</v>
      </c>
      <c r="AH7" s="13">
        <v>54</v>
      </c>
      <c r="AI7">
        <f>AH7/AA7</f>
        <v>8.3529007768197729</v>
      </c>
      <c r="AK7" t="s">
        <v>244</v>
      </c>
      <c r="AS7" s="2">
        <v>11.585369999999999</v>
      </c>
      <c r="AT7" s="2">
        <v>16.288509999999999</v>
      </c>
      <c r="AU7" s="13">
        <f>AT7-AS7</f>
        <v>4.7031399999999994</v>
      </c>
      <c r="AV7" s="13">
        <f>AS8-AT7</f>
        <v>7.6901900000000012</v>
      </c>
      <c r="AW7" s="13">
        <f>AU7/BA7</f>
        <v>0.37948961255772251</v>
      </c>
      <c r="AX7" s="13">
        <f>AV7/BA7</f>
        <v>0.62051038744227749</v>
      </c>
      <c r="AY7" s="13">
        <f>1/AU7</f>
        <v>0.21262390658156044</v>
      </c>
      <c r="AZ7" s="13">
        <f>1/BA7</f>
        <v>8.0688563929145751E-2</v>
      </c>
      <c r="BA7" s="2">
        <f>AU7+AV7</f>
        <v>12.393330000000001</v>
      </c>
      <c r="BB7" s="2">
        <v>27</v>
      </c>
      <c r="BC7">
        <f t="shared" ref="BC7:BC13" si="8">BB7/AU7</f>
        <v>5.7408454777021314</v>
      </c>
      <c r="BE7" t="s">
        <v>254</v>
      </c>
    </row>
    <row r="8" spans="2:57" x14ac:dyDescent="0.35">
      <c r="B8" s="2"/>
      <c r="C8" s="2"/>
      <c r="D8" s="2"/>
      <c r="E8" s="2"/>
      <c r="F8" s="2">
        <v>17.058509999999998</v>
      </c>
      <c r="G8" s="2">
        <v>21.790199999999999</v>
      </c>
      <c r="H8" s="2">
        <f t="shared" ref="H8:H17" si="9">G8-F8</f>
        <v>4.7316900000000004</v>
      </c>
      <c r="I8" s="2">
        <f t="shared" ref="I8:I16" si="10">F9-G8</f>
        <v>5.4100099999999998</v>
      </c>
      <c r="J8" s="2">
        <f t="shared" ref="J8:J16" si="11">H8/N8</f>
        <v>0.46655787491249007</v>
      </c>
      <c r="K8" s="2">
        <f t="shared" ref="K8:K16" si="12">I8/N8</f>
        <v>0.53344212508750999</v>
      </c>
      <c r="L8" s="2">
        <f t="shared" ref="L8:L16" si="13">1/H8</f>
        <v>0.21134097964997706</v>
      </c>
      <c r="M8" s="2">
        <f t="shared" ref="M8:M16" si="14">1/N8</f>
        <v>9.86027983474171E-2</v>
      </c>
      <c r="N8" s="2">
        <f t="shared" ref="N8:N16" si="15">H8+I8</f>
        <v>10.1417</v>
      </c>
      <c r="O8" s="2">
        <v>25</v>
      </c>
      <c r="P8">
        <f t="shared" si="0"/>
        <v>5.2835244912494259</v>
      </c>
      <c r="Y8" s="13">
        <v>26.195209999999999</v>
      </c>
      <c r="Z8" s="13">
        <v>32.596409999999999</v>
      </c>
      <c r="AA8" s="2">
        <f t="shared" si="1"/>
        <v>6.4011999999999993</v>
      </c>
      <c r="AB8" s="2">
        <f t="shared" si="2"/>
        <v>9.0792100000000033</v>
      </c>
      <c r="AC8" s="2">
        <f t="shared" si="3"/>
        <v>0.41350325992657805</v>
      </c>
      <c r="AD8" s="2">
        <f t="shared" si="4"/>
        <v>0.5864967400734219</v>
      </c>
      <c r="AE8" s="2">
        <f t="shared" si="5"/>
        <v>0.1562207086171343</v>
      </c>
      <c r="AF8" s="2">
        <f t="shared" si="6"/>
        <v>6.4597772281225097E-2</v>
      </c>
      <c r="AG8" s="2">
        <f t="shared" si="7"/>
        <v>15.480410000000003</v>
      </c>
      <c r="AH8" s="13">
        <v>53</v>
      </c>
      <c r="AI8">
        <f t="shared" ref="AI8:AI14" si="16">AH8/AA8</f>
        <v>8.2796975567081184</v>
      </c>
      <c r="AS8" s="13">
        <v>23.9787</v>
      </c>
      <c r="AT8" s="13">
        <v>29.320550000000001</v>
      </c>
      <c r="AU8" s="13">
        <f t="shared" ref="AU8:AU13" si="17">AT8-AS8</f>
        <v>5.3418500000000009</v>
      </c>
      <c r="AV8" s="13">
        <f t="shared" ref="AV8:AV13" si="18">AS9-AT8</f>
        <v>9.1306899999999978</v>
      </c>
      <c r="AW8" s="13">
        <f t="shared" ref="AW8:AW13" si="19">AU8/BA8</f>
        <v>0.36910245195383817</v>
      </c>
      <c r="AX8" s="13">
        <f t="shared" ref="AX8:AX13" si="20">AV8/BA8</f>
        <v>0.63089754804616183</v>
      </c>
      <c r="AY8" s="13">
        <f t="shared" ref="AY8:AY13" si="21">1/AU8</f>
        <v>0.18720106330203953</v>
      </c>
      <c r="AZ8" s="13">
        <f t="shared" ref="AZ8:AZ13" si="22">1/BA8</f>
        <v>6.9096371473148469E-2</v>
      </c>
      <c r="BA8" s="2">
        <f t="shared" ref="BA8:BA13" si="23">AU8+AV8</f>
        <v>14.472539999999999</v>
      </c>
      <c r="BB8" s="13">
        <v>30</v>
      </c>
      <c r="BC8">
        <f t="shared" si="8"/>
        <v>5.6160318990611859</v>
      </c>
    </row>
    <row r="9" spans="2:57" x14ac:dyDescent="0.35">
      <c r="B9" s="2"/>
      <c r="C9" s="2"/>
      <c r="D9" s="2"/>
      <c r="E9" s="2"/>
      <c r="F9" s="13">
        <v>27.200209999999998</v>
      </c>
      <c r="G9" s="13">
        <v>32.248579999999997</v>
      </c>
      <c r="H9" s="2">
        <f t="shared" si="9"/>
        <v>5.0483699999999985</v>
      </c>
      <c r="I9" s="2">
        <f t="shared" si="10"/>
        <v>5.2533100000000061</v>
      </c>
      <c r="J9" s="2">
        <f t="shared" si="11"/>
        <v>0.49005307872114023</v>
      </c>
      <c r="K9" s="2">
        <f t="shared" si="12"/>
        <v>0.50994692127885977</v>
      </c>
      <c r="L9" s="2">
        <f t="shared" si="13"/>
        <v>0.19808373791936809</v>
      </c>
      <c r="M9" s="2">
        <f t="shared" si="14"/>
        <v>9.7071545611977811E-2</v>
      </c>
      <c r="N9" s="2">
        <f t="shared" si="15"/>
        <v>10.301680000000005</v>
      </c>
      <c r="O9" s="13">
        <v>27</v>
      </c>
      <c r="P9">
        <f t="shared" si="0"/>
        <v>5.3482609238229388</v>
      </c>
      <c r="Y9" s="13">
        <v>41.675620000000002</v>
      </c>
      <c r="Z9" s="13">
        <v>47.881770000000003</v>
      </c>
      <c r="AA9" s="2">
        <f t="shared" si="1"/>
        <v>6.2061500000000009</v>
      </c>
      <c r="AB9" s="2">
        <f t="shared" si="2"/>
        <v>7.1622799999999955</v>
      </c>
      <c r="AC9" s="2">
        <f t="shared" si="3"/>
        <v>0.46423925621782086</v>
      </c>
      <c r="AD9" s="2">
        <f t="shared" si="4"/>
        <v>0.53576074378217919</v>
      </c>
      <c r="AE9" s="2">
        <f t="shared" si="5"/>
        <v>0.16113049152856437</v>
      </c>
      <c r="AF9" s="2">
        <f t="shared" si="6"/>
        <v>7.4803099541232612E-2</v>
      </c>
      <c r="AG9" s="2">
        <f t="shared" si="7"/>
        <v>13.368429999999996</v>
      </c>
      <c r="AH9" s="13">
        <v>53</v>
      </c>
      <c r="AI9">
        <f t="shared" si="16"/>
        <v>8.5399160510139129</v>
      </c>
      <c r="AS9" s="13">
        <v>38.451239999999999</v>
      </c>
      <c r="AT9" s="13">
        <v>44.193559999999998</v>
      </c>
      <c r="AU9" s="13">
        <f t="shared" si="17"/>
        <v>5.7423199999999994</v>
      </c>
      <c r="AV9" s="13">
        <f t="shared" si="18"/>
        <v>9.8816800000000029</v>
      </c>
      <c r="AW9" s="13">
        <f t="shared" si="19"/>
        <v>0.36753200204813097</v>
      </c>
      <c r="AX9" s="13">
        <f t="shared" si="20"/>
        <v>0.63246799795186903</v>
      </c>
      <c r="AY9" s="13">
        <f t="shared" si="21"/>
        <v>0.17414564148288497</v>
      </c>
      <c r="AZ9" s="13">
        <f t="shared" si="22"/>
        <v>6.4004096262160776E-2</v>
      </c>
      <c r="BA9" s="2">
        <f t="shared" si="23"/>
        <v>15.624000000000002</v>
      </c>
      <c r="BB9" s="13">
        <v>32</v>
      </c>
      <c r="BC9">
        <f t="shared" si="8"/>
        <v>5.5726605274523191</v>
      </c>
    </row>
    <row r="10" spans="2:57" x14ac:dyDescent="0.35">
      <c r="B10" s="2"/>
      <c r="C10" s="2"/>
      <c r="D10" s="2"/>
      <c r="E10" s="2"/>
      <c r="F10" s="13">
        <v>37.501890000000003</v>
      </c>
      <c r="G10" s="13">
        <v>42.41431</v>
      </c>
      <c r="H10" s="2">
        <f t="shared" si="9"/>
        <v>4.9124199999999973</v>
      </c>
      <c r="I10" s="2">
        <f t="shared" si="10"/>
        <v>6.2862599999999986</v>
      </c>
      <c r="J10" s="2">
        <f t="shared" si="11"/>
        <v>0.43866062785971194</v>
      </c>
      <c r="K10" s="2">
        <f t="shared" si="12"/>
        <v>0.56133937214028806</v>
      </c>
      <c r="L10" s="2">
        <f t="shared" si="13"/>
        <v>0.20356565603103979</v>
      </c>
      <c r="M10" s="2">
        <f t="shared" si="14"/>
        <v>8.9296238485250076E-2</v>
      </c>
      <c r="N10" s="2">
        <f t="shared" si="15"/>
        <v>11.198679999999996</v>
      </c>
      <c r="O10" s="13">
        <v>28</v>
      </c>
      <c r="P10">
        <f t="shared" si="0"/>
        <v>5.6998383688691145</v>
      </c>
      <c r="Y10" s="13">
        <v>55.044049999999999</v>
      </c>
      <c r="Z10" s="13">
        <v>61.322659999999999</v>
      </c>
      <c r="AA10" s="2">
        <f t="shared" si="1"/>
        <v>6.2786100000000005</v>
      </c>
      <c r="AB10" s="2">
        <f t="shared" si="2"/>
        <v>7.2575000000000074</v>
      </c>
      <c r="AC10" s="2">
        <f t="shared" si="3"/>
        <v>0.46384153202064676</v>
      </c>
      <c r="AD10" s="2">
        <f t="shared" si="4"/>
        <v>0.53615846797935329</v>
      </c>
      <c r="AE10" s="2">
        <f t="shared" si="5"/>
        <v>0.15927092143006175</v>
      </c>
      <c r="AF10" s="2">
        <f t="shared" si="6"/>
        <v>7.3876468202459897E-2</v>
      </c>
      <c r="AG10" s="2">
        <f t="shared" si="7"/>
        <v>13.536110000000008</v>
      </c>
      <c r="AH10" s="13">
        <v>49</v>
      </c>
      <c r="AI10">
        <f t="shared" si="16"/>
        <v>7.8042751500730247</v>
      </c>
      <c r="AS10" s="13">
        <v>54.075240000000001</v>
      </c>
      <c r="AT10" s="13">
        <v>58.883670000000002</v>
      </c>
      <c r="AU10" s="13">
        <f t="shared" si="17"/>
        <v>4.8084300000000013</v>
      </c>
      <c r="AV10" s="13">
        <f t="shared" si="18"/>
        <v>9.6602899999999963</v>
      </c>
      <c r="AW10" s="13">
        <f t="shared" si="19"/>
        <v>0.33233278410253309</v>
      </c>
      <c r="AX10" s="13">
        <f t="shared" si="20"/>
        <v>0.66766721589746691</v>
      </c>
      <c r="AY10" s="13">
        <f t="shared" si="21"/>
        <v>0.20796808937636604</v>
      </c>
      <c r="AZ10" s="13">
        <f t="shared" si="22"/>
        <v>6.9114614146932152E-2</v>
      </c>
      <c r="BA10" s="2">
        <f t="shared" si="23"/>
        <v>14.468719999999998</v>
      </c>
      <c r="BB10" s="13">
        <v>28</v>
      </c>
      <c r="BC10">
        <f t="shared" si="8"/>
        <v>5.8231065025382494</v>
      </c>
    </row>
    <row r="11" spans="2:57" x14ac:dyDescent="0.35">
      <c r="B11" s="2"/>
      <c r="C11" s="2"/>
      <c r="D11" s="2"/>
      <c r="E11" s="2"/>
      <c r="F11" s="13">
        <v>48.700569999999999</v>
      </c>
      <c r="G11" s="13">
        <v>53.763399999999997</v>
      </c>
      <c r="H11" s="2">
        <f t="shared" si="9"/>
        <v>5.0628299999999982</v>
      </c>
      <c r="I11" s="2">
        <f t="shared" si="10"/>
        <v>6.2232100000000017</v>
      </c>
      <c r="J11" s="2">
        <f t="shared" si="11"/>
        <v>0.448592243160577</v>
      </c>
      <c r="K11" s="2">
        <f t="shared" si="12"/>
        <v>0.551407756839423</v>
      </c>
      <c r="L11" s="2">
        <f t="shared" si="13"/>
        <v>0.19751798895084377</v>
      </c>
      <c r="M11" s="2">
        <f t="shared" si="14"/>
        <v>8.8605037728025068E-2</v>
      </c>
      <c r="N11" s="2">
        <f t="shared" si="15"/>
        <v>11.28604</v>
      </c>
      <c r="O11" s="13">
        <v>28</v>
      </c>
      <c r="P11">
        <f t="shared" si="0"/>
        <v>5.5305036906236253</v>
      </c>
      <c r="Y11" s="13">
        <v>68.580160000000006</v>
      </c>
      <c r="Z11" s="13">
        <v>74.927250000000001</v>
      </c>
      <c r="AA11" s="2">
        <f t="shared" si="1"/>
        <v>6.3470899999999943</v>
      </c>
      <c r="AB11" s="2">
        <f t="shared" si="2"/>
        <v>8.0436799999999948</v>
      </c>
      <c r="AC11" s="2">
        <f t="shared" si="3"/>
        <v>0.44105284150882818</v>
      </c>
      <c r="AD11" s="2">
        <f t="shared" si="4"/>
        <v>0.55894715849117182</v>
      </c>
      <c r="AE11" s="2">
        <f t="shared" si="5"/>
        <v>0.15755251619246</v>
      </c>
      <c r="AF11" s="2">
        <f t="shared" si="6"/>
        <v>6.9488984953550145E-2</v>
      </c>
      <c r="AG11" s="2">
        <f t="shared" si="7"/>
        <v>14.390769999999989</v>
      </c>
      <c r="AH11" s="13">
        <v>52</v>
      </c>
      <c r="AI11">
        <f t="shared" si="16"/>
        <v>8.1927308420079203</v>
      </c>
      <c r="AS11" s="13">
        <v>68.543959999999998</v>
      </c>
      <c r="AT11" s="13">
        <v>73.429249999999996</v>
      </c>
      <c r="AU11" s="13">
        <f t="shared" si="17"/>
        <v>4.8852899999999977</v>
      </c>
      <c r="AV11" s="13">
        <f t="shared" si="18"/>
        <v>10.946480000000008</v>
      </c>
      <c r="AW11" s="13">
        <f t="shared" si="19"/>
        <v>0.30857509930980526</v>
      </c>
      <c r="AX11" s="13">
        <f t="shared" si="20"/>
        <v>0.69142490069019469</v>
      </c>
      <c r="AY11" s="13">
        <f t="shared" si="21"/>
        <v>0.2046961388167336</v>
      </c>
      <c r="AZ11" s="13">
        <f t="shared" si="22"/>
        <v>6.3164131363707257E-2</v>
      </c>
      <c r="BA11" s="2">
        <f t="shared" si="23"/>
        <v>15.831770000000006</v>
      </c>
      <c r="BB11" s="13">
        <v>29</v>
      </c>
      <c r="BC11">
        <f t="shared" si="8"/>
        <v>5.9361880256852739</v>
      </c>
    </row>
    <row r="12" spans="2:57" x14ac:dyDescent="0.35">
      <c r="B12" s="2"/>
      <c r="C12" s="2"/>
      <c r="D12" s="2"/>
      <c r="E12" s="2"/>
      <c r="F12" s="13">
        <v>59.986609999999999</v>
      </c>
      <c r="G12" s="13">
        <v>64.982050000000001</v>
      </c>
      <c r="H12" s="2">
        <f t="shared" si="9"/>
        <v>4.9954400000000021</v>
      </c>
      <c r="I12" s="2">
        <f t="shared" si="10"/>
        <v>6.3980999999999995</v>
      </c>
      <c r="J12" s="2">
        <f t="shared" si="11"/>
        <v>0.43844494336264245</v>
      </c>
      <c r="K12" s="2">
        <f t="shared" si="12"/>
        <v>0.5615550566373575</v>
      </c>
      <c r="L12" s="2">
        <f t="shared" si="13"/>
        <v>0.2001825665006485</v>
      </c>
      <c r="M12" s="2">
        <f t="shared" si="14"/>
        <v>8.7769034031565246E-2</v>
      </c>
      <c r="N12" s="2">
        <f t="shared" si="15"/>
        <v>11.393540000000002</v>
      </c>
      <c r="O12" s="13">
        <v>28</v>
      </c>
      <c r="P12">
        <f t="shared" si="0"/>
        <v>5.6051118620181581</v>
      </c>
      <c r="Y12" s="13">
        <v>82.970929999999996</v>
      </c>
      <c r="Z12" s="13">
        <v>89.740269999999995</v>
      </c>
      <c r="AA12" s="2">
        <f t="shared" si="1"/>
        <v>6.7693399999999997</v>
      </c>
      <c r="AB12" s="2">
        <f t="shared" si="2"/>
        <v>8.7669800000000038</v>
      </c>
      <c r="AC12" s="2">
        <f t="shared" si="3"/>
        <v>0.43571064447694163</v>
      </c>
      <c r="AD12" s="2">
        <f t="shared" si="4"/>
        <v>0.56428935552305837</v>
      </c>
      <c r="AE12" s="2">
        <f t="shared" si="5"/>
        <v>0.14772488898474592</v>
      </c>
      <c r="AF12" s="2">
        <f t="shared" si="6"/>
        <v>6.4365306584828308E-2</v>
      </c>
      <c r="AG12" s="2">
        <f t="shared" si="7"/>
        <v>15.536320000000003</v>
      </c>
      <c r="AH12" s="13">
        <v>56</v>
      </c>
      <c r="AI12">
        <f t="shared" si="16"/>
        <v>8.2725937831457728</v>
      </c>
      <c r="AS12" s="13">
        <v>84.375730000000004</v>
      </c>
      <c r="AT12" s="13">
        <v>89.288659999999993</v>
      </c>
      <c r="AU12" s="13">
        <f t="shared" si="17"/>
        <v>4.9129299999999887</v>
      </c>
      <c r="AV12" s="13">
        <f t="shared" si="18"/>
        <v>8.8803300000000007</v>
      </c>
      <c r="AW12" s="13">
        <f t="shared" si="19"/>
        <v>0.35618338231861013</v>
      </c>
      <c r="AX12" s="13">
        <f t="shared" si="20"/>
        <v>0.64381661768138987</v>
      </c>
      <c r="AY12" s="13">
        <f t="shared" si="21"/>
        <v>0.20354452434697876</v>
      </c>
      <c r="AZ12" s="13">
        <f t="shared" si="22"/>
        <v>7.2499177134339579E-2</v>
      </c>
      <c r="BA12" s="2">
        <f t="shared" si="23"/>
        <v>13.793259999999989</v>
      </c>
      <c r="BB12" s="13">
        <v>29</v>
      </c>
      <c r="BC12">
        <f t="shared" si="8"/>
        <v>5.9027912060623837</v>
      </c>
    </row>
    <row r="13" spans="2:57" x14ac:dyDescent="0.35">
      <c r="B13" s="2"/>
      <c r="C13" s="2"/>
      <c r="D13" s="2"/>
      <c r="E13" s="2"/>
      <c r="F13" s="13">
        <v>71.38015</v>
      </c>
      <c r="G13" s="13">
        <v>76.39</v>
      </c>
      <c r="H13" s="2">
        <f t="shared" si="9"/>
        <v>5.0098500000000001</v>
      </c>
      <c r="I13" s="2">
        <f t="shared" si="10"/>
        <v>6.1844700000000046</v>
      </c>
      <c r="J13" s="2">
        <f t="shared" si="11"/>
        <v>0.4475349998928026</v>
      </c>
      <c r="K13" s="2">
        <f t="shared" si="12"/>
        <v>0.55246500010719735</v>
      </c>
      <c r="L13" s="2">
        <f t="shared" si="13"/>
        <v>0.19960677465393176</v>
      </c>
      <c r="M13" s="2">
        <f t="shared" si="14"/>
        <v>8.9331017873350016E-2</v>
      </c>
      <c r="N13" s="2">
        <f t="shared" si="15"/>
        <v>11.194320000000005</v>
      </c>
      <c r="O13" s="13">
        <v>29</v>
      </c>
      <c r="P13">
        <f t="shared" si="0"/>
        <v>5.7885964649640211</v>
      </c>
      <c r="Y13" s="13">
        <v>98.507249999999999</v>
      </c>
      <c r="Z13" s="13">
        <v>105.19598999999999</v>
      </c>
      <c r="AA13" s="2">
        <f t="shared" si="1"/>
        <v>6.6887399999999957</v>
      </c>
      <c r="AB13" s="2">
        <f t="shared" si="2"/>
        <v>7.712299999999999</v>
      </c>
      <c r="AC13" s="2">
        <f t="shared" si="3"/>
        <v>0.46446228883469515</v>
      </c>
      <c r="AD13" s="2">
        <f t="shared" si="4"/>
        <v>0.53553771116530491</v>
      </c>
      <c r="AE13" s="2">
        <f t="shared" si="5"/>
        <v>0.1495049889814824</v>
      </c>
      <c r="AF13" s="2">
        <f t="shared" si="6"/>
        <v>6.9439429374545197E-2</v>
      </c>
      <c r="AG13" s="2">
        <f t="shared" si="7"/>
        <v>14.401039999999995</v>
      </c>
      <c r="AH13" s="13">
        <v>55</v>
      </c>
      <c r="AI13">
        <f t="shared" si="16"/>
        <v>8.222774393981533</v>
      </c>
      <c r="AS13" s="13">
        <v>98.168989999999994</v>
      </c>
      <c r="AT13" s="13">
        <v>103.23415</v>
      </c>
      <c r="AU13" s="13">
        <f t="shared" si="17"/>
        <v>5.0651600000000059</v>
      </c>
      <c r="AV13" s="13">
        <f t="shared" si="18"/>
        <v>8.7110700000000065</v>
      </c>
      <c r="AW13" s="13">
        <f t="shared" si="19"/>
        <v>0.3676738846549456</v>
      </c>
      <c r="AX13" s="13">
        <f t="shared" si="20"/>
        <v>0.63232611534505434</v>
      </c>
      <c r="AY13" s="13">
        <f t="shared" si="21"/>
        <v>0.19742712964644726</v>
      </c>
      <c r="AZ13" s="13">
        <f t="shared" si="22"/>
        <v>7.2588799693384845E-2</v>
      </c>
      <c r="BA13" s="2">
        <f t="shared" si="23"/>
        <v>13.776230000000012</v>
      </c>
      <c r="BB13" s="13">
        <v>30</v>
      </c>
      <c r="BC13">
        <f t="shared" si="8"/>
        <v>5.9228138893934181</v>
      </c>
    </row>
    <row r="14" spans="2:57" x14ac:dyDescent="0.35">
      <c r="B14" s="2"/>
      <c r="C14" s="2"/>
      <c r="D14" s="2"/>
      <c r="E14" s="2"/>
      <c r="F14" s="13">
        <v>82.574470000000005</v>
      </c>
      <c r="G14" s="13">
        <v>87.656970000000001</v>
      </c>
      <c r="H14" s="2">
        <f t="shared" si="9"/>
        <v>5.082499999999996</v>
      </c>
      <c r="I14" s="2">
        <f t="shared" si="10"/>
        <v>5.2954600000000056</v>
      </c>
      <c r="J14" s="2">
        <f t="shared" si="11"/>
        <v>0.48973979471880746</v>
      </c>
      <c r="K14" s="2">
        <f t="shared" si="12"/>
        <v>0.51026020528119254</v>
      </c>
      <c r="L14" s="2">
        <f t="shared" si="13"/>
        <v>0.19675356615838677</v>
      </c>
      <c r="M14" s="2">
        <f t="shared" si="14"/>
        <v>9.6358051100601638E-2</v>
      </c>
      <c r="N14" s="2">
        <f t="shared" si="15"/>
        <v>10.377960000000002</v>
      </c>
      <c r="O14" s="13">
        <v>28</v>
      </c>
      <c r="P14">
        <f t="shared" si="0"/>
        <v>5.5090998524348294</v>
      </c>
      <c r="Y14" s="13">
        <v>112.90828999999999</v>
      </c>
      <c r="Z14" s="13">
        <v>118.45076</v>
      </c>
      <c r="AA14" s="2">
        <f t="shared" si="1"/>
        <v>5.5424700000000087</v>
      </c>
      <c r="AB14" s="2"/>
      <c r="AC14" s="2"/>
      <c r="AD14" s="2"/>
      <c r="AE14" s="2"/>
      <c r="AF14" s="2"/>
      <c r="AG14" s="2"/>
      <c r="AH14">
        <v>45</v>
      </c>
      <c r="AI14">
        <f t="shared" si="16"/>
        <v>8.1191237841612001</v>
      </c>
      <c r="AS14" s="13">
        <v>111.94522000000001</v>
      </c>
      <c r="AT14" s="13">
        <v>114.66797</v>
      </c>
      <c r="AU14" s="13"/>
      <c r="AV14" s="13"/>
      <c r="AW14" s="13"/>
      <c r="AX14" s="13"/>
      <c r="AY14" s="13"/>
      <c r="AZ14" s="13"/>
      <c r="BA14" s="2"/>
      <c r="BB14" s="13"/>
    </row>
    <row r="15" spans="2:57" x14ac:dyDescent="0.35">
      <c r="B15" s="2"/>
      <c r="C15" s="2"/>
      <c r="D15" s="2"/>
      <c r="E15" s="2"/>
      <c r="F15" s="13">
        <v>92.952430000000007</v>
      </c>
      <c r="G15" s="13">
        <v>97.843180000000004</v>
      </c>
      <c r="H15" s="2">
        <f t="shared" si="9"/>
        <v>4.890749999999997</v>
      </c>
      <c r="I15" s="2">
        <f t="shared" si="10"/>
        <v>6.4300799999999896</v>
      </c>
      <c r="J15" s="2">
        <f t="shared" si="11"/>
        <v>0.43201337711104248</v>
      </c>
      <c r="K15" s="2">
        <f t="shared" si="12"/>
        <v>0.56798662288895752</v>
      </c>
      <c r="L15" s="2">
        <f t="shared" si="13"/>
        <v>0.20446761744108788</v>
      </c>
      <c r="M15" s="2">
        <f t="shared" si="14"/>
        <v>8.8332745920573066E-2</v>
      </c>
      <c r="N15" s="2">
        <f t="shared" si="15"/>
        <v>11.320829999999987</v>
      </c>
      <c r="O15" s="13">
        <v>27</v>
      </c>
      <c r="P15">
        <f t="shared" si="0"/>
        <v>5.5206256709093733</v>
      </c>
      <c r="AU15" s="2"/>
      <c r="AV15" s="2"/>
      <c r="AW15" s="2"/>
      <c r="AX15" s="2"/>
      <c r="AY15" s="2"/>
      <c r="AZ15" s="2"/>
      <c r="BA15" s="2"/>
      <c r="BB15" s="13"/>
    </row>
    <row r="16" spans="2:57" x14ac:dyDescent="0.35">
      <c r="B16" s="2"/>
      <c r="C16" s="2"/>
      <c r="D16" s="2"/>
      <c r="E16" s="2"/>
      <c r="F16" s="13">
        <v>104.27325999999999</v>
      </c>
      <c r="G16">
        <v>108.86527</v>
      </c>
      <c r="H16" s="2">
        <f t="shared" si="9"/>
        <v>4.5920100000000019</v>
      </c>
      <c r="I16" s="2">
        <f t="shared" si="10"/>
        <v>6.9143200000000036</v>
      </c>
      <c r="J16" s="2">
        <f t="shared" si="11"/>
        <v>0.39908554682509539</v>
      </c>
      <c r="K16" s="2">
        <f t="shared" si="12"/>
        <v>0.60091445317490466</v>
      </c>
      <c r="L16" s="2">
        <f t="shared" si="13"/>
        <v>0.21776956060635747</v>
      </c>
      <c r="M16" s="2">
        <f t="shared" si="14"/>
        <v>8.6908684176448925E-2</v>
      </c>
      <c r="N16" s="2">
        <f t="shared" si="15"/>
        <v>11.506330000000005</v>
      </c>
      <c r="O16">
        <v>25</v>
      </c>
      <c r="P16">
        <f t="shared" si="0"/>
        <v>5.4442390151589368</v>
      </c>
      <c r="Y16" s="13"/>
      <c r="AA16" s="2"/>
      <c r="AB16" s="2"/>
      <c r="AC16" s="2"/>
      <c r="AD16" s="2"/>
      <c r="AE16" s="2"/>
      <c r="AF16" s="2"/>
      <c r="AG16" s="2"/>
      <c r="AS16" s="13"/>
      <c r="AU16" s="2"/>
      <c r="AV16" s="2"/>
      <c r="AW16" s="2"/>
      <c r="AX16" s="2"/>
      <c r="AY16" s="2"/>
      <c r="AZ16" s="2"/>
      <c r="BA16" s="2"/>
    </row>
    <row r="17" spans="1:57" x14ac:dyDescent="0.35">
      <c r="B17" s="2"/>
      <c r="C17" s="2"/>
      <c r="D17" s="2"/>
      <c r="E17" s="2"/>
      <c r="F17" s="13">
        <v>115.77959</v>
      </c>
      <c r="G17">
        <v>119.81820999999999</v>
      </c>
      <c r="H17" s="2">
        <f t="shared" si="9"/>
        <v>4.0386199999999945</v>
      </c>
      <c r="I17" s="2"/>
      <c r="J17" s="2"/>
      <c r="K17" s="2"/>
      <c r="L17" s="2"/>
      <c r="M17" s="2"/>
      <c r="N17" s="2"/>
      <c r="O17">
        <v>23</v>
      </c>
      <c r="P17">
        <f t="shared" si="0"/>
        <v>5.6950146337115228</v>
      </c>
      <c r="Y17" s="13"/>
      <c r="AA17" s="2"/>
      <c r="AB17" s="2"/>
      <c r="AC17" s="2"/>
      <c r="AD17" s="2"/>
      <c r="AE17" s="2"/>
      <c r="AF17" s="2"/>
      <c r="AG17" s="2"/>
      <c r="AS17" s="13"/>
      <c r="AU17" s="2"/>
      <c r="AV17" s="2"/>
      <c r="AW17" s="2"/>
      <c r="AX17" s="2"/>
      <c r="AY17" s="2"/>
      <c r="AZ17" s="2"/>
      <c r="BA17" s="2"/>
    </row>
    <row r="18" spans="1:57" ht="16" thickBot="1" x14ac:dyDescent="0.4">
      <c r="B18" s="2"/>
      <c r="C18" s="2"/>
      <c r="D18" s="2"/>
      <c r="E18" s="2"/>
      <c r="F18" s="13"/>
      <c r="G18" s="13"/>
      <c r="H18" s="9" t="s">
        <v>3</v>
      </c>
      <c r="I18" s="9" t="s">
        <v>4</v>
      </c>
      <c r="J18" s="9" t="s">
        <v>5</v>
      </c>
      <c r="K18" s="9" t="s">
        <v>6</v>
      </c>
      <c r="L18" s="9" t="s">
        <v>7</v>
      </c>
      <c r="M18" s="9" t="s">
        <v>8</v>
      </c>
      <c r="N18" s="9" t="s">
        <v>9</v>
      </c>
      <c r="O18" s="9" t="s">
        <v>10</v>
      </c>
      <c r="P18" s="44" t="s">
        <v>139</v>
      </c>
      <c r="Y18" s="13"/>
      <c r="Z18" s="13"/>
      <c r="AA18" s="9" t="s">
        <v>3</v>
      </c>
      <c r="AB18" s="9" t="s">
        <v>4</v>
      </c>
      <c r="AC18" s="9" t="s">
        <v>5</v>
      </c>
      <c r="AD18" s="9" t="s">
        <v>6</v>
      </c>
      <c r="AE18" s="9" t="s">
        <v>7</v>
      </c>
      <c r="AF18" s="9" t="s">
        <v>8</v>
      </c>
      <c r="AG18" s="9" t="s">
        <v>9</v>
      </c>
      <c r="AH18" s="9" t="s">
        <v>10</v>
      </c>
      <c r="AI18" s="44" t="s">
        <v>139</v>
      </c>
      <c r="AS18" s="13"/>
      <c r="AT18" s="13"/>
      <c r="AU18" s="9" t="s">
        <v>3</v>
      </c>
      <c r="AV18" s="9" t="s">
        <v>4</v>
      </c>
      <c r="AW18" s="9" t="s">
        <v>5</v>
      </c>
      <c r="AX18" s="9" t="s">
        <v>6</v>
      </c>
      <c r="AY18" s="9" t="s">
        <v>7</v>
      </c>
      <c r="AZ18" s="9" t="s">
        <v>8</v>
      </c>
      <c r="BA18" s="9" t="s">
        <v>9</v>
      </c>
      <c r="BB18" s="9" t="s">
        <v>10</v>
      </c>
      <c r="BC18" s="44" t="s">
        <v>139</v>
      </c>
    </row>
    <row r="19" spans="1:57" x14ac:dyDescent="0.35">
      <c r="B19" s="2"/>
      <c r="C19" s="2"/>
      <c r="D19" s="2"/>
      <c r="E19" s="2"/>
      <c r="F19" s="13"/>
      <c r="G19" s="49" t="s">
        <v>77</v>
      </c>
      <c r="H19" s="2">
        <f>AVERAGE(H7:H16)</f>
        <v>4.9064439999999987</v>
      </c>
      <c r="I19" s="2">
        <f t="shared" ref="I19:P19" si="24">AVERAGE(I7:I16)</f>
        <v>5.8889960000000006</v>
      </c>
      <c r="J19" s="2">
        <f t="shared" si="24"/>
        <v>0.45638868377619285</v>
      </c>
      <c r="K19" s="2">
        <f t="shared" si="24"/>
        <v>0.5436113162238071</v>
      </c>
      <c r="L19" s="2">
        <f t="shared" si="24"/>
        <v>0.20403221331084725</v>
      </c>
      <c r="M19" s="2">
        <f t="shared" si="24"/>
        <v>9.3057855876749127E-2</v>
      </c>
      <c r="N19" s="2">
        <f t="shared" si="24"/>
        <v>10.795439999999999</v>
      </c>
      <c r="O19" s="2">
        <f>AVERAGE(O7:O17)</f>
        <v>26.545454545454547</v>
      </c>
      <c r="P19" s="2">
        <f t="shared" si="24"/>
        <v>5.479460878477437</v>
      </c>
      <c r="Y19" s="13"/>
      <c r="Z19" s="49" t="s">
        <v>77</v>
      </c>
      <c r="AA19" s="2">
        <f>AVERAGE(AA7:AA13)</f>
        <v>6.4508499999999982</v>
      </c>
      <c r="AB19" s="2">
        <f t="shared" ref="AB19:AG19" si="25">AVERAGE(AB7:AB13)</f>
        <v>7.8667957142857148</v>
      </c>
      <c r="AC19" s="2">
        <f t="shared" si="25"/>
        <v>0.45161647632557134</v>
      </c>
      <c r="AD19" s="2">
        <f t="shared" si="25"/>
        <v>0.54838352367442877</v>
      </c>
      <c r="AE19" s="2">
        <f t="shared" si="25"/>
        <v>0.15515540906476191</v>
      </c>
      <c r="AF19" s="2">
        <f t="shared" si="25"/>
        <v>7.0083985046664951E-2</v>
      </c>
      <c r="AG19" s="2">
        <f t="shared" si="25"/>
        <v>14.317645714285714</v>
      </c>
      <c r="AH19" s="2">
        <f>AVERAGE(AH7:AH14)</f>
        <v>52.125</v>
      </c>
      <c r="AI19" s="2">
        <f>AVERAGE(AI7:AI14)</f>
        <v>8.2230015422389062</v>
      </c>
      <c r="AS19" s="13"/>
      <c r="AT19" s="49" t="s">
        <v>77</v>
      </c>
      <c r="AU19" s="2">
        <f>AVERAGE(AU7:AU13)</f>
        <v>5.0655885714285702</v>
      </c>
      <c r="AV19" s="2">
        <f t="shared" ref="AV19:BA19" si="26">AVERAGE(AV7:AV13)</f>
        <v>9.2715328571428586</v>
      </c>
      <c r="AW19" s="2">
        <f t="shared" si="26"/>
        <v>0.35441274527794081</v>
      </c>
      <c r="AX19" s="2">
        <f t="shared" si="26"/>
        <v>0.64558725472205913</v>
      </c>
      <c r="AY19" s="2">
        <f t="shared" si="26"/>
        <v>0.19822949907900148</v>
      </c>
      <c r="AZ19" s="2">
        <f t="shared" si="26"/>
        <v>7.0165107714688396E-2</v>
      </c>
      <c r="BA19" s="2">
        <f t="shared" si="26"/>
        <v>14.337121428571431</v>
      </c>
      <c r="BB19" s="2">
        <f>AVERAGE(BB7:BB13)</f>
        <v>29.285714285714285</v>
      </c>
      <c r="BC19" s="2">
        <f>AVERAGE(BC7:BC13)</f>
        <v>5.7877767896992793</v>
      </c>
    </row>
    <row r="20" spans="1:57" x14ac:dyDescent="0.35">
      <c r="B20" s="2"/>
      <c r="C20" s="2"/>
      <c r="D20" s="2"/>
      <c r="E20" s="2"/>
      <c r="F20" s="13"/>
      <c r="G20" s="49" t="s">
        <v>94</v>
      </c>
      <c r="H20" s="2">
        <f>_xlfn.STDEV.S(H7:H16)</f>
        <v>0.16735737278849208</v>
      </c>
      <c r="I20" s="2">
        <f t="shared" ref="I20:P20" si="27">_xlfn.STDEV.S(I7:I16)</f>
        <v>0.73709864458489038</v>
      </c>
      <c r="J20" s="2">
        <f t="shared" si="27"/>
        <v>3.3714915379905321E-2</v>
      </c>
      <c r="K20" s="2">
        <f t="shared" si="27"/>
        <v>3.3714915379905348E-2</v>
      </c>
      <c r="L20" s="2">
        <f t="shared" si="27"/>
        <v>7.1240056450361765E-3</v>
      </c>
      <c r="M20" s="2">
        <f t="shared" si="27"/>
        <v>6.881145362235659E-3</v>
      </c>
      <c r="N20" s="2">
        <f t="shared" si="27"/>
        <v>0.74440149980444714</v>
      </c>
      <c r="O20" s="2">
        <f>_xlfn.STDEV.S(O7:O17)</f>
        <v>1.9679246105293957</v>
      </c>
      <c r="P20" s="2">
        <f t="shared" si="27"/>
        <v>0.20919935010737126</v>
      </c>
      <c r="Y20" s="13"/>
      <c r="Z20" s="49" t="s">
        <v>94</v>
      </c>
      <c r="AA20" s="2">
        <f>_xlfn.STDEV.S(AA7:AA13)</f>
        <v>0.20856600106441059</v>
      </c>
      <c r="AB20" s="2">
        <f t="shared" ref="AB20:AG20" si="28">_xlfn.STDEV.S(AB7:AB13)</f>
        <v>0.80388124512387193</v>
      </c>
      <c r="AC20" s="2">
        <f t="shared" si="28"/>
        <v>2.241288614129603E-2</v>
      </c>
      <c r="AD20" s="2">
        <f t="shared" si="28"/>
        <v>2.2412886141295996E-2</v>
      </c>
      <c r="AE20" s="2">
        <f t="shared" si="28"/>
        <v>4.9477731672514721E-3</v>
      </c>
      <c r="AF20" s="2">
        <f t="shared" si="28"/>
        <v>4.3911191631648685E-3</v>
      </c>
      <c r="AG20" s="2">
        <f t="shared" si="28"/>
        <v>0.91404587566958195</v>
      </c>
      <c r="AH20" s="2">
        <f>_xlfn.STDEV.S(AH7:AH14)</f>
        <v>3.5632048174962621</v>
      </c>
      <c r="AI20" s="2">
        <f>_xlfn.STDEV.S(AI7:AI14)</f>
        <v>0.21044890538355918</v>
      </c>
      <c r="AS20" s="13"/>
      <c r="AT20" s="49" t="s">
        <v>94</v>
      </c>
      <c r="AU20" s="2">
        <f>_xlfn.STDEV.S(AU7:AU13)</f>
        <v>0.36230689088251278</v>
      </c>
      <c r="AV20" s="2">
        <f t="shared" ref="AV20:BA20" si="29">_xlfn.STDEV.S(AV7:AV13)</f>
        <v>1.0260360467468184</v>
      </c>
      <c r="AW20" s="2">
        <f t="shared" si="29"/>
        <v>2.5114269182769561E-2</v>
      </c>
      <c r="AX20" s="2">
        <f t="shared" si="29"/>
        <v>2.5114269182769548E-2</v>
      </c>
      <c r="AY20" s="2">
        <f t="shared" si="29"/>
        <v>1.3381631817092864E-2</v>
      </c>
      <c r="AZ20" s="2">
        <f t="shared" si="29"/>
        <v>5.9341211008314913E-3</v>
      </c>
      <c r="BA20" s="2">
        <f t="shared" si="29"/>
        <v>1.1771715217054348</v>
      </c>
      <c r="BB20" s="2">
        <f>_xlfn.STDEV.S(BB7:BB13)</f>
        <v>1.6035674514745462</v>
      </c>
      <c r="BC20" s="2">
        <f>_xlfn.STDEV.S(BC7:BC13)</f>
        <v>0.14872305337466024</v>
      </c>
    </row>
    <row r="21" spans="1:57" x14ac:dyDescent="0.35">
      <c r="B21" s="2"/>
      <c r="C21" s="2"/>
      <c r="D21" s="2"/>
      <c r="E21" s="2"/>
      <c r="F21" s="13"/>
      <c r="G21" s="49" t="s">
        <v>95</v>
      </c>
      <c r="H21" s="2">
        <f>H20/SQRT(8)</f>
        <v>5.9169766590153862E-2</v>
      </c>
      <c r="I21" s="2">
        <f t="shared" ref="I21:P21" si="30">I20/SQRT(8)</f>
        <v>0.26060372499469442</v>
      </c>
      <c r="J21" s="2">
        <f t="shared" si="30"/>
        <v>1.1920022646130839E-2</v>
      </c>
      <c r="K21" s="2">
        <f t="shared" si="30"/>
        <v>1.1920022646130847E-2</v>
      </c>
      <c r="L21" s="2">
        <f t="shared" si="30"/>
        <v>2.5187163504081624E-3</v>
      </c>
      <c r="M21" s="2">
        <f t="shared" si="30"/>
        <v>2.4328522739835981E-3</v>
      </c>
      <c r="N21" s="2">
        <f t="shared" si="30"/>
        <v>0.26318567421858047</v>
      </c>
      <c r="O21" s="2">
        <f t="shared" si="30"/>
        <v>0.69576641848461551</v>
      </c>
      <c r="P21" s="2">
        <f t="shared" si="30"/>
        <v>7.3963139540370454E-2</v>
      </c>
      <c r="Y21" s="13"/>
      <c r="Z21" s="49" t="s">
        <v>95</v>
      </c>
      <c r="AA21" s="2">
        <f>AA20/SQRT(7)</f>
        <v>7.8830538679951864E-2</v>
      </c>
      <c r="AB21" s="2">
        <f t="shared" ref="AB21:AG21" si="31">AB20/SQRT(7)</f>
        <v>0.30383855117524566</v>
      </c>
      <c r="AC21" s="2">
        <f t="shared" si="31"/>
        <v>8.4712746990107668E-3</v>
      </c>
      <c r="AD21" s="2">
        <f t="shared" si="31"/>
        <v>8.4712746990107529E-3</v>
      </c>
      <c r="AE21" s="2">
        <f t="shared" si="31"/>
        <v>1.8700824777293976E-3</v>
      </c>
      <c r="AF21" s="2">
        <f t="shared" si="31"/>
        <v>1.6596870404263283E-3</v>
      </c>
      <c r="AG21" s="2">
        <f t="shared" si="31"/>
        <v>0.34547686770371117</v>
      </c>
      <c r="AH21" s="2">
        <f>AH20/SQRT(8)</f>
        <v>1.2597831446040906</v>
      </c>
      <c r="AI21" s="2">
        <f>AI20/SQRT(8)</f>
        <v>7.4404924045000403E-2</v>
      </c>
      <c r="AS21" s="13"/>
      <c r="AT21" s="49" t="s">
        <v>95</v>
      </c>
      <c r="AU21" s="2">
        <f>AU20/SQRT(7)</f>
        <v>0.13693913308002054</v>
      </c>
      <c r="AV21" s="2">
        <f t="shared" ref="AV21:BC21" si="32">AV20/SQRT(7)</f>
        <v>0.38780517369713202</v>
      </c>
      <c r="AW21" s="2">
        <f t="shared" si="32"/>
        <v>9.4923015166773726E-3</v>
      </c>
      <c r="AX21" s="2">
        <f t="shared" si="32"/>
        <v>9.4923015166773674E-3</v>
      </c>
      <c r="AY21" s="2">
        <f t="shared" si="32"/>
        <v>5.0577814177510116E-3</v>
      </c>
      <c r="AZ21" s="2">
        <f t="shared" si="32"/>
        <v>2.2428869546487098E-3</v>
      </c>
      <c r="BA21" s="2">
        <f t="shared" si="32"/>
        <v>0.44492901384286476</v>
      </c>
      <c r="BB21" s="2">
        <f t="shared" si="32"/>
        <v>0.60609152673132638</v>
      </c>
      <c r="BC21" s="2">
        <f t="shared" si="32"/>
        <v>5.6212030493076631E-2</v>
      </c>
    </row>
    <row r="22" spans="1:57" x14ac:dyDescent="0.35">
      <c r="B22" s="2"/>
      <c r="C22" s="2"/>
      <c r="D22" s="2"/>
      <c r="E22" s="2"/>
      <c r="F22" s="2"/>
      <c r="G22" s="49"/>
      <c r="H22" s="2"/>
      <c r="I22" s="2"/>
      <c r="J22" s="2"/>
      <c r="K22" s="2"/>
      <c r="L22" s="2"/>
      <c r="M22" s="2"/>
      <c r="N22" s="2"/>
      <c r="O22" s="2"/>
      <c r="P22" s="2"/>
    </row>
    <row r="23" spans="1:57" x14ac:dyDescent="0.35">
      <c r="B23" s="2"/>
      <c r="C23" s="2"/>
      <c r="D23" s="2"/>
      <c r="E23" s="2"/>
      <c r="F23" s="2"/>
      <c r="G23" s="2"/>
      <c r="H23" s="49"/>
      <c r="I23" s="49"/>
      <c r="J23" s="49"/>
      <c r="K23" s="49"/>
      <c r="L23" s="49"/>
      <c r="M23" s="49"/>
      <c r="N23" s="49"/>
      <c r="O23" s="2"/>
    </row>
    <row r="24" spans="1:57" x14ac:dyDescent="0.35">
      <c r="A24" s="8"/>
      <c r="B24" s="6" t="s">
        <v>236</v>
      </c>
      <c r="D24" s="2"/>
      <c r="E24" s="2"/>
      <c r="F24" s="2"/>
      <c r="G24" s="2"/>
      <c r="H24" s="2"/>
      <c r="I24" s="2"/>
      <c r="J24" s="2"/>
      <c r="K24" s="2"/>
      <c r="L24" s="2"/>
      <c r="M24" s="2"/>
      <c r="N24" s="2"/>
      <c r="O24" s="2"/>
    </row>
    <row r="25" spans="1:57" ht="15" thickBot="1" x14ac:dyDescent="0.4">
      <c r="A25" s="7"/>
      <c r="B25" s="6" t="s">
        <v>237</v>
      </c>
      <c r="D25" s="2"/>
      <c r="E25" s="2"/>
      <c r="F25" s="2"/>
      <c r="G25" s="2"/>
      <c r="H25" s="2"/>
      <c r="I25" s="2"/>
      <c r="J25" s="2"/>
      <c r="K25" s="2"/>
      <c r="L25" s="2"/>
      <c r="M25" s="2"/>
      <c r="N25" s="2"/>
      <c r="O25" s="2"/>
      <c r="V25" s="13"/>
    </row>
    <row r="26" spans="1:57" ht="15" thickBot="1" x14ac:dyDescent="0.4">
      <c r="B26" s="2"/>
      <c r="C26" s="2"/>
      <c r="D26" s="2"/>
      <c r="E26" s="2"/>
      <c r="F26" s="2"/>
      <c r="G26" s="2"/>
      <c r="H26" s="2"/>
      <c r="I26" s="2"/>
      <c r="J26" s="2"/>
      <c r="K26" s="2"/>
      <c r="L26" s="2"/>
      <c r="M26" s="2"/>
      <c r="N26" s="2"/>
      <c r="O26" s="2"/>
      <c r="V26" s="160"/>
      <c r="W26" s="161" t="s">
        <v>251</v>
      </c>
    </row>
    <row r="27" spans="1:57" ht="18.5" x14ac:dyDescent="0.45">
      <c r="B27" s="2"/>
      <c r="C27" s="2"/>
      <c r="D27" s="2"/>
      <c r="E27" s="2"/>
      <c r="F27" s="1" t="s">
        <v>238</v>
      </c>
      <c r="G27" s="2"/>
      <c r="H27" s="2"/>
      <c r="I27" s="2"/>
      <c r="J27" s="2"/>
      <c r="K27" s="2"/>
      <c r="L27" s="2"/>
      <c r="M27" s="2"/>
      <c r="N27" s="2"/>
      <c r="O27" s="2"/>
      <c r="Y27" s="1" t="s">
        <v>245</v>
      </c>
      <c r="Z27" s="3"/>
      <c r="AA27" s="3"/>
      <c r="AB27" s="3"/>
      <c r="AC27" s="3"/>
      <c r="AD27" s="3"/>
      <c r="AE27" s="3"/>
      <c r="AF27" s="3"/>
      <c r="AG27" s="3"/>
      <c r="AH27" s="3"/>
      <c r="AS27" s="1" t="s">
        <v>238</v>
      </c>
    </row>
    <row r="28" spans="1:57" ht="16" thickBot="1" x14ac:dyDescent="0.4">
      <c r="B28" s="9"/>
      <c r="C28" s="9"/>
      <c r="D28" s="9" t="s">
        <v>20</v>
      </c>
      <c r="E28" s="5"/>
      <c r="F28" s="9" t="s">
        <v>1</v>
      </c>
      <c r="G28" s="9" t="s">
        <v>2</v>
      </c>
      <c r="H28" s="9" t="s">
        <v>3</v>
      </c>
      <c r="I28" s="9" t="s">
        <v>4</v>
      </c>
      <c r="J28" s="9" t="s">
        <v>5</v>
      </c>
      <c r="K28" s="9" t="s">
        <v>6</v>
      </c>
      <c r="L28" s="9" t="s">
        <v>7</v>
      </c>
      <c r="M28" s="9" t="s">
        <v>8</v>
      </c>
      <c r="N28" s="9" t="s">
        <v>9</v>
      </c>
      <c r="O28" s="9" t="s">
        <v>10</v>
      </c>
      <c r="P28" s="44" t="s">
        <v>139</v>
      </c>
      <c r="R28" s="44" t="s">
        <v>134</v>
      </c>
      <c r="Y28" s="9" t="s">
        <v>1</v>
      </c>
      <c r="Z28" s="9" t="s">
        <v>2</v>
      </c>
      <c r="AA28" s="9" t="s">
        <v>3</v>
      </c>
      <c r="AB28" s="9" t="s">
        <v>4</v>
      </c>
      <c r="AC28" s="9" t="s">
        <v>5</v>
      </c>
      <c r="AD28" s="9" t="s">
        <v>6</v>
      </c>
      <c r="AE28" s="9" t="s">
        <v>7</v>
      </c>
      <c r="AF28" s="9" t="s">
        <v>8</v>
      </c>
      <c r="AG28" s="9" t="s">
        <v>9</v>
      </c>
      <c r="AH28" s="9" t="s">
        <v>10</v>
      </c>
      <c r="AI28" s="44" t="s">
        <v>139</v>
      </c>
      <c r="AQ28" s="9" t="s">
        <v>20</v>
      </c>
      <c r="AR28" s="5"/>
      <c r="AS28" s="9" t="s">
        <v>1</v>
      </c>
      <c r="AT28" s="9" t="s">
        <v>2</v>
      </c>
      <c r="AU28" s="9" t="s">
        <v>3</v>
      </c>
      <c r="AV28" s="9" t="s">
        <v>4</v>
      </c>
      <c r="AW28" s="9" t="s">
        <v>5</v>
      </c>
      <c r="AX28" s="9" t="s">
        <v>6</v>
      </c>
      <c r="AY28" s="9" t="s">
        <v>7</v>
      </c>
      <c r="AZ28" s="9" t="s">
        <v>8</v>
      </c>
      <c r="BA28" s="9" t="s">
        <v>9</v>
      </c>
      <c r="BB28" s="9" t="s">
        <v>10</v>
      </c>
      <c r="BC28" s="44" t="s">
        <v>139</v>
      </c>
      <c r="BE28" s="44" t="s">
        <v>134</v>
      </c>
    </row>
    <row r="29" spans="1:57" x14ac:dyDescent="0.35">
      <c r="A29" s="85"/>
      <c r="B29" s="145"/>
      <c r="C29" s="146"/>
      <c r="D29" s="147"/>
      <c r="E29" s="13"/>
      <c r="F29" s="85">
        <v>6.8858699999999997</v>
      </c>
      <c r="G29" s="85">
        <v>11.872030000000001</v>
      </c>
      <c r="H29" s="13">
        <f t="shared" ref="H29:H65" si="33">G29-F29</f>
        <v>4.9861600000000008</v>
      </c>
      <c r="I29" s="13">
        <f t="shared" ref="I29:I47" si="34">F30-G29</f>
        <v>6.4425000000000008</v>
      </c>
      <c r="J29" s="13">
        <f t="shared" ref="J29:J47" si="35">H29/N29</f>
        <v>0.43628561878645444</v>
      </c>
      <c r="K29" s="13">
        <f t="shared" ref="K29:K47" si="36">I29/N29</f>
        <v>0.56371438121354567</v>
      </c>
      <c r="L29" s="13">
        <f t="shared" ref="L29:L47" si="37">1/H29</f>
        <v>0.20055513661815902</v>
      </c>
      <c r="M29" s="13">
        <f t="shared" ref="M29:M47" si="38">1/N29</f>
        <v>8.7499321880255429E-2</v>
      </c>
      <c r="N29" s="13">
        <f t="shared" ref="N29:N47" si="39">H29+I29</f>
        <v>11.428660000000001</v>
      </c>
      <c r="O29" s="13">
        <v>27</v>
      </c>
      <c r="P29" s="85">
        <f>O29/H29</f>
        <v>5.4149886886902943</v>
      </c>
      <c r="Q29" s="85"/>
      <c r="R29" t="s">
        <v>233</v>
      </c>
      <c r="S29" s="85"/>
      <c r="Y29" s="2">
        <v>1.6612199999999999</v>
      </c>
      <c r="Z29" s="2">
        <v>7.2692300000000003</v>
      </c>
      <c r="AA29" s="2">
        <f>Z29-Y29</f>
        <v>5.6080100000000002</v>
      </c>
      <c r="AB29" s="2">
        <f>Y30-Z29</f>
        <v>8.3927300000000002</v>
      </c>
      <c r="AC29" s="2">
        <f>AA29/AG29</f>
        <v>0.40055097087725361</v>
      </c>
      <c r="AD29" s="2">
        <f>AB29/AG29</f>
        <v>0.59944902912274634</v>
      </c>
      <c r="AE29" s="2">
        <f>1/AA29</f>
        <v>0.17831637247437149</v>
      </c>
      <c r="AF29" s="2">
        <f>1/AG29</f>
        <v>7.1424796117919478E-2</v>
      </c>
      <c r="AG29" s="2">
        <f>AA29+AB29</f>
        <v>14.00074</v>
      </c>
      <c r="AH29" s="13">
        <v>29</v>
      </c>
      <c r="AI29">
        <f>AH29/AA29</f>
        <v>5.1711748017567727</v>
      </c>
      <c r="AK29" t="s">
        <v>246</v>
      </c>
      <c r="AQ29" s="147"/>
      <c r="AR29" s="13"/>
      <c r="AS29" s="85"/>
      <c r="AT29" s="85"/>
      <c r="AU29" s="13">
        <f t="shared" ref="AU29:AU38" si="40">AT29-AS29</f>
        <v>0</v>
      </c>
      <c r="AV29" s="13">
        <f t="shared" ref="AV29:AV38" si="41">AS30-AT29</f>
        <v>0</v>
      </c>
      <c r="AW29" s="13" t="e">
        <f t="shared" ref="AW29:AW38" si="42">AU29/BA29</f>
        <v>#DIV/0!</v>
      </c>
      <c r="AX29" s="13" t="e">
        <f t="shared" ref="AX29:AX38" si="43">AV29/BA29</f>
        <v>#DIV/0!</v>
      </c>
      <c r="AY29" s="13" t="e">
        <f t="shared" ref="AY29:AY38" si="44">1/AU29</f>
        <v>#DIV/0!</v>
      </c>
      <c r="AZ29" s="13" t="e">
        <f t="shared" ref="AZ29:AZ38" si="45">1/BA29</f>
        <v>#DIV/0!</v>
      </c>
      <c r="BA29" s="13">
        <f t="shared" ref="BA29:BA38" si="46">AU29+AV29</f>
        <v>0</v>
      </c>
      <c r="BB29" s="13">
        <v>27</v>
      </c>
      <c r="BC29" s="85" t="e">
        <f>BB29/AU29</f>
        <v>#DIV/0!</v>
      </c>
      <c r="BD29" s="85"/>
      <c r="BE29" t="s">
        <v>255</v>
      </c>
    </row>
    <row r="30" spans="1:57" x14ac:dyDescent="0.35">
      <c r="A30" s="85"/>
      <c r="B30" s="85"/>
      <c r="C30" s="85"/>
      <c r="D30" s="144" t="s">
        <v>235</v>
      </c>
      <c r="E30" s="144"/>
      <c r="F30" s="144">
        <v>18.314530000000001</v>
      </c>
      <c r="G30" s="144">
        <v>20.70974</v>
      </c>
      <c r="H30" s="91">
        <f t="shared" si="33"/>
        <v>2.3952099999999987</v>
      </c>
      <c r="I30" s="91">
        <f t="shared" si="34"/>
        <v>9.012830000000001</v>
      </c>
      <c r="J30" s="91">
        <f t="shared" si="35"/>
        <v>0.20995806466316727</v>
      </c>
      <c r="K30" s="91">
        <f t="shared" si="36"/>
        <v>0.79004193533683276</v>
      </c>
      <c r="L30" s="91">
        <f t="shared" si="37"/>
        <v>0.41749992693751303</v>
      </c>
      <c r="M30" s="91">
        <f t="shared" si="38"/>
        <v>8.7657476656813962E-2</v>
      </c>
      <c r="N30" s="91">
        <f t="shared" si="39"/>
        <v>11.40804</v>
      </c>
      <c r="O30" s="144">
        <v>17</v>
      </c>
      <c r="P30" s="144">
        <f t="shared" ref="P30:P65" si="47">O30/H30</f>
        <v>7.0974987579377213</v>
      </c>
      <c r="Q30" s="85"/>
      <c r="R30" s="85"/>
      <c r="S30" s="85"/>
      <c r="Y30" s="13">
        <v>15.661960000000001</v>
      </c>
      <c r="Z30" s="13">
        <v>20.542909999999999</v>
      </c>
      <c r="AA30" s="2">
        <f t="shared" ref="AA30:AA56" si="48">Z30-Y30</f>
        <v>4.8809499999999986</v>
      </c>
      <c r="AB30" s="2">
        <f t="shared" ref="AB30:AB55" si="49">Y31-Z30</f>
        <v>10.48875</v>
      </c>
      <c r="AC30" s="2">
        <f t="shared" ref="AC30:AC55" si="50">AA30/AG30</f>
        <v>0.31756963375993019</v>
      </c>
      <c r="AD30" s="2">
        <f t="shared" ref="AD30:AD45" si="51">AB30/AG30</f>
        <v>0.68243036624006981</v>
      </c>
      <c r="AE30" s="2">
        <f t="shared" ref="AE30:AE45" si="52">1/AA30</f>
        <v>0.2048781487210482</v>
      </c>
      <c r="AF30" s="2">
        <f t="shared" ref="AF30:AF55" si="53">1/AG30</f>
        <v>6.5063078654755788E-2</v>
      </c>
      <c r="AG30" s="2">
        <f t="shared" ref="AG30:AG45" si="54">AA30+AB30</f>
        <v>15.369699999999998</v>
      </c>
      <c r="AH30" s="13">
        <v>54</v>
      </c>
      <c r="AI30">
        <f t="shared" ref="AI30:AI56" si="55">AH30/AA30</f>
        <v>11.063420030936603</v>
      </c>
      <c r="AQ30" s="85" t="s">
        <v>235</v>
      </c>
      <c r="AR30" s="85"/>
      <c r="AS30" s="85"/>
      <c r="AT30" s="85"/>
      <c r="AU30" s="13">
        <f t="shared" si="40"/>
        <v>0</v>
      </c>
      <c r="AV30" s="13">
        <f t="shared" si="41"/>
        <v>0</v>
      </c>
      <c r="AW30" s="13" t="e">
        <f t="shared" si="42"/>
        <v>#DIV/0!</v>
      </c>
      <c r="AX30" s="13" t="e">
        <f t="shared" si="43"/>
        <v>#DIV/0!</v>
      </c>
      <c r="AY30" s="13" t="e">
        <f t="shared" si="44"/>
        <v>#DIV/0!</v>
      </c>
      <c r="AZ30" s="13" t="e">
        <f t="shared" si="45"/>
        <v>#DIV/0!</v>
      </c>
      <c r="BA30" s="13">
        <f t="shared" si="46"/>
        <v>0</v>
      </c>
      <c r="BB30" s="85">
        <v>17</v>
      </c>
      <c r="BC30" s="85" t="e">
        <f t="shared" ref="BC30:BC38" si="56">BB30/AU30</f>
        <v>#DIV/0!</v>
      </c>
      <c r="BD30" s="85"/>
      <c r="BE30" s="85"/>
    </row>
    <row r="31" spans="1:57" x14ac:dyDescent="0.35">
      <c r="A31" s="85"/>
      <c r="B31" s="85"/>
      <c r="C31" s="85"/>
      <c r="D31" s="85"/>
      <c r="E31" s="85"/>
      <c r="F31" s="13">
        <v>29.722570000000001</v>
      </c>
      <c r="G31" s="85">
        <v>34.296120000000002</v>
      </c>
      <c r="H31" s="13">
        <f t="shared" si="33"/>
        <v>4.5735500000000009</v>
      </c>
      <c r="I31" s="13">
        <f t="shared" si="34"/>
        <v>6.8155499999999947</v>
      </c>
      <c r="J31" s="13">
        <f t="shared" si="35"/>
        <v>0.40157255621603133</v>
      </c>
      <c r="K31" s="13">
        <f t="shared" si="36"/>
        <v>0.59842744378396862</v>
      </c>
      <c r="L31" s="13">
        <f t="shared" si="37"/>
        <v>0.21864853341496207</v>
      </c>
      <c r="M31" s="13">
        <f t="shared" si="38"/>
        <v>8.7803250476332667E-2</v>
      </c>
      <c r="N31" s="13">
        <f t="shared" si="39"/>
        <v>11.389099999999996</v>
      </c>
      <c r="O31" s="85">
        <v>27</v>
      </c>
      <c r="P31" s="85">
        <f t="shared" si="47"/>
        <v>5.9035104022039757</v>
      </c>
      <c r="Q31" s="85"/>
      <c r="R31" s="85"/>
      <c r="S31" s="85"/>
      <c r="Y31" s="13">
        <v>31.031659999999999</v>
      </c>
      <c r="Z31" s="13">
        <v>35.809800000000003</v>
      </c>
      <c r="AA31" s="2">
        <f t="shared" si="48"/>
        <v>4.7781400000000041</v>
      </c>
      <c r="AB31" s="2">
        <f t="shared" si="49"/>
        <v>9.5857099999999988</v>
      </c>
      <c r="AC31" s="2">
        <f t="shared" si="50"/>
        <v>0.33265036880780591</v>
      </c>
      <c r="AD31" s="2">
        <f t="shared" si="51"/>
        <v>0.66734963119219404</v>
      </c>
      <c r="AE31" s="2">
        <f t="shared" si="52"/>
        <v>0.20928645874754595</v>
      </c>
      <c r="AF31" s="2">
        <f t="shared" si="53"/>
        <v>6.9619217688850821E-2</v>
      </c>
      <c r="AG31" s="2">
        <f t="shared" si="54"/>
        <v>14.363850000000003</v>
      </c>
      <c r="AH31" s="13">
        <v>53</v>
      </c>
      <c r="AI31">
        <f t="shared" si="55"/>
        <v>11.092182313619935</v>
      </c>
      <c r="AQ31" s="85"/>
      <c r="AR31" s="85"/>
      <c r="AS31" s="13"/>
      <c r="AT31" s="85"/>
      <c r="AU31" s="13">
        <f t="shared" si="40"/>
        <v>0</v>
      </c>
      <c r="AV31" s="13">
        <f t="shared" si="41"/>
        <v>0</v>
      </c>
      <c r="AW31" s="13" t="e">
        <f t="shared" si="42"/>
        <v>#DIV/0!</v>
      </c>
      <c r="AX31" s="13" t="e">
        <f t="shared" si="43"/>
        <v>#DIV/0!</v>
      </c>
      <c r="AY31" s="13" t="e">
        <f t="shared" si="44"/>
        <v>#DIV/0!</v>
      </c>
      <c r="AZ31" s="13" t="e">
        <f t="shared" si="45"/>
        <v>#DIV/0!</v>
      </c>
      <c r="BA31" s="13">
        <f t="shared" si="46"/>
        <v>0</v>
      </c>
      <c r="BB31" s="85">
        <v>27</v>
      </c>
      <c r="BC31" s="85" t="e">
        <f t="shared" si="56"/>
        <v>#DIV/0!</v>
      </c>
      <c r="BD31" s="85"/>
      <c r="BE31" s="85"/>
    </row>
    <row r="32" spans="1:57" x14ac:dyDescent="0.35">
      <c r="A32" s="85"/>
      <c r="B32" s="85"/>
      <c r="C32" s="85"/>
      <c r="D32" s="144" t="s">
        <v>235</v>
      </c>
      <c r="E32" s="144"/>
      <c r="F32" s="91">
        <v>41.111669999999997</v>
      </c>
      <c r="G32" s="144">
        <v>44.264960000000002</v>
      </c>
      <c r="H32" s="91">
        <f t="shared" si="33"/>
        <v>3.1532900000000055</v>
      </c>
      <c r="I32" s="91">
        <f t="shared" si="34"/>
        <v>7.1833999999999989</v>
      </c>
      <c r="J32" s="91">
        <f t="shared" si="35"/>
        <v>0.30505800212640644</v>
      </c>
      <c r="K32" s="91">
        <f t="shared" si="36"/>
        <v>0.69494199787359356</v>
      </c>
      <c r="L32" s="91">
        <f t="shared" si="37"/>
        <v>0.31712909374018827</v>
      </c>
      <c r="M32" s="91">
        <f t="shared" si="38"/>
        <v>9.6742767752539705E-2</v>
      </c>
      <c r="N32" s="91">
        <f t="shared" si="39"/>
        <v>10.336690000000004</v>
      </c>
      <c r="O32" s="144">
        <v>21</v>
      </c>
      <c r="P32" s="144">
        <f t="shared" si="47"/>
        <v>6.6597109685439539</v>
      </c>
      <c r="Q32" s="85"/>
      <c r="R32" s="85"/>
      <c r="S32" s="85"/>
      <c r="Y32" s="13">
        <v>45.395510000000002</v>
      </c>
      <c r="Z32" s="13">
        <v>50.045290000000001</v>
      </c>
      <c r="AA32" s="2">
        <f t="shared" si="48"/>
        <v>4.6497799999999998</v>
      </c>
      <c r="AB32" s="2">
        <f t="shared" si="49"/>
        <v>9.7124299999999977</v>
      </c>
      <c r="AC32" s="2">
        <f t="shared" si="50"/>
        <v>0.32375101046426702</v>
      </c>
      <c r="AD32" s="2">
        <f t="shared" si="51"/>
        <v>0.67624898953573298</v>
      </c>
      <c r="AE32" s="2">
        <f t="shared" si="52"/>
        <v>0.21506393850891872</v>
      </c>
      <c r="AF32" s="2">
        <f t="shared" si="53"/>
        <v>6.9627167406687424E-2</v>
      </c>
      <c r="AG32" s="2">
        <f t="shared" si="54"/>
        <v>14.362209999999997</v>
      </c>
      <c r="AH32" s="13">
        <v>53</v>
      </c>
      <c r="AI32">
        <f t="shared" si="55"/>
        <v>11.398388740972692</v>
      </c>
      <c r="AQ32" s="85" t="s">
        <v>235</v>
      </c>
      <c r="AR32" s="85"/>
      <c r="AS32" s="13"/>
      <c r="AT32" s="85"/>
      <c r="AU32" s="13">
        <f t="shared" si="40"/>
        <v>0</v>
      </c>
      <c r="AV32" s="13">
        <f t="shared" si="41"/>
        <v>0</v>
      </c>
      <c r="AW32" s="13" t="e">
        <f t="shared" si="42"/>
        <v>#DIV/0!</v>
      </c>
      <c r="AX32" s="13" t="e">
        <f t="shared" si="43"/>
        <v>#DIV/0!</v>
      </c>
      <c r="AY32" s="13" t="e">
        <f t="shared" si="44"/>
        <v>#DIV/0!</v>
      </c>
      <c r="AZ32" s="13" t="e">
        <f t="shared" si="45"/>
        <v>#DIV/0!</v>
      </c>
      <c r="BA32" s="13">
        <f t="shared" si="46"/>
        <v>0</v>
      </c>
      <c r="BB32" s="85">
        <v>21</v>
      </c>
      <c r="BC32" s="85" t="e">
        <f t="shared" si="56"/>
        <v>#DIV/0!</v>
      </c>
      <c r="BD32" s="85"/>
      <c r="BE32" s="85"/>
    </row>
    <row r="33" spans="1:57" x14ac:dyDescent="0.35">
      <c r="A33" s="85"/>
      <c r="B33" s="85"/>
      <c r="C33" s="85"/>
      <c r="D33" s="85"/>
      <c r="E33" s="85"/>
      <c r="F33" s="13">
        <v>51.448360000000001</v>
      </c>
      <c r="G33" s="85">
        <v>56.30227</v>
      </c>
      <c r="H33" s="13">
        <f t="shared" si="33"/>
        <v>4.8539099999999991</v>
      </c>
      <c r="I33" s="13">
        <f t="shared" si="34"/>
        <v>6.4142599999999987</v>
      </c>
      <c r="J33" s="13">
        <f t="shared" si="35"/>
        <v>0.43076293666140997</v>
      </c>
      <c r="K33" s="13">
        <f t="shared" si="36"/>
        <v>0.56923706333859003</v>
      </c>
      <c r="L33" s="13">
        <f t="shared" si="37"/>
        <v>0.20601947708136331</v>
      </c>
      <c r="M33" s="13">
        <f t="shared" si="38"/>
        <v>8.874555495701611E-2</v>
      </c>
      <c r="N33" s="13">
        <f t="shared" si="39"/>
        <v>11.268169999999998</v>
      </c>
      <c r="O33" s="85">
        <v>30</v>
      </c>
      <c r="P33" s="85">
        <f t="shared" si="47"/>
        <v>6.1805843124408995</v>
      </c>
      <c r="Q33" s="85"/>
      <c r="R33" s="85"/>
      <c r="S33" s="85"/>
      <c r="T33" s="85"/>
      <c r="W33" s="158" t="s">
        <v>293</v>
      </c>
      <c r="X33" s="158"/>
      <c r="Y33" s="133">
        <v>59.757719999999999</v>
      </c>
      <c r="Z33" s="133">
        <v>64.391679999999994</v>
      </c>
      <c r="AA33" s="133">
        <f t="shared" si="48"/>
        <v>4.6339599999999947</v>
      </c>
      <c r="AB33" s="133">
        <f t="shared" si="49"/>
        <v>6.3084100000000092</v>
      </c>
      <c r="AC33" s="133">
        <f t="shared" si="50"/>
        <v>0.42348778189733971</v>
      </c>
      <c r="AD33" s="133">
        <f t="shared" si="51"/>
        <v>0.57651221810266029</v>
      </c>
      <c r="AE33" s="133">
        <f t="shared" si="52"/>
        <v>0.21579815104144212</v>
      </c>
      <c r="AF33" s="133">
        <f t="shared" si="53"/>
        <v>9.1387880322087417E-2</v>
      </c>
      <c r="AG33" s="133">
        <f t="shared" si="54"/>
        <v>10.942370000000004</v>
      </c>
      <c r="AH33" s="133">
        <v>49</v>
      </c>
      <c r="AI33" s="158">
        <f t="shared" si="55"/>
        <v>10.574109401030665</v>
      </c>
      <c r="AQ33" s="85"/>
      <c r="AR33" s="85"/>
      <c r="AS33" s="13"/>
      <c r="AT33" s="85"/>
      <c r="AU33" s="13">
        <f t="shared" si="40"/>
        <v>0</v>
      </c>
      <c r="AV33" s="13">
        <f t="shared" si="41"/>
        <v>0</v>
      </c>
      <c r="AW33" s="13" t="e">
        <f t="shared" si="42"/>
        <v>#DIV/0!</v>
      </c>
      <c r="AX33" s="13" t="e">
        <f t="shared" si="43"/>
        <v>#DIV/0!</v>
      </c>
      <c r="AY33" s="13" t="e">
        <f t="shared" si="44"/>
        <v>#DIV/0!</v>
      </c>
      <c r="AZ33" s="13" t="e">
        <f t="shared" si="45"/>
        <v>#DIV/0!</v>
      </c>
      <c r="BA33" s="13">
        <f t="shared" si="46"/>
        <v>0</v>
      </c>
      <c r="BB33" s="85">
        <v>30</v>
      </c>
      <c r="BC33" s="85" t="e">
        <f t="shared" si="56"/>
        <v>#DIV/0!</v>
      </c>
      <c r="BD33" s="85"/>
      <c r="BE33" s="85"/>
    </row>
    <row r="34" spans="1:57" x14ac:dyDescent="0.35">
      <c r="A34" s="85"/>
      <c r="B34" s="85"/>
      <c r="C34" s="85"/>
      <c r="D34" s="144" t="s">
        <v>235</v>
      </c>
      <c r="E34" s="144"/>
      <c r="F34" s="91">
        <v>62.716529999999999</v>
      </c>
      <c r="G34" s="144">
        <v>65.540570000000002</v>
      </c>
      <c r="H34" s="91">
        <f t="shared" si="33"/>
        <v>2.8240400000000037</v>
      </c>
      <c r="I34" s="91">
        <f t="shared" si="34"/>
        <v>7.5137</v>
      </c>
      <c r="J34" s="91">
        <f t="shared" si="35"/>
        <v>0.27317769647911466</v>
      </c>
      <c r="K34" s="91">
        <f t="shared" si="36"/>
        <v>0.72682230352088539</v>
      </c>
      <c r="L34" s="91">
        <f t="shared" si="37"/>
        <v>0.35410263310717932</v>
      </c>
      <c r="M34" s="91">
        <f t="shared" si="38"/>
        <v>9.6732941629408334E-2</v>
      </c>
      <c r="N34" s="91">
        <f t="shared" si="39"/>
        <v>10.337740000000004</v>
      </c>
      <c r="O34" s="144">
        <v>20</v>
      </c>
      <c r="P34" s="144">
        <f t="shared" si="47"/>
        <v>7.0820526621435862</v>
      </c>
      <c r="Q34" s="85"/>
      <c r="R34" s="85"/>
      <c r="S34" s="85"/>
      <c r="T34" s="85"/>
      <c r="Y34" s="13">
        <v>70.700090000000003</v>
      </c>
      <c r="Z34" s="13">
        <v>76.313289999999995</v>
      </c>
      <c r="AA34" s="2">
        <f t="shared" si="48"/>
        <v>5.613199999999992</v>
      </c>
      <c r="AB34" s="2">
        <f t="shared" si="49"/>
        <v>6.1708399999999983</v>
      </c>
      <c r="AC34" s="2">
        <f t="shared" si="50"/>
        <v>0.47633918418471055</v>
      </c>
      <c r="AD34" s="2">
        <f t="shared" si="51"/>
        <v>0.52366081581528945</v>
      </c>
      <c r="AE34" s="2">
        <f t="shared" si="52"/>
        <v>0.17815150003563054</v>
      </c>
      <c r="AF34" s="2">
        <f t="shared" si="53"/>
        <v>8.4860540188254688E-2</v>
      </c>
      <c r="AG34" s="2">
        <f t="shared" si="54"/>
        <v>11.78403999999999</v>
      </c>
      <c r="AH34" s="13">
        <v>52</v>
      </c>
      <c r="AI34">
        <f t="shared" si="55"/>
        <v>9.2638780018527882</v>
      </c>
      <c r="AQ34" s="85" t="s">
        <v>235</v>
      </c>
      <c r="AR34" s="85"/>
      <c r="AS34" s="13"/>
      <c r="AT34" s="85"/>
      <c r="AU34" s="13">
        <f t="shared" si="40"/>
        <v>0</v>
      </c>
      <c r="AV34" s="13">
        <f t="shared" si="41"/>
        <v>0</v>
      </c>
      <c r="AW34" s="13" t="e">
        <f t="shared" si="42"/>
        <v>#DIV/0!</v>
      </c>
      <c r="AX34" s="13" t="e">
        <f t="shared" si="43"/>
        <v>#DIV/0!</v>
      </c>
      <c r="AY34" s="13" t="e">
        <f t="shared" si="44"/>
        <v>#DIV/0!</v>
      </c>
      <c r="AZ34" s="13" t="e">
        <f t="shared" si="45"/>
        <v>#DIV/0!</v>
      </c>
      <c r="BA34" s="13">
        <f t="shared" si="46"/>
        <v>0</v>
      </c>
      <c r="BB34" s="85">
        <v>20</v>
      </c>
      <c r="BC34" s="85" t="e">
        <f t="shared" si="56"/>
        <v>#DIV/0!</v>
      </c>
      <c r="BD34" s="85"/>
      <c r="BE34" s="85"/>
    </row>
    <row r="35" spans="1:57" x14ac:dyDescent="0.35">
      <c r="A35" s="85"/>
      <c r="B35" s="85"/>
      <c r="C35" s="85"/>
      <c r="D35" s="144" t="s">
        <v>235</v>
      </c>
      <c r="E35" s="144"/>
      <c r="F35" s="91">
        <v>73.054270000000002</v>
      </c>
      <c r="G35" s="144">
        <v>76.399019999999993</v>
      </c>
      <c r="H35" s="91">
        <f t="shared" si="33"/>
        <v>3.3447499999999906</v>
      </c>
      <c r="I35" s="91">
        <f t="shared" si="34"/>
        <v>6.7083900000000085</v>
      </c>
      <c r="J35" s="91">
        <f t="shared" si="35"/>
        <v>0.33270699502841805</v>
      </c>
      <c r="K35" s="91">
        <f t="shared" si="36"/>
        <v>0.66729300497158195</v>
      </c>
      <c r="L35" s="91">
        <f t="shared" si="37"/>
        <v>0.298976007175425</v>
      </c>
      <c r="M35" s="91">
        <f t="shared" si="38"/>
        <v>9.9471408932930411E-2</v>
      </c>
      <c r="N35" s="91">
        <f t="shared" si="39"/>
        <v>10.053139999999999</v>
      </c>
      <c r="O35" s="144">
        <v>22</v>
      </c>
      <c r="P35" s="144">
        <f t="shared" si="47"/>
        <v>6.5774721578593507</v>
      </c>
      <c r="Q35" s="85"/>
      <c r="R35" s="85"/>
      <c r="S35" s="85"/>
      <c r="T35" s="85"/>
      <c r="W35" s="158" t="s">
        <v>293</v>
      </c>
      <c r="X35" s="158"/>
      <c r="Y35" s="133">
        <v>82.484129999999993</v>
      </c>
      <c r="Z35" s="133">
        <v>89.019130000000004</v>
      </c>
      <c r="AA35" s="133">
        <f t="shared" si="48"/>
        <v>6.5350000000000108</v>
      </c>
      <c r="AB35" s="133">
        <f t="shared" si="49"/>
        <v>5.158850000000001</v>
      </c>
      <c r="AC35" s="133">
        <f t="shared" si="50"/>
        <v>0.55884075817630674</v>
      </c>
      <c r="AD35" s="133">
        <f t="shared" si="51"/>
        <v>0.44115924182369332</v>
      </c>
      <c r="AE35" s="133">
        <f t="shared" si="52"/>
        <v>0.15302218821729124</v>
      </c>
      <c r="AF35" s="133">
        <f t="shared" si="53"/>
        <v>8.5515035681148557E-2</v>
      </c>
      <c r="AG35" s="133">
        <f t="shared" si="54"/>
        <v>11.693850000000012</v>
      </c>
      <c r="AH35" s="133">
        <v>56</v>
      </c>
      <c r="AI35" s="158">
        <f t="shared" si="55"/>
        <v>8.569242540168311</v>
      </c>
      <c r="AQ35" s="85" t="s">
        <v>235</v>
      </c>
      <c r="AR35" s="85"/>
      <c r="AS35" s="13"/>
      <c r="AT35" s="85"/>
      <c r="AU35" s="13">
        <f t="shared" si="40"/>
        <v>0</v>
      </c>
      <c r="AV35" s="13">
        <f t="shared" si="41"/>
        <v>0</v>
      </c>
      <c r="AW35" s="13" t="e">
        <f t="shared" si="42"/>
        <v>#DIV/0!</v>
      </c>
      <c r="AX35" s="13" t="e">
        <f t="shared" si="43"/>
        <v>#DIV/0!</v>
      </c>
      <c r="AY35" s="13" t="e">
        <f t="shared" si="44"/>
        <v>#DIV/0!</v>
      </c>
      <c r="AZ35" s="13" t="e">
        <f t="shared" si="45"/>
        <v>#DIV/0!</v>
      </c>
      <c r="BA35" s="13">
        <f t="shared" si="46"/>
        <v>0</v>
      </c>
      <c r="BB35" s="85">
        <v>22</v>
      </c>
      <c r="BC35" s="85" t="e">
        <f t="shared" si="56"/>
        <v>#DIV/0!</v>
      </c>
      <c r="BD35" s="85"/>
      <c r="BE35" s="85"/>
    </row>
    <row r="36" spans="1:57" x14ac:dyDescent="0.35">
      <c r="A36" s="85"/>
      <c r="B36" s="85"/>
      <c r="C36" s="85"/>
      <c r="D36" s="85"/>
      <c r="E36" s="85"/>
      <c r="F36" s="85">
        <v>83.107410000000002</v>
      </c>
      <c r="G36" s="85">
        <v>87.871210000000005</v>
      </c>
      <c r="H36" s="13">
        <f t="shared" si="33"/>
        <v>4.7638000000000034</v>
      </c>
      <c r="I36" s="13">
        <f t="shared" si="34"/>
        <v>6.4506599999999992</v>
      </c>
      <c r="J36" s="13">
        <f t="shared" si="35"/>
        <v>0.42479085038423625</v>
      </c>
      <c r="K36" s="13">
        <f t="shared" si="36"/>
        <v>0.57520914961576375</v>
      </c>
      <c r="L36" s="13">
        <f t="shared" si="37"/>
        <v>0.20991645325160571</v>
      </c>
      <c r="M36" s="13">
        <f t="shared" si="38"/>
        <v>8.9170588686392369E-2</v>
      </c>
      <c r="N36" s="13">
        <f t="shared" si="39"/>
        <v>11.214460000000003</v>
      </c>
      <c r="O36" s="85">
        <v>31</v>
      </c>
      <c r="P36" s="85">
        <f t="shared" si="47"/>
        <v>6.507410050799777</v>
      </c>
      <c r="Q36" s="85"/>
      <c r="R36" s="85"/>
      <c r="S36" s="85"/>
      <c r="T36" s="85"/>
      <c r="Y36" s="13">
        <v>94.177980000000005</v>
      </c>
      <c r="Z36" s="13">
        <v>100.43425000000001</v>
      </c>
      <c r="AA36" s="2">
        <f t="shared" si="48"/>
        <v>6.2562700000000007</v>
      </c>
      <c r="AB36" s="2">
        <f t="shared" si="49"/>
        <v>6.3277199999999993</v>
      </c>
      <c r="AC36" s="2">
        <f t="shared" si="50"/>
        <v>0.49716107530282533</v>
      </c>
      <c r="AD36" s="2">
        <f t="shared" si="51"/>
        <v>0.50283892469717473</v>
      </c>
      <c r="AE36" s="2">
        <f t="shared" si="52"/>
        <v>0.15983964886425936</v>
      </c>
      <c r="AF36" s="2">
        <f t="shared" si="53"/>
        <v>7.9466051705381208E-2</v>
      </c>
      <c r="AG36" s="2">
        <f t="shared" si="54"/>
        <v>12.58399</v>
      </c>
      <c r="AH36">
        <v>55</v>
      </c>
      <c r="AI36">
        <f t="shared" si="55"/>
        <v>8.7911806875342648</v>
      </c>
      <c r="AQ36" s="85"/>
      <c r="AR36" s="85"/>
      <c r="AS36" s="85"/>
      <c r="AT36" s="85"/>
      <c r="AU36" s="13">
        <f t="shared" si="40"/>
        <v>0</v>
      </c>
      <c r="AV36" s="13">
        <f t="shared" si="41"/>
        <v>0</v>
      </c>
      <c r="AW36" s="13" t="e">
        <f t="shared" si="42"/>
        <v>#DIV/0!</v>
      </c>
      <c r="AX36" s="13" t="e">
        <f t="shared" si="43"/>
        <v>#DIV/0!</v>
      </c>
      <c r="AY36" s="13" t="e">
        <f t="shared" si="44"/>
        <v>#DIV/0!</v>
      </c>
      <c r="AZ36" s="13" t="e">
        <f t="shared" si="45"/>
        <v>#DIV/0!</v>
      </c>
      <c r="BA36" s="13">
        <f t="shared" si="46"/>
        <v>0</v>
      </c>
      <c r="BB36" s="85">
        <v>31</v>
      </c>
      <c r="BC36" s="85" t="e">
        <f t="shared" si="56"/>
        <v>#DIV/0!</v>
      </c>
      <c r="BD36" s="85"/>
      <c r="BE36" s="85"/>
    </row>
    <row r="37" spans="1:57" x14ac:dyDescent="0.35">
      <c r="A37" s="85"/>
      <c r="B37" s="85"/>
      <c r="C37" s="85"/>
      <c r="D37" s="85"/>
      <c r="E37" s="85"/>
      <c r="F37" s="85">
        <v>94.321870000000004</v>
      </c>
      <c r="G37" s="85">
        <v>100.12193000000001</v>
      </c>
      <c r="H37" s="13">
        <f t="shared" si="33"/>
        <v>5.800060000000002</v>
      </c>
      <c r="I37" s="13">
        <f t="shared" si="34"/>
        <v>6.552189999999996</v>
      </c>
      <c r="J37" s="13">
        <f t="shared" si="35"/>
        <v>0.46955493938351334</v>
      </c>
      <c r="K37" s="13">
        <f t="shared" si="36"/>
        <v>0.53044506061648666</v>
      </c>
      <c r="L37" s="13">
        <f t="shared" si="37"/>
        <v>0.17241200953093583</v>
      </c>
      <c r="M37" s="13">
        <f t="shared" si="38"/>
        <v>8.09569106842883E-2</v>
      </c>
      <c r="N37" s="13">
        <f t="shared" si="39"/>
        <v>12.352249999999998</v>
      </c>
      <c r="O37" s="85">
        <v>36</v>
      </c>
      <c r="P37" s="85">
        <f t="shared" si="47"/>
        <v>6.2068323431136898</v>
      </c>
      <c r="Q37" s="85"/>
      <c r="R37" s="85"/>
      <c r="S37" s="85"/>
      <c r="T37" s="85"/>
      <c r="W37" s="158" t="s">
        <v>293</v>
      </c>
      <c r="X37" s="158"/>
      <c r="Y37" s="158">
        <v>106.76197000000001</v>
      </c>
      <c r="Z37" s="158">
        <v>113.53946999999999</v>
      </c>
      <c r="AA37" s="133">
        <f t="shared" si="48"/>
        <v>6.7774999999999892</v>
      </c>
      <c r="AB37" s="133">
        <f t="shared" si="49"/>
        <v>6.5930500000000052</v>
      </c>
      <c r="AC37" s="133">
        <f t="shared" si="50"/>
        <v>0.50689762201255684</v>
      </c>
      <c r="AD37" s="133">
        <f t="shared" si="51"/>
        <v>0.49310237798744316</v>
      </c>
      <c r="AE37" s="133">
        <f t="shared" si="52"/>
        <v>0.1475470306160091</v>
      </c>
      <c r="AF37" s="133">
        <f t="shared" si="53"/>
        <v>7.4791238954268924E-2</v>
      </c>
      <c r="AG37" s="133">
        <f t="shared" si="54"/>
        <v>13.370549999999994</v>
      </c>
      <c r="AH37" s="158">
        <v>45</v>
      </c>
      <c r="AI37" s="158">
        <f t="shared" si="55"/>
        <v>6.6396163777204089</v>
      </c>
      <c r="AQ37" s="85"/>
      <c r="AR37" s="85"/>
      <c r="AS37" s="85"/>
      <c r="AT37" s="85"/>
      <c r="AU37" s="13">
        <f t="shared" si="40"/>
        <v>0</v>
      </c>
      <c r="AV37" s="13">
        <f t="shared" si="41"/>
        <v>0</v>
      </c>
      <c r="AW37" s="13" t="e">
        <f t="shared" si="42"/>
        <v>#DIV/0!</v>
      </c>
      <c r="AX37" s="13" t="e">
        <f t="shared" si="43"/>
        <v>#DIV/0!</v>
      </c>
      <c r="AY37" s="13" t="e">
        <f t="shared" si="44"/>
        <v>#DIV/0!</v>
      </c>
      <c r="AZ37" s="13" t="e">
        <f t="shared" si="45"/>
        <v>#DIV/0!</v>
      </c>
      <c r="BA37" s="13">
        <f t="shared" si="46"/>
        <v>0</v>
      </c>
      <c r="BB37" s="85">
        <v>36</v>
      </c>
      <c r="BC37" s="85" t="e">
        <f t="shared" si="56"/>
        <v>#DIV/0!</v>
      </c>
      <c r="BD37" s="85"/>
      <c r="BE37" s="85"/>
    </row>
    <row r="38" spans="1:57" x14ac:dyDescent="0.35">
      <c r="A38" s="85"/>
      <c r="B38" s="85"/>
      <c r="C38" s="85"/>
      <c r="D38" s="85"/>
      <c r="E38" s="85"/>
      <c r="F38" s="85">
        <v>106.67412</v>
      </c>
      <c r="G38" s="85">
        <v>112.48257</v>
      </c>
      <c r="H38" s="13">
        <f t="shared" si="33"/>
        <v>5.8084499999999935</v>
      </c>
      <c r="I38" s="13">
        <f t="shared" si="34"/>
        <v>6.6165600000000069</v>
      </c>
      <c r="J38" s="13">
        <f t="shared" si="35"/>
        <v>0.46748050907001226</v>
      </c>
      <c r="K38" s="13">
        <f t="shared" si="36"/>
        <v>0.53251949092998774</v>
      </c>
      <c r="L38" s="13">
        <f t="shared" si="37"/>
        <v>0.17216296946689755</v>
      </c>
      <c r="M38" s="13">
        <f t="shared" si="38"/>
        <v>8.0482832609390251E-2</v>
      </c>
      <c r="N38" s="13">
        <f t="shared" si="39"/>
        <v>12.42501</v>
      </c>
      <c r="O38" s="85">
        <v>34</v>
      </c>
      <c r="P38" s="85">
        <f t="shared" si="47"/>
        <v>5.8535409618745167</v>
      </c>
      <c r="Q38" s="85"/>
      <c r="R38" s="85"/>
      <c r="S38" s="85"/>
      <c r="T38" s="85"/>
      <c r="Y38" s="13">
        <v>120.13252</v>
      </c>
      <c r="Z38">
        <v>125.88359</v>
      </c>
      <c r="AA38" s="2">
        <f t="shared" si="48"/>
        <v>5.7510699999999986</v>
      </c>
      <c r="AB38" s="2">
        <f t="shared" si="49"/>
        <v>6.8046999999999969</v>
      </c>
      <c r="AC38" s="2">
        <f t="shared" si="50"/>
        <v>0.45804199981363153</v>
      </c>
      <c r="AD38" s="2">
        <f t="shared" si="51"/>
        <v>0.54195800018636842</v>
      </c>
      <c r="AE38" s="2">
        <f t="shared" si="52"/>
        <v>0.17388068655050282</v>
      </c>
      <c r="AF38" s="2">
        <f t="shared" si="53"/>
        <v>7.9644657396559543E-2</v>
      </c>
      <c r="AG38" s="2">
        <f t="shared" si="54"/>
        <v>12.555769999999995</v>
      </c>
      <c r="AH38">
        <v>43</v>
      </c>
      <c r="AI38">
        <f t="shared" si="55"/>
        <v>7.4768695216716212</v>
      </c>
      <c r="AK38" t="s">
        <v>247</v>
      </c>
      <c r="AQ38" s="85"/>
      <c r="AR38" s="85"/>
      <c r="AS38" s="85"/>
      <c r="AT38" s="85"/>
      <c r="AU38" s="13">
        <f t="shared" si="40"/>
        <v>0</v>
      </c>
      <c r="AV38" s="13">
        <f t="shared" si="41"/>
        <v>0</v>
      </c>
      <c r="AW38" s="13" t="e">
        <f t="shared" si="42"/>
        <v>#DIV/0!</v>
      </c>
      <c r="AX38" s="13" t="e">
        <f t="shared" si="43"/>
        <v>#DIV/0!</v>
      </c>
      <c r="AY38" s="13" t="e">
        <f t="shared" si="44"/>
        <v>#DIV/0!</v>
      </c>
      <c r="AZ38" s="13" t="e">
        <f t="shared" si="45"/>
        <v>#DIV/0!</v>
      </c>
      <c r="BA38" s="13">
        <f t="shared" si="46"/>
        <v>0</v>
      </c>
      <c r="BB38" s="85">
        <v>34</v>
      </c>
      <c r="BC38" s="85" t="e">
        <f t="shared" si="56"/>
        <v>#DIV/0!</v>
      </c>
      <c r="BD38" s="85"/>
      <c r="BE38" s="85"/>
    </row>
    <row r="39" spans="1:57" x14ac:dyDescent="0.35">
      <c r="A39" s="85"/>
      <c r="B39" s="85"/>
      <c r="C39" s="85"/>
      <c r="D39" s="85"/>
      <c r="E39" s="85"/>
      <c r="F39" s="85">
        <v>119.09913</v>
      </c>
      <c r="G39" s="85">
        <v>124.23829000000001</v>
      </c>
      <c r="H39" s="13">
        <f t="shared" si="33"/>
        <v>5.1391600000000039</v>
      </c>
      <c r="I39" s="13">
        <f t="shared" si="34"/>
        <v>5.9878699999999867</v>
      </c>
      <c r="J39" s="13">
        <f>H39/N39</f>
        <v>0.46186268932500479</v>
      </c>
      <c r="K39" s="13">
        <f t="shared" si="36"/>
        <v>0.53813731067499515</v>
      </c>
      <c r="L39" s="13">
        <f t="shared" si="37"/>
        <v>0.194584328956483</v>
      </c>
      <c r="M39" s="13">
        <f t="shared" si="38"/>
        <v>8.9871241472342656E-2</v>
      </c>
      <c r="N39" s="13">
        <f t="shared" si="39"/>
        <v>11.127029999999991</v>
      </c>
      <c r="O39" s="85">
        <v>30</v>
      </c>
      <c r="P39" s="85">
        <f t="shared" si="47"/>
        <v>5.8375298686944905</v>
      </c>
      <c r="Q39" s="85"/>
      <c r="R39" t="s">
        <v>234</v>
      </c>
      <c r="S39" s="85"/>
      <c r="T39" s="85"/>
      <c r="W39" s="158" t="s">
        <v>293</v>
      </c>
      <c r="X39" s="158"/>
      <c r="Y39" s="133">
        <v>132.68828999999999</v>
      </c>
      <c r="Z39" s="158">
        <v>139.33226999999999</v>
      </c>
      <c r="AA39" s="133">
        <f t="shared" si="48"/>
        <v>6.6439799999999991</v>
      </c>
      <c r="AB39" s="133">
        <f t="shared" si="49"/>
        <v>6.8843700000000183</v>
      </c>
      <c r="AC39" s="133">
        <f t="shared" si="50"/>
        <v>0.49111532448524697</v>
      </c>
      <c r="AD39" s="133">
        <f t="shared" si="51"/>
        <v>0.50888467551475303</v>
      </c>
      <c r="AE39" s="133">
        <f t="shared" si="52"/>
        <v>0.15051219299275437</v>
      </c>
      <c r="AF39" s="133">
        <f t="shared" si="53"/>
        <v>7.3918844500622666E-2</v>
      </c>
      <c r="AG39" s="133">
        <f t="shared" si="54"/>
        <v>13.528350000000017</v>
      </c>
      <c r="AH39" s="158">
        <v>47</v>
      </c>
      <c r="AI39" s="158">
        <f t="shared" si="55"/>
        <v>7.0740730706594555</v>
      </c>
      <c r="AQ39" s="85"/>
      <c r="AR39" s="85"/>
      <c r="AS39" s="85"/>
      <c r="AT39" s="85"/>
      <c r="AU39" s="85"/>
      <c r="AV39" s="85"/>
      <c r="AW39" s="85"/>
      <c r="AX39" s="85"/>
      <c r="AY39" s="85"/>
      <c r="AZ39" s="85"/>
      <c r="BA39" s="85"/>
      <c r="BB39" s="85"/>
      <c r="BC39" s="85"/>
      <c r="BD39" s="85"/>
    </row>
    <row r="40" spans="1:57" x14ac:dyDescent="0.35">
      <c r="A40" s="85"/>
      <c r="B40" s="85"/>
      <c r="C40" s="85"/>
      <c r="D40" s="85"/>
      <c r="E40" s="85"/>
      <c r="F40" s="85">
        <v>130.22615999999999</v>
      </c>
      <c r="G40" s="85">
        <v>134.86599000000001</v>
      </c>
      <c r="H40" s="13">
        <f t="shared" si="33"/>
        <v>4.6398300000000177</v>
      </c>
      <c r="I40" s="13">
        <f t="shared" si="34"/>
        <v>6.9189499999999953</v>
      </c>
      <c r="J40" s="13">
        <f t="shared" si="35"/>
        <v>0.40141174068543672</v>
      </c>
      <c r="K40" s="13">
        <f t="shared" si="36"/>
        <v>0.59858825931456328</v>
      </c>
      <c r="L40" s="13">
        <f t="shared" si="37"/>
        <v>0.21552513777444351</v>
      </c>
      <c r="M40" s="13">
        <f t="shared" si="38"/>
        <v>8.6514320715507936E-2</v>
      </c>
      <c r="N40" s="13">
        <f t="shared" si="39"/>
        <v>11.558780000000013</v>
      </c>
      <c r="O40" s="85">
        <v>28</v>
      </c>
      <c r="P40" s="85">
        <f t="shared" si="47"/>
        <v>6.0347038576844181</v>
      </c>
      <c r="Q40" s="85"/>
      <c r="R40" s="85"/>
      <c r="S40" s="85"/>
      <c r="T40" s="85"/>
      <c r="Y40" s="13">
        <v>146.21664000000001</v>
      </c>
      <c r="Z40">
        <v>151.94602</v>
      </c>
      <c r="AA40" s="2">
        <f t="shared" si="48"/>
        <v>5.7293799999999919</v>
      </c>
      <c r="AB40" s="2">
        <f t="shared" si="49"/>
        <v>7.8428800000000081</v>
      </c>
      <c r="AC40" s="2">
        <f t="shared" si="50"/>
        <v>0.42213898053824433</v>
      </c>
      <c r="AD40" s="2">
        <f t="shared" si="51"/>
        <v>0.57786101946175572</v>
      </c>
      <c r="AE40" s="2">
        <f t="shared" si="52"/>
        <v>0.17453895534944469</v>
      </c>
      <c r="AF40" s="2">
        <f t="shared" si="53"/>
        <v>7.3679696675424733E-2</v>
      </c>
      <c r="AG40" s="2">
        <f t="shared" si="54"/>
        <v>13.57226</v>
      </c>
      <c r="AH40">
        <v>43</v>
      </c>
      <c r="AI40">
        <f t="shared" si="55"/>
        <v>7.5051750800261212</v>
      </c>
    </row>
    <row r="41" spans="1:57" x14ac:dyDescent="0.35">
      <c r="A41" s="85"/>
      <c r="B41" s="85"/>
      <c r="C41" s="85"/>
      <c r="D41" s="85"/>
      <c r="E41" s="85"/>
      <c r="F41" s="85">
        <v>141.78494000000001</v>
      </c>
      <c r="G41" s="85">
        <v>146.67385999999999</v>
      </c>
      <c r="H41" s="13">
        <f t="shared" si="33"/>
        <v>4.8889199999999846</v>
      </c>
      <c r="I41" s="13">
        <f t="shared" si="34"/>
        <v>6.6361699999999928</v>
      </c>
      <c r="J41" s="13">
        <f t="shared" si="35"/>
        <v>0.42419798890941363</v>
      </c>
      <c r="K41" s="13">
        <f t="shared" si="36"/>
        <v>0.57580201109058637</v>
      </c>
      <c r="L41" s="13">
        <f t="shared" si="37"/>
        <v>0.20454415290084582</v>
      </c>
      <c r="M41" s="13">
        <f t="shared" si="38"/>
        <v>8.6767218303718405E-2</v>
      </c>
      <c r="N41" s="13">
        <f t="shared" si="39"/>
        <v>11.525089999999977</v>
      </c>
      <c r="O41" s="85">
        <v>28</v>
      </c>
      <c r="P41" s="85">
        <f t="shared" si="47"/>
        <v>5.727236281223683</v>
      </c>
      <c r="Q41" s="85"/>
      <c r="R41" s="85"/>
      <c r="S41" s="85"/>
      <c r="T41" s="85"/>
      <c r="W41" s="158" t="s">
        <v>293</v>
      </c>
      <c r="X41" s="158"/>
      <c r="Y41" s="133">
        <v>159.78890000000001</v>
      </c>
      <c r="Z41" s="158">
        <v>165.64583999999999</v>
      </c>
      <c r="AA41" s="133">
        <f t="shared" si="48"/>
        <v>5.8569399999999803</v>
      </c>
      <c r="AB41" s="133">
        <f t="shared" si="49"/>
        <v>6.7432300000000112</v>
      </c>
      <c r="AC41" s="133">
        <f t="shared" si="50"/>
        <v>0.46483023641744392</v>
      </c>
      <c r="AD41" s="133">
        <f t="shared" si="51"/>
        <v>0.53516976358255608</v>
      </c>
      <c r="AE41" s="133">
        <f t="shared" si="52"/>
        <v>0.17073762066881398</v>
      </c>
      <c r="AF41" s="133">
        <f t="shared" si="53"/>
        <v>7.9364008580836656E-2</v>
      </c>
      <c r="AG41" s="133">
        <f t="shared" si="54"/>
        <v>12.600169999999991</v>
      </c>
      <c r="AH41" s="158">
        <v>46</v>
      </c>
      <c r="AI41" s="158">
        <f t="shared" si="55"/>
        <v>7.8539305507654431</v>
      </c>
    </row>
    <row r="42" spans="1:57" x14ac:dyDescent="0.35">
      <c r="A42" s="156"/>
      <c r="B42" s="85"/>
      <c r="C42" s="85"/>
      <c r="D42" s="85"/>
      <c r="E42" s="85"/>
      <c r="F42" s="85">
        <v>153.31002999999998</v>
      </c>
      <c r="G42" s="85">
        <v>158.04507000000001</v>
      </c>
      <c r="H42" s="13">
        <f t="shared" si="33"/>
        <v>4.7350400000000263</v>
      </c>
      <c r="I42" s="13">
        <f t="shared" si="34"/>
        <v>7.85902999999999</v>
      </c>
      <c r="J42" s="13">
        <f t="shared" si="35"/>
        <v>0.37597377178307095</v>
      </c>
      <c r="K42" s="13">
        <f t="shared" si="36"/>
        <v>0.6240262282169291</v>
      </c>
      <c r="L42" s="13">
        <f t="shared" si="37"/>
        <v>0.21119145772791664</v>
      </c>
      <c r="M42" s="13">
        <f t="shared" si="38"/>
        <v>7.94024489303298E-2</v>
      </c>
      <c r="N42" s="13">
        <f t="shared" si="39"/>
        <v>12.594070000000016</v>
      </c>
      <c r="O42" s="85">
        <v>28</v>
      </c>
      <c r="P42" s="85">
        <f t="shared" si="47"/>
        <v>5.9133608163816662</v>
      </c>
      <c r="Q42" s="85"/>
      <c r="R42" s="85"/>
      <c r="S42" s="85"/>
      <c r="T42" s="85"/>
      <c r="Y42" s="13">
        <v>172.38907</v>
      </c>
      <c r="Z42">
        <v>178.29791</v>
      </c>
      <c r="AA42" s="2">
        <f t="shared" si="48"/>
        <v>5.9088399999999979</v>
      </c>
      <c r="AB42" s="2">
        <f t="shared" si="49"/>
        <v>6.7604099999999789</v>
      </c>
      <c r="AC42" s="2">
        <f t="shared" si="50"/>
        <v>0.46639224894922815</v>
      </c>
      <c r="AD42" s="2">
        <f t="shared" si="51"/>
        <v>0.53360775105077185</v>
      </c>
      <c r="AE42" s="2">
        <f t="shared" si="52"/>
        <v>0.16923795533471889</v>
      </c>
      <c r="AF42" s="2">
        <f t="shared" si="53"/>
        <v>7.8931270596128561E-2</v>
      </c>
      <c r="AG42" s="2">
        <f t="shared" si="54"/>
        <v>12.669249999999977</v>
      </c>
      <c r="AH42">
        <v>45</v>
      </c>
      <c r="AI42">
        <f t="shared" si="55"/>
        <v>7.6157079900623499</v>
      </c>
    </row>
    <row r="43" spans="1:57" x14ac:dyDescent="0.35">
      <c r="A43" s="85"/>
      <c r="B43" s="85"/>
      <c r="C43" s="85"/>
      <c r="D43" s="144" t="s">
        <v>235</v>
      </c>
      <c r="E43" s="144"/>
      <c r="F43" s="144">
        <v>165.9041</v>
      </c>
      <c r="G43" s="144">
        <v>168.96153000000001</v>
      </c>
      <c r="H43" s="91">
        <f t="shared" si="33"/>
        <v>3.0574300000000108</v>
      </c>
      <c r="I43" s="91">
        <f t="shared" si="34"/>
        <v>8.541089999999997</v>
      </c>
      <c r="J43" s="91">
        <f t="shared" si="35"/>
        <v>0.26360518410969752</v>
      </c>
      <c r="K43" s="91">
        <f t="shared" si="36"/>
        <v>0.73639481589030253</v>
      </c>
      <c r="L43" s="91">
        <f t="shared" si="37"/>
        <v>0.32707208341646299</v>
      </c>
      <c r="M43" s="91">
        <f t="shared" si="38"/>
        <v>8.6217896766139071E-2</v>
      </c>
      <c r="N43" s="91">
        <f t="shared" si="39"/>
        <v>11.598520000000008</v>
      </c>
      <c r="O43" s="144">
        <v>21</v>
      </c>
      <c r="P43" s="144">
        <f t="shared" si="47"/>
        <v>6.8685137517457227</v>
      </c>
      <c r="Q43" s="85"/>
      <c r="R43" s="85"/>
      <c r="S43" s="85"/>
      <c r="T43" s="85"/>
      <c r="Y43" s="13">
        <v>185.05831999999998</v>
      </c>
      <c r="Z43">
        <v>190.75173000000001</v>
      </c>
      <c r="AA43" s="2">
        <f t="shared" si="48"/>
        <v>5.6934100000000285</v>
      </c>
      <c r="AB43" s="2">
        <f t="shared" si="49"/>
        <v>7.8073499999999854</v>
      </c>
      <c r="AC43" s="2">
        <f t="shared" si="50"/>
        <v>0.42171033334419861</v>
      </c>
      <c r="AD43" s="2">
        <f t="shared" si="51"/>
        <v>0.57828966665580139</v>
      </c>
      <c r="AE43" s="2">
        <f t="shared" si="52"/>
        <v>0.17564166290500685</v>
      </c>
      <c r="AF43" s="2">
        <f t="shared" si="53"/>
        <v>7.4069904212799798E-2</v>
      </c>
      <c r="AG43" s="2">
        <f t="shared" si="54"/>
        <v>13.500760000000014</v>
      </c>
      <c r="AH43">
        <v>42</v>
      </c>
      <c r="AI43">
        <f t="shared" si="55"/>
        <v>7.376949842010287</v>
      </c>
    </row>
    <row r="44" spans="1:57" x14ac:dyDescent="0.35">
      <c r="A44" s="85"/>
      <c r="B44" s="85"/>
      <c r="C44" s="85"/>
      <c r="D44" s="85"/>
      <c r="E44" s="85"/>
      <c r="F44" s="85">
        <v>177.50262000000001</v>
      </c>
      <c r="G44" s="85">
        <v>182.48903999999999</v>
      </c>
      <c r="H44" s="13">
        <f t="shared" si="33"/>
        <v>4.9864199999999812</v>
      </c>
      <c r="I44" s="13">
        <f t="shared" si="34"/>
        <v>7.5241800000000012</v>
      </c>
      <c r="J44" s="13">
        <f t="shared" si="35"/>
        <v>0.39857560788451302</v>
      </c>
      <c r="K44" s="13">
        <f t="shared" si="36"/>
        <v>0.60142439211548704</v>
      </c>
      <c r="L44" s="13">
        <f t="shared" si="37"/>
        <v>0.20054467934911294</v>
      </c>
      <c r="M44" s="13">
        <f t="shared" si="38"/>
        <v>7.9932217479577433E-2</v>
      </c>
      <c r="N44" s="13">
        <f t="shared" si="39"/>
        <v>12.510599999999982</v>
      </c>
      <c r="O44" s="85">
        <v>30</v>
      </c>
      <c r="P44" s="85">
        <f t="shared" si="47"/>
        <v>6.0163403804733884</v>
      </c>
      <c r="Q44" s="85"/>
      <c r="R44" s="85"/>
      <c r="S44" s="85"/>
      <c r="T44" s="85"/>
      <c r="W44" s="158" t="s">
        <v>293</v>
      </c>
      <c r="X44" s="158"/>
      <c r="Y44" s="158">
        <v>198.55907999999999</v>
      </c>
      <c r="Z44" s="158">
        <v>204.84183000000002</v>
      </c>
      <c r="AA44" s="133">
        <f t="shared" si="48"/>
        <v>6.2827500000000214</v>
      </c>
      <c r="AB44" s="133">
        <f t="shared" si="49"/>
        <v>6.1905600000000049</v>
      </c>
      <c r="AC44" s="133">
        <f t="shared" si="50"/>
        <v>0.50369549061155439</v>
      </c>
      <c r="AD44" s="133">
        <f t="shared" si="51"/>
        <v>0.49630450938844556</v>
      </c>
      <c r="AE44" s="133">
        <f t="shared" si="52"/>
        <v>0.159165970315546</v>
      </c>
      <c r="AF44" s="133">
        <f t="shared" si="53"/>
        <v>8.017118150675305E-2</v>
      </c>
      <c r="AG44" s="133">
        <f t="shared" si="54"/>
        <v>12.473310000000026</v>
      </c>
      <c r="AH44" s="158">
        <v>47</v>
      </c>
      <c r="AI44" s="158">
        <f t="shared" si="55"/>
        <v>7.4808006048306614</v>
      </c>
    </row>
    <row r="45" spans="1:57" x14ac:dyDescent="0.35">
      <c r="A45" s="85"/>
      <c r="B45" s="85"/>
      <c r="C45" s="85"/>
      <c r="D45" s="85"/>
      <c r="E45" s="85"/>
      <c r="F45" s="85">
        <v>190.01321999999999</v>
      </c>
      <c r="G45" s="85">
        <v>195.18011999999999</v>
      </c>
      <c r="H45" s="13">
        <f t="shared" si="33"/>
        <v>5.1668999999999983</v>
      </c>
      <c r="I45" s="13">
        <f t="shared" si="34"/>
        <v>7.1723200000000134</v>
      </c>
      <c r="J45" s="13">
        <f t="shared" si="35"/>
        <v>0.4187379753339347</v>
      </c>
      <c r="K45" s="13">
        <f t="shared" si="36"/>
        <v>0.58126202466606536</v>
      </c>
      <c r="L45" s="13">
        <f t="shared" si="37"/>
        <v>0.19353964659660539</v>
      </c>
      <c r="M45" s="13">
        <f t="shared" si="38"/>
        <v>8.1042399762707773E-2</v>
      </c>
      <c r="N45" s="13">
        <f t="shared" si="39"/>
        <v>12.339220000000012</v>
      </c>
      <c r="O45" s="85">
        <v>32</v>
      </c>
      <c r="P45" s="85">
        <f t="shared" si="47"/>
        <v>6.1932686910913723</v>
      </c>
      <c r="Q45" s="85"/>
      <c r="R45" s="85"/>
      <c r="S45" s="85"/>
      <c r="T45" s="85"/>
      <c r="Y45">
        <v>211.03239000000002</v>
      </c>
      <c r="Z45">
        <v>218.27119999999999</v>
      </c>
      <c r="AA45" s="2">
        <f t="shared" si="48"/>
        <v>7.2388099999999724</v>
      </c>
      <c r="AB45" s="2">
        <f t="shared" si="49"/>
        <v>5.2210900000000038</v>
      </c>
      <c r="AC45" s="2">
        <f t="shared" si="50"/>
        <v>0.58096854709909274</v>
      </c>
      <c r="AD45" s="2">
        <f t="shared" si="51"/>
        <v>0.41903145290090721</v>
      </c>
      <c r="AE45" s="2">
        <f t="shared" si="52"/>
        <v>0.13814425299185967</v>
      </c>
      <c r="AF45" s="2">
        <f t="shared" si="53"/>
        <v>8.0257465950770226E-2</v>
      </c>
      <c r="AG45" s="2">
        <f t="shared" si="54"/>
        <v>12.459899999999976</v>
      </c>
      <c r="AH45">
        <v>56</v>
      </c>
      <c r="AI45">
        <f t="shared" si="55"/>
        <v>7.7360781675441421</v>
      </c>
    </row>
    <row r="46" spans="1:57" x14ac:dyDescent="0.35">
      <c r="A46" s="85"/>
      <c r="B46" s="85"/>
      <c r="C46" s="85"/>
      <c r="D46" s="144" t="s">
        <v>235</v>
      </c>
      <c r="E46" s="144"/>
      <c r="F46" s="144">
        <v>202.35244</v>
      </c>
      <c r="G46" s="144">
        <v>205.55027000000001</v>
      </c>
      <c r="H46" s="91">
        <f t="shared" si="33"/>
        <v>3.1978300000000104</v>
      </c>
      <c r="I46" s="91">
        <f t="shared" si="34"/>
        <v>8.0041400000000067</v>
      </c>
      <c r="J46" s="91">
        <f t="shared" si="35"/>
        <v>0.2854703235234522</v>
      </c>
      <c r="K46" s="91">
        <f t="shared" si="36"/>
        <v>0.71452967647654786</v>
      </c>
      <c r="L46" s="91">
        <f t="shared" si="37"/>
        <v>0.31271205786423817</v>
      </c>
      <c r="M46" s="91">
        <f t="shared" si="38"/>
        <v>8.9270012328188569E-2</v>
      </c>
      <c r="N46" s="91">
        <f t="shared" si="39"/>
        <v>11.201970000000017</v>
      </c>
      <c r="O46" s="144">
        <v>21</v>
      </c>
      <c r="P46" s="144">
        <f t="shared" si="47"/>
        <v>6.5669532151490015</v>
      </c>
      <c r="Q46" s="85"/>
      <c r="R46" s="85"/>
      <c r="S46" s="85"/>
      <c r="T46" s="85"/>
      <c r="Y46">
        <v>223.49229</v>
      </c>
      <c r="Z46">
        <v>231.30457000000001</v>
      </c>
      <c r="AA46" s="2">
        <f t="shared" si="48"/>
        <v>7.8122800000000154</v>
      </c>
      <c r="AB46" s="2">
        <f t="shared" si="49"/>
        <v>6.7531999999999925</v>
      </c>
      <c r="AC46" s="2">
        <f t="shared" si="50"/>
        <v>0.53635582212189448</v>
      </c>
      <c r="AD46" s="2">
        <f t="shared" ref="AD46:AD55" si="57">AB46/AG46</f>
        <v>0.46364417787810558</v>
      </c>
      <c r="AE46" s="2">
        <f t="shared" ref="AE46:AE55" si="58">1/AA46</f>
        <v>0.12800360458150475</v>
      </c>
      <c r="AF46" s="2">
        <f t="shared" si="53"/>
        <v>6.8655478569878886E-2</v>
      </c>
      <c r="AG46" s="2">
        <f t="shared" ref="AG46:AG55" si="59">AA46+AB46</f>
        <v>14.565480000000008</v>
      </c>
      <c r="AH46">
        <v>63</v>
      </c>
      <c r="AI46">
        <f t="shared" si="55"/>
        <v>8.0642270886347998</v>
      </c>
    </row>
    <row r="47" spans="1:57" x14ac:dyDescent="0.35">
      <c r="A47" s="85"/>
      <c r="B47" s="85"/>
      <c r="C47" s="85"/>
      <c r="D47" s="85"/>
      <c r="E47" s="85"/>
      <c r="F47" s="85">
        <v>213.55441000000002</v>
      </c>
      <c r="G47" s="85">
        <v>219.11135999999999</v>
      </c>
      <c r="H47" s="13">
        <f t="shared" si="33"/>
        <v>5.5569499999999721</v>
      </c>
      <c r="I47" s="13">
        <f t="shared" si="34"/>
        <v>5.5578800000000115</v>
      </c>
      <c r="J47" s="13">
        <f t="shared" si="35"/>
        <v>0.49995816400250659</v>
      </c>
      <c r="K47" s="13">
        <f t="shared" si="36"/>
        <v>0.50004183599749341</v>
      </c>
      <c r="L47" s="13">
        <f t="shared" si="37"/>
        <v>0.17995483133733522</v>
      </c>
      <c r="M47" s="13">
        <f t="shared" si="38"/>
        <v>8.9969887078794858E-2</v>
      </c>
      <c r="N47" s="13">
        <f t="shared" si="39"/>
        <v>11.114829999999984</v>
      </c>
      <c r="O47" s="85">
        <v>35</v>
      </c>
      <c r="P47" s="85">
        <f t="shared" si="47"/>
        <v>6.2984190968067333</v>
      </c>
      <c r="Q47" s="85"/>
      <c r="R47" s="85"/>
      <c r="S47" s="85"/>
      <c r="T47" s="85"/>
      <c r="Y47">
        <v>238.05777</v>
      </c>
      <c r="Z47">
        <v>244.11154999999999</v>
      </c>
      <c r="AA47" s="2">
        <f t="shared" si="48"/>
        <v>6.0537799999999891</v>
      </c>
      <c r="AB47" s="2">
        <f t="shared" si="49"/>
        <v>7.3287699999999916</v>
      </c>
      <c r="AC47" s="2">
        <f t="shared" si="50"/>
        <v>0.45236371244643192</v>
      </c>
      <c r="AD47" s="2">
        <f t="shared" si="57"/>
        <v>0.54763628755356808</v>
      </c>
      <c r="AE47" s="2">
        <f t="shared" si="58"/>
        <v>0.16518604904704198</v>
      </c>
      <c r="AF47" s="2">
        <f t="shared" si="53"/>
        <v>7.4724174391278306E-2</v>
      </c>
      <c r="AG47" s="2">
        <f t="shared" si="59"/>
        <v>13.382549999999981</v>
      </c>
      <c r="AH47">
        <f>19+33</f>
        <v>52</v>
      </c>
      <c r="AI47">
        <f t="shared" si="55"/>
        <v>8.5896745504461833</v>
      </c>
      <c r="AK47" t="s">
        <v>248</v>
      </c>
    </row>
    <row r="48" spans="1:57" x14ac:dyDescent="0.35">
      <c r="A48" s="85"/>
      <c r="B48" s="85"/>
      <c r="C48" s="85"/>
      <c r="D48" s="157" t="s">
        <v>235</v>
      </c>
      <c r="E48" s="157"/>
      <c r="F48" s="157">
        <v>224.66924</v>
      </c>
      <c r="G48" s="157">
        <v>230.45041000000001</v>
      </c>
      <c r="H48" s="132">
        <f t="shared" si="33"/>
        <v>5.781170000000003</v>
      </c>
      <c r="I48" s="132">
        <f t="shared" ref="I48:I55" si="60">F49-G48</f>
        <v>10.906959999999998</v>
      </c>
      <c r="J48" s="132">
        <f t="shared" ref="J48:J55" si="61">H48/N48</f>
        <v>0.34642407507611711</v>
      </c>
      <c r="K48" s="132">
        <f t="shared" ref="K48:K55" si="62">I48/N48</f>
        <v>0.65357592492388283</v>
      </c>
      <c r="L48" s="132">
        <f t="shared" ref="L48:L55" si="63">1/H48</f>
        <v>0.17297536657804552</v>
      </c>
      <c r="M48" s="132">
        <f t="shared" ref="M48:M55" si="64">1/N48</f>
        <v>5.9922831377751729E-2</v>
      </c>
      <c r="N48" s="132">
        <f t="shared" ref="N48:N55" si="65">H48+I48</f>
        <v>16.688130000000001</v>
      </c>
      <c r="O48" s="157">
        <v>31</v>
      </c>
      <c r="P48" s="157">
        <f t="shared" si="47"/>
        <v>5.3622363639194113</v>
      </c>
      <c r="Q48" s="85"/>
      <c r="R48" s="85"/>
      <c r="S48" s="85"/>
      <c r="T48" s="85"/>
      <c r="Y48">
        <v>251.44031999999999</v>
      </c>
      <c r="Z48">
        <v>259.14222999999998</v>
      </c>
      <c r="AA48" s="2">
        <f t="shared" si="48"/>
        <v>7.701909999999998</v>
      </c>
      <c r="AB48" s="2">
        <f t="shared" si="49"/>
        <v>6.1285000000000309</v>
      </c>
      <c r="AC48" s="2">
        <f t="shared" si="50"/>
        <v>0.55688226162492527</v>
      </c>
      <c r="AD48" s="2">
        <f t="shared" si="57"/>
        <v>0.44311773837507479</v>
      </c>
      <c r="AE48" s="2">
        <f t="shared" si="58"/>
        <v>0.12983792332031927</v>
      </c>
      <c r="AF48" s="2">
        <f t="shared" si="53"/>
        <v>7.2304436383303014E-2</v>
      </c>
      <c r="AG48" s="2">
        <f t="shared" si="59"/>
        <v>13.830410000000029</v>
      </c>
      <c r="AH48">
        <v>63</v>
      </c>
      <c r="AI48">
        <f t="shared" si="55"/>
        <v>8.1797891691801148</v>
      </c>
    </row>
    <row r="49" spans="1:35" x14ac:dyDescent="0.35">
      <c r="A49" s="85"/>
      <c r="B49" s="85"/>
      <c r="C49" s="85"/>
      <c r="D49" s="85"/>
      <c r="E49" s="85"/>
      <c r="F49" s="85">
        <v>241.35737</v>
      </c>
      <c r="G49">
        <v>246.82191</v>
      </c>
      <c r="H49" s="13">
        <f t="shared" si="33"/>
        <v>5.4645399999999995</v>
      </c>
      <c r="I49" s="13">
        <f t="shared" si="60"/>
        <v>6.9264599999999916</v>
      </c>
      <c r="J49" s="13">
        <f t="shared" si="61"/>
        <v>0.44100879670728782</v>
      </c>
      <c r="K49" s="13">
        <f t="shared" si="62"/>
        <v>0.55899120329271212</v>
      </c>
      <c r="L49" s="13">
        <f t="shared" si="63"/>
        <v>0.18299801996142404</v>
      </c>
      <c r="M49" s="13">
        <f t="shared" si="64"/>
        <v>8.0703736583003852E-2</v>
      </c>
      <c r="N49" s="13">
        <f t="shared" si="65"/>
        <v>12.390999999999991</v>
      </c>
      <c r="O49" s="85">
        <v>31</v>
      </c>
      <c r="P49" s="85">
        <f t="shared" si="47"/>
        <v>5.6729386188041451</v>
      </c>
      <c r="Q49" s="85"/>
      <c r="R49" t="s">
        <v>239</v>
      </c>
      <c r="S49" s="85"/>
      <c r="T49" s="85"/>
      <c r="W49" s="158" t="s">
        <v>292</v>
      </c>
      <c r="X49" s="158"/>
      <c r="Y49" s="158">
        <v>265.27073000000001</v>
      </c>
      <c r="Z49" s="158">
        <v>271.84100999999998</v>
      </c>
      <c r="AA49" s="133">
        <f t="shared" si="48"/>
        <v>6.5702799999999684</v>
      </c>
      <c r="AB49" s="133">
        <f t="shared" si="49"/>
        <v>5.9156199999999899</v>
      </c>
      <c r="AC49" s="133">
        <f t="shared" si="50"/>
        <v>0.5262159716159821</v>
      </c>
      <c r="AD49" s="133">
        <f t="shared" si="57"/>
        <v>0.47378402838401795</v>
      </c>
      <c r="AE49" s="133">
        <f t="shared" si="58"/>
        <v>0.15220051504654364</v>
      </c>
      <c r="AF49" s="133">
        <f t="shared" si="53"/>
        <v>8.0090341905669868E-2</v>
      </c>
      <c r="AG49" s="133">
        <f t="shared" si="59"/>
        <v>12.485899999999958</v>
      </c>
      <c r="AH49" s="158">
        <v>52</v>
      </c>
      <c r="AI49" s="158">
        <f t="shared" si="55"/>
        <v>7.9144267824202696</v>
      </c>
    </row>
    <row r="50" spans="1:35" x14ac:dyDescent="0.35">
      <c r="A50" s="85"/>
      <c r="B50" s="85"/>
      <c r="C50" s="85"/>
      <c r="D50" s="144" t="s">
        <v>235</v>
      </c>
      <c r="E50" s="144"/>
      <c r="F50" s="144">
        <v>253.74836999999999</v>
      </c>
      <c r="G50" s="144">
        <v>256.95783999999998</v>
      </c>
      <c r="H50" s="91">
        <f t="shared" si="33"/>
        <v>3.2094699999999818</v>
      </c>
      <c r="I50" s="91">
        <f t="shared" si="60"/>
        <v>7.9822900000000345</v>
      </c>
      <c r="J50" s="91">
        <f t="shared" si="61"/>
        <v>0.28677080280491873</v>
      </c>
      <c r="K50" s="91">
        <f t="shared" si="62"/>
        <v>0.71322919719508127</v>
      </c>
      <c r="L50" s="91">
        <f t="shared" si="63"/>
        <v>0.31157792408092477</v>
      </c>
      <c r="M50" s="91">
        <f t="shared" si="64"/>
        <v>8.9351451424976816E-2</v>
      </c>
      <c r="N50" s="91">
        <f t="shared" si="65"/>
        <v>11.191760000000016</v>
      </c>
      <c r="O50" s="144">
        <v>23</v>
      </c>
      <c r="P50" s="144">
        <f t="shared" si="47"/>
        <v>7.1662922538612701</v>
      </c>
      <c r="Q50" s="85"/>
      <c r="R50" s="85"/>
      <c r="S50" s="85"/>
      <c r="T50" s="85"/>
      <c r="Y50">
        <v>277.75662999999997</v>
      </c>
      <c r="Z50">
        <v>284.39483999999999</v>
      </c>
      <c r="AA50" s="2">
        <f t="shared" si="48"/>
        <v>6.638210000000015</v>
      </c>
      <c r="AB50" s="2">
        <f t="shared" si="49"/>
        <v>6.796320000000037</v>
      </c>
      <c r="AC50" s="2">
        <f t="shared" si="50"/>
        <v>0.49411553660604346</v>
      </c>
      <c r="AD50" s="2">
        <f t="shared" si="57"/>
        <v>0.50588446339395654</v>
      </c>
      <c r="AE50" s="2">
        <f t="shared" si="58"/>
        <v>0.15064301972971594</v>
      </c>
      <c r="AF50" s="2">
        <f t="shared" si="53"/>
        <v>7.4435056529703392E-2</v>
      </c>
      <c r="AG50" s="2">
        <f t="shared" si="59"/>
        <v>13.434530000000052</v>
      </c>
      <c r="AH50">
        <v>59</v>
      </c>
      <c r="AI50">
        <f t="shared" si="55"/>
        <v>8.8879381640532404</v>
      </c>
    </row>
    <row r="51" spans="1:35" x14ac:dyDescent="0.35">
      <c r="A51" s="85"/>
      <c r="B51" s="85"/>
      <c r="C51" s="85"/>
      <c r="D51" s="85"/>
      <c r="E51" s="85"/>
      <c r="F51" s="85">
        <v>264.94013000000001</v>
      </c>
      <c r="G51" s="85">
        <v>270.72100999999998</v>
      </c>
      <c r="H51" s="13">
        <f t="shared" si="33"/>
        <v>5.7808799999999678</v>
      </c>
      <c r="I51" s="13">
        <f t="shared" si="60"/>
        <v>7.445160000000044</v>
      </c>
      <c r="J51" s="13">
        <f t="shared" si="61"/>
        <v>0.43708320857943594</v>
      </c>
      <c r="K51" s="13">
        <f t="shared" si="62"/>
        <v>0.56291679142056406</v>
      </c>
      <c r="L51" s="13">
        <f t="shared" si="63"/>
        <v>0.17298404395178685</v>
      </c>
      <c r="M51" s="13">
        <f t="shared" si="64"/>
        <v>7.5608420963493156E-2</v>
      </c>
      <c r="N51" s="13">
        <f t="shared" si="65"/>
        <v>13.226040000000012</v>
      </c>
      <c r="O51" s="85">
        <v>37</v>
      </c>
      <c r="P51" s="85">
        <f t="shared" si="47"/>
        <v>6.4004096262161134</v>
      </c>
      <c r="Q51" s="85"/>
      <c r="R51" s="85"/>
      <c r="S51" s="85"/>
      <c r="T51" s="85"/>
      <c r="W51" s="158" t="s">
        <v>292</v>
      </c>
      <c r="X51" s="158"/>
      <c r="Y51" s="158">
        <v>291.19116000000002</v>
      </c>
      <c r="Z51" s="158">
        <v>298.00358</v>
      </c>
      <c r="AA51" s="133">
        <f t="shared" si="48"/>
        <v>6.8124199999999746</v>
      </c>
      <c r="AB51" s="133">
        <f t="shared" si="49"/>
        <v>6.4295799999999872</v>
      </c>
      <c r="AC51" s="133">
        <f t="shared" si="50"/>
        <v>0.51445552031415154</v>
      </c>
      <c r="AD51" s="133">
        <f t="shared" si="57"/>
        <v>0.48554447968584852</v>
      </c>
      <c r="AE51" s="133">
        <f t="shared" si="58"/>
        <v>0.1467907146065574</v>
      </c>
      <c r="AF51" s="133">
        <f t="shared" si="53"/>
        <v>7.5517293460202597E-2</v>
      </c>
      <c r="AG51" s="133">
        <f t="shared" si="59"/>
        <v>13.241999999999962</v>
      </c>
      <c r="AH51" s="158">
        <v>54</v>
      </c>
      <c r="AI51" s="158">
        <f t="shared" si="55"/>
        <v>7.9266985887540997</v>
      </c>
    </row>
    <row r="52" spans="1:35" x14ac:dyDescent="0.35">
      <c r="A52" s="85"/>
      <c r="B52" s="85"/>
      <c r="C52" s="85"/>
      <c r="D52" s="157" t="s">
        <v>235</v>
      </c>
      <c r="E52" s="157"/>
      <c r="F52" s="157">
        <v>278.16617000000002</v>
      </c>
      <c r="G52" s="157">
        <v>283.49025999999998</v>
      </c>
      <c r="H52" s="132">
        <f t="shared" si="33"/>
        <v>5.3240899999999556</v>
      </c>
      <c r="I52" s="132">
        <f t="shared" si="60"/>
        <v>11.387020000000007</v>
      </c>
      <c r="J52" s="132">
        <f t="shared" si="61"/>
        <v>0.31859583235344435</v>
      </c>
      <c r="K52" s="132">
        <f t="shared" si="62"/>
        <v>0.68140416764655565</v>
      </c>
      <c r="L52" s="132">
        <f t="shared" si="63"/>
        <v>0.1878255251132134</v>
      </c>
      <c r="M52" s="132">
        <f t="shared" si="64"/>
        <v>5.9840429510666988E-2</v>
      </c>
      <c r="N52" s="132">
        <f t="shared" si="65"/>
        <v>16.711109999999962</v>
      </c>
      <c r="O52" s="157">
        <v>33</v>
      </c>
      <c r="P52" s="157">
        <f t="shared" si="47"/>
        <v>6.1982423287360424</v>
      </c>
      <c r="Q52" s="85"/>
      <c r="R52" s="85"/>
      <c r="S52" s="85"/>
      <c r="T52" s="85"/>
      <c r="Y52">
        <v>304.43315999999999</v>
      </c>
      <c r="Z52">
        <v>310.21389999999997</v>
      </c>
      <c r="AA52" s="2">
        <f t="shared" si="48"/>
        <v>5.7807399999999802</v>
      </c>
      <c r="AB52" s="2">
        <f t="shared" si="49"/>
        <v>7.6749100000000681</v>
      </c>
      <c r="AC52" s="2">
        <f t="shared" si="50"/>
        <v>0.42961432558070101</v>
      </c>
      <c r="AD52" s="2">
        <f t="shared" si="57"/>
        <v>0.57038567441929899</v>
      </c>
      <c r="AE52" s="2">
        <f t="shared" si="58"/>
        <v>0.17298823334036878</v>
      </c>
      <c r="AF52" s="2">
        <f t="shared" si="53"/>
        <v>7.4318223199919473E-2</v>
      </c>
      <c r="AG52" s="2">
        <f t="shared" si="59"/>
        <v>13.455650000000048</v>
      </c>
      <c r="AH52">
        <v>49</v>
      </c>
      <c r="AI52">
        <f t="shared" si="55"/>
        <v>8.4764234336780699</v>
      </c>
    </row>
    <row r="53" spans="1:35" x14ac:dyDescent="0.35">
      <c r="A53" s="85"/>
      <c r="B53" s="85"/>
      <c r="C53" s="85"/>
      <c r="D53" s="85"/>
      <c r="E53" s="85"/>
      <c r="F53" s="85">
        <v>294.87727999999998</v>
      </c>
      <c r="G53" s="85">
        <v>300.29908999999998</v>
      </c>
      <c r="H53" s="13">
        <f t="shared" si="33"/>
        <v>5.4218099999999936</v>
      </c>
      <c r="I53" s="13">
        <f t="shared" si="60"/>
        <v>6.7557500000000346</v>
      </c>
      <c r="J53" s="13">
        <f t="shared" si="61"/>
        <v>0.44522958622252579</v>
      </c>
      <c r="K53" s="13">
        <f t="shared" si="62"/>
        <v>0.55477041377747427</v>
      </c>
      <c r="L53" s="13">
        <f t="shared" si="63"/>
        <v>0.18444025150272716</v>
      </c>
      <c r="M53" s="13">
        <f t="shared" si="64"/>
        <v>8.211825685933781E-2</v>
      </c>
      <c r="N53" s="13">
        <f t="shared" si="65"/>
        <v>12.177560000000028</v>
      </c>
      <c r="O53" s="85">
        <v>34</v>
      </c>
      <c r="P53" s="85">
        <f t="shared" si="47"/>
        <v>6.2709685510927233</v>
      </c>
      <c r="Q53" s="85"/>
      <c r="R53" s="85"/>
      <c r="S53" s="85"/>
      <c r="T53" s="85"/>
      <c r="W53" s="158" t="s">
        <v>292</v>
      </c>
      <c r="X53" s="158"/>
      <c r="Y53" s="158">
        <v>317.88881000000003</v>
      </c>
      <c r="Z53" s="158">
        <v>323.55223000000001</v>
      </c>
      <c r="AA53" s="133">
        <f t="shared" si="48"/>
        <v>5.6634199999999737</v>
      </c>
      <c r="AB53" s="133">
        <f t="shared" si="49"/>
        <v>6.6238399999999729</v>
      </c>
      <c r="AC53" s="133">
        <f t="shared" si="50"/>
        <v>0.46091805658869417</v>
      </c>
      <c r="AD53" s="133">
        <f t="shared" si="57"/>
        <v>0.53908194341130578</v>
      </c>
      <c r="AE53" s="133">
        <f t="shared" si="58"/>
        <v>0.17657175346345577</v>
      </c>
      <c r="AF53" s="133">
        <f t="shared" si="53"/>
        <v>8.1385109454834056E-2</v>
      </c>
      <c r="AG53" s="133">
        <f t="shared" si="59"/>
        <v>12.287259999999947</v>
      </c>
      <c r="AH53" s="158">
        <v>46</v>
      </c>
      <c r="AI53" s="158">
        <f t="shared" si="55"/>
        <v>8.1223006593189648</v>
      </c>
    </row>
    <row r="54" spans="1:35" x14ac:dyDescent="0.35">
      <c r="A54" s="85"/>
      <c r="B54" s="85"/>
      <c r="C54" s="85"/>
      <c r="D54" s="157" t="s">
        <v>235</v>
      </c>
      <c r="E54" s="157"/>
      <c r="F54" s="157">
        <v>307.05484000000001</v>
      </c>
      <c r="G54" s="157">
        <v>311.69553000000002</v>
      </c>
      <c r="H54" s="132">
        <f t="shared" si="33"/>
        <v>4.6406900000000064</v>
      </c>
      <c r="I54" s="132">
        <f t="shared" si="60"/>
        <v>10.828829999999982</v>
      </c>
      <c r="J54" s="132">
        <f t="shared" si="61"/>
        <v>0.29998926922102365</v>
      </c>
      <c r="K54" s="132">
        <f t="shared" si="62"/>
        <v>0.70001073077897635</v>
      </c>
      <c r="L54" s="132">
        <f t="shared" si="63"/>
        <v>0.21548519724437501</v>
      </c>
      <c r="M54" s="132">
        <f t="shared" si="64"/>
        <v>6.4643246849288197E-2</v>
      </c>
      <c r="N54" s="132">
        <f t="shared" si="65"/>
        <v>15.469519999999989</v>
      </c>
      <c r="O54" s="157">
        <v>31</v>
      </c>
      <c r="P54" s="157">
        <f t="shared" si="47"/>
        <v>6.6800411145756247</v>
      </c>
      <c r="Q54" s="85"/>
      <c r="R54" s="85"/>
      <c r="S54" s="85"/>
      <c r="T54" s="85"/>
      <c r="Y54">
        <v>330.17606999999998</v>
      </c>
      <c r="Z54">
        <v>336.28661999999997</v>
      </c>
      <c r="AA54" s="2">
        <f t="shared" si="48"/>
        <v>6.1105499999999893</v>
      </c>
      <c r="AB54" s="2">
        <f t="shared" si="49"/>
        <v>7.3728600000000597</v>
      </c>
      <c r="AC54" s="2">
        <f t="shared" si="50"/>
        <v>0.45319025380077943</v>
      </c>
      <c r="AD54" s="2">
        <f t="shared" si="57"/>
        <v>0.54680974619922063</v>
      </c>
      <c r="AE54" s="2">
        <f t="shared" si="58"/>
        <v>0.16365138980942825</v>
      </c>
      <c r="AF54" s="2">
        <f t="shared" si="53"/>
        <v>7.4165214882585068E-2</v>
      </c>
      <c r="AG54" s="2">
        <f t="shared" si="59"/>
        <v>13.483410000000049</v>
      </c>
      <c r="AH54">
        <v>49</v>
      </c>
      <c r="AI54">
        <f t="shared" si="55"/>
        <v>8.0189181006619847</v>
      </c>
    </row>
    <row r="55" spans="1:35" x14ac:dyDescent="0.35">
      <c r="A55" s="156"/>
      <c r="B55" s="85"/>
      <c r="C55" s="85"/>
      <c r="D55" s="85"/>
      <c r="E55" s="85"/>
      <c r="F55" s="85">
        <v>322.52436</v>
      </c>
      <c r="G55" s="85">
        <v>329.12641000000002</v>
      </c>
      <c r="H55" s="13">
        <f t="shared" si="33"/>
        <v>6.6020500000000197</v>
      </c>
      <c r="I55" s="13">
        <f t="shared" si="60"/>
        <v>7.4548699999999712</v>
      </c>
      <c r="J55" s="13">
        <f t="shared" si="61"/>
        <v>0.46966547437134337</v>
      </c>
      <c r="K55" s="13">
        <f t="shared" si="62"/>
        <v>0.53033452562865668</v>
      </c>
      <c r="L55" s="13">
        <f t="shared" si="63"/>
        <v>0.15146810460387258</v>
      </c>
      <c r="M55" s="13">
        <f t="shared" si="64"/>
        <v>7.1139339200906079E-2</v>
      </c>
      <c r="N55" s="13">
        <f t="shared" si="65"/>
        <v>14.056919999999991</v>
      </c>
      <c r="O55" s="85">
        <v>36</v>
      </c>
      <c r="P55" s="85">
        <f t="shared" si="47"/>
        <v>5.4528517657394131</v>
      </c>
      <c r="Q55" s="85"/>
      <c r="R55" s="85"/>
      <c r="S55" s="85"/>
      <c r="T55" s="85"/>
      <c r="W55" s="158" t="s">
        <v>292</v>
      </c>
      <c r="X55" s="158"/>
      <c r="Y55" s="158">
        <v>343.65948000000003</v>
      </c>
      <c r="Z55" s="158">
        <v>350.19384000000002</v>
      </c>
      <c r="AA55" s="133">
        <f t="shared" si="48"/>
        <v>6.5343599999999924</v>
      </c>
      <c r="AB55" s="133">
        <f t="shared" si="49"/>
        <v>5.8163700000000063</v>
      </c>
      <c r="AC55" s="133">
        <f t="shared" si="50"/>
        <v>0.52906670293982572</v>
      </c>
      <c r="AD55" s="133">
        <f t="shared" si="57"/>
        <v>0.47093329706017434</v>
      </c>
      <c r="AE55" s="133">
        <f t="shared" si="58"/>
        <v>0.15303717579074327</v>
      </c>
      <c r="AF55" s="133">
        <f t="shared" si="53"/>
        <v>8.0966874022831051E-2</v>
      </c>
      <c r="AG55" s="133">
        <f t="shared" si="59"/>
        <v>12.350729999999999</v>
      </c>
      <c r="AH55" s="158">
        <v>49</v>
      </c>
      <c r="AI55" s="158">
        <f t="shared" si="55"/>
        <v>7.4988216137464203</v>
      </c>
    </row>
    <row r="56" spans="1:35" x14ac:dyDescent="0.35">
      <c r="A56" s="85"/>
      <c r="B56" s="85"/>
      <c r="C56" s="85"/>
      <c r="D56" s="85"/>
      <c r="E56" s="85"/>
      <c r="F56" s="85">
        <v>336.58127999999999</v>
      </c>
      <c r="G56" s="85">
        <v>341.83317999999997</v>
      </c>
      <c r="H56" s="13">
        <f t="shared" si="33"/>
        <v>5.2518999999999778</v>
      </c>
      <c r="I56" s="13">
        <f t="shared" ref="I56:I64" si="66">F57-G56</f>
        <v>7.7996100000000297</v>
      </c>
      <c r="J56" s="13">
        <f t="shared" ref="J56:J64" si="67">H56/N56</f>
        <v>0.40239788346329081</v>
      </c>
      <c r="K56" s="13">
        <f t="shared" ref="K56:K64" si="68">I56/N56</f>
        <v>0.59760211653670914</v>
      </c>
      <c r="L56" s="13">
        <f t="shared" ref="L56:L64" si="69">1/H56</f>
        <v>0.19040728117443292</v>
      </c>
      <c r="M56" s="13">
        <f t="shared" ref="M56:M64" si="70">1/N56</f>
        <v>7.6619486940591508E-2</v>
      </c>
      <c r="N56" s="13">
        <f t="shared" ref="N56:N64" si="71">H56+I56</f>
        <v>13.051510000000007</v>
      </c>
      <c r="O56" s="85">
        <v>33</v>
      </c>
      <c r="P56" s="85">
        <f t="shared" si="47"/>
        <v>6.2834402787562862</v>
      </c>
      <c r="Q56" s="85"/>
      <c r="R56" s="85"/>
      <c r="S56" s="85"/>
      <c r="T56" s="85"/>
      <c r="Y56">
        <v>356.01021000000003</v>
      </c>
      <c r="Z56">
        <v>359.9271</v>
      </c>
      <c r="AA56" s="2">
        <f t="shared" si="48"/>
        <v>3.9168899999999667</v>
      </c>
      <c r="AB56" s="2"/>
      <c r="AC56" s="2"/>
      <c r="AD56" s="2"/>
      <c r="AE56" s="2"/>
      <c r="AF56" s="2"/>
      <c r="AG56" s="2"/>
      <c r="AH56">
        <v>35</v>
      </c>
      <c r="AI56">
        <f t="shared" si="55"/>
        <v>8.9356606899862641</v>
      </c>
    </row>
    <row r="57" spans="1:35" x14ac:dyDescent="0.35">
      <c r="A57" s="156"/>
      <c r="B57" s="85"/>
      <c r="C57" s="85"/>
      <c r="D57" s="85"/>
      <c r="E57" s="85"/>
      <c r="F57" s="85">
        <v>349.63279</v>
      </c>
      <c r="G57" s="85">
        <v>354.36966000000001</v>
      </c>
      <c r="H57" s="13">
        <f t="shared" si="33"/>
        <v>4.7368700000000104</v>
      </c>
      <c r="I57" s="13">
        <f t="shared" si="66"/>
        <v>8.0830399999999827</v>
      </c>
      <c r="J57" s="13">
        <f t="shared" si="67"/>
        <v>0.36949323357184355</v>
      </c>
      <c r="K57" s="13">
        <f t="shared" si="68"/>
        <v>0.6305067664281564</v>
      </c>
      <c r="L57" s="13">
        <f t="shared" si="69"/>
        <v>0.21110986790855518</v>
      </c>
      <c r="M57" s="13">
        <f t="shared" si="70"/>
        <v>7.8003667732456816E-2</v>
      </c>
      <c r="N57" s="13">
        <f t="shared" si="71"/>
        <v>12.819909999999993</v>
      </c>
      <c r="O57" s="85">
        <v>32</v>
      </c>
      <c r="P57" s="85">
        <f t="shared" si="47"/>
        <v>6.7555157730737658</v>
      </c>
      <c r="Q57" s="85"/>
      <c r="R57" s="85"/>
      <c r="S57" s="85"/>
      <c r="T57" s="85"/>
      <c r="AA57" s="2"/>
      <c r="AB57" s="2"/>
    </row>
    <row r="58" spans="1:35" x14ac:dyDescent="0.35">
      <c r="A58" s="156"/>
      <c r="B58" s="85"/>
      <c r="C58" s="85"/>
      <c r="D58" s="157" t="s">
        <v>235</v>
      </c>
      <c r="E58" s="157"/>
      <c r="F58" s="157">
        <v>362.45269999999999</v>
      </c>
      <c r="G58" s="157">
        <v>367.31438000000003</v>
      </c>
      <c r="H58" s="132">
        <f t="shared" si="33"/>
        <v>4.8616800000000353</v>
      </c>
      <c r="I58" s="132">
        <f t="shared" si="66"/>
        <v>12.663549999999987</v>
      </c>
      <c r="J58" s="132">
        <f t="shared" si="67"/>
        <v>0.27741033926516395</v>
      </c>
      <c r="K58" s="132">
        <f t="shared" si="68"/>
        <v>0.7225896607348361</v>
      </c>
      <c r="L58" s="132">
        <f t="shared" si="69"/>
        <v>0.20569021408237331</v>
      </c>
      <c r="M58" s="132">
        <f t="shared" si="70"/>
        <v>5.706059207211539E-2</v>
      </c>
      <c r="N58" s="132">
        <f t="shared" si="71"/>
        <v>17.525230000000022</v>
      </c>
      <c r="O58" s="157">
        <v>32</v>
      </c>
      <c r="P58" s="157">
        <f t="shared" si="47"/>
        <v>6.582086850635946</v>
      </c>
      <c r="Q58" s="85"/>
      <c r="R58" t="s">
        <v>240</v>
      </c>
      <c r="S58" s="85"/>
      <c r="T58" s="85"/>
    </row>
    <row r="59" spans="1:35" x14ac:dyDescent="0.35">
      <c r="A59" s="156"/>
      <c r="B59" s="85"/>
      <c r="C59" s="85"/>
      <c r="D59" s="85"/>
      <c r="E59" s="85"/>
      <c r="F59" s="85">
        <v>379.97793000000001</v>
      </c>
      <c r="G59" s="85">
        <v>386.79093999999998</v>
      </c>
      <c r="H59" s="13">
        <f t="shared" si="33"/>
        <v>6.8130099999999629</v>
      </c>
      <c r="I59" s="13">
        <f t="shared" si="66"/>
        <v>8.2721300000000042</v>
      </c>
      <c r="J59" s="13">
        <f t="shared" si="67"/>
        <v>0.45163717406666282</v>
      </c>
      <c r="K59" s="13">
        <f t="shared" si="68"/>
        <v>0.54836282593333718</v>
      </c>
      <c r="L59" s="13">
        <f t="shared" si="69"/>
        <v>0.146778002674296</v>
      </c>
      <c r="M59" s="13">
        <f t="shared" si="70"/>
        <v>6.6290402342968124E-2</v>
      </c>
      <c r="N59" s="13">
        <f t="shared" si="71"/>
        <v>15.085139999999967</v>
      </c>
      <c r="O59" s="85">
        <v>38</v>
      </c>
      <c r="P59" s="85">
        <f t="shared" si="47"/>
        <v>5.5775641016232482</v>
      </c>
      <c r="Q59" s="85"/>
      <c r="R59" s="85"/>
      <c r="S59" s="85"/>
      <c r="T59" s="85"/>
    </row>
    <row r="60" spans="1:35" x14ac:dyDescent="0.35">
      <c r="A60" s="156"/>
      <c r="B60" s="85"/>
      <c r="C60" s="85"/>
      <c r="D60" s="85"/>
      <c r="E60" s="85"/>
      <c r="F60" s="85">
        <v>395.06306999999998</v>
      </c>
      <c r="G60" s="85">
        <v>400.79939000000002</v>
      </c>
      <c r="H60" s="13">
        <f t="shared" si="33"/>
        <v>5.7363200000000347</v>
      </c>
      <c r="I60" s="13">
        <f t="shared" si="66"/>
        <v>8.3594999999999686</v>
      </c>
      <c r="J60" s="13">
        <f t="shared" si="67"/>
        <v>0.40695184813654212</v>
      </c>
      <c r="K60" s="13">
        <f t="shared" si="68"/>
        <v>0.59304815186345783</v>
      </c>
      <c r="L60" s="13">
        <f t="shared" si="69"/>
        <v>0.17432779203391616</v>
      </c>
      <c r="M60" s="13">
        <f t="shared" si="70"/>
        <v>7.0943017149764948E-2</v>
      </c>
      <c r="N60" s="13">
        <f t="shared" si="71"/>
        <v>14.095820000000003</v>
      </c>
      <c r="O60" s="85">
        <v>36</v>
      </c>
      <c r="P60" s="85">
        <f t="shared" si="47"/>
        <v>6.2758005132209815</v>
      </c>
      <c r="Q60" s="85"/>
      <c r="R60" s="85"/>
      <c r="S60" s="85"/>
      <c r="T60" s="85"/>
    </row>
    <row r="61" spans="1:35" ht="16" thickBot="1" x14ac:dyDescent="0.4">
      <c r="A61" s="156"/>
      <c r="B61" s="85"/>
      <c r="C61" s="85"/>
      <c r="D61" s="157" t="s">
        <v>235</v>
      </c>
      <c r="E61" s="157"/>
      <c r="F61" s="157">
        <v>409.15888999999999</v>
      </c>
      <c r="G61" s="157">
        <v>413.88896999999997</v>
      </c>
      <c r="H61" s="132">
        <f t="shared" si="33"/>
        <v>4.7300799999999867</v>
      </c>
      <c r="I61" s="132">
        <f t="shared" si="66"/>
        <v>12.599720000000048</v>
      </c>
      <c r="J61" s="132">
        <f t="shared" si="67"/>
        <v>0.27294486953109542</v>
      </c>
      <c r="K61" s="132">
        <f t="shared" si="68"/>
        <v>0.72705513046890458</v>
      </c>
      <c r="L61" s="132">
        <f t="shared" si="69"/>
        <v>0.21141291479213942</v>
      </c>
      <c r="M61" s="132">
        <f t="shared" si="70"/>
        <v>5.7704070445129083E-2</v>
      </c>
      <c r="N61" s="132">
        <f t="shared" si="71"/>
        <v>17.329800000000034</v>
      </c>
      <c r="O61" s="157">
        <v>29</v>
      </c>
      <c r="P61" s="157">
        <f t="shared" si="47"/>
        <v>6.1309745289720432</v>
      </c>
      <c r="Q61" s="85"/>
      <c r="R61" s="85"/>
      <c r="S61" s="85"/>
      <c r="T61" s="85"/>
      <c r="X61" t="s">
        <v>249</v>
      </c>
      <c r="Z61" s="13"/>
      <c r="AA61" s="9" t="s">
        <v>3</v>
      </c>
      <c r="AB61" s="9" t="s">
        <v>4</v>
      </c>
      <c r="AC61" s="9" t="s">
        <v>5</v>
      </c>
      <c r="AD61" s="9" t="s">
        <v>6</v>
      </c>
      <c r="AE61" s="9" t="s">
        <v>7</v>
      </c>
      <c r="AF61" s="9" t="s">
        <v>8</v>
      </c>
      <c r="AG61" s="9" t="s">
        <v>9</v>
      </c>
      <c r="AH61" s="9" t="s">
        <v>10</v>
      </c>
      <c r="AI61" s="44" t="s">
        <v>139</v>
      </c>
    </row>
    <row r="62" spans="1:35" x14ac:dyDescent="0.35">
      <c r="A62" s="156"/>
      <c r="B62" s="85"/>
      <c r="C62" s="85"/>
      <c r="D62" s="85"/>
      <c r="E62" s="85"/>
      <c r="F62" s="85">
        <v>426.48869000000002</v>
      </c>
      <c r="G62" s="85">
        <v>431.79430000000002</v>
      </c>
      <c r="H62" s="13">
        <f t="shared" si="33"/>
        <v>5.3056100000000015</v>
      </c>
      <c r="I62" s="13">
        <f t="shared" si="66"/>
        <v>8.7573299999999676</v>
      </c>
      <c r="J62" s="13">
        <f t="shared" si="67"/>
        <v>0.37727601767482566</v>
      </c>
      <c r="K62" s="13">
        <f t="shared" si="68"/>
        <v>0.62272398232517434</v>
      </c>
      <c r="L62" s="13">
        <f t="shared" si="69"/>
        <v>0.18847974125501116</v>
      </c>
      <c r="M62" s="13">
        <f t="shared" si="70"/>
        <v>7.1108886193072166E-2</v>
      </c>
      <c r="N62" s="13">
        <f t="shared" si="71"/>
        <v>14.062939999999969</v>
      </c>
      <c r="O62" s="85">
        <v>32</v>
      </c>
      <c r="P62" s="85">
        <f t="shared" si="47"/>
        <v>6.031351720160357</v>
      </c>
      <c r="Q62" s="85"/>
      <c r="R62" s="85"/>
      <c r="S62" s="85"/>
      <c r="T62" s="85"/>
      <c r="Z62" s="49" t="s">
        <v>77</v>
      </c>
      <c r="AA62" s="2">
        <f>AVERAGE(AA33,AA35,AA37,AA39,AA41,AA44,AA49,AA51,AA53,AA55)</f>
        <v>6.2310609999999906</v>
      </c>
      <c r="AB62" s="2">
        <f t="shared" ref="AB62:AI62" si="72">AVERAGE(AB33,AB35,AB37,AB39,AB41,AB44,AB49,AB51,AB53,AB55)</f>
        <v>6.266388000000001</v>
      </c>
      <c r="AC62" s="2">
        <f t="shared" si="72"/>
        <v>0.49795234650591025</v>
      </c>
      <c r="AD62" s="2">
        <f t="shared" si="72"/>
        <v>0.50204765349408986</v>
      </c>
      <c r="AE62" s="2">
        <f t="shared" si="72"/>
        <v>0.16253833127591572</v>
      </c>
      <c r="AF62" s="2">
        <f t="shared" si="72"/>
        <v>8.0310780838925483E-2</v>
      </c>
      <c r="AG62" s="2">
        <f t="shared" si="72"/>
        <v>12.497448999999992</v>
      </c>
      <c r="AH62" s="2">
        <f t="shared" si="72"/>
        <v>49.1</v>
      </c>
      <c r="AI62" s="2">
        <f t="shared" si="72"/>
        <v>7.9654020189414698</v>
      </c>
    </row>
    <row r="63" spans="1:35" x14ac:dyDescent="0.35">
      <c r="A63" s="156"/>
      <c r="B63" s="85"/>
      <c r="C63" s="85"/>
      <c r="D63" s="144" t="s">
        <v>235</v>
      </c>
      <c r="E63" s="144"/>
      <c r="F63" s="144">
        <v>440.55162999999999</v>
      </c>
      <c r="G63" s="144">
        <v>443.58386999999999</v>
      </c>
      <c r="H63" s="91">
        <f t="shared" si="33"/>
        <v>3.0322400000000016</v>
      </c>
      <c r="I63" s="91">
        <f t="shared" si="66"/>
        <v>9.9359000000000037</v>
      </c>
      <c r="J63" s="91">
        <f t="shared" si="67"/>
        <v>0.23382227520677601</v>
      </c>
      <c r="K63" s="91">
        <f t="shared" si="68"/>
        <v>0.76617772479322399</v>
      </c>
      <c r="L63" s="91">
        <f t="shared" si="69"/>
        <v>0.32978919874416257</v>
      </c>
      <c r="M63" s="91">
        <f t="shared" si="70"/>
        <v>7.7112060788979725E-2</v>
      </c>
      <c r="N63" s="91">
        <f t="shared" si="71"/>
        <v>12.968140000000005</v>
      </c>
      <c r="O63" s="144">
        <v>22</v>
      </c>
      <c r="P63" s="144">
        <f t="shared" si="47"/>
        <v>7.2553623723715761</v>
      </c>
      <c r="Q63" s="85"/>
      <c r="R63" s="85"/>
      <c r="S63" s="85"/>
      <c r="T63" s="85"/>
      <c r="Z63" s="49" t="s">
        <v>94</v>
      </c>
      <c r="AA63" s="2">
        <f>_xlfn.STDEV.S(AA33,AA35,AA37,AA39,AA41,AA44,AA49,AA51,AA53,AA55)</f>
        <v>0.67676525404062726</v>
      </c>
      <c r="AB63" s="2">
        <f t="shared" ref="AB63:AI63" si="73">_xlfn.STDEV.S(AB33,AB35,AB37,AB39,AB41,AB44,AB49,AB51,AB53,AB55)</f>
        <v>0.519626170579497</v>
      </c>
      <c r="AC63" s="2">
        <f t="shared" si="73"/>
        <v>3.9327711207092234E-2</v>
      </c>
      <c r="AD63" s="2">
        <f t="shared" si="73"/>
        <v>3.9327711207092206E-2</v>
      </c>
      <c r="AE63" s="2">
        <f t="shared" si="73"/>
        <v>2.1127129509103625E-2</v>
      </c>
      <c r="AF63" s="2">
        <f t="shared" si="73"/>
        <v>5.234874663558391E-3</v>
      </c>
      <c r="AG63" s="2">
        <f t="shared" si="73"/>
        <v>0.78318679649876344</v>
      </c>
      <c r="AH63" s="2">
        <f t="shared" si="73"/>
        <v>3.7252889522529364</v>
      </c>
      <c r="AI63" s="2">
        <f t="shared" si="73"/>
        <v>1.0654069513488535</v>
      </c>
    </row>
    <row r="64" spans="1:35" x14ac:dyDescent="0.35">
      <c r="A64" s="156"/>
      <c r="B64" s="85"/>
      <c r="C64" s="85"/>
      <c r="D64" s="157" t="s">
        <v>235</v>
      </c>
      <c r="E64" s="157"/>
      <c r="F64" s="157">
        <v>453.51976999999999</v>
      </c>
      <c r="G64" s="157">
        <v>459.02940999999998</v>
      </c>
      <c r="H64" s="132">
        <f t="shared" si="33"/>
        <v>5.5096399999999903</v>
      </c>
      <c r="I64" s="132">
        <f t="shared" si="66"/>
        <v>11.024319999999989</v>
      </c>
      <c r="J64" s="132">
        <f t="shared" si="67"/>
        <v>0.33323172428141817</v>
      </c>
      <c r="K64" s="132">
        <f t="shared" si="68"/>
        <v>0.66676827571858177</v>
      </c>
      <c r="L64" s="132">
        <f t="shared" si="69"/>
        <v>0.18150006171002131</v>
      </c>
      <c r="M64" s="132">
        <f t="shared" si="70"/>
        <v>6.0481578520814205E-2</v>
      </c>
      <c r="N64" s="132">
        <f t="shared" si="71"/>
        <v>16.533959999999979</v>
      </c>
      <c r="O64" s="157">
        <v>34</v>
      </c>
      <c r="P64" s="157">
        <f t="shared" si="47"/>
        <v>6.1710020981407245</v>
      </c>
      <c r="Q64" s="85"/>
      <c r="R64" s="85"/>
      <c r="S64" s="85"/>
      <c r="T64" s="85"/>
      <c r="Z64" s="49" t="s">
        <v>95</v>
      </c>
      <c r="AA64" s="2">
        <f>AA63/SQRT(10)</f>
        <v>0.21401196440308534</v>
      </c>
      <c r="AB64" s="2">
        <f t="shared" ref="AB64:AI64" si="74">AB63/SQRT(10)</f>
        <v>0.16432022308623867</v>
      </c>
      <c r="AC64" s="2">
        <f t="shared" si="74"/>
        <v>1.2436514257574137E-2</v>
      </c>
      <c r="AD64" s="2">
        <f t="shared" si="74"/>
        <v>1.2436514257574128E-2</v>
      </c>
      <c r="AE64" s="2">
        <f t="shared" si="74"/>
        <v>6.6809849670122524E-3</v>
      </c>
      <c r="AF64" s="2">
        <f t="shared" si="74"/>
        <v>1.6554127202352161E-3</v>
      </c>
      <c r="AG64" s="2">
        <f t="shared" si="74"/>
        <v>0.24766541103068782</v>
      </c>
      <c r="AH64" s="2">
        <f t="shared" si="74"/>
        <v>1.1780398031381529</v>
      </c>
      <c r="AI64" s="2">
        <f t="shared" si="74"/>
        <v>0.33691126012385786</v>
      </c>
    </row>
    <row r="65" spans="1:35" x14ac:dyDescent="0.35">
      <c r="A65" s="156"/>
      <c r="B65" s="85"/>
      <c r="C65" s="85"/>
      <c r="D65" s="85"/>
      <c r="E65" s="85"/>
      <c r="F65" s="85">
        <v>470.05372999999997</v>
      </c>
      <c r="G65" s="85">
        <v>475.32046000000003</v>
      </c>
      <c r="H65" s="13">
        <f t="shared" si="33"/>
        <v>5.2667300000000523</v>
      </c>
      <c r="I65" s="13"/>
      <c r="J65" s="13"/>
      <c r="K65" s="13"/>
      <c r="L65" s="13"/>
      <c r="M65" s="13"/>
      <c r="N65" s="13"/>
      <c r="O65" s="85">
        <v>34</v>
      </c>
      <c r="P65" s="85">
        <f t="shared" si="47"/>
        <v>6.4556185716753394</v>
      </c>
      <c r="Q65" s="85"/>
      <c r="R65" s="85"/>
      <c r="S65" s="85"/>
      <c r="T65" s="85"/>
    </row>
    <row r="66" spans="1:35" x14ac:dyDescent="0.35">
      <c r="A66" s="156"/>
      <c r="B66" s="85"/>
      <c r="C66" s="85"/>
      <c r="D66" s="85"/>
      <c r="E66" s="85"/>
      <c r="F66" s="85"/>
      <c r="G66" s="85"/>
      <c r="H66" s="13"/>
      <c r="I66" s="13"/>
      <c r="J66" s="13"/>
      <c r="K66" s="13"/>
      <c r="L66" s="13"/>
      <c r="M66" s="13"/>
      <c r="N66" s="13"/>
      <c r="O66" s="85"/>
      <c r="P66" s="85"/>
      <c r="Q66" s="85"/>
      <c r="R66" s="85"/>
      <c r="S66" s="85"/>
      <c r="T66" s="85"/>
    </row>
    <row r="67" spans="1:35" x14ac:dyDescent="0.35">
      <c r="A67" s="85"/>
      <c r="B67" s="85"/>
      <c r="C67" s="85"/>
      <c r="D67" s="85"/>
      <c r="E67" s="85"/>
      <c r="F67" s="85"/>
      <c r="G67" s="85"/>
      <c r="H67" s="13"/>
      <c r="I67" s="13"/>
      <c r="J67" s="13"/>
      <c r="K67" s="13"/>
      <c r="L67" s="13"/>
      <c r="M67" s="13"/>
      <c r="N67" s="13"/>
      <c r="O67" s="85"/>
      <c r="P67" s="85"/>
      <c r="Q67" s="85"/>
      <c r="R67" s="85"/>
      <c r="S67" s="85"/>
      <c r="T67" s="85"/>
    </row>
    <row r="68" spans="1:35" ht="19" thickBot="1" x14ac:dyDescent="0.5">
      <c r="A68" s="85"/>
      <c r="B68" s="85"/>
      <c r="C68" s="85"/>
      <c r="D68" s="85"/>
      <c r="E68" s="159" t="s">
        <v>241</v>
      </c>
      <c r="F68" s="85"/>
      <c r="G68" s="85"/>
      <c r="H68" s="13"/>
      <c r="I68" s="13"/>
      <c r="J68" s="13"/>
      <c r="K68" s="13"/>
      <c r="L68" s="13"/>
      <c r="M68" s="13"/>
      <c r="N68" s="13"/>
      <c r="O68" s="85"/>
      <c r="P68" s="85"/>
      <c r="Q68" s="85"/>
      <c r="R68" s="85"/>
      <c r="S68" s="85"/>
      <c r="T68" s="85"/>
      <c r="X68" t="s">
        <v>250</v>
      </c>
      <c r="Z68" s="13"/>
      <c r="AA68" s="9" t="s">
        <v>3</v>
      </c>
      <c r="AB68" s="9" t="s">
        <v>4</v>
      </c>
      <c r="AC68" s="9" t="s">
        <v>5</v>
      </c>
      <c r="AD68" s="9" t="s">
        <v>6</v>
      </c>
      <c r="AE68" s="9" t="s">
        <v>7</v>
      </c>
      <c r="AF68" s="9" t="s">
        <v>8</v>
      </c>
      <c r="AG68" s="9" t="s">
        <v>9</v>
      </c>
      <c r="AH68" s="9" t="s">
        <v>10</v>
      </c>
      <c r="AI68" s="44" t="s">
        <v>139</v>
      </c>
    </row>
    <row r="69" spans="1:35" x14ac:dyDescent="0.35">
      <c r="A69" s="85"/>
      <c r="B69" s="85"/>
      <c r="C69" s="85"/>
      <c r="D69" s="85"/>
      <c r="E69" s="85"/>
      <c r="F69" s="85"/>
      <c r="G69" s="85"/>
      <c r="H69" s="13"/>
      <c r="I69" s="13"/>
      <c r="J69" s="13"/>
      <c r="K69" s="13"/>
      <c r="L69" s="13"/>
      <c r="M69" s="13"/>
      <c r="N69" s="13"/>
      <c r="O69" s="85"/>
      <c r="P69" s="85"/>
      <c r="Q69" s="85"/>
      <c r="R69" s="85"/>
      <c r="S69" s="85"/>
      <c r="T69" s="85"/>
      <c r="Z69" s="49" t="s">
        <v>77</v>
      </c>
      <c r="AA69" s="2">
        <f>AVERAGE(AA29:AA32,AA34,AA36,AA38,AA40,AA42:AA43,AA45:AA48,AA50,AA52,AA54)</f>
        <v>6.0120782352941164</v>
      </c>
      <c r="AB69" s="2">
        <f t="shared" ref="AB69:AI69" si="75">AVERAGE(AB29:AB32,AB34,AB36,AB38,AB40,AB42:AB43,AB45:AB48,AB50,AB52,AB54)</f>
        <v>7.480539411764715</v>
      </c>
      <c r="AC69" s="2">
        <f t="shared" si="75"/>
        <v>0.44822330972482138</v>
      </c>
      <c r="AD69" s="2">
        <f t="shared" si="75"/>
        <v>0.55177669027517862</v>
      </c>
      <c r="AE69" s="2">
        <f t="shared" si="75"/>
        <v>0.1698405764889227</v>
      </c>
      <c r="AF69" s="2">
        <f t="shared" si="75"/>
        <v>7.4426260620600024E-2</v>
      </c>
      <c r="AG69" s="2">
        <f t="shared" si="75"/>
        <v>13.492617647058831</v>
      </c>
      <c r="AH69" s="2">
        <f t="shared" si="75"/>
        <v>50.588235294117645</v>
      </c>
      <c r="AI69" s="2">
        <f t="shared" si="75"/>
        <v>8.5122338638024679</v>
      </c>
    </row>
    <row r="70" spans="1:35" ht="16" thickBot="1" x14ac:dyDescent="0.4">
      <c r="A70" s="85"/>
      <c r="B70" s="85"/>
      <c r="C70" s="85"/>
      <c r="D70" s="85"/>
      <c r="E70" s="85"/>
      <c r="F70" s="85"/>
      <c r="G70" s="85"/>
      <c r="H70" s="44" t="s">
        <v>3</v>
      </c>
      <c r="I70" s="44" t="s">
        <v>4</v>
      </c>
      <c r="J70" s="44" t="s">
        <v>5</v>
      </c>
      <c r="K70" s="44" t="s">
        <v>6</v>
      </c>
      <c r="L70" s="44" t="s">
        <v>7</v>
      </c>
      <c r="M70" s="44" t="s">
        <v>8</v>
      </c>
      <c r="N70" s="44" t="s">
        <v>9</v>
      </c>
      <c r="O70" s="44" t="s">
        <v>10</v>
      </c>
      <c r="P70" s="44" t="s">
        <v>139</v>
      </c>
      <c r="Q70" s="85"/>
      <c r="R70" s="85"/>
      <c r="S70" s="85"/>
      <c r="T70" s="85"/>
      <c r="Z70" s="49" t="s">
        <v>94</v>
      </c>
      <c r="AA70" s="2">
        <f>_xlfn.STDEV.S(AA29:AA32,AA34,AA36,AA38,AA40,AA42:AA43,AA45:AA48,AA50,AA52,AA54)</f>
        <v>0.9137248494365946</v>
      </c>
      <c r="AB70" s="2">
        <f t="shared" ref="AB70:AI70" si="76">_xlfn.STDEV.S(AB29:AB32,AB34,AB36,AB38,AB40,AB42:AB43,AB45:AB48,AB50,AB52,AB54)</f>
        <v>1.4043449869533045</v>
      </c>
      <c r="AC70" s="2">
        <f t="shared" si="76"/>
        <v>7.6189876797045905E-2</v>
      </c>
      <c r="AD70" s="2">
        <f t="shared" si="76"/>
        <v>7.6189876797045905E-2</v>
      </c>
      <c r="AE70" s="2">
        <f t="shared" si="76"/>
        <v>2.4919532608079022E-2</v>
      </c>
      <c r="AF70" s="2">
        <f t="shared" si="76"/>
        <v>4.9829547014456146E-3</v>
      </c>
      <c r="AG70" s="2">
        <f t="shared" si="76"/>
        <v>0.89973313486923856</v>
      </c>
      <c r="AH70" s="2">
        <f t="shared" si="76"/>
        <v>8.4635898377211412</v>
      </c>
      <c r="AI70" s="2">
        <f t="shared" si="76"/>
        <v>1.55692498861808</v>
      </c>
    </row>
    <row r="71" spans="1:35" x14ac:dyDescent="0.35">
      <c r="A71" s="85"/>
      <c r="B71" s="85"/>
      <c r="C71" s="85"/>
      <c r="D71" s="85"/>
      <c r="E71" s="137" t="s">
        <v>192</v>
      </c>
      <c r="F71" s="85"/>
      <c r="G71" s="49" t="s">
        <v>77</v>
      </c>
      <c r="H71" s="85">
        <f>AVERAGE(H30,H32,H34,H35,H43,H46,H50,H63)</f>
        <v>3.0267825000000004</v>
      </c>
      <c r="I71" s="85">
        <f>AVERAGE(I30,I32,I34,I35,I43,I46,I50,I63)</f>
        <v>8.1102175000000063</v>
      </c>
      <c r="J71" s="85">
        <f t="shared" ref="J71:P71" si="77">AVERAGE(J30,J32,J34,J35,J43,J46,J50,J63)</f>
        <v>0.27382116799274386</v>
      </c>
      <c r="K71" s="85">
        <f t="shared" si="77"/>
        <v>0.72617883200725619</v>
      </c>
      <c r="L71" s="85">
        <f t="shared" si="77"/>
        <v>0.33360736563326177</v>
      </c>
      <c r="M71" s="85">
        <f t="shared" si="77"/>
        <v>9.0319502034997071E-2</v>
      </c>
      <c r="N71" s="85">
        <f t="shared" si="77"/>
        <v>11.137000000000008</v>
      </c>
      <c r="O71" s="85">
        <f t="shared" si="77"/>
        <v>20.875</v>
      </c>
      <c r="P71" s="85">
        <f t="shared" si="77"/>
        <v>6.9092320174515232</v>
      </c>
      <c r="Q71" s="85"/>
      <c r="R71" s="85"/>
      <c r="S71" s="85"/>
      <c r="T71" s="85"/>
      <c r="Z71" s="49" t="s">
        <v>95</v>
      </c>
      <c r="AA71" s="2">
        <f>AA70/SQRT(17)</f>
        <v>0.22161082746933372</v>
      </c>
      <c r="AB71" s="2">
        <f t="shared" ref="AB71:AI71" si="78">AB70/SQRT(17)</f>
        <v>0.34060368917736056</v>
      </c>
      <c r="AC71" s="2">
        <f t="shared" si="78"/>
        <v>1.8478759390412731E-2</v>
      </c>
      <c r="AD71" s="2">
        <f t="shared" si="78"/>
        <v>1.8478759390412731E-2</v>
      </c>
      <c r="AE71" s="2">
        <f t="shared" si="78"/>
        <v>6.0438744167137263E-3</v>
      </c>
      <c r="AF71" s="2">
        <f t="shared" si="78"/>
        <v>1.208544033042846E-3</v>
      </c>
      <c r="AG71" s="2">
        <f t="shared" si="78"/>
        <v>0.21821733823141004</v>
      </c>
      <c r="AH71" s="2">
        <f t="shared" si="78"/>
        <v>2.0527220513428528</v>
      </c>
      <c r="AI71" s="2">
        <f t="shared" si="78"/>
        <v>0.37760977524917166</v>
      </c>
    </row>
    <row r="72" spans="1:35" x14ac:dyDescent="0.35">
      <c r="A72" s="85"/>
      <c r="B72" s="85"/>
      <c r="C72" s="85"/>
      <c r="D72" s="85"/>
      <c r="E72" s="137"/>
      <c r="F72" s="85"/>
      <c r="G72" s="49" t="s">
        <v>94</v>
      </c>
      <c r="H72" s="85">
        <f>_xlfn.STDEV.S(H30,H32,H34,H35,H43,H46,H50,H63)</f>
        <v>0.29777672511703729</v>
      </c>
      <c r="I72" s="85">
        <f t="shared" ref="I72:P72" si="79">_xlfn.STDEV.S(I30,I32,I34,I35,I43,I46,I50,I63)</f>
        <v>1.0379264393388246</v>
      </c>
      <c r="J72" s="85">
        <f t="shared" si="79"/>
        <v>3.878487199925771E-2</v>
      </c>
      <c r="K72" s="85">
        <f t="shared" si="79"/>
        <v>3.8784871999257745E-2</v>
      </c>
      <c r="L72" s="85">
        <f t="shared" si="79"/>
        <v>3.7622335231972469E-2</v>
      </c>
      <c r="M72" s="85">
        <f t="shared" si="79"/>
        <v>7.2361448849175879E-3</v>
      </c>
      <c r="N72" s="85">
        <f t="shared" si="79"/>
        <v>0.93356627994864172</v>
      </c>
      <c r="O72" s="85">
        <f t="shared" si="79"/>
        <v>1.807721533549109</v>
      </c>
      <c r="P72" s="85">
        <f t="shared" si="79"/>
        <v>0.2783460442628623</v>
      </c>
      <c r="Q72" s="85"/>
      <c r="R72" s="85"/>
      <c r="S72" s="85"/>
      <c r="T72" s="85"/>
    </row>
    <row r="73" spans="1:35" x14ac:dyDescent="0.35">
      <c r="A73" s="85"/>
      <c r="B73" s="85"/>
      <c r="C73" s="85"/>
      <c r="D73" s="85"/>
      <c r="E73" s="137"/>
      <c r="F73" s="85"/>
      <c r="G73" s="49" t="s">
        <v>95</v>
      </c>
      <c r="H73" s="85">
        <f>H72/SQRT(8)</f>
        <v>0.10527997080488979</v>
      </c>
      <c r="I73" s="85">
        <f t="shared" ref="I73:P73" si="80">I72/SQRT(8)</f>
        <v>0.36696241181464528</v>
      </c>
      <c r="J73" s="85">
        <f t="shared" si="80"/>
        <v>1.3712522999063687E-2</v>
      </c>
      <c r="K73" s="85">
        <f t="shared" si="80"/>
        <v>1.3712522999063699E-2</v>
      </c>
      <c r="L73" s="85">
        <f t="shared" si="80"/>
        <v>1.3301504183300646E-2</v>
      </c>
      <c r="M73" s="85">
        <f t="shared" si="80"/>
        <v>2.5583635588867877E-3</v>
      </c>
      <c r="N73" s="85">
        <f t="shared" si="80"/>
        <v>0.33006552361939168</v>
      </c>
      <c r="O73" s="85">
        <f t="shared" si="80"/>
        <v>0.63912607743475991</v>
      </c>
      <c r="P73" s="85">
        <f t="shared" si="80"/>
        <v>9.8410187707360416E-2</v>
      </c>
      <c r="Q73" s="85"/>
      <c r="R73" s="85"/>
      <c r="S73" s="85"/>
      <c r="T73" s="85"/>
    </row>
    <row r="74" spans="1:35" x14ac:dyDescent="0.35">
      <c r="A74" s="85"/>
      <c r="B74" s="85"/>
      <c r="C74" s="85"/>
      <c r="D74" s="85"/>
      <c r="E74" s="137"/>
      <c r="F74" s="85"/>
      <c r="G74" s="49"/>
      <c r="H74" s="13"/>
      <c r="I74" s="13"/>
      <c r="J74" s="13"/>
      <c r="K74" s="13"/>
      <c r="L74" s="13"/>
      <c r="M74" s="13"/>
      <c r="N74" s="13"/>
      <c r="O74" s="85"/>
      <c r="P74" s="85"/>
      <c r="Q74" s="85"/>
      <c r="R74" s="85"/>
      <c r="S74" s="85"/>
      <c r="T74" s="85"/>
    </row>
    <row r="75" spans="1:35" x14ac:dyDescent="0.35">
      <c r="A75" s="85"/>
      <c r="B75" s="85"/>
      <c r="C75" s="85"/>
      <c r="D75" s="85"/>
      <c r="E75" s="137"/>
      <c r="F75" s="85"/>
      <c r="G75" s="49"/>
      <c r="H75" s="13"/>
      <c r="I75" s="13"/>
      <c r="J75" s="13"/>
      <c r="K75" s="13"/>
      <c r="L75" s="13"/>
      <c r="M75" s="13"/>
      <c r="N75" s="13"/>
      <c r="O75" s="85"/>
      <c r="P75" s="85"/>
      <c r="Q75" s="85"/>
      <c r="R75" s="85"/>
      <c r="S75" s="85"/>
      <c r="T75" s="85"/>
    </row>
    <row r="76" spans="1:35" x14ac:dyDescent="0.35">
      <c r="A76" s="85"/>
      <c r="B76" s="85"/>
      <c r="C76" s="85"/>
      <c r="D76" s="85"/>
      <c r="E76" s="137" t="s">
        <v>195</v>
      </c>
      <c r="F76" s="85"/>
      <c r="G76" s="49" t="s">
        <v>77</v>
      </c>
      <c r="H76" s="13">
        <f>AVERAGE(H31,H33,H36,H44,H47,H51,H64)</f>
        <v>5.1464499999999873</v>
      </c>
      <c r="I76" s="13">
        <f t="shared" ref="I76:P76" si="81">AVERAGE(I31,I33,I36,I44,I47,I51,I64)</f>
        <v>7.318858571428577</v>
      </c>
      <c r="J76" s="13">
        <f t="shared" si="81"/>
        <v>0.41799643542993586</v>
      </c>
      <c r="K76" s="13">
        <f t="shared" si="81"/>
        <v>0.58200356457006408</v>
      </c>
      <c r="L76" s="13">
        <f t="shared" si="81"/>
        <v>0.19565258287088391</v>
      </c>
      <c r="M76" s="13">
        <f t="shared" si="81"/>
        <v>8.167307116606011E-2</v>
      </c>
      <c r="N76" s="13">
        <f t="shared" si="81"/>
        <v>12.465308571428565</v>
      </c>
      <c r="O76" s="13">
        <f t="shared" si="81"/>
        <v>32</v>
      </c>
      <c r="P76" s="13">
        <f t="shared" si="81"/>
        <v>6.2110965667259448</v>
      </c>
      <c r="Q76" s="85"/>
      <c r="R76" s="85"/>
      <c r="S76" s="85"/>
      <c r="T76" s="85"/>
    </row>
    <row r="77" spans="1:35" x14ac:dyDescent="0.35">
      <c r="A77" s="85"/>
      <c r="B77" s="85"/>
      <c r="C77" s="85"/>
      <c r="D77" s="85"/>
      <c r="E77" s="137"/>
      <c r="F77" s="85"/>
      <c r="G77" s="49" t="s">
        <v>94</v>
      </c>
      <c r="H77" s="13">
        <f>_xlfn.STDEV.S(H31,H33,H36,H44,H47,H51,H64)</f>
        <v>0.46345502047123049</v>
      </c>
      <c r="I77" s="13">
        <f t="shared" ref="I77:P77" si="82">_xlfn.STDEV.S(I31,I33,I36,I44,I47,I51,I64)</f>
        <v>1.7661155926913745</v>
      </c>
      <c r="J77" s="13">
        <f t="shared" si="82"/>
        <v>5.0204823963443952E-2</v>
      </c>
      <c r="K77" s="13">
        <f t="shared" si="82"/>
        <v>5.0204823963443813E-2</v>
      </c>
      <c r="L77" s="13">
        <f t="shared" si="82"/>
        <v>1.7436803789358902E-2</v>
      </c>
      <c r="M77" s="13">
        <f t="shared" si="82"/>
        <v>1.0813101334166287E-2</v>
      </c>
      <c r="N77" s="13">
        <f t="shared" si="82"/>
        <v>1.9627560655060816</v>
      </c>
      <c r="O77" s="13">
        <f t="shared" si="82"/>
        <v>3.4641016151377544</v>
      </c>
      <c r="P77" s="13">
        <f t="shared" si="82"/>
        <v>0.21069097606007173</v>
      </c>
      <c r="Q77" s="85"/>
      <c r="R77" s="85"/>
      <c r="S77" s="85"/>
      <c r="T77" s="85"/>
    </row>
    <row r="78" spans="1:35" x14ac:dyDescent="0.35">
      <c r="A78" s="85"/>
      <c r="B78" s="85"/>
      <c r="C78" s="85"/>
      <c r="D78" s="85"/>
      <c r="E78" s="137"/>
      <c r="F78" s="85"/>
      <c r="G78" s="49" t="s">
        <v>95</v>
      </c>
      <c r="H78" s="13">
        <f>H77/SQRT(7)</f>
        <v>0.17516953257588924</v>
      </c>
      <c r="I78" s="13">
        <f t="shared" ref="I78:P78" si="83">I77/SQRT(7)</f>
        <v>0.6675289492649743</v>
      </c>
      <c r="J78" s="13">
        <f t="shared" si="83"/>
        <v>1.8975639831864115E-2</v>
      </c>
      <c r="K78" s="13">
        <f t="shared" si="83"/>
        <v>1.8975639831864063E-2</v>
      </c>
      <c r="L78" s="13">
        <f t="shared" si="83"/>
        <v>6.5904923552103332E-3</v>
      </c>
      <c r="M78" s="13">
        <f t="shared" si="83"/>
        <v>4.0869681473635327E-3</v>
      </c>
      <c r="N78" s="13">
        <f t="shared" si="83"/>
        <v>0.74185206194467035</v>
      </c>
      <c r="O78" s="13">
        <f t="shared" si="83"/>
        <v>1.3093073414159542</v>
      </c>
      <c r="P78" s="13">
        <f t="shared" si="83"/>
        <v>7.963370373434471E-2</v>
      </c>
      <c r="Q78" s="85"/>
      <c r="R78" s="85"/>
      <c r="S78" s="85"/>
      <c r="T78" s="85"/>
    </row>
    <row r="79" spans="1:35" x14ac:dyDescent="0.35">
      <c r="A79" s="85"/>
      <c r="B79" s="85"/>
      <c r="C79" s="85"/>
      <c r="D79" s="85"/>
      <c r="E79" s="137"/>
      <c r="F79" s="85"/>
      <c r="G79" s="49"/>
      <c r="H79" s="13"/>
      <c r="I79" s="13"/>
      <c r="J79" s="13"/>
      <c r="K79" s="13"/>
      <c r="L79" s="13"/>
      <c r="M79" s="13"/>
      <c r="N79" s="13"/>
      <c r="O79" s="85"/>
      <c r="P79" s="85"/>
      <c r="Q79" s="85"/>
      <c r="R79" s="85"/>
      <c r="S79" s="85"/>
      <c r="T79" s="85"/>
    </row>
    <row r="80" spans="1:35" x14ac:dyDescent="0.35">
      <c r="A80" s="85"/>
      <c r="B80" s="85"/>
      <c r="C80" s="85"/>
      <c r="D80" s="85"/>
      <c r="E80" s="137"/>
      <c r="F80" s="85"/>
      <c r="G80" s="49"/>
      <c r="H80" s="13"/>
      <c r="I80" s="13"/>
      <c r="J80" s="13"/>
      <c r="K80" s="13"/>
      <c r="L80" s="13"/>
      <c r="M80" s="13"/>
      <c r="N80" s="13"/>
      <c r="O80" s="85"/>
      <c r="P80" s="85"/>
      <c r="Q80" s="85"/>
      <c r="R80" s="85"/>
      <c r="S80" s="85"/>
      <c r="T80" s="85"/>
    </row>
    <row r="81" spans="1:37" x14ac:dyDescent="0.35">
      <c r="A81" s="85"/>
      <c r="B81" s="85"/>
      <c r="C81" s="85"/>
      <c r="D81" s="85"/>
      <c r="E81" s="137" t="s">
        <v>194</v>
      </c>
      <c r="F81" s="85"/>
      <c r="G81" s="49" t="s">
        <v>77</v>
      </c>
      <c r="H81" s="13">
        <f>AVERAGE(H29,H37:H42,H45,H56:H57,H60)</f>
        <v>5.1717827272727313</v>
      </c>
      <c r="I81" s="13">
        <f t="shared" ref="I81:P81" si="84">AVERAGE(I29,I37:I42,I45,I56:I57,I60)</f>
        <v>7.1297945454545433</v>
      </c>
      <c r="J81" s="13">
        <f t="shared" si="84"/>
        <v>0.42130438167713785</v>
      </c>
      <c r="K81" s="13">
        <f t="shared" si="84"/>
        <v>0.57869561832286209</v>
      </c>
      <c r="L81" s="13">
        <f t="shared" si="84"/>
        <v>0.19457816188083557</v>
      </c>
      <c r="M81" s="13">
        <f t="shared" si="84"/>
        <v>8.1645715107395794E-2</v>
      </c>
      <c r="N81" s="13">
        <f t="shared" si="84"/>
        <v>12.301577272727274</v>
      </c>
      <c r="O81" s="13">
        <f t="shared" si="84"/>
        <v>31.272727272727273</v>
      </c>
      <c r="P81" s="13">
        <f t="shared" si="84"/>
        <v>6.0451107339822894</v>
      </c>
      <c r="Q81" s="85"/>
      <c r="R81" s="85"/>
      <c r="S81" s="85"/>
      <c r="T81" s="85"/>
    </row>
    <row r="82" spans="1:37" x14ac:dyDescent="0.35">
      <c r="A82" s="85"/>
      <c r="B82" s="85"/>
      <c r="C82" s="85"/>
      <c r="D82" s="85"/>
      <c r="E82" s="137"/>
      <c r="F82" s="85"/>
      <c r="G82" s="49" t="s">
        <v>94</v>
      </c>
      <c r="H82" s="13">
        <f>_xlfn.STDEV.S(H29,H37:H42,H45,H56:H57,H60)</f>
        <v>0.43630503712633995</v>
      </c>
      <c r="I82" s="13">
        <f t="shared" ref="I82:P82" si="85">_xlfn.STDEV.S(I29,I37:I42,I45,I56:I57,I60)</f>
        <v>0.77875674576035969</v>
      </c>
      <c r="J82" s="13">
        <f t="shared" si="85"/>
        <v>3.4703244184978714E-2</v>
      </c>
      <c r="K82" s="13">
        <f t="shared" si="85"/>
        <v>3.4703244184978707E-2</v>
      </c>
      <c r="L82" s="13">
        <f t="shared" si="85"/>
        <v>1.5954470671206235E-2</v>
      </c>
      <c r="M82" s="13">
        <f t="shared" si="85"/>
        <v>5.5870861261582893E-3</v>
      </c>
      <c r="N82" s="13">
        <f t="shared" si="85"/>
        <v>0.86321337708693113</v>
      </c>
      <c r="O82" s="13">
        <f t="shared" si="85"/>
        <v>3.2891004572955529</v>
      </c>
      <c r="P82" s="13">
        <f t="shared" si="85"/>
        <v>0.35470435881158574</v>
      </c>
      <c r="Q82" s="85"/>
      <c r="R82" s="85"/>
      <c r="S82" s="85"/>
      <c r="T82" s="85"/>
    </row>
    <row r="83" spans="1:37" x14ac:dyDescent="0.35">
      <c r="A83" s="85"/>
      <c r="B83" s="85"/>
      <c r="C83" s="85"/>
      <c r="D83" s="85"/>
      <c r="E83" s="85"/>
      <c r="F83" s="85"/>
      <c r="G83" s="49" t="s">
        <v>95</v>
      </c>
      <c r="H83" s="13">
        <f>H82/SQRT(11)</f>
        <v>0.13155091839001384</v>
      </c>
      <c r="I83" s="13">
        <f t="shared" ref="I83:P83" si="86">I82/SQRT(11)</f>
        <v>0.23480399351320969</v>
      </c>
      <c r="J83" s="13">
        <f t="shared" si="86"/>
        <v>1.0463421815423389E-2</v>
      </c>
      <c r="K83" s="13">
        <f t="shared" si="86"/>
        <v>1.0463421815423387E-2</v>
      </c>
      <c r="L83" s="13">
        <f t="shared" si="86"/>
        <v>4.8104539041018864E-3</v>
      </c>
      <c r="M83" s="13">
        <f t="shared" si="86"/>
        <v>1.6845698501697546E-3</v>
      </c>
      <c r="N83" s="13">
        <f t="shared" si="86"/>
        <v>0.26026862598299272</v>
      </c>
      <c r="O83" s="13">
        <f t="shared" si="86"/>
        <v>0.99170110133051936</v>
      </c>
      <c r="P83" s="13">
        <f t="shared" si="86"/>
        <v>0.10694738815287473</v>
      </c>
      <c r="Q83" s="85"/>
      <c r="R83" s="85"/>
      <c r="S83" s="85"/>
      <c r="T83" s="85"/>
    </row>
    <row r="84" spans="1:37" x14ac:dyDescent="0.35">
      <c r="A84" s="85"/>
      <c r="B84" s="85"/>
      <c r="C84" s="85"/>
      <c r="D84" s="85"/>
      <c r="E84" s="85"/>
      <c r="F84" s="85"/>
      <c r="G84" s="85"/>
      <c r="H84" s="13"/>
      <c r="I84" s="13"/>
      <c r="J84" s="13"/>
      <c r="K84" s="13"/>
      <c r="L84" s="13"/>
      <c r="M84" s="13"/>
      <c r="N84" s="13"/>
      <c r="O84" s="85"/>
      <c r="P84" s="85"/>
      <c r="Q84" s="85"/>
      <c r="R84" s="85"/>
      <c r="S84" s="85"/>
      <c r="T84" s="85"/>
      <c r="Y84" s="8"/>
      <c r="Z84" s="6" t="s">
        <v>236</v>
      </c>
      <c r="AB84" s="2"/>
      <c r="AC84" s="2"/>
    </row>
    <row r="85" spans="1:37" x14ac:dyDescent="0.35">
      <c r="A85" s="85"/>
      <c r="B85" s="85"/>
      <c r="C85" s="85"/>
      <c r="D85" s="85"/>
      <c r="E85" s="137"/>
      <c r="F85" s="85"/>
      <c r="G85" s="49"/>
      <c r="H85" s="13"/>
      <c r="I85" s="13"/>
      <c r="J85" s="13"/>
      <c r="K85" s="13"/>
      <c r="L85" s="13"/>
      <c r="M85" s="13"/>
      <c r="N85" s="13"/>
      <c r="O85" s="13"/>
      <c r="P85" s="13"/>
      <c r="Q85" s="85"/>
      <c r="R85" s="85"/>
      <c r="S85" s="85"/>
      <c r="T85" s="85"/>
      <c r="Y85" s="7"/>
      <c r="Z85" s="6" t="s">
        <v>237</v>
      </c>
      <c r="AB85" s="2"/>
      <c r="AC85" s="2"/>
    </row>
    <row r="86" spans="1:37" x14ac:dyDescent="0.35">
      <c r="A86" s="85"/>
      <c r="B86" s="85"/>
      <c r="C86" s="85"/>
      <c r="D86" s="85"/>
      <c r="E86" s="85"/>
      <c r="F86" s="85"/>
      <c r="G86" s="49"/>
      <c r="H86" s="13"/>
      <c r="I86" s="13"/>
      <c r="J86" s="13"/>
      <c r="K86" s="13"/>
      <c r="L86" s="13"/>
      <c r="M86" s="13"/>
      <c r="N86" s="13"/>
      <c r="O86" s="13"/>
      <c r="P86" s="13"/>
      <c r="Q86" s="85"/>
      <c r="R86" s="85"/>
      <c r="S86" s="85"/>
      <c r="T86" s="85"/>
    </row>
    <row r="87" spans="1:37" x14ac:dyDescent="0.35">
      <c r="A87" s="85"/>
      <c r="B87" s="85"/>
      <c r="C87" s="85"/>
      <c r="D87" s="85"/>
      <c r="E87" s="85"/>
      <c r="F87" s="85"/>
      <c r="G87" s="49"/>
      <c r="H87" s="13"/>
      <c r="I87" s="13"/>
      <c r="J87" s="13"/>
      <c r="K87" s="13"/>
      <c r="L87" s="13"/>
      <c r="M87" s="13"/>
      <c r="N87" s="13"/>
      <c r="O87" s="13"/>
      <c r="P87" s="13"/>
      <c r="Q87" s="85"/>
      <c r="R87" s="85"/>
      <c r="S87" s="85"/>
      <c r="T87" s="85"/>
    </row>
    <row r="88" spans="1:37" ht="18.5" x14ac:dyDescent="0.45">
      <c r="A88" s="85"/>
      <c r="B88" s="85"/>
      <c r="C88" s="85"/>
      <c r="D88" s="85"/>
      <c r="E88" s="159" t="s">
        <v>242</v>
      </c>
      <c r="F88" s="85"/>
      <c r="G88" s="85"/>
      <c r="H88" s="13"/>
      <c r="I88" s="13"/>
      <c r="J88" s="13"/>
      <c r="K88" s="13"/>
      <c r="L88" s="13"/>
      <c r="M88" s="13"/>
      <c r="N88" s="13"/>
      <c r="O88" s="85"/>
      <c r="P88" s="85"/>
      <c r="Q88" s="85"/>
      <c r="R88" s="85"/>
      <c r="S88" s="85"/>
      <c r="T88" s="85"/>
      <c r="Y88" s="1" t="s">
        <v>294</v>
      </c>
    </row>
    <row r="89" spans="1:37" ht="16" thickBot="1" x14ac:dyDescent="0.4">
      <c r="A89" s="85"/>
      <c r="B89" s="85"/>
      <c r="C89" s="85"/>
      <c r="D89" s="85"/>
      <c r="E89" s="85"/>
      <c r="F89" s="85"/>
      <c r="G89" s="85"/>
      <c r="H89" s="85"/>
      <c r="I89" s="85"/>
      <c r="J89" s="85"/>
      <c r="K89" s="85"/>
      <c r="L89" s="85"/>
      <c r="M89" s="85"/>
      <c r="N89" s="85"/>
      <c r="O89" s="85"/>
      <c r="P89" s="85"/>
      <c r="Q89" s="85"/>
      <c r="R89" s="85"/>
      <c r="S89" s="85"/>
      <c r="T89" s="85"/>
      <c r="Y89" s="9" t="s">
        <v>1</v>
      </c>
      <c r="Z89" s="9" t="s">
        <v>2</v>
      </c>
      <c r="AA89" s="9" t="s">
        <v>3</v>
      </c>
      <c r="AB89" s="9" t="s">
        <v>4</v>
      </c>
      <c r="AC89" s="9" t="s">
        <v>5</v>
      </c>
      <c r="AD89" s="9" t="s">
        <v>6</v>
      </c>
      <c r="AE89" s="9" t="s">
        <v>7</v>
      </c>
      <c r="AF89" s="9" t="s">
        <v>8</v>
      </c>
      <c r="AG89" s="9" t="s">
        <v>9</v>
      </c>
      <c r="AH89" s="9" t="s">
        <v>10</v>
      </c>
      <c r="AI89" s="44" t="s">
        <v>139</v>
      </c>
      <c r="AK89" s="44" t="s">
        <v>138</v>
      </c>
    </row>
    <row r="90" spans="1:37" x14ac:dyDescent="0.35">
      <c r="A90" s="85"/>
      <c r="B90" s="85"/>
      <c r="C90" s="85"/>
      <c r="D90" s="85"/>
      <c r="E90" s="85"/>
      <c r="F90" s="85"/>
      <c r="G90" s="85"/>
      <c r="H90" s="13"/>
      <c r="I90" s="13"/>
      <c r="J90" s="13"/>
      <c r="K90" s="13"/>
      <c r="L90" s="13"/>
      <c r="M90" s="13"/>
      <c r="N90" s="13"/>
      <c r="O90" s="85"/>
      <c r="P90" s="85"/>
      <c r="Q90" s="85"/>
      <c r="R90" s="85"/>
      <c r="S90" s="85"/>
      <c r="T90" s="85"/>
      <c r="Y90" s="2">
        <v>2.2496200000000002</v>
      </c>
      <c r="Z90" s="2">
        <v>7.2263200000000003</v>
      </c>
      <c r="AA90" s="2">
        <f>Z90-Y90</f>
        <v>4.9767000000000001</v>
      </c>
      <c r="AB90" s="2">
        <f>Y91-Z90</f>
        <v>8.8608200000000004</v>
      </c>
      <c r="AC90" s="2">
        <f>AA90/AG90</f>
        <v>0.35965259670808059</v>
      </c>
      <c r="AD90" s="2">
        <f>AB90/AG90</f>
        <v>0.6403474032919193</v>
      </c>
      <c r="AE90" s="2">
        <f>1/AA90</f>
        <v>0.2009363634536942</v>
      </c>
      <c r="AF90" s="2">
        <f>1/AG90</f>
        <v>7.2267284889199798E-2</v>
      </c>
      <c r="AG90" s="2">
        <f>AA90+AB90</f>
        <v>13.837520000000001</v>
      </c>
      <c r="AH90" s="13">
        <v>27</v>
      </c>
      <c r="AI90">
        <f>AH90/AA90</f>
        <v>5.425281813249744</v>
      </c>
      <c r="AK90" t="s">
        <v>268</v>
      </c>
    </row>
    <row r="91" spans="1:37" ht="16" thickBot="1" x14ac:dyDescent="0.4">
      <c r="A91" s="85"/>
      <c r="B91" s="85"/>
      <c r="C91" s="85"/>
      <c r="D91" s="85"/>
      <c r="E91" s="85"/>
      <c r="F91" s="85"/>
      <c r="G91" s="85"/>
      <c r="H91" s="44" t="s">
        <v>3</v>
      </c>
      <c r="I91" s="44" t="s">
        <v>4</v>
      </c>
      <c r="J91" s="44" t="s">
        <v>5</v>
      </c>
      <c r="K91" s="44" t="s">
        <v>6</v>
      </c>
      <c r="L91" s="44" t="s">
        <v>7</v>
      </c>
      <c r="M91" s="44" t="s">
        <v>8</v>
      </c>
      <c r="N91" s="44" t="s">
        <v>9</v>
      </c>
      <c r="O91" s="44" t="s">
        <v>10</v>
      </c>
      <c r="P91" s="44" t="s">
        <v>139</v>
      </c>
      <c r="Q91" s="85"/>
      <c r="R91" s="85"/>
      <c r="S91" s="85"/>
      <c r="T91" s="85"/>
      <c r="Y91">
        <v>16.087140000000002</v>
      </c>
      <c r="Z91">
        <v>21.37716</v>
      </c>
      <c r="AA91" s="2">
        <f t="shared" ref="AA91:AA106" si="87">Z91-Y91</f>
        <v>5.2900199999999984</v>
      </c>
      <c r="AB91" s="2">
        <f t="shared" ref="AB91:AB106" si="88">Y92-Z91</f>
        <v>8.8798299999999983</v>
      </c>
      <c r="AC91" s="2">
        <f t="shared" ref="AC91:AC106" si="89">AA91/AG91</f>
        <v>0.3733292871837034</v>
      </c>
      <c r="AD91" s="2">
        <f t="shared" ref="AD91:AD106" si="90">AB91/AG91</f>
        <v>0.6266707128162966</v>
      </c>
      <c r="AE91" s="2">
        <f t="shared" ref="AE91:AE106" si="91">1/AA91</f>
        <v>0.1890352021353417</v>
      </c>
      <c r="AF91" s="2">
        <f t="shared" ref="AF91:AF106" si="92">1/AG91</f>
        <v>7.0572377265814404E-2</v>
      </c>
      <c r="AG91" s="2">
        <f t="shared" ref="AG91:AG106" si="93">AA91+AB91</f>
        <v>14.169849999999997</v>
      </c>
      <c r="AH91" s="13">
        <v>25</v>
      </c>
      <c r="AI91">
        <f t="shared" ref="AI91:AI106" si="94">AH91/AA91</f>
        <v>4.7258800533835421</v>
      </c>
    </row>
    <row r="92" spans="1:37" x14ac:dyDescent="0.35">
      <c r="A92" s="85"/>
      <c r="B92" s="85"/>
      <c r="C92" s="85"/>
      <c r="D92" s="85"/>
      <c r="E92" s="137" t="s">
        <v>192</v>
      </c>
      <c r="F92" s="85"/>
      <c r="G92" s="49" t="s">
        <v>77</v>
      </c>
      <c r="H92" s="13">
        <f t="shared" ref="H92:P92" si="95">AVERAGE(H48,H52,H54,H58,H61,H64)</f>
        <v>5.1412249999999959</v>
      </c>
      <c r="I92" s="13">
        <f t="shared" si="95"/>
        <v>11.568400000000002</v>
      </c>
      <c r="J92" s="13">
        <f t="shared" si="95"/>
        <v>0.30809935162137714</v>
      </c>
      <c r="K92" s="13">
        <f t="shared" si="95"/>
        <v>0.69190064837862286</v>
      </c>
      <c r="L92" s="13">
        <f t="shared" si="95"/>
        <v>0.195814879920028</v>
      </c>
      <c r="M92" s="13">
        <f t="shared" si="95"/>
        <v>5.9942124795960929E-2</v>
      </c>
      <c r="N92" s="13">
        <f t="shared" si="95"/>
        <v>16.709624999999999</v>
      </c>
      <c r="O92" s="13">
        <f t="shared" si="95"/>
        <v>31.666666666666668</v>
      </c>
      <c r="P92" s="13">
        <f t="shared" si="95"/>
        <v>6.187430547496632</v>
      </c>
      <c r="Q92" s="85"/>
      <c r="R92" s="85"/>
      <c r="S92" s="85"/>
      <c r="T92" s="85"/>
      <c r="X92" s="144" t="s">
        <v>235</v>
      </c>
      <c r="Y92" s="144">
        <v>30.256989999999998</v>
      </c>
      <c r="Z92" s="144">
        <v>33.304789999999997</v>
      </c>
      <c r="AA92" s="91">
        <f t="shared" si="87"/>
        <v>3.0477999999999987</v>
      </c>
      <c r="AB92" s="91">
        <f t="shared" si="88"/>
        <v>9.7733300000000014</v>
      </c>
      <c r="AC92" s="91">
        <f t="shared" si="89"/>
        <v>0.23771695630572334</v>
      </c>
      <c r="AD92" s="91">
        <f t="shared" si="90"/>
        <v>0.76228304369427669</v>
      </c>
      <c r="AE92" s="91">
        <f t="shared" si="91"/>
        <v>0.32810551873482524</v>
      </c>
      <c r="AF92" s="91">
        <f t="shared" si="92"/>
        <v>7.7996245260753147E-2</v>
      </c>
      <c r="AG92" s="91">
        <f t="shared" si="93"/>
        <v>12.82113</v>
      </c>
      <c r="AH92" s="91">
        <v>19</v>
      </c>
      <c r="AI92" s="144">
        <f t="shared" si="94"/>
        <v>6.2340048559616799</v>
      </c>
    </row>
    <row r="93" spans="1:37" x14ac:dyDescent="0.35">
      <c r="A93" s="85"/>
      <c r="B93" s="85"/>
      <c r="C93" s="85"/>
      <c r="D93" s="85"/>
      <c r="E93" s="137"/>
      <c r="F93" s="85"/>
      <c r="G93" s="49" t="s">
        <v>94</v>
      </c>
      <c r="H93" s="13">
        <f t="shared" ref="H93:P93" si="96">_xlfn.STDEV.S(H48,H52,H54,H58,H61,H64)</f>
        <v>0.46398701010911181</v>
      </c>
      <c r="I93" s="13">
        <f t="shared" si="96"/>
        <v>0.84573788778794889</v>
      </c>
      <c r="J93" s="13">
        <f t="shared" si="96"/>
        <v>2.9846350591455566E-2</v>
      </c>
      <c r="K93" s="13">
        <f t="shared" si="96"/>
        <v>2.9846350591455597E-2</v>
      </c>
      <c r="L93" s="13">
        <f t="shared" si="96"/>
        <v>1.7424864307324754E-2</v>
      </c>
      <c r="M93" s="13">
        <f t="shared" si="96"/>
        <v>2.6726163647050175E-3</v>
      </c>
      <c r="N93" s="13">
        <f t="shared" si="96"/>
        <v>0.72374185869688568</v>
      </c>
      <c r="O93" s="13">
        <f t="shared" si="96"/>
        <v>1.7511900715418263</v>
      </c>
      <c r="P93" s="13">
        <f t="shared" si="96"/>
        <v>0.46538978923148061</v>
      </c>
      <c r="Q93" s="85"/>
      <c r="R93" s="85"/>
      <c r="S93" s="85"/>
      <c r="T93" s="85"/>
      <c r="X93" s="144" t="s">
        <v>235</v>
      </c>
      <c r="Y93" s="144">
        <v>43.078119999999998</v>
      </c>
      <c r="Z93" s="144">
        <v>46.471350000000001</v>
      </c>
      <c r="AA93" s="91">
        <f t="shared" si="87"/>
        <v>3.3932300000000026</v>
      </c>
      <c r="AB93" s="91">
        <f t="shared" si="88"/>
        <v>11.564169999999997</v>
      </c>
      <c r="AC93" s="91">
        <f t="shared" si="89"/>
        <v>0.226859614638908</v>
      </c>
      <c r="AD93" s="91">
        <f t="shared" si="90"/>
        <v>0.77314038536109198</v>
      </c>
      <c r="AE93" s="91">
        <f t="shared" si="91"/>
        <v>0.29470445563666453</v>
      </c>
      <c r="AF93" s="91">
        <f t="shared" si="92"/>
        <v>6.6856539238102877E-2</v>
      </c>
      <c r="AG93" s="91">
        <f t="shared" si="93"/>
        <v>14.9574</v>
      </c>
      <c r="AH93" s="91">
        <v>23</v>
      </c>
      <c r="AI93" s="144">
        <f t="shared" si="94"/>
        <v>6.7782024796432845</v>
      </c>
    </row>
    <row r="94" spans="1:37" x14ac:dyDescent="0.35">
      <c r="A94" s="85"/>
      <c r="B94" s="85"/>
      <c r="C94" s="85"/>
      <c r="D94" s="85"/>
      <c r="E94" s="137"/>
      <c r="F94" s="85"/>
      <c r="G94" s="49" t="s">
        <v>95</v>
      </c>
      <c r="H94" s="85">
        <f>H93/SQRT(6)</f>
        <v>0.18942190367448403</v>
      </c>
      <c r="I94" s="85">
        <f t="shared" ref="I94:P94" si="97">I93/SQRT(6)</f>
        <v>0.34527104686994858</v>
      </c>
      <c r="J94" s="85">
        <f t="shared" si="97"/>
        <v>1.2184721605546843E-2</v>
      </c>
      <c r="K94" s="85">
        <f t="shared" si="97"/>
        <v>1.2184721605546855E-2</v>
      </c>
      <c r="L94" s="85">
        <f t="shared" si="97"/>
        <v>7.1136710650301161E-3</v>
      </c>
      <c r="M94" s="85">
        <f t="shared" si="97"/>
        <v>1.0910910619565677E-3</v>
      </c>
      <c r="N94" s="85">
        <f t="shared" si="97"/>
        <v>0.2954663765501423</v>
      </c>
      <c r="O94" s="85">
        <f t="shared" si="97"/>
        <v>0.71492035298424061</v>
      </c>
      <c r="P94" s="85">
        <f t="shared" si="97"/>
        <v>0.18999458585308951</v>
      </c>
      <c r="Q94" s="85"/>
      <c r="R94" s="85"/>
      <c r="S94" s="85"/>
      <c r="T94" s="85"/>
      <c r="Y94">
        <v>58.035519999999998</v>
      </c>
      <c r="Z94">
        <v>64.385940000000005</v>
      </c>
      <c r="AA94" s="2">
        <f t="shared" si="87"/>
        <v>6.3504200000000068</v>
      </c>
      <c r="AB94" s="2">
        <f t="shared" si="88"/>
        <v>10.202659999999995</v>
      </c>
      <c r="AC94" s="2">
        <f t="shared" si="89"/>
        <v>0.38363978184120456</v>
      </c>
      <c r="AD94" s="2">
        <f t="shared" si="90"/>
        <v>0.61636021815879549</v>
      </c>
      <c r="AE94" s="2">
        <f t="shared" si="91"/>
        <v>0.15746989962868579</v>
      </c>
      <c r="AF94" s="2">
        <f t="shared" si="92"/>
        <v>6.04117179401054E-2</v>
      </c>
      <c r="AG94" s="2">
        <f t="shared" si="93"/>
        <v>16.553080000000001</v>
      </c>
      <c r="AH94" s="13">
        <v>38</v>
      </c>
      <c r="AI94">
        <f t="shared" si="94"/>
        <v>5.983856185890061</v>
      </c>
    </row>
    <row r="95" spans="1:37" x14ac:dyDescent="0.35">
      <c r="A95" s="85"/>
      <c r="B95" s="85"/>
      <c r="C95" s="85"/>
      <c r="D95" s="85"/>
      <c r="E95" s="137"/>
      <c r="F95" s="85"/>
      <c r="G95" s="49"/>
      <c r="H95" s="85"/>
      <c r="I95" s="85"/>
      <c r="J95" s="85"/>
      <c r="K95" s="85"/>
      <c r="L95" s="85"/>
      <c r="M95" s="85"/>
      <c r="N95" s="85"/>
      <c r="O95" s="85"/>
      <c r="P95" s="85"/>
      <c r="Q95" s="85"/>
      <c r="R95" s="85"/>
      <c r="S95" s="85"/>
      <c r="T95" s="85"/>
      <c r="Y95">
        <v>74.5886</v>
      </c>
      <c r="Z95">
        <v>81.18374</v>
      </c>
      <c r="AA95" s="2">
        <f t="shared" si="87"/>
        <v>6.5951400000000007</v>
      </c>
      <c r="AB95" s="2">
        <f t="shared" si="88"/>
        <v>9.9827999999999975</v>
      </c>
      <c r="AC95" s="2">
        <f t="shared" si="89"/>
        <v>0.39782626791989845</v>
      </c>
      <c r="AD95" s="2">
        <f t="shared" si="90"/>
        <v>0.6021737320801015</v>
      </c>
      <c r="AE95" s="2">
        <f t="shared" si="91"/>
        <v>0.15162680397990033</v>
      </c>
      <c r="AF95" s="2">
        <f t="shared" si="92"/>
        <v>6.032112554394576E-2</v>
      </c>
      <c r="AG95" s="2">
        <f t="shared" si="93"/>
        <v>16.577939999999998</v>
      </c>
      <c r="AH95" s="13">
        <v>34</v>
      </c>
      <c r="AI95">
        <f t="shared" si="94"/>
        <v>5.1553113353166111</v>
      </c>
    </row>
    <row r="96" spans="1:37" x14ac:dyDescent="0.35">
      <c r="A96" s="85"/>
      <c r="B96" s="85"/>
      <c r="C96" s="85"/>
      <c r="D96" s="85"/>
      <c r="E96" s="137"/>
      <c r="F96" s="85"/>
      <c r="G96" s="49"/>
      <c r="H96" s="85"/>
      <c r="I96" s="85"/>
      <c r="J96" s="85"/>
      <c r="K96" s="85"/>
      <c r="L96" s="85"/>
      <c r="M96" s="85"/>
      <c r="N96" s="85"/>
      <c r="O96" s="85"/>
      <c r="P96" s="85"/>
      <c r="Q96" s="85"/>
      <c r="R96" s="85"/>
      <c r="S96" s="85"/>
      <c r="T96" s="85"/>
      <c r="X96" s="144" t="s">
        <v>235</v>
      </c>
      <c r="Y96" s="144">
        <v>91.166539999999998</v>
      </c>
      <c r="Z96" s="144">
        <v>94.244829999999993</v>
      </c>
      <c r="AA96" s="91">
        <f t="shared" si="87"/>
        <v>3.0782899999999955</v>
      </c>
      <c r="AB96" s="91">
        <f t="shared" si="88"/>
        <v>11.401570000000007</v>
      </c>
      <c r="AC96" s="91">
        <f t="shared" si="89"/>
        <v>0.21259114383702571</v>
      </c>
      <c r="AD96" s="91">
        <f t="shared" si="90"/>
        <v>0.78740885616297429</v>
      </c>
      <c r="AE96" s="91">
        <f t="shared" si="91"/>
        <v>0.32485568286288863</v>
      </c>
      <c r="AF96" s="91">
        <f t="shared" si="92"/>
        <v>6.9061441201779566E-2</v>
      </c>
      <c r="AG96" s="91">
        <f t="shared" si="93"/>
        <v>14.479860000000002</v>
      </c>
      <c r="AH96" s="91">
        <v>18</v>
      </c>
      <c r="AI96" s="144">
        <f t="shared" si="94"/>
        <v>5.8474022915319956</v>
      </c>
    </row>
    <row r="97" spans="1:37" x14ac:dyDescent="0.35">
      <c r="A97" s="85"/>
      <c r="B97" s="85"/>
      <c r="C97" s="85"/>
      <c r="D97" s="85"/>
      <c r="E97" s="137" t="s">
        <v>195</v>
      </c>
      <c r="F97" s="85"/>
      <c r="G97" s="49" t="s">
        <v>77</v>
      </c>
      <c r="H97" s="85">
        <f t="shared" ref="H97:P97" si="98">AVERAGE(H62,H59,H55,H53,H49)</f>
        <v>5.9214039999999954</v>
      </c>
      <c r="I97" s="85">
        <f t="shared" si="98"/>
        <v>7.6333079999999942</v>
      </c>
      <c r="J97" s="85">
        <f t="shared" si="98"/>
        <v>0.43696340980852905</v>
      </c>
      <c r="K97" s="85">
        <f t="shared" si="98"/>
        <v>0.5630365901914709</v>
      </c>
      <c r="L97" s="85">
        <f t="shared" si="98"/>
        <v>0.1708328239994662</v>
      </c>
      <c r="M97" s="85">
        <f t="shared" si="98"/>
        <v>7.4272124235857606E-2</v>
      </c>
      <c r="N97" s="85">
        <f t="shared" si="98"/>
        <v>13.55471199999999</v>
      </c>
      <c r="O97" s="85">
        <f t="shared" si="98"/>
        <v>34.200000000000003</v>
      </c>
      <c r="P97" s="85">
        <f t="shared" si="98"/>
        <v>5.8011349514839781</v>
      </c>
      <c r="Q97" s="85"/>
      <c r="R97" s="85"/>
      <c r="S97" s="85"/>
      <c r="T97" s="85"/>
      <c r="Y97">
        <v>105.6464</v>
      </c>
      <c r="Z97">
        <v>111.02822</v>
      </c>
      <c r="AA97" s="2">
        <f t="shared" si="87"/>
        <v>5.3818200000000047</v>
      </c>
      <c r="AB97" s="2">
        <f t="shared" si="88"/>
        <v>9.0925000000000011</v>
      </c>
      <c r="AC97" s="2">
        <f t="shared" si="89"/>
        <v>0.37181850339083306</v>
      </c>
      <c r="AD97" s="2">
        <f t="shared" si="90"/>
        <v>0.628181496609167</v>
      </c>
      <c r="AE97" s="2">
        <f t="shared" si="91"/>
        <v>0.18581074803690928</v>
      </c>
      <c r="AF97" s="2">
        <f t="shared" si="92"/>
        <v>6.9087874249014775E-2</v>
      </c>
      <c r="AG97" s="2">
        <f t="shared" si="93"/>
        <v>14.474320000000006</v>
      </c>
      <c r="AH97" s="13">
        <v>30</v>
      </c>
      <c r="AI97">
        <f t="shared" si="94"/>
        <v>5.5743224411072783</v>
      </c>
    </row>
    <row r="98" spans="1:37" x14ac:dyDescent="0.35">
      <c r="A98" s="85"/>
      <c r="B98" s="85"/>
      <c r="C98" s="85"/>
      <c r="D98" s="85"/>
      <c r="E98" s="137"/>
      <c r="F98" s="85"/>
      <c r="G98" s="49" t="s">
        <v>94</v>
      </c>
      <c r="H98" s="85">
        <f t="shared" ref="H98:P98" si="99">_xlfn.STDEV.S(H62,H59,H55,H53,H49)</f>
        <v>0.72383723417629886</v>
      </c>
      <c r="I98" s="85">
        <f t="shared" si="99"/>
        <v>0.86213416335276272</v>
      </c>
      <c r="J98" s="85">
        <f t="shared" si="99"/>
        <v>3.5114185137790833E-2</v>
      </c>
      <c r="K98" s="85">
        <f t="shared" si="99"/>
        <v>3.511418513779082E-2</v>
      </c>
      <c r="L98" s="85">
        <f t="shared" si="99"/>
        <v>1.9988712758262469E-2</v>
      </c>
      <c r="M98" s="85">
        <f t="shared" si="99"/>
        <v>6.8274397817772248E-3</v>
      </c>
      <c r="N98" s="85">
        <f t="shared" si="99"/>
        <v>1.2352622887953595</v>
      </c>
      <c r="O98" s="85">
        <f t="shared" si="99"/>
        <v>2.8635642126552709</v>
      </c>
      <c r="P98" s="85">
        <f t="shared" si="99"/>
        <v>0.33965525683900977</v>
      </c>
      <c r="Q98" s="85"/>
      <c r="R98" s="85"/>
      <c r="S98" s="85"/>
      <c r="T98" s="85"/>
      <c r="Y98">
        <v>120.12072000000001</v>
      </c>
      <c r="Z98">
        <v>127.74092</v>
      </c>
      <c r="AA98" s="2">
        <f t="shared" si="87"/>
        <v>7.620199999999997</v>
      </c>
      <c r="AB98" s="2">
        <f t="shared" si="88"/>
        <v>6.1100899999999996</v>
      </c>
      <c r="AC98" s="2">
        <f t="shared" si="89"/>
        <v>0.55499191932581171</v>
      </c>
      <c r="AD98" s="2">
        <f t="shared" si="90"/>
        <v>0.44500808067418834</v>
      </c>
      <c r="AE98" s="2">
        <f t="shared" si="91"/>
        <v>0.13123015143959482</v>
      </c>
      <c r="AF98" s="2">
        <f t="shared" si="92"/>
        <v>7.2831673620877654E-2</v>
      </c>
      <c r="AG98" s="2">
        <f t="shared" si="93"/>
        <v>13.730289999999997</v>
      </c>
      <c r="AH98" s="13">
        <v>42</v>
      </c>
      <c r="AI98">
        <f t="shared" si="94"/>
        <v>5.5116663604629821</v>
      </c>
      <c r="AK98" t="s">
        <v>269</v>
      </c>
    </row>
    <row r="99" spans="1:37" x14ac:dyDescent="0.35">
      <c r="A99" s="85"/>
      <c r="B99" s="85"/>
      <c r="C99" s="85"/>
      <c r="D99" s="85"/>
      <c r="E99" s="137"/>
      <c r="F99" s="85"/>
      <c r="G99" s="49" t="s">
        <v>95</v>
      </c>
      <c r="H99" s="85">
        <f>H98/SQRT(5)</f>
        <v>0.32370985205272762</v>
      </c>
      <c r="I99" s="85">
        <f t="shared" ref="I99:P99" si="100">I98/SQRT(5)</f>
        <v>0.38555811899633707</v>
      </c>
      <c r="J99" s="85">
        <f t="shared" si="100"/>
        <v>1.5703540988522623E-2</v>
      </c>
      <c r="K99" s="85">
        <f t="shared" si="100"/>
        <v>1.5703540988522616E-2</v>
      </c>
      <c r="L99" s="85">
        <f t="shared" si="100"/>
        <v>8.9392241020384393E-3</v>
      </c>
      <c r="M99" s="85">
        <f t="shared" si="100"/>
        <v>3.0533238928680409E-3</v>
      </c>
      <c r="N99" s="85">
        <f t="shared" si="100"/>
        <v>0.55242608955768013</v>
      </c>
      <c r="O99" s="85">
        <f t="shared" si="100"/>
        <v>1.2806248474865698</v>
      </c>
      <c r="P99" s="85">
        <f t="shared" si="100"/>
        <v>0.15189844864143523</v>
      </c>
      <c r="Q99" s="85"/>
      <c r="R99" s="85"/>
      <c r="S99" s="85"/>
      <c r="T99" s="85"/>
      <c r="X99" s="144" t="s">
        <v>235</v>
      </c>
      <c r="Y99" s="144">
        <v>133.85101</v>
      </c>
      <c r="Z99" s="144">
        <v>137.86565999999999</v>
      </c>
      <c r="AA99" s="91">
        <f t="shared" si="87"/>
        <v>4.0146499999999889</v>
      </c>
      <c r="AB99" s="91">
        <f t="shared" si="88"/>
        <v>7.7387500000000102</v>
      </c>
      <c r="AC99" s="91">
        <f t="shared" si="89"/>
        <v>0.34157350213555138</v>
      </c>
      <c r="AD99" s="91">
        <f t="shared" si="90"/>
        <v>0.65842649786444862</v>
      </c>
      <c r="AE99" s="91">
        <f t="shared" si="91"/>
        <v>0.24908771623927434</v>
      </c>
      <c r="AF99" s="91">
        <f t="shared" si="92"/>
        <v>8.5081763574795383E-2</v>
      </c>
      <c r="AG99" s="91">
        <f t="shared" si="93"/>
        <v>11.753399999999999</v>
      </c>
      <c r="AH99" s="91">
        <v>28</v>
      </c>
      <c r="AI99" s="144">
        <f t="shared" si="94"/>
        <v>6.9744560546996821</v>
      </c>
    </row>
    <row r="100" spans="1:37" x14ac:dyDescent="0.35">
      <c r="A100" s="85"/>
      <c r="B100" s="85"/>
      <c r="C100" s="85"/>
      <c r="D100" s="85"/>
      <c r="E100" s="137"/>
      <c r="F100" s="85"/>
      <c r="G100" s="49"/>
      <c r="H100" s="85"/>
      <c r="I100" s="85"/>
      <c r="J100" s="85"/>
      <c r="K100" s="85"/>
      <c r="L100" s="85"/>
      <c r="M100" s="85"/>
      <c r="N100" s="85"/>
      <c r="O100" s="85"/>
      <c r="P100" s="85"/>
      <c r="Q100" s="85"/>
      <c r="R100" s="85"/>
      <c r="S100" s="85"/>
      <c r="T100" s="85"/>
      <c r="Y100">
        <v>145.60441</v>
      </c>
      <c r="Z100">
        <v>153.87751</v>
      </c>
      <c r="AA100" s="2">
        <f t="shared" si="87"/>
        <v>8.2730999999999995</v>
      </c>
      <c r="AB100" s="2">
        <f t="shared" si="88"/>
        <v>8.2308299999999974</v>
      </c>
      <c r="AC100" s="2">
        <f t="shared" si="89"/>
        <v>0.50128060407430242</v>
      </c>
      <c r="AD100" s="2">
        <f t="shared" si="90"/>
        <v>0.49871939592569764</v>
      </c>
      <c r="AE100" s="2">
        <f t="shared" si="91"/>
        <v>0.12087367492233868</v>
      </c>
      <c r="AF100" s="2">
        <f t="shared" si="92"/>
        <v>6.0591628781750784E-2</v>
      </c>
      <c r="AG100" s="2">
        <f t="shared" si="93"/>
        <v>16.503929999999997</v>
      </c>
      <c r="AH100" s="13">
        <v>53</v>
      </c>
      <c r="AI100">
        <f t="shared" si="94"/>
        <v>6.40630477088395</v>
      </c>
    </row>
    <row r="101" spans="1:37" x14ac:dyDescent="0.35">
      <c r="A101" s="85"/>
      <c r="B101" s="85"/>
      <c r="C101" s="85"/>
      <c r="D101" s="85"/>
      <c r="E101" s="137"/>
      <c r="F101" s="85"/>
      <c r="G101" s="49"/>
      <c r="H101" s="85"/>
      <c r="I101" s="85"/>
      <c r="J101" s="85"/>
      <c r="K101" s="85"/>
      <c r="L101" s="85"/>
      <c r="M101" s="85"/>
      <c r="N101" s="85"/>
      <c r="O101" s="85"/>
      <c r="P101" s="85"/>
      <c r="Q101" s="85"/>
      <c r="R101" s="85"/>
      <c r="S101" s="85"/>
      <c r="T101" s="85"/>
      <c r="X101" s="144" t="s">
        <v>235</v>
      </c>
      <c r="Y101" s="144">
        <v>162.10834</v>
      </c>
      <c r="Z101" s="144">
        <v>165.61875000000001</v>
      </c>
      <c r="AA101" s="91">
        <f t="shared" si="87"/>
        <v>3.5104100000000074</v>
      </c>
      <c r="AB101" s="91">
        <f t="shared" si="88"/>
        <v>8.3052199999999914</v>
      </c>
      <c r="AC101" s="91">
        <f t="shared" si="89"/>
        <v>0.29709884280398147</v>
      </c>
      <c r="AD101" s="91">
        <f t="shared" si="90"/>
        <v>0.70290115719601853</v>
      </c>
      <c r="AE101" s="91">
        <f t="shared" si="91"/>
        <v>0.28486700983645724</v>
      </c>
      <c r="AF101" s="91">
        <f t="shared" si="92"/>
        <v>8.4633658975441867E-2</v>
      </c>
      <c r="AG101" s="91">
        <f t="shared" si="93"/>
        <v>11.815629999999999</v>
      </c>
      <c r="AH101" s="91">
        <v>26</v>
      </c>
      <c r="AI101" s="144">
        <f t="shared" si="94"/>
        <v>7.4065422557478886</v>
      </c>
    </row>
    <row r="102" spans="1:37" x14ac:dyDescent="0.35">
      <c r="A102" s="85"/>
      <c r="B102" s="85"/>
      <c r="C102" s="85"/>
      <c r="D102" s="85"/>
      <c r="E102" s="137"/>
      <c r="F102" s="85"/>
      <c r="G102" s="49"/>
      <c r="H102" s="85"/>
      <c r="I102" s="85"/>
      <c r="J102" s="85"/>
      <c r="K102" s="85"/>
      <c r="L102" s="85"/>
      <c r="M102" s="85"/>
      <c r="N102" s="85"/>
      <c r="O102" s="85"/>
      <c r="P102" s="85"/>
      <c r="Q102" s="85"/>
      <c r="R102" s="85"/>
      <c r="S102" s="85"/>
      <c r="T102" s="85"/>
      <c r="Y102">
        <v>173.92397</v>
      </c>
      <c r="Z102">
        <v>181.89408</v>
      </c>
      <c r="AA102" s="2">
        <f t="shared" si="87"/>
        <v>7.9701100000000054</v>
      </c>
      <c r="AB102" s="2">
        <f t="shared" si="88"/>
        <v>7.0947900000000175</v>
      </c>
      <c r="AC102" s="2">
        <f t="shared" si="89"/>
        <v>0.52905163658570542</v>
      </c>
      <c r="AD102" s="2">
        <f t="shared" si="90"/>
        <v>0.47094836341429458</v>
      </c>
      <c r="AE102" s="2">
        <f t="shared" si="91"/>
        <v>0.1254687827395104</v>
      </c>
      <c r="AF102" s="2">
        <f t="shared" si="92"/>
        <v>6.6379464848754288E-2</v>
      </c>
      <c r="AG102" s="2">
        <f t="shared" si="93"/>
        <v>15.064900000000023</v>
      </c>
      <c r="AH102" s="13">
        <v>47</v>
      </c>
      <c r="AI102">
        <f t="shared" si="94"/>
        <v>5.8970327887569898</v>
      </c>
    </row>
    <row r="103" spans="1:37" x14ac:dyDescent="0.35">
      <c r="A103" s="85"/>
      <c r="B103" s="85"/>
      <c r="C103" s="85"/>
      <c r="D103" s="85"/>
      <c r="E103" s="137"/>
      <c r="F103" s="85"/>
      <c r="G103" s="49"/>
      <c r="H103" s="85"/>
      <c r="I103" s="85"/>
      <c r="J103" s="85"/>
      <c r="K103" s="85"/>
      <c r="L103" s="85"/>
      <c r="M103" s="85"/>
      <c r="N103" s="85"/>
      <c r="O103" s="85"/>
      <c r="P103" s="85"/>
      <c r="Q103" s="85"/>
      <c r="R103" s="85"/>
      <c r="S103" s="85"/>
      <c r="T103" s="85"/>
      <c r="X103" s="144" t="s">
        <v>235</v>
      </c>
      <c r="Y103" s="144">
        <v>188.98887000000002</v>
      </c>
      <c r="Z103" s="144">
        <v>192.50941</v>
      </c>
      <c r="AA103" s="91">
        <f t="shared" si="87"/>
        <v>3.5205399999999827</v>
      </c>
      <c r="AB103" s="91">
        <f t="shared" si="88"/>
        <v>9.1583299999999781</v>
      </c>
      <c r="AC103" s="91">
        <f t="shared" si="89"/>
        <v>0.2776698554366433</v>
      </c>
      <c r="AD103" s="91">
        <f t="shared" si="90"/>
        <v>0.72233014456335676</v>
      </c>
      <c r="AE103" s="91">
        <f t="shared" si="91"/>
        <v>0.28404733364768042</v>
      </c>
      <c r="AF103" s="91">
        <f t="shared" si="92"/>
        <v>7.8871382071115409E-2</v>
      </c>
      <c r="AG103" s="91">
        <f t="shared" si="93"/>
        <v>12.678869999999961</v>
      </c>
      <c r="AH103" s="91">
        <v>25</v>
      </c>
      <c r="AI103" s="144">
        <f t="shared" si="94"/>
        <v>7.1011833411920113</v>
      </c>
    </row>
    <row r="104" spans="1:37" x14ac:dyDescent="0.35">
      <c r="A104" s="85"/>
      <c r="B104" s="85"/>
      <c r="C104" s="85"/>
      <c r="D104" s="85"/>
      <c r="E104" s="85"/>
      <c r="F104" s="85"/>
      <c r="G104" s="49"/>
      <c r="H104" s="85"/>
      <c r="I104" s="85"/>
      <c r="J104" s="85"/>
      <c r="K104" s="85"/>
      <c r="L104" s="85"/>
      <c r="M104" s="85"/>
      <c r="N104" s="85"/>
      <c r="O104" s="85"/>
      <c r="P104" s="85"/>
      <c r="Q104" s="85"/>
      <c r="R104" s="85"/>
      <c r="S104" s="85"/>
      <c r="T104" s="85"/>
      <c r="X104" s="144" t="s">
        <v>235</v>
      </c>
      <c r="Y104" s="144">
        <v>201.66773999999998</v>
      </c>
      <c r="Z104" s="144">
        <v>206.05261999999999</v>
      </c>
      <c r="AA104" s="91">
        <f t="shared" si="87"/>
        <v>4.3848800000000097</v>
      </c>
      <c r="AB104" s="91">
        <f t="shared" si="88"/>
        <v>8.2082599999999957</v>
      </c>
      <c r="AC104" s="91">
        <f t="shared" si="89"/>
        <v>0.34819592254195603</v>
      </c>
      <c r="AD104" s="91">
        <f t="shared" si="90"/>
        <v>0.65180407745804403</v>
      </c>
      <c r="AE104" s="91">
        <f t="shared" si="91"/>
        <v>0.22805641203408025</v>
      </c>
      <c r="AF104" s="91">
        <f t="shared" si="92"/>
        <v>7.9408312779815013E-2</v>
      </c>
      <c r="AG104" s="91">
        <f t="shared" si="93"/>
        <v>12.593140000000005</v>
      </c>
      <c r="AH104" s="91">
        <v>32</v>
      </c>
      <c r="AI104" s="144">
        <f t="shared" si="94"/>
        <v>7.2978051850905681</v>
      </c>
    </row>
    <row r="105" spans="1:37" x14ac:dyDescent="0.35">
      <c r="E105" s="85"/>
      <c r="F105" s="85"/>
      <c r="G105" s="85"/>
      <c r="Y105">
        <v>214.26087999999999</v>
      </c>
      <c r="Z105">
        <v>221.54660999999999</v>
      </c>
      <c r="AA105" s="2">
        <f t="shared" si="87"/>
        <v>7.2857300000000009</v>
      </c>
      <c r="AB105" s="2">
        <f t="shared" si="88"/>
        <v>9.9416300000000319</v>
      </c>
      <c r="AC105" s="2">
        <f t="shared" si="89"/>
        <v>0.42291622163813763</v>
      </c>
      <c r="AD105" s="2">
        <f t="shared" si="90"/>
        <v>0.57708377836186231</v>
      </c>
      <c r="AE105" s="2">
        <f t="shared" si="91"/>
        <v>0.13725460592143818</v>
      </c>
      <c r="AF105" s="2">
        <f t="shared" si="92"/>
        <v>5.8047199338726194E-2</v>
      </c>
      <c r="AG105" s="2">
        <f t="shared" si="93"/>
        <v>17.227360000000033</v>
      </c>
      <c r="AH105" s="13">
        <v>47</v>
      </c>
      <c r="AI105">
        <f t="shared" si="94"/>
        <v>6.4509664783075946</v>
      </c>
    </row>
    <row r="106" spans="1:37" x14ac:dyDescent="0.35">
      <c r="E106" s="137"/>
      <c r="F106" s="137"/>
      <c r="G106" s="3"/>
      <c r="X106" s="144" t="s">
        <v>235</v>
      </c>
      <c r="Y106" s="144">
        <v>231.48824000000002</v>
      </c>
      <c r="Z106" s="144">
        <v>236.01294999999999</v>
      </c>
      <c r="AA106" s="91">
        <f t="shared" si="87"/>
        <v>4.5247099999999705</v>
      </c>
      <c r="AB106" s="91">
        <f t="shared" si="88"/>
        <v>11.024700000000024</v>
      </c>
      <c r="AC106" s="91">
        <f t="shared" si="89"/>
        <v>0.2909891757950927</v>
      </c>
      <c r="AD106" s="91">
        <f t="shared" si="90"/>
        <v>0.70901082420490735</v>
      </c>
      <c r="AE106" s="91">
        <f t="shared" si="91"/>
        <v>0.22100863922770886</v>
      </c>
      <c r="AF106" s="91">
        <f t="shared" si="92"/>
        <v>6.4311121772465993E-2</v>
      </c>
      <c r="AG106" s="91">
        <f t="shared" si="93"/>
        <v>15.549409999999995</v>
      </c>
      <c r="AH106" s="91">
        <v>30</v>
      </c>
      <c r="AI106" s="144">
        <f t="shared" si="94"/>
        <v>6.6302591768312658</v>
      </c>
    </row>
    <row r="107" spans="1:37" x14ac:dyDescent="0.35">
      <c r="E107" s="137"/>
      <c r="F107" s="137"/>
      <c r="G107" s="3"/>
      <c r="X107" s="157" t="s">
        <v>235</v>
      </c>
      <c r="Y107" s="157">
        <v>247.03765000000001</v>
      </c>
      <c r="Z107" s="157">
        <v>254.65369000000001</v>
      </c>
      <c r="AA107" s="132">
        <f t="shared" ref="AA107:AA124" si="101">Z107-Y107</f>
        <v>7.6160399999999981</v>
      </c>
      <c r="AB107" s="132">
        <f t="shared" ref="AB107:AB123" si="102">Y108-Z107</f>
        <v>10.419659999999993</v>
      </c>
      <c r="AC107" s="132">
        <f t="shared" ref="AC107:AC123" si="103">AA107/AG107</f>
        <v>0.42227581962441169</v>
      </c>
      <c r="AD107" s="132">
        <f t="shared" ref="AD107:AD123" si="104">AB107/AG107</f>
        <v>0.57772418037558837</v>
      </c>
      <c r="AE107" s="132">
        <f t="shared" ref="AE107:AE123" si="105">1/AA107</f>
        <v>0.13130183139794438</v>
      </c>
      <c r="AF107" s="132">
        <f t="shared" ref="AF107:AF123" si="106">1/AG107</f>
        <v>5.5445588471753272E-2</v>
      </c>
      <c r="AG107" s="132">
        <f t="shared" ref="AG107:AG123" si="107">AA107+AB107</f>
        <v>18.035699999999991</v>
      </c>
      <c r="AH107" s="132">
        <v>53</v>
      </c>
      <c r="AI107" s="157">
        <f t="shared" ref="AI107:AI123" si="108">AH107/AA107</f>
        <v>6.9589970640910517</v>
      </c>
      <c r="AK107" t="s">
        <v>270</v>
      </c>
    </row>
    <row r="108" spans="1:37" x14ac:dyDescent="0.35">
      <c r="E108" s="137"/>
      <c r="F108" s="137"/>
      <c r="G108" s="3"/>
      <c r="Y108">
        <v>265.07335</v>
      </c>
      <c r="Z108">
        <v>272.16239999999999</v>
      </c>
      <c r="AA108" s="2">
        <f t="shared" si="101"/>
        <v>7.0890499999999861</v>
      </c>
      <c r="AB108" s="2">
        <f t="shared" si="102"/>
        <v>9.2688499999999863</v>
      </c>
      <c r="AC108" s="2">
        <f t="shared" si="103"/>
        <v>0.4333716430593168</v>
      </c>
      <c r="AD108" s="2">
        <f t="shared" si="104"/>
        <v>0.56662835694068325</v>
      </c>
      <c r="AE108" s="2">
        <f t="shared" si="105"/>
        <v>0.14106262475225903</v>
      </c>
      <c r="AF108" s="2">
        <f t="shared" si="106"/>
        <v>6.1132541463146353E-2</v>
      </c>
      <c r="AG108" s="2">
        <f t="shared" si="107"/>
        <v>16.357899999999972</v>
      </c>
      <c r="AH108" s="13">
        <v>47</v>
      </c>
      <c r="AI108">
        <f t="shared" si="108"/>
        <v>6.6299433633561753</v>
      </c>
    </row>
    <row r="109" spans="1:37" x14ac:dyDescent="0.35">
      <c r="X109" s="157" t="s">
        <v>235</v>
      </c>
      <c r="Y109" s="157">
        <v>281.43124999999998</v>
      </c>
      <c r="Z109" s="157">
        <v>289.66601000000003</v>
      </c>
      <c r="AA109" s="132">
        <f t="shared" si="101"/>
        <v>8.2347600000000511</v>
      </c>
      <c r="AB109" s="132">
        <f t="shared" si="102"/>
        <v>12.608519999999999</v>
      </c>
      <c r="AC109" s="132">
        <f t="shared" si="103"/>
        <v>0.39507985307494942</v>
      </c>
      <c r="AD109" s="132">
        <f t="shared" si="104"/>
        <v>0.60492014692505058</v>
      </c>
      <c r="AE109" s="132">
        <f t="shared" si="105"/>
        <v>0.12143644744959098</v>
      </c>
      <c r="AF109" s="132">
        <f t="shared" si="106"/>
        <v>4.7977093816328219E-2</v>
      </c>
      <c r="AG109" s="132">
        <f t="shared" si="107"/>
        <v>20.84328000000005</v>
      </c>
      <c r="AH109" s="132">
        <v>51</v>
      </c>
      <c r="AI109" s="157">
        <f t="shared" si="108"/>
        <v>6.1932588199291398</v>
      </c>
    </row>
    <row r="110" spans="1:37" x14ac:dyDescent="0.35">
      <c r="Y110">
        <v>302.27453000000003</v>
      </c>
      <c r="Z110">
        <v>309.63641000000001</v>
      </c>
      <c r="AA110" s="2">
        <f t="shared" si="101"/>
        <v>7.3618799999999851</v>
      </c>
      <c r="AB110" s="2">
        <f t="shared" si="102"/>
        <v>11.366069999999979</v>
      </c>
      <c r="AC110" s="2">
        <f t="shared" si="103"/>
        <v>0.39309588075576873</v>
      </c>
      <c r="AD110" s="2">
        <f t="shared" si="104"/>
        <v>0.60690411924423127</v>
      </c>
      <c r="AE110" s="2">
        <f t="shared" si="105"/>
        <v>0.13583486826734503</v>
      </c>
      <c r="AF110" s="2">
        <f t="shared" si="106"/>
        <v>5.3396127178895816E-2</v>
      </c>
      <c r="AG110" s="2">
        <f t="shared" si="107"/>
        <v>18.727949999999964</v>
      </c>
      <c r="AH110" s="13">
        <v>48</v>
      </c>
      <c r="AI110">
        <f t="shared" si="108"/>
        <v>6.5200736768325616</v>
      </c>
    </row>
    <row r="111" spans="1:37" x14ac:dyDescent="0.35">
      <c r="E111" s="137"/>
      <c r="F111" s="85"/>
      <c r="G111" s="3"/>
      <c r="X111" s="157" t="s">
        <v>235</v>
      </c>
      <c r="Y111" s="157">
        <v>321.00247999999999</v>
      </c>
      <c r="Z111" s="157">
        <v>327.98982000000001</v>
      </c>
      <c r="AA111" s="132">
        <f t="shared" si="101"/>
        <v>6.9873400000000174</v>
      </c>
      <c r="AB111" s="132">
        <f t="shared" si="102"/>
        <v>15.89758999999998</v>
      </c>
      <c r="AC111" s="132">
        <f t="shared" si="103"/>
        <v>0.30532494528058501</v>
      </c>
      <c r="AD111" s="132">
        <f t="shared" si="104"/>
        <v>0.69467505471941504</v>
      </c>
      <c r="AE111" s="132">
        <f t="shared" si="105"/>
        <v>0.14311597832651587</v>
      </c>
      <c r="AF111" s="132">
        <f t="shared" si="106"/>
        <v>4.3696878251320855E-2</v>
      </c>
      <c r="AG111" s="132">
        <f t="shared" si="107"/>
        <v>22.884929999999997</v>
      </c>
      <c r="AH111" s="132">
        <v>46</v>
      </c>
      <c r="AI111" s="157">
        <f t="shared" si="108"/>
        <v>6.5833350030197311</v>
      </c>
    </row>
    <row r="112" spans="1:37" x14ac:dyDescent="0.35">
      <c r="E112" s="85"/>
      <c r="F112" s="85"/>
      <c r="G112" s="3"/>
      <c r="Y112">
        <v>343.88740999999999</v>
      </c>
      <c r="Z112">
        <v>351.88484</v>
      </c>
      <c r="AA112" s="2">
        <f t="shared" si="101"/>
        <v>7.9974300000000085</v>
      </c>
      <c r="AB112" s="2">
        <f t="shared" si="102"/>
        <v>10.253780000000006</v>
      </c>
      <c r="AC112" s="2">
        <f t="shared" si="103"/>
        <v>0.43818629011446375</v>
      </c>
      <c r="AD112" s="2">
        <f t="shared" si="104"/>
        <v>0.56181370988553625</v>
      </c>
      <c r="AE112" s="2">
        <f t="shared" si="105"/>
        <v>0.12504016915434069</v>
      </c>
      <c r="AF112" s="2">
        <f t="shared" si="106"/>
        <v>5.4790887837025556E-2</v>
      </c>
      <c r="AG112" s="2">
        <f t="shared" si="107"/>
        <v>18.251210000000015</v>
      </c>
      <c r="AH112" s="13">
        <v>49</v>
      </c>
      <c r="AI112">
        <f t="shared" si="108"/>
        <v>6.1269682885626944</v>
      </c>
    </row>
    <row r="113" spans="5:37" x14ac:dyDescent="0.35">
      <c r="E113" s="85"/>
      <c r="F113" s="85"/>
      <c r="G113" s="3"/>
      <c r="X113" s="157" t="s">
        <v>235</v>
      </c>
      <c r="Y113" s="157">
        <v>362.13862</v>
      </c>
      <c r="Z113" s="157">
        <v>368.91090000000003</v>
      </c>
      <c r="AA113" s="132">
        <f t="shared" si="101"/>
        <v>6.7722800000000234</v>
      </c>
      <c r="AB113" s="132">
        <f t="shared" si="102"/>
        <v>15.642889999999966</v>
      </c>
      <c r="AC113" s="132">
        <f t="shared" si="103"/>
        <v>0.30212931688673461</v>
      </c>
      <c r="AD113" s="132">
        <f t="shared" si="104"/>
        <v>0.69787068311326539</v>
      </c>
      <c r="AE113" s="132">
        <f t="shared" si="105"/>
        <v>0.14766075826752534</v>
      </c>
      <c r="AF113" s="132">
        <f t="shared" si="106"/>
        <v>4.4612644026344683E-2</v>
      </c>
      <c r="AG113" s="132">
        <f t="shared" si="107"/>
        <v>22.415169999999989</v>
      </c>
      <c r="AH113" s="132">
        <v>42</v>
      </c>
      <c r="AI113" s="157">
        <f t="shared" si="108"/>
        <v>6.2017518472360642</v>
      </c>
      <c r="AK113" t="s">
        <v>271</v>
      </c>
    </row>
    <row r="114" spans="5:37" x14ac:dyDescent="0.35">
      <c r="Y114">
        <v>384.55378999999999</v>
      </c>
      <c r="Z114">
        <v>392.60892999999999</v>
      </c>
      <c r="AA114" s="2">
        <f t="shared" si="101"/>
        <v>8.0551399999999944</v>
      </c>
      <c r="AB114" s="2">
        <f t="shared" si="102"/>
        <v>10.379950000000008</v>
      </c>
      <c r="AC114" s="2">
        <f t="shared" si="103"/>
        <v>0.43694606318710638</v>
      </c>
      <c r="AD114" s="2">
        <f t="shared" si="104"/>
        <v>0.56305393681289362</v>
      </c>
      <c r="AE114" s="2">
        <f t="shared" si="105"/>
        <v>0.12414433516984195</v>
      </c>
      <c r="AF114" s="2">
        <f t="shared" si="106"/>
        <v>5.4244378519443075E-2</v>
      </c>
      <c r="AG114" s="2">
        <f t="shared" si="107"/>
        <v>18.435090000000002</v>
      </c>
      <c r="AH114" s="13">
        <v>51</v>
      </c>
      <c r="AI114">
        <f t="shared" si="108"/>
        <v>6.3313610936619398</v>
      </c>
    </row>
    <row r="115" spans="5:37" x14ac:dyDescent="0.35">
      <c r="X115" s="157" t="s">
        <v>235</v>
      </c>
      <c r="Y115" s="157">
        <v>402.98887999999999</v>
      </c>
      <c r="Z115" s="157">
        <v>409.98846000000003</v>
      </c>
      <c r="AA115" s="132">
        <f t="shared" si="101"/>
        <v>6.9995800000000372</v>
      </c>
      <c r="AB115" s="132">
        <f t="shared" si="102"/>
        <v>14.722449999999981</v>
      </c>
      <c r="AC115" s="132">
        <f t="shared" si="103"/>
        <v>0.32223415583166176</v>
      </c>
      <c r="AD115" s="132">
        <f t="shared" si="104"/>
        <v>0.67776584416833829</v>
      </c>
      <c r="AE115" s="132">
        <f t="shared" si="105"/>
        <v>0.1428657148000301</v>
      </c>
      <c r="AF115" s="132">
        <f t="shared" si="106"/>
        <v>4.603621300587464E-2</v>
      </c>
      <c r="AG115" s="132">
        <f t="shared" si="107"/>
        <v>21.722030000000018</v>
      </c>
      <c r="AH115" s="132">
        <v>46</v>
      </c>
      <c r="AI115" s="157">
        <f t="shared" si="108"/>
        <v>6.5718228808013848</v>
      </c>
    </row>
    <row r="116" spans="5:37" x14ac:dyDescent="0.35">
      <c r="Y116">
        <v>424.71091000000001</v>
      </c>
      <c r="Z116">
        <v>432.83094</v>
      </c>
      <c r="AA116" s="2">
        <f t="shared" si="101"/>
        <v>8.1200299999999856</v>
      </c>
      <c r="AB116" s="2">
        <f t="shared" si="102"/>
        <v>8.5900399999999877</v>
      </c>
      <c r="AC116" s="2">
        <f t="shared" si="103"/>
        <v>0.48593632462341563</v>
      </c>
      <c r="AD116" s="2">
        <f t="shared" si="104"/>
        <v>0.51406367537658437</v>
      </c>
      <c r="AE116" s="2">
        <f t="shared" si="105"/>
        <v>0.12315225436359246</v>
      </c>
      <c r="AF116" s="2">
        <f t="shared" si="106"/>
        <v>5.9844153854532123E-2</v>
      </c>
      <c r="AG116" s="2">
        <f t="shared" si="107"/>
        <v>16.710069999999973</v>
      </c>
      <c r="AH116" s="13">
        <v>52</v>
      </c>
      <c r="AI116">
        <f t="shared" si="108"/>
        <v>6.4039172269068088</v>
      </c>
    </row>
    <row r="117" spans="5:37" x14ac:dyDescent="0.35">
      <c r="Y117">
        <v>441.42097999999999</v>
      </c>
      <c r="Z117">
        <v>449.16714000000002</v>
      </c>
      <c r="AA117" s="2">
        <f t="shared" si="101"/>
        <v>7.7461600000000317</v>
      </c>
      <c r="AB117" s="2">
        <f t="shared" si="102"/>
        <v>9.512299999999982</v>
      </c>
      <c r="AC117" s="2">
        <f t="shared" si="103"/>
        <v>0.44883263048962802</v>
      </c>
      <c r="AD117" s="2">
        <f t="shared" si="104"/>
        <v>0.55116736951037193</v>
      </c>
      <c r="AE117" s="2">
        <f t="shared" si="105"/>
        <v>0.12909622316089467</v>
      </c>
      <c r="AF117" s="2">
        <f t="shared" si="106"/>
        <v>5.79425974275804E-2</v>
      </c>
      <c r="AG117" s="2">
        <f t="shared" si="107"/>
        <v>17.258460000000014</v>
      </c>
      <c r="AH117" s="13">
        <v>43</v>
      </c>
      <c r="AI117">
        <f t="shared" si="108"/>
        <v>5.5511375959184708</v>
      </c>
    </row>
    <row r="118" spans="5:37" x14ac:dyDescent="0.35">
      <c r="X118" s="157" t="s">
        <v>235</v>
      </c>
      <c r="Y118" s="157">
        <v>458.67944</v>
      </c>
      <c r="Z118" s="157">
        <v>465.76686999999998</v>
      </c>
      <c r="AA118" s="132">
        <f t="shared" si="101"/>
        <v>7.0874299999999835</v>
      </c>
      <c r="AB118" s="132">
        <f t="shared" si="102"/>
        <v>17.295369999999991</v>
      </c>
      <c r="AC118" s="132">
        <f t="shared" si="103"/>
        <v>0.29067334350443719</v>
      </c>
      <c r="AD118" s="132">
        <f t="shared" si="104"/>
        <v>0.70932665649556281</v>
      </c>
      <c r="AE118" s="132">
        <f t="shared" si="105"/>
        <v>0.14109486795636816</v>
      </c>
      <c r="AF118" s="132">
        <f t="shared" si="106"/>
        <v>4.1012517020194608E-2</v>
      </c>
      <c r="AG118" s="132">
        <f t="shared" si="107"/>
        <v>24.382799999999975</v>
      </c>
      <c r="AH118" s="132">
        <v>38</v>
      </c>
      <c r="AI118" s="157">
        <f t="shared" si="108"/>
        <v>5.3616049823419898</v>
      </c>
    </row>
    <row r="119" spans="5:37" x14ac:dyDescent="0.35">
      <c r="Y119">
        <v>483.06223999999997</v>
      </c>
      <c r="Z119">
        <v>490.29476</v>
      </c>
      <c r="AA119" s="2">
        <f t="shared" si="101"/>
        <v>7.2325200000000223</v>
      </c>
      <c r="AB119" s="2">
        <f t="shared" si="102"/>
        <v>11.374950000000013</v>
      </c>
      <c r="AC119" s="2">
        <f t="shared" si="103"/>
        <v>0.38868905874898674</v>
      </c>
      <c r="AD119" s="2">
        <f t="shared" si="104"/>
        <v>0.61131094125101326</v>
      </c>
      <c r="AE119" s="2">
        <f t="shared" si="105"/>
        <v>0.13826439470613244</v>
      </c>
      <c r="AF119" s="2">
        <f t="shared" si="106"/>
        <v>5.3741857436825004E-2</v>
      </c>
      <c r="AG119" s="2">
        <f t="shared" si="107"/>
        <v>18.607470000000035</v>
      </c>
      <c r="AH119" s="13">
        <v>41</v>
      </c>
      <c r="AI119">
        <f t="shared" si="108"/>
        <v>5.6688401829514294</v>
      </c>
      <c r="AK119" t="s">
        <v>272</v>
      </c>
    </row>
    <row r="120" spans="5:37" x14ac:dyDescent="0.35">
      <c r="X120" s="157" t="s">
        <v>235</v>
      </c>
      <c r="Y120" s="157">
        <v>501.66971000000001</v>
      </c>
      <c r="Z120" s="157">
        <v>507.85707000000002</v>
      </c>
      <c r="AA120" s="132">
        <f t="shared" si="101"/>
        <v>6.1873600000000124</v>
      </c>
      <c r="AB120" s="132">
        <f t="shared" si="102"/>
        <v>16.039409999999975</v>
      </c>
      <c r="AC120" s="132">
        <f t="shared" si="103"/>
        <v>0.27837423071368517</v>
      </c>
      <c r="AD120" s="132">
        <f t="shared" si="104"/>
        <v>0.72162576928631483</v>
      </c>
      <c r="AE120" s="132">
        <f t="shared" si="105"/>
        <v>0.16161981846861956</v>
      </c>
      <c r="AF120" s="132">
        <f t="shared" si="106"/>
        <v>4.4990792634287416E-2</v>
      </c>
      <c r="AG120" s="132">
        <f t="shared" si="107"/>
        <v>22.226769999999988</v>
      </c>
      <c r="AH120" s="132">
        <v>34</v>
      </c>
      <c r="AI120" s="157">
        <f t="shared" si="108"/>
        <v>5.4950738279330658</v>
      </c>
    </row>
    <row r="121" spans="5:37" x14ac:dyDescent="0.35">
      <c r="Y121">
        <v>523.89648</v>
      </c>
      <c r="Z121">
        <v>530.04461000000003</v>
      </c>
      <c r="AA121" s="2">
        <f t="shared" si="101"/>
        <v>6.1481300000000374</v>
      </c>
      <c r="AB121" s="2">
        <f t="shared" si="102"/>
        <v>15.403649999999971</v>
      </c>
      <c r="AC121" s="2">
        <f t="shared" si="103"/>
        <v>0.28527249257370085</v>
      </c>
      <c r="AD121" s="2">
        <f t="shared" si="104"/>
        <v>0.71472750742629909</v>
      </c>
      <c r="AE121" s="2">
        <f t="shared" si="105"/>
        <v>0.16265108252427876</v>
      </c>
      <c r="AF121" s="2">
        <f t="shared" si="106"/>
        <v>4.6399879731511717E-2</v>
      </c>
      <c r="AG121" s="2">
        <f t="shared" si="107"/>
        <v>21.551780000000008</v>
      </c>
      <c r="AH121" s="13">
        <v>36</v>
      </c>
      <c r="AI121">
        <f t="shared" si="108"/>
        <v>5.8554389708740349</v>
      </c>
    </row>
    <row r="122" spans="5:37" x14ac:dyDescent="0.35">
      <c r="X122" s="157" t="s">
        <v>235</v>
      </c>
      <c r="Y122" s="157">
        <v>545.44826</v>
      </c>
      <c r="Z122" s="157">
        <v>551.55484000000001</v>
      </c>
      <c r="AA122" s="132">
        <f t="shared" si="101"/>
        <v>6.1065800000000081</v>
      </c>
      <c r="AB122" s="132">
        <f t="shared" si="102"/>
        <v>16.141250000000014</v>
      </c>
      <c r="AC122" s="132">
        <f t="shared" si="103"/>
        <v>0.27447980319878396</v>
      </c>
      <c r="AD122" s="132">
        <f t="shared" si="104"/>
        <v>0.72552019680121604</v>
      </c>
      <c r="AE122" s="132">
        <f t="shared" si="105"/>
        <v>0.16375778258861731</v>
      </c>
      <c r="AF122" s="132">
        <f t="shared" si="106"/>
        <v>4.4948203937192933E-2</v>
      </c>
      <c r="AG122" s="132">
        <f t="shared" si="107"/>
        <v>22.247830000000022</v>
      </c>
      <c r="AH122" s="132">
        <v>34</v>
      </c>
      <c r="AI122" s="157">
        <f t="shared" si="108"/>
        <v>5.5677646080129888</v>
      </c>
    </row>
    <row r="123" spans="5:37" x14ac:dyDescent="0.35">
      <c r="Y123">
        <v>567.69609000000003</v>
      </c>
      <c r="Z123">
        <v>574.65679</v>
      </c>
      <c r="AA123" s="2">
        <f t="shared" si="101"/>
        <v>6.9606999999999744</v>
      </c>
      <c r="AB123" s="2">
        <f t="shared" si="102"/>
        <v>11.924530000000004</v>
      </c>
      <c r="AC123" s="2">
        <f t="shared" si="103"/>
        <v>0.36857904298756128</v>
      </c>
      <c r="AD123" s="2">
        <f t="shared" si="104"/>
        <v>0.63142095701243872</v>
      </c>
      <c r="AE123" s="2">
        <f t="shared" si="105"/>
        <v>0.14366371198299074</v>
      </c>
      <c r="AF123" s="2">
        <f t="shared" si="106"/>
        <v>5.2951433474731371E-2</v>
      </c>
      <c r="AG123" s="2">
        <f t="shared" si="107"/>
        <v>18.885229999999979</v>
      </c>
      <c r="AH123" s="13">
        <v>39</v>
      </c>
      <c r="AI123">
        <f t="shared" si="108"/>
        <v>5.6028847673366391</v>
      </c>
    </row>
    <row r="124" spans="5:37" x14ac:dyDescent="0.35">
      <c r="Y124">
        <v>586.58132000000001</v>
      </c>
      <c r="Z124">
        <v>592.89738</v>
      </c>
      <c r="AA124" s="2">
        <f t="shared" si="101"/>
        <v>6.3160599999999931</v>
      </c>
    </row>
    <row r="129" spans="24:35" ht="18.5" x14ac:dyDescent="0.45">
      <c r="X129" s="159" t="s">
        <v>241</v>
      </c>
      <c r="Y129" s="85"/>
      <c r="Z129" s="85"/>
      <c r="AA129" s="13"/>
      <c r="AB129" s="13"/>
      <c r="AC129" s="13"/>
      <c r="AD129" s="13"/>
      <c r="AE129" s="13"/>
      <c r="AF129" s="13"/>
      <c r="AG129" s="13"/>
      <c r="AH129" s="85"/>
      <c r="AI129" s="85"/>
    </row>
    <row r="130" spans="24:35" x14ac:dyDescent="0.35">
      <c r="X130" s="85"/>
      <c r="Y130" s="85"/>
      <c r="Z130" s="85"/>
      <c r="AA130" s="13"/>
      <c r="AB130" s="13"/>
      <c r="AC130" s="13"/>
      <c r="AD130" s="13"/>
      <c r="AE130" s="13"/>
      <c r="AF130" s="13"/>
      <c r="AG130" s="13"/>
      <c r="AH130" s="85"/>
      <c r="AI130" s="85"/>
    </row>
    <row r="131" spans="24:35" ht="16" thickBot="1" x14ac:dyDescent="0.4">
      <c r="X131" s="85"/>
      <c r="Y131" s="85"/>
      <c r="Z131" s="85"/>
      <c r="AA131" s="44" t="s">
        <v>3</v>
      </c>
      <c r="AB131" s="44" t="s">
        <v>4</v>
      </c>
      <c r="AC131" s="44" t="s">
        <v>5</v>
      </c>
      <c r="AD131" s="44" t="s">
        <v>6</v>
      </c>
      <c r="AE131" s="44" t="s">
        <v>7</v>
      </c>
      <c r="AF131" s="44" t="s">
        <v>8</v>
      </c>
      <c r="AG131" s="44" t="s">
        <v>9</v>
      </c>
      <c r="AH131" s="44" t="s">
        <v>10</v>
      </c>
      <c r="AI131" s="44" t="s">
        <v>139</v>
      </c>
    </row>
    <row r="132" spans="24:35" x14ac:dyDescent="0.35">
      <c r="X132" s="137" t="s">
        <v>192</v>
      </c>
      <c r="Y132" s="85"/>
      <c r="Z132" s="49" t="s">
        <v>77</v>
      </c>
      <c r="AA132" s="85">
        <f>AVERAGE(AA92:AA93,AA96,AA99,AA101,AA103:AA104,AA106)</f>
        <v>3.6843137499999945</v>
      </c>
      <c r="AB132" s="85">
        <f t="shared" ref="AB132:AI132" si="109">AVERAGE(AB92:AB93,AB96,AB99,AB101,AB103:AB104,AB106)</f>
        <v>9.6467912499999997</v>
      </c>
      <c r="AC132" s="85">
        <f t="shared" si="109"/>
        <v>0.27908687668686022</v>
      </c>
      <c r="AD132" s="85">
        <f t="shared" si="109"/>
        <v>0.72091312331313973</v>
      </c>
      <c r="AE132" s="85">
        <f t="shared" si="109"/>
        <v>0.27684159602744746</v>
      </c>
      <c r="AF132" s="85">
        <f t="shared" si="109"/>
        <v>7.577755810928366E-2</v>
      </c>
      <c r="AG132" s="85">
        <f t="shared" si="109"/>
        <v>13.331104999999996</v>
      </c>
      <c r="AH132" s="85">
        <f t="shared" si="109"/>
        <v>25.125</v>
      </c>
      <c r="AI132" s="85">
        <f t="shared" si="109"/>
        <v>6.7837319550872976</v>
      </c>
    </row>
    <row r="133" spans="24:35" x14ac:dyDescent="0.35">
      <c r="X133" s="137"/>
      <c r="Y133" s="85"/>
      <c r="Z133" s="49" t="s">
        <v>94</v>
      </c>
      <c r="AA133" s="85">
        <f>_xlfn.STDEV.S(AA92:AA93,AA96,AA99,AA101,AA103:AA104,AA106)</f>
        <v>0.56320379592210568</v>
      </c>
      <c r="AB133" s="85">
        <f t="shared" ref="AB133:AI133" si="110">_xlfn.STDEV.S(AB92:AB93,AB96,AB99,AB101,AB103:AB104,AB106)</f>
        <v>1.5315088587723675</v>
      </c>
      <c r="AC133" s="85">
        <f t="shared" si="110"/>
        <v>5.0722750427143817E-2</v>
      </c>
      <c r="AD133" s="85">
        <f t="shared" si="110"/>
        <v>5.0722750427143637E-2</v>
      </c>
      <c r="AE133" s="85">
        <f t="shared" si="110"/>
        <v>4.0771742782103139E-2</v>
      </c>
      <c r="AF133" s="85">
        <f t="shared" si="110"/>
        <v>8.0075448978539718E-3</v>
      </c>
      <c r="AG133" s="85">
        <f t="shared" si="110"/>
        <v>1.4590234224008454</v>
      </c>
      <c r="AH133" s="85">
        <f t="shared" si="110"/>
        <v>4.9695501377316411</v>
      </c>
      <c r="AI133" s="85">
        <f t="shared" si="110"/>
        <v>0.53342727610621232</v>
      </c>
    </row>
    <row r="134" spans="24:35" x14ac:dyDescent="0.35">
      <c r="X134" s="137"/>
      <c r="Y134" s="85"/>
      <c r="Z134" s="49" t="s">
        <v>95</v>
      </c>
      <c r="AA134" s="85">
        <f>AA133/(SQRT(8))</f>
        <v>0.19912261164326267</v>
      </c>
      <c r="AB134" s="85">
        <f t="shared" ref="AB134:AI134" si="111">AB133/(SQRT(8))</f>
        <v>0.54147014974260577</v>
      </c>
      <c r="AC134" s="85">
        <f t="shared" si="111"/>
        <v>1.7933200393733119E-2</v>
      </c>
      <c r="AD134" s="85">
        <f t="shared" si="111"/>
        <v>1.7933200393733056E-2</v>
      </c>
      <c r="AE134" s="85">
        <f t="shared" si="111"/>
        <v>1.44149879010094E-2</v>
      </c>
      <c r="AF134" s="85">
        <f t="shared" si="111"/>
        <v>2.8310946489641417E-3</v>
      </c>
      <c r="AG134" s="85">
        <f t="shared" si="111"/>
        <v>0.51584267794482108</v>
      </c>
      <c r="AH134" s="85">
        <f t="shared" si="111"/>
        <v>1.7570013009182923</v>
      </c>
      <c r="AI134" s="85">
        <f t="shared" si="111"/>
        <v>0.18859502210228576</v>
      </c>
    </row>
    <row r="135" spans="24:35" x14ac:dyDescent="0.35">
      <c r="X135" s="137"/>
      <c r="Y135" s="85"/>
      <c r="Z135" s="49"/>
      <c r="AA135" s="13"/>
      <c r="AB135" s="13"/>
      <c r="AC135" s="13"/>
      <c r="AD135" s="13"/>
      <c r="AE135" s="13"/>
      <c r="AF135" s="13"/>
      <c r="AG135" s="13"/>
      <c r="AH135" s="85"/>
      <c r="AI135" s="85"/>
    </row>
    <row r="136" spans="24:35" x14ac:dyDescent="0.35">
      <c r="X136" s="137"/>
      <c r="Y136" s="85"/>
      <c r="Z136" s="49"/>
      <c r="AA136" s="13"/>
      <c r="AB136" s="13"/>
      <c r="AC136" s="13"/>
      <c r="AD136" s="13"/>
      <c r="AE136" s="13"/>
      <c r="AF136" s="13"/>
      <c r="AG136" s="13"/>
      <c r="AH136" s="85"/>
      <c r="AI136" s="85"/>
    </row>
    <row r="137" spans="24:35" x14ac:dyDescent="0.35">
      <c r="X137" s="137" t="s">
        <v>195</v>
      </c>
      <c r="Y137" s="85"/>
      <c r="Z137" s="49" t="s">
        <v>77</v>
      </c>
      <c r="AA137" s="13">
        <f>AVERAGE(AA94,AA97,AA100,AA102,AA105,AA107)</f>
        <v>7.1462033333333359</v>
      </c>
      <c r="AB137" s="13">
        <f t="shared" ref="AB137:AI137" si="112">AVERAGE(AB94,AB97,AB100,AB102,AB105,AB107)</f>
        <v>9.1636783333333387</v>
      </c>
      <c r="AC137" s="13">
        <f t="shared" si="112"/>
        <v>0.4384970945257658</v>
      </c>
      <c r="AD137" s="13">
        <f t="shared" si="112"/>
        <v>0.5615029054742342</v>
      </c>
      <c r="AE137" s="13">
        <f t="shared" si="112"/>
        <v>0.1430299237744711</v>
      </c>
      <c r="AF137" s="13">
        <f t="shared" si="112"/>
        <v>6.1660578938350787E-2</v>
      </c>
      <c r="AG137" s="13">
        <f t="shared" si="112"/>
        <v>16.309881666666673</v>
      </c>
      <c r="AH137" s="13">
        <f t="shared" si="112"/>
        <v>44.666666666666664</v>
      </c>
      <c r="AI137" s="13">
        <f t="shared" si="112"/>
        <v>6.2119132881728207</v>
      </c>
    </row>
    <row r="138" spans="24:35" x14ac:dyDescent="0.35">
      <c r="X138" s="137"/>
      <c r="Y138" s="85"/>
      <c r="Z138" s="49" t="s">
        <v>94</v>
      </c>
      <c r="AA138" s="13">
        <f>_xlfn.STDEV.S(AA94,AA97,AA100,AA102,AA105,AA107)</f>
        <v>1.0895184383325776</v>
      </c>
      <c r="AB138" s="13">
        <f t="shared" ref="AB138:AI138" si="113">_xlfn.STDEV.S(AB94,AB97,AB100,AB102,AB105,AB107)</f>
        <v>1.2975170866145287</v>
      </c>
      <c r="AC138" s="13">
        <f t="shared" si="113"/>
        <v>6.3408432860296446E-2</v>
      </c>
      <c r="AD138" s="13">
        <f t="shared" si="113"/>
        <v>6.3408432860296446E-2</v>
      </c>
      <c r="AE138" s="13">
        <f t="shared" si="113"/>
        <v>2.4531234424656555E-2</v>
      </c>
      <c r="AF138" s="13">
        <f t="shared" si="113"/>
        <v>5.1345404220500736E-3</v>
      </c>
      <c r="AG138" s="13">
        <f t="shared" si="113"/>
        <v>1.3293819300173508</v>
      </c>
      <c r="AH138" s="13">
        <f t="shared" si="113"/>
        <v>9.0480200412392318</v>
      </c>
      <c r="AI138" s="13">
        <f t="shared" si="113"/>
        <v>0.49208749294819787</v>
      </c>
    </row>
    <row r="139" spans="24:35" x14ac:dyDescent="0.35">
      <c r="X139" s="137"/>
      <c r="Y139" s="85"/>
      <c r="Z139" s="49" t="s">
        <v>95</v>
      </c>
      <c r="AA139" s="85">
        <f>AA138/(SQRT(8))</f>
        <v>0.3852029379863714</v>
      </c>
      <c r="AB139" s="85">
        <f t="shared" ref="AB139:AI139" si="114">AB138/(SQRT(8))</f>
        <v>0.45874156532527305</v>
      </c>
      <c r="AC139" s="85">
        <f t="shared" si="114"/>
        <v>2.2418266429963762E-2</v>
      </c>
      <c r="AD139" s="85">
        <f t="shared" si="114"/>
        <v>2.2418266429963762E-2</v>
      </c>
      <c r="AE139" s="85">
        <f t="shared" si="114"/>
        <v>8.6731011062757615E-3</v>
      </c>
      <c r="AF139" s="85">
        <f t="shared" si="114"/>
        <v>1.8153341753540224E-3</v>
      </c>
      <c r="AG139" s="85">
        <f t="shared" si="114"/>
        <v>0.47000748875106452</v>
      </c>
      <c r="AH139" s="85">
        <f t="shared" si="114"/>
        <v>3.1989581637360227</v>
      </c>
      <c r="AI139" s="85">
        <f t="shared" si="114"/>
        <v>0.17397920160037902</v>
      </c>
    </row>
    <row r="140" spans="24:35" x14ac:dyDescent="0.35">
      <c r="X140" s="137"/>
      <c r="Y140" s="85"/>
      <c r="Z140" s="49"/>
      <c r="AA140" s="13"/>
      <c r="AB140" s="13"/>
      <c r="AC140" s="13"/>
      <c r="AD140" s="13"/>
      <c r="AE140" s="13"/>
      <c r="AF140" s="13"/>
      <c r="AG140" s="13"/>
      <c r="AH140" s="85"/>
      <c r="AI140" s="85"/>
    </row>
    <row r="141" spans="24:35" x14ac:dyDescent="0.35">
      <c r="X141" s="137"/>
      <c r="Y141" s="85"/>
      <c r="Z141" s="49"/>
      <c r="AA141" s="13"/>
      <c r="AB141" s="13"/>
      <c r="AC141" s="13"/>
      <c r="AD141" s="13"/>
      <c r="AE141" s="13"/>
      <c r="AF141" s="13"/>
      <c r="AG141" s="13"/>
      <c r="AH141" s="85"/>
      <c r="AI141" s="85"/>
    </row>
    <row r="142" spans="24:35" x14ac:dyDescent="0.35">
      <c r="X142" s="137" t="s">
        <v>273</v>
      </c>
      <c r="Y142" s="85"/>
      <c r="Z142" s="49" t="s">
        <v>77</v>
      </c>
      <c r="AA142" s="13">
        <f>AVERAGE(AA90:AA91,AA94:AA95,AA97:AA98,AA100,AA102,AA105)</f>
        <v>6.6381377777777795</v>
      </c>
      <c r="AB142" s="13">
        <f t="shared" ref="AB142:AI142" si="115">AVERAGE(AB90:AB91,AB94:AB95,AB97:AB98,AB100,AB102,AB105)</f>
        <v>8.710661111111115</v>
      </c>
      <c r="AC142" s="13">
        <f t="shared" si="115"/>
        <v>0.43272297985196412</v>
      </c>
      <c r="AD142" s="13">
        <f t="shared" si="115"/>
        <v>0.56727702014803583</v>
      </c>
      <c r="AE142" s="13">
        <f t="shared" si="115"/>
        <v>0.15552291469526816</v>
      </c>
      <c r="AF142" s="13">
        <f t="shared" si="115"/>
        <v>6.5612260719798796E-2</v>
      </c>
      <c r="AG142" s="13">
        <f t="shared" si="115"/>
        <v>15.348798888888894</v>
      </c>
      <c r="AH142" s="13">
        <f t="shared" si="115"/>
        <v>38.111111111111114</v>
      </c>
      <c r="AI142" s="13">
        <f t="shared" si="115"/>
        <v>5.6811802474843045</v>
      </c>
    </row>
    <row r="143" spans="24:35" x14ac:dyDescent="0.35">
      <c r="X143" s="137"/>
      <c r="Y143" s="85"/>
      <c r="Z143" s="49" t="s">
        <v>94</v>
      </c>
      <c r="AA143" s="13">
        <f>_xlfn.STDEV.S(AA90:AA91,AA94:AA95,AA97:AA98,AA100,AA102,AA105)</f>
        <v>1.2284052203444311</v>
      </c>
      <c r="AB143" s="13">
        <f t="shared" ref="AB143:AI143" si="116">_xlfn.STDEV.S(AB90:AB91,AB94:AB95,AB97:AB98,AB100,AB102,AB105)</f>
        <v>1.3766306980854057</v>
      </c>
      <c r="AC143" s="13">
        <f t="shared" si="116"/>
        <v>7.5190102173645315E-2</v>
      </c>
      <c r="AD143" s="13">
        <f t="shared" si="116"/>
        <v>7.5190102173645315E-2</v>
      </c>
      <c r="AE143" s="13">
        <f t="shared" si="116"/>
        <v>2.9894539910485619E-2</v>
      </c>
      <c r="AF143" s="13">
        <f t="shared" si="116"/>
        <v>5.821932373264299E-3</v>
      </c>
      <c r="AG143" s="13">
        <f t="shared" si="116"/>
        <v>1.3676242123610289</v>
      </c>
      <c r="AH143" s="13">
        <f t="shared" si="116"/>
        <v>9.8290951318578195</v>
      </c>
      <c r="AI143" s="13">
        <f t="shared" si="116"/>
        <v>0.56472953590836816</v>
      </c>
    </row>
    <row r="144" spans="24:35" x14ac:dyDescent="0.35">
      <c r="X144" s="85"/>
      <c r="Y144" s="85"/>
      <c r="Z144" s="49" t="s">
        <v>95</v>
      </c>
      <c r="AA144" s="13">
        <f>AA143/(SQRT(9))</f>
        <v>0.40946840678147706</v>
      </c>
      <c r="AB144" s="13">
        <f t="shared" ref="AB144:AI144" si="117">AB143/(SQRT(9))</f>
        <v>0.45887689936180193</v>
      </c>
      <c r="AC144" s="13">
        <f t="shared" si="117"/>
        <v>2.5063367391215105E-2</v>
      </c>
      <c r="AD144" s="13">
        <f t="shared" si="117"/>
        <v>2.5063367391215105E-2</v>
      </c>
      <c r="AE144" s="13">
        <f t="shared" si="117"/>
        <v>9.964846636828539E-3</v>
      </c>
      <c r="AF144" s="13">
        <f t="shared" si="117"/>
        <v>1.9406441244214331E-3</v>
      </c>
      <c r="AG144" s="13">
        <f t="shared" si="117"/>
        <v>0.45587473745367629</v>
      </c>
      <c r="AH144" s="13">
        <f t="shared" si="117"/>
        <v>3.2763650439526066</v>
      </c>
      <c r="AI144" s="13">
        <f t="shared" si="117"/>
        <v>0.18824317863612272</v>
      </c>
    </row>
    <row r="145" spans="24:35" x14ac:dyDescent="0.35">
      <c r="X145" s="85"/>
      <c r="Y145" s="85"/>
      <c r="Z145" s="85"/>
      <c r="AA145" s="13"/>
      <c r="AB145" s="13"/>
      <c r="AC145" s="13"/>
      <c r="AD145" s="13"/>
      <c r="AE145" s="13"/>
      <c r="AF145" s="13"/>
      <c r="AG145" s="13"/>
      <c r="AH145" s="85"/>
      <c r="AI145" s="85"/>
    </row>
    <row r="146" spans="24:35" x14ac:dyDescent="0.35">
      <c r="X146" s="137"/>
      <c r="Y146" s="85"/>
      <c r="Z146" s="49"/>
      <c r="AA146" s="13"/>
      <c r="AB146" s="13"/>
      <c r="AC146" s="13"/>
      <c r="AD146" s="13"/>
      <c r="AE146" s="13"/>
      <c r="AF146" s="13"/>
      <c r="AG146" s="13"/>
      <c r="AH146" s="13"/>
      <c r="AI146" s="13"/>
    </row>
    <row r="147" spans="24:35" x14ac:dyDescent="0.35">
      <c r="X147" s="85"/>
      <c r="Y147" s="85"/>
      <c r="Z147" s="49"/>
      <c r="AA147" s="13"/>
      <c r="AB147" s="13"/>
      <c r="AC147" s="13"/>
      <c r="AD147" s="13"/>
      <c r="AE147" s="13"/>
      <c r="AF147" s="13"/>
      <c r="AG147" s="13"/>
      <c r="AH147" s="13"/>
      <c r="AI147" s="13"/>
    </row>
    <row r="148" spans="24:35" x14ac:dyDescent="0.35">
      <c r="X148" s="85"/>
      <c r="Y148" s="85"/>
      <c r="Z148" s="49"/>
      <c r="AA148" s="13"/>
      <c r="AB148" s="13"/>
      <c r="AC148" s="13"/>
      <c r="AD148" s="13"/>
      <c r="AE148" s="13"/>
      <c r="AF148" s="13"/>
      <c r="AG148" s="13"/>
      <c r="AH148" s="13"/>
      <c r="AI148" s="13"/>
    </row>
    <row r="149" spans="24:35" ht="18.5" x14ac:dyDescent="0.45">
      <c r="X149" s="159" t="s">
        <v>242</v>
      </c>
      <c r="Y149" s="85"/>
      <c r="Z149" s="85"/>
      <c r="AA149" s="13"/>
      <c r="AB149" s="13"/>
      <c r="AC149" s="13"/>
      <c r="AD149" s="13"/>
      <c r="AE149" s="13"/>
      <c r="AF149" s="13"/>
      <c r="AG149" s="13"/>
      <c r="AH149" s="85"/>
      <c r="AI149" s="85"/>
    </row>
    <row r="150" spans="24:35" x14ac:dyDescent="0.35">
      <c r="X150" s="85"/>
      <c r="Y150" s="85"/>
      <c r="Z150" s="85"/>
      <c r="AA150" s="85"/>
      <c r="AB150" s="85"/>
      <c r="AC150" s="85"/>
      <c r="AD150" s="85"/>
      <c r="AE150" s="85"/>
      <c r="AF150" s="85"/>
      <c r="AG150" s="85"/>
      <c r="AH150" s="85"/>
      <c r="AI150" s="85"/>
    </row>
    <row r="151" spans="24:35" x14ac:dyDescent="0.35">
      <c r="X151" s="85"/>
      <c r="Y151" s="85"/>
      <c r="Z151" s="85"/>
      <c r="AA151" s="13"/>
      <c r="AB151" s="13"/>
      <c r="AC151" s="13"/>
      <c r="AD151" s="13"/>
      <c r="AE151" s="13"/>
      <c r="AF151" s="13"/>
      <c r="AG151" s="13"/>
      <c r="AH151" s="85"/>
      <c r="AI151" s="85"/>
    </row>
    <row r="152" spans="24:35" ht="16" thickBot="1" x14ac:dyDescent="0.4">
      <c r="X152" s="85"/>
      <c r="Y152" s="85"/>
      <c r="Z152" s="85"/>
      <c r="AA152" s="44" t="s">
        <v>3</v>
      </c>
      <c r="AB152" s="44" t="s">
        <v>4</v>
      </c>
      <c r="AC152" s="44" t="s">
        <v>5</v>
      </c>
      <c r="AD152" s="44" t="s">
        <v>6</v>
      </c>
      <c r="AE152" s="44" t="s">
        <v>7</v>
      </c>
      <c r="AF152" s="44" t="s">
        <v>8</v>
      </c>
      <c r="AG152" s="44" t="s">
        <v>9</v>
      </c>
      <c r="AH152" s="44" t="s">
        <v>10</v>
      </c>
      <c r="AI152" s="44" t="s">
        <v>139</v>
      </c>
    </row>
    <row r="153" spans="24:35" x14ac:dyDescent="0.35">
      <c r="X153" s="137" t="s">
        <v>192</v>
      </c>
      <c r="Y153" s="85"/>
      <c r="Z153" s="49" t="s">
        <v>77</v>
      </c>
      <c r="AA153" s="13">
        <f>AVERAGE(AA107,AA109,AA111,AA113,AA115,AA118,AA120,AA122)</f>
        <v>6.9989212500000164</v>
      </c>
      <c r="AB153" s="13">
        <f t="shared" ref="AB153:AI153" si="118">AVERAGE(AB107,AB109,AB111,AB113,AB115,AB118,AB120,AB122)</f>
        <v>14.845892499999987</v>
      </c>
      <c r="AC153" s="13">
        <f t="shared" si="118"/>
        <v>0.32382143351440612</v>
      </c>
      <c r="AD153" s="13">
        <f t="shared" si="118"/>
        <v>0.67617856648559382</v>
      </c>
      <c r="AE153" s="13">
        <f t="shared" si="118"/>
        <v>0.14410664990690147</v>
      </c>
      <c r="AF153" s="13">
        <f t="shared" si="118"/>
        <v>4.6089991395412075E-2</v>
      </c>
      <c r="AG153" s="13">
        <f t="shared" si="118"/>
        <v>21.844813750000004</v>
      </c>
      <c r="AH153" s="13">
        <f t="shared" si="118"/>
        <v>43</v>
      </c>
      <c r="AI153" s="13">
        <f t="shared" si="118"/>
        <v>6.1167011291706759</v>
      </c>
    </row>
    <row r="154" spans="24:35" x14ac:dyDescent="0.35">
      <c r="X154" s="137"/>
      <c r="Y154" s="85"/>
      <c r="Z154" s="49" t="s">
        <v>94</v>
      </c>
      <c r="AA154" s="13">
        <f>_xlfn.STDEV.S(AA107,AA109,AA111,AA113,AA115,AA118,AA120,AA122)</f>
        <v>0.69922121483093869</v>
      </c>
      <c r="AB154" s="13">
        <f t="shared" ref="AB154:AI154" si="119">_xlfn.STDEV.S(AB107,AB109,AB111,AB113,AB115,AB118,AB120,AB122)</f>
        <v>2.2505953385001414</v>
      </c>
      <c r="AC154" s="13">
        <f t="shared" si="119"/>
        <v>5.5013058903839722E-2</v>
      </c>
      <c r="AD154" s="13">
        <f t="shared" si="119"/>
        <v>5.5013058903839722E-2</v>
      </c>
      <c r="AE154" s="13">
        <f t="shared" si="119"/>
        <v>1.4116876486393322E-2</v>
      </c>
      <c r="AF154" s="13">
        <f t="shared" si="119"/>
        <v>4.264361493547586E-3</v>
      </c>
      <c r="AG154" s="13">
        <f t="shared" si="119"/>
        <v>1.8394225882592037</v>
      </c>
      <c r="AH154" s="13">
        <f t="shared" si="119"/>
        <v>7.2702917999996988</v>
      </c>
      <c r="AI154" s="13">
        <f t="shared" si="119"/>
        <v>0.58619379103453306</v>
      </c>
    </row>
    <row r="155" spans="24:35" x14ac:dyDescent="0.35">
      <c r="X155" s="137"/>
      <c r="Y155" s="85"/>
      <c r="Z155" s="49" t="s">
        <v>95</v>
      </c>
      <c r="AA155" s="85">
        <f>AA154/(SQRT(8))</f>
        <v>0.24721203127822625</v>
      </c>
      <c r="AB155" s="85">
        <f t="shared" ref="AB155:AI155" si="120">AB154/(SQRT(8))</f>
        <v>0.79570561278014162</v>
      </c>
      <c r="AC155" s="85">
        <f t="shared" si="120"/>
        <v>1.945005350236002E-2</v>
      </c>
      <c r="AD155" s="85">
        <f t="shared" si="120"/>
        <v>1.945005350236002E-2</v>
      </c>
      <c r="AE155" s="85">
        <f t="shared" si="120"/>
        <v>4.9910695463508195E-3</v>
      </c>
      <c r="AF155" s="85">
        <f t="shared" si="120"/>
        <v>1.5076794647591459E-3</v>
      </c>
      <c r="AG155" s="85">
        <f t="shared" si="120"/>
        <v>0.65033409281289678</v>
      </c>
      <c r="AH155" s="85">
        <f t="shared" si="120"/>
        <v>2.5704363164923687</v>
      </c>
      <c r="AI155" s="85">
        <f t="shared" si="120"/>
        <v>0.20725080236498417</v>
      </c>
    </row>
    <row r="156" spans="24:35" x14ac:dyDescent="0.35">
      <c r="X156" s="137"/>
      <c r="Y156" s="85"/>
      <c r="Z156" s="49"/>
      <c r="AA156" s="85"/>
      <c r="AB156" s="85"/>
      <c r="AC156" s="85"/>
      <c r="AD156" s="85"/>
      <c r="AE156" s="85"/>
      <c r="AF156" s="85"/>
      <c r="AG156" s="85"/>
      <c r="AH156" s="85"/>
      <c r="AI156" s="85"/>
    </row>
    <row r="157" spans="24:35" x14ac:dyDescent="0.35">
      <c r="X157" s="137"/>
      <c r="Y157" s="85"/>
      <c r="Z157" s="49"/>
      <c r="AA157" s="85"/>
      <c r="AB157" s="85"/>
      <c r="AC157" s="85"/>
      <c r="AD157" s="85"/>
      <c r="AE157" s="85"/>
      <c r="AF157" s="85"/>
      <c r="AG157" s="85"/>
      <c r="AH157" s="85"/>
      <c r="AI157" s="85"/>
    </row>
    <row r="158" spans="24:35" x14ac:dyDescent="0.35">
      <c r="X158" s="137" t="s">
        <v>195</v>
      </c>
      <c r="Y158" s="85"/>
      <c r="Z158" s="49" t="s">
        <v>77</v>
      </c>
      <c r="AA158" s="85">
        <f>AVERAGE(AA108,AA110,AA112,AA114,AA116,AA119,AA121,AA123)</f>
        <v>7.3706099999999992</v>
      </c>
      <c r="AB158" s="85">
        <f t="shared" ref="AB158:AI158" si="121">AVERAGE(AB108,AB110,AB112,AB114,AB116,AB119,AB121,AB123)</f>
        <v>11.070227499999994</v>
      </c>
      <c r="AC158" s="85">
        <f t="shared" si="121"/>
        <v>0.40375959950629003</v>
      </c>
      <c r="AD158" s="85">
        <f t="shared" si="121"/>
        <v>0.59624040049370997</v>
      </c>
      <c r="AE158" s="85">
        <f t="shared" si="121"/>
        <v>0.13672668011509764</v>
      </c>
      <c r="AF158" s="85">
        <f t="shared" si="121"/>
        <v>5.4562657437013877E-2</v>
      </c>
      <c r="AG158" s="85">
        <f t="shared" si="121"/>
        <v>18.440837499999994</v>
      </c>
      <c r="AH158" s="85">
        <f t="shared" si="121"/>
        <v>45.375</v>
      </c>
      <c r="AI158" s="85">
        <f t="shared" si="121"/>
        <v>6.1424284463102845</v>
      </c>
    </row>
    <row r="159" spans="24:35" x14ac:dyDescent="0.35">
      <c r="X159" s="137"/>
      <c r="Y159" s="85"/>
      <c r="Z159" s="49" t="s">
        <v>94</v>
      </c>
      <c r="AA159" s="85">
        <f>_xlfn.STDEV.S(AA108,AA110,AA112,AA114,AA116,AA119,AA121,AA123)</f>
        <v>0.67443305532445053</v>
      </c>
      <c r="AB159" s="85">
        <f t="shared" ref="AB159:AI159" si="122">_xlfn.STDEV.S(AB108,AB110,AB112,AB114,AB116,AB119,AB121,AB123)</f>
        <v>2.0780527420692199</v>
      </c>
      <c r="AC159" s="85">
        <f t="shared" si="122"/>
        <v>6.0396461384943936E-2</v>
      </c>
      <c r="AD159" s="85">
        <f t="shared" si="122"/>
        <v>6.0396461384943818E-2</v>
      </c>
      <c r="AE159" s="85">
        <f t="shared" si="122"/>
        <v>1.3208830050286939E-2</v>
      </c>
      <c r="AF159" s="85">
        <f t="shared" si="122"/>
        <v>4.5114530304142869E-3</v>
      </c>
      <c r="AG159" s="85">
        <f t="shared" si="122"/>
        <v>1.5746121654258787</v>
      </c>
      <c r="AH159" s="85">
        <f t="shared" si="122"/>
        <v>5.9266347955648486</v>
      </c>
      <c r="AI159" s="85">
        <f t="shared" si="122"/>
        <v>0.39322001153336072</v>
      </c>
    </row>
    <row r="160" spans="24:35" x14ac:dyDescent="0.35">
      <c r="X160" s="137"/>
      <c r="Y160" s="85"/>
      <c r="Z160" s="49" t="s">
        <v>95</v>
      </c>
      <c r="AA160" s="85">
        <f>AA159/(SQRT(8))</f>
        <v>0.23844809343814044</v>
      </c>
      <c r="AB160" s="85">
        <f t="shared" ref="AB160:AI160" si="123">AB159/(SQRT(8))</f>
        <v>0.73470259279022243</v>
      </c>
      <c r="AC160" s="85">
        <f t="shared" si="123"/>
        <v>2.1353373702482657E-2</v>
      </c>
      <c r="AD160" s="85">
        <f t="shared" si="123"/>
        <v>2.1353373702482616E-2</v>
      </c>
      <c r="AE160" s="85">
        <f t="shared" si="123"/>
        <v>4.6700266500492695E-3</v>
      </c>
      <c r="AF160" s="85">
        <f t="shared" si="123"/>
        <v>1.5950395154052709E-3</v>
      </c>
      <c r="AG160" s="85">
        <f t="shared" si="123"/>
        <v>0.55670946995573622</v>
      </c>
      <c r="AH160" s="85">
        <f t="shared" si="123"/>
        <v>2.0953818267800259</v>
      </c>
      <c r="AI160" s="85">
        <f t="shared" si="123"/>
        <v>0.13902426832674589</v>
      </c>
    </row>
    <row r="163" spans="24:35" x14ac:dyDescent="0.35">
      <c r="X163" s="137" t="s">
        <v>273</v>
      </c>
      <c r="Y163" s="85"/>
      <c r="Z163" s="49" t="s">
        <v>77</v>
      </c>
      <c r="AA163">
        <f>AVERAGE(AA108,AA110,AA112,AA114,AA116:AA117,AA119,AA121,AA123)</f>
        <v>7.4123377777777808</v>
      </c>
      <c r="AB163">
        <f t="shared" ref="AB163:AI163" si="124">AVERAGE(AB108,AB110,AB112,AB114,AB116:AB117,AB119,AB121,AB123)</f>
        <v>10.897124444444437</v>
      </c>
      <c r="AC163">
        <f t="shared" si="124"/>
        <v>0.40876771405999424</v>
      </c>
      <c r="AD163">
        <f t="shared" si="124"/>
        <v>0.59123228594000576</v>
      </c>
      <c r="AE163">
        <f t="shared" si="124"/>
        <v>0.13587885156463064</v>
      </c>
      <c r="AF163">
        <f t="shared" si="124"/>
        <v>5.4938206324854605E-2</v>
      </c>
      <c r="AG163">
        <f t="shared" si="124"/>
        <v>18.309462222222219</v>
      </c>
      <c r="AH163">
        <f t="shared" si="124"/>
        <v>45.111111111111114</v>
      </c>
      <c r="AI163">
        <f t="shared" si="124"/>
        <v>6.0767294629334163</v>
      </c>
    </row>
    <row r="164" spans="24:35" x14ac:dyDescent="0.35">
      <c r="X164" s="137"/>
      <c r="Y164" s="85"/>
      <c r="Z164" s="49" t="s">
        <v>94</v>
      </c>
      <c r="AA164">
        <f>_xlfn.STDEV.S(AA108,AA110,AA112,AA114,AA116:AA117,AA119,AA121,AA123)</f>
        <v>0.64317440853506935</v>
      </c>
      <c r="AB164">
        <f t="shared" ref="AB164:AI164" si="125">_xlfn.STDEV.S(AB108,AB110,AB112,AB114,AB116:AB117,AB119,AB121,AB123)</f>
        <v>2.0120132478571713</v>
      </c>
      <c r="AC164">
        <f t="shared" si="125"/>
        <v>5.8459360942387364E-2</v>
      </c>
      <c r="AD164">
        <f t="shared" si="125"/>
        <v>5.845936094238758E-2</v>
      </c>
      <c r="AE164">
        <f t="shared" si="125"/>
        <v>1.2614807237689981E-2</v>
      </c>
      <c r="AF164">
        <f t="shared" si="125"/>
        <v>4.3678816483915424E-3</v>
      </c>
      <c r="AG164">
        <f t="shared" si="125"/>
        <v>1.524733816136268</v>
      </c>
      <c r="AH164">
        <f t="shared" si="125"/>
        <v>5.6000992054704986</v>
      </c>
      <c r="AI164">
        <f t="shared" si="125"/>
        <v>0.41730257372474405</v>
      </c>
    </row>
    <row r="165" spans="24:35" x14ac:dyDescent="0.35">
      <c r="X165" s="137"/>
      <c r="Y165" s="85"/>
      <c r="Z165" s="49" t="s">
        <v>95</v>
      </c>
      <c r="AA165">
        <f>AA164/SQRT(9)</f>
        <v>0.21439146951168978</v>
      </c>
      <c r="AB165">
        <f t="shared" ref="AB165:AI165" si="126">AB164/SQRT(9)</f>
        <v>0.67067108261905706</v>
      </c>
      <c r="AC165">
        <f t="shared" si="126"/>
        <v>1.9486453647462456E-2</v>
      </c>
      <c r="AD165">
        <f t="shared" si="126"/>
        <v>1.9486453647462525E-2</v>
      </c>
      <c r="AE165">
        <f t="shared" si="126"/>
        <v>4.2049357458966603E-3</v>
      </c>
      <c r="AF165">
        <f t="shared" si="126"/>
        <v>1.4559605494638475E-3</v>
      </c>
      <c r="AG165">
        <f t="shared" si="126"/>
        <v>0.50824460537875604</v>
      </c>
      <c r="AH165">
        <f t="shared" si="126"/>
        <v>1.8666997351568329</v>
      </c>
      <c r="AI165">
        <f t="shared" si="126"/>
        <v>0.13910085790824803</v>
      </c>
    </row>
  </sheetData>
  <pageMargins left="0.7" right="0.7" top="0.75" bottom="0.75" header="0.3" footer="0.3"/>
  <pageSetup orientation="portrait" horizontalDpi="0"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J369"/>
  <sheetViews>
    <sheetView topLeftCell="A37" zoomScale="80" zoomScaleNormal="80" workbookViewId="0">
      <selection activeCell="S49" sqref="S49"/>
    </sheetView>
  </sheetViews>
  <sheetFormatPr defaultRowHeight="14.5" x14ac:dyDescent="0.35"/>
  <cols>
    <col min="2" max="2" width="10.54296875" customWidth="1"/>
    <col min="3" max="3" width="10.26953125" customWidth="1"/>
    <col min="13" max="13" width="11" customWidth="1"/>
  </cols>
  <sheetData>
    <row r="4" spans="2:36" ht="18.5" x14ac:dyDescent="0.45">
      <c r="B4" s="2"/>
      <c r="C4" s="1" t="s">
        <v>210</v>
      </c>
      <c r="D4" s="2"/>
      <c r="E4" s="2"/>
      <c r="F4" s="2"/>
      <c r="G4" s="2"/>
      <c r="H4" s="2"/>
      <c r="I4" s="2"/>
      <c r="J4" s="2"/>
      <c r="K4" s="2"/>
      <c r="L4" s="2"/>
      <c r="M4" s="2"/>
      <c r="N4" s="2"/>
      <c r="O4" s="2"/>
    </row>
    <row r="5" spans="2:36" ht="18.5" x14ac:dyDescent="0.45">
      <c r="B5" s="2"/>
      <c r="C5" s="2"/>
      <c r="D5" s="2"/>
      <c r="E5" s="2"/>
      <c r="F5" s="1" t="s">
        <v>0</v>
      </c>
      <c r="G5" s="3"/>
      <c r="H5" s="3"/>
      <c r="I5" s="3"/>
      <c r="J5" s="3"/>
      <c r="K5" s="3"/>
      <c r="L5" s="3"/>
      <c r="M5" s="3"/>
      <c r="N5" s="3"/>
      <c r="O5" s="3"/>
      <c r="X5" s="1" t="s">
        <v>274</v>
      </c>
      <c r="Y5" s="3"/>
      <c r="Z5" s="3"/>
      <c r="AA5" s="3"/>
      <c r="AB5" s="3"/>
      <c r="AC5" s="3"/>
      <c r="AD5" s="3"/>
      <c r="AE5" s="3"/>
      <c r="AF5" s="3"/>
      <c r="AG5" s="3"/>
    </row>
    <row r="6" spans="2:36"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S6" s="14"/>
      <c r="X6" s="9" t="s">
        <v>1</v>
      </c>
      <c r="Y6" s="9" t="s">
        <v>2</v>
      </c>
      <c r="Z6" s="9" t="s">
        <v>3</v>
      </c>
      <c r="AA6" s="9" t="s">
        <v>4</v>
      </c>
      <c r="AB6" s="9" t="s">
        <v>5</v>
      </c>
      <c r="AC6" s="9" t="s">
        <v>6</v>
      </c>
      <c r="AD6" s="9" t="s">
        <v>7</v>
      </c>
      <c r="AE6" s="9" t="s">
        <v>8</v>
      </c>
      <c r="AF6" s="9" t="s">
        <v>9</v>
      </c>
      <c r="AG6" s="9" t="s">
        <v>10</v>
      </c>
      <c r="AH6" s="44" t="s">
        <v>139</v>
      </c>
      <c r="AJ6" s="44" t="s">
        <v>138</v>
      </c>
    </row>
    <row r="7" spans="2:36" x14ac:dyDescent="0.35">
      <c r="B7" s="2"/>
      <c r="C7" s="2"/>
      <c r="D7" s="2"/>
      <c r="E7" s="2"/>
      <c r="F7" s="2">
        <v>6.70357</v>
      </c>
      <c r="G7" s="2">
        <v>9.9384499999999996</v>
      </c>
      <c r="H7" s="2">
        <f>G7-F7</f>
        <v>3.2348799999999995</v>
      </c>
      <c r="I7" s="2">
        <f>F8-G7</f>
        <v>10.386189999999999</v>
      </c>
      <c r="J7" s="2">
        <f>H7/N7</f>
        <v>0.23749088727978049</v>
      </c>
      <c r="K7" s="2">
        <f>I7/N7</f>
        <v>0.76250911272021948</v>
      </c>
      <c r="L7" s="2">
        <f>1/H7</f>
        <v>0.30913047779206654</v>
      </c>
      <c r="M7" s="2">
        <f>1/N7</f>
        <v>7.3415671456060358E-2</v>
      </c>
      <c r="N7" s="2">
        <f>H7+I7</f>
        <v>13.62107</v>
      </c>
      <c r="O7" s="2">
        <v>13</v>
      </c>
      <c r="P7">
        <f>O7/H7</f>
        <v>4.0186962112968647</v>
      </c>
      <c r="R7" t="s">
        <v>140</v>
      </c>
      <c r="X7" s="2">
        <v>7.7446099999999998</v>
      </c>
      <c r="Y7" s="2">
        <v>13.39227</v>
      </c>
      <c r="Z7" s="2">
        <f>Y7-X7</f>
        <v>5.6476600000000001</v>
      </c>
      <c r="AA7" s="2">
        <f>X8-Y7</f>
        <v>7.9220399999999991</v>
      </c>
      <c r="AB7" s="2">
        <f>Z7/AF7</f>
        <v>0.4161963786966551</v>
      </c>
      <c r="AC7" s="2">
        <f>AA7/AF7</f>
        <v>0.58380362130334496</v>
      </c>
      <c r="AD7" s="2">
        <f>1/Z7</f>
        <v>0.17706448334354405</v>
      </c>
      <c r="AE7" s="2">
        <f>1/AF7</f>
        <v>7.3693596763377237E-2</v>
      </c>
      <c r="AF7" s="2">
        <f>Z7+AA7</f>
        <v>13.569699999999999</v>
      </c>
      <c r="AG7" s="2">
        <v>20</v>
      </c>
      <c r="AH7">
        <f>AG7/Z7</f>
        <v>3.5412896668708811</v>
      </c>
      <c r="AJ7" t="s">
        <v>142</v>
      </c>
    </row>
    <row r="8" spans="2:36" x14ac:dyDescent="0.35">
      <c r="B8" s="2"/>
      <c r="C8" s="2"/>
      <c r="D8" s="2"/>
      <c r="E8" s="2"/>
      <c r="F8" s="2">
        <v>20.324639999999999</v>
      </c>
      <c r="G8" s="2">
        <v>23.18393</v>
      </c>
      <c r="H8" s="2">
        <f t="shared" ref="H8:H15" si="0">G8-F8</f>
        <v>2.8592900000000014</v>
      </c>
      <c r="I8" s="2">
        <f t="shared" ref="I8:I14" si="1">F9-G8</f>
        <v>8.3593000000000011</v>
      </c>
      <c r="J8" s="2">
        <f t="shared" ref="J8:J14" si="2">H8/N8</f>
        <v>0.25487071013380475</v>
      </c>
      <c r="K8" s="2">
        <f t="shared" ref="K8:K14" si="3">I8/N8</f>
        <v>0.7451292898661952</v>
      </c>
      <c r="L8" s="2">
        <f t="shared" ref="L8:L14" si="4">1/H8</f>
        <v>0.34973717251485492</v>
      </c>
      <c r="M8" s="2">
        <f t="shared" ref="M8:M14" si="5">1/N8</f>
        <v>8.9137761519050063E-2</v>
      </c>
      <c r="N8" s="2">
        <f t="shared" ref="N8:N14" si="6">H8+I8</f>
        <v>11.218590000000003</v>
      </c>
      <c r="O8" s="2">
        <v>13</v>
      </c>
      <c r="P8">
        <f t="shared" ref="P8:P15" si="7">O8/H8</f>
        <v>4.5465832426931136</v>
      </c>
      <c r="X8" s="2">
        <v>21.314309999999999</v>
      </c>
      <c r="Y8" s="2">
        <v>27.641850000000002</v>
      </c>
      <c r="Z8" s="2">
        <f t="shared" ref="Z8:Z14" si="8">Y8-X8</f>
        <v>6.3275400000000026</v>
      </c>
      <c r="AA8" s="2">
        <f t="shared" ref="AA8:AA13" si="9">X9-Y8</f>
        <v>8.8487899999999975</v>
      </c>
      <c r="AB8" s="2">
        <f t="shared" ref="AB8:AB13" si="10">Z8/AF8</f>
        <v>0.41693479253548144</v>
      </c>
      <c r="AC8" s="2">
        <f t="shared" ref="AC8:AC13" si="11">AA8/AF8</f>
        <v>0.58306520746451862</v>
      </c>
      <c r="AD8" s="2">
        <f t="shared" ref="AD8:AD13" si="12">1/Z8</f>
        <v>0.15803930121342569</v>
      </c>
      <c r="AE8" s="2">
        <f t="shared" ref="AE8:AE13" si="13">1/AF8</f>
        <v>6.5892083263872095E-2</v>
      </c>
      <c r="AF8" s="2">
        <f t="shared" ref="AF8:AF13" si="14">Z8+AA8</f>
        <v>15.17633</v>
      </c>
      <c r="AG8" s="2">
        <v>23</v>
      </c>
      <c r="AH8">
        <f t="shared" ref="AH8:AH13" si="15">AG8/Z8</f>
        <v>3.6349039279087907</v>
      </c>
    </row>
    <row r="9" spans="2:36" x14ac:dyDescent="0.35">
      <c r="B9" s="2"/>
      <c r="C9" s="2"/>
      <c r="D9" s="2"/>
      <c r="E9" s="2"/>
      <c r="F9" s="2">
        <v>31.543230000000001</v>
      </c>
      <c r="G9" s="2">
        <v>37.289940000000001</v>
      </c>
      <c r="H9" s="2">
        <f t="shared" si="0"/>
        <v>5.7467100000000002</v>
      </c>
      <c r="I9" s="2">
        <f t="shared" si="1"/>
        <v>8.2150299999999987</v>
      </c>
      <c r="J9" s="2">
        <f t="shared" si="2"/>
        <v>0.41160414103113224</v>
      </c>
      <c r="K9" s="2">
        <f t="shared" si="3"/>
        <v>0.5883958589688677</v>
      </c>
      <c r="L9" s="2">
        <f t="shared" si="4"/>
        <v>0.17401260895364479</v>
      </c>
      <c r="M9" s="2">
        <f t="shared" si="5"/>
        <v>7.1624310436951277E-2</v>
      </c>
      <c r="N9" s="2">
        <f t="shared" si="6"/>
        <v>13.961739999999999</v>
      </c>
      <c r="O9" s="2">
        <v>26</v>
      </c>
      <c r="P9">
        <f t="shared" si="7"/>
        <v>4.5243278327947642</v>
      </c>
      <c r="X9" s="2">
        <v>36.490639999999999</v>
      </c>
      <c r="Y9" s="2">
        <v>42.74682</v>
      </c>
      <c r="Z9" s="2">
        <f t="shared" si="8"/>
        <v>6.2561800000000005</v>
      </c>
      <c r="AA9" s="2">
        <f t="shared" si="9"/>
        <v>8.0563399999999987</v>
      </c>
      <c r="AB9" s="2">
        <f t="shared" si="10"/>
        <v>0.43711240228834619</v>
      </c>
      <c r="AC9" s="2">
        <f t="shared" si="11"/>
        <v>0.56288759771165375</v>
      </c>
      <c r="AD9" s="2">
        <f t="shared" si="12"/>
        <v>0.15984194828153919</v>
      </c>
      <c r="AE9" s="2">
        <f t="shared" si="13"/>
        <v>6.9868897999793192E-2</v>
      </c>
      <c r="AF9" s="2">
        <f t="shared" si="14"/>
        <v>14.312519999999999</v>
      </c>
      <c r="AG9" s="2">
        <v>22</v>
      </c>
      <c r="AH9">
        <f t="shared" si="15"/>
        <v>3.5165228621938622</v>
      </c>
    </row>
    <row r="10" spans="2:36" x14ac:dyDescent="0.35">
      <c r="B10" s="2"/>
      <c r="C10" s="2"/>
      <c r="D10" s="2"/>
      <c r="E10" s="2"/>
      <c r="F10" s="13">
        <v>45.50497</v>
      </c>
      <c r="G10" s="13">
        <v>51.068260000000002</v>
      </c>
      <c r="H10" s="2">
        <f t="shared" si="0"/>
        <v>5.5632900000000021</v>
      </c>
      <c r="I10" s="2">
        <f t="shared" si="1"/>
        <v>7.1192299999999946</v>
      </c>
      <c r="J10" s="2">
        <f t="shared" si="2"/>
        <v>0.43865809003258055</v>
      </c>
      <c r="K10" s="2">
        <f t="shared" si="3"/>
        <v>0.56134190996741939</v>
      </c>
      <c r="L10" s="2">
        <f t="shared" si="4"/>
        <v>0.17974975239471602</v>
      </c>
      <c r="M10" s="2">
        <f t="shared" si="5"/>
        <v>7.8848683069295392E-2</v>
      </c>
      <c r="N10" s="2">
        <f t="shared" si="6"/>
        <v>12.682519999999997</v>
      </c>
      <c r="O10" s="13">
        <v>27</v>
      </c>
      <c r="P10">
        <f t="shared" si="7"/>
        <v>4.8532433146573322</v>
      </c>
      <c r="X10" s="13">
        <v>50.803159999999998</v>
      </c>
      <c r="Y10" s="13">
        <v>57.287179999999999</v>
      </c>
      <c r="Z10" s="2">
        <f t="shared" si="8"/>
        <v>6.484020000000001</v>
      </c>
      <c r="AA10" s="2">
        <f t="shared" si="9"/>
        <v>7.7561999999999998</v>
      </c>
      <c r="AB10" s="2">
        <f t="shared" si="10"/>
        <v>0.45533144853099183</v>
      </c>
      <c r="AC10" s="2">
        <f t="shared" si="11"/>
        <v>0.54466855146900817</v>
      </c>
      <c r="AD10" s="2">
        <f t="shared" si="12"/>
        <v>0.15422531084111399</v>
      </c>
      <c r="AE10" s="2">
        <f t="shared" si="13"/>
        <v>7.0223634185426903E-2</v>
      </c>
      <c r="AF10" s="2">
        <f t="shared" si="14"/>
        <v>14.240220000000001</v>
      </c>
      <c r="AG10" s="13">
        <v>23</v>
      </c>
      <c r="AH10">
        <f t="shared" si="15"/>
        <v>3.5471821493456215</v>
      </c>
    </row>
    <row r="11" spans="2:36" x14ac:dyDescent="0.35">
      <c r="B11" s="2"/>
      <c r="C11" s="2"/>
      <c r="D11" s="2"/>
      <c r="E11" s="2"/>
      <c r="F11" s="13">
        <v>58.187489999999997</v>
      </c>
      <c r="G11" s="13">
        <v>63.613669999999999</v>
      </c>
      <c r="H11" s="2">
        <f t="shared" si="0"/>
        <v>5.4261800000000022</v>
      </c>
      <c r="I11" s="2">
        <f t="shared" si="1"/>
        <v>7.3292100000000033</v>
      </c>
      <c r="J11" s="2">
        <f t="shared" si="2"/>
        <v>0.42540290810394665</v>
      </c>
      <c r="K11" s="2">
        <f t="shared" si="3"/>
        <v>0.57459709189605335</v>
      </c>
      <c r="L11" s="2">
        <f t="shared" si="4"/>
        <v>0.18429171166455952</v>
      </c>
      <c r="M11" s="2">
        <f t="shared" si="5"/>
        <v>7.8398230081557649E-2</v>
      </c>
      <c r="N11" s="2">
        <f t="shared" si="6"/>
        <v>12.755390000000006</v>
      </c>
      <c r="O11" s="13">
        <v>25</v>
      </c>
      <c r="P11">
        <f t="shared" si="7"/>
        <v>4.6072927916139879</v>
      </c>
      <c r="V11" t="s">
        <v>125</v>
      </c>
      <c r="W11" t="s">
        <v>276</v>
      </c>
      <c r="X11" s="144">
        <v>65.043379999999999</v>
      </c>
      <c r="Y11" s="144">
        <v>72.346639999999994</v>
      </c>
      <c r="Z11" s="91">
        <f t="shared" si="8"/>
        <v>7.3032599999999945</v>
      </c>
      <c r="AA11" s="91">
        <f t="shared" si="9"/>
        <v>16.520340000000004</v>
      </c>
      <c r="AB11" s="91">
        <f t="shared" si="10"/>
        <v>0.30655568427945379</v>
      </c>
      <c r="AC11" s="91">
        <f t="shared" si="11"/>
        <v>0.69344431572054621</v>
      </c>
      <c r="AD11" s="91">
        <f t="shared" si="12"/>
        <v>0.13692515397233573</v>
      </c>
      <c r="AE11" s="91">
        <f t="shared" si="13"/>
        <v>4.1975184271058952E-2</v>
      </c>
      <c r="AF11" s="91">
        <f t="shared" si="14"/>
        <v>23.823599999999999</v>
      </c>
      <c r="AG11">
        <v>27</v>
      </c>
      <c r="AH11">
        <f t="shared" si="15"/>
        <v>3.696979157253065</v>
      </c>
    </row>
    <row r="12" spans="2:36" x14ac:dyDescent="0.35">
      <c r="B12" s="2"/>
      <c r="C12" s="2"/>
      <c r="D12" s="2"/>
      <c r="E12" s="2"/>
      <c r="F12" s="13">
        <v>70.942880000000002</v>
      </c>
      <c r="G12" s="13">
        <v>76.653210000000001</v>
      </c>
      <c r="H12" s="2">
        <f t="shared" si="0"/>
        <v>5.710329999999999</v>
      </c>
      <c r="I12" s="2">
        <f t="shared" si="1"/>
        <v>7.1408799999999957</v>
      </c>
      <c r="J12" s="2">
        <f t="shared" si="2"/>
        <v>0.44434181684059332</v>
      </c>
      <c r="K12" s="2">
        <f t="shared" si="3"/>
        <v>0.55565818315940663</v>
      </c>
      <c r="L12" s="2">
        <f t="shared" si="4"/>
        <v>0.1751212276698545</v>
      </c>
      <c r="M12" s="2">
        <f t="shared" si="5"/>
        <v>7.7813684470178321E-2</v>
      </c>
      <c r="N12" s="2">
        <f t="shared" si="6"/>
        <v>12.851209999999995</v>
      </c>
      <c r="O12" s="13">
        <v>27</v>
      </c>
      <c r="P12">
        <f t="shared" si="7"/>
        <v>4.728273147086071</v>
      </c>
      <c r="V12" t="s">
        <v>277</v>
      </c>
      <c r="X12">
        <v>88.866979999999998</v>
      </c>
      <c r="Y12">
        <v>95.701639999999998</v>
      </c>
      <c r="Z12" s="2">
        <f t="shared" si="8"/>
        <v>6.8346599999999995</v>
      </c>
      <c r="AA12" s="2">
        <f t="shared" si="9"/>
        <v>6.770939999999996</v>
      </c>
      <c r="AB12" s="2">
        <f t="shared" si="10"/>
        <v>0.50234168283647918</v>
      </c>
      <c r="AC12" s="2">
        <f t="shared" si="11"/>
        <v>0.49765831716352077</v>
      </c>
      <c r="AD12" s="2">
        <f t="shared" si="12"/>
        <v>0.14631305726985688</v>
      </c>
      <c r="AE12" s="2">
        <f t="shared" si="13"/>
        <v>7.3499147409890067E-2</v>
      </c>
      <c r="AF12" s="2">
        <f t="shared" si="14"/>
        <v>13.605599999999995</v>
      </c>
      <c r="AG12">
        <v>28</v>
      </c>
      <c r="AH12">
        <f t="shared" si="15"/>
        <v>4.0967656035559932</v>
      </c>
    </row>
    <row r="13" spans="2:36" x14ac:dyDescent="0.35">
      <c r="B13" s="2"/>
      <c r="C13" s="2"/>
      <c r="D13" s="2"/>
      <c r="E13" s="2"/>
      <c r="F13" s="13">
        <v>83.794089999999997</v>
      </c>
      <c r="G13" s="13">
        <v>89.129220000000004</v>
      </c>
      <c r="H13" s="2">
        <f t="shared" si="0"/>
        <v>5.3351300000000066</v>
      </c>
      <c r="I13" s="2">
        <f t="shared" si="1"/>
        <v>13.782669999999996</v>
      </c>
      <c r="J13" s="2">
        <f t="shared" si="2"/>
        <v>0.27906610593269132</v>
      </c>
      <c r="K13" s="2">
        <f t="shared" si="3"/>
        <v>0.72093389406730868</v>
      </c>
      <c r="L13" s="2">
        <f t="shared" si="4"/>
        <v>0.18743685720872758</v>
      </c>
      <c r="M13" s="2">
        <f t="shared" si="5"/>
        <v>5.2307273849501505E-2</v>
      </c>
      <c r="N13" s="2">
        <f t="shared" si="6"/>
        <v>19.117800000000003</v>
      </c>
      <c r="O13" s="13">
        <v>25</v>
      </c>
      <c r="P13">
        <f t="shared" si="7"/>
        <v>4.6859214302181895</v>
      </c>
      <c r="X13">
        <v>102.47257999999999</v>
      </c>
      <c r="Y13">
        <v>109.09786</v>
      </c>
      <c r="Z13" s="2">
        <f t="shared" si="8"/>
        <v>6.6252800000000036</v>
      </c>
      <c r="AA13" s="2">
        <f t="shared" si="9"/>
        <v>5.9444600000000065</v>
      </c>
      <c r="AB13" s="2">
        <f t="shared" si="10"/>
        <v>0.52708170574729452</v>
      </c>
      <c r="AC13" s="2">
        <f t="shared" si="11"/>
        <v>0.47291829425270543</v>
      </c>
      <c r="AD13" s="2">
        <f t="shared" si="12"/>
        <v>0.15093701700154552</v>
      </c>
      <c r="AE13" s="2">
        <f t="shared" si="13"/>
        <v>7.9556140381583013E-2</v>
      </c>
      <c r="AF13" s="2">
        <f t="shared" si="14"/>
        <v>12.56974000000001</v>
      </c>
      <c r="AG13">
        <v>27</v>
      </c>
      <c r="AH13">
        <f t="shared" si="15"/>
        <v>4.0752994590417284</v>
      </c>
    </row>
    <row r="14" spans="2:36" x14ac:dyDescent="0.35">
      <c r="B14" s="2"/>
      <c r="C14" s="2"/>
      <c r="D14" s="2"/>
      <c r="E14" s="2"/>
      <c r="F14" s="13">
        <v>102.91189</v>
      </c>
      <c r="G14" s="13">
        <v>108.84963</v>
      </c>
      <c r="H14" s="2">
        <f t="shared" si="0"/>
        <v>5.9377400000000051</v>
      </c>
      <c r="I14" s="2">
        <f t="shared" si="1"/>
        <v>7.0575999999999937</v>
      </c>
      <c r="J14" s="2">
        <f t="shared" si="2"/>
        <v>0.45691301651207322</v>
      </c>
      <c r="K14" s="2">
        <f t="shared" si="3"/>
        <v>0.54308698348792672</v>
      </c>
      <c r="L14" s="2">
        <f t="shared" si="4"/>
        <v>0.16841424515051168</v>
      </c>
      <c r="M14" s="2">
        <f t="shared" si="5"/>
        <v>7.6950660775324087E-2</v>
      </c>
      <c r="N14" s="2">
        <f t="shared" si="6"/>
        <v>12.995339999999999</v>
      </c>
      <c r="O14" s="13">
        <v>29</v>
      </c>
      <c r="P14">
        <f t="shared" si="7"/>
        <v>4.8840131093648385</v>
      </c>
      <c r="X14">
        <v>115.04232</v>
      </c>
      <c r="Y14">
        <v>119.95913</v>
      </c>
      <c r="Z14" s="2">
        <f t="shared" si="8"/>
        <v>4.9168099999999981</v>
      </c>
      <c r="AA14" s="2"/>
      <c r="AB14" s="2"/>
      <c r="AC14" s="2"/>
      <c r="AD14" s="2"/>
      <c r="AE14" s="2"/>
      <c r="AF14" s="2"/>
    </row>
    <row r="15" spans="2:36" x14ac:dyDescent="0.35">
      <c r="B15" s="2"/>
      <c r="C15" s="2"/>
      <c r="D15" s="2"/>
      <c r="E15" s="2"/>
      <c r="F15" s="13">
        <v>115.90723</v>
      </c>
      <c r="G15" s="13">
        <v>119.83205</v>
      </c>
      <c r="H15" s="2">
        <f t="shared" si="0"/>
        <v>3.9248199999999969</v>
      </c>
      <c r="I15" s="2"/>
      <c r="J15" s="2"/>
      <c r="K15" s="2"/>
      <c r="L15" s="2"/>
      <c r="M15" s="2"/>
      <c r="N15" s="2"/>
      <c r="O15" s="2">
        <v>20</v>
      </c>
      <c r="P15">
        <f t="shared" si="7"/>
        <v>5.0957750928705048</v>
      </c>
    </row>
    <row r="16" spans="2:36" ht="16" thickBot="1" x14ac:dyDescent="0.4">
      <c r="B16" s="2"/>
      <c r="C16" s="2"/>
      <c r="D16" s="2"/>
      <c r="E16" s="2"/>
      <c r="F16" s="13"/>
      <c r="G16" s="13"/>
      <c r="H16" s="2"/>
      <c r="I16" s="2"/>
      <c r="J16" s="2"/>
      <c r="K16" s="2"/>
      <c r="L16" s="2"/>
      <c r="M16" s="2"/>
      <c r="N16" s="2"/>
      <c r="O16" s="2"/>
      <c r="Y16" s="13"/>
      <c r="Z16" s="9" t="s">
        <v>3</v>
      </c>
      <c r="AA16" s="9" t="s">
        <v>4</v>
      </c>
      <c r="AB16" s="9" t="s">
        <v>5</v>
      </c>
      <c r="AC16" s="9" t="s">
        <v>6</v>
      </c>
      <c r="AD16" s="9" t="s">
        <v>7</v>
      </c>
      <c r="AE16" s="9" t="s">
        <v>8</v>
      </c>
      <c r="AF16" s="9" t="s">
        <v>9</v>
      </c>
      <c r="AG16" s="9" t="s">
        <v>10</v>
      </c>
      <c r="AH16" s="44" t="s">
        <v>139</v>
      </c>
    </row>
    <row r="17" spans="1:36" ht="16" thickBot="1" x14ac:dyDescent="0.4">
      <c r="B17" s="2"/>
      <c r="C17" s="2"/>
      <c r="D17" s="2"/>
      <c r="E17" s="2"/>
      <c r="F17" s="13"/>
      <c r="G17" s="13"/>
      <c r="H17" s="9" t="s">
        <v>3</v>
      </c>
      <c r="I17" s="9" t="s">
        <v>4</v>
      </c>
      <c r="J17" s="9" t="s">
        <v>5</v>
      </c>
      <c r="K17" s="9" t="s">
        <v>6</v>
      </c>
      <c r="L17" s="9" t="s">
        <v>7</v>
      </c>
      <c r="M17" s="9" t="s">
        <v>8</v>
      </c>
      <c r="N17" s="9" t="s">
        <v>9</v>
      </c>
      <c r="O17" s="9" t="s">
        <v>10</v>
      </c>
      <c r="P17" s="44" t="s">
        <v>139</v>
      </c>
      <c r="Y17" s="49" t="s">
        <v>77</v>
      </c>
      <c r="Z17" s="13">
        <f>AVERAGE(Z7:Z10,Z12:Z13)</f>
        <v>6.3625566666666673</v>
      </c>
      <c r="AA17" s="13">
        <f>AVERAGE(AA7:AA10,AA12:AA13)</f>
        <v>7.5497949999999996</v>
      </c>
      <c r="AB17" s="13">
        <f t="shared" ref="AB17:AH17" si="16">AVERAGE(AB7:AB13)</f>
        <v>0.43736487070210028</v>
      </c>
      <c r="AC17" s="13">
        <f t="shared" si="16"/>
        <v>0.56263512929789961</v>
      </c>
      <c r="AD17" s="13">
        <f t="shared" si="16"/>
        <v>0.15476375313190874</v>
      </c>
      <c r="AE17" s="13">
        <f t="shared" si="16"/>
        <v>6.7815526325000208E-2</v>
      </c>
      <c r="AF17" s="13">
        <f t="shared" si="16"/>
        <v>15.328244285714286</v>
      </c>
      <c r="AG17" s="13">
        <f t="shared" si="16"/>
        <v>24.285714285714285</v>
      </c>
      <c r="AH17" s="13">
        <f t="shared" si="16"/>
        <v>3.7298489751671347</v>
      </c>
    </row>
    <row r="18" spans="1:36" x14ac:dyDescent="0.35">
      <c r="B18" s="2"/>
      <c r="C18" s="2"/>
      <c r="D18" s="2"/>
      <c r="E18" s="2"/>
      <c r="F18" s="13"/>
      <c r="G18" s="49" t="s">
        <v>77</v>
      </c>
      <c r="H18" s="13">
        <f t="shared" ref="H18:P18" si="17">AVERAGE(H7:H15)</f>
        <v>4.8598188888888911</v>
      </c>
      <c r="I18" s="13">
        <f t="shared" si="17"/>
        <v>8.6737637499999973</v>
      </c>
      <c r="J18" s="13">
        <f t="shared" si="17"/>
        <v>0.36854345948332534</v>
      </c>
      <c r="K18" s="13">
        <f t="shared" si="17"/>
        <v>0.63145654051667455</v>
      </c>
      <c r="L18" s="13">
        <f t="shared" si="17"/>
        <v>0.21598675666861694</v>
      </c>
      <c r="M18" s="13">
        <f t="shared" si="17"/>
        <v>7.4812034457239829E-2</v>
      </c>
      <c r="N18" s="13">
        <f t="shared" si="17"/>
        <v>13.6504575</v>
      </c>
      <c r="O18" s="13">
        <f t="shared" si="17"/>
        <v>22.777777777777779</v>
      </c>
      <c r="P18" s="13">
        <f t="shared" si="17"/>
        <v>4.6604584636217403</v>
      </c>
      <c r="Y18" s="49" t="s">
        <v>94</v>
      </c>
      <c r="Z18" s="2">
        <f>_xlfn.STDEV.S(Z7:Z10,Z12:Z13)</f>
        <v>0.40749916680487447</v>
      </c>
      <c r="AA18" s="2">
        <f t="shared" ref="AA18:AF18" si="18">_xlfn.STDEV.S(AA7:AA10,AA12:AA13)</f>
        <v>1.0304232901434276</v>
      </c>
      <c r="AB18" s="2">
        <f t="shared" si="18"/>
        <v>4.6059984521145521E-2</v>
      </c>
      <c r="AC18" s="2">
        <f t="shared" si="18"/>
        <v>4.6059984521145562E-2</v>
      </c>
      <c r="AD18" s="2">
        <f t="shared" si="18"/>
        <v>1.0650370909845299E-2</v>
      </c>
      <c r="AE18" s="2">
        <f t="shared" si="18"/>
        <v>4.6287151163507192E-3</v>
      </c>
      <c r="AF18" s="2">
        <f t="shared" si="18"/>
        <v>0.88083896408859086</v>
      </c>
      <c r="AG18" s="2">
        <f>_xlfn.STDEV.S(AG7:AG13)</f>
        <v>3.039423504234851</v>
      </c>
      <c r="AH18" s="2">
        <f>_xlfn.STDEV.S(AH7:AH13)</f>
        <v>0.25116019071606671</v>
      </c>
    </row>
    <row r="19" spans="1:36" x14ac:dyDescent="0.35">
      <c r="B19" s="2"/>
      <c r="C19" s="2"/>
      <c r="D19" s="2"/>
      <c r="E19" s="2"/>
      <c r="F19" s="13"/>
      <c r="G19" s="49" t="s">
        <v>94</v>
      </c>
      <c r="H19" s="2">
        <f>_xlfn.STDEV.S(H7:H15)</f>
        <v>1.1848091212136698</v>
      </c>
      <c r="I19" s="2">
        <f t="shared" ref="I19:N19" si="19">_xlfn.STDEV.S(I7:I14)</f>
        <v>2.3460839304432275</v>
      </c>
      <c r="J19" s="2">
        <f t="shared" si="19"/>
        <v>9.3854231673870511E-2</v>
      </c>
      <c r="K19" s="2">
        <f t="shared" si="19"/>
        <v>9.3854231673871191E-2</v>
      </c>
      <c r="L19" s="2">
        <f t="shared" si="19"/>
        <v>7.1106242470964809E-2</v>
      </c>
      <c r="M19" s="2">
        <f t="shared" si="19"/>
        <v>1.0464505150564563E-2</v>
      </c>
      <c r="N19" s="2">
        <f t="shared" si="19"/>
        <v>2.3515830020389608</v>
      </c>
      <c r="O19" s="2">
        <f>_xlfn.STDEV.S(O7:O15)</f>
        <v>6.0575939484620838</v>
      </c>
      <c r="P19" s="2">
        <f>_xlfn.STDEV.S(P7:P15)</f>
        <v>0.30167758697488828</v>
      </c>
      <c r="Y19" s="49" t="s">
        <v>95</v>
      </c>
      <c r="Z19" s="2">
        <f>Z18/(SQRT(6))</f>
        <v>0.16636083821353859</v>
      </c>
      <c r="AA19" s="2">
        <f t="shared" ref="AA19:AF19" si="20">AA18/(SQRT(6))</f>
        <v>0.42066854665520348</v>
      </c>
      <c r="AB19" s="2">
        <f t="shared" si="20"/>
        <v>1.8803909939549654E-2</v>
      </c>
      <c r="AC19" s="2">
        <f t="shared" si="20"/>
        <v>1.8803909939549671E-2</v>
      </c>
      <c r="AD19" s="2">
        <f t="shared" si="20"/>
        <v>4.3479957167504007E-3</v>
      </c>
      <c r="AE19" s="2">
        <f t="shared" si="20"/>
        <v>1.8896650332944221E-3</v>
      </c>
      <c r="AF19" s="2">
        <f t="shared" si="20"/>
        <v>0.35960100126312727</v>
      </c>
      <c r="AG19" s="2">
        <f>AG18/(SQRT(COUNT(AG7:AG13)))</f>
        <v>1.1487941030299842</v>
      </c>
      <c r="AH19" s="2">
        <f>AH18/(SQRT(COUNT(AH7:AH13)))</f>
        <v>9.4929629124895151E-2</v>
      </c>
    </row>
    <row r="20" spans="1:36" x14ac:dyDescent="0.35">
      <c r="B20" s="2"/>
      <c r="C20" s="2"/>
      <c r="D20" s="2"/>
      <c r="E20" s="2"/>
      <c r="F20" s="13"/>
      <c r="G20" s="49" t="s">
        <v>95</v>
      </c>
      <c r="H20" s="2">
        <f>H19/(SQRT(COUNT(H7:H15)))</f>
        <v>0.39493637373788992</v>
      </c>
      <c r="I20" s="2">
        <f t="shared" ref="I20:N20" si="21">I19/(SQRT(COUNT(I7:I14)))</f>
        <v>0.8294659282245973</v>
      </c>
      <c r="J20" s="2">
        <f t="shared" si="21"/>
        <v>3.3182481829823543E-2</v>
      </c>
      <c r="K20" s="2">
        <f t="shared" si="21"/>
        <v>3.3182481829823786E-2</v>
      </c>
      <c r="L20" s="2">
        <f t="shared" si="21"/>
        <v>2.5139853117957051E-2</v>
      </c>
      <c r="M20" s="2">
        <f t="shared" si="21"/>
        <v>3.6997612768628779E-3</v>
      </c>
      <c r="N20" s="2">
        <f t="shared" si="21"/>
        <v>0.83141014363238397</v>
      </c>
      <c r="O20" s="2">
        <f>O19/(SQRT(COUNT(O7:O15)))</f>
        <v>2.0191979828206947</v>
      </c>
      <c r="P20" s="2">
        <f>P19/(SQRT(COUNT(P7:P15)))</f>
        <v>0.10055919565829609</v>
      </c>
    </row>
    <row r="21" spans="1:36" x14ac:dyDescent="0.35">
      <c r="B21" s="2"/>
      <c r="C21" s="2"/>
      <c r="D21" s="2"/>
      <c r="E21" s="2"/>
      <c r="F21" s="13"/>
      <c r="G21" s="13"/>
      <c r="H21" s="2"/>
      <c r="I21" s="2"/>
      <c r="J21" s="2"/>
      <c r="K21" s="2"/>
      <c r="L21" s="2"/>
      <c r="M21" s="2"/>
      <c r="N21" s="2"/>
      <c r="O21" s="2"/>
    </row>
    <row r="22" spans="1:36" x14ac:dyDescent="0.35">
      <c r="B22" s="2"/>
      <c r="C22" s="2"/>
      <c r="D22" s="2"/>
      <c r="E22" s="2"/>
      <c r="F22" s="13"/>
      <c r="G22" s="13"/>
      <c r="H22" s="2"/>
      <c r="I22" s="2"/>
      <c r="J22" s="2"/>
      <c r="K22" s="2"/>
      <c r="L22" s="2"/>
      <c r="M22" s="2"/>
      <c r="N22" s="2"/>
      <c r="O22" s="2"/>
    </row>
    <row r="23" spans="1:36" x14ac:dyDescent="0.35">
      <c r="B23" s="2"/>
      <c r="C23" s="2"/>
      <c r="D23" s="2"/>
      <c r="E23" s="2"/>
      <c r="F23" s="2"/>
      <c r="G23" s="2"/>
      <c r="H23" s="2"/>
      <c r="I23" s="2"/>
      <c r="J23" s="2"/>
      <c r="K23" s="2"/>
      <c r="L23" s="2"/>
      <c r="M23" s="2"/>
      <c r="N23" s="2"/>
      <c r="O23" s="2"/>
    </row>
    <row r="24" spans="1:36" x14ac:dyDescent="0.35">
      <c r="B24" s="2"/>
      <c r="C24" s="2"/>
      <c r="D24" s="2"/>
      <c r="E24" s="2"/>
      <c r="F24" s="2"/>
      <c r="G24" s="2"/>
      <c r="H24" s="49"/>
      <c r="I24" s="49"/>
      <c r="J24" s="49"/>
      <c r="K24" s="49"/>
      <c r="L24" s="49"/>
      <c r="M24" s="49"/>
      <c r="N24" s="49"/>
      <c r="O24" s="2"/>
    </row>
    <row r="25" spans="1:36" x14ac:dyDescent="0.35">
      <c r="A25" s="8"/>
      <c r="B25" s="6" t="s">
        <v>24</v>
      </c>
      <c r="D25" s="2"/>
      <c r="E25" s="2"/>
      <c r="F25" s="2"/>
      <c r="G25" s="2"/>
      <c r="H25" s="2"/>
      <c r="I25" s="2"/>
      <c r="J25" s="2"/>
      <c r="K25" s="2"/>
      <c r="L25" s="2"/>
      <c r="M25" s="2"/>
      <c r="N25" s="2"/>
      <c r="O25" s="2"/>
    </row>
    <row r="26" spans="1:36" x14ac:dyDescent="0.35">
      <c r="A26" s="7"/>
      <c r="B26" s="6" t="s">
        <v>72</v>
      </c>
      <c r="D26" s="2"/>
      <c r="E26" s="2"/>
      <c r="F26" s="2"/>
      <c r="G26" s="2"/>
      <c r="H26" s="2"/>
      <c r="I26" s="2"/>
      <c r="J26" s="2"/>
      <c r="K26" s="2"/>
      <c r="L26" s="2"/>
      <c r="M26" s="2"/>
      <c r="N26" s="2"/>
      <c r="O26" s="2"/>
    </row>
    <row r="27" spans="1:36" x14ac:dyDescent="0.35">
      <c r="B27" s="2"/>
      <c r="C27" s="2"/>
      <c r="D27" s="2"/>
      <c r="E27" s="2"/>
      <c r="F27" s="2"/>
      <c r="G27" s="2"/>
      <c r="H27" s="2"/>
      <c r="I27" s="2"/>
      <c r="J27" s="2"/>
      <c r="K27" s="2"/>
      <c r="L27" s="2"/>
      <c r="M27" s="2"/>
      <c r="N27" s="2"/>
      <c r="O27" s="2"/>
    </row>
    <row r="28" spans="1:36" ht="18.5" x14ac:dyDescent="0.45">
      <c r="B28" s="2"/>
      <c r="C28" s="2"/>
      <c r="D28" s="2"/>
      <c r="E28" s="2"/>
      <c r="F28" s="1" t="s">
        <v>22</v>
      </c>
      <c r="G28" s="2"/>
      <c r="H28" s="2"/>
      <c r="I28" s="2"/>
      <c r="J28" s="2"/>
      <c r="K28" s="2"/>
      <c r="L28" s="2"/>
      <c r="M28" s="2"/>
      <c r="N28" s="2"/>
      <c r="O28" s="2"/>
      <c r="X28" s="1" t="s">
        <v>275</v>
      </c>
      <c r="Y28" s="3"/>
      <c r="Z28" s="3"/>
      <c r="AA28" s="3"/>
      <c r="AB28" s="3"/>
      <c r="AC28" s="3"/>
      <c r="AD28" s="3"/>
      <c r="AE28" s="3"/>
      <c r="AF28" s="3"/>
      <c r="AG28" s="3"/>
    </row>
    <row r="29" spans="1:36" ht="16" thickBot="1" x14ac:dyDescent="0.4">
      <c r="B29" s="9" t="s">
        <v>18</v>
      </c>
      <c r="C29" s="9" t="s">
        <v>17</v>
      </c>
      <c r="D29" s="9" t="s">
        <v>20</v>
      </c>
      <c r="E29" s="5"/>
      <c r="F29" s="9" t="s">
        <v>1</v>
      </c>
      <c r="G29" s="9" t="s">
        <v>2</v>
      </c>
      <c r="H29" s="9" t="s">
        <v>3</v>
      </c>
      <c r="I29" s="9" t="s">
        <v>4</v>
      </c>
      <c r="J29" s="9" t="s">
        <v>5</v>
      </c>
      <c r="K29" s="9" t="s">
        <v>6</v>
      </c>
      <c r="L29" s="9" t="s">
        <v>7</v>
      </c>
      <c r="M29" s="9" t="s">
        <v>8</v>
      </c>
      <c r="N29" s="9" t="s">
        <v>9</v>
      </c>
      <c r="O29" s="9" t="s">
        <v>10</v>
      </c>
      <c r="P29" s="44" t="s">
        <v>139</v>
      </c>
      <c r="R29" s="44" t="s">
        <v>134</v>
      </c>
      <c r="X29" s="9" t="s">
        <v>1</v>
      </c>
      <c r="Y29" s="9" t="s">
        <v>2</v>
      </c>
      <c r="Z29" s="9" t="s">
        <v>3</v>
      </c>
      <c r="AA29" s="9" t="s">
        <v>4</v>
      </c>
      <c r="AB29" s="9" t="s">
        <v>5</v>
      </c>
      <c r="AC29" s="9" t="s">
        <v>6</v>
      </c>
      <c r="AD29" s="9" t="s">
        <v>7</v>
      </c>
      <c r="AE29" s="9" t="s">
        <v>8</v>
      </c>
      <c r="AF29" s="9" t="s">
        <v>9</v>
      </c>
      <c r="AG29" s="9" t="s">
        <v>10</v>
      </c>
      <c r="AH29" s="44" t="s">
        <v>139</v>
      </c>
      <c r="AJ29" s="44" t="s">
        <v>138</v>
      </c>
    </row>
    <row r="30" spans="1:36" x14ac:dyDescent="0.35">
      <c r="B30" s="145"/>
      <c r="C30" s="146"/>
      <c r="D30" s="147"/>
      <c r="E30" s="13"/>
      <c r="F30" s="148">
        <v>6.6549999999999998E-2</v>
      </c>
      <c r="G30" s="13">
        <v>5.3464299999999998</v>
      </c>
      <c r="H30" s="2">
        <f>G30-F30</f>
        <v>5.2798799999999995</v>
      </c>
      <c r="I30" s="2">
        <f>F31-G30</f>
        <v>7.7432099999999995</v>
      </c>
      <c r="J30" s="2">
        <f>H30/N30</f>
        <v>0.40542451906575167</v>
      </c>
      <c r="K30" s="2">
        <f>I30/N30</f>
        <v>0.59457548093424828</v>
      </c>
      <c r="L30" s="2">
        <f>1/H30</f>
        <v>0.18939824389948259</v>
      </c>
      <c r="M30" s="2">
        <f>1/N30</f>
        <v>7.678669194484565E-2</v>
      </c>
      <c r="N30" s="2">
        <f>H30+I30</f>
        <v>13.02309</v>
      </c>
      <c r="O30" s="2">
        <v>29</v>
      </c>
      <c r="P30">
        <f t="shared" ref="P30:P41" si="22">O30/H30</f>
        <v>5.4925490730849953</v>
      </c>
      <c r="R30" t="s">
        <v>212</v>
      </c>
      <c r="W30" s="144" t="s">
        <v>235</v>
      </c>
      <c r="X30" s="144">
        <v>6.8162799999999999</v>
      </c>
      <c r="Y30" s="144">
        <v>13.098089999999999</v>
      </c>
      <c r="Z30" s="91">
        <f>Y30-X30</f>
        <v>6.2818099999999992</v>
      </c>
      <c r="AA30" s="91">
        <f>X31-Y30</f>
        <v>11.82724</v>
      </c>
      <c r="AB30" s="91">
        <f>Z30/AF30</f>
        <v>0.34688788202583787</v>
      </c>
      <c r="AC30" s="91">
        <f>AA30/AF30</f>
        <v>0.65311211797416213</v>
      </c>
      <c r="AD30" s="91">
        <f>1/Z30</f>
        <v>0.15918978765674227</v>
      </c>
      <c r="AE30" s="91">
        <f>1/AF30</f>
        <v>5.5221008280390192E-2</v>
      </c>
      <c r="AF30" s="91">
        <f>Z30+AA30</f>
        <v>18.10905</v>
      </c>
      <c r="AG30">
        <v>54</v>
      </c>
      <c r="AH30">
        <f>AG30/Z30</f>
        <v>8.5962485334640828</v>
      </c>
      <c r="AJ30" t="s">
        <v>145</v>
      </c>
    </row>
    <row r="31" spans="1:36" s="85" customFormat="1" x14ac:dyDescent="0.35">
      <c r="F31" s="144">
        <v>13.089639999999999</v>
      </c>
      <c r="G31" s="144">
        <v>15.08963</v>
      </c>
      <c r="H31" s="91">
        <f t="shared" ref="H31:H37" si="23">G31-F31</f>
        <v>1.9999900000000004</v>
      </c>
      <c r="I31" s="91">
        <f t="shared" ref="I31:I37" si="24">F32-G31</f>
        <v>7.9147400000000019</v>
      </c>
      <c r="J31" s="91">
        <f t="shared" ref="J31:J37" si="25">H31/N31</f>
        <v>0.20171905841107118</v>
      </c>
      <c r="K31" s="91">
        <f t="shared" ref="K31:K37" si="26">I31/N31</f>
        <v>0.79828094158892882</v>
      </c>
      <c r="L31" s="91">
        <f t="shared" ref="L31:L37" si="27">1/H31</f>
        <v>0.50000250001250002</v>
      </c>
      <c r="M31" s="91">
        <f t="shared" ref="M31:M37" si="28">1/N31</f>
        <v>0.10086003350570311</v>
      </c>
      <c r="N31" s="91">
        <f t="shared" ref="N31:N37" si="29">H31+I31</f>
        <v>9.9147300000000023</v>
      </c>
      <c r="O31" s="144">
        <v>15</v>
      </c>
      <c r="P31" s="144">
        <f t="shared" si="22"/>
        <v>7.5000375001874993</v>
      </c>
      <c r="Q31" s="144"/>
      <c r="U31"/>
      <c r="X31" s="85">
        <v>24.925329999999999</v>
      </c>
      <c r="Y31" s="85">
        <v>31.568020000000001</v>
      </c>
      <c r="Z31" s="2">
        <f t="shared" ref="Z31:Z42" si="30">Y31-X31</f>
        <v>6.6426900000000018</v>
      </c>
      <c r="AA31" s="2">
        <f t="shared" ref="AA31:AA41" si="31">X32-Y31</f>
        <v>7.1020199999999996</v>
      </c>
      <c r="AB31" s="2">
        <f t="shared" ref="AB31:AB41" si="32">Z31/AF31</f>
        <v>0.483290662371196</v>
      </c>
      <c r="AC31" s="2">
        <f t="shared" ref="AC31:AC41" si="33">AA31/AF31</f>
        <v>0.516709337628804</v>
      </c>
      <c r="AD31" s="2">
        <f t="shared" ref="AD31:AD41" si="34">1/Z31</f>
        <v>0.15054142222503228</v>
      </c>
      <c r="AE31" s="2">
        <f t="shared" ref="AE31:AE41" si="35">1/AF31</f>
        <v>7.2755263661437738E-2</v>
      </c>
      <c r="AF31" s="2">
        <f t="shared" ref="AF31:AF41" si="36">Z31+AA31</f>
        <v>13.744710000000001</v>
      </c>
      <c r="AG31" s="85">
        <v>55</v>
      </c>
      <c r="AH31">
        <f t="shared" ref="AH31:AH41" si="37">AG31/Z31</f>
        <v>8.2797782223767751</v>
      </c>
    </row>
    <row r="32" spans="1:36" s="85" customFormat="1" x14ac:dyDescent="0.35">
      <c r="F32" s="85">
        <v>23.004370000000002</v>
      </c>
      <c r="G32" s="85">
        <v>28.17942</v>
      </c>
      <c r="H32" s="2">
        <f t="shared" si="23"/>
        <v>5.1750499999999988</v>
      </c>
      <c r="I32" s="2">
        <f t="shared" si="24"/>
        <v>8.1786699999999968</v>
      </c>
      <c r="J32" s="2">
        <f t="shared" si="25"/>
        <v>0.38753620713928405</v>
      </c>
      <c r="K32" s="2">
        <f t="shared" si="26"/>
        <v>0.61246379286071595</v>
      </c>
      <c r="L32" s="2">
        <f t="shared" si="27"/>
        <v>0.19323484797248341</v>
      </c>
      <c r="M32" s="2">
        <f t="shared" si="28"/>
        <v>7.4885500070392394E-2</v>
      </c>
      <c r="N32" s="2">
        <f t="shared" si="29"/>
        <v>13.353719999999996</v>
      </c>
      <c r="O32" s="85">
        <v>29</v>
      </c>
      <c r="P32">
        <f t="shared" si="22"/>
        <v>5.6038105912020191</v>
      </c>
      <c r="U32"/>
      <c r="W32" s="144" t="s">
        <v>235</v>
      </c>
      <c r="X32" s="144">
        <v>38.67004</v>
      </c>
      <c r="Y32" s="144">
        <v>45.279989999999998</v>
      </c>
      <c r="Z32" s="91">
        <f t="shared" si="30"/>
        <v>6.6099499999999978</v>
      </c>
      <c r="AA32" s="91">
        <f t="shared" si="31"/>
        <v>13.829440000000005</v>
      </c>
      <c r="AB32" s="91">
        <f t="shared" si="32"/>
        <v>0.32339272355975385</v>
      </c>
      <c r="AC32" s="91">
        <f t="shared" si="33"/>
        <v>0.67660727644024621</v>
      </c>
      <c r="AD32" s="91">
        <f t="shared" si="34"/>
        <v>0.15128707478876546</v>
      </c>
      <c r="AE32" s="91">
        <f t="shared" si="35"/>
        <v>4.8925139155327035E-2</v>
      </c>
      <c r="AF32" s="91">
        <f t="shared" si="36"/>
        <v>20.439390000000003</v>
      </c>
      <c r="AG32" s="85">
        <v>53</v>
      </c>
      <c r="AH32">
        <f t="shared" si="37"/>
        <v>8.0182149638045708</v>
      </c>
    </row>
    <row r="33" spans="5:36" s="85" customFormat="1" x14ac:dyDescent="0.35">
      <c r="E33" s="85" t="s">
        <v>211</v>
      </c>
      <c r="F33" s="144">
        <v>36.358089999999997</v>
      </c>
      <c r="G33" s="144">
        <v>38.916339999999998</v>
      </c>
      <c r="H33" s="91">
        <f t="shared" si="23"/>
        <v>2.558250000000001</v>
      </c>
      <c r="I33" s="91">
        <f t="shared" si="24"/>
        <v>10.63749</v>
      </c>
      <c r="J33" s="91">
        <f t="shared" si="25"/>
        <v>0.19386938511974325</v>
      </c>
      <c r="K33" s="91">
        <f t="shared" si="26"/>
        <v>0.80613061488025672</v>
      </c>
      <c r="L33" s="91">
        <f t="shared" si="27"/>
        <v>0.39089221147268627</v>
      </c>
      <c r="M33" s="91">
        <f t="shared" si="28"/>
        <v>7.578203268630633E-2</v>
      </c>
      <c r="N33" s="91">
        <f t="shared" si="29"/>
        <v>13.195740000000001</v>
      </c>
      <c r="O33" s="144">
        <v>16</v>
      </c>
      <c r="P33" s="144">
        <f t="shared" si="22"/>
        <v>6.2542753835629803</v>
      </c>
      <c r="Q33" s="144"/>
      <c r="U33"/>
      <c r="X33" s="85">
        <v>59.109430000000003</v>
      </c>
      <c r="Y33" s="85">
        <v>66.069419999999994</v>
      </c>
      <c r="Z33" s="2">
        <f t="shared" si="30"/>
        <v>6.9599899999999906</v>
      </c>
      <c r="AA33" s="2">
        <f t="shared" si="31"/>
        <v>8.0082100000000054</v>
      </c>
      <c r="AB33" s="2">
        <f t="shared" si="32"/>
        <v>0.46498510174904079</v>
      </c>
      <c r="AC33" s="2">
        <f t="shared" si="33"/>
        <v>0.53501489825095916</v>
      </c>
      <c r="AD33" s="2">
        <f t="shared" si="34"/>
        <v>0.14367836735397627</v>
      </c>
      <c r="AE33" s="2">
        <f t="shared" si="35"/>
        <v>6.6808300263224721E-2</v>
      </c>
      <c r="AF33" s="2">
        <f t="shared" si="36"/>
        <v>14.968199999999996</v>
      </c>
      <c r="AG33" s="85">
        <v>56</v>
      </c>
      <c r="AH33">
        <f t="shared" si="37"/>
        <v>8.0459885718226722</v>
      </c>
    </row>
    <row r="34" spans="5:36" s="85" customFormat="1" x14ac:dyDescent="0.35">
      <c r="F34" s="85">
        <v>49.553829999999998</v>
      </c>
      <c r="G34" s="85">
        <v>54.507759999999998</v>
      </c>
      <c r="H34" s="2">
        <f t="shared" si="23"/>
        <v>4.9539299999999997</v>
      </c>
      <c r="I34" s="2">
        <f t="shared" si="24"/>
        <v>7.2262800000000027</v>
      </c>
      <c r="J34" s="2">
        <f t="shared" si="25"/>
        <v>0.40671958857852192</v>
      </c>
      <c r="K34" s="2">
        <f t="shared" si="26"/>
        <v>0.59328041142147803</v>
      </c>
      <c r="L34" s="2">
        <f t="shared" si="27"/>
        <v>0.20185993746379138</v>
      </c>
      <c r="M34" s="2">
        <f t="shared" si="28"/>
        <v>8.2100390715759405E-2</v>
      </c>
      <c r="N34" s="2">
        <f t="shared" si="29"/>
        <v>12.180210000000002</v>
      </c>
      <c r="O34" s="85">
        <v>31</v>
      </c>
      <c r="P34">
        <f t="shared" si="22"/>
        <v>6.2576580613775326</v>
      </c>
      <c r="U34"/>
      <c r="X34" s="85">
        <v>74.077629999999999</v>
      </c>
      <c r="Y34" s="85">
        <v>81.721289999999996</v>
      </c>
      <c r="Z34" s="2">
        <f t="shared" si="30"/>
        <v>7.643659999999997</v>
      </c>
      <c r="AA34" s="2">
        <f t="shared" si="31"/>
        <v>7.3933800000000076</v>
      </c>
      <c r="AB34" s="2">
        <f t="shared" si="32"/>
        <v>0.50832211658677473</v>
      </c>
      <c r="AC34" s="2">
        <f t="shared" si="33"/>
        <v>0.49167788341322533</v>
      </c>
      <c r="AD34" s="2">
        <f t="shared" si="34"/>
        <v>0.13082737850715501</v>
      </c>
      <c r="AE34" s="2">
        <f t="shared" si="35"/>
        <v>6.6502449950256143E-2</v>
      </c>
      <c r="AF34" s="2">
        <f t="shared" si="36"/>
        <v>15.037040000000005</v>
      </c>
      <c r="AG34" s="85">
        <v>60</v>
      </c>
      <c r="AH34">
        <f t="shared" si="37"/>
        <v>7.8496427104292996</v>
      </c>
    </row>
    <row r="35" spans="5:36" s="85" customFormat="1" x14ac:dyDescent="0.35">
      <c r="E35" s="85" t="s">
        <v>211</v>
      </c>
      <c r="F35" s="144">
        <v>61.73404</v>
      </c>
      <c r="G35" s="144">
        <v>64.67877</v>
      </c>
      <c r="H35" s="91">
        <f t="shared" si="23"/>
        <v>2.9447299999999998</v>
      </c>
      <c r="I35" s="91">
        <f t="shared" si="24"/>
        <v>10.26634</v>
      </c>
      <c r="J35" s="91">
        <f t="shared" si="25"/>
        <v>0.22289867512623882</v>
      </c>
      <c r="K35" s="91">
        <f t="shared" si="26"/>
        <v>0.77710132487376116</v>
      </c>
      <c r="L35" s="91">
        <f t="shared" si="27"/>
        <v>0.33958970771513858</v>
      </c>
      <c r="M35" s="91">
        <f t="shared" si="28"/>
        <v>7.569409593621107E-2</v>
      </c>
      <c r="N35" s="91">
        <f t="shared" si="29"/>
        <v>13.211069999999999</v>
      </c>
      <c r="O35" s="144">
        <v>16</v>
      </c>
      <c r="P35" s="144">
        <f t="shared" si="22"/>
        <v>5.4334353234422172</v>
      </c>
      <c r="Q35" s="144"/>
      <c r="U35"/>
      <c r="W35" s="144" t="s">
        <v>235</v>
      </c>
      <c r="X35" s="144">
        <v>89.114670000000004</v>
      </c>
      <c r="Y35" s="144">
        <v>95.69117</v>
      </c>
      <c r="Z35" s="91">
        <f t="shared" si="30"/>
        <v>6.5764999999999958</v>
      </c>
      <c r="AA35" s="91">
        <f t="shared" si="31"/>
        <v>13.049199999999999</v>
      </c>
      <c r="AB35" s="91">
        <f t="shared" si="32"/>
        <v>0.33509632777429582</v>
      </c>
      <c r="AC35" s="91">
        <f t="shared" si="33"/>
        <v>0.66490367222570412</v>
      </c>
      <c r="AD35" s="91">
        <f t="shared" si="34"/>
        <v>0.15205656504219581</v>
      </c>
      <c r="AE35" s="91">
        <f t="shared" si="35"/>
        <v>5.0953596559613172E-2</v>
      </c>
      <c r="AF35" s="91">
        <f t="shared" si="36"/>
        <v>19.625699999999995</v>
      </c>
      <c r="AG35" s="85">
        <v>60</v>
      </c>
      <c r="AH35">
        <f t="shared" si="37"/>
        <v>9.1233939025317472</v>
      </c>
    </row>
    <row r="36" spans="5:36" s="85" customFormat="1" x14ac:dyDescent="0.35">
      <c r="F36" s="85">
        <v>74.94511</v>
      </c>
      <c r="G36" s="85">
        <v>80.243070000000003</v>
      </c>
      <c r="H36" s="2">
        <f t="shared" si="23"/>
        <v>5.2979600000000033</v>
      </c>
      <c r="I36" s="2">
        <f t="shared" si="24"/>
        <v>7.7762599999999935</v>
      </c>
      <c r="J36" s="2">
        <f t="shared" si="25"/>
        <v>0.40522187939318788</v>
      </c>
      <c r="K36" s="2">
        <f t="shared" si="26"/>
        <v>0.59477812060681212</v>
      </c>
      <c r="L36" s="2">
        <f t="shared" si="27"/>
        <v>0.1887518969565643</v>
      </c>
      <c r="M36" s="2">
        <f t="shared" si="28"/>
        <v>7.6486398423768323E-2</v>
      </c>
      <c r="N36" s="2">
        <f t="shared" si="29"/>
        <v>13.074219999999997</v>
      </c>
      <c r="O36" s="85">
        <v>24</v>
      </c>
      <c r="P36">
        <f t="shared" si="22"/>
        <v>4.5300455269575428</v>
      </c>
      <c r="U36"/>
      <c r="X36" s="85">
        <v>108.74037</v>
      </c>
      <c r="Y36" s="85">
        <v>115.29447</v>
      </c>
      <c r="Z36" s="2">
        <f t="shared" si="30"/>
        <v>6.5541000000000054</v>
      </c>
      <c r="AA36" s="2">
        <f t="shared" si="31"/>
        <v>9.4687399999999968</v>
      </c>
      <c r="AB36" s="2">
        <f t="shared" si="32"/>
        <v>0.40904733492938855</v>
      </c>
      <c r="AC36" s="2">
        <f t="shared" si="33"/>
        <v>0.59095266507061139</v>
      </c>
      <c r="AD36" s="2">
        <f t="shared" si="34"/>
        <v>0.15257624998092784</v>
      </c>
      <c r="AE36" s="2">
        <f t="shared" si="35"/>
        <v>6.2410908428218712E-2</v>
      </c>
      <c r="AF36" s="2">
        <f t="shared" si="36"/>
        <v>16.022840000000002</v>
      </c>
      <c r="AG36" s="85">
        <v>55</v>
      </c>
      <c r="AH36">
        <f t="shared" si="37"/>
        <v>8.391693748951031</v>
      </c>
    </row>
    <row r="37" spans="5:36" s="85" customFormat="1" x14ac:dyDescent="0.35">
      <c r="F37" s="144">
        <v>88.019329999999997</v>
      </c>
      <c r="G37" s="144">
        <v>89.835549999999998</v>
      </c>
      <c r="H37" s="91">
        <f t="shared" si="23"/>
        <v>1.8162200000000013</v>
      </c>
      <c r="I37" s="91">
        <f t="shared" si="24"/>
        <v>9.1186600000000055</v>
      </c>
      <c r="J37" s="91">
        <f t="shared" si="25"/>
        <v>0.16609418667603121</v>
      </c>
      <c r="K37" s="91">
        <f t="shared" si="26"/>
        <v>0.83390581332396874</v>
      </c>
      <c r="L37" s="91">
        <f t="shared" si="27"/>
        <v>0.55059409102421475</v>
      </c>
      <c r="M37" s="91">
        <f t="shared" si="28"/>
        <v>9.1450477737295643E-2</v>
      </c>
      <c r="N37" s="91">
        <f t="shared" si="29"/>
        <v>10.934880000000007</v>
      </c>
      <c r="O37" s="144">
        <v>16</v>
      </c>
      <c r="P37" s="144">
        <f t="shared" si="22"/>
        <v>8.809505456387436</v>
      </c>
      <c r="Q37" s="144"/>
      <c r="U37"/>
      <c r="W37" s="144" t="s">
        <v>235</v>
      </c>
      <c r="X37" s="144">
        <v>124.76321</v>
      </c>
      <c r="Y37" s="144">
        <v>131.32525000000001</v>
      </c>
      <c r="Z37" s="91">
        <f t="shared" si="30"/>
        <v>6.5620400000000103</v>
      </c>
      <c r="AA37" s="91">
        <f t="shared" si="31"/>
        <v>14.581739999999996</v>
      </c>
      <c r="AB37" s="91">
        <f t="shared" si="32"/>
        <v>0.31035321025852558</v>
      </c>
      <c r="AC37" s="91">
        <f t="shared" si="33"/>
        <v>0.68964678974147442</v>
      </c>
      <c r="AD37" s="91">
        <f t="shared" si="34"/>
        <v>0.15239163430884275</v>
      </c>
      <c r="AE37" s="91">
        <f t="shared" si="35"/>
        <v>4.7295232924292614E-2</v>
      </c>
      <c r="AF37" s="91">
        <f t="shared" si="36"/>
        <v>21.143780000000007</v>
      </c>
      <c r="AG37" s="85">
        <v>52</v>
      </c>
      <c r="AH37">
        <f t="shared" si="37"/>
        <v>7.9243649840598227</v>
      </c>
      <c r="AJ37" t="s">
        <v>146</v>
      </c>
    </row>
    <row r="38" spans="5:36" s="85" customFormat="1" x14ac:dyDescent="0.35">
      <c r="F38" s="85">
        <v>98.954210000000003</v>
      </c>
      <c r="G38" s="85">
        <v>104.21398000000001</v>
      </c>
      <c r="H38" s="2">
        <f>G38-F38</f>
        <v>5.2597700000000032</v>
      </c>
      <c r="I38" s="2">
        <f>F39-G38</f>
        <v>9.2990399999999909</v>
      </c>
      <c r="J38" s="2">
        <f>H38/N38</f>
        <v>0.36127746704572733</v>
      </c>
      <c r="K38" s="2">
        <f>I38/N38</f>
        <v>0.63872253295427273</v>
      </c>
      <c r="L38" s="2">
        <f>1/H38</f>
        <v>0.19012238177714982</v>
      </c>
      <c r="M38" s="2">
        <f>1/N38</f>
        <v>6.868693251714944E-2</v>
      </c>
      <c r="N38" s="2">
        <f>H38+I38</f>
        <v>14.558809999999994</v>
      </c>
      <c r="O38" s="85">
        <v>31</v>
      </c>
      <c r="P38">
        <f t="shared" si="22"/>
        <v>5.8937938350916452</v>
      </c>
      <c r="U38"/>
      <c r="X38" s="85">
        <v>145.90699000000001</v>
      </c>
      <c r="Y38" s="85">
        <v>153.84571</v>
      </c>
      <c r="Z38" s="2">
        <f t="shared" si="30"/>
        <v>7.9387199999999893</v>
      </c>
      <c r="AA38" s="2">
        <f t="shared" si="31"/>
        <v>8.4508099999999899</v>
      </c>
      <c r="AB38" s="2">
        <f t="shared" si="32"/>
        <v>0.4843775263842221</v>
      </c>
      <c r="AC38" s="2">
        <f t="shared" si="33"/>
        <v>0.51562247361577795</v>
      </c>
      <c r="AD38" s="2">
        <f t="shared" si="34"/>
        <v>0.12596489106556238</v>
      </c>
      <c r="AE38" s="2">
        <f t="shared" si="35"/>
        <v>6.1014562345595102E-2</v>
      </c>
      <c r="AF38" s="2">
        <f t="shared" si="36"/>
        <v>16.389529999999979</v>
      </c>
      <c r="AG38" s="85">
        <v>61</v>
      </c>
      <c r="AH38">
        <f t="shared" si="37"/>
        <v>7.6838583549993045</v>
      </c>
    </row>
    <row r="39" spans="5:36" s="85" customFormat="1" x14ac:dyDescent="0.35">
      <c r="E39" s="85" t="s">
        <v>211</v>
      </c>
      <c r="F39" s="144">
        <v>113.51302</v>
      </c>
      <c r="G39" s="144">
        <v>116.00657</v>
      </c>
      <c r="H39" s="91">
        <f>G39-F39</f>
        <v>2.493549999999999</v>
      </c>
      <c r="I39" s="91">
        <f>F40-G39</f>
        <v>9.2034299999999973</v>
      </c>
      <c r="J39" s="91">
        <f>H39/N39</f>
        <v>0.21317895730350911</v>
      </c>
      <c r="K39" s="91">
        <f>I39/N39</f>
        <v>0.78682104269649089</v>
      </c>
      <c r="L39" s="91">
        <f>1/H39</f>
        <v>0.40103466944717386</v>
      </c>
      <c r="M39" s="91">
        <f>1/N39</f>
        <v>8.5492152675305966E-2</v>
      </c>
      <c r="N39" s="91">
        <f>H39+I39</f>
        <v>11.696979999999996</v>
      </c>
      <c r="O39" s="144">
        <v>18</v>
      </c>
      <c r="P39" s="144">
        <f t="shared" si="22"/>
        <v>7.2186240500491294</v>
      </c>
      <c r="Q39" s="144"/>
      <c r="U39"/>
      <c r="W39" s="144" t="s">
        <v>235</v>
      </c>
      <c r="X39" s="144">
        <v>162.29651999999999</v>
      </c>
      <c r="Y39" s="144">
        <v>169.25577000000001</v>
      </c>
      <c r="Z39" s="91">
        <f t="shared" si="30"/>
        <v>6.9592500000000257</v>
      </c>
      <c r="AA39" s="91">
        <f t="shared" si="31"/>
        <v>14.79289</v>
      </c>
      <c r="AB39" s="91">
        <f t="shared" si="32"/>
        <v>0.3199340386738968</v>
      </c>
      <c r="AC39" s="91">
        <f t="shared" si="33"/>
        <v>0.6800659613261032</v>
      </c>
      <c r="AD39" s="91">
        <f t="shared" si="34"/>
        <v>0.14369364514854277</v>
      </c>
      <c r="AE39" s="91">
        <f t="shared" si="35"/>
        <v>4.5972488224147089E-2</v>
      </c>
      <c r="AF39" s="91">
        <f t="shared" si="36"/>
        <v>21.752140000000026</v>
      </c>
      <c r="AG39" s="85">
        <v>56</v>
      </c>
      <c r="AH39">
        <f t="shared" si="37"/>
        <v>8.046844128318396</v>
      </c>
    </row>
    <row r="40" spans="5:36" s="85" customFormat="1" x14ac:dyDescent="0.35">
      <c r="E40" s="85" t="s">
        <v>211</v>
      </c>
      <c r="F40" s="144">
        <v>125.21</v>
      </c>
      <c r="G40" s="144">
        <v>128.1</v>
      </c>
      <c r="H40" s="91">
        <f>G40-F40</f>
        <v>2.8900000000000006</v>
      </c>
      <c r="I40" s="91">
        <f>F41-G40</f>
        <v>9.0500000000000114</v>
      </c>
      <c r="J40" s="91">
        <f>H40/N40</f>
        <v>0.24204355108877704</v>
      </c>
      <c r="K40" s="91">
        <f>I40/N40</f>
        <v>0.75795644891122294</v>
      </c>
      <c r="L40" s="91">
        <f>1/H40</f>
        <v>0.34602076124567466</v>
      </c>
      <c r="M40" s="91">
        <f>1/N40</f>
        <v>8.3752093802344982E-2</v>
      </c>
      <c r="N40" s="91">
        <f>H40+I40</f>
        <v>11.940000000000012</v>
      </c>
      <c r="O40" s="144">
        <v>10</v>
      </c>
      <c r="P40" s="144">
        <f t="shared" si="22"/>
        <v>3.4602076124567467</v>
      </c>
      <c r="Q40" s="144"/>
      <c r="R40" t="s">
        <v>213</v>
      </c>
      <c r="U40"/>
      <c r="X40" s="85">
        <v>184.04866000000001</v>
      </c>
      <c r="Y40" s="85">
        <v>190.86403999999999</v>
      </c>
      <c r="Z40" s="2">
        <f t="shared" si="30"/>
        <v>6.8153799999999762</v>
      </c>
      <c r="AA40" s="2">
        <f t="shared" si="31"/>
        <v>9.5827200000000232</v>
      </c>
      <c r="AB40" s="2">
        <f t="shared" si="32"/>
        <v>0.41562010232892693</v>
      </c>
      <c r="AC40" s="2">
        <f t="shared" si="33"/>
        <v>0.58437989767107312</v>
      </c>
      <c r="AD40" s="2">
        <f t="shared" si="34"/>
        <v>0.14672696166611451</v>
      </c>
      <c r="AE40" s="2">
        <f t="shared" si="35"/>
        <v>6.0982674822083048E-2</v>
      </c>
      <c r="AF40" s="2">
        <f t="shared" si="36"/>
        <v>16.398099999999999</v>
      </c>
      <c r="AG40" s="85">
        <v>51</v>
      </c>
      <c r="AH40">
        <f t="shared" si="37"/>
        <v>7.48307504497184</v>
      </c>
    </row>
    <row r="41" spans="5:36" s="85" customFormat="1" x14ac:dyDescent="0.35">
      <c r="E41" s="85" t="s">
        <v>211</v>
      </c>
      <c r="F41" s="144">
        <v>137.15</v>
      </c>
      <c r="G41" s="144">
        <v>140.35</v>
      </c>
      <c r="H41" s="91">
        <f>G41-F41</f>
        <v>3.1999999999999886</v>
      </c>
      <c r="I41" s="91">
        <f>F42-G41</f>
        <v>8.6899999999999977</v>
      </c>
      <c r="J41" s="91">
        <f>H41/N41</f>
        <v>0.26913372582001616</v>
      </c>
      <c r="K41" s="91">
        <f>I41/N41</f>
        <v>0.73086627417998384</v>
      </c>
      <c r="L41" s="91">
        <f>1/H41</f>
        <v>0.31250000000000111</v>
      </c>
      <c r="M41" s="91">
        <f>1/N41</f>
        <v>8.4104289318755354E-2</v>
      </c>
      <c r="N41" s="91">
        <f>H41+I41</f>
        <v>11.889999999999986</v>
      </c>
      <c r="O41" s="144">
        <v>10</v>
      </c>
      <c r="P41" s="144">
        <f t="shared" si="22"/>
        <v>3.1250000000000111</v>
      </c>
      <c r="Q41" s="144"/>
      <c r="U41"/>
      <c r="W41" s="144" t="s">
        <v>235</v>
      </c>
      <c r="X41" s="144">
        <v>200.44676000000001</v>
      </c>
      <c r="Y41" s="144">
        <v>207.35824</v>
      </c>
      <c r="Z41" s="91">
        <f t="shared" si="30"/>
        <v>6.9114799999999832</v>
      </c>
      <c r="AA41" s="91">
        <f t="shared" si="31"/>
        <v>15.092700000000008</v>
      </c>
      <c r="AB41" s="91">
        <f t="shared" si="32"/>
        <v>0.31409850310259169</v>
      </c>
      <c r="AC41" s="91">
        <f t="shared" si="33"/>
        <v>0.68590149689740831</v>
      </c>
      <c r="AD41" s="91">
        <f t="shared" si="34"/>
        <v>0.1446868109290633</v>
      </c>
      <c r="AE41" s="91">
        <f t="shared" si="35"/>
        <v>4.5445910731506486E-2</v>
      </c>
      <c r="AF41" s="91">
        <f t="shared" si="36"/>
        <v>22.004179999999991</v>
      </c>
      <c r="AG41" s="85">
        <v>61</v>
      </c>
      <c r="AH41">
        <f t="shared" si="37"/>
        <v>8.8258954666728613</v>
      </c>
    </row>
    <row r="42" spans="5:36" s="85" customFormat="1" x14ac:dyDescent="0.35">
      <c r="F42" s="85">
        <v>149.04</v>
      </c>
      <c r="G42" s="85">
        <v>154.16999999999999</v>
      </c>
      <c r="H42" s="13">
        <f>G42-F42</f>
        <v>5.1299999999999955</v>
      </c>
      <c r="I42" s="13"/>
      <c r="J42" s="13"/>
      <c r="K42" s="13"/>
      <c r="L42" s="13"/>
      <c r="M42" s="13"/>
      <c r="N42" s="13"/>
      <c r="X42" s="85">
        <v>222.45094</v>
      </c>
      <c r="Y42" s="85">
        <v>228.16956999999999</v>
      </c>
      <c r="Z42" s="2">
        <f t="shared" si="30"/>
        <v>5.7186299999999903</v>
      </c>
      <c r="AA42" s="2"/>
      <c r="AB42" s="2"/>
      <c r="AC42" s="2"/>
      <c r="AD42" s="2"/>
      <c r="AE42" s="2"/>
      <c r="AF42" s="2"/>
    </row>
    <row r="43" spans="5:36" s="85" customFormat="1" x14ac:dyDescent="0.35">
      <c r="H43" s="13"/>
      <c r="I43" s="13"/>
      <c r="J43" s="13"/>
      <c r="K43" s="13"/>
      <c r="L43" s="13"/>
      <c r="M43" s="13"/>
      <c r="N43" s="13"/>
    </row>
    <row r="44" spans="5:36" s="85" customFormat="1" x14ac:dyDescent="0.35">
      <c r="H44" s="13"/>
      <c r="I44" s="13"/>
      <c r="J44" s="13"/>
      <c r="K44" s="13"/>
      <c r="L44" s="13"/>
      <c r="M44" s="13"/>
      <c r="N44" s="13"/>
    </row>
    <row r="45" spans="5:36" s="85" customFormat="1" x14ac:dyDescent="0.35">
      <c r="H45" s="13"/>
      <c r="I45" s="13"/>
      <c r="J45" s="13"/>
      <c r="K45" s="13"/>
      <c r="L45" s="13"/>
      <c r="M45" s="13"/>
      <c r="N45" s="13"/>
    </row>
    <row r="46" spans="5:36" s="85" customFormat="1" ht="16" thickBot="1" x14ac:dyDescent="0.4">
      <c r="E46"/>
      <c r="F46"/>
      <c r="G46"/>
      <c r="H46" s="9" t="s">
        <v>3</v>
      </c>
      <c r="I46" s="9" t="s">
        <v>4</v>
      </c>
      <c r="J46" s="9" t="s">
        <v>5</v>
      </c>
      <c r="K46" s="9" t="s">
        <v>6</v>
      </c>
      <c r="L46" s="9" t="s">
        <v>7</v>
      </c>
      <c r="M46" s="9" t="s">
        <v>8</v>
      </c>
      <c r="N46" s="9" t="s">
        <v>9</v>
      </c>
      <c r="O46" s="9" t="s">
        <v>10</v>
      </c>
      <c r="P46" s="44" t="s">
        <v>139</v>
      </c>
      <c r="Q46"/>
      <c r="Y46" s="13"/>
      <c r="Z46" s="9" t="s">
        <v>3</v>
      </c>
      <c r="AA46" s="9" t="s">
        <v>4</v>
      </c>
      <c r="AB46" s="9" t="s">
        <v>5</v>
      </c>
      <c r="AC46" s="9" t="s">
        <v>6</v>
      </c>
      <c r="AD46" s="9" t="s">
        <v>7</v>
      </c>
      <c r="AE46" s="9" t="s">
        <v>8</v>
      </c>
      <c r="AF46" s="9" t="s">
        <v>9</v>
      </c>
      <c r="AG46" s="9" t="s">
        <v>10</v>
      </c>
      <c r="AH46" s="44" t="s">
        <v>139</v>
      </c>
    </row>
    <row r="47" spans="5:36" s="85" customFormat="1" x14ac:dyDescent="0.35">
      <c r="E47" s="104" t="s">
        <v>192</v>
      </c>
      <c r="F47"/>
      <c r="G47" s="49" t="s">
        <v>77</v>
      </c>
      <c r="H47" s="13">
        <f t="shared" ref="H47:P47" si="38">AVERAGE(H33,H35,H39,H40,H41)</f>
        <v>2.8173059999999976</v>
      </c>
      <c r="I47" s="13">
        <f t="shared" si="38"/>
        <v>9.5694520000000018</v>
      </c>
      <c r="J47" s="2">
        <f t="shared" si="38"/>
        <v>0.22822485889165689</v>
      </c>
      <c r="K47" s="2">
        <f t="shared" si="38"/>
        <v>0.77177514110834311</v>
      </c>
      <c r="L47" s="2">
        <f t="shared" si="38"/>
        <v>0.35800746997613492</v>
      </c>
      <c r="M47" s="2">
        <f t="shared" si="38"/>
        <v>8.0964932883784743E-2</v>
      </c>
      <c r="N47" s="2">
        <f t="shared" si="38"/>
        <v>12.386757999999999</v>
      </c>
      <c r="O47" s="2">
        <f t="shared" si="38"/>
        <v>14</v>
      </c>
      <c r="P47" s="2">
        <f t="shared" si="38"/>
        <v>5.0983084739022164</v>
      </c>
      <c r="Q47"/>
      <c r="W47" s="137" t="s">
        <v>125</v>
      </c>
      <c r="Y47" s="49" t="s">
        <v>77</v>
      </c>
      <c r="Z47" s="13">
        <f>AVERAGE(Z30,Z32,Z35,Z37,Z39,Z41)</f>
        <v>6.6501716666666688</v>
      </c>
      <c r="AA47" s="13">
        <f t="shared" ref="AA47:AH47" si="39">AVERAGE(AA30,AA32,AA35,AA37,AA39,AA41)</f>
        <v>13.862201666666669</v>
      </c>
      <c r="AB47" s="13">
        <f t="shared" si="39"/>
        <v>0.32496044756581693</v>
      </c>
      <c r="AC47" s="13">
        <f t="shared" si="39"/>
        <v>0.6750395524341829</v>
      </c>
      <c r="AD47" s="13">
        <f t="shared" si="39"/>
        <v>0.15055091964569206</v>
      </c>
      <c r="AE47" s="13">
        <f t="shared" si="39"/>
        <v>4.8968895979212772E-2</v>
      </c>
      <c r="AF47" s="13">
        <f t="shared" si="39"/>
        <v>20.512373333333336</v>
      </c>
      <c r="AG47" s="13">
        <f t="shared" si="39"/>
        <v>56</v>
      </c>
      <c r="AH47" s="13">
        <f t="shared" si="39"/>
        <v>8.4224936631419123</v>
      </c>
    </row>
    <row r="48" spans="5:36" s="85" customFormat="1" x14ac:dyDescent="0.35">
      <c r="E48" s="104"/>
      <c r="F48"/>
      <c r="G48" s="49" t="s">
        <v>94</v>
      </c>
      <c r="H48" s="13">
        <f>_xlfn.STDEV.S(H33,H35,H39,H40,H41)</f>
        <v>0.29150641061561217</v>
      </c>
      <c r="I48" s="13">
        <f t="shared" ref="I48:P48" si="40">_xlfn.STDEV.S(I33,I35,I39,I40,I41)</f>
        <v>0.83719716302075364</v>
      </c>
      <c r="J48" s="13">
        <f t="shared" si="40"/>
        <v>2.8720800883666193E-2</v>
      </c>
      <c r="K48" s="13">
        <f t="shared" si="40"/>
        <v>2.8720800883666315E-2</v>
      </c>
      <c r="L48" s="13">
        <f t="shared" si="40"/>
        <v>3.703569593694634E-2</v>
      </c>
      <c r="M48" s="13">
        <f t="shared" si="40"/>
        <v>4.8156962227026926E-3</v>
      </c>
      <c r="N48" s="13">
        <f t="shared" si="40"/>
        <v>0.75101548920112293</v>
      </c>
      <c r="O48" s="13">
        <f t="shared" si="40"/>
        <v>3.7416573867739413</v>
      </c>
      <c r="P48" s="13">
        <f t="shared" si="40"/>
        <v>1.7692956514816234</v>
      </c>
      <c r="Q48"/>
      <c r="Y48" s="49" t="s">
        <v>94</v>
      </c>
      <c r="Z48" s="2">
        <f>_xlfn.STDEV.S(Z30,Z32,Z35,Z37,Z39,Z41)</f>
        <v>0.25072465625994583</v>
      </c>
      <c r="AA48" s="2">
        <f t="shared" ref="AA48:AH48" si="41">_xlfn.STDEV.S(AA30,AA32,AA35,AA37,AA39,AA41)</f>
        <v>1.2410605429940433</v>
      </c>
      <c r="AB48" s="2">
        <f t="shared" si="41"/>
        <v>1.373043490775745E-2</v>
      </c>
      <c r="AC48" s="2">
        <f t="shared" si="41"/>
        <v>1.3730434907757461E-2</v>
      </c>
      <c r="AD48" s="2">
        <f t="shared" si="41"/>
        <v>5.6962645305123679E-3</v>
      </c>
      <c r="AE48" s="2">
        <f t="shared" si="41"/>
        <v>3.6666303820153683E-3</v>
      </c>
      <c r="AF48" s="2">
        <f t="shared" si="41"/>
        <v>1.4648318749080651</v>
      </c>
      <c r="AG48" s="2">
        <f t="shared" si="41"/>
        <v>3.7416573867739413</v>
      </c>
      <c r="AH48" s="2">
        <f t="shared" si="41"/>
        <v>0.49736725591950837</v>
      </c>
    </row>
    <row r="49" spans="1:36" s="85" customFormat="1" x14ac:dyDescent="0.35">
      <c r="E49" s="104"/>
      <c r="F49"/>
      <c r="G49" s="49" t="s">
        <v>95</v>
      </c>
      <c r="H49" s="13">
        <f>H48/SQRT(5)</f>
        <v>0.13036563000269502</v>
      </c>
      <c r="I49" s="13">
        <f t="shared" ref="I49:N49" si="42">I48/SQRT(5)</f>
        <v>0.37440595341687566</v>
      </c>
      <c r="J49" s="13">
        <f t="shared" si="42"/>
        <v>1.2844332628822726E-2</v>
      </c>
      <c r="K49" s="13">
        <f t="shared" si="42"/>
        <v>1.2844332628822782E-2</v>
      </c>
      <c r="L49" s="13">
        <f t="shared" si="42"/>
        <v>1.6562866741804957E-2</v>
      </c>
      <c r="M49" s="13">
        <f t="shared" si="42"/>
        <v>2.1536448225904373E-3</v>
      </c>
      <c r="N49" s="13">
        <f t="shared" si="42"/>
        <v>0.33586433720179398</v>
      </c>
      <c r="O49" s="13">
        <f>O48/SQRT(5)</f>
        <v>1.6733200530681509</v>
      </c>
      <c r="P49" s="13">
        <f>P48/SQRT(5)</f>
        <v>0.7912530698015372</v>
      </c>
      <c r="Q49"/>
      <c r="Y49" s="49" t="s">
        <v>95</v>
      </c>
      <c r="Z49" s="2">
        <f t="shared" ref="Z49:AF49" si="43">Z48/(SQRT(6))</f>
        <v>0.10235791229526259</v>
      </c>
      <c r="AA49" s="2">
        <f t="shared" si="43"/>
        <v>0.50666084503947184</v>
      </c>
      <c r="AB49" s="2">
        <f t="shared" si="43"/>
        <v>5.6054265784173281E-3</v>
      </c>
      <c r="AC49" s="2">
        <f t="shared" si="43"/>
        <v>5.6054265784173324E-3</v>
      </c>
      <c r="AD49" s="2">
        <f t="shared" si="43"/>
        <v>2.3254902566116138E-3</v>
      </c>
      <c r="AE49" s="2">
        <f t="shared" si="43"/>
        <v>1.4968955852206352E-3</v>
      </c>
      <c r="AF49" s="2">
        <f t="shared" si="43"/>
        <v>0.59801510874819286</v>
      </c>
      <c r="AG49" s="2">
        <f>AG48/(SQRT(COUNT(AG35:AG41)))</f>
        <v>1.4142135623730949</v>
      </c>
      <c r="AH49" s="2">
        <f>AH48/(SQRT(COUNT(AH34:AH42)))</f>
        <v>0.17584587970041468</v>
      </c>
    </row>
    <row r="50" spans="1:36" s="85" customFormat="1" x14ac:dyDescent="0.35">
      <c r="E50" s="104"/>
      <c r="F50"/>
      <c r="G50"/>
      <c r="H50"/>
      <c r="I50"/>
      <c r="J50"/>
      <c r="K50"/>
      <c r="L50"/>
      <c r="M50"/>
      <c r="N50"/>
      <c r="O50"/>
      <c r="P50"/>
      <c r="Q50"/>
    </row>
    <row r="51" spans="1:36" s="85" customFormat="1" x14ac:dyDescent="0.35">
      <c r="E51" s="104"/>
      <c r="F51"/>
      <c r="G51"/>
      <c r="H51"/>
      <c r="I51"/>
      <c r="J51"/>
      <c r="K51"/>
      <c r="L51"/>
      <c r="M51"/>
      <c r="N51"/>
      <c r="O51"/>
      <c r="P51"/>
      <c r="Q51"/>
      <c r="W51" s="137"/>
    </row>
    <row r="52" spans="1:36" s="85" customFormat="1" ht="16" thickBot="1" x14ac:dyDescent="0.4">
      <c r="E52" s="104" t="s">
        <v>193</v>
      </c>
      <c r="F52"/>
      <c r="G52" s="49" t="s">
        <v>77</v>
      </c>
      <c r="H52">
        <f>AVERAGE(H34,H36,H38,H42)</f>
        <v>5.1604150000000004</v>
      </c>
      <c r="I52">
        <f t="shared" ref="I52:P52" si="44">AVERAGE(I34,I36,I38,I42)</f>
        <v>8.1005266666666618</v>
      </c>
      <c r="J52">
        <f t="shared" si="44"/>
        <v>0.39107297833914573</v>
      </c>
      <c r="K52">
        <f t="shared" si="44"/>
        <v>0.60892702166085433</v>
      </c>
      <c r="L52">
        <f t="shared" si="44"/>
        <v>0.19357807206583519</v>
      </c>
      <c r="M52">
        <f t="shared" si="44"/>
        <v>7.575790721889239E-2</v>
      </c>
      <c r="N52">
        <f t="shared" si="44"/>
        <v>13.271079999999998</v>
      </c>
      <c r="O52">
        <f t="shared" si="44"/>
        <v>28.666666666666668</v>
      </c>
      <c r="P52">
        <f t="shared" si="44"/>
        <v>5.5604991411422402</v>
      </c>
      <c r="Q52"/>
      <c r="Y52" s="13"/>
      <c r="Z52" s="9" t="s">
        <v>3</v>
      </c>
      <c r="AA52" s="9" t="s">
        <v>4</v>
      </c>
      <c r="AB52" s="9" t="s">
        <v>5</v>
      </c>
      <c r="AC52" s="9" t="s">
        <v>6</v>
      </c>
      <c r="AD52" s="9" t="s">
        <v>7</v>
      </c>
      <c r="AE52" s="9" t="s">
        <v>8</v>
      </c>
      <c r="AF52" s="9" t="s">
        <v>9</v>
      </c>
      <c r="AG52" s="9" t="s">
        <v>10</v>
      </c>
      <c r="AH52" s="44" t="s">
        <v>139</v>
      </c>
    </row>
    <row r="53" spans="1:36" s="85" customFormat="1" x14ac:dyDescent="0.35">
      <c r="E53" s="104"/>
      <c r="F53"/>
      <c r="G53" s="49" t="s">
        <v>94</v>
      </c>
      <c r="H53" s="13">
        <f>_xlfn.STDEV.S(H34,H36,H38,H42)</f>
        <v>0.15529667360679036</v>
      </c>
      <c r="I53" s="13">
        <f t="shared" ref="I53:P53" si="45">_xlfn.STDEV.S(I34,I36,I38,I42)</f>
        <v>1.0737528382888344</v>
      </c>
      <c r="J53" s="13">
        <f t="shared" si="45"/>
        <v>2.5814533757713407E-2</v>
      </c>
      <c r="K53" s="13">
        <f t="shared" si="45"/>
        <v>2.5814533757713455E-2</v>
      </c>
      <c r="L53" s="13">
        <f t="shared" si="45"/>
        <v>7.2049655109002542E-3</v>
      </c>
      <c r="M53" s="13">
        <f t="shared" si="45"/>
        <v>6.7363372679929267E-3</v>
      </c>
      <c r="N53" s="13">
        <f t="shared" si="45"/>
        <v>1.2014574002851663</v>
      </c>
      <c r="O53" s="13">
        <f t="shared" si="45"/>
        <v>4.0414518843273708</v>
      </c>
      <c r="P53" s="13">
        <f t="shared" si="45"/>
        <v>0.91075533598897496</v>
      </c>
      <c r="Q53"/>
      <c r="W53" s="137" t="s">
        <v>278</v>
      </c>
      <c r="Y53" s="49" t="s">
        <v>77</v>
      </c>
      <c r="Z53" s="13">
        <f>AVERAGE(Z31,Z33,Z36,Z38,Z40)</f>
        <v>6.9821759999999928</v>
      </c>
      <c r="AA53" s="13">
        <f t="shared" ref="AA53:AH53" si="46">AVERAGE(AA31,AA33,AA36,AA38,AA40)</f>
        <v>8.5225000000000026</v>
      </c>
      <c r="AB53" s="13">
        <f t="shared" si="46"/>
        <v>0.45146414555255487</v>
      </c>
      <c r="AC53" s="13">
        <f t="shared" si="46"/>
        <v>0.54853585444744524</v>
      </c>
      <c r="AD53" s="13">
        <f t="shared" si="46"/>
        <v>0.14389757845832266</v>
      </c>
      <c r="AE53" s="13">
        <f t="shared" si="46"/>
        <v>6.479434190411186E-2</v>
      </c>
      <c r="AF53" s="13">
        <f t="shared" si="46"/>
        <v>15.504675999999995</v>
      </c>
      <c r="AG53" s="13">
        <f t="shared" si="46"/>
        <v>55.6</v>
      </c>
      <c r="AH53" s="13">
        <f t="shared" si="46"/>
        <v>7.9768787886243242</v>
      </c>
    </row>
    <row r="54" spans="1:36" s="85" customFormat="1" x14ac:dyDescent="0.35">
      <c r="E54"/>
      <c r="F54"/>
      <c r="G54" s="49" t="s">
        <v>95</v>
      </c>
      <c r="H54" s="13">
        <f>H53/SQRT(4)</f>
        <v>7.7648336803395182E-2</v>
      </c>
      <c r="I54" s="13">
        <f t="shared" ref="I54:N54" si="47">I53/SQRT(4)</f>
        <v>0.53687641914441719</v>
      </c>
      <c r="J54" s="13">
        <f t="shared" si="47"/>
        <v>1.2907266878856703E-2</v>
      </c>
      <c r="K54" s="13">
        <f t="shared" si="47"/>
        <v>1.2907266878856728E-2</v>
      </c>
      <c r="L54" s="13">
        <f t="shared" si="47"/>
        <v>3.6024827554501271E-3</v>
      </c>
      <c r="M54" s="13">
        <f t="shared" si="47"/>
        <v>3.3681686339964633E-3</v>
      </c>
      <c r="N54" s="13">
        <f t="shared" si="47"/>
        <v>0.60072870014258317</v>
      </c>
      <c r="O54" s="13">
        <f>O53/SQRT(4)</f>
        <v>2.0207259421636854</v>
      </c>
      <c r="P54" s="13">
        <f>P53/SQRT(4)</f>
        <v>0.45537766799448748</v>
      </c>
      <c r="Q54"/>
      <c r="Y54" s="49" t="s">
        <v>94</v>
      </c>
      <c r="Z54" s="2">
        <f>_xlfn.STDEV.S(Z31,Z33,Z36,Z38,Z40)</f>
        <v>0.55717801332248884</v>
      </c>
      <c r="AA54" s="2">
        <f t="shared" ref="AA54:AH54" si="48">_xlfn.STDEV.S(AA31,AA33,AA36,AA38,AA40)</f>
        <v>1.0376456134683021</v>
      </c>
      <c r="AB54" s="2">
        <f t="shared" si="48"/>
        <v>3.6616305538324588E-2</v>
      </c>
      <c r="AC54" s="2">
        <f t="shared" si="48"/>
        <v>3.6616305538324581E-2</v>
      </c>
      <c r="AD54" s="2">
        <f t="shared" si="48"/>
        <v>1.0595927748019412E-2</v>
      </c>
      <c r="AE54" s="2">
        <f t="shared" si="48"/>
        <v>5.047984699058536E-3</v>
      </c>
      <c r="AF54" s="2">
        <f t="shared" si="48"/>
        <v>1.1440010703360337</v>
      </c>
      <c r="AG54" s="2">
        <f t="shared" si="48"/>
        <v>3.5777087639996634</v>
      </c>
      <c r="AH54" s="2">
        <f t="shared" si="48"/>
        <v>0.38674888240922178</v>
      </c>
    </row>
    <row r="55" spans="1:36" s="85" customFormat="1" x14ac:dyDescent="0.35">
      <c r="E55"/>
      <c r="F55"/>
      <c r="G55"/>
      <c r="H55"/>
      <c r="I55"/>
      <c r="J55"/>
      <c r="K55"/>
      <c r="L55"/>
      <c r="M55"/>
      <c r="N55"/>
      <c r="O55"/>
      <c r="P55"/>
      <c r="Q55"/>
      <c r="Y55" s="49" t="s">
        <v>95</v>
      </c>
      <c r="Z55" s="2">
        <f>Z54/(SQRT(5))</f>
        <v>0.24917758267147369</v>
      </c>
      <c r="AA55" s="2">
        <f t="shared" ref="AA55:AH55" si="49">AA54/(SQRT(5))</f>
        <v>0.46404922565391893</v>
      </c>
      <c r="AB55" s="2">
        <f t="shared" si="49"/>
        <v>1.637530965371916E-2</v>
      </c>
      <c r="AC55" s="2">
        <f t="shared" si="49"/>
        <v>1.637530965371916E-2</v>
      </c>
      <c r="AD55" s="2">
        <f t="shared" si="49"/>
        <v>4.7386429458495336E-3</v>
      </c>
      <c r="AE55" s="2">
        <f t="shared" si="49"/>
        <v>2.257527387294741E-3</v>
      </c>
      <c r="AF55" s="2">
        <f t="shared" si="49"/>
        <v>0.51161283192077789</v>
      </c>
      <c r="AG55" s="2">
        <f t="shared" si="49"/>
        <v>1.5999999999999999</v>
      </c>
      <c r="AH55" s="2">
        <f t="shared" si="49"/>
        <v>0.1729593582578185</v>
      </c>
    </row>
    <row r="56" spans="1:36" s="85" customFormat="1" x14ac:dyDescent="0.35">
      <c r="E56" s="104"/>
      <c r="F56" s="104"/>
      <c r="G56" s="49"/>
      <c r="H56"/>
      <c r="I56"/>
      <c r="J56"/>
      <c r="K56"/>
      <c r="L56"/>
      <c r="M56"/>
      <c r="N56"/>
      <c r="O56"/>
      <c r="P56"/>
      <c r="Q56"/>
    </row>
    <row r="57" spans="1:36" s="85" customFormat="1" x14ac:dyDescent="0.35">
      <c r="A57"/>
      <c r="B57"/>
      <c r="C57"/>
      <c r="D57"/>
      <c r="E57" s="104"/>
      <c r="F57" s="104"/>
      <c r="G57" s="104"/>
      <c r="H57"/>
      <c r="I57"/>
      <c r="J57"/>
      <c r="K57"/>
      <c r="L57"/>
      <c r="M57"/>
      <c r="N57"/>
      <c r="O57"/>
      <c r="P57"/>
      <c r="Q57"/>
      <c r="R57"/>
      <c r="S57"/>
      <c r="T57"/>
      <c r="U57"/>
      <c r="V57"/>
    </row>
    <row r="58" spans="1:36" s="85" customFormat="1" x14ac:dyDescent="0.35">
      <c r="A58"/>
      <c r="B58"/>
      <c r="C58"/>
      <c r="D58"/>
      <c r="E58"/>
      <c r="F58"/>
      <c r="G58"/>
      <c r="H58"/>
      <c r="I58"/>
      <c r="J58"/>
      <c r="K58"/>
      <c r="L58"/>
      <c r="M58"/>
      <c r="N58"/>
      <c r="O58"/>
      <c r="P58"/>
      <c r="Q58"/>
      <c r="R58"/>
      <c r="S58"/>
      <c r="T58"/>
      <c r="U58"/>
      <c r="V58"/>
    </row>
    <row r="59" spans="1:36" s="85" customFormat="1" x14ac:dyDescent="0.35">
      <c r="A59"/>
      <c r="B59"/>
      <c r="C59"/>
      <c r="D59"/>
      <c r="E59"/>
      <c r="F59"/>
      <c r="G59"/>
      <c r="H59"/>
      <c r="I59"/>
      <c r="J59"/>
      <c r="K59"/>
      <c r="L59"/>
      <c r="M59"/>
      <c r="N59"/>
      <c r="O59"/>
      <c r="P59"/>
      <c r="Q59"/>
      <c r="R59"/>
      <c r="S59"/>
      <c r="T59"/>
      <c r="U59"/>
      <c r="V59"/>
    </row>
    <row r="60" spans="1:36" s="85" customFormat="1" ht="18.5" x14ac:dyDescent="0.45">
      <c r="A60"/>
      <c r="B60" s="2"/>
      <c r="C60" s="2"/>
      <c r="D60" s="2"/>
      <c r="E60" s="2"/>
      <c r="F60" s="1" t="s">
        <v>15</v>
      </c>
      <c r="G60" s="2"/>
      <c r="H60" s="2"/>
      <c r="I60" s="2"/>
      <c r="J60" s="2"/>
      <c r="K60" s="2"/>
      <c r="L60" s="2"/>
      <c r="M60" s="2"/>
      <c r="N60" s="2"/>
      <c r="O60" s="2"/>
      <c r="P60"/>
      <c r="Q60"/>
      <c r="R60"/>
      <c r="S60"/>
      <c r="T60"/>
      <c r="U60"/>
      <c r="V60"/>
      <c r="X60" s="1" t="s">
        <v>279</v>
      </c>
      <c r="Y60" s="3"/>
      <c r="Z60" s="3"/>
      <c r="AA60" s="3"/>
      <c r="AB60" s="3"/>
      <c r="AC60" s="3"/>
      <c r="AD60" s="3"/>
      <c r="AE60" s="3"/>
      <c r="AF60" s="3"/>
      <c r="AG60" s="3"/>
      <c r="AH60"/>
    </row>
    <row r="61" spans="1:36" s="85" customFormat="1" ht="16" thickBot="1" x14ac:dyDescent="0.4">
      <c r="A61"/>
      <c r="B61" s="9" t="s">
        <v>18</v>
      </c>
      <c r="C61" s="9" t="s">
        <v>17</v>
      </c>
      <c r="D61" s="9" t="s">
        <v>20</v>
      </c>
      <c r="E61" s="5"/>
      <c r="F61" s="9" t="s">
        <v>1</v>
      </c>
      <c r="G61" s="9" t="s">
        <v>2</v>
      </c>
      <c r="H61" s="9" t="s">
        <v>3</v>
      </c>
      <c r="I61" s="9" t="s">
        <v>4</v>
      </c>
      <c r="J61" s="9" t="s">
        <v>5</v>
      </c>
      <c r="K61" s="9" t="s">
        <v>6</v>
      </c>
      <c r="L61" s="9" t="s">
        <v>7</v>
      </c>
      <c r="M61" s="9" t="s">
        <v>8</v>
      </c>
      <c r="N61" s="9" t="s">
        <v>9</v>
      </c>
      <c r="O61" s="9" t="s">
        <v>10</v>
      </c>
      <c r="P61" s="44" t="s">
        <v>139</v>
      </c>
      <c r="Q61"/>
      <c r="R61" s="44" t="s">
        <v>134</v>
      </c>
      <c r="S61"/>
      <c r="T61"/>
      <c r="U61"/>
      <c r="V61"/>
      <c r="X61" s="9" t="s">
        <v>1</v>
      </c>
      <c r="Y61" s="9" t="s">
        <v>2</v>
      </c>
      <c r="Z61" s="9" t="s">
        <v>3</v>
      </c>
      <c r="AA61" s="9" t="s">
        <v>4</v>
      </c>
      <c r="AB61" s="9" t="s">
        <v>5</v>
      </c>
      <c r="AC61" s="9" t="s">
        <v>6</v>
      </c>
      <c r="AD61" s="9" t="s">
        <v>7</v>
      </c>
      <c r="AE61" s="9" t="s">
        <v>8</v>
      </c>
      <c r="AF61" s="9" t="s">
        <v>9</v>
      </c>
      <c r="AG61" s="9" t="s">
        <v>10</v>
      </c>
      <c r="AH61" s="44" t="s">
        <v>139</v>
      </c>
      <c r="AJ61" s="44" t="s">
        <v>138</v>
      </c>
    </row>
    <row r="62" spans="1:36" s="85" customFormat="1" x14ac:dyDescent="0.35">
      <c r="A62"/>
      <c r="B62"/>
      <c r="C62"/>
      <c r="D62"/>
      <c r="E62" s="85" t="s">
        <v>211</v>
      </c>
      <c r="F62" s="144">
        <v>7.4347300000000001</v>
      </c>
      <c r="G62" s="144">
        <v>13.133290000000001</v>
      </c>
      <c r="H62" s="91">
        <f>G62-F62</f>
        <v>5.6985600000000005</v>
      </c>
      <c r="I62" s="91">
        <f>F63-G62</f>
        <v>8.4276700000000009</v>
      </c>
      <c r="J62" s="91">
        <f>H62/N62</f>
        <v>0.4034027479377017</v>
      </c>
      <c r="K62" s="91">
        <f>I62/N62</f>
        <v>0.5965972520622983</v>
      </c>
      <c r="L62" s="91">
        <f>1/H62</f>
        <v>0.17548292902066484</v>
      </c>
      <c r="M62" s="91">
        <f>1/N62</f>
        <v>7.0790295783092858E-2</v>
      </c>
      <c r="N62" s="91">
        <f>H62+I62</f>
        <v>14.126230000000001</v>
      </c>
      <c r="O62" s="144">
        <v>32</v>
      </c>
      <c r="P62" s="144">
        <f>O62/H62</f>
        <v>5.6154537286612749</v>
      </c>
      <c r="Q62"/>
      <c r="R62" t="s">
        <v>214</v>
      </c>
      <c r="S62"/>
      <c r="T62"/>
      <c r="U62"/>
      <c r="V62"/>
      <c r="X62" s="85">
        <v>0.18584000000000001</v>
      </c>
      <c r="Y62" s="85">
        <v>5.9037499999999996</v>
      </c>
      <c r="Z62" s="85">
        <f>Y62-X62</f>
        <v>5.7179099999999998</v>
      </c>
      <c r="AA62" s="85">
        <f>X63-Y62</f>
        <v>10.079689999999999</v>
      </c>
      <c r="AB62" s="85">
        <f>Z62/AF62</f>
        <v>0.36194801742036764</v>
      </c>
      <c r="AC62" s="85">
        <f>AA62/AF62</f>
        <v>0.63805198257963236</v>
      </c>
      <c r="AD62" s="85">
        <f>1/Z62</f>
        <v>0.17488907660316444</v>
      </c>
      <c r="AE62" s="85">
        <f>1/AF62</f>
        <v>6.3300754544994176E-2</v>
      </c>
      <c r="AF62" s="85">
        <f>Z62+AA62</f>
        <v>15.797599999999999</v>
      </c>
      <c r="AG62" s="85">
        <v>40</v>
      </c>
      <c r="AH62">
        <f>AG62/Z62</f>
        <v>6.9955630641265776</v>
      </c>
      <c r="AJ62" t="s">
        <v>147</v>
      </c>
    </row>
    <row r="63" spans="1:36" s="85" customFormat="1" x14ac:dyDescent="0.35">
      <c r="A63"/>
      <c r="B63"/>
      <c r="C63"/>
      <c r="D63"/>
      <c r="E63"/>
      <c r="F63" s="85">
        <v>21.560960000000001</v>
      </c>
      <c r="G63" s="85">
        <v>27.043109999999999</v>
      </c>
      <c r="H63" s="2">
        <f t="shared" ref="H63:H69" si="50">G63-F63</f>
        <v>5.4821499999999972</v>
      </c>
      <c r="I63" s="2">
        <f t="shared" ref="I63:I68" si="51">F64-G63</f>
        <v>6.7410199999999989</v>
      </c>
      <c r="J63" s="2">
        <f t="shared" ref="J63:J68" si="52">H63/N63</f>
        <v>0.44850476594860406</v>
      </c>
      <c r="K63" s="2">
        <f t="shared" ref="K63:K68" si="53">I63/N63</f>
        <v>0.55149523405139589</v>
      </c>
      <c r="L63" s="2">
        <f t="shared" ref="L63:L68" si="54">1/H63</f>
        <v>0.1824101857847743</v>
      </c>
      <c r="M63" s="2">
        <f t="shared" ref="M63:M68" si="55">1/N63</f>
        <v>8.1811837682041588E-2</v>
      </c>
      <c r="N63" s="2">
        <f t="shared" ref="N63:N68" si="56">H63+I63</f>
        <v>12.223169999999996</v>
      </c>
      <c r="O63" s="85">
        <v>30</v>
      </c>
      <c r="P63" s="85">
        <f t="shared" ref="P63:P69" si="57">O63/H63</f>
        <v>5.4723055735432293</v>
      </c>
      <c r="Q63"/>
      <c r="R63"/>
      <c r="S63"/>
      <c r="T63"/>
      <c r="U63"/>
      <c r="V63"/>
      <c r="W63" s="157" t="s">
        <v>235</v>
      </c>
      <c r="X63" s="157">
        <v>15.98344</v>
      </c>
      <c r="Y63" s="157">
        <v>19.294640000000001</v>
      </c>
      <c r="Z63" s="157">
        <f t="shared" ref="Z63:Z76" si="58">Y63-X63</f>
        <v>3.3112000000000013</v>
      </c>
      <c r="AA63" s="157">
        <f t="shared" ref="AA63:AA75" si="59">X64-Y63</f>
        <v>11.072789999999998</v>
      </c>
      <c r="AB63" s="157">
        <f t="shared" ref="AB63:AB75" si="60">Z63/AF63</f>
        <v>0.23020038250860864</v>
      </c>
      <c r="AC63" s="157">
        <f t="shared" ref="AC63:AC75" si="61">AA63/AF63</f>
        <v>0.76979961749139136</v>
      </c>
      <c r="AD63" s="157">
        <f t="shared" ref="AD63:AD75" si="62">1/Z63</f>
        <v>0.30200531529354907</v>
      </c>
      <c r="AE63" s="157">
        <f t="shared" ref="AE63:AE75" si="63">1/AF63</f>
        <v>6.9521739100207938E-2</v>
      </c>
      <c r="AF63" s="157">
        <f t="shared" ref="AF63:AF75" si="64">Z63+AA63</f>
        <v>14.383989999999999</v>
      </c>
      <c r="AG63" s="85">
        <v>34</v>
      </c>
      <c r="AH63">
        <f t="shared" ref="AH63:AH75" si="65">AG63/Z63</f>
        <v>10.268180719980668</v>
      </c>
    </row>
    <row r="64" spans="1:36" s="85" customFormat="1" x14ac:dyDescent="0.35">
      <c r="A64"/>
      <c r="E64" s="85" t="s">
        <v>211</v>
      </c>
      <c r="F64" s="144">
        <v>33.784129999999998</v>
      </c>
      <c r="G64" s="144">
        <v>38.797840000000001</v>
      </c>
      <c r="H64" s="91">
        <f t="shared" si="50"/>
        <v>5.0137100000000032</v>
      </c>
      <c r="I64" s="91">
        <f t="shared" si="51"/>
        <v>10.022289999999998</v>
      </c>
      <c r="J64" s="91">
        <f t="shared" si="52"/>
        <v>0.33344706038840133</v>
      </c>
      <c r="K64" s="91">
        <f t="shared" si="53"/>
        <v>0.66655293961159867</v>
      </c>
      <c r="L64" s="91">
        <f t="shared" si="54"/>
        <v>0.19945309960089422</v>
      </c>
      <c r="M64" s="91">
        <f t="shared" si="55"/>
        <v>6.65070497472732E-2</v>
      </c>
      <c r="N64" s="91">
        <f t="shared" si="56"/>
        <v>15.036000000000001</v>
      </c>
      <c r="O64" s="144">
        <v>29</v>
      </c>
      <c r="P64" s="144">
        <f t="shared" si="57"/>
        <v>5.7841398884259325</v>
      </c>
      <c r="U64"/>
      <c r="V64"/>
      <c r="W64" s="157" t="s">
        <v>235</v>
      </c>
      <c r="X64" s="157">
        <v>30.367429999999999</v>
      </c>
      <c r="Y64" s="157">
        <v>33.824660000000002</v>
      </c>
      <c r="Z64" s="157">
        <f t="shared" si="58"/>
        <v>3.4572300000000027</v>
      </c>
      <c r="AA64" s="157">
        <f t="shared" si="59"/>
        <v>13.183969999999995</v>
      </c>
      <c r="AB64" s="157">
        <f t="shared" si="60"/>
        <v>0.20775124390068042</v>
      </c>
      <c r="AC64" s="157">
        <f t="shared" si="61"/>
        <v>0.79224875609931955</v>
      </c>
      <c r="AD64" s="157">
        <f t="shared" si="62"/>
        <v>0.28924890736225223</v>
      </c>
      <c r="AE64" s="157">
        <f t="shared" si="63"/>
        <v>6.009182030142058E-2</v>
      </c>
      <c r="AF64" s="157">
        <f t="shared" si="64"/>
        <v>16.641199999999998</v>
      </c>
      <c r="AG64" s="85">
        <v>39</v>
      </c>
      <c r="AH64">
        <f t="shared" si="65"/>
        <v>11.280707387127837</v>
      </c>
    </row>
    <row r="65" spans="1:36" s="85" customFormat="1" x14ac:dyDescent="0.35">
      <c r="A65"/>
      <c r="F65" s="85">
        <v>48.820129999999999</v>
      </c>
      <c r="G65" s="85">
        <v>54.343440000000001</v>
      </c>
      <c r="H65" s="2">
        <f t="shared" si="50"/>
        <v>5.5233100000000022</v>
      </c>
      <c r="I65" s="2">
        <f t="shared" si="51"/>
        <v>5.4514799999999966</v>
      </c>
      <c r="J65" s="2">
        <f t="shared" si="52"/>
        <v>0.50327249997494283</v>
      </c>
      <c r="K65" s="2">
        <f t="shared" si="53"/>
        <v>0.49672750002505717</v>
      </c>
      <c r="L65" s="2">
        <f t="shared" si="54"/>
        <v>0.18105085537476615</v>
      </c>
      <c r="M65" s="2">
        <f t="shared" si="55"/>
        <v>9.1117916607060367E-2</v>
      </c>
      <c r="N65" s="2">
        <f t="shared" si="56"/>
        <v>10.974789999999999</v>
      </c>
      <c r="O65" s="85">
        <v>30</v>
      </c>
      <c r="P65" s="85">
        <f t="shared" si="57"/>
        <v>5.4315256612429845</v>
      </c>
      <c r="U65"/>
      <c r="V65"/>
      <c r="X65" s="85">
        <v>47.008629999999997</v>
      </c>
      <c r="Y65" s="85">
        <v>54.332439999999998</v>
      </c>
      <c r="Z65" s="85">
        <f t="shared" si="58"/>
        <v>7.3238100000000017</v>
      </c>
      <c r="AA65" s="85">
        <f t="shared" si="59"/>
        <v>10.546979999999998</v>
      </c>
      <c r="AB65" s="85">
        <f t="shared" si="60"/>
        <v>0.40982015904165409</v>
      </c>
      <c r="AC65" s="85">
        <f t="shared" si="61"/>
        <v>0.59017984095834586</v>
      </c>
      <c r="AD65" s="85">
        <f t="shared" si="62"/>
        <v>0.13654095341086125</v>
      </c>
      <c r="AE65" s="85">
        <f t="shared" si="63"/>
        <v>5.5957235242538247E-2</v>
      </c>
      <c r="AF65" s="85">
        <f t="shared" si="64"/>
        <v>17.87079</v>
      </c>
      <c r="AG65" s="85">
        <v>56</v>
      </c>
      <c r="AH65">
        <f t="shared" si="65"/>
        <v>7.6462933910082302</v>
      </c>
    </row>
    <row r="66" spans="1:36" s="85" customFormat="1" x14ac:dyDescent="0.35">
      <c r="A66"/>
      <c r="E66" s="85" t="s">
        <v>211</v>
      </c>
      <c r="F66" s="144">
        <v>59.794919999999998</v>
      </c>
      <c r="G66" s="144">
        <v>65.074039999999997</v>
      </c>
      <c r="H66" s="91">
        <f t="shared" si="50"/>
        <v>5.2791199999999989</v>
      </c>
      <c r="I66" s="91">
        <f t="shared" si="51"/>
        <v>9.4075200000000052</v>
      </c>
      <c r="J66" s="91">
        <f t="shared" si="52"/>
        <v>0.35945049378210381</v>
      </c>
      <c r="K66" s="91">
        <f t="shared" si="53"/>
        <v>0.64054950621789619</v>
      </c>
      <c r="L66" s="91">
        <f t="shared" si="54"/>
        <v>0.18942551031232482</v>
      </c>
      <c r="M66" s="91">
        <f t="shared" si="55"/>
        <v>6.8089093216692154E-2</v>
      </c>
      <c r="N66" s="91">
        <f t="shared" si="56"/>
        <v>14.686640000000004</v>
      </c>
      <c r="O66" s="144">
        <v>27</v>
      </c>
      <c r="P66" s="144">
        <f t="shared" si="57"/>
        <v>5.1144887784327704</v>
      </c>
      <c r="U66"/>
      <c r="V66"/>
      <c r="X66" s="85">
        <v>64.879419999999996</v>
      </c>
      <c r="Y66" s="85">
        <v>71.105840000000001</v>
      </c>
      <c r="Z66" s="85">
        <f t="shared" si="58"/>
        <v>6.2264200000000045</v>
      </c>
      <c r="AA66" s="85">
        <f t="shared" si="59"/>
        <v>10.455529999999996</v>
      </c>
      <c r="AB66" s="85">
        <f t="shared" si="60"/>
        <v>0.37324293622747967</v>
      </c>
      <c r="AC66" s="85">
        <f t="shared" si="61"/>
        <v>0.62675706377252038</v>
      </c>
      <c r="AD66" s="85">
        <f t="shared" si="62"/>
        <v>0.16060593406805182</v>
      </c>
      <c r="AE66" s="85">
        <f t="shared" si="63"/>
        <v>5.994503040711667E-2</v>
      </c>
      <c r="AF66" s="85">
        <f t="shared" si="64"/>
        <v>16.681950000000001</v>
      </c>
      <c r="AG66" s="85">
        <v>54</v>
      </c>
      <c r="AH66">
        <f t="shared" si="65"/>
        <v>8.6727204396747997</v>
      </c>
    </row>
    <row r="67" spans="1:36" s="85" customFormat="1" x14ac:dyDescent="0.35">
      <c r="A67"/>
      <c r="E67" s="85" t="s">
        <v>211</v>
      </c>
      <c r="F67" s="144">
        <v>74.481560000000002</v>
      </c>
      <c r="G67" s="144">
        <v>79.788439999999994</v>
      </c>
      <c r="H67" s="91">
        <f t="shared" si="50"/>
        <v>5.3068799999999925</v>
      </c>
      <c r="I67" s="91">
        <f t="shared" si="51"/>
        <v>10.62633000000001</v>
      </c>
      <c r="J67" s="91">
        <f t="shared" si="52"/>
        <v>0.33307036058647266</v>
      </c>
      <c r="K67" s="91">
        <f t="shared" si="53"/>
        <v>0.66692963941352734</v>
      </c>
      <c r="L67" s="91">
        <f t="shared" si="54"/>
        <v>0.1884346357935362</v>
      </c>
      <c r="M67" s="91">
        <f t="shared" si="55"/>
        <v>6.2761992090733743E-2</v>
      </c>
      <c r="N67" s="91">
        <f t="shared" si="56"/>
        <v>15.933210000000003</v>
      </c>
      <c r="O67" s="144">
        <v>27</v>
      </c>
      <c r="P67" s="144">
        <f t="shared" si="57"/>
        <v>5.0877351664254773</v>
      </c>
      <c r="U67"/>
      <c r="V67"/>
      <c r="W67" s="157" t="s">
        <v>235</v>
      </c>
      <c r="X67" s="157">
        <v>81.561369999999997</v>
      </c>
      <c r="Y67" s="157">
        <v>84.212339999999998</v>
      </c>
      <c r="Z67" s="157">
        <f t="shared" si="58"/>
        <v>2.6509700000000009</v>
      </c>
      <c r="AA67" s="157">
        <f t="shared" si="59"/>
        <v>10.494680000000002</v>
      </c>
      <c r="AB67" s="157">
        <f t="shared" si="60"/>
        <v>0.20166138608589154</v>
      </c>
      <c r="AC67" s="157">
        <f t="shared" si="61"/>
        <v>0.79833861391410843</v>
      </c>
      <c r="AD67" s="157">
        <f t="shared" si="62"/>
        <v>0.3772204136599055</v>
      </c>
      <c r="AE67" s="157">
        <f t="shared" si="63"/>
        <v>7.6070791478549921E-2</v>
      </c>
      <c r="AF67" s="157">
        <f t="shared" si="64"/>
        <v>13.145650000000003</v>
      </c>
      <c r="AG67" s="85">
        <v>36</v>
      </c>
      <c r="AH67">
        <f t="shared" si="65"/>
        <v>13.579934891756597</v>
      </c>
    </row>
    <row r="68" spans="1:36" s="85" customFormat="1" x14ac:dyDescent="0.35">
      <c r="A68" s="104"/>
      <c r="E68" s="85" t="s">
        <v>211</v>
      </c>
      <c r="F68" s="144">
        <v>90.414770000000004</v>
      </c>
      <c r="G68" s="144">
        <v>95.711519999999993</v>
      </c>
      <c r="H68" s="91">
        <f t="shared" si="50"/>
        <v>5.2967499999999887</v>
      </c>
      <c r="I68" s="91">
        <f t="shared" si="51"/>
        <v>12.553700000000006</v>
      </c>
      <c r="J68" s="91">
        <f t="shared" si="52"/>
        <v>0.29672921410944769</v>
      </c>
      <c r="K68" s="91">
        <f t="shared" si="53"/>
        <v>0.70327078589055236</v>
      </c>
      <c r="L68" s="91">
        <f t="shared" si="54"/>
        <v>0.18879501581158298</v>
      </c>
      <c r="M68" s="91">
        <f t="shared" si="55"/>
        <v>5.6020996669551765E-2</v>
      </c>
      <c r="N68" s="91">
        <f t="shared" si="56"/>
        <v>17.850449999999995</v>
      </c>
      <c r="O68" s="144">
        <v>27</v>
      </c>
      <c r="P68" s="144">
        <f t="shared" si="57"/>
        <v>5.0974654269127404</v>
      </c>
      <c r="U68"/>
      <c r="V68"/>
      <c r="X68" s="85">
        <v>94.70702</v>
      </c>
      <c r="Y68" s="85">
        <v>101.02494</v>
      </c>
      <c r="Z68" s="85">
        <f t="shared" si="58"/>
        <v>6.3179200000000009</v>
      </c>
      <c r="AA68" s="85">
        <f t="shared" si="59"/>
        <v>14.53219</v>
      </c>
      <c r="AB68" s="85">
        <f t="shared" si="60"/>
        <v>0.30301614715701741</v>
      </c>
      <c r="AC68" s="85">
        <f t="shared" si="61"/>
        <v>0.69698385284298259</v>
      </c>
      <c r="AD68" s="85">
        <f t="shared" si="62"/>
        <v>0.15827994023349454</v>
      </c>
      <c r="AE68" s="85">
        <f t="shared" si="63"/>
        <v>4.7961377661796506E-2</v>
      </c>
      <c r="AF68" s="85">
        <f t="shared" si="64"/>
        <v>20.850110000000001</v>
      </c>
      <c r="AG68" s="85">
        <v>52</v>
      </c>
      <c r="AH68">
        <f t="shared" si="65"/>
        <v>8.2305568921417169</v>
      </c>
    </row>
    <row r="69" spans="1:36" s="85" customFormat="1" x14ac:dyDescent="0.35">
      <c r="A69"/>
      <c r="F69" s="85">
        <v>108.26522</v>
      </c>
      <c r="G69" s="85">
        <v>113.11928</v>
      </c>
      <c r="H69" s="2">
        <f t="shared" si="50"/>
        <v>4.854060000000004</v>
      </c>
      <c r="I69" s="2"/>
      <c r="J69" s="2"/>
      <c r="K69" s="2"/>
      <c r="L69" s="2"/>
      <c r="M69" s="2"/>
      <c r="N69" s="2"/>
      <c r="O69" s="85">
        <v>28</v>
      </c>
      <c r="P69" s="85">
        <f t="shared" si="57"/>
        <v>5.7683670988821678</v>
      </c>
      <c r="U69"/>
      <c r="V69"/>
      <c r="W69" s="157" t="s">
        <v>235</v>
      </c>
      <c r="X69" s="157">
        <v>115.55713</v>
      </c>
      <c r="Y69" s="157">
        <v>118.98546</v>
      </c>
      <c r="Z69" s="157">
        <f t="shared" si="58"/>
        <v>3.4283300000000025</v>
      </c>
      <c r="AA69" s="157">
        <f t="shared" si="59"/>
        <v>11.928359999999984</v>
      </c>
      <c r="AB69" s="157">
        <f t="shared" si="60"/>
        <v>0.22324667620431263</v>
      </c>
      <c r="AC69" s="157">
        <f t="shared" si="61"/>
        <v>0.7767533237956874</v>
      </c>
      <c r="AD69" s="157">
        <f t="shared" si="62"/>
        <v>0.29168720630744394</v>
      </c>
      <c r="AE69" s="157">
        <f t="shared" si="63"/>
        <v>6.5118199299458474E-2</v>
      </c>
      <c r="AF69" s="157">
        <f t="shared" si="64"/>
        <v>15.356689999999986</v>
      </c>
      <c r="AG69" s="85">
        <v>34</v>
      </c>
      <c r="AH69">
        <f t="shared" si="65"/>
        <v>9.9173650144530932</v>
      </c>
    </row>
    <row r="70" spans="1:36" s="85" customFormat="1" x14ac:dyDescent="0.35">
      <c r="A70"/>
      <c r="H70" s="13"/>
      <c r="I70" s="13"/>
      <c r="J70" s="13"/>
      <c r="K70" s="13"/>
      <c r="L70" s="13"/>
      <c r="M70" s="13"/>
      <c r="N70" s="13"/>
      <c r="U70"/>
      <c r="V70"/>
      <c r="X70" s="85">
        <v>130.91381999999999</v>
      </c>
      <c r="Y70" s="85">
        <v>136.66628</v>
      </c>
      <c r="Z70" s="85">
        <f t="shared" si="58"/>
        <v>5.7524600000000135</v>
      </c>
      <c r="AA70" s="85">
        <f t="shared" si="59"/>
        <v>11.820999999999998</v>
      </c>
      <c r="AB70" s="85">
        <f t="shared" si="60"/>
        <v>0.32733792889960256</v>
      </c>
      <c r="AC70" s="85">
        <f t="shared" si="61"/>
        <v>0.67266207110039744</v>
      </c>
      <c r="AD70" s="85">
        <f t="shared" si="62"/>
        <v>0.17383867075998749</v>
      </c>
      <c r="AE70" s="85">
        <f t="shared" si="63"/>
        <v>5.6903990449234207E-2</v>
      </c>
      <c r="AF70" s="85">
        <f t="shared" si="64"/>
        <v>17.573460000000011</v>
      </c>
      <c r="AG70" s="85">
        <v>44</v>
      </c>
      <c r="AH70">
        <f t="shared" si="65"/>
        <v>7.6489015134394496</v>
      </c>
      <c r="AJ70" t="s">
        <v>280</v>
      </c>
    </row>
    <row r="71" spans="1:36" s="85" customFormat="1" x14ac:dyDescent="0.35">
      <c r="A71"/>
      <c r="H71" s="13"/>
      <c r="I71" s="13"/>
      <c r="J71" s="13"/>
      <c r="K71" s="13"/>
      <c r="L71" s="13"/>
      <c r="M71" s="13"/>
      <c r="N71" s="13"/>
      <c r="U71"/>
      <c r="V71"/>
      <c r="W71" s="157" t="s">
        <v>235</v>
      </c>
      <c r="X71" s="157">
        <v>148.48728</v>
      </c>
      <c r="Y71" s="157">
        <v>151.76432</v>
      </c>
      <c r="Z71" s="157">
        <f t="shared" si="58"/>
        <v>3.2770399999999995</v>
      </c>
      <c r="AA71" s="157">
        <f t="shared" si="59"/>
        <v>11.264319999999998</v>
      </c>
      <c r="AB71" s="157">
        <f t="shared" si="60"/>
        <v>0.2253599388227786</v>
      </c>
      <c r="AC71" s="157">
        <f t="shared" si="61"/>
        <v>0.7746400611772214</v>
      </c>
      <c r="AD71" s="157">
        <f t="shared" si="62"/>
        <v>0.30515343114517984</v>
      </c>
      <c r="AE71" s="157">
        <f t="shared" si="63"/>
        <v>6.8769358574438721E-2</v>
      </c>
      <c r="AF71" s="157">
        <f t="shared" si="64"/>
        <v>14.541359999999997</v>
      </c>
      <c r="AG71" s="85">
        <v>31</v>
      </c>
      <c r="AH71">
        <f t="shared" si="65"/>
        <v>9.4597563655005743</v>
      </c>
    </row>
    <row r="72" spans="1:36" s="85" customFormat="1" x14ac:dyDescent="0.35">
      <c r="A72"/>
      <c r="H72" s="13"/>
      <c r="I72" s="13"/>
      <c r="J72" s="13"/>
      <c r="K72" s="13"/>
      <c r="L72" s="13"/>
      <c r="M72" s="13"/>
      <c r="N72" s="13"/>
      <c r="U72"/>
      <c r="V72"/>
      <c r="W72" s="157" t="s">
        <v>235</v>
      </c>
      <c r="X72" s="157">
        <v>163.02864</v>
      </c>
      <c r="Y72" s="157">
        <v>166.58358000000001</v>
      </c>
      <c r="Z72" s="157">
        <f t="shared" si="58"/>
        <v>3.5549400000000162</v>
      </c>
      <c r="AA72" s="157">
        <f t="shared" si="59"/>
        <v>13.126749999999987</v>
      </c>
      <c r="AB72" s="157">
        <f t="shared" si="60"/>
        <v>0.21310430777697076</v>
      </c>
      <c r="AC72" s="157">
        <f t="shared" si="61"/>
        <v>0.78689569222302924</v>
      </c>
      <c r="AD72" s="157">
        <f t="shared" si="62"/>
        <v>0.28129869983740807</v>
      </c>
      <c r="AE72" s="157">
        <f t="shared" si="63"/>
        <v>5.994596470741273E-2</v>
      </c>
      <c r="AF72" s="157">
        <f t="shared" si="64"/>
        <v>16.681690000000003</v>
      </c>
      <c r="AG72" s="85">
        <v>40</v>
      </c>
      <c r="AH72">
        <f t="shared" si="65"/>
        <v>11.251947993496323</v>
      </c>
    </row>
    <row r="73" spans="1:36" s="85" customFormat="1" ht="16" thickBot="1" x14ac:dyDescent="0.4">
      <c r="A73"/>
      <c r="E73"/>
      <c r="F73"/>
      <c r="G73"/>
      <c r="H73" s="9" t="s">
        <v>3</v>
      </c>
      <c r="I73" s="9" t="s">
        <v>4</v>
      </c>
      <c r="J73" s="9" t="s">
        <v>5</v>
      </c>
      <c r="K73" s="9" t="s">
        <v>6</v>
      </c>
      <c r="L73" s="9" t="s">
        <v>7</v>
      </c>
      <c r="M73" s="9" t="s">
        <v>8</v>
      </c>
      <c r="N73" s="9" t="s">
        <v>9</v>
      </c>
      <c r="O73" s="9" t="s">
        <v>10</v>
      </c>
      <c r="P73" s="44" t="s">
        <v>139</v>
      </c>
      <c r="U73"/>
      <c r="V73"/>
      <c r="X73" s="85">
        <v>179.71033</v>
      </c>
      <c r="Y73" s="85">
        <v>186.76003</v>
      </c>
      <c r="Z73" s="85">
        <f t="shared" si="58"/>
        <v>7.0497000000000014</v>
      </c>
      <c r="AA73" s="85">
        <f t="shared" si="59"/>
        <v>16.2286</v>
      </c>
      <c r="AB73" s="85">
        <f t="shared" si="60"/>
        <v>0.30284427986579782</v>
      </c>
      <c r="AC73" s="85">
        <f t="shared" si="61"/>
        <v>0.69715572013420224</v>
      </c>
      <c r="AD73" s="85">
        <f t="shared" si="62"/>
        <v>0.14185000780175039</v>
      </c>
      <c r="AE73" s="85">
        <f t="shared" si="63"/>
        <v>4.2958463461678899E-2</v>
      </c>
      <c r="AF73" s="85">
        <f t="shared" si="64"/>
        <v>23.278300000000002</v>
      </c>
      <c r="AG73" s="85">
        <v>50</v>
      </c>
      <c r="AH73">
        <f t="shared" si="65"/>
        <v>7.0925003900875199</v>
      </c>
    </row>
    <row r="74" spans="1:36" s="85" customFormat="1" x14ac:dyDescent="0.35">
      <c r="A74"/>
      <c r="E74" s="104" t="s">
        <v>192</v>
      </c>
      <c r="F74"/>
      <c r="G74" s="49" t="s">
        <v>77</v>
      </c>
      <c r="H74" s="13">
        <f>AVERAGE(H62,H66,H67,H68,H64)</f>
        <v>5.319003999999997</v>
      </c>
      <c r="I74" s="13">
        <f t="shared" ref="I74:P74" si="66">AVERAGE(I62,I66,I67,I68,I64)</f>
        <v>10.207502000000003</v>
      </c>
      <c r="J74" s="13">
        <f t="shared" si="66"/>
        <v>0.34521997536082544</v>
      </c>
      <c r="K74" s="13">
        <f t="shared" si="66"/>
        <v>0.65478002463917462</v>
      </c>
      <c r="L74" s="13">
        <f t="shared" si="66"/>
        <v>0.1883182381078006</v>
      </c>
      <c r="M74" s="13">
        <f t="shared" si="66"/>
        <v>6.4833885501468735E-2</v>
      </c>
      <c r="N74" s="13">
        <f t="shared" si="66"/>
        <v>15.526506000000001</v>
      </c>
      <c r="O74" s="13">
        <f t="shared" si="66"/>
        <v>28.4</v>
      </c>
      <c r="P74" s="13">
        <f t="shared" si="66"/>
        <v>5.3398565977716395</v>
      </c>
      <c r="U74"/>
      <c r="V74"/>
      <c r="W74" s="157" t="s">
        <v>235</v>
      </c>
      <c r="X74" s="157">
        <v>202.98863</v>
      </c>
      <c r="Y74" s="157">
        <v>206.20114000000001</v>
      </c>
      <c r="Z74" s="157">
        <f t="shared" si="58"/>
        <v>3.2125100000000089</v>
      </c>
      <c r="AA74" s="157">
        <f t="shared" si="59"/>
        <v>12.36139</v>
      </c>
      <c r="AB74" s="157">
        <f t="shared" si="60"/>
        <v>0.20627524255324658</v>
      </c>
      <c r="AC74" s="157">
        <f t="shared" si="61"/>
        <v>0.79372475744675342</v>
      </c>
      <c r="AD74" s="157">
        <f t="shared" si="62"/>
        <v>0.31128307771804514</v>
      </c>
      <c r="AE74" s="157">
        <f t="shared" si="63"/>
        <v>6.420999235901087E-2</v>
      </c>
      <c r="AF74" s="157">
        <f t="shared" si="64"/>
        <v>15.573900000000009</v>
      </c>
      <c r="AG74" s="85">
        <v>32</v>
      </c>
      <c r="AH74">
        <f t="shared" si="65"/>
        <v>9.9610584869774446</v>
      </c>
    </row>
    <row r="75" spans="1:36" s="85" customFormat="1" x14ac:dyDescent="0.35">
      <c r="A75"/>
      <c r="E75" s="104"/>
      <c r="F75"/>
      <c r="G75" s="49" t="s">
        <v>94</v>
      </c>
      <c r="H75" s="13">
        <f>_xlfn.STDEV.S(H60,H62,H66,H67,H68)</f>
        <v>0.20248013554832495</v>
      </c>
      <c r="I75" s="13">
        <f t="shared" ref="I75:P75" si="67">_xlfn.STDEV.S(I60,I62,I66,I67,I68)</f>
        <v>1.7775694291269428</v>
      </c>
      <c r="J75" s="13">
        <f t="shared" si="67"/>
        <v>4.491495431530243E-2</v>
      </c>
      <c r="K75" s="13">
        <f t="shared" si="67"/>
        <v>4.4914954315302603E-2</v>
      </c>
      <c r="L75" s="13">
        <f t="shared" si="67"/>
        <v>6.7135631716621711E-3</v>
      </c>
      <c r="M75" s="13">
        <f t="shared" si="67"/>
        <v>6.5149848537327647E-3</v>
      </c>
      <c r="N75" s="13">
        <f t="shared" si="67"/>
        <v>1.6504668631304464</v>
      </c>
      <c r="O75" s="13">
        <f t="shared" si="67"/>
        <v>2.5</v>
      </c>
      <c r="P75" s="13">
        <f t="shared" si="67"/>
        <v>0.25801564410831718</v>
      </c>
      <c r="U75"/>
      <c r="V75"/>
      <c r="X75" s="85">
        <v>218.56253000000001</v>
      </c>
      <c r="Y75" s="85">
        <v>224.43839</v>
      </c>
      <c r="Z75" s="85">
        <f t="shared" si="58"/>
        <v>5.8758599999999888</v>
      </c>
      <c r="AA75" s="85">
        <f t="shared" si="59"/>
        <v>11.836360000000013</v>
      </c>
      <c r="AB75" s="85">
        <f t="shared" si="60"/>
        <v>0.33174045941163716</v>
      </c>
      <c r="AC75" s="85">
        <f t="shared" si="61"/>
        <v>0.66825954058836279</v>
      </c>
      <c r="AD75" s="85">
        <f t="shared" si="62"/>
        <v>0.17018785335253084</v>
      </c>
      <c r="AE75" s="85">
        <f t="shared" si="63"/>
        <v>5.6458196657448917E-2</v>
      </c>
      <c r="AF75" s="85">
        <f t="shared" si="64"/>
        <v>17.712220000000002</v>
      </c>
      <c r="AG75" s="85">
        <v>56</v>
      </c>
      <c r="AH75">
        <f t="shared" si="65"/>
        <v>9.5305197877417278</v>
      </c>
    </row>
    <row r="76" spans="1:36" s="85" customFormat="1" x14ac:dyDescent="0.35">
      <c r="A76"/>
      <c r="E76" s="104"/>
      <c r="F76"/>
      <c r="G76" s="49" t="s">
        <v>95</v>
      </c>
      <c r="H76" s="13">
        <f t="shared" ref="H76:P76" si="68">H75/SQRT(5)</f>
        <v>9.0551869435885238E-2</v>
      </c>
      <c r="I76" s="13">
        <f t="shared" si="68"/>
        <v>0.79495321565066768</v>
      </c>
      <c r="J76" s="13">
        <f t="shared" si="68"/>
        <v>2.0086578211062751E-2</v>
      </c>
      <c r="K76" s="13">
        <f t="shared" si="68"/>
        <v>2.0086578211062828E-2</v>
      </c>
      <c r="L76" s="13">
        <f t="shared" si="68"/>
        <v>3.0023967246151405E-3</v>
      </c>
      <c r="M76" s="13">
        <f t="shared" si="68"/>
        <v>2.913589801065597E-3</v>
      </c>
      <c r="N76" s="13">
        <f t="shared" si="68"/>
        <v>0.73811122011410391</v>
      </c>
      <c r="O76" s="13">
        <f t="shared" si="68"/>
        <v>1.1180339887498949</v>
      </c>
      <c r="P76" s="13">
        <f t="shared" si="68"/>
        <v>0.11538810389691806</v>
      </c>
      <c r="U76"/>
      <c r="V76"/>
      <c r="X76" s="85">
        <v>236.27475000000001</v>
      </c>
      <c r="Y76" s="85">
        <v>241.7784</v>
      </c>
      <c r="Z76" s="85">
        <f t="shared" si="58"/>
        <v>5.5036499999999933</v>
      </c>
    </row>
    <row r="77" spans="1:36" x14ac:dyDescent="0.35">
      <c r="B77" s="85"/>
      <c r="C77" s="85"/>
      <c r="D77" s="85"/>
      <c r="E77" s="104"/>
      <c r="Q77" s="85"/>
      <c r="R77" s="85"/>
      <c r="S77" s="85"/>
      <c r="T77" s="85"/>
    </row>
    <row r="78" spans="1:36" x14ac:dyDescent="0.35">
      <c r="B78" s="85"/>
      <c r="C78" s="85"/>
      <c r="D78" s="85"/>
      <c r="E78" s="104"/>
      <c r="Q78" s="85"/>
      <c r="R78" s="85"/>
      <c r="S78" s="85"/>
      <c r="T78" s="85"/>
    </row>
    <row r="79" spans="1:36" ht="16" thickBot="1" x14ac:dyDescent="0.4">
      <c r="B79" s="85"/>
      <c r="C79" s="85"/>
      <c r="D79" s="85"/>
      <c r="E79" s="104" t="s">
        <v>193</v>
      </c>
      <c r="G79" s="49" t="s">
        <v>77</v>
      </c>
      <c r="H79">
        <f>AVERAGE(H63,H65,H69)</f>
        <v>5.2865066666666678</v>
      </c>
      <c r="I79">
        <f>AVERAGE(I63,I65,I69)</f>
        <v>6.0962499999999977</v>
      </c>
      <c r="J79">
        <f t="shared" ref="J79:P79" si="69">AVERAGE(J63,J65,J69)</f>
        <v>0.47588863296177342</v>
      </c>
      <c r="K79">
        <f t="shared" si="69"/>
        <v>0.52411136703822647</v>
      </c>
      <c r="L79">
        <f t="shared" si="69"/>
        <v>0.18173052057977024</v>
      </c>
      <c r="M79">
        <f t="shared" si="69"/>
        <v>8.6464877144550978E-2</v>
      </c>
      <c r="N79">
        <f t="shared" si="69"/>
        <v>11.598979999999997</v>
      </c>
      <c r="O79">
        <f t="shared" si="69"/>
        <v>29.333333333333332</v>
      </c>
      <c r="P79">
        <f t="shared" si="69"/>
        <v>5.5573994445561281</v>
      </c>
      <c r="Q79" s="85"/>
      <c r="R79" s="85"/>
      <c r="S79" s="85"/>
      <c r="T79" s="85"/>
      <c r="W79" s="85"/>
      <c r="X79" s="85"/>
      <c r="Y79" s="13"/>
      <c r="Z79" s="9" t="s">
        <v>3</v>
      </c>
      <c r="AA79" s="9" t="s">
        <v>4</v>
      </c>
      <c r="AB79" s="9" t="s">
        <v>5</v>
      </c>
      <c r="AC79" s="9" t="s">
        <v>6</v>
      </c>
      <c r="AD79" s="9" t="s">
        <v>7</v>
      </c>
      <c r="AE79" s="9" t="s">
        <v>8</v>
      </c>
      <c r="AF79" s="9" t="s">
        <v>9</v>
      </c>
      <c r="AG79" s="9" t="s">
        <v>10</v>
      </c>
      <c r="AH79" s="44" t="s">
        <v>139</v>
      </c>
    </row>
    <row r="80" spans="1:36" x14ac:dyDescent="0.35">
      <c r="B80" s="85"/>
      <c r="C80" s="85"/>
      <c r="D80" s="85"/>
      <c r="E80" s="104"/>
      <c r="G80" s="49" t="s">
        <v>94</v>
      </c>
      <c r="H80" s="13">
        <f>_xlfn.STDEV.S(H65,H67,H71,H72,H73)</f>
        <v>0.15303912065221131</v>
      </c>
      <c r="I80" s="13">
        <f t="shared" ref="I80:P80" si="70">_xlfn.STDEV.S(I65,I67,I71,I72,I73)</f>
        <v>3.6591715266232154</v>
      </c>
      <c r="J80" s="13">
        <f t="shared" si="70"/>
        <v>0.12035108693404502</v>
      </c>
      <c r="K80" s="13">
        <f t="shared" si="70"/>
        <v>0.12035108693404571</v>
      </c>
      <c r="L80" s="13">
        <f t="shared" si="70"/>
        <v>5.2211212049047499E-3</v>
      </c>
      <c r="M80" s="13">
        <f t="shared" si="70"/>
        <v>2.0050666512308416E-2</v>
      </c>
      <c r="N80" s="13">
        <f t="shared" si="70"/>
        <v>3.5061324059710084</v>
      </c>
      <c r="O80" s="13">
        <f t="shared" si="70"/>
        <v>2.1213203435596424</v>
      </c>
      <c r="P80" s="13">
        <f t="shared" si="70"/>
        <v>0.24309659019293797</v>
      </c>
      <c r="Q80" s="85"/>
      <c r="R80" s="85"/>
      <c r="S80" s="85"/>
      <c r="T80" s="85"/>
      <c r="W80" s="137" t="s">
        <v>125</v>
      </c>
      <c r="X80" s="85"/>
      <c r="Y80" s="49" t="s">
        <v>77</v>
      </c>
      <c r="Z80" s="13">
        <f>AVERAGE(Z63:Z64,Z67,Z69,Z71:Z72,Z74)</f>
        <v>3.2703171428571474</v>
      </c>
      <c r="AA80" s="13">
        <f t="shared" ref="AA80:AG80" si="71">AVERAGE(AA63:AA64,AA67,AA69,AA71:AA72,AA74)</f>
        <v>11.918894285714279</v>
      </c>
      <c r="AB80" s="13">
        <f t="shared" si="71"/>
        <v>0.21537131112178418</v>
      </c>
      <c r="AC80" s="13">
        <f t="shared" si="71"/>
        <v>0.7846286888782158</v>
      </c>
      <c r="AD80" s="13">
        <f t="shared" si="71"/>
        <v>0.30827100733196916</v>
      </c>
      <c r="AE80" s="13">
        <f t="shared" si="71"/>
        <v>6.6246837974357028E-2</v>
      </c>
      <c r="AF80" s="13">
        <f t="shared" si="71"/>
        <v>15.189211428571427</v>
      </c>
      <c r="AG80" s="13">
        <f t="shared" si="71"/>
        <v>35.142857142857146</v>
      </c>
      <c r="AH80" s="13">
        <f>AVERAGE(AH63:AH64,AH67,AH69,AH71:AH72,AH74)</f>
        <v>10.816992979898936</v>
      </c>
    </row>
    <row r="81" spans="2:34" x14ac:dyDescent="0.35">
      <c r="B81" s="85"/>
      <c r="C81" s="85"/>
      <c r="D81" s="85"/>
      <c r="G81" s="49" t="s">
        <v>95</v>
      </c>
      <c r="H81" s="13">
        <f t="shared" ref="H81:P81" si="72">H80/SQRT(4)</f>
        <v>7.6519560326105657E-2</v>
      </c>
      <c r="I81" s="13">
        <f t="shared" si="72"/>
        <v>1.8295857633116077</v>
      </c>
      <c r="J81" s="13">
        <f t="shared" si="72"/>
        <v>6.0175543467022509E-2</v>
      </c>
      <c r="K81" s="13">
        <f t="shared" si="72"/>
        <v>6.0175543467022856E-2</v>
      </c>
      <c r="L81" s="13">
        <f t="shared" si="72"/>
        <v>2.6105606024523749E-3</v>
      </c>
      <c r="M81" s="13">
        <f t="shared" si="72"/>
        <v>1.0025333256154208E-2</v>
      </c>
      <c r="N81" s="13">
        <f t="shared" si="72"/>
        <v>1.7530662029855042</v>
      </c>
      <c r="O81" s="13">
        <f t="shared" si="72"/>
        <v>1.0606601717798212</v>
      </c>
      <c r="P81" s="13">
        <f t="shared" si="72"/>
        <v>0.12154829509646899</v>
      </c>
      <c r="Q81" s="85"/>
      <c r="R81" s="85"/>
      <c r="S81" s="85"/>
      <c r="T81" s="85"/>
      <c r="W81" s="85"/>
      <c r="X81" s="85"/>
      <c r="Y81" s="49" t="s">
        <v>94</v>
      </c>
      <c r="Z81" s="2">
        <f>_xlfn.STDEV.S(Z63:Z64,Z67,Z69,Z71:Z72,Z74)</f>
        <v>0.29708691319288649</v>
      </c>
      <c r="AA81" s="2">
        <f t="shared" ref="AA81:AH81" si="73">_xlfn.STDEV.S(AA63:AA64,AA67,AA69,AA71:AA72,AA74)</f>
        <v>1.035049945314346</v>
      </c>
      <c r="AB81" s="2">
        <f t="shared" si="73"/>
        <v>1.0920932906125631E-2</v>
      </c>
      <c r="AC81" s="2">
        <f t="shared" si="73"/>
        <v>1.0920932906125618E-2</v>
      </c>
      <c r="AD81" s="2">
        <f t="shared" si="73"/>
        <v>3.2084366635082587E-2</v>
      </c>
      <c r="AE81" s="2">
        <f t="shared" si="73"/>
        <v>5.7243043509519545E-3</v>
      </c>
      <c r="AF81" s="2">
        <f t="shared" si="73"/>
        <v>1.2751492593343541</v>
      </c>
      <c r="AG81" s="2">
        <f t="shared" si="73"/>
        <v>3.3876526498728401</v>
      </c>
      <c r="AH81" s="2">
        <f t="shared" si="73"/>
        <v>1.3978140899340992</v>
      </c>
    </row>
    <row r="82" spans="2:34" x14ac:dyDescent="0.35">
      <c r="B82" s="85"/>
      <c r="C82" s="85"/>
      <c r="D82" s="85"/>
      <c r="E82" s="85"/>
      <c r="F82" s="85"/>
      <c r="G82" s="85"/>
      <c r="H82" s="13"/>
      <c r="I82" s="13"/>
      <c r="J82" s="13"/>
      <c r="K82" s="13"/>
      <c r="L82" s="13"/>
      <c r="M82" s="13"/>
      <c r="N82" s="13"/>
      <c r="O82" s="85"/>
      <c r="P82" s="85"/>
      <c r="Q82" s="85"/>
      <c r="R82" s="85"/>
      <c r="S82" s="85"/>
      <c r="T82" s="85"/>
      <c r="W82" s="85"/>
      <c r="X82" s="85"/>
      <c r="Y82" s="49" t="s">
        <v>95</v>
      </c>
      <c r="Z82" s="2">
        <f>Z81/(SQRT(7))</f>
        <v>0.11228829858288737</v>
      </c>
      <c r="AA82" s="2">
        <f t="shared" ref="AA82:AH82" si="74">AA81/(SQRT(7))</f>
        <v>0.39121210711896626</v>
      </c>
      <c r="AB82" s="2">
        <f t="shared" si="74"/>
        <v>4.1277246506329019E-3</v>
      </c>
      <c r="AC82" s="2">
        <f t="shared" si="74"/>
        <v>4.1277246506328975E-3</v>
      </c>
      <c r="AD82" s="2">
        <f t="shared" si="74"/>
        <v>1.2126750727063823E-2</v>
      </c>
      <c r="AE82" s="2">
        <f t="shared" si="74"/>
        <v>2.163583677351982E-3</v>
      </c>
      <c r="AF82" s="2">
        <f t="shared" si="74"/>
        <v>0.48196111781241552</v>
      </c>
      <c r="AG82" s="2">
        <f t="shared" si="74"/>
        <v>1.2804123485475001</v>
      </c>
      <c r="AH82" s="2">
        <f t="shared" si="74"/>
        <v>0.52832406586681435</v>
      </c>
    </row>
    <row r="83" spans="2:34" x14ac:dyDescent="0.35">
      <c r="B83" s="85"/>
      <c r="C83" s="85"/>
      <c r="D83" s="85"/>
      <c r="E83" s="85"/>
      <c r="F83" s="85"/>
      <c r="G83" s="85"/>
      <c r="H83" s="13"/>
      <c r="I83" s="13"/>
      <c r="J83" s="13"/>
      <c r="K83" s="13"/>
      <c r="L83" s="13"/>
      <c r="M83" s="13"/>
      <c r="N83" s="13"/>
      <c r="O83" s="85"/>
      <c r="P83" s="85"/>
      <c r="Q83" s="85"/>
      <c r="R83" s="85"/>
      <c r="S83" s="85"/>
      <c r="T83" s="85"/>
      <c r="W83" s="85"/>
      <c r="X83" s="85"/>
      <c r="Y83" s="85"/>
      <c r="Z83" s="85"/>
      <c r="AA83" s="85"/>
      <c r="AB83" s="85"/>
      <c r="AC83" s="85"/>
      <c r="AD83" s="85"/>
      <c r="AE83" s="85"/>
      <c r="AF83" s="85"/>
      <c r="AG83" s="85"/>
      <c r="AH83" s="85"/>
    </row>
    <row r="84" spans="2:34" x14ac:dyDescent="0.35">
      <c r="B84" s="85"/>
      <c r="C84" s="85"/>
      <c r="D84" s="85"/>
      <c r="E84" s="85"/>
      <c r="F84" s="85"/>
      <c r="G84" s="85"/>
      <c r="H84" s="13"/>
      <c r="I84" s="13"/>
      <c r="J84" s="13"/>
      <c r="K84" s="13"/>
      <c r="L84" s="13"/>
      <c r="M84" s="13"/>
      <c r="N84" s="13"/>
      <c r="O84" s="85"/>
      <c r="P84" s="85"/>
      <c r="Q84" s="85"/>
      <c r="R84" s="85"/>
      <c r="S84" s="85"/>
      <c r="T84" s="85"/>
      <c r="W84" s="137"/>
      <c r="X84" s="85"/>
      <c r="Y84" s="85"/>
      <c r="Z84" s="85"/>
      <c r="AA84" s="85"/>
      <c r="AB84" s="85"/>
      <c r="AC84" s="85"/>
      <c r="AD84" s="85"/>
      <c r="AE84" s="85"/>
      <c r="AF84" s="85"/>
      <c r="AG84" s="85"/>
      <c r="AH84" s="85"/>
    </row>
    <row r="85" spans="2:34" ht="16" thickBot="1" x14ac:dyDescent="0.4">
      <c r="B85" s="85"/>
      <c r="C85" s="85"/>
      <c r="D85" s="85"/>
      <c r="E85" s="85"/>
      <c r="F85" s="85"/>
      <c r="G85" s="85"/>
      <c r="H85" s="13"/>
      <c r="I85" s="13"/>
      <c r="J85" s="13"/>
      <c r="K85" s="13"/>
      <c r="L85" s="13"/>
      <c r="M85" s="13"/>
      <c r="N85" s="13"/>
      <c r="O85" s="85"/>
      <c r="P85" s="85"/>
      <c r="Q85" s="85"/>
      <c r="R85" s="85"/>
      <c r="S85" s="85"/>
      <c r="T85" s="85"/>
      <c r="W85" s="85"/>
      <c r="X85" s="85"/>
      <c r="Y85" s="13"/>
      <c r="Z85" s="9" t="s">
        <v>3</v>
      </c>
      <c r="AA85" s="9" t="s">
        <v>4</v>
      </c>
      <c r="AB85" s="9" t="s">
        <v>5</v>
      </c>
      <c r="AC85" s="9" t="s">
        <v>6</v>
      </c>
      <c r="AD85" s="9" t="s">
        <v>7</v>
      </c>
      <c r="AE85" s="9" t="s">
        <v>8</v>
      </c>
      <c r="AF85" s="9" t="s">
        <v>9</v>
      </c>
      <c r="AG85" s="9" t="s">
        <v>10</v>
      </c>
      <c r="AH85" s="44" t="s">
        <v>139</v>
      </c>
    </row>
    <row r="86" spans="2:34" x14ac:dyDescent="0.35">
      <c r="B86" s="85"/>
      <c r="C86" s="85"/>
      <c r="D86" s="85"/>
      <c r="E86" s="85"/>
      <c r="F86" s="85"/>
      <c r="G86" s="85"/>
      <c r="H86" s="13"/>
      <c r="I86" s="13"/>
      <c r="J86" s="13"/>
      <c r="K86" s="13"/>
      <c r="L86" s="13"/>
      <c r="M86" s="13"/>
      <c r="N86" s="13"/>
      <c r="O86" s="85"/>
      <c r="P86" s="85"/>
      <c r="Q86" s="85"/>
      <c r="R86" s="85"/>
      <c r="S86" s="85"/>
      <c r="T86" s="85"/>
      <c r="W86" s="137" t="s">
        <v>278</v>
      </c>
      <c r="X86" s="85"/>
      <c r="Y86" s="49" t="s">
        <v>77</v>
      </c>
      <c r="Z86" s="13">
        <f>AVERAGE(Z65,Z68,Z70,Z73,Z75)</f>
        <v>6.4639500000000014</v>
      </c>
      <c r="AA86" s="13">
        <f t="shared" ref="AA86:AH86" si="75">AVERAGE(AA65,AA68,AA70,AA73,AA75)</f>
        <v>12.993026000000004</v>
      </c>
      <c r="AB86" s="13">
        <f t="shared" si="75"/>
        <v>0.33495179487514182</v>
      </c>
      <c r="AC86" s="13">
        <f t="shared" si="75"/>
        <v>0.66504820512485818</v>
      </c>
      <c r="AD86" s="13">
        <f t="shared" si="75"/>
        <v>0.1561394851117249</v>
      </c>
      <c r="AE86" s="13">
        <f t="shared" si="75"/>
        <v>5.2047852694539355E-2</v>
      </c>
      <c r="AF86" s="13">
        <f t="shared" si="75"/>
        <v>19.456976000000004</v>
      </c>
      <c r="AG86" s="13">
        <f t="shared" si="75"/>
        <v>51.6</v>
      </c>
      <c r="AH86" s="13">
        <f t="shared" si="75"/>
        <v>8.029754394883728</v>
      </c>
    </row>
    <row r="87" spans="2:34" x14ac:dyDescent="0.35">
      <c r="H87" s="13"/>
      <c r="I87" s="13"/>
      <c r="J87" s="2"/>
      <c r="K87" s="2"/>
      <c r="L87" s="2"/>
      <c r="M87" s="2"/>
      <c r="N87" s="2"/>
      <c r="W87" s="85"/>
      <c r="X87" s="85"/>
      <c r="Y87" s="49" t="s">
        <v>94</v>
      </c>
      <c r="Z87" s="2">
        <f>_xlfn.STDEV.S(Z65,Z68,Z70,Z73,Z75)</f>
        <v>0.69925941380863776</v>
      </c>
      <c r="AA87" s="2">
        <f t="shared" ref="AA87:AH87" si="76">_xlfn.STDEV.S(AA65,AA68,AA70,AA73,AA75)</f>
        <v>2.3201630946293288</v>
      </c>
      <c r="AB87" s="2">
        <f t="shared" si="76"/>
        <v>4.3944094309626994E-2</v>
      </c>
      <c r="AC87" s="2">
        <f t="shared" si="76"/>
        <v>4.3944094309626924E-2</v>
      </c>
      <c r="AD87" s="2">
        <f t="shared" si="76"/>
        <v>1.6609417340708348E-2</v>
      </c>
      <c r="AE87" s="2">
        <f t="shared" si="76"/>
        <v>6.2775941747219965E-3</v>
      </c>
      <c r="AF87" s="2">
        <f t="shared" si="76"/>
        <v>2.5323473055309722</v>
      </c>
      <c r="AG87" s="2">
        <f t="shared" si="76"/>
        <v>4.9799598391954927</v>
      </c>
      <c r="AH87" s="2">
        <f t="shared" si="76"/>
        <v>0.93047766437586565</v>
      </c>
    </row>
    <row r="88" spans="2:34" x14ac:dyDescent="0.35">
      <c r="H88" s="13"/>
      <c r="I88" s="13"/>
      <c r="J88" s="2"/>
      <c r="K88" s="2"/>
      <c r="L88" s="2"/>
      <c r="M88" s="2"/>
      <c r="N88" s="2"/>
      <c r="W88" s="85"/>
      <c r="X88" s="85"/>
      <c r="Y88" s="49" t="s">
        <v>95</v>
      </c>
      <c r="Z88" s="2">
        <f>Z87/(SQRT(5))</f>
        <v>0.31271831663655381</v>
      </c>
      <c r="AA88" s="2">
        <f t="shared" ref="AA88:AH88" si="77">AA87/(SQRT(5))</f>
        <v>1.0376084796954912</v>
      </c>
      <c r="AB88" s="2">
        <f t="shared" si="77"/>
        <v>1.9652396417197529E-2</v>
      </c>
      <c r="AC88" s="2">
        <f t="shared" si="77"/>
        <v>1.9652396417197498E-2</v>
      </c>
      <c r="AD88" s="2">
        <f t="shared" si="77"/>
        <v>7.4279572480975302E-3</v>
      </c>
      <c r="AE88" s="2">
        <f t="shared" si="77"/>
        <v>2.8074254619670151E-3</v>
      </c>
      <c r="AF88" s="2">
        <f t="shared" si="77"/>
        <v>1.1325001435611366</v>
      </c>
      <c r="AG88" s="2">
        <f t="shared" si="77"/>
        <v>2.2271057451320084</v>
      </c>
      <c r="AH88" s="2">
        <f t="shared" si="77"/>
        <v>0.41612226181793399</v>
      </c>
    </row>
    <row r="89" spans="2:34" ht="15.5" x14ac:dyDescent="0.35">
      <c r="C89" s="155"/>
      <c r="G89" s="2"/>
      <c r="H89" s="5"/>
      <c r="I89" s="5"/>
      <c r="J89" s="5"/>
      <c r="K89" s="5"/>
      <c r="L89" s="5"/>
      <c r="M89" s="5"/>
      <c r="N89" s="5"/>
      <c r="O89" s="5"/>
      <c r="P89" s="14"/>
      <c r="Q89" s="2"/>
      <c r="R89" s="2"/>
      <c r="S89" s="2"/>
      <c r="T89" s="2"/>
      <c r="U89" s="2"/>
      <c r="V89" s="2"/>
      <c r="W89" s="2"/>
    </row>
    <row r="90" spans="2:34" ht="18.5" x14ac:dyDescent="0.45">
      <c r="C90" s="155"/>
      <c r="E90" s="104"/>
      <c r="F90" s="1" t="s">
        <v>215</v>
      </c>
      <c r="G90" s="2"/>
      <c r="H90" s="2"/>
      <c r="I90" s="2"/>
      <c r="J90" s="2"/>
      <c r="K90" s="2"/>
      <c r="L90" s="2"/>
      <c r="M90" s="2"/>
      <c r="N90" s="2"/>
      <c r="O90" s="2"/>
      <c r="P90" s="2"/>
      <c r="Q90" s="2"/>
      <c r="R90" s="2"/>
      <c r="S90" s="2"/>
      <c r="T90" s="2"/>
      <c r="U90" s="2"/>
      <c r="V90" s="2"/>
      <c r="W90" s="2"/>
    </row>
    <row r="91" spans="2:34" ht="24" thickBot="1" x14ac:dyDescent="0.6">
      <c r="C91" s="155" t="s">
        <v>216</v>
      </c>
      <c r="E91" s="104"/>
      <c r="F91" s="9" t="s">
        <v>1</v>
      </c>
      <c r="G91" s="9" t="s">
        <v>2</v>
      </c>
      <c r="H91" s="9" t="s">
        <v>3</v>
      </c>
      <c r="I91" s="9" t="s">
        <v>4</v>
      </c>
      <c r="J91" s="9" t="s">
        <v>5</v>
      </c>
      <c r="K91" s="9" t="s">
        <v>6</v>
      </c>
      <c r="L91" s="9" t="s">
        <v>7</v>
      </c>
      <c r="M91" s="9" t="s">
        <v>8</v>
      </c>
      <c r="N91" s="9" t="s">
        <v>9</v>
      </c>
      <c r="O91" s="9" t="s">
        <v>10</v>
      </c>
      <c r="P91" s="44" t="s">
        <v>139</v>
      </c>
      <c r="R91" s="44" t="s">
        <v>134</v>
      </c>
      <c r="S91" s="2"/>
      <c r="T91" s="2"/>
      <c r="U91" s="2"/>
      <c r="V91" s="2"/>
      <c r="W91" s="85"/>
      <c r="X91" s="85"/>
      <c r="Y91" s="13"/>
      <c r="Z91" s="9" t="s">
        <v>3</v>
      </c>
      <c r="AA91" s="9" t="s">
        <v>4</v>
      </c>
      <c r="AB91" s="9" t="s">
        <v>5</v>
      </c>
      <c r="AC91" s="9" t="s">
        <v>6</v>
      </c>
      <c r="AD91" s="9" t="s">
        <v>7</v>
      </c>
      <c r="AE91" s="9" t="s">
        <v>8</v>
      </c>
      <c r="AF91" s="9" t="s">
        <v>9</v>
      </c>
      <c r="AG91" s="9" t="s">
        <v>10</v>
      </c>
      <c r="AH91" s="44" t="s">
        <v>139</v>
      </c>
    </row>
    <row r="92" spans="2:34" x14ac:dyDescent="0.35">
      <c r="C92" s="155">
        <v>3</v>
      </c>
      <c r="E92" s="104" t="s">
        <v>220</v>
      </c>
      <c r="F92" s="141">
        <v>6.0715599999999998</v>
      </c>
      <c r="G92" s="45">
        <v>9.3163699999999992</v>
      </c>
      <c r="H92" s="2">
        <f>G92-F92</f>
        <v>3.2448099999999993</v>
      </c>
      <c r="I92" s="2">
        <f>F93-G92</f>
        <v>8.3417899999999996</v>
      </c>
      <c r="J92" s="2">
        <f>H92/N92</f>
        <v>0.28004850430669909</v>
      </c>
      <c r="K92" s="2">
        <f>I92/N92</f>
        <v>0.71995149569330097</v>
      </c>
      <c r="L92" s="2">
        <f>1/H92</f>
        <v>0.30818445455974314</v>
      </c>
      <c r="M92" s="2">
        <f>1/N92</f>
        <v>8.6306595550031937E-2</v>
      </c>
      <c r="N92" s="2">
        <f>H92+I92</f>
        <v>11.586599999999999</v>
      </c>
      <c r="O92" s="2"/>
      <c r="P92" s="2"/>
      <c r="Q92" s="2"/>
      <c r="R92" t="s">
        <v>217</v>
      </c>
      <c r="S92" s="2"/>
      <c r="T92" s="2"/>
      <c r="U92" s="2"/>
      <c r="V92" s="2"/>
      <c r="W92" s="137" t="s">
        <v>281</v>
      </c>
      <c r="X92" s="85"/>
      <c r="Y92" s="49" t="s">
        <v>77</v>
      </c>
      <c r="Z92" s="13">
        <f>AVERAGE(Z62,Z65:Z66,Z68,Z70,Z73,Z75)</f>
        <v>6.3234400000000006</v>
      </c>
      <c r="AA92" s="13">
        <f t="shared" ref="AA92:AH92" si="78">AVERAGE(AA62,AA65:AA66,AA68,AA70,AA73,AA75)</f>
        <v>12.214335714285713</v>
      </c>
      <c r="AB92" s="13">
        <f t="shared" si="78"/>
        <v>0.34427856114622235</v>
      </c>
      <c r="AC92" s="13">
        <f t="shared" si="78"/>
        <v>0.65572143885377765</v>
      </c>
      <c r="AD92" s="13">
        <f t="shared" si="78"/>
        <v>0.15945606231854867</v>
      </c>
      <c r="AE92" s="13">
        <f t="shared" si="78"/>
        <v>5.4783578346401095E-2</v>
      </c>
      <c r="AF92" s="13">
        <f t="shared" si="78"/>
        <v>18.537775714285715</v>
      </c>
      <c r="AG92" s="13">
        <f t="shared" si="78"/>
        <v>50.285714285714285</v>
      </c>
      <c r="AH92" s="13">
        <f t="shared" si="78"/>
        <v>7.9738650683171466</v>
      </c>
    </row>
    <row r="93" spans="2:34" x14ac:dyDescent="0.35">
      <c r="C93" s="155">
        <v>3</v>
      </c>
      <c r="E93" s="104"/>
      <c r="F93" s="141">
        <v>17.658159999999999</v>
      </c>
      <c r="G93" s="46">
        <v>21.977329999999998</v>
      </c>
      <c r="H93" s="2">
        <f t="shared" ref="H93:H100" si="79">G93-F93</f>
        <v>4.3191699999999997</v>
      </c>
      <c r="I93" s="2">
        <f t="shared" ref="I93:I99" si="80">F94-G93</f>
        <v>8.5634900000000016</v>
      </c>
      <c r="J93" s="2">
        <f t="shared" ref="J93:J99" si="81">H93/N93</f>
        <v>0.33527004516148057</v>
      </c>
      <c r="K93" s="2">
        <f t="shared" ref="K93:K99" si="82">I93/N93</f>
        <v>0.66472995483851938</v>
      </c>
      <c r="L93" s="2">
        <f t="shared" ref="L93:L99" si="83">1/H93</f>
        <v>0.23152596447928656</v>
      </c>
      <c r="M93" s="2">
        <f t="shared" ref="M93:M99" si="84">1/N93</f>
        <v>7.7623720567025739E-2</v>
      </c>
      <c r="N93" s="2">
        <f t="shared" ref="N93:N99" si="85">H93+I93</f>
        <v>12.882660000000001</v>
      </c>
      <c r="O93" s="2"/>
      <c r="P93" s="2"/>
      <c r="Q93" s="2"/>
      <c r="R93" s="2"/>
      <c r="S93" s="2"/>
      <c r="T93" s="2"/>
      <c r="U93" s="2"/>
      <c r="V93" s="2"/>
      <c r="W93" s="85"/>
      <c r="X93" s="85"/>
      <c r="Y93" s="49" t="s">
        <v>94</v>
      </c>
      <c r="Z93" s="2">
        <f>_xlfn.STDEV.S(Z62,Z65:Z66,Z68,Z70,Z73,Z75)</f>
        <v>0.63648116926845</v>
      </c>
      <c r="AA93" s="2">
        <f t="shared" ref="AA93:AH93" si="86">_xlfn.STDEV.S(AA62,AA65:AA66,AA68,AA70,AA73,AA75)</f>
        <v>2.3171293236161694</v>
      </c>
      <c r="AB93" s="2">
        <f t="shared" si="86"/>
        <v>3.9392091535023585E-2</v>
      </c>
      <c r="AC93" s="2">
        <f t="shared" si="86"/>
        <v>3.9392091535023578E-2</v>
      </c>
      <c r="AD93" s="2">
        <f t="shared" si="86"/>
        <v>1.5264280386929849E-2</v>
      </c>
      <c r="AE93" s="2">
        <f t="shared" si="86"/>
        <v>7.0028161772512565E-3</v>
      </c>
      <c r="AF93" s="2">
        <f t="shared" si="86"/>
        <v>2.608589317254701</v>
      </c>
      <c r="AG93" s="2">
        <f t="shared" si="86"/>
        <v>6.1566843271977225</v>
      </c>
      <c r="AH93" s="2">
        <f t="shared" si="86"/>
        <v>0.90592921552113037</v>
      </c>
    </row>
    <row r="94" spans="2:34" x14ac:dyDescent="0.35">
      <c r="C94" s="155">
        <v>3</v>
      </c>
      <c r="E94" s="104"/>
      <c r="F94" s="141">
        <v>30.54082</v>
      </c>
      <c r="G94" s="141">
        <v>35.53781</v>
      </c>
      <c r="H94" s="2">
        <f t="shared" si="79"/>
        <v>4.9969900000000003</v>
      </c>
      <c r="I94" s="2">
        <f t="shared" si="80"/>
        <v>8.8141999999999996</v>
      </c>
      <c r="J94" s="2">
        <f t="shared" si="81"/>
        <v>0.3618073460722791</v>
      </c>
      <c r="K94" s="2">
        <f t="shared" si="82"/>
        <v>0.63819265392772095</v>
      </c>
      <c r="L94" s="2">
        <f t="shared" si="83"/>
        <v>0.20012047252445972</v>
      </c>
      <c r="M94" s="2">
        <f t="shared" si="84"/>
        <v>7.2405057058805219E-2</v>
      </c>
      <c r="N94" s="2">
        <f t="shared" si="85"/>
        <v>13.81119</v>
      </c>
      <c r="W94" s="85"/>
      <c r="X94" s="85"/>
      <c r="Y94" s="49" t="s">
        <v>95</v>
      </c>
      <c r="Z94" s="2">
        <f>Z93/(SQRT(7))</f>
        <v>0.24056726972284645</v>
      </c>
      <c r="AA94" s="2">
        <f t="shared" ref="AA94:AH94" si="87">AA93/(SQRT(7))</f>
        <v>0.87579256369481251</v>
      </c>
      <c r="AB94" s="2">
        <f t="shared" si="87"/>
        <v>1.4888811117766429E-2</v>
      </c>
      <c r="AC94" s="2">
        <f t="shared" si="87"/>
        <v>1.4888811117766427E-2</v>
      </c>
      <c r="AD94" s="2">
        <f t="shared" si="87"/>
        <v>5.7693556923110231E-3</v>
      </c>
      <c r="AE94" s="2">
        <f t="shared" si="87"/>
        <v>2.6468157260152621E-3</v>
      </c>
      <c r="AF94" s="2">
        <f t="shared" si="87"/>
        <v>0.9859540865936729</v>
      </c>
      <c r="AG94" s="2">
        <f t="shared" si="87"/>
        <v>2.3270079472134557</v>
      </c>
      <c r="AH94" s="2">
        <f t="shared" si="87"/>
        <v>0.34240905852810666</v>
      </c>
    </row>
    <row r="95" spans="2:34" x14ac:dyDescent="0.35">
      <c r="C95" s="155">
        <v>3</v>
      </c>
      <c r="E95" s="104" t="s">
        <v>220</v>
      </c>
      <c r="F95" s="141">
        <v>44.35201</v>
      </c>
      <c r="G95" s="45">
        <v>48.620579999999997</v>
      </c>
      <c r="H95" s="2">
        <f t="shared" si="79"/>
        <v>4.2685699999999969</v>
      </c>
      <c r="I95" s="2">
        <f t="shared" si="80"/>
        <v>13.536880000000004</v>
      </c>
      <c r="J95" s="2">
        <f t="shared" si="81"/>
        <v>0.23973390169863704</v>
      </c>
      <c r="K95" s="2">
        <f t="shared" si="82"/>
        <v>0.76026609830136294</v>
      </c>
      <c r="L95" s="2">
        <f t="shared" si="83"/>
        <v>0.2342704933970863</v>
      </c>
      <c r="M95" s="2">
        <f t="shared" si="84"/>
        <v>5.616257943494829E-2</v>
      </c>
      <c r="N95" s="2">
        <f t="shared" si="85"/>
        <v>17.80545</v>
      </c>
    </row>
    <row r="96" spans="2:34" x14ac:dyDescent="0.35">
      <c r="C96" s="155">
        <v>3</v>
      </c>
      <c r="E96" s="104"/>
      <c r="F96" s="141">
        <v>62.15746</v>
      </c>
      <c r="G96" s="45">
        <v>67.626559999999998</v>
      </c>
      <c r="H96" s="2">
        <f t="shared" si="79"/>
        <v>5.4690999999999974</v>
      </c>
      <c r="I96" s="2">
        <f t="shared" si="80"/>
        <v>8.6330300000000051</v>
      </c>
      <c r="J96" s="2">
        <f t="shared" si="81"/>
        <v>0.38782084692170588</v>
      </c>
      <c r="K96" s="2">
        <f t="shared" si="82"/>
        <v>0.61217915307829407</v>
      </c>
      <c r="L96" s="2">
        <f t="shared" si="83"/>
        <v>0.18284544074893502</v>
      </c>
      <c r="M96" s="2">
        <f t="shared" si="84"/>
        <v>7.0911273687024573E-2</v>
      </c>
      <c r="N96" s="2">
        <f t="shared" si="85"/>
        <v>14.102130000000002</v>
      </c>
    </row>
    <row r="97" spans="3:18" x14ac:dyDescent="0.35">
      <c r="C97" s="155">
        <v>3</v>
      </c>
      <c r="E97" s="104" t="s">
        <v>220</v>
      </c>
      <c r="F97" s="141">
        <v>76.259590000000003</v>
      </c>
      <c r="G97" s="45">
        <v>81.975759999999994</v>
      </c>
      <c r="H97" s="2">
        <f t="shared" si="79"/>
        <v>5.7161699999999911</v>
      </c>
      <c r="I97" s="2">
        <f t="shared" si="80"/>
        <v>11.974400000000003</v>
      </c>
      <c r="J97" s="2">
        <f t="shared" si="81"/>
        <v>0.32311960552995145</v>
      </c>
      <c r="K97" s="2">
        <f t="shared" si="82"/>
        <v>0.67688039447004855</v>
      </c>
      <c r="L97" s="2">
        <f t="shared" si="83"/>
        <v>0.17494231277236358</v>
      </c>
      <c r="M97" s="2">
        <f t="shared" si="84"/>
        <v>5.6527291093503511E-2</v>
      </c>
      <c r="N97" s="2">
        <f t="shared" si="85"/>
        <v>17.690569999999994</v>
      </c>
    </row>
    <row r="98" spans="3:18" x14ac:dyDescent="0.35">
      <c r="C98" s="155">
        <v>3</v>
      </c>
      <c r="F98" s="141">
        <v>93.950159999999997</v>
      </c>
      <c r="G98" s="141">
        <v>99.289019999999994</v>
      </c>
      <c r="H98" s="2">
        <f t="shared" si="79"/>
        <v>5.3388599999999968</v>
      </c>
      <c r="I98" s="2">
        <f t="shared" si="80"/>
        <v>7.4037600000000054</v>
      </c>
      <c r="J98" s="2">
        <f t="shared" si="81"/>
        <v>0.41897663117945882</v>
      </c>
      <c r="K98" s="2">
        <f t="shared" si="82"/>
        <v>0.58102336882054118</v>
      </c>
      <c r="L98" s="2">
        <f t="shared" si="83"/>
        <v>0.18730590425671409</v>
      </c>
      <c r="M98" s="2">
        <f t="shared" si="84"/>
        <v>7.8476796765500331E-2</v>
      </c>
      <c r="N98" s="2">
        <f t="shared" si="85"/>
        <v>12.742620000000002</v>
      </c>
    </row>
    <row r="99" spans="3:18" x14ac:dyDescent="0.35">
      <c r="C99" s="155">
        <v>3</v>
      </c>
      <c r="E99" s="104"/>
      <c r="F99" s="141">
        <v>106.69278</v>
      </c>
      <c r="G99" s="45">
        <v>110.73459</v>
      </c>
      <c r="H99" s="2">
        <f t="shared" si="79"/>
        <v>4.0418099999999981</v>
      </c>
      <c r="I99" s="2">
        <f t="shared" si="80"/>
        <v>7.3148300000000006</v>
      </c>
      <c r="J99" s="2">
        <f t="shared" si="81"/>
        <v>0.35589839952662045</v>
      </c>
      <c r="K99" s="2">
        <f t="shared" si="82"/>
        <v>0.64410160047337961</v>
      </c>
      <c r="L99" s="2">
        <f t="shared" si="83"/>
        <v>0.24741390614600894</v>
      </c>
      <c r="M99" s="2">
        <f t="shared" si="84"/>
        <v>8.805421321799406E-2</v>
      </c>
      <c r="N99" s="2">
        <f t="shared" si="85"/>
        <v>11.356639999999999</v>
      </c>
    </row>
    <row r="100" spans="3:18" x14ac:dyDescent="0.35">
      <c r="C100" s="155">
        <v>3</v>
      </c>
      <c r="E100" s="104"/>
      <c r="F100" s="141">
        <v>118.04942</v>
      </c>
      <c r="G100" s="45">
        <v>119.74625</v>
      </c>
      <c r="H100" s="2">
        <f t="shared" si="79"/>
        <v>1.6968300000000056</v>
      </c>
      <c r="I100" s="2"/>
      <c r="J100" s="2"/>
      <c r="K100" s="2"/>
      <c r="L100" s="2"/>
      <c r="M100" s="2"/>
      <c r="N100" s="2"/>
    </row>
    <row r="101" spans="3:18" x14ac:dyDescent="0.35">
      <c r="C101" s="155"/>
      <c r="E101" s="104"/>
      <c r="F101" s="104"/>
      <c r="G101" s="49"/>
    </row>
    <row r="102" spans="3:18" ht="16" thickBot="1" x14ac:dyDescent="0.4">
      <c r="C102" s="155"/>
      <c r="G102" s="13"/>
      <c r="H102" s="9" t="s">
        <v>3</v>
      </c>
      <c r="I102" s="9" t="s">
        <v>4</v>
      </c>
      <c r="J102" s="9" t="s">
        <v>5</v>
      </c>
      <c r="K102" s="9" t="s">
        <v>6</v>
      </c>
      <c r="L102" s="9" t="s">
        <v>7</v>
      </c>
      <c r="M102" s="9" t="s">
        <v>8</v>
      </c>
      <c r="N102" s="9" t="s">
        <v>9</v>
      </c>
      <c r="O102" s="9" t="s">
        <v>10</v>
      </c>
      <c r="P102" s="44" t="s">
        <v>139</v>
      </c>
    </row>
    <row r="103" spans="3:18" x14ac:dyDescent="0.35">
      <c r="C103" s="155"/>
      <c r="G103" s="49" t="s">
        <v>77</v>
      </c>
      <c r="H103" s="13">
        <f t="shared" ref="H103:N103" si="88">AVERAGE(H93,H94,H96,H98,H99)</f>
        <v>4.8331859999999986</v>
      </c>
      <c r="I103" s="13">
        <f t="shared" si="88"/>
        <v>8.1458620000000028</v>
      </c>
      <c r="J103" s="13">
        <f t="shared" si="88"/>
        <v>0.37195465377230896</v>
      </c>
      <c r="K103" s="13">
        <f t="shared" si="88"/>
        <v>0.62804534622769093</v>
      </c>
      <c r="L103" s="13">
        <f t="shared" si="88"/>
        <v>0.20984233763108087</v>
      </c>
      <c r="M103" s="13">
        <f t="shared" si="88"/>
        <v>7.7494212259269973E-2</v>
      </c>
      <c r="N103" s="13">
        <f t="shared" si="88"/>
        <v>12.979048000000001</v>
      </c>
      <c r="O103" s="13" t="e">
        <f>AVERAGE(O92:O100)</f>
        <v>#DIV/0!</v>
      </c>
      <c r="P103" s="13" t="e">
        <f>AVERAGE(P92:P100)</f>
        <v>#DIV/0!</v>
      </c>
    </row>
    <row r="104" spans="3:18" x14ac:dyDescent="0.35">
      <c r="C104" s="155"/>
      <c r="G104" s="49" t="s">
        <v>94</v>
      </c>
      <c r="H104" s="2">
        <f>_xlfn.STDEV.S(H93,H94,H96,H98,H99)</f>
        <v>0.62797551340000546</v>
      </c>
      <c r="I104" s="2">
        <f t="shared" ref="I104:N104" si="89">_xlfn.STDEV.S(I93,I94,I96,I98,I99)</f>
        <v>0.72452588847466259</v>
      </c>
      <c r="J104" s="2">
        <f t="shared" si="89"/>
        <v>3.2285190518345337E-2</v>
      </c>
      <c r="K104" s="2">
        <f t="shared" si="89"/>
        <v>3.2285190518345337E-2</v>
      </c>
      <c r="L104" s="2">
        <f t="shared" si="89"/>
        <v>2.8341843472231922E-2</v>
      </c>
      <c r="M104" s="2">
        <f t="shared" si="89"/>
        <v>6.740371760190403E-3</v>
      </c>
      <c r="N104" s="2">
        <f t="shared" si="89"/>
        <v>1.0783285736592545</v>
      </c>
      <c r="O104" s="2" t="e">
        <f>_xlfn.STDEV.S(O92:O100)</f>
        <v>#DIV/0!</v>
      </c>
      <c r="P104" s="2" t="e">
        <f>_xlfn.STDEV.S(P92:P100)</f>
        <v>#DIV/0!</v>
      </c>
    </row>
    <row r="105" spans="3:18" x14ac:dyDescent="0.35">
      <c r="C105" s="155"/>
      <c r="G105" s="49" t="s">
        <v>95</v>
      </c>
      <c r="H105" s="2">
        <f>H104/(SQRT(COUNT(H93,H94,H96,H98,H99)))</f>
        <v>0.28083918723354845</v>
      </c>
      <c r="I105" s="2">
        <f t="shared" ref="I105:N105" si="90">I104/(SQRT(COUNT(I93,I94,I96,I98,I99)))</f>
        <v>0.32401782761755538</v>
      </c>
      <c r="J105" s="2">
        <f t="shared" si="90"/>
        <v>1.4438376133110368E-2</v>
      </c>
      <c r="K105" s="2">
        <f t="shared" si="90"/>
        <v>1.4438376133110368E-2</v>
      </c>
      <c r="L105" s="2">
        <f t="shared" si="90"/>
        <v>1.2674857722313849E-2</v>
      </c>
      <c r="M105" s="2">
        <f t="shared" si="90"/>
        <v>3.0143858898811302E-3</v>
      </c>
      <c r="N105" s="2">
        <f t="shared" si="90"/>
        <v>0.48224319855649644</v>
      </c>
      <c r="O105" s="2" t="e">
        <f>O104/(SQRT(COUNT(O92:O100)))</f>
        <v>#DIV/0!</v>
      </c>
      <c r="P105" s="2" t="e">
        <f>P104/(SQRT(COUNT(P92:P100)))</f>
        <v>#DIV/0!</v>
      </c>
    </row>
    <row r="106" spans="3:18" x14ac:dyDescent="0.35">
      <c r="C106" s="155"/>
      <c r="G106" s="13"/>
      <c r="H106" s="2"/>
      <c r="I106" s="2"/>
      <c r="J106" s="2"/>
      <c r="K106" s="2"/>
      <c r="L106" s="2"/>
      <c r="M106" s="2"/>
      <c r="N106" s="2"/>
      <c r="O106" s="2"/>
    </row>
    <row r="107" spans="3:18" ht="24" thickBot="1" x14ac:dyDescent="0.6">
      <c r="C107" s="155" t="s">
        <v>216</v>
      </c>
      <c r="F107" s="9" t="s">
        <v>1</v>
      </c>
      <c r="G107" s="9" t="s">
        <v>2</v>
      </c>
      <c r="H107" s="9" t="s">
        <v>3</v>
      </c>
      <c r="I107" s="9" t="s">
        <v>4</v>
      </c>
      <c r="J107" s="9" t="s">
        <v>5</v>
      </c>
      <c r="K107" s="9" t="s">
        <v>6</v>
      </c>
      <c r="L107" s="9" t="s">
        <v>7</v>
      </c>
      <c r="M107" s="9" t="s">
        <v>8</v>
      </c>
      <c r="N107" s="9" t="s">
        <v>9</v>
      </c>
      <c r="O107" s="9" t="s">
        <v>10</v>
      </c>
      <c r="P107" s="44" t="s">
        <v>139</v>
      </c>
    </row>
    <row r="108" spans="3:18" x14ac:dyDescent="0.35">
      <c r="C108" s="155">
        <v>5</v>
      </c>
      <c r="F108">
        <v>11.438230000000001</v>
      </c>
      <c r="G108">
        <v>17.00939</v>
      </c>
      <c r="H108" s="2">
        <f>G108-F108</f>
        <v>5.571159999999999</v>
      </c>
      <c r="I108" s="2">
        <f>F109-G108</f>
        <v>9.9702200000000012</v>
      </c>
      <c r="J108" s="2">
        <f>H108/N108</f>
        <v>0.35847267102406599</v>
      </c>
      <c r="K108" s="2">
        <f>I108/N108</f>
        <v>0.64152732897593401</v>
      </c>
      <c r="L108" s="2">
        <f>1/H108</f>
        <v>0.17949583210677852</v>
      </c>
      <c r="M108" s="2">
        <f>1/N108</f>
        <v>6.4344350373004192E-2</v>
      </c>
      <c r="N108" s="2">
        <f>H108+I108</f>
        <v>15.54138</v>
      </c>
      <c r="R108" t="s">
        <v>218</v>
      </c>
    </row>
    <row r="109" spans="3:18" x14ac:dyDescent="0.35">
      <c r="C109" s="155">
        <v>5</v>
      </c>
      <c r="E109" s="104" t="s">
        <v>220</v>
      </c>
      <c r="F109">
        <v>26.979610000000001</v>
      </c>
      <c r="G109">
        <v>31.320830000000001</v>
      </c>
      <c r="H109" s="2">
        <f t="shared" ref="H109:H115" si="91">G109-F109</f>
        <v>4.3412199999999999</v>
      </c>
      <c r="I109" s="2">
        <f t="shared" ref="I109:I114" si="92">F110-G109</f>
        <v>8.5937899999999985</v>
      </c>
      <c r="J109" s="2">
        <f t="shared" ref="J109:J114" si="93">H109/N109</f>
        <v>0.33561783098737463</v>
      </c>
      <c r="K109" s="2">
        <f t="shared" ref="K109:K114" si="94">I109/N109</f>
        <v>0.66438216901262537</v>
      </c>
      <c r="L109" s="2">
        <f t="shared" ref="L109:L114" si="95">1/H109</f>
        <v>0.23034999378055018</v>
      </c>
      <c r="M109" s="2">
        <f t="shared" ref="M109:M114" si="96">1/N109</f>
        <v>7.7309565280583484E-2</v>
      </c>
      <c r="N109" s="2">
        <f t="shared" ref="N109:N114" si="97">H109+I109</f>
        <v>12.935009999999998</v>
      </c>
    </row>
    <row r="110" spans="3:18" x14ac:dyDescent="0.35">
      <c r="C110" s="155">
        <v>5</v>
      </c>
      <c r="F110">
        <v>39.914619999999999</v>
      </c>
      <c r="G110">
        <v>45.563099999999999</v>
      </c>
      <c r="H110" s="2">
        <f t="shared" si="91"/>
        <v>5.6484799999999993</v>
      </c>
      <c r="I110" s="2">
        <f t="shared" si="92"/>
        <v>9.757480000000001</v>
      </c>
      <c r="J110" s="2">
        <f t="shared" si="93"/>
        <v>0.36664252016751953</v>
      </c>
      <c r="K110" s="2">
        <f t="shared" si="94"/>
        <v>0.63335747983248047</v>
      </c>
      <c r="L110" s="2">
        <f t="shared" si="95"/>
        <v>0.17703877857405889</v>
      </c>
      <c r="M110" s="2">
        <f t="shared" si="96"/>
        <v>6.4909943943772405E-2</v>
      </c>
      <c r="N110" s="2">
        <f t="shared" si="97"/>
        <v>15.40596</v>
      </c>
    </row>
    <row r="111" spans="3:18" x14ac:dyDescent="0.35">
      <c r="C111" s="155">
        <v>5</v>
      </c>
      <c r="F111">
        <v>55.32058</v>
      </c>
      <c r="G111">
        <v>60.760590000000001</v>
      </c>
      <c r="H111" s="2">
        <f t="shared" si="91"/>
        <v>5.4400100000000009</v>
      </c>
      <c r="I111" s="2">
        <f t="shared" si="92"/>
        <v>8.6695700000000002</v>
      </c>
      <c r="J111" s="2">
        <f t="shared" si="93"/>
        <v>0.38555435385036269</v>
      </c>
      <c r="K111" s="2">
        <f t="shared" si="94"/>
        <v>0.61444564614963726</v>
      </c>
      <c r="L111" s="2">
        <f t="shared" si="95"/>
        <v>0.18382319150148618</v>
      </c>
      <c r="M111" s="2">
        <f t="shared" si="96"/>
        <v>7.0873831822066982E-2</v>
      </c>
      <c r="N111" s="2">
        <f t="shared" si="97"/>
        <v>14.109580000000001</v>
      </c>
    </row>
    <row r="112" spans="3:18" x14ac:dyDescent="0.35">
      <c r="C112" s="155">
        <v>5</v>
      </c>
      <c r="F112">
        <v>69.430160000000001</v>
      </c>
      <c r="G112">
        <v>74.722719999999995</v>
      </c>
      <c r="H112" s="2">
        <f t="shared" si="91"/>
        <v>5.2925599999999946</v>
      </c>
      <c r="I112" s="2">
        <f t="shared" si="92"/>
        <v>8.8860300000000052</v>
      </c>
      <c r="J112" s="2">
        <f t="shared" si="93"/>
        <v>0.37327830200323125</v>
      </c>
      <c r="K112" s="2">
        <f t="shared" si="94"/>
        <v>0.62672169799676869</v>
      </c>
      <c r="L112" s="2">
        <f t="shared" si="95"/>
        <v>0.18894448055383425</v>
      </c>
      <c r="M112" s="2">
        <f t="shared" si="96"/>
        <v>7.0528874874017794E-2</v>
      </c>
      <c r="N112" s="2">
        <f t="shared" si="97"/>
        <v>14.17859</v>
      </c>
    </row>
    <row r="113" spans="3:18" x14ac:dyDescent="0.35">
      <c r="C113" s="155">
        <v>5</v>
      </c>
      <c r="E113" s="104" t="s">
        <v>220</v>
      </c>
      <c r="F113">
        <v>83.608750000000001</v>
      </c>
      <c r="G113">
        <v>87.857100000000003</v>
      </c>
      <c r="H113" s="2">
        <f t="shared" si="91"/>
        <v>4.2483500000000021</v>
      </c>
      <c r="I113" s="2">
        <f t="shared" si="92"/>
        <v>9.8770299999999907</v>
      </c>
      <c r="J113" s="2">
        <f t="shared" si="93"/>
        <v>0.30076005034908826</v>
      </c>
      <c r="K113" s="2">
        <f t="shared" si="94"/>
        <v>0.69923994965091174</v>
      </c>
      <c r="L113" s="2">
        <f t="shared" si="95"/>
        <v>0.23538550260689434</v>
      </c>
      <c r="M113" s="2">
        <f t="shared" si="96"/>
        <v>7.0794555615494983E-2</v>
      </c>
      <c r="N113" s="2">
        <f t="shared" si="97"/>
        <v>14.125379999999993</v>
      </c>
    </row>
    <row r="114" spans="3:18" x14ac:dyDescent="0.35">
      <c r="C114" s="155">
        <v>5</v>
      </c>
      <c r="F114">
        <v>97.734129999999993</v>
      </c>
      <c r="G114">
        <v>103.02285000000001</v>
      </c>
      <c r="H114" s="2">
        <f t="shared" si="91"/>
        <v>5.2887200000000121</v>
      </c>
      <c r="I114" s="2">
        <f t="shared" si="92"/>
        <v>10.216929999999991</v>
      </c>
      <c r="J114" s="2">
        <f t="shared" si="93"/>
        <v>0.34108341153063632</v>
      </c>
      <c r="K114" s="2">
        <f t="shared" si="94"/>
        <v>0.65891658846936363</v>
      </c>
      <c r="L114" s="2">
        <f t="shared" si="95"/>
        <v>0.18908166815410868</v>
      </c>
      <c r="M114" s="2">
        <f t="shared" si="96"/>
        <v>6.4492620431907066E-2</v>
      </c>
      <c r="N114" s="2">
        <f t="shared" si="97"/>
        <v>15.505650000000003</v>
      </c>
    </row>
    <row r="115" spans="3:18" x14ac:dyDescent="0.35">
      <c r="C115" s="155">
        <v>5</v>
      </c>
      <c r="F115">
        <v>113.23978</v>
      </c>
      <c r="G115">
        <v>118.64959</v>
      </c>
      <c r="H115" s="2">
        <f t="shared" si="91"/>
        <v>5.4098100000000073</v>
      </c>
      <c r="I115" s="2"/>
      <c r="J115" s="2"/>
      <c r="K115" s="2"/>
      <c r="L115" s="2"/>
      <c r="M115" s="2"/>
      <c r="N115" s="2"/>
    </row>
    <row r="116" spans="3:18" x14ac:dyDescent="0.35">
      <c r="C116" s="155"/>
    </row>
    <row r="117" spans="3:18" ht="16" thickBot="1" x14ac:dyDescent="0.4">
      <c r="C117" s="155"/>
      <c r="G117" s="13"/>
      <c r="H117" s="9" t="s">
        <v>3</v>
      </c>
      <c r="I117" s="9" t="s">
        <v>4</v>
      </c>
      <c r="J117" s="9" t="s">
        <v>5</v>
      </c>
      <c r="K117" s="9" t="s">
        <v>6</v>
      </c>
      <c r="L117" s="9" t="s">
        <v>7</v>
      </c>
      <c r="M117" s="9" t="s">
        <v>8</v>
      </c>
      <c r="N117" s="9" t="s">
        <v>9</v>
      </c>
      <c r="O117" s="9" t="s">
        <v>10</v>
      </c>
      <c r="P117" s="44" t="s">
        <v>139</v>
      </c>
    </row>
    <row r="118" spans="3:18" x14ac:dyDescent="0.35">
      <c r="C118" s="155"/>
      <c r="G118" s="49" t="s">
        <v>77</v>
      </c>
      <c r="H118" s="13">
        <f>AVERAGE(H108,H110,H111,H112,H114)</f>
        <v>5.4481860000000015</v>
      </c>
      <c r="I118" s="13">
        <f t="shared" ref="I118:N118" si="98">AVERAGE(I108,I110,I111,I112,I114)</f>
        <v>9.5000460000000011</v>
      </c>
      <c r="J118" s="13">
        <f t="shared" si="98"/>
        <v>0.36500625171516315</v>
      </c>
      <c r="K118" s="13">
        <f t="shared" si="98"/>
        <v>0.63499374828483679</v>
      </c>
      <c r="L118" s="13">
        <f t="shared" si="98"/>
        <v>0.18367679017805333</v>
      </c>
      <c r="M118" s="13">
        <f t="shared" si="98"/>
        <v>6.7029924288953685E-2</v>
      </c>
      <c r="N118" s="13">
        <f t="shared" si="98"/>
        <v>14.948232000000001</v>
      </c>
      <c r="O118" s="13" t="e">
        <f>AVERAGE(O107:O115)</f>
        <v>#DIV/0!</v>
      </c>
      <c r="P118" s="13" t="e">
        <f>AVERAGE(P107:P115)</f>
        <v>#DIV/0!</v>
      </c>
    </row>
    <row r="119" spans="3:18" x14ac:dyDescent="0.35">
      <c r="C119" s="155"/>
      <c r="G119" s="49" t="s">
        <v>94</v>
      </c>
      <c r="H119" s="2">
        <f>_xlfn.STDEV.S(H108,H110,H111,H112,H114)</f>
        <v>0.1619845634003417</v>
      </c>
      <c r="I119" s="2">
        <f t="shared" ref="I119:N119" si="99">_xlfn.STDEV.S(I108,I110,I111,I112,I114)</f>
        <v>0.68336749976128908</v>
      </c>
      <c r="J119" s="2">
        <f t="shared" si="99"/>
        <v>1.6645710039801438E-2</v>
      </c>
      <c r="K119" s="2">
        <f t="shared" si="99"/>
        <v>1.6645710039801441E-2</v>
      </c>
      <c r="L119" s="2">
        <f t="shared" si="99"/>
        <v>5.4434894513347041E-3</v>
      </c>
      <c r="M119" s="2">
        <f t="shared" si="99"/>
        <v>3.3601642483966653E-3</v>
      </c>
      <c r="N119" s="2">
        <f t="shared" si="99"/>
        <v>0.73616239442802323</v>
      </c>
      <c r="O119" s="2" t="e">
        <f>_xlfn.STDEV.S(O107:O115)</f>
        <v>#DIV/0!</v>
      </c>
      <c r="P119" s="2" t="e">
        <f>_xlfn.STDEV.S(P107:P115)</f>
        <v>#DIV/0!</v>
      </c>
    </row>
    <row r="120" spans="3:18" x14ac:dyDescent="0.35">
      <c r="C120" s="155"/>
      <c r="G120" s="49" t="s">
        <v>95</v>
      </c>
      <c r="H120" s="2">
        <f>H119/(SQRT(COUNT(H108,H110,H111,H112,H114)))</f>
        <v>7.2441699013757702E-2</v>
      </c>
      <c r="I120" s="2">
        <f t="shared" ref="I120:N120" si="100">I119/(SQRT(COUNT(I108,I110,I111,I112,I114)))</f>
        <v>0.30561123661606271</v>
      </c>
      <c r="J120" s="2">
        <f t="shared" si="100"/>
        <v>7.4441878365493486E-3</v>
      </c>
      <c r="K120" s="2">
        <f t="shared" si="100"/>
        <v>7.4441878365493503E-3</v>
      </c>
      <c r="L120" s="2">
        <f t="shared" si="100"/>
        <v>2.4344024895974863E-3</v>
      </c>
      <c r="M120" s="2">
        <f t="shared" si="100"/>
        <v>1.5027111349958863E-3</v>
      </c>
      <c r="N120" s="2">
        <f t="shared" si="100"/>
        <v>0.32922183128401444</v>
      </c>
      <c r="O120" s="2" t="e">
        <f>O119/(SQRT(COUNT(O107:O115)))</f>
        <v>#DIV/0!</v>
      </c>
      <c r="P120" s="2" t="e">
        <f>P119/(SQRT(COUNT(P107:P115)))</f>
        <v>#DIV/0!</v>
      </c>
    </row>
    <row r="121" spans="3:18" x14ac:dyDescent="0.35">
      <c r="C121" s="155"/>
    </row>
    <row r="122" spans="3:18" ht="24" thickBot="1" x14ac:dyDescent="0.6">
      <c r="C122" s="155" t="s">
        <v>216</v>
      </c>
      <c r="F122" s="9" t="s">
        <v>1</v>
      </c>
      <c r="G122" s="9" t="s">
        <v>2</v>
      </c>
      <c r="H122" s="9" t="s">
        <v>3</v>
      </c>
      <c r="I122" s="9" t="s">
        <v>4</v>
      </c>
      <c r="J122" s="9" t="s">
        <v>5</v>
      </c>
      <c r="K122" s="9" t="s">
        <v>6</v>
      </c>
      <c r="L122" s="9" t="s">
        <v>7</v>
      </c>
      <c r="M122" s="9" t="s">
        <v>8</v>
      </c>
      <c r="N122" s="9" t="s">
        <v>9</v>
      </c>
      <c r="O122" s="9" t="s">
        <v>10</v>
      </c>
      <c r="P122" s="44" t="s">
        <v>139</v>
      </c>
    </row>
    <row r="123" spans="3:18" x14ac:dyDescent="0.35">
      <c r="C123" s="155">
        <v>0</v>
      </c>
      <c r="F123">
        <v>11.31606</v>
      </c>
      <c r="G123">
        <v>14.85976</v>
      </c>
      <c r="H123" s="2">
        <f>G123-F123</f>
        <v>3.5436999999999994</v>
      </c>
      <c r="I123" s="2">
        <f>F124-G123</f>
        <v>10.646310000000001</v>
      </c>
      <c r="J123" s="2">
        <f>H123/N123</f>
        <v>0.249732029787153</v>
      </c>
      <c r="K123" s="2">
        <f>I123/N123</f>
        <v>0.75026797021284697</v>
      </c>
      <c r="L123" s="2">
        <f>1/H123</f>
        <v>0.28219093038349752</v>
      </c>
      <c r="M123" s="2">
        <f>1/N123</f>
        <v>7.0472113832196023E-2</v>
      </c>
      <c r="N123" s="2">
        <f>H123+I123</f>
        <v>14.190010000000001</v>
      </c>
      <c r="R123" t="s">
        <v>219</v>
      </c>
    </row>
    <row r="124" spans="3:18" x14ac:dyDescent="0.35">
      <c r="C124" s="155">
        <v>0</v>
      </c>
      <c r="F124">
        <v>25.506070000000001</v>
      </c>
      <c r="G124">
        <v>30.773700000000002</v>
      </c>
      <c r="H124" s="2">
        <f t="shared" ref="H124:H130" si="101">G124-F124</f>
        <v>5.2676300000000005</v>
      </c>
      <c r="I124" s="2">
        <f t="shared" ref="I124:I129" si="102">F125-G124</f>
        <v>10.207979999999996</v>
      </c>
      <c r="J124" s="2">
        <f t="shared" ref="J124:J129" si="103">H124/N124</f>
        <v>0.34038270543132076</v>
      </c>
      <c r="K124" s="2">
        <f t="shared" ref="K124:K129" si="104">I124/N124</f>
        <v>0.65961729456867924</v>
      </c>
      <c r="L124" s="2">
        <f t="shared" ref="L124:L129" si="105">1/H124</f>
        <v>0.18983869406165579</v>
      </c>
      <c r="M124" s="2">
        <f t="shared" ref="M124:M129" si="106">1/N124</f>
        <v>6.4617808280255207E-2</v>
      </c>
      <c r="N124" s="2">
        <f t="shared" ref="N124:N129" si="107">H124+I124</f>
        <v>15.475609999999996</v>
      </c>
    </row>
    <row r="125" spans="3:18" x14ac:dyDescent="0.35">
      <c r="C125" s="155">
        <v>0</v>
      </c>
      <c r="E125" s="104" t="s">
        <v>220</v>
      </c>
      <c r="F125">
        <v>40.981679999999997</v>
      </c>
      <c r="G125">
        <v>44.318089999999998</v>
      </c>
      <c r="H125" s="2">
        <f t="shared" si="101"/>
        <v>3.3364100000000008</v>
      </c>
      <c r="I125" s="2">
        <f t="shared" si="102"/>
        <v>8.2543000000000006</v>
      </c>
      <c r="J125" s="2">
        <f t="shared" si="103"/>
        <v>0.2878520815377143</v>
      </c>
      <c r="K125" s="2">
        <f t="shared" si="104"/>
        <v>0.71214791846228576</v>
      </c>
      <c r="L125" s="2">
        <f t="shared" si="105"/>
        <v>0.29972335534301831</v>
      </c>
      <c r="M125" s="2">
        <f t="shared" si="106"/>
        <v>8.6275991720955819E-2</v>
      </c>
      <c r="N125" s="2">
        <f t="shared" si="107"/>
        <v>11.590710000000001</v>
      </c>
    </row>
    <row r="126" spans="3:18" x14ac:dyDescent="0.35">
      <c r="C126" s="155">
        <v>0</v>
      </c>
      <c r="F126">
        <v>52.572389999999999</v>
      </c>
      <c r="G126">
        <v>56.683129999999998</v>
      </c>
      <c r="H126" s="2">
        <f t="shared" si="101"/>
        <v>4.1107399999999998</v>
      </c>
      <c r="I126" s="2">
        <f t="shared" si="102"/>
        <v>10.152750000000005</v>
      </c>
      <c r="J126" s="2">
        <f t="shared" si="103"/>
        <v>0.28820015297798773</v>
      </c>
      <c r="K126" s="2">
        <f t="shared" si="104"/>
        <v>0.71179984702201227</v>
      </c>
      <c r="L126" s="2">
        <f t="shared" si="105"/>
        <v>0.24326520285885267</v>
      </c>
      <c r="M126" s="2">
        <f t="shared" si="106"/>
        <v>7.0109068678142566E-2</v>
      </c>
      <c r="N126" s="2">
        <f t="shared" si="107"/>
        <v>14.263490000000004</v>
      </c>
    </row>
    <row r="127" spans="3:18" x14ac:dyDescent="0.35">
      <c r="C127" s="155">
        <v>0</v>
      </c>
      <c r="F127">
        <v>66.835880000000003</v>
      </c>
      <c r="G127">
        <v>70.71705</v>
      </c>
      <c r="H127" s="2">
        <f t="shared" si="101"/>
        <v>3.8811699999999973</v>
      </c>
      <c r="I127" s="2">
        <f t="shared" si="102"/>
        <v>10.117620000000002</v>
      </c>
      <c r="J127" s="2">
        <f t="shared" si="103"/>
        <v>0.27725039092664422</v>
      </c>
      <c r="K127" s="2">
        <f t="shared" si="104"/>
        <v>0.72274960907335584</v>
      </c>
      <c r="L127" s="2">
        <f t="shared" si="105"/>
        <v>0.25765426404924308</v>
      </c>
      <c r="M127" s="2">
        <f t="shared" si="106"/>
        <v>7.1434745431569441E-2</v>
      </c>
      <c r="N127" s="2">
        <f t="shared" si="107"/>
        <v>13.99879</v>
      </c>
    </row>
    <row r="128" spans="3:18" x14ac:dyDescent="0.35">
      <c r="C128" s="155">
        <v>0</v>
      </c>
      <c r="F128">
        <v>80.834670000000003</v>
      </c>
      <c r="G128">
        <v>84.746449999999996</v>
      </c>
      <c r="H128" s="2">
        <f t="shared" si="101"/>
        <v>3.9117799999999932</v>
      </c>
      <c r="I128" s="2">
        <f t="shared" si="102"/>
        <v>10.177810000000008</v>
      </c>
      <c r="J128" s="2">
        <f t="shared" si="103"/>
        <v>0.27763618387759992</v>
      </c>
      <c r="K128" s="2">
        <f t="shared" si="104"/>
        <v>0.72236381612240008</v>
      </c>
      <c r="L128" s="2">
        <f t="shared" si="105"/>
        <v>0.25563809825705991</v>
      </c>
      <c r="M128" s="2">
        <f t="shared" si="106"/>
        <v>7.0974386053817035E-2</v>
      </c>
      <c r="N128" s="2">
        <f t="shared" si="107"/>
        <v>14.089590000000001</v>
      </c>
    </row>
    <row r="129" spans="3:18" x14ac:dyDescent="0.35">
      <c r="C129" s="155">
        <v>0</v>
      </c>
      <c r="E129" s="104" t="s">
        <v>220</v>
      </c>
      <c r="F129">
        <v>94.924260000000004</v>
      </c>
      <c r="G129">
        <v>99.38279</v>
      </c>
      <c r="H129" s="2">
        <f t="shared" si="101"/>
        <v>4.4585299999999961</v>
      </c>
      <c r="I129" s="2">
        <f t="shared" si="102"/>
        <v>8.3821400000000068</v>
      </c>
      <c r="J129" s="2">
        <f t="shared" si="103"/>
        <v>0.34721942079346291</v>
      </c>
      <c r="K129" s="2">
        <f t="shared" si="104"/>
        <v>0.65278057920653709</v>
      </c>
      <c r="L129" s="2">
        <f t="shared" si="105"/>
        <v>0.22428917154308728</v>
      </c>
      <c r="M129" s="2">
        <f t="shared" si="106"/>
        <v>7.7877556233436396E-2</v>
      </c>
      <c r="N129" s="2">
        <f t="shared" si="107"/>
        <v>12.840670000000003</v>
      </c>
    </row>
    <row r="130" spans="3:18" x14ac:dyDescent="0.35">
      <c r="C130" s="155">
        <v>0</v>
      </c>
      <c r="F130">
        <v>107.76493000000001</v>
      </c>
      <c r="G130">
        <v>113.32576</v>
      </c>
      <c r="H130" s="2">
        <f t="shared" si="101"/>
        <v>5.5608299999999957</v>
      </c>
      <c r="I130" s="2"/>
      <c r="J130" s="2"/>
      <c r="K130" s="2"/>
      <c r="L130" s="2"/>
      <c r="M130" s="2"/>
      <c r="N130" s="2"/>
    </row>
    <row r="131" spans="3:18" x14ac:dyDescent="0.35">
      <c r="C131" s="155"/>
    </row>
    <row r="132" spans="3:18" ht="16" thickBot="1" x14ac:dyDescent="0.4">
      <c r="C132" s="155"/>
      <c r="G132" s="13"/>
      <c r="H132" s="9" t="s">
        <v>3</v>
      </c>
      <c r="I132" s="9" t="s">
        <v>4</v>
      </c>
      <c r="J132" s="9" t="s">
        <v>5</v>
      </c>
      <c r="K132" s="9" t="s">
        <v>6</v>
      </c>
      <c r="L132" s="9" t="s">
        <v>7</v>
      </c>
      <c r="M132" s="9" t="s">
        <v>8</v>
      </c>
      <c r="N132" s="9" t="s">
        <v>9</v>
      </c>
      <c r="O132" s="9" t="s">
        <v>10</v>
      </c>
      <c r="P132" s="44" t="s">
        <v>139</v>
      </c>
    </row>
    <row r="133" spans="3:18" x14ac:dyDescent="0.35">
      <c r="C133" s="155"/>
      <c r="G133" s="49" t="s">
        <v>77</v>
      </c>
      <c r="H133" s="13">
        <f>AVERAGE(H123,H124,H126,H127,H128)</f>
        <v>4.1430039999999977</v>
      </c>
      <c r="I133" s="13">
        <f t="shared" ref="I133:N133" si="108">AVERAGE(I123,I124,I126,I127,I128)</f>
        <v>10.260494000000003</v>
      </c>
      <c r="J133" s="13">
        <f t="shared" si="108"/>
        <v>0.28664029260014112</v>
      </c>
      <c r="K133" s="13">
        <f t="shared" si="108"/>
        <v>0.71335970739985877</v>
      </c>
      <c r="L133" s="13">
        <f t="shared" si="108"/>
        <v>0.24571743792206177</v>
      </c>
      <c r="M133" s="13">
        <f t="shared" si="108"/>
        <v>6.9521624455196052E-2</v>
      </c>
      <c r="N133" s="13">
        <f t="shared" si="108"/>
        <v>14.403498000000003</v>
      </c>
      <c r="O133" s="13" t="e">
        <f>AVERAGE(O123:O129)</f>
        <v>#DIV/0!</v>
      </c>
      <c r="P133" s="13" t="e">
        <f>AVERAGE(P123:P129)</f>
        <v>#DIV/0!</v>
      </c>
    </row>
    <row r="134" spans="3:18" x14ac:dyDescent="0.35">
      <c r="C134" s="155"/>
      <c r="G134" s="49" t="s">
        <v>94</v>
      </c>
      <c r="H134" s="2">
        <f>_xlfn.STDEV.S(H123,H124,H126,H127,H128)</f>
        <v>0.66087280767936518</v>
      </c>
      <c r="I134" s="2">
        <f t="shared" ref="I134:N134" si="109">_xlfn.STDEV.S(I123,I124,I126,I127,I128)</f>
        <v>0.21821440106005757</v>
      </c>
      <c r="J134" s="2">
        <f t="shared" si="109"/>
        <v>3.3249602225113868E-2</v>
      </c>
      <c r="K134" s="2">
        <f t="shared" si="109"/>
        <v>3.3249602225113917E-2</v>
      </c>
      <c r="L134" s="2">
        <f t="shared" si="109"/>
        <v>3.4277071213967031E-2</v>
      </c>
      <c r="M134" s="2">
        <f t="shared" si="109"/>
        <v>2.7868657117424115E-3</v>
      </c>
      <c r="N134" s="2">
        <f t="shared" si="109"/>
        <v>0.60764510704851182</v>
      </c>
      <c r="O134" s="2" t="e">
        <f>_xlfn.STDEV.S(O123:O129)</f>
        <v>#DIV/0!</v>
      </c>
      <c r="P134" s="2" t="e">
        <f>_xlfn.STDEV.S(P123:P129)</f>
        <v>#DIV/0!</v>
      </c>
    </row>
    <row r="135" spans="3:18" x14ac:dyDescent="0.35">
      <c r="C135" s="155"/>
      <c r="G135" s="49" t="s">
        <v>95</v>
      </c>
      <c r="H135" s="2">
        <f>H134/(SQRT(COUNT(H123,H124,H126,H127,H128)))</f>
        <v>0.29555130449044109</v>
      </c>
      <c r="I135" s="2">
        <f t="shared" ref="I135:N135" si="110">I134/(SQRT(COUNT(I123,I124,I126,I127,I128)))</f>
        <v>9.7588446887938177E-2</v>
      </c>
      <c r="J135" s="2">
        <f t="shared" si="110"/>
        <v>1.4869674160036574E-2</v>
      </c>
      <c r="K135" s="2">
        <f t="shared" si="110"/>
        <v>1.4869674160036596E-2</v>
      </c>
      <c r="L135" s="2">
        <f t="shared" si="110"/>
        <v>1.5329172260806304E-2</v>
      </c>
      <c r="M135" s="2">
        <f t="shared" si="110"/>
        <v>1.2463242351238731E-3</v>
      </c>
      <c r="N135" s="2">
        <f t="shared" si="110"/>
        <v>0.2717471531111218</v>
      </c>
      <c r="O135" s="2" t="e">
        <f>O134/(SQRT(COUNT(O122:O130)))</f>
        <v>#DIV/0!</v>
      </c>
      <c r="P135" s="2" t="e">
        <f>P134/(SQRT(COUNT(P122:P130)))</f>
        <v>#DIV/0!</v>
      </c>
    </row>
    <row r="136" spans="3:18" x14ac:dyDescent="0.35">
      <c r="C136" s="155"/>
    </row>
    <row r="137" spans="3:18" ht="24" thickBot="1" x14ac:dyDescent="0.6">
      <c r="C137" s="155" t="s">
        <v>216</v>
      </c>
      <c r="F137" s="9" t="s">
        <v>1</v>
      </c>
      <c r="G137" s="9" t="s">
        <v>2</v>
      </c>
      <c r="H137" s="9" t="s">
        <v>3</v>
      </c>
      <c r="I137" s="9" t="s">
        <v>4</v>
      </c>
      <c r="J137" s="9" t="s">
        <v>5</v>
      </c>
      <c r="K137" s="9" t="s">
        <v>6</v>
      </c>
      <c r="L137" s="9" t="s">
        <v>7</v>
      </c>
      <c r="M137" s="9" t="s">
        <v>8</v>
      </c>
      <c r="N137" s="9" t="s">
        <v>9</v>
      </c>
      <c r="O137" s="9" t="s">
        <v>10</v>
      </c>
      <c r="P137" s="44" t="s">
        <v>139</v>
      </c>
    </row>
    <row r="138" spans="3:18" x14ac:dyDescent="0.35">
      <c r="C138" s="155">
        <v>2</v>
      </c>
      <c r="F138">
        <v>5.3077800000000002</v>
      </c>
      <c r="G138">
        <v>10.87917</v>
      </c>
      <c r="H138" s="2">
        <f>G138-F138</f>
        <v>5.5713900000000001</v>
      </c>
      <c r="I138" s="2">
        <f>F139-G138</f>
        <v>10.983590000000001</v>
      </c>
      <c r="J138" s="2">
        <f>H138/N138</f>
        <v>0.33653861255042289</v>
      </c>
      <c r="K138" s="2">
        <f>I138/N138</f>
        <v>0.66346138744957717</v>
      </c>
      <c r="L138" s="2">
        <f>1/H138</f>
        <v>0.17948842209933247</v>
      </c>
      <c r="M138" s="2">
        <f>1/N138</f>
        <v>6.0404784542174017E-2</v>
      </c>
      <c r="N138" s="2">
        <f>H138+I138</f>
        <v>16.55498</v>
      </c>
      <c r="R138" t="s">
        <v>221</v>
      </c>
    </row>
    <row r="139" spans="3:18" x14ac:dyDescent="0.35">
      <c r="C139" s="155">
        <v>2</v>
      </c>
      <c r="F139">
        <v>21.862760000000002</v>
      </c>
      <c r="G139">
        <v>27.332170000000001</v>
      </c>
      <c r="H139" s="2">
        <f t="shared" ref="H139:H145" si="111">G139-F139</f>
        <v>5.4694099999999999</v>
      </c>
      <c r="I139" s="2">
        <f t="shared" ref="I139:I144" si="112">F140-G139</f>
        <v>9.8534600000000019</v>
      </c>
      <c r="J139" s="2">
        <f t="shared" ref="J139:J144" si="113">H139/N139</f>
        <v>0.35694422781110846</v>
      </c>
      <c r="K139" s="2">
        <f t="shared" ref="K139:K144" si="114">I139/N139</f>
        <v>0.64305577218889154</v>
      </c>
      <c r="L139" s="2">
        <f t="shared" ref="L139:L144" si="115">1/H139</f>
        <v>0.18283507727524542</v>
      </c>
      <c r="M139" s="2">
        <f t="shared" ref="M139:M144" si="116">1/N139</f>
        <v>6.5261925474796811E-2</v>
      </c>
      <c r="N139" s="2">
        <f t="shared" ref="N139:N144" si="117">H139+I139</f>
        <v>15.322870000000002</v>
      </c>
    </row>
    <row r="140" spans="3:18" x14ac:dyDescent="0.35">
      <c r="C140" s="155">
        <v>2</v>
      </c>
      <c r="E140" s="104" t="s">
        <v>220</v>
      </c>
      <c r="F140">
        <v>37.185630000000003</v>
      </c>
      <c r="G140">
        <v>41.245899999999999</v>
      </c>
      <c r="H140" s="2">
        <f t="shared" si="111"/>
        <v>4.0602699999999956</v>
      </c>
      <c r="I140" s="2">
        <f t="shared" si="112"/>
        <v>9.7483900000000006</v>
      </c>
      <c r="J140" s="2">
        <f t="shared" si="113"/>
        <v>0.29403794430451591</v>
      </c>
      <c r="K140" s="2">
        <f t="shared" si="114"/>
        <v>0.70596205569548409</v>
      </c>
      <c r="L140" s="2">
        <f t="shared" si="115"/>
        <v>0.24628903989143605</v>
      </c>
      <c r="M140" s="2">
        <f t="shared" si="116"/>
        <v>7.2418322994410769E-2</v>
      </c>
      <c r="N140" s="2">
        <f t="shared" si="117"/>
        <v>13.808659999999996</v>
      </c>
    </row>
    <row r="141" spans="3:18" x14ac:dyDescent="0.35">
      <c r="C141" s="155">
        <v>2</v>
      </c>
      <c r="F141">
        <v>50.994289999999999</v>
      </c>
      <c r="G141">
        <v>55.325560000000003</v>
      </c>
      <c r="H141" s="2">
        <f t="shared" si="111"/>
        <v>4.3312700000000035</v>
      </c>
      <c r="I141" s="2">
        <f t="shared" si="112"/>
        <v>8.568089999999998</v>
      </c>
      <c r="J141" s="2">
        <f t="shared" si="113"/>
        <v>0.33577402289726027</v>
      </c>
      <c r="K141" s="2">
        <f t="shared" si="114"/>
        <v>0.66422597710273978</v>
      </c>
      <c r="L141" s="2">
        <f t="shared" si="115"/>
        <v>0.23087916477153334</v>
      </c>
      <c r="M141" s="2">
        <f t="shared" si="116"/>
        <v>7.7523225958497158E-2</v>
      </c>
      <c r="N141" s="2">
        <f t="shared" si="117"/>
        <v>12.899360000000001</v>
      </c>
    </row>
    <row r="142" spans="3:18" x14ac:dyDescent="0.35">
      <c r="C142" s="155">
        <v>2</v>
      </c>
      <c r="F142">
        <v>63.893650000000001</v>
      </c>
      <c r="G142">
        <v>69.253290000000007</v>
      </c>
      <c r="H142" s="2">
        <f t="shared" si="111"/>
        <v>5.359640000000006</v>
      </c>
      <c r="I142" s="2">
        <f t="shared" si="112"/>
        <v>11.267709999999994</v>
      </c>
      <c r="J142" s="2">
        <f t="shared" si="113"/>
        <v>0.32233879722264858</v>
      </c>
      <c r="K142" s="2">
        <f t="shared" si="114"/>
        <v>0.67766120277735142</v>
      </c>
      <c r="L142" s="2">
        <f t="shared" si="115"/>
        <v>0.18657969565120025</v>
      </c>
      <c r="M142" s="2">
        <f t="shared" si="116"/>
        <v>6.0141874682375723E-2</v>
      </c>
      <c r="N142" s="2">
        <f t="shared" si="117"/>
        <v>16.62735</v>
      </c>
    </row>
    <row r="143" spans="3:18" x14ac:dyDescent="0.35">
      <c r="C143" s="155">
        <v>2</v>
      </c>
      <c r="E143" s="104" t="s">
        <v>220</v>
      </c>
      <c r="F143">
        <v>80.521000000000001</v>
      </c>
      <c r="G143">
        <v>84.953149999999994</v>
      </c>
      <c r="H143" s="2">
        <f t="shared" si="111"/>
        <v>4.4321499999999929</v>
      </c>
      <c r="I143" s="2">
        <f t="shared" si="112"/>
        <v>8.2315800000000081</v>
      </c>
      <c r="J143" s="2">
        <f t="shared" si="113"/>
        <v>0.34998772083738305</v>
      </c>
      <c r="K143" s="2">
        <f t="shared" si="114"/>
        <v>0.65001227916261695</v>
      </c>
      <c r="L143" s="2">
        <f t="shared" si="115"/>
        <v>0.22562413275724008</v>
      </c>
      <c r="M143" s="2">
        <f t="shared" si="116"/>
        <v>7.8965675989617581E-2</v>
      </c>
      <c r="N143" s="2">
        <f t="shared" si="117"/>
        <v>12.663730000000001</v>
      </c>
    </row>
    <row r="144" spans="3:18" x14ac:dyDescent="0.35">
      <c r="C144" s="155">
        <v>2</v>
      </c>
      <c r="E144" s="104"/>
      <c r="F144">
        <v>93.184730000000002</v>
      </c>
      <c r="G144">
        <v>98.549430000000001</v>
      </c>
      <c r="H144" s="2">
        <f t="shared" si="111"/>
        <v>5.3646999999999991</v>
      </c>
      <c r="I144" s="2">
        <f t="shared" si="112"/>
        <v>9.7924799999999976</v>
      </c>
      <c r="J144" s="2">
        <f t="shared" si="113"/>
        <v>0.3539378697092731</v>
      </c>
      <c r="K144" s="2">
        <f t="shared" si="114"/>
        <v>0.6460621302907269</v>
      </c>
      <c r="L144" s="2">
        <f t="shared" si="115"/>
        <v>0.18640371316196622</v>
      </c>
      <c r="M144" s="2">
        <f t="shared" si="116"/>
        <v>6.597533314244472E-2</v>
      </c>
      <c r="N144" s="2">
        <f t="shared" si="117"/>
        <v>15.157179999999997</v>
      </c>
    </row>
    <row r="145" spans="3:18" x14ac:dyDescent="0.35">
      <c r="C145" s="155">
        <v>2</v>
      </c>
      <c r="F145">
        <v>108.34191</v>
      </c>
      <c r="G145">
        <v>113.93916</v>
      </c>
      <c r="H145" s="2">
        <f t="shared" si="111"/>
        <v>5.5972500000000025</v>
      </c>
      <c r="I145" s="2"/>
      <c r="J145" s="2"/>
      <c r="K145" s="2"/>
      <c r="L145" s="2"/>
      <c r="M145" s="2"/>
      <c r="N145" s="2"/>
    </row>
    <row r="146" spans="3:18" x14ac:dyDescent="0.35">
      <c r="C146" s="155"/>
    </row>
    <row r="147" spans="3:18" ht="16" thickBot="1" x14ac:dyDescent="0.4">
      <c r="C147" s="155"/>
      <c r="G147" s="13"/>
      <c r="H147" s="9" t="s">
        <v>3</v>
      </c>
      <c r="I147" s="9" t="s">
        <v>4</v>
      </c>
      <c r="J147" s="9" t="s">
        <v>5</v>
      </c>
      <c r="K147" s="9" t="s">
        <v>6</v>
      </c>
      <c r="L147" s="9" t="s">
        <v>7</v>
      </c>
      <c r="M147" s="9" t="s">
        <v>8</v>
      </c>
      <c r="N147" s="9" t="s">
        <v>9</v>
      </c>
      <c r="O147" s="9" t="s">
        <v>10</v>
      </c>
      <c r="P147" s="44" t="s">
        <v>139</v>
      </c>
    </row>
    <row r="148" spans="3:18" x14ac:dyDescent="0.35">
      <c r="C148" s="155"/>
      <c r="G148" s="49" t="s">
        <v>77</v>
      </c>
      <c r="H148" s="13">
        <f>AVERAGE(H138,H139,H141,H142,)</f>
        <v>4.1463420000000024</v>
      </c>
      <c r="I148" s="13">
        <f t="shared" ref="I148:N148" si="118">AVERAGE(I138,I139,I141,I142,)</f>
        <v>8.1345700000000001</v>
      </c>
      <c r="J148" s="13">
        <f t="shared" si="118"/>
        <v>0.27031913209628805</v>
      </c>
      <c r="K148" s="13">
        <f t="shared" si="118"/>
        <v>0.52968086790371194</v>
      </c>
      <c r="L148" s="13">
        <f t="shared" si="118"/>
        <v>0.1559564719594623</v>
      </c>
      <c r="M148" s="13">
        <f t="shared" si="118"/>
        <v>5.2666362131568743E-2</v>
      </c>
      <c r="N148" s="13">
        <f t="shared" si="118"/>
        <v>12.280912000000001</v>
      </c>
      <c r="O148" s="13" t="e">
        <f>AVERAGE(O138:O144)</f>
        <v>#DIV/0!</v>
      </c>
      <c r="P148" s="13" t="e">
        <f>AVERAGE(P138:P144)</f>
        <v>#DIV/0!</v>
      </c>
    </row>
    <row r="149" spans="3:18" x14ac:dyDescent="0.35">
      <c r="C149" s="155"/>
      <c r="G149" s="49" t="s">
        <v>94</v>
      </c>
      <c r="H149" s="2">
        <f>_xlfn.STDEV.S(H138,H139,H141,H142)</f>
        <v>0.57431789735737704</v>
      </c>
      <c r="I149" s="2">
        <f t="shared" ref="I149:N149" si="119">_xlfn.STDEV.S(I138,I139,I141,I142)</f>
        <v>1.2292540246391959</v>
      </c>
      <c r="J149" s="2">
        <f t="shared" si="119"/>
        <v>1.4273597940727618E-2</v>
      </c>
      <c r="K149" s="2">
        <f t="shared" si="119"/>
        <v>1.4273597940727622E-2</v>
      </c>
      <c r="L149" s="2">
        <f t="shared" si="119"/>
        <v>2.4130192305370685E-2</v>
      </c>
      <c r="M149" s="2">
        <f t="shared" si="119"/>
        <v>8.1412926799654707E-3</v>
      </c>
      <c r="N149" s="2">
        <f t="shared" si="119"/>
        <v>1.7406863656806943</v>
      </c>
      <c r="O149" s="2" t="e">
        <f>_xlfn.STDEV.S(O138:O144)</f>
        <v>#DIV/0!</v>
      </c>
      <c r="P149" s="2" t="e">
        <f>_xlfn.STDEV.S(P138:P144)</f>
        <v>#DIV/0!</v>
      </c>
    </row>
    <row r="150" spans="3:18" x14ac:dyDescent="0.35">
      <c r="C150" s="155"/>
      <c r="G150" s="49" t="s">
        <v>95</v>
      </c>
      <c r="H150" s="2">
        <f>H149/(SQRT(COUNT(H138,H139,H141,H142)))</f>
        <v>0.28715894867868852</v>
      </c>
      <c r="I150" s="2">
        <f t="shared" ref="I150:N150" si="120">I149/(SQRT(COUNT(I138,I139,I141,I142)))</f>
        <v>0.61462701231959793</v>
      </c>
      <c r="J150" s="2">
        <f t="shared" si="120"/>
        <v>7.136798970363809E-3</v>
      </c>
      <c r="K150" s="2">
        <f t="shared" si="120"/>
        <v>7.1367989703638108E-3</v>
      </c>
      <c r="L150" s="2">
        <f t="shared" si="120"/>
        <v>1.2065096152685343E-2</v>
      </c>
      <c r="M150" s="2">
        <f t="shared" si="120"/>
        <v>4.0706463399827354E-3</v>
      </c>
      <c r="N150" s="2">
        <f t="shared" si="120"/>
        <v>0.87034318284034717</v>
      </c>
      <c r="O150" s="2" t="e">
        <f>O149/(SQRT(COUNT(O137:O145)))</f>
        <v>#DIV/0!</v>
      </c>
      <c r="P150" s="2" t="e">
        <f>P149/(SQRT(COUNT(P137:P145)))</f>
        <v>#DIV/0!</v>
      </c>
    </row>
    <row r="151" spans="3:18" x14ac:dyDescent="0.35">
      <c r="C151" s="155"/>
    </row>
    <row r="152" spans="3:18" ht="24" thickBot="1" x14ac:dyDescent="0.6">
      <c r="C152" s="155" t="s">
        <v>216</v>
      </c>
      <c r="F152" s="9" t="s">
        <v>1</v>
      </c>
      <c r="G152" s="9" t="s">
        <v>2</v>
      </c>
      <c r="H152" s="9" t="s">
        <v>3</v>
      </c>
      <c r="I152" s="9" t="s">
        <v>4</v>
      </c>
      <c r="J152" s="9" t="s">
        <v>5</v>
      </c>
      <c r="K152" s="9" t="s">
        <v>6</v>
      </c>
      <c r="L152" s="9" t="s">
        <v>7</v>
      </c>
      <c r="M152" s="9" t="s">
        <v>8</v>
      </c>
      <c r="N152" s="9" t="s">
        <v>9</v>
      </c>
      <c r="O152" s="9" t="s">
        <v>10</v>
      </c>
      <c r="P152" s="44" t="s">
        <v>139</v>
      </c>
    </row>
    <row r="153" spans="3:18" x14ac:dyDescent="0.35">
      <c r="C153" s="155">
        <v>0</v>
      </c>
      <c r="E153" s="104" t="s">
        <v>220</v>
      </c>
      <c r="F153">
        <v>3.6316199999999998</v>
      </c>
      <c r="G153">
        <v>7.6895699999999998</v>
      </c>
      <c r="H153" s="2">
        <f>G153-F153</f>
        <v>4.0579499999999999</v>
      </c>
      <c r="I153" s="2">
        <f>F154-G153</f>
        <v>8.7122600000000006</v>
      </c>
      <c r="J153" s="2">
        <f>H153/N153</f>
        <v>0.317766896550644</v>
      </c>
      <c r="K153" s="2">
        <f>I153/N153</f>
        <v>0.68223310344935595</v>
      </c>
      <c r="L153" s="2">
        <f>1/H153</f>
        <v>0.24642984758313927</v>
      </c>
      <c r="M153" s="2">
        <f>1/N153</f>
        <v>7.8307247883942388E-2</v>
      </c>
      <c r="N153" s="2">
        <f>H153+I153</f>
        <v>12.770210000000001</v>
      </c>
      <c r="R153" t="s">
        <v>222</v>
      </c>
    </row>
    <row r="154" spans="3:18" x14ac:dyDescent="0.35">
      <c r="C154" s="155">
        <v>0</v>
      </c>
      <c r="F154">
        <v>16.40183</v>
      </c>
      <c r="G154">
        <v>21.796220000000002</v>
      </c>
      <c r="H154" s="2">
        <f t="shared" ref="H154:H169" si="121">G154-F154</f>
        <v>5.3943900000000014</v>
      </c>
      <c r="I154" s="2">
        <f t="shared" ref="I154:I159" si="122">F155-G154</f>
        <v>10.02356</v>
      </c>
      <c r="J154" s="2">
        <f t="shared" ref="J154:J159" si="123">H154/N154</f>
        <v>0.3498772534610633</v>
      </c>
      <c r="K154" s="2">
        <f t="shared" ref="K154:K159" si="124">I154/N154</f>
        <v>0.65012274653893665</v>
      </c>
      <c r="L154" s="2">
        <f t="shared" ref="L154:L159" si="125">1/H154</f>
        <v>0.18537777209285938</v>
      </c>
      <c r="M154" s="2">
        <f t="shared" ref="M154:M168" si="126">1/N154</f>
        <v>6.4859465752580586E-2</v>
      </c>
      <c r="N154" s="2">
        <f t="shared" ref="N154:N159" si="127">H154+I154</f>
        <v>15.417950000000001</v>
      </c>
    </row>
    <row r="155" spans="3:18" x14ac:dyDescent="0.35">
      <c r="C155" s="155">
        <v>0</v>
      </c>
      <c r="F155">
        <v>31.819780000000002</v>
      </c>
      <c r="G155">
        <v>37.281570000000002</v>
      </c>
      <c r="H155" s="2">
        <f t="shared" si="121"/>
        <v>5.4617900000000006</v>
      </c>
      <c r="I155" s="2">
        <f t="shared" si="122"/>
        <v>9.6842199999999963</v>
      </c>
      <c r="J155" s="2">
        <f t="shared" si="123"/>
        <v>0.36060916373355106</v>
      </c>
      <c r="K155" s="2">
        <f t="shared" si="124"/>
        <v>0.63939083626644899</v>
      </c>
      <c r="L155" s="2">
        <f t="shared" si="125"/>
        <v>0.18309015908703921</v>
      </c>
      <c r="M155" s="2">
        <f t="shared" si="126"/>
        <v>6.6023989156220028E-2</v>
      </c>
      <c r="N155" s="2">
        <f t="shared" si="127"/>
        <v>15.146009999999997</v>
      </c>
    </row>
    <row r="156" spans="3:18" x14ac:dyDescent="0.35">
      <c r="C156" s="155">
        <v>0</v>
      </c>
      <c r="F156">
        <v>46.965789999999998</v>
      </c>
      <c r="G156">
        <v>50.951250000000002</v>
      </c>
      <c r="H156" s="2">
        <f t="shared" si="121"/>
        <v>3.9854600000000033</v>
      </c>
      <c r="I156" s="2">
        <f t="shared" si="122"/>
        <v>8.6297700000000006</v>
      </c>
      <c r="J156" s="2">
        <f t="shared" si="123"/>
        <v>0.31592448175736804</v>
      </c>
      <c r="K156" s="2">
        <f t="shared" si="124"/>
        <v>0.68407551824263191</v>
      </c>
      <c r="L156" s="2">
        <f t="shared" si="125"/>
        <v>0.2509120653575746</v>
      </c>
      <c r="M156" s="2">
        <f t="shared" si="126"/>
        <v>7.9269264214762603E-2</v>
      </c>
      <c r="N156" s="2">
        <f t="shared" si="127"/>
        <v>12.615230000000004</v>
      </c>
    </row>
    <row r="157" spans="3:18" x14ac:dyDescent="0.35">
      <c r="C157" s="155">
        <v>0</v>
      </c>
      <c r="F157">
        <v>59.581020000000002</v>
      </c>
      <c r="G157">
        <v>64.694109999999995</v>
      </c>
      <c r="H157" s="2">
        <f t="shared" si="121"/>
        <v>5.1130899999999926</v>
      </c>
      <c r="I157" s="2">
        <f t="shared" si="122"/>
        <v>9.977240000000009</v>
      </c>
      <c r="J157" s="2">
        <f t="shared" si="123"/>
        <v>0.33883221904358568</v>
      </c>
      <c r="K157" s="2">
        <f t="shared" si="124"/>
        <v>0.66116778095641437</v>
      </c>
      <c r="L157" s="2">
        <f t="shared" si="125"/>
        <v>0.19557645181289621</v>
      </c>
      <c r="M157" s="2">
        <f t="shared" si="126"/>
        <v>6.6267603160434521E-2</v>
      </c>
      <c r="N157" s="2">
        <f t="shared" si="127"/>
        <v>15.090330000000002</v>
      </c>
    </row>
    <row r="158" spans="3:18" x14ac:dyDescent="0.35">
      <c r="C158" s="155">
        <v>0</v>
      </c>
      <c r="E158" s="104" t="s">
        <v>220</v>
      </c>
      <c r="F158">
        <v>74.671350000000004</v>
      </c>
      <c r="G158">
        <v>78.782330000000002</v>
      </c>
      <c r="H158" s="2">
        <f t="shared" si="121"/>
        <v>4.1109799999999979</v>
      </c>
      <c r="I158" s="2">
        <f t="shared" si="122"/>
        <v>8.6073099999999982</v>
      </c>
      <c r="J158" s="2">
        <f t="shared" si="123"/>
        <v>0.32323370516004896</v>
      </c>
      <c r="K158" s="2">
        <f t="shared" si="124"/>
        <v>0.67676629483995099</v>
      </c>
      <c r="L158" s="2">
        <f t="shared" si="125"/>
        <v>0.24325100097786914</v>
      </c>
      <c r="M158" s="2">
        <f t="shared" si="126"/>
        <v>7.8626922329967333E-2</v>
      </c>
      <c r="N158" s="2">
        <f t="shared" si="127"/>
        <v>12.718289999999996</v>
      </c>
    </row>
    <row r="159" spans="3:18" x14ac:dyDescent="0.35">
      <c r="C159" s="155">
        <v>0</v>
      </c>
      <c r="F159">
        <v>87.38964</v>
      </c>
      <c r="G159">
        <v>91.353279999999998</v>
      </c>
      <c r="H159" s="2">
        <f t="shared" si="121"/>
        <v>3.9636399999999981</v>
      </c>
      <c r="I159" s="2">
        <f t="shared" si="122"/>
        <v>11.513540000000006</v>
      </c>
      <c r="J159" s="2">
        <f t="shared" si="123"/>
        <v>0.25609574870874391</v>
      </c>
      <c r="K159" s="2">
        <f t="shared" si="124"/>
        <v>0.74390425129125615</v>
      </c>
      <c r="L159" s="2">
        <f t="shared" si="125"/>
        <v>0.25229334651986568</v>
      </c>
      <c r="M159" s="2">
        <f t="shared" si="126"/>
        <v>6.4611253471239569E-2</v>
      </c>
      <c r="N159" s="2">
        <f t="shared" si="127"/>
        <v>15.477180000000004</v>
      </c>
    </row>
    <row r="160" spans="3:18" x14ac:dyDescent="0.35">
      <c r="C160" s="155">
        <v>0</v>
      </c>
      <c r="E160" s="104"/>
      <c r="F160">
        <v>102.86682</v>
      </c>
      <c r="G160">
        <v>106.99498</v>
      </c>
      <c r="H160" s="2">
        <f t="shared" si="121"/>
        <v>4.1281599999999941</v>
      </c>
      <c r="I160" s="2">
        <f t="shared" ref="I160:I168" si="128">F161-G160</f>
        <v>10.177620000000005</v>
      </c>
      <c r="J160" s="2">
        <f t="shared" ref="J160:J168" si="129">H160/N160</f>
        <v>0.2885658803644397</v>
      </c>
      <c r="K160" s="2">
        <f t="shared" ref="K160:K168" si="130">I160/N160</f>
        <v>0.71143411963556025</v>
      </c>
      <c r="L160" s="2">
        <f t="shared" ref="L160:L168" si="131">1/H160</f>
        <v>0.24223867291965462</v>
      </c>
      <c r="M160" s="2">
        <f t="shared" si="126"/>
        <v>6.9901815909373707E-2</v>
      </c>
      <c r="N160" s="2">
        <f t="shared" ref="N160:N168" si="132">H160+I160</f>
        <v>14.305779999999999</v>
      </c>
    </row>
    <row r="161" spans="3:18" x14ac:dyDescent="0.35">
      <c r="C161" s="155">
        <v>0</v>
      </c>
      <c r="F161">
        <v>117.1726</v>
      </c>
      <c r="G161">
        <v>119.67785000000001</v>
      </c>
      <c r="H161" s="2">
        <f t="shared" si="121"/>
        <v>2.5052500000000038</v>
      </c>
      <c r="I161" s="2">
        <f t="shared" si="128"/>
        <v>9.8599099999999851</v>
      </c>
      <c r="J161" s="2">
        <f t="shared" si="129"/>
        <v>0.20260554655176366</v>
      </c>
      <c r="K161" s="2">
        <f t="shared" si="130"/>
        <v>0.79739445344823634</v>
      </c>
      <c r="L161" s="2">
        <f t="shared" si="131"/>
        <v>0.39916176030336237</v>
      </c>
      <c r="M161" s="2">
        <f t="shared" si="126"/>
        <v>8.0872386608826813E-2</v>
      </c>
      <c r="N161" s="2">
        <f t="shared" si="132"/>
        <v>12.365159999999989</v>
      </c>
    </row>
    <row r="162" spans="3:18" x14ac:dyDescent="0.35">
      <c r="C162" s="155">
        <v>0</v>
      </c>
      <c r="E162" s="104" t="s">
        <v>220</v>
      </c>
      <c r="F162">
        <v>129.53775999999999</v>
      </c>
      <c r="G162">
        <v>133.61668</v>
      </c>
      <c r="H162" s="2">
        <f t="shared" si="121"/>
        <v>4.0789200000000108</v>
      </c>
      <c r="I162" s="2">
        <f t="shared" si="128"/>
        <v>8.8086500000000001</v>
      </c>
      <c r="J162" s="2">
        <f t="shared" si="129"/>
        <v>0.31650031774803222</v>
      </c>
      <c r="K162" s="2">
        <f t="shared" si="130"/>
        <v>0.68349968225196778</v>
      </c>
      <c r="L162" s="2">
        <f t="shared" si="131"/>
        <v>0.24516293528679095</v>
      </c>
      <c r="M162" s="2">
        <f t="shared" si="126"/>
        <v>7.7594146918309598E-2</v>
      </c>
      <c r="N162" s="2">
        <f t="shared" si="132"/>
        <v>12.887570000000011</v>
      </c>
      <c r="R162" t="s">
        <v>223</v>
      </c>
    </row>
    <row r="163" spans="3:18" x14ac:dyDescent="0.35">
      <c r="C163" s="155">
        <v>0</v>
      </c>
      <c r="F163">
        <v>142.42533</v>
      </c>
      <c r="G163">
        <v>147.62217999999999</v>
      </c>
      <c r="H163" s="2">
        <f t="shared" si="121"/>
        <v>5.1968499999999835</v>
      </c>
      <c r="I163" s="2">
        <f t="shared" si="128"/>
        <v>11.561520000000002</v>
      </c>
      <c r="J163" s="2">
        <f t="shared" si="129"/>
        <v>0.31010474169027108</v>
      </c>
      <c r="K163" s="2">
        <f t="shared" si="130"/>
        <v>0.68989525830972886</v>
      </c>
      <c r="L163" s="2">
        <f t="shared" si="131"/>
        <v>0.19242425700183827</v>
      </c>
      <c r="M163" s="2">
        <f t="shared" si="126"/>
        <v>5.9671674512497393E-2</v>
      </c>
      <c r="N163" s="2">
        <f t="shared" si="132"/>
        <v>16.758369999999985</v>
      </c>
    </row>
    <row r="164" spans="3:18" x14ac:dyDescent="0.35">
      <c r="C164" s="155">
        <v>0</v>
      </c>
      <c r="F164">
        <v>159.18369999999999</v>
      </c>
      <c r="G164">
        <v>163.29989</v>
      </c>
      <c r="H164" s="2">
        <f t="shared" si="121"/>
        <v>4.1161900000000173</v>
      </c>
      <c r="I164" s="2">
        <f t="shared" si="128"/>
        <v>11.250540000000001</v>
      </c>
      <c r="J164" s="2">
        <f t="shared" si="129"/>
        <v>0.26786375500838583</v>
      </c>
      <c r="K164" s="2">
        <f t="shared" si="130"/>
        <v>0.73213624499161423</v>
      </c>
      <c r="L164" s="2">
        <f t="shared" si="131"/>
        <v>0.24294311001192748</v>
      </c>
      <c r="M164" s="2">
        <f t="shared" si="126"/>
        <v>6.5075653701210268E-2</v>
      </c>
      <c r="N164" s="2">
        <f t="shared" si="132"/>
        <v>15.366730000000018</v>
      </c>
    </row>
    <row r="165" spans="3:18" x14ac:dyDescent="0.35">
      <c r="C165" s="155">
        <v>0</v>
      </c>
      <c r="F165">
        <v>174.55043000000001</v>
      </c>
      <c r="G165">
        <v>179.63587000000001</v>
      </c>
      <c r="H165" s="2">
        <f t="shared" si="121"/>
        <v>5.0854400000000055</v>
      </c>
      <c r="I165" s="2">
        <f t="shared" si="128"/>
        <v>8.9189700000000016</v>
      </c>
      <c r="J165" s="2">
        <f t="shared" si="129"/>
        <v>0.36313132791742053</v>
      </c>
      <c r="K165" s="2">
        <f t="shared" si="130"/>
        <v>0.63686867208257947</v>
      </c>
      <c r="L165" s="2">
        <f t="shared" si="131"/>
        <v>0.1966398187767428</v>
      </c>
      <c r="M165" s="2">
        <f t="shared" si="126"/>
        <v>7.1406078513839538E-2</v>
      </c>
      <c r="N165" s="2">
        <f t="shared" si="132"/>
        <v>14.004410000000007</v>
      </c>
    </row>
    <row r="166" spans="3:18" x14ac:dyDescent="0.35">
      <c r="C166" s="155">
        <v>0</v>
      </c>
      <c r="F166">
        <v>188.55484000000001</v>
      </c>
      <c r="G166">
        <v>192.45320000000001</v>
      </c>
      <c r="H166" s="2">
        <f t="shared" si="121"/>
        <v>3.8983599999999967</v>
      </c>
      <c r="I166" s="2">
        <f t="shared" si="128"/>
        <v>8.9043399999999906</v>
      </c>
      <c r="J166" s="2">
        <f t="shared" si="129"/>
        <v>0.30449514555523449</v>
      </c>
      <c r="K166" s="2">
        <f t="shared" si="130"/>
        <v>0.69550485444476551</v>
      </c>
      <c r="L166" s="2">
        <f t="shared" si="131"/>
        <v>0.25651812557075304</v>
      </c>
      <c r="M166" s="2">
        <f t="shared" si="126"/>
        <v>7.8108523983222364E-2</v>
      </c>
      <c r="N166" s="2">
        <f t="shared" si="132"/>
        <v>12.802699999999987</v>
      </c>
    </row>
    <row r="167" spans="3:18" x14ac:dyDescent="0.35">
      <c r="C167" s="155">
        <v>0</v>
      </c>
      <c r="E167" s="104" t="s">
        <v>220</v>
      </c>
      <c r="F167">
        <v>201.35754</v>
      </c>
      <c r="G167">
        <v>202.60572999999999</v>
      </c>
      <c r="H167" s="2">
        <f t="shared" si="121"/>
        <v>1.2481899999999939</v>
      </c>
      <c r="I167" s="2">
        <f t="shared" si="128"/>
        <v>6.2810800000000029</v>
      </c>
      <c r="J167" s="2">
        <f t="shared" si="129"/>
        <v>0.16577835567060212</v>
      </c>
      <c r="K167" s="2">
        <f t="shared" si="130"/>
        <v>0.83422164432939783</v>
      </c>
      <c r="L167" s="2">
        <f t="shared" si="131"/>
        <v>0.80116007979554782</v>
      </c>
      <c r="M167" s="2">
        <f t="shared" si="126"/>
        <v>0.13281500065743432</v>
      </c>
      <c r="N167" s="2">
        <f t="shared" si="132"/>
        <v>7.5292699999999968</v>
      </c>
    </row>
    <row r="168" spans="3:18" x14ac:dyDescent="0.35">
      <c r="C168" s="155">
        <v>0</v>
      </c>
      <c r="F168">
        <v>208.88681</v>
      </c>
      <c r="G168">
        <v>214.23917</v>
      </c>
      <c r="H168" s="2">
        <f t="shared" si="121"/>
        <v>5.3523600000000044</v>
      </c>
      <c r="I168" s="2">
        <f t="shared" si="128"/>
        <v>10.943919999999991</v>
      </c>
      <c r="J168" s="2">
        <f t="shared" si="129"/>
        <v>0.32844060116787427</v>
      </c>
      <c r="K168" s="2">
        <f t="shared" si="130"/>
        <v>0.67155939883212579</v>
      </c>
      <c r="L168" s="2">
        <f t="shared" si="131"/>
        <v>0.18683347159010216</v>
      </c>
      <c r="M168" s="2">
        <f t="shared" si="126"/>
        <v>6.1363697727334104E-2</v>
      </c>
      <c r="N168" s="2">
        <f t="shared" si="132"/>
        <v>16.296279999999996</v>
      </c>
    </row>
    <row r="169" spans="3:18" x14ac:dyDescent="0.35">
      <c r="C169" s="155">
        <v>0</v>
      </c>
      <c r="F169">
        <v>225.18308999999999</v>
      </c>
      <c r="G169">
        <v>230.64877999999999</v>
      </c>
      <c r="H169" s="2">
        <f t="shared" si="121"/>
        <v>5.4656899999999951</v>
      </c>
    </row>
    <row r="170" spans="3:18" x14ac:dyDescent="0.35">
      <c r="C170" s="155"/>
    </row>
    <row r="171" spans="3:18" ht="16" thickBot="1" x14ac:dyDescent="0.4">
      <c r="C171" s="155"/>
      <c r="G171" s="13"/>
      <c r="H171" s="9" t="s">
        <v>3</v>
      </c>
      <c r="I171" s="9" t="s">
        <v>4</v>
      </c>
      <c r="J171" s="9" t="s">
        <v>5</v>
      </c>
      <c r="K171" s="9" t="s">
        <v>6</v>
      </c>
      <c r="L171" s="9" t="s">
        <v>7</v>
      </c>
      <c r="M171" s="9" t="s">
        <v>8</v>
      </c>
      <c r="N171" s="9" t="s">
        <v>9</v>
      </c>
      <c r="O171" s="9" t="s">
        <v>10</v>
      </c>
      <c r="P171" s="44" t="s">
        <v>139</v>
      </c>
    </row>
    <row r="172" spans="3:18" x14ac:dyDescent="0.35">
      <c r="C172" s="155"/>
      <c r="G172" s="49" t="s">
        <v>77</v>
      </c>
      <c r="H172" s="13">
        <f>AVERAGE(H154:H157,H159:H161,H163:H166,H168)</f>
        <v>4.5167483333333331</v>
      </c>
      <c r="I172" s="13">
        <f t="shared" ref="I172:N172" si="133">AVERAGE(I154:I157,I159:I161,I163:I166,I168)</f>
        <v>10.120429166666666</v>
      </c>
      <c r="J172" s="13">
        <f t="shared" si="133"/>
        <v>0.30721215541330843</v>
      </c>
      <c r="K172" s="13">
        <f t="shared" si="133"/>
        <v>0.69278784458669163</v>
      </c>
      <c r="L172" s="13">
        <f t="shared" si="133"/>
        <v>0.23200075092038464</v>
      </c>
      <c r="M172" s="13">
        <f t="shared" si="133"/>
        <v>6.8952617225961785E-2</v>
      </c>
      <c r="N172" s="13">
        <f t="shared" si="133"/>
        <v>14.637177499999998</v>
      </c>
      <c r="O172" s="13" t="e">
        <f>AVERAGE(O153:O159)</f>
        <v>#DIV/0!</v>
      </c>
      <c r="P172" s="13" t="e">
        <f>AVERAGE(P153:P159)</f>
        <v>#DIV/0!</v>
      </c>
    </row>
    <row r="173" spans="3:18" x14ac:dyDescent="0.35">
      <c r="C173" s="155"/>
      <c r="G173" s="49" t="s">
        <v>94</v>
      </c>
      <c r="H173" s="2">
        <f>_xlfn.STDEV.S(H154:H157,H159:H161,H163:H166,H168)</f>
        <v>0.89601902602398364</v>
      </c>
      <c r="I173" s="2">
        <f t="shared" ref="I173:N173" si="134">_xlfn.STDEV.S(I154:I157,I159:I161,I163:I166,I168)</f>
        <v>1.01840053788869</v>
      </c>
      <c r="J173" s="2">
        <f t="shared" si="134"/>
        <v>4.7474437086466453E-2</v>
      </c>
      <c r="K173" s="2">
        <f t="shared" si="134"/>
        <v>4.7474437086466335E-2</v>
      </c>
      <c r="L173" s="2">
        <f t="shared" si="134"/>
        <v>6.051847010752081E-2</v>
      </c>
      <c r="M173" s="2">
        <f t="shared" si="134"/>
        <v>7.0672813361607389E-3</v>
      </c>
      <c r="N173" s="2">
        <f t="shared" si="134"/>
        <v>1.4362088699396007</v>
      </c>
      <c r="O173" s="2" t="e">
        <f>_xlfn.STDEV.S(O153:O159)</f>
        <v>#DIV/0!</v>
      </c>
      <c r="P173" s="2" t="e">
        <f>_xlfn.STDEV.S(P153:P159)</f>
        <v>#DIV/0!</v>
      </c>
    </row>
    <row r="174" spans="3:18" x14ac:dyDescent="0.35">
      <c r="C174" s="155"/>
      <c r="G174" s="49" t="s">
        <v>95</v>
      </c>
      <c r="H174" s="2">
        <f>H173/(SQRT(COUNT(H154:H157,H159:H161,H163:H166,H168)))</f>
        <v>0.25865841293698666</v>
      </c>
      <c r="I174" s="2">
        <f t="shared" ref="I174:N174" si="135">I173/(SQRT(COUNT(I154:I157,I159:I161,I163:I166,I168)))</f>
        <v>0.29398691234644742</v>
      </c>
      <c r="J174" s="2">
        <f t="shared" si="135"/>
        <v>1.3704689515748681E-2</v>
      </c>
      <c r="K174" s="2">
        <f t="shared" si="135"/>
        <v>1.3704689515748646E-2</v>
      </c>
      <c r="L174" s="2">
        <f t="shared" si="135"/>
        <v>1.7470177503760731E-2</v>
      </c>
      <c r="M174" s="2">
        <f t="shared" si="135"/>
        <v>2.0401483909356106E-3</v>
      </c>
      <c r="N174" s="2">
        <f t="shared" si="135"/>
        <v>0.4145977888360784</v>
      </c>
      <c r="O174" s="2" t="e">
        <f>O173/(SQRT(COUNT(O152:O160)))</f>
        <v>#DIV/0!</v>
      </c>
      <c r="P174" s="2" t="e">
        <f>P173/(SQRT(COUNT(P152:P160)))</f>
        <v>#DIV/0!</v>
      </c>
    </row>
    <row r="175" spans="3:18" x14ac:dyDescent="0.35">
      <c r="C175" s="155"/>
    </row>
    <row r="176" spans="3:18" x14ac:dyDescent="0.35">
      <c r="C176" s="155"/>
    </row>
    <row r="177" spans="3:18" x14ac:dyDescent="0.35">
      <c r="C177" s="155"/>
    </row>
    <row r="178" spans="3:18" x14ac:dyDescent="0.35">
      <c r="C178" s="155"/>
    </row>
    <row r="179" spans="3:18" x14ac:dyDescent="0.35">
      <c r="C179" s="155"/>
    </row>
    <row r="180" spans="3:18" x14ac:dyDescent="0.35">
      <c r="C180" s="155"/>
    </row>
    <row r="181" spans="3:18" x14ac:dyDescent="0.35">
      <c r="C181" s="155"/>
    </row>
    <row r="182" spans="3:18" ht="18.5" x14ac:dyDescent="0.45">
      <c r="C182" s="155"/>
      <c r="F182" s="1" t="s">
        <v>52</v>
      </c>
      <c r="G182" s="2"/>
      <c r="H182" s="2"/>
      <c r="I182" s="2"/>
      <c r="J182" s="2"/>
      <c r="K182" s="2"/>
    </row>
    <row r="183" spans="3:18" ht="16" thickBot="1" x14ac:dyDescent="0.4">
      <c r="C183" s="155"/>
      <c r="F183" s="9" t="s">
        <v>1</v>
      </c>
      <c r="G183" s="9" t="s">
        <v>2</v>
      </c>
      <c r="H183" s="9" t="s">
        <v>3</v>
      </c>
      <c r="I183" s="9" t="s">
        <v>4</v>
      </c>
      <c r="J183" s="9" t="s">
        <v>5</v>
      </c>
      <c r="K183" s="9" t="s">
        <v>6</v>
      </c>
      <c r="L183" s="9" t="s">
        <v>7</v>
      </c>
      <c r="M183" s="9" t="s">
        <v>8</v>
      </c>
      <c r="N183" s="9" t="s">
        <v>9</v>
      </c>
      <c r="O183" s="9" t="s">
        <v>10</v>
      </c>
      <c r="P183" s="44" t="s">
        <v>139</v>
      </c>
      <c r="R183" s="44" t="s">
        <v>134</v>
      </c>
    </row>
    <row r="184" spans="3:18" x14ac:dyDescent="0.35">
      <c r="C184" s="155"/>
      <c r="F184">
        <v>2.6741299999999999</v>
      </c>
      <c r="G184">
        <v>7.9022800000000002</v>
      </c>
      <c r="H184" s="2">
        <f>G184-F184</f>
        <v>5.2281500000000003</v>
      </c>
      <c r="I184" s="2">
        <f>F185-G184</f>
        <v>4.4348099999999997</v>
      </c>
      <c r="J184" s="2">
        <f>H184/N184</f>
        <v>0.54105056835586618</v>
      </c>
      <c r="K184" s="2">
        <f>I184/N184</f>
        <v>0.45894943164413388</v>
      </c>
      <c r="L184" s="2">
        <f>1/H184</f>
        <v>0.19127224735327025</v>
      </c>
      <c r="M184" s="2">
        <f>1/N184</f>
        <v>0.10348795814119069</v>
      </c>
      <c r="N184" s="2">
        <f>H184+I184</f>
        <v>9.66296</v>
      </c>
    </row>
    <row r="185" spans="3:18" x14ac:dyDescent="0.35">
      <c r="C185" s="155"/>
      <c r="F185">
        <v>12.33709</v>
      </c>
      <c r="G185">
        <v>15.984669999999999</v>
      </c>
      <c r="H185" s="2">
        <f t="shared" ref="H185:H207" si="136">G185-F185</f>
        <v>3.6475799999999996</v>
      </c>
      <c r="I185" s="2">
        <f t="shared" ref="I185:I206" si="137">F186-G185</f>
        <v>4.5278000000000009</v>
      </c>
      <c r="J185" s="2">
        <f t="shared" ref="J185:J206" si="138">H185/N185</f>
        <v>0.44616641672925289</v>
      </c>
      <c r="K185" s="2">
        <f t="shared" ref="K185:K206" si="139">I185/N185</f>
        <v>0.55383358327074717</v>
      </c>
      <c r="L185" s="2">
        <f t="shared" ref="L185:L206" si="140">1/H185</f>
        <v>0.27415437084313438</v>
      </c>
      <c r="M185" s="2">
        <f t="shared" ref="M185:M206" si="141">1/N185</f>
        <v>0.12231847326974403</v>
      </c>
      <c r="N185" s="2">
        <f t="shared" ref="N185:N206" si="142">H185+I185</f>
        <v>8.1753800000000005</v>
      </c>
    </row>
    <row r="186" spans="3:18" x14ac:dyDescent="0.35">
      <c r="C186" s="155"/>
      <c r="F186">
        <v>20.51247</v>
      </c>
      <c r="G186">
        <v>24.115690000000001</v>
      </c>
      <c r="H186" s="2">
        <f t="shared" si="136"/>
        <v>3.6032200000000003</v>
      </c>
      <c r="I186" s="2">
        <f t="shared" si="137"/>
        <v>4.79373</v>
      </c>
      <c r="J186" s="2">
        <f t="shared" si="138"/>
        <v>0.42911056990931234</v>
      </c>
      <c r="K186" s="2">
        <f t="shared" si="139"/>
        <v>0.57088943009068771</v>
      </c>
      <c r="L186" s="2">
        <f t="shared" si="140"/>
        <v>0.27752954301985444</v>
      </c>
      <c r="M186" s="2">
        <f t="shared" si="141"/>
        <v>0.11909086037192075</v>
      </c>
      <c r="N186" s="2">
        <f t="shared" si="142"/>
        <v>8.3969500000000004</v>
      </c>
    </row>
    <row r="187" spans="3:18" x14ac:dyDescent="0.35">
      <c r="C187" s="155"/>
      <c r="F187">
        <v>28.909420000000001</v>
      </c>
      <c r="G187">
        <v>33.783459999999998</v>
      </c>
      <c r="H187" s="2">
        <f t="shared" si="136"/>
        <v>4.8740399999999973</v>
      </c>
      <c r="I187" s="2">
        <f t="shared" si="137"/>
        <v>5.7302200000000028</v>
      </c>
      <c r="J187" s="2">
        <f t="shared" si="138"/>
        <v>0.4596303749625148</v>
      </c>
      <c r="K187" s="2">
        <f t="shared" si="139"/>
        <v>0.5403696250374852</v>
      </c>
      <c r="L187" s="2">
        <f t="shared" si="140"/>
        <v>0.20516860756169431</v>
      </c>
      <c r="M187" s="2">
        <f t="shared" si="141"/>
        <v>9.4301724024118613E-2</v>
      </c>
      <c r="N187" s="2">
        <f t="shared" si="142"/>
        <v>10.60426</v>
      </c>
    </row>
    <row r="188" spans="3:18" x14ac:dyDescent="0.35">
      <c r="C188" s="155"/>
      <c r="F188">
        <v>39.513680000000001</v>
      </c>
      <c r="G188">
        <v>44.610210000000002</v>
      </c>
      <c r="H188" s="2">
        <f t="shared" si="136"/>
        <v>5.0965300000000013</v>
      </c>
      <c r="I188" s="2">
        <f t="shared" si="137"/>
        <v>5.5776299999999992</v>
      </c>
      <c r="J188" s="2">
        <f t="shared" si="138"/>
        <v>0.47746426885113219</v>
      </c>
      <c r="K188" s="2">
        <f t="shared" si="139"/>
        <v>0.52253573114886787</v>
      </c>
      <c r="L188" s="2">
        <f t="shared" si="140"/>
        <v>0.19621193243245891</v>
      </c>
      <c r="M188" s="2">
        <f t="shared" si="141"/>
        <v>9.3684186858731741E-2</v>
      </c>
      <c r="N188" s="2">
        <f t="shared" si="142"/>
        <v>10.674160000000001</v>
      </c>
    </row>
    <row r="189" spans="3:18" x14ac:dyDescent="0.35">
      <c r="C189" s="155"/>
      <c r="F189">
        <v>50.187840000000001</v>
      </c>
      <c r="G189">
        <v>55.260939999999998</v>
      </c>
      <c r="H189" s="2">
        <f t="shared" si="136"/>
        <v>5.0730999999999966</v>
      </c>
      <c r="I189" s="2">
        <f t="shared" si="137"/>
        <v>4.71678</v>
      </c>
      <c r="J189" s="2">
        <f t="shared" si="138"/>
        <v>0.51819838445415045</v>
      </c>
      <c r="K189" s="2">
        <f t="shared" si="139"/>
        <v>0.48180161554584955</v>
      </c>
      <c r="L189" s="2">
        <f t="shared" si="140"/>
        <v>0.19711813289704533</v>
      </c>
      <c r="M189" s="2">
        <f t="shared" si="141"/>
        <v>0.10214629801386742</v>
      </c>
      <c r="N189" s="2">
        <f t="shared" si="142"/>
        <v>9.7898799999999966</v>
      </c>
    </row>
    <row r="190" spans="3:18" x14ac:dyDescent="0.35">
      <c r="C190" s="155"/>
      <c r="F190">
        <v>59.977719999999998</v>
      </c>
      <c r="G190">
        <v>63.984929999999999</v>
      </c>
      <c r="H190" s="2">
        <f t="shared" si="136"/>
        <v>4.0072100000000006</v>
      </c>
      <c r="I190" s="2">
        <f t="shared" si="137"/>
        <v>4.3784400000000048</v>
      </c>
      <c r="J190" s="2">
        <f t="shared" si="138"/>
        <v>0.47786516250976346</v>
      </c>
      <c r="K190" s="2">
        <f t="shared" si="139"/>
        <v>0.52213483749023648</v>
      </c>
      <c r="L190" s="2">
        <f t="shared" si="140"/>
        <v>0.24955018579011329</v>
      </c>
      <c r="M190" s="2">
        <f t="shared" si="141"/>
        <v>0.11925134008693415</v>
      </c>
      <c r="N190" s="2">
        <f t="shared" si="142"/>
        <v>8.3856500000000054</v>
      </c>
    </row>
    <row r="191" spans="3:18" x14ac:dyDescent="0.35">
      <c r="C191" s="155"/>
      <c r="F191">
        <v>68.363370000000003</v>
      </c>
      <c r="G191">
        <v>72.212710000000001</v>
      </c>
      <c r="H191" s="2">
        <f t="shared" si="136"/>
        <v>3.849339999999998</v>
      </c>
      <c r="I191" s="2">
        <f t="shared" si="137"/>
        <v>5.706159999999997</v>
      </c>
      <c r="J191" s="2">
        <f t="shared" si="138"/>
        <v>0.40284024907121552</v>
      </c>
      <c r="K191" s="2">
        <f t="shared" si="139"/>
        <v>0.59715975092878448</v>
      </c>
      <c r="L191" s="2">
        <f t="shared" si="140"/>
        <v>0.25978479427642154</v>
      </c>
      <c r="M191" s="2">
        <f t="shared" si="141"/>
        <v>0.10465177123122814</v>
      </c>
      <c r="N191" s="2">
        <f t="shared" si="142"/>
        <v>9.555499999999995</v>
      </c>
    </row>
    <row r="192" spans="3:18" x14ac:dyDescent="0.35">
      <c r="C192" s="155"/>
      <c r="F192">
        <v>77.918869999999998</v>
      </c>
      <c r="G192">
        <v>85.397940000000006</v>
      </c>
      <c r="H192" s="2">
        <f t="shared" si="136"/>
        <v>7.4790700000000072</v>
      </c>
      <c r="I192" s="2">
        <f t="shared" si="137"/>
        <v>4.6043399999999934</v>
      </c>
      <c r="J192" s="2">
        <f t="shared" si="138"/>
        <v>0.6189535900875669</v>
      </c>
      <c r="K192" s="2">
        <f t="shared" si="139"/>
        <v>0.3810464099124331</v>
      </c>
      <c r="L192" s="2">
        <f t="shared" si="140"/>
        <v>0.13370646350415213</v>
      </c>
      <c r="M192" s="2">
        <f t="shared" si="141"/>
        <v>8.2758095603807202E-2</v>
      </c>
      <c r="N192" s="2">
        <f t="shared" si="142"/>
        <v>12.083410000000001</v>
      </c>
    </row>
    <row r="193" spans="3:14" x14ac:dyDescent="0.35">
      <c r="C193" s="155"/>
      <c r="F193">
        <v>90.002279999999999</v>
      </c>
      <c r="G193">
        <v>94.006640000000004</v>
      </c>
      <c r="H193" s="2">
        <f t="shared" si="136"/>
        <v>4.0043600000000055</v>
      </c>
      <c r="I193" s="2">
        <f t="shared" si="137"/>
        <v>5.6908499999999975</v>
      </c>
      <c r="J193" s="2">
        <f t="shared" si="138"/>
        <v>0.41302457605353615</v>
      </c>
      <c r="K193" s="2">
        <f t="shared" si="139"/>
        <v>0.58697542394646385</v>
      </c>
      <c r="L193" s="2">
        <f t="shared" si="140"/>
        <v>0.24972779670159492</v>
      </c>
      <c r="M193" s="2">
        <f t="shared" si="141"/>
        <v>0.1031437173614599</v>
      </c>
      <c r="N193" s="2">
        <f t="shared" si="142"/>
        <v>9.695210000000003</v>
      </c>
    </row>
    <row r="194" spans="3:14" x14ac:dyDescent="0.35">
      <c r="C194" s="155"/>
      <c r="F194">
        <v>99.697490000000002</v>
      </c>
      <c r="G194">
        <v>103.74215</v>
      </c>
      <c r="H194" s="2">
        <f t="shared" si="136"/>
        <v>4.0446599999999933</v>
      </c>
      <c r="I194" s="2">
        <f t="shared" si="137"/>
        <v>4.4083400000000097</v>
      </c>
      <c r="J194" s="2">
        <f t="shared" si="138"/>
        <v>0.47848811072991743</v>
      </c>
      <c r="K194" s="2">
        <f t="shared" si="139"/>
        <v>0.52151188927008263</v>
      </c>
      <c r="L194" s="2">
        <f t="shared" si="140"/>
        <v>0.24723957019873158</v>
      </c>
      <c r="M194" s="2">
        <f t="shared" si="141"/>
        <v>0.11830119484206786</v>
      </c>
      <c r="N194" s="2">
        <f t="shared" si="142"/>
        <v>8.453000000000003</v>
      </c>
    </row>
    <row r="195" spans="3:14" x14ac:dyDescent="0.35">
      <c r="C195" s="155"/>
      <c r="F195">
        <v>108.15049</v>
      </c>
      <c r="G195">
        <v>113.29473</v>
      </c>
      <c r="H195" s="2">
        <f t="shared" si="136"/>
        <v>5.1442399999999964</v>
      </c>
      <c r="I195" s="2">
        <f t="shared" si="137"/>
        <v>6.709779999999995</v>
      </c>
      <c r="J195" s="2">
        <f t="shared" si="138"/>
        <v>0.43396586137023557</v>
      </c>
      <c r="K195" s="2">
        <f t="shared" si="139"/>
        <v>0.56603413862976437</v>
      </c>
      <c r="L195" s="2">
        <f t="shared" si="140"/>
        <v>0.19439217454862151</v>
      </c>
      <c r="M195" s="2">
        <f t="shared" si="141"/>
        <v>8.4359567471625721E-2</v>
      </c>
      <c r="N195" s="2">
        <f t="shared" si="142"/>
        <v>11.854019999999991</v>
      </c>
    </row>
    <row r="196" spans="3:14" x14ac:dyDescent="0.35">
      <c r="C196" s="155"/>
      <c r="F196">
        <v>120.00451</v>
      </c>
      <c r="G196">
        <v>123.65551000000001</v>
      </c>
      <c r="H196" s="2">
        <f t="shared" si="136"/>
        <v>3.6510000000000105</v>
      </c>
      <c r="I196" s="2">
        <f t="shared" si="137"/>
        <v>4.5718099999999851</v>
      </c>
      <c r="J196" s="2">
        <f t="shared" si="138"/>
        <v>0.4440087999114673</v>
      </c>
      <c r="K196" s="2">
        <f t="shared" si="139"/>
        <v>0.55599120008853264</v>
      </c>
      <c r="L196" s="2">
        <f t="shared" si="140"/>
        <v>0.27389756231169465</v>
      </c>
      <c r="M196" s="2">
        <f t="shared" si="141"/>
        <v>0.12161292794069187</v>
      </c>
      <c r="N196" s="2">
        <f t="shared" si="142"/>
        <v>8.2228099999999955</v>
      </c>
    </row>
    <row r="197" spans="3:14" x14ac:dyDescent="0.35">
      <c r="C197" s="155"/>
      <c r="F197">
        <v>128.22731999999999</v>
      </c>
      <c r="G197">
        <v>133.94219000000001</v>
      </c>
      <c r="H197" s="2">
        <f t="shared" si="136"/>
        <v>5.714870000000019</v>
      </c>
      <c r="I197" s="2">
        <f t="shared" si="137"/>
        <v>4.6149800000000027</v>
      </c>
      <c r="J197" s="2">
        <f t="shared" si="138"/>
        <v>0.55323843037411069</v>
      </c>
      <c r="K197" s="2">
        <f t="shared" si="139"/>
        <v>0.44676156962588937</v>
      </c>
      <c r="L197" s="2">
        <f t="shared" si="140"/>
        <v>0.17498210807944831</v>
      </c>
      <c r="M197" s="2">
        <f t="shared" si="141"/>
        <v>9.6806826817426958E-2</v>
      </c>
      <c r="N197" s="2">
        <f t="shared" si="142"/>
        <v>10.329850000000022</v>
      </c>
    </row>
    <row r="198" spans="3:14" x14ac:dyDescent="0.35">
      <c r="C198" s="155"/>
      <c r="F198">
        <v>138.55717000000001</v>
      </c>
      <c r="G198">
        <v>144.20264</v>
      </c>
      <c r="H198" s="2">
        <f t="shared" si="136"/>
        <v>5.6454699999999889</v>
      </c>
      <c r="I198" s="2">
        <f t="shared" si="137"/>
        <v>4.7499699999999905</v>
      </c>
      <c r="J198" s="2">
        <f t="shared" si="138"/>
        <v>0.54307176992989237</v>
      </c>
      <c r="K198" s="2">
        <f t="shared" si="139"/>
        <v>0.45692823007010763</v>
      </c>
      <c r="L198" s="2">
        <f t="shared" si="140"/>
        <v>0.17713317048890562</v>
      </c>
      <c r="M198" s="2">
        <f t="shared" si="141"/>
        <v>9.6196024410703351E-2</v>
      </c>
      <c r="N198" s="2">
        <f t="shared" si="142"/>
        <v>10.395439999999979</v>
      </c>
    </row>
    <row r="199" spans="3:14" x14ac:dyDescent="0.35">
      <c r="C199" s="155"/>
      <c r="F199">
        <v>148.95260999999999</v>
      </c>
      <c r="G199">
        <v>155.71951000000001</v>
      </c>
      <c r="H199" s="2">
        <f t="shared" si="136"/>
        <v>6.766900000000021</v>
      </c>
      <c r="I199" s="2">
        <f t="shared" si="137"/>
        <v>4.6970999999999776</v>
      </c>
      <c r="J199" s="2">
        <f t="shared" si="138"/>
        <v>0.59027390090718967</v>
      </c>
      <c r="K199" s="2">
        <f t="shared" si="139"/>
        <v>0.40972609909281038</v>
      </c>
      <c r="L199" s="2">
        <f t="shared" si="140"/>
        <v>0.14777815543306341</v>
      </c>
      <c r="M199" s="2">
        <f t="shared" si="141"/>
        <v>8.7229588276343348E-2</v>
      </c>
      <c r="N199" s="2">
        <f t="shared" si="142"/>
        <v>11.463999999999999</v>
      </c>
    </row>
    <row r="200" spans="3:14" x14ac:dyDescent="0.35">
      <c r="C200" s="155"/>
      <c r="F200">
        <v>160.41660999999999</v>
      </c>
      <c r="G200">
        <v>164.58928</v>
      </c>
      <c r="H200" s="2">
        <f t="shared" si="136"/>
        <v>4.1726700000000108</v>
      </c>
      <c r="I200" s="2">
        <f t="shared" si="137"/>
        <v>4.8191500000000076</v>
      </c>
      <c r="J200" s="2">
        <f t="shared" si="138"/>
        <v>0.46405177149898486</v>
      </c>
      <c r="K200" s="2">
        <f t="shared" si="139"/>
        <v>0.53594822850101509</v>
      </c>
      <c r="L200" s="2">
        <f t="shared" si="140"/>
        <v>0.23965470550031454</v>
      </c>
      <c r="M200" s="2">
        <f t="shared" si="141"/>
        <v>0.11121219063548847</v>
      </c>
      <c r="N200" s="2">
        <f t="shared" si="142"/>
        <v>8.9918200000000184</v>
      </c>
    </row>
    <row r="201" spans="3:14" x14ac:dyDescent="0.35">
      <c r="C201" s="155"/>
      <c r="F201">
        <v>169.40843000000001</v>
      </c>
      <c r="G201">
        <v>174.76097999999999</v>
      </c>
      <c r="H201" s="2">
        <f t="shared" si="136"/>
        <v>5.3525499999999795</v>
      </c>
      <c r="I201" s="2">
        <f t="shared" si="137"/>
        <v>4.9634700000000009</v>
      </c>
      <c r="J201" s="2">
        <f t="shared" si="138"/>
        <v>0.51885804796811075</v>
      </c>
      <c r="K201" s="2">
        <f t="shared" si="139"/>
        <v>0.48114195203188925</v>
      </c>
      <c r="L201" s="2">
        <f t="shared" si="140"/>
        <v>0.18682683954376958</v>
      </c>
      <c r="M201" s="2">
        <f t="shared" si="141"/>
        <v>9.6936609273731725E-2</v>
      </c>
      <c r="N201" s="2">
        <f t="shared" si="142"/>
        <v>10.31601999999998</v>
      </c>
    </row>
    <row r="202" spans="3:14" x14ac:dyDescent="0.35">
      <c r="C202" s="155"/>
      <c r="F202">
        <v>179.72444999999999</v>
      </c>
      <c r="G202">
        <v>184.17407</v>
      </c>
      <c r="H202" s="2">
        <f t="shared" si="136"/>
        <v>4.4496200000000101</v>
      </c>
      <c r="I202" s="2">
        <f t="shared" si="137"/>
        <v>5.7105999999999995</v>
      </c>
      <c r="J202" s="2">
        <f t="shared" si="138"/>
        <v>0.43794524134319984</v>
      </c>
      <c r="K202" s="2">
        <f t="shared" si="139"/>
        <v>0.5620547586568001</v>
      </c>
      <c r="L202" s="2">
        <f t="shared" si="140"/>
        <v>0.22473829225866426</v>
      </c>
      <c r="M202" s="2">
        <f t="shared" si="141"/>
        <v>9.8423065642279303E-2</v>
      </c>
      <c r="N202" s="2">
        <f t="shared" si="142"/>
        <v>10.16022000000001</v>
      </c>
    </row>
    <row r="203" spans="3:14" x14ac:dyDescent="0.35">
      <c r="C203" s="155"/>
      <c r="F203">
        <v>189.88467</v>
      </c>
      <c r="G203">
        <v>195.47842</v>
      </c>
      <c r="H203" s="2">
        <f t="shared" si="136"/>
        <v>5.59375</v>
      </c>
      <c r="I203" s="2">
        <f t="shared" si="137"/>
        <v>4.8731600000000128</v>
      </c>
      <c r="J203" s="2">
        <f t="shared" si="138"/>
        <v>0.53442228890856935</v>
      </c>
      <c r="K203" s="2">
        <f t="shared" si="139"/>
        <v>0.4655777110914307</v>
      </c>
      <c r="L203" s="2">
        <f t="shared" si="140"/>
        <v>0.1787709497206704</v>
      </c>
      <c r="M203" s="2">
        <f t="shared" si="141"/>
        <v>9.5539180140079435E-2</v>
      </c>
      <c r="N203" s="2">
        <f t="shared" si="142"/>
        <v>10.466910000000013</v>
      </c>
    </row>
    <row r="204" spans="3:14" x14ac:dyDescent="0.35">
      <c r="C204" s="155"/>
      <c r="F204">
        <v>200.35158000000001</v>
      </c>
      <c r="G204">
        <v>205.69593</v>
      </c>
      <c r="H204" s="2">
        <f t="shared" si="136"/>
        <v>5.3443499999999915</v>
      </c>
      <c r="I204" s="2">
        <f t="shared" si="137"/>
        <v>6.0995299999999872</v>
      </c>
      <c r="J204" s="2">
        <f t="shared" si="138"/>
        <v>0.46700507170644934</v>
      </c>
      <c r="K204" s="2">
        <f t="shared" si="139"/>
        <v>0.53299492829355066</v>
      </c>
      <c r="L204" s="2">
        <f t="shared" si="140"/>
        <v>0.18711349368959773</v>
      </c>
      <c r="M204" s="2">
        <f t="shared" si="141"/>
        <v>8.7382950537754842E-2</v>
      </c>
      <c r="N204" s="2">
        <f t="shared" si="142"/>
        <v>11.443879999999979</v>
      </c>
    </row>
    <row r="205" spans="3:14" x14ac:dyDescent="0.35">
      <c r="C205" s="155"/>
      <c r="F205">
        <v>211.79545999999999</v>
      </c>
      <c r="G205">
        <v>217.53675999999999</v>
      </c>
      <c r="H205" s="2">
        <f t="shared" si="136"/>
        <v>5.7412999999999954</v>
      </c>
      <c r="I205" s="2">
        <f t="shared" si="137"/>
        <v>6.1768100000000175</v>
      </c>
      <c r="J205" s="2">
        <f t="shared" si="138"/>
        <v>0.48172906610192295</v>
      </c>
      <c r="K205" s="2">
        <f t="shared" si="139"/>
        <v>0.51827093389807699</v>
      </c>
      <c r="L205" s="2">
        <f t="shared" si="140"/>
        <v>0.17417658021702415</v>
      </c>
      <c r="M205" s="2">
        <f t="shared" si="141"/>
        <v>8.3905921324773716E-2</v>
      </c>
      <c r="N205" s="2">
        <f t="shared" si="142"/>
        <v>11.918110000000013</v>
      </c>
    </row>
    <row r="206" spans="3:14" x14ac:dyDescent="0.35">
      <c r="C206" s="155"/>
      <c r="F206">
        <v>223.71357</v>
      </c>
      <c r="G206">
        <v>228.04474999999999</v>
      </c>
      <c r="H206" s="2">
        <f t="shared" si="136"/>
        <v>4.3311799999999891</v>
      </c>
      <c r="I206" s="2">
        <f t="shared" si="137"/>
        <v>5.9853200000000015</v>
      </c>
      <c r="J206" s="2">
        <f t="shared" si="138"/>
        <v>0.41983036882663627</v>
      </c>
      <c r="K206" s="2">
        <f t="shared" si="139"/>
        <v>0.58016963117336373</v>
      </c>
      <c r="L206" s="2">
        <f t="shared" si="140"/>
        <v>0.23088396233820865</v>
      </c>
      <c r="M206" s="2">
        <f t="shared" si="141"/>
        <v>9.6932099064605329E-2</v>
      </c>
      <c r="N206" s="2">
        <f t="shared" si="142"/>
        <v>10.316499999999991</v>
      </c>
    </row>
    <row r="207" spans="3:14" x14ac:dyDescent="0.35">
      <c r="C207" s="155"/>
      <c r="F207">
        <v>234.03006999999999</v>
      </c>
      <c r="G207">
        <v>238.11407</v>
      </c>
      <c r="H207" s="2">
        <f t="shared" si="136"/>
        <v>4.0840000000000032</v>
      </c>
      <c r="I207" s="2"/>
      <c r="J207" s="2"/>
      <c r="K207" s="2"/>
      <c r="L207" s="2"/>
      <c r="M207" s="2"/>
      <c r="N207" s="2"/>
    </row>
    <row r="208" spans="3:14" x14ac:dyDescent="0.35">
      <c r="C208" s="155"/>
    </row>
    <row r="209" spans="3:18" ht="16" thickBot="1" x14ac:dyDescent="0.4">
      <c r="C209" s="155"/>
      <c r="G209" s="13"/>
      <c r="H209" s="9" t="s">
        <v>3</v>
      </c>
      <c r="I209" s="9" t="s">
        <v>4</v>
      </c>
      <c r="J209" s="9" t="s">
        <v>5</v>
      </c>
      <c r="K209" s="9" t="s">
        <v>6</v>
      </c>
      <c r="L209" s="9" t="s">
        <v>7</v>
      </c>
      <c r="M209" s="9" t="s">
        <v>8</v>
      </c>
      <c r="N209" s="9" t="s">
        <v>9</v>
      </c>
      <c r="O209" s="9" t="s">
        <v>10</v>
      </c>
      <c r="P209" s="44" t="s">
        <v>139</v>
      </c>
    </row>
    <row r="210" spans="3:18" x14ac:dyDescent="0.35">
      <c r="C210" s="155"/>
      <c r="G210" s="49" t="s">
        <v>77</v>
      </c>
      <c r="H210" s="13">
        <f t="shared" ref="H210:P210" si="143">AVERAGE(H184:H206)</f>
        <v>4.9050069565217402</v>
      </c>
      <c r="I210" s="13">
        <f t="shared" si="143"/>
        <v>5.1539469565217386</v>
      </c>
      <c r="J210" s="13">
        <f t="shared" si="143"/>
        <v>0.48483447350265207</v>
      </c>
      <c r="K210" s="13">
        <f t="shared" si="143"/>
        <v>0.51516552649734793</v>
      </c>
      <c r="L210" s="13">
        <f t="shared" si="143"/>
        <v>0.21181789733515013</v>
      </c>
      <c r="M210" s="13">
        <f t="shared" si="143"/>
        <v>0.10085532918872066</v>
      </c>
      <c r="N210" s="13">
        <f t="shared" si="143"/>
        <v>10.058953913043478</v>
      </c>
      <c r="O210" s="13" t="e">
        <f t="shared" si="143"/>
        <v>#DIV/0!</v>
      </c>
      <c r="P210" s="13" t="e">
        <f t="shared" si="143"/>
        <v>#DIV/0!</v>
      </c>
    </row>
    <row r="211" spans="3:18" x14ac:dyDescent="0.35">
      <c r="C211" s="155"/>
      <c r="G211" s="49" t="s">
        <v>94</v>
      </c>
      <c r="H211" s="2">
        <f t="shared" ref="H211:N211" si="144">_xlfn.STDEV.S(H184:H206)</f>
        <v>1.0109478112842025</v>
      </c>
      <c r="I211" s="2">
        <f t="shared" si="144"/>
        <v>0.68704979490992268</v>
      </c>
      <c r="J211" s="2">
        <f t="shared" si="144"/>
        <v>5.7903715718525074E-2</v>
      </c>
      <c r="K211" s="2">
        <f t="shared" si="144"/>
        <v>5.7903715718525768E-2</v>
      </c>
      <c r="L211" s="2">
        <f t="shared" si="144"/>
        <v>4.1294577425595877E-2</v>
      </c>
      <c r="M211" s="2">
        <f t="shared" si="144"/>
        <v>1.2529656310009548E-2</v>
      </c>
      <c r="N211" s="2">
        <f t="shared" si="144"/>
        <v>1.2183295186134513</v>
      </c>
      <c r="O211" s="2" t="e">
        <f>_xlfn.STDEV.S(O192:O197)</f>
        <v>#DIV/0!</v>
      </c>
      <c r="P211" s="2" t="e">
        <f>_xlfn.STDEV.S(P192:P197)</f>
        <v>#DIV/0!</v>
      </c>
    </row>
    <row r="212" spans="3:18" x14ac:dyDescent="0.35">
      <c r="C212" s="155"/>
      <c r="G212" s="49" t="s">
        <v>95</v>
      </c>
      <c r="H212" s="2">
        <f t="shared" ref="H212:N212" si="145">H211/(SQRT(COUNT(H184:H206)))</f>
        <v>0.21079719051220769</v>
      </c>
      <c r="I212" s="2">
        <f t="shared" si="145"/>
        <v>0.14325978541367593</v>
      </c>
      <c r="J212" s="2">
        <f t="shared" si="145"/>
        <v>1.2073759354775686E-2</v>
      </c>
      <c r="K212" s="2">
        <f t="shared" si="145"/>
        <v>1.2073759354775832E-2</v>
      </c>
      <c r="L212" s="2">
        <f t="shared" si="145"/>
        <v>8.6105146156326313E-3</v>
      </c>
      <c r="M212" s="2">
        <f t="shared" si="145"/>
        <v>2.6126139438181705E-3</v>
      </c>
      <c r="N212" s="2">
        <f t="shared" si="145"/>
        <v>0.25403926570212176</v>
      </c>
      <c r="O212" s="2" t="e">
        <f>O211/(SQRT(COUNT(O191:O198)))</f>
        <v>#DIV/0!</v>
      </c>
      <c r="P212" s="2" t="e">
        <f>P211/(SQRT(COUNT(P191:P198)))</f>
        <v>#DIV/0!</v>
      </c>
    </row>
    <row r="213" spans="3:18" x14ac:dyDescent="0.35">
      <c r="C213" s="155"/>
    </row>
    <row r="214" spans="3:18" x14ac:dyDescent="0.35">
      <c r="C214" s="155"/>
    </row>
    <row r="215" spans="3:18" x14ac:dyDescent="0.35">
      <c r="C215" s="155"/>
    </row>
    <row r="216" spans="3:18" x14ac:dyDescent="0.35">
      <c r="C216" s="155"/>
    </row>
    <row r="217" spans="3:18" x14ac:dyDescent="0.35">
      <c r="C217" s="155"/>
    </row>
    <row r="218" spans="3:18" ht="18.5" x14ac:dyDescent="0.45">
      <c r="C218" s="155"/>
      <c r="F218" s="1" t="s">
        <v>224</v>
      </c>
      <c r="G218" s="2"/>
      <c r="H218" s="2"/>
      <c r="I218" s="2"/>
      <c r="J218" s="2"/>
      <c r="K218" s="2"/>
      <c r="L218" s="2"/>
      <c r="M218" s="2"/>
      <c r="N218" s="2"/>
      <c r="O218" s="2"/>
      <c r="P218" s="2"/>
    </row>
    <row r="219" spans="3:18" ht="24" thickBot="1" x14ac:dyDescent="0.6">
      <c r="C219" s="155" t="s">
        <v>216</v>
      </c>
      <c r="F219" s="9" t="s">
        <v>1</v>
      </c>
      <c r="G219" s="9" t="s">
        <v>2</v>
      </c>
      <c r="H219" s="9" t="s">
        <v>3</v>
      </c>
      <c r="I219" s="9" t="s">
        <v>4</v>
      </c>
      <c r="J219" s="9" t="s">
        <v>5</v>
      </c>
      <c r="K219" s="9" t="s">
        <v>6</v>
      </c>
      <c r="L219" s="9" t="s">
        <v>7</v>
      </c>
      <c r="M219" s="9" t="s">
        <v>8</v>
      </c>
      <c r="N219" s="9" t="s">
        <v>9</v>
      </c>
      <c r="O219" s="9" t="s">
        <v>10</v>
      </c>
      <c r="P219" s="44" t="s">
        <v>139</v>
      </c>
    </row>
    <row r="220" spans="3:18" x14ac:dyDescent="0.35">
      <c r="C220" s="155">
        <v>-2</v>
      </c>
      <c r="F220">
        <v>4.1440799999999998</v>
      </c>
      <c r="G220">
        <v>8.5174000000000003</v>
      </c>
      <c r="H220" s="2">
        <f>G220-F220</f>
        <v>4.3733200000000005</v>
      </c>
      <c r="I220" s="2">
        <f>F221-G220</f>
        <v>5.8810699999999994</v>
      </c>
      <c r="J220" s="2">
        <f>H220/N220</f>
        <v>0.42648270643109931</v>
      </c>
      <c r="K220" s="2">
        <f>I220/N220</f>
        <v>0.57351729356890058</v>
      </c>
      <c r="L220" s="2">
        <f>1/H220</f>
        <v>0.22865923371717595</v>
      </c>
      <c r="M220" s="2">
        <f>1/N220</f>
        <v>9.751920884616247E-2</v>
      </c>
      <c r="N220" s="2">
        <f>H220+I220</f>
        <v>10.254390000000001</v>
      </c>
      <c r="R220" t="s">
        <v>225</v>
      </c>
    </row>
    <row r="221" spans="3:18" x14ac:dyDescent="0.35">
      <c r="C221" s="155">
        <v>-2</v>
      </c>
      <c r="F221">
        <v>14.39847</v>
      </c>
      <c r="G221">
        <v>20.28613</v>
      </c>
      <c r="H221" s="2">
        <f>G221-F221</f>
        <v>5.8876600000000003</v>
      </c>
      <c r="I221" s="2">
        <f>F222-G221</f>
        <v>4.5713499999999989</v>
      </c>
      <c r="J221" s="2">
        <f>H221/N221</f>
        <v>0.56292708392094482</v>
      </c>
      <c r="K221" s="2">
        <f>I221/N221</f>
        <v>0.43707291607905518</v>
      </c>
      <c r="L221" s="2">
        <f>1/H221</f>
        <v>0.16984676424929426</v>
      </c>
      <c r="M221" s="2">
        <f t="shared" ref="M221:M230" si="146">1/N221</f>
        <v>9.5611343712263402E-2</v>
      </c>
      <c r="N221" s="2">
        <f>H221+I221</f>
        <v>10.459009999999999</v>
      </c>
    </row>
    <row r="222" spans="3:18" x14ac:dyDescent="0.35">
      <c r="C222" s="155">
        <v>-2</v>
      </c>
      <c r="F222">
        <v>24.857479999999999</v>
      </c>
      <c r="G222">
        <v>29.18224</v>
      </c>
      <c r="H222" s="2">
        <f t="shared" ref="H222:H231" si="147">G222-F222</f>
        <v>4.3247600000000013</v>
      </c>
      <c r="I222" s="2">
        <f t="shared" ref="I222:I230" si="148">F223-G222</f>
        <v>5.7992199999999983</v>
      </c>
      <c r="J222" s="2">
        <f t="shared" ref="J222:J230" si="149">H222/N222</f>
        <v>0.42717982453541015</v>
      </c>
      <c r="K222" s="2">
        <f t="shared" ref="K222:K230" si="150">I222/N222</f>
        <v>0.57282017546458985</v>
      </c>
      <c r="L222" s="2">
        <f t="shared" ref="L222:L230" si="151">1/H222</f>
        <v>0.23122670390958106</v>
      </c>
      <c r="M222" s="2">
        <f t="shared" si="146"/>
        <v>9.8775382803996059E-2</v>
      </c>
      <c r="N222" s="2">
        <f t="shared" ref="N222:N230" si="152">H222+I222</f>
        <v>10.12398</v>
      </c>
    </row>
    <row r="223" spans="3:18" x14ac:dyDescent="0.35">
      <c r="C223" s="155">
        <v>-2</v>
      </c>
      <c r="F223">
        <v>34.981459999999998</v>
      </c>
      <c r="G223">
        <v>39.190869999999997</v>
      </c>
      <c r="H223" s="2">
        <f t="shared" si="147"/>
        <v>4.2094099999999983</v>
      </c>
      <c r="I223" s="2">
        <f t="shared" si="148"/>
        <v>6.1402800000000042</v>
      </c>
      <c r="J223" s="2">
        <f t="shared" si="149"/>
        <v>0.40671846209886453</v>
      </c>
      <c r="K223" s="2">
        <f t="shared" si="150"/>
        <v>0.59328153790113547</v>
      </c>
      <c r="L223" s="2">
        <f t="shared" si="151"/>
        <v>0.23756298388610289</v>
      </c>
      <c r="M223" s="2">
        <f t="shared" si="146"/>
        <v>9.6621251457773102E-2</v>
      </c>
      <c r="N223" s="2">
        <f t="shared" si="152"/>
        <v>10.349690000000002</v>
      </c>
    </row>
    <row r="224" spans="3:18" x14ac:dyDescent="0.35">
      <c r="C224" s="155">
        <v>-2</v>
      </c>
      <c r="F224">
        <v>45.331150000000001</v>
      </c>
      <c r="G224">
        <v>49.42783</v>
      </c>
      <c r="H224" s="2">
        <f t="shared" si="147"/>
        <v>4.0966799999999992</v>
      </c>
      <c r="I224" s="2">
        <f t="shared" si="148"/>
        <v>6.1429299999999998</v>
      </c>
      <c r="J224" s="2">
        <f t="shared" si="149"/>
        <v>0.40008164373447813</v>
      </c>
      <c r="K224" s="2">
        <f t="shared" si="150"/>
        <v>0.59991835626552192</v>
      </c>
      <c r="L224" s="2">
        <f t="shared" si="151"/>
        <v>0.24410010056924147</v>
      </c>
      <c r="M224" s="2">
        <f t="shared" si="146"/>
        <v>9.7659969471493552E-2</v>
      </c>
      <c r="N224" s="2">
        <f t="shared" si="152"/>
        <v>10.239609999999999</v>
      </c>
    </row>
    <row r="225" spans="3:18" x14ac:dyDescent="0.35">
      <c r="C225" s="155">
        <v>-2</v>
      </c>
      <c r="F225">
        <v>55.57076</v>
      </c>
      <c r="G225">
        <v>59.785969999999999</v>
      </c>
      <c r="H225" s="2">
        <f t="shared" si="147"/>
        <v>4.215209999999999</v>
      </c>
      <c r="I225" s="2">
        <f t="shared" si="148"/>
        <v>4.8458299999999994</v>
      </c>
      <c r="J225" s="2">
        <f t="shared" si="149"/>
        <v>0.46520156626612397</v>
      </c>
      <c r="K225" s="2">
        <f t="shared" si="150"/>
        <v>0.53479843373387603</v>
      </c>
      <c r="L225" s="2">
        <f t="shared" si="151"/>
        <v>0.23723610448826993</v>
      </c>
      <c r="M225" s="2">
        <f t="shared" si="146"/>
        <v>0.110362607382817</v>
      </c>
      <c r="N225" s="2">
        <f t="shared" si="152"/>
        <v>9.0610399999999984</v>
      </c>
    </row>
    <row r="226" spans="3:18" x14ac:dyDescent="0.35">
      <c r="C226" s="155">
        <v>-2</v>
      </c>
      <c r="F226">
        <v>64.631799999999998</v>
      </c>
      <c r="G226">
        <v>68.551559999999995</v>
      </c>
      <c r="H226" s="2">
        <f t="shared" si="147"/>
        <v>3.9197599999999966</v>
      </c>
      <c r="I226" s="2">
        <f t="shared" si="148"/>
        <v>6.2129000000000048</v>
      </c>
      <c r="J226" s="2">
        <f t="shared" si="149"/>
        <v>0.38684412582678152</v>
      </c>
      <c r="K226" s="2">
        <f t="shared" si="150"/>
        <v>0.61315587417321848</v>
      </c>
      <c r="L226" s="2">
        <f t="shared" si="151"/>
        <v>0.25511766026491439</v>
      </c>
      <c r="M226" s="2">
        <f t="shared" si="146"/>
        <v>9.8690768268154649E-2</v>
      </c>
      <c r="N226" s="2">
        <f t="shared" si="152"/>
        <v>10.132660000000001</v>
      </c>
    </row>
    <row r="227" spans="3:18" x14ac:dyDescent="0.35">
      <c r="C227" s="155">
        <v>-2</v>
      </c>
      <c r="F227">
        <v>74.76446</v>
      </c>
      <c r="G227">
        <v>80.399289999999993</v>
      </c>
      <c r="H227" s="2">
        <f t="shared" si="147"/>
        <v>5.6348299999999938</v>
      </c>
      <c r="I227" s="2">
        <f t="shared" si="148"/>
        <v>7.1121700000000061</v>
      </c>
      <c r="J227" s="2">
        <f t="shared" si="149"/>
        <v>0.44205146308935389</v>
      </c>
      <c r="K227" s="2">
        <f t="shared" si="150"/>
        <v>0.55794853691064616</v>
      </c>
      <c r="L227" s="2">
        <f t="shared" si="151"/>
        <v>0.17746764321195158</v>
      </c>
      <c r="M227" s="2">
        <f t="shared" si="146"/>
        <v>7.8449831332862638E-2</v>
      </c>
      <c r="N227" s="2">
        <f t="shared" si="152"/>
        <v>12.747</v>
      </c>
    </row>
    <row r="228" spans="3:18" x14ac:dyDescent="0.35">
      <c r="C228" s="155">
        <v>-2</v>
      </c>
      <c r="F228">
        <v>87.51146</v>
      </c>
      <c r="G228">
        <v>93.004459999999995</v>
      </c>
      <c r="H228" s="2">
        <f t="shared" si="147"/>
        <v>5.492999999999995</v>
      </c>
      <c r="I228" s="2">
        <f t="shared" si="148"/>
        <v>4.9144300000000101</v>
      </c>
      <c r="J228" s="2">
        <f t="shared" si="149"/>
        <v>0.52779600727557063</v>
      </c>
      <c r="K228" s="2">
        <f t="shared" si="150"/>
        <v>0.47220399272442937</v>
      </c>
      <c r="L228" s="2">
        <f t="shared" si="151"/>
        <v>0.18204988166757707</v>
      </c>
      <c r="M228" s="2">
        <f t="shared" si="146"/>
        <v>9.6085200669137297E-2</v>
      </c>
      <c r="N228" s="2">
        <f t="shared" si="152"/>
        <v>10.407430000000005</v>
      </c>
    </row>
    <row r="229" spans="3:18" x14ac:dyDescent="0.35">
      <c r="C229" s="155">
        <v>-2</v>
      </c>
      <c r="F229">
        <v>97.918890000000005</v>
      </c>
      <c r="G229">
        <v>102.06429</v>
      </c>
      <c r="H229" s="2">
        <f t="shared" si="147"/>
        <v>4.1453999999999951</v>
      </c>
      <c r="I229" s="2">
        <f t="shared" si="148"/>
        <v>6.0628700000000038</v>
      </c>
      <c r="J229" s="2">
        <f t="shared" si="149"/>
        <v>0.40608251936909934</v>
      </c>
      <c r="K229" s="2">
        <f t="shared" si="150"/>
        <v>0.59391748063090066</v>
      </c>
      <c r="L229" s="2">
        <f t="shared" si="151"/>
        <v>0.24123124427075823</v>
      </c>
      <c r="M229" s="2">
        <f t="shared" si="146"/>
        <v>9.7959791424012108E-2</v>
      </c>
      <c r="N229" s="2">
        <f t="shared" si="152"/>
        <v>10.208269999999999</v>
      </c>
    </row>
    <row r="230" spans="3:18" x14ac:dyDescent="0.35">
      <c r="C230" s="155">
        <v>-2</v>
      </c>
      <c r="F230">
        <v>108.12716</v>
      </c>
      <c r="G230">
        <v>112.55887</v>
      </c>
      <c r="H230" s="2">
        <f t="shared" si="147"/>
        <v>4.4317099999999954</v>
      </c>
      <c r="I230" s="2">
        <f t="shared" si="148"/>
        <v>5.7928899999999999</v>
      </c>
      <c r="J230" s="2">
        <f t="shared" si="149"/>
        <v>0.43343602683723542</v>
      </c>
      <c r="K230" s="2">
        <f t="shared" si="150"/>
        <v>0.56656397316276452</v>
      </c>
      <c r="L230" s="2">
        <f t="shared" si="151"/>
        <v>0.22564653373077234</v>
      </c>
      <c r="M230" s="2">
        <f t="shared" si="146"/>
        <v>9.780333704986019E-2</v>
      </c>
      <c r="N230" s="2">
        <f t="shared" si="152"/>
        <v>10.224599999999995</v>
      </c>
    </row>
    <row r="231" spans="3:18" x14ac:dyDescent="0.35">
      <c r="C231" s="155">
        <v>-2</v>
      </c>
      <c r="F231">
        <v>118.35176</v>
      </c>
      <c r="G231">
        <v>119.84251999999999</v>
      </c>
      <c r="H231" s="2">
        <f t="shared" si="147"/>
        <v>1.4907599999999945</v>
      </c>
      <c r="I231" s="2"/>
      <c r="J231" s="2"/>
      <c r="K231" s="2"/>
      <c r="L231" s="2"/>
      <c r="M231" s="2"/>
      <c r="N231" s="2"/>
    </row>
    <row r="232" spans="3:18" x14ac:dyDescent="0.35">
      <c r="C232" s="155"/>
    </row>
    <row r="233" spans="3:18" ht="16" thickBot="1" x14ac:dyDescent="0.4">
      <c r="C233" s="155"/>
      <c r="G233" s="13"/>
      <c r="H233" s="9" t="s">
        <v>3</v>
      </c>
      <c r="I233" s="9" t="s">
        <v>4</v>
      </c>
      <c r="J233" s="9" t="s">
        <v>5</v>
      </c>
      <c r="K233" s="9" t="s">
        <v>6</v>
      </c>
      <c r="L233" s="9" t="s">
        <v>7</v>
      </c>
      <c r="M233" s="9" t="s">
        <v>8</v>
      </c>
      <c r="N233" s="9" t="s">
        <v>9</v>
      </c>
      <c r="O233" s="9" t="s">
        <v>10</v>
      </c>
      <c r="P233" s="44" t="s">
        <v>139</v>
      </c>
    </row>
    <row r="234" spans="3:18" x14ac:dyDescent="0.35">
      <c r="C234" s="155"/>
      <c r="G234" s="49" t="s">
        <v>77</v>
      </c>
      <c r="H234" s="13">
        <f>AVERAGE(H220:H230)</f>
        <v>4.6119763636363613</v>
      </c>
      <c r="I234" s="13">
        <f t="shared" ref="I234:N234" si="153">AVERAGE(I220:I230)</f>
        <v>5.7705400000000022</v>
      </c>
      <c r="J234" s="13">
        <f t="shared" si="153"/>
        <v>0.44407285721681461</v>
      </c>
      <c r="K234" s="13">
        <f t="shared" si="153"/>
        <v>0.55592714278318522</v>
      </c>
      <c r="L234" s="13">
        <f t="shared" si="153"/>
        <v>0.22092225945142169</v>
      </c>
      <c r="M234" s="13">
        <f t="shared" si="153"/>
        <v>9.6867153856230223E-2</v>
      </c>
      <c r="N234" s="13">
        <f t="shared" si="153"/>
        <v>10.382516363636364</v>
      </c>
      <c r="O234" s="13" t="e">
        <f>AVERAGE(O208:O230)</f>
        <v>#DIV/0!</v>
      </c>
      <c r="P234" s="13" t="e">
        <f>AVERAGE(P208:P230)</f>
        <v>#DIV/0!</v>
      </c>
    </row>
    <row r="235" spans="3:18" x14ac:dyDescent="0.35">
      <c r="C235" s="155"/>
      <c r="G235" s="49" t="s">
        <v>94</v>
      </c>
      <c r="H235" s="2">
        <f>_xlfn.STDEV.S(H220:H230)</f>
        <v>0.70025835051461371</v>
      </c>
      <c r="I235" s="2">
        <f t="shared" ref="I235:N235" si="154">_xlfn.STDEV.S(I220:I230)</f>
        <v>0.734581564783654</v>
      </c>
      <c r="J235" s="2">
        <f t="shared" si="154"/>
        <v>5.5084755354311121E-2</v>
      </c>
      <c r="K235" s="2">
        <f t="shared" si="154"/>
        <v>5.5084755354310448E-2</v>
      </c>
      <c r="L235" s="2">
        <f t="shared" si="154"/>
        <v>2.9763199795631499E-2</v>
      </c>
      <c r="M235" s="2">
        <f t="shared" si="154"/>
        <v>7.3052374916138252E-3</v>
      </c>
      <c r="N235" s="2">
        <f t="shared" si="154"/>
        <v>0.86982983409713821</v>
      </c>
      <c r="O235" s="2" t="e">
        <f>_xlfn.STDEV.S(O216:O221)</f>
        <v>#DIV/0!</v>
      </c>
      <c r="P235" s="2" t="e">
        <f>_xlfn.STDEV.S(P216:P221)</f>
        <v>#DIV/0!</v>
      </c>
    </row>
    <row r="236" spans="3:18" x14ac:dyDescent="0.35">
      <c r="C236" s="155"/>
      <c r="G236" s="49" t="s">
        <v>95</v>
      </c>
      <c r="H236" s="2">
        <f>H235/(SQRT(COUNT(H220:H230)))</f>
        <v>0.21113583681546808</v>
      </c>
      <c r="I236" s="2">
        <f t="shared" ref="I236:N236" si="155">I235/(SQRT(COUNT(I220:I230)))</f>
        <v>0.22148467529995711</v>
      </c>
      <c r="J236" s="2">
        <f t="shared" si="155"/>
        <v>1.6608678652615512E-2</v>
      </c>
      <c r="K236" s="2">
        <f t="shared" si="155"/>
        <v>1.6608678652615307E-2</v>
      </c>
      <c r="L236" s="2">
        <f t="shared" si="155"/>
        <v>8.9739423893174727E-3</v>
      </c>
      <c r="M236" s="2">
        <f t="shared" si="155"/>
        <v>2.2026119785563737E-3</v>
      </c>
      <c r="N236" s="2">
        <f t="shared" si="155"/>
        <v>0.2622635628324812</v>
      </c>
      <c r="O236" s="2" t="e">
        <f>O235/(SQRT(COUNT(O215:O222)))</f>
        <v>#DIV/0!</v>
      </c>
      <c r="P236" s="2" t="e">
        <f>P235/(SQRT(COUNT(P215:P222)))</f>
        <v>#DIV/0!</v>
      </c>
    </row>
    <row r="237" spans="3:18" x14ac:dyDescent="0.35">
      <c r="C237" s="155"/>
    </row>
    <row r="238" spans="3:18" ht="24" thickBot="1" x14ac:dyDescent="0.6">
      <c r="C238" s="155" t="s">
        <v>216</v>
      </c>
      <c r="F238" s="9" t="s">
        <v>1</v>
      </c>
      <c r="G238" s="9" t="s">
        <v>2</v>
      </c>
      <c r="H238" s="9" t="s">
        <v>3</v>
      </c>
      <c r="I238" s="9" t="s">
        <v>4</v>
      </c>
      <c r="J238" s="9" t="s">
        <v>5</v>
      </c>
      <c r="K238" s="9" t="s">
        <v>6</v>
      </c>
      <c r="L238" s="9" t="s">
        <v>7</v>
      </c>
      <c r="M238" s="9" t="s">
        <v>8</v>
      </c>
      <c r="N238" s="9" t="s">
        <v>9</v>
      </c>
      <c r="O238" s="9" t="s">
        <v>10</v>
      </c>
      <c r="P238" s="44" t="s">
        <v>139</v>
      </c>
    </row>
    <row r="239" spans="3:18" x14ac:dyDescent="0.35">
      <c r="C239" s="155">
        <v>0</v>
      </c>
      <c r="F239">
        <v>9.7780000000000006E-2</v>
      </c>
      <c r="G239">
        <v>2.4790100000000002</v>
      </c>
      <c r="H239" s="2">
        <f>G239-F239</f>
        <v>2.38123</v>
      </c>
      <c r="I239" s="2">
        <f>F240-G239</f>
        <v>5.9999299999999991</v>
      </c>
      <c r="J239" s="2">
        <f>H239/N239</f>
        <v>0.28411699573806015</v>
      </c>
      <c r="K239" s="2">
        <f>I239/N239</f>
        <v>0.71588300426193985</v>
      </c>
      <c r="L239" s="2">
        <f>1/H239</f>
        <v>0.41995103370946946</v>
      </c>
      <c r="M239" s="2">
        <f>1/N239</f>
        <v>0.11931522605462729</v>
      </c>
      <c r="N239" s="2">
        <f>H239+I239</f>
        <v>8.3811599999999995</v>
      </c>
      <c r="R239" t="s">
        <v>226</v>
      </c>
    </row>
    <row r="240" spans="3:18" x14ac:dyDescent="0.35">
      <c r="C240" s="155">
        <v>0</v>
      </c>
      <c r="F240">
        <v>8.4789399999999997</v>
      </c>
      <c r="G240">
        <v>14.07713</v>
      </c>
      <c r="H240" s="2">
        <f t="shared" ref="H240:H249" si="156">G240-F240</f>
        <v>5.5981900000000007</v>
      </c>
      <c r="I240" s="2">
        <f t="shared" ref="I240:I248" si="157">F241-G240</f>
        <v>5.9069900000000004</v>
      </c>
      <c r="J240" s="2">
        <f t="shared" ref="J240:J248" si="158">H240/N240</f>
        <v>0.48657995789722541</v>
      </c>
      <c r="K240" s="2">
        <f t="shared" ref="K240:K248" si="159">I240/N240</f>
        <v>0.51342004210277459</v>
      </c>
      <c r="L240" s="2">
        <f t="shared" ref="L240:L248" si="160">1/H240</f>
        <v>0.17862916406910087</v>
      </c>
      <c r="M240" s="2">
        <f t="shared" ref="M240:M248" si="161">1/N240</f>
        <v>8.6917371131959686E-2</v>
      </c>
      <c r="N240" s="2">
        <f t="shared" ref="N240:N248" si="162">H240+I240</f>
        <v>11.505180000000001</v>
      </c>
    </row>
    <row r="241" spans="3:16" x14ac:dyDescent="0.35">
      <c r="C241" s="155">
        <v>0</v>
      </c>
      <c r="F241">
        <v>19.984120000000001</v>
      </c>
      <c r="G241">
        <v>25.57479</v>
      </c>
      <c r="H241" s="2">
        <f t="shared" si="156"/>
        <v>5.5906699999999994</v>
      </c>
      <c r="I241" s="2">
        <f t="shared" si="157"/>
        <v>4.89236</v>
      </c>
      <c r="J241" s="2">
        <f t="shared" si="158"/>
        <v>0.53330668709333084</v>
      </c>
      <c r="K241" s="2">
        <f t="shared" si="159"/>
        <v>0.46669331290666921</v>
      </c>
      <c r="L241" s="2">
        <f t="shared" si="160"/>
        <v>0.17886943783124387</v>
      </c>
      <c r="M241" s="2">
        <f t="shared" si="161"/>
        <v>9.5392267312027157E-2</v>
      </c>
      <c r="N241" s="2">
        <f t="shared" si="162"/>
        <v>10.483029999999999</v>
      </c>
    </row>
    <row r="242" spans="3:16" x14ac:dyDescent="0.35">
      <c r="C242" s="155">
        <v>0</v>
      </c>
      <c r="F242">
        <v>30.46715</v>
      </c>
      <c r="G242">
        <v>34.885460000000002</v>
      </c>
      <c r="H242" s="2">
        <f t="shared" si="156"/>
        <v>4.4183100000000017</v>
      </c>
      <c r="I242" s="2">
        <f t="shared" si="157"/>
        <v>7.0399400000000014</v>
      </c>
      <c r="J242" s="2">
        <f t="shared" si="158"/>
        <v>0.38560076800558551</v>
      </c>
      <c r="K242" s="2">
        <f t="shared" si="159"/>
        <v>0.61439923199441449</v>
      </c>
      <c r="L242" s="2">
        <f t="shared" si="160"/>
        <v>0.22633088216987934</v>
      </c>
      <c r="M242" s="2">
        <f t="shared" si="161"/>
        <v>8.7273361988087161E-2</v>
      </c>
      <c r="N242" s="2">
        <f t="shared" si="162"/>
        <v>11.458250000000003</v>
      </c>
    </row>
    <row r="243" spans="3:16" x14ac:dyDescent="0.35">
      <c r="C243" s="155">
        <v>0</v>
      </c>
      <c r="F243">
        <v>41.925400000000003</v>
      </c>
      <c r="G243">
        <v>48.892119999999998</v>
      </c>
      <c r="H243" s="2">
        <f t="shared" si="156"/>
        <v>6.9667199999999951</v>
      </c>
      <c r="I243" s="2">
        <f t="shared" si="157"/>
        <v>6.0603499999999997</v>
      </c>
      <c r="J243" s="2">
        <f t="shared" si="158"/>
        <v>0.53478794540905961</v>
      </c>
      <c r="K243" s="2">
        <f t="shared" si="159"/>
        <v>0.46521205459094039</v>
      </c>
      <c r="L243" s="2">
        <f t="shared" si="160"/>
        <v>0.14353957098893033</v>
      </c>
      <c r="M243" s="2">
        <f t="shared" si="161"/>
        <v>7.6763232254067906E-2</v>
      </c>
      <c r="N243" s="2">
        <f t="shared" si="162"/>
        <v>13.027069999999995</v>
      </c>
    </row>
    <row r="244" spans="3:16" x14ac:dyDescent="0.35">
      <c r="C244" s="155">
        <v>0</v>
      </c>
      <c r="F244">
        <v>54.952469999999998</v>
      </c>
      <c r="G244">
        <v>59.320430000000002</v>
      </c>
      <c r="H244" s="2">
        <f t="shared" si="156"/>
        <v>4.3679600000000036</v>
      </c>
      <c r="I244" s="2">
        <f t="shared" si="157"/>
        <v>6.1605899999999991</v>
      </c>
      <c r="J244" s="2">
        <f t="shared" si="158"/>
        <v>0.41486814423638607</v>
      </c>
      <c r="K244" s="2">
        <f t="shared" si="159"/>
        <v>0.58513185576361393</v>
      </c>
      <c r="L244" s="2">
        <f t="shared" si="160"/>
        <v>0.22893982545627689</v>
      </c>
      <c r="M244" s="2">
        <f t="shared" si="161"/>
        <v>9.4979840528847725E-2</v>
      </c>
      <c r="N244" s="2">
        <f t="shared" si="162"/>
        <v>10.528550000000003</v>
      </c>
    </row>
    <row r="245" spans="3:16" x14ac:dyDescent="0.35">
      <c r="C245" s="155">
        <v>0</v>
      </c>
      <c r="F245">
        <v>65.481020000000001</v>
      </c>
      <c r="G245">
        <v>69.730990000000006</v>
      </c>
      <c r="H245" s="2">
        <f t="shared" si="156"/>
        <v>4.2499700000000047</v>
      </c>
      <c r="I245" s="2">
        <f t="shared" si="157"/>
        <v>6.1615299999999991</v>
      </c>
      <c r="J245" s="2">
        <f t="shared" si="158"/>
        <v>0.40819958699514991</v>
      </c>
      <c r="K245" s="2">
        <f t="shared" si="159"/>
        <v>0.59180041300485009</v>
      </c>
      <c r="L245" s="2">
        <f t="shared" si="160"/>
        <v>0.23529577855843661</v>
      </c>
      <c r="M245" s="2">
        <f t="shared" si="161"/>
        <v>9.6047639629256082E-2</v>
      </c>
      <c r="N245" s="2">
        <f t="shared" si="162"/>
        <v>10.411500000000004</v>
      </c>
    </row>
    <row r="246" spans="3:16" x14ac:dyDescent="0.35">
      <c r="C246" s="155">
        <v>0</v>
      </c>
      <c r="F246">
        <v>75.892520000000005</v>
      </c>
      <c r="G246">
        <v>81.506150000000005</v>
      </c>
      <c r="H246" s="2">
        <f t="shared" si="156"/>
        <v>5.6136300000000006</v>
      </c>
      <c r="I246" s="2">
        <f t="shared" si="157"/>
        <v>6.206089999999989</v>
      </c>
      <c r="J246" s="2">
        <f t="shared" si="158"/>
        <v>0.47493764657707677</v>
      </c>
      <c r="K246" s="2">
        <f t="shared" si="159"/>
        <v>0.52506235342292329</v>
      </c>
      <c r="L246" s="2">
        <f t="shared" si="160"/>
        <v>0.17813785375951033</v>
      </c>
      <c r="M246" s="2">
        <f t="shared" si="161"/>
        <v>8.4604373030833291E-2</v>
      </c>
      <c r="N246" s="2">
        <f t="shared" si="162"/>
        <v>11.81971999999999</v>
      </c>
    </row>
    <row r="247" spans="3:16" x14ac:dyDescent="0.35">
      <c r="C247" s="155">
        <v>0</v>
      </c>
      <c r="F247">
        <v>87.712239999999994</v>
      </c>
      <c r="G247">
        <v>92.07996</v>
      </c>
      <c r="H247" s="2">
        <f t="shared" si="156"/>
        <v>4.3677200000000056</v>
      </c>
      <c r="I247" s="2">
        <f t="shared" si="157"/>
        <v>6.080299999999994</v>
      </c>
      <c r="J247" s="2">
        <f t="shared" si="158"/>
        <v>0.41804284448153867</v>
      </c>
      <c r="K247" s="2">
        <f t="shared" si="159"/>
        <v>0.58195715551846128</v>
      </c>
      <c r="L247" s="2">
        <f t="shared" si="160"/>
        <v>0.22895240537397057</v>
      </c>
      <c r="M247" s="2">
        <f t="shared" si="161"/>
        <v>9.5711914793424974E-2</v>
      </c>
      <c r="N247" s="2">
        <f t="shared" si="162"/>
        <v>10.44802</v>
      </c>
    </row>
    <row r="248" spans="3:16" x14ac:dyDescent="0.35">
      <c r="C248" s="155">
        <v>0</v>
      </c>
      <c r="F248">
        <v>98.160259999999994</v>
      </c>
      <c r="G248">
        <v>104.83371</v>
      </c>
      <c r="H248" s="2">
        <f t="shared" si="156"/>
        <v>6.6734500000000025</v>
      </c>
      <c r="I248" s="2">
        <f t="shared" si="157"/>
        <v>6.3603400000000079</v>
      </c>
      <c r="J248" s="2">
        <f t="shared" si="158"/>
        <v>0.51201147172081163</v>
      </c>
      <c r="K248" s="2">
        <f t="shared" si="159"/>
        <v>0.48798852827918837</v>
      </c>
      <c r="L248" s="2">
        <f t="shared" si="160"/>
        <v>0.14984753013808444</v>
      </c>
      <c r="M248" s="2">
        <f t="shared" si="161"/>
        <v>7.6723654439729283E-2</v>
      </c>
      <c r="N248" s="2">
        <f t="shared" si="162"/>
        <v>13.03379000000001</v>
      </c>
    </row>
    <row r="249" spans="3:16" x14ac:dyDescent="0.35">
      <c r="C249" s="155"/>
      <c r="F249">
        <v>111.19405</v>
      </c>
      <c r="G249">
        <v>116.80217</v>
      </c>
      <c r="H249" s="2">
        <f t="shared" si="156"/>
        <v>5.6081199999999995</v>
      </c>
      <c r="I249" s="2"/>
      <c r="J249" s="2"/>
      <c r="K249" s="2"/>
      <c r="L249" s="2"/>
      <c r="M249" s="2"/>
      <c r="N249" s="2"/>
    </row>
    <row r="250" spans="3:16" x14ac:dyDescent="0.35">
      <c r="C250" s="155"/>
    </row>
    <row r="251" spans="3:16" ht="16" thickBot="1" x14ac:dyDescent="0.4">
      <c r="C251" s="155"/>
      <c r="G251" s="13"/>
      <c r="H251" s="9" t="s">
        <v>3</v>
      </c>
      <c r="I251" s="9" t="s">
        <v>4</v>
      </c>
      <c r="J251" s="9" t="s">
        <v>5</v>
      </c>
      <c r="K251" s="9" t="s">
        <v>6</v>
      </c>
      <c r="L251" s="9" t="s">
        <v>7</v>
      </c>
      <c r="M251" s="9" t="s">
        <v>8</v>
      </c>
      <c r="N251" s="9" t="s">
        <v>9</v>
      </c>
      <c r="O251" s="9" t="s">
        <v>10</v>
      </c>
      <c r="P251" s="44" t="s">
        <v>139</v>
      </c>
    </row>
    <row r="252" spans="3:16" x14ac:dyDescent="0.35">
      <c r="C252" s="155"/>
      <c r="G252" s="49" t="s">
        <v>77</v>
      </c>
      <c r="H252" s="13">
        <f>AVERAGE(H237:H248)</f>
        <v>5.0227850000000016</v>
      </c>
      <c r="I252" s="13">
        <f t="shared" ref="I252:P252" si="163">AVERAGE(I237:I248)</f>
        <v>6.086841999999999</v>
      </c>
      <c r="J252" s="13">
        <f t="shared" si="163"/>
        <v>0.44524520481542246</v>
      </c>
      <c r="K252" s="13">
        <f t="shared" si="163"/>
        <v>0.55475479518457749</v>
      </c>
      <c r="L252" s="13">
        <f t="shared" si="163"/>
        <v>0.21684934820549023</v>
      </c>
      <c r="M252" s="13">
        <f t="shared" si="163"/>
        <v>9.137288811628605E-2</v>
      </c>
      <c r="N252" s="13">
        <f t="shared" si="163"/>
        <v>11.109627</v>
      </c>
      <c r="O252" s="13" t="e">
        <f t="shared" si="163"/>
        <v>#DIV/0!</v>
      </c>
      <c r="P252" s="13" t="e">
        <f t="shared" si="163"/>
        <v>#DIV/0!</v>
      </c>
    </row>
    <row r="253" spans="3:16" x14ac:dyDescent="0.35">
      <c r="C253" s="155"/>
      <c r="G253" s="49" t="s">
        <v>94</v>
      </c>
      <c r="H253" s="2">
        <f>_xlfn.STDEV.S(H237:H248)</f>
        <v>1.3459656645137714</v>
      </c>
      <c r="I253" s="2">
        <f t="shared" ref="I253:P253" si="164">_xlfn.STDEV.S(I237:I248)</f>
        <v>0.52449620417649923</v>
      </c>
      <c r="J253" s="2">
        <f t="shared" si="164"/>
        <v>7.8440023075149135E-2</v>
      </c>
      <c r="K253" s="2">
        <f t="shared" si="164"/>
        <v>7.844002307514962E-2</v>
      </c>
      <c r="L253" s="2">
        <f t="shared" si="164"/>
        <v>7.9048881850404151E-2</v>
      </c>
      <c r="M253" s="2">
        <f t="shared" si="164"/>
        <v>1.2297844674563709E-2</v>
      </c>
      <c r="N253" s="2">
        <f t="shared" si="164"/>
        <v>1.3848840597445242</v>
      </c>
      <c r="O253" s="2" t="e">
        <f t="shared" si="164"/>
        <v>#DIV/0!</v>
      </c>
      <c r="P253" s="2" t="e">
        <f t="shared" si="164"/>
        <v>#DIV/0!</v>
      </c>
    </row>
    <row r="254" spans="3:16" x14ac:dyDescent="0.35">
      <c r="C254" s="155"/>
      <c r="G254" s="49" t="s">
        <v>95</v>
      </c>
      <c r="H254" s="2">
        <f>H253/(SQRT(COUNT(H237:H248)))</f>
        <v>0.42563171522455867</v>
      </c>
      <c r="I254" s="2">
        <f t="shared" ref="I254:P254" si="165">I253/(SQRT(COUNT(I237:I248)))</f>
        <v>0.16586026293104564</v>
      </c>
      <c r="J254" s="2">
        <f t="shared" si="165"/>
        <v>2.4804913263363627E-2</v>
      </c>
      <c r="K254" s="2">
        <f t="shared" si="165"/>
        <v>2.480491326336378E-2</v>
      </c>
      <c r="L254" s="2">
        <f t="shared" si="165"/>
        <v>2.4997451313682268E-2</v>
      </c>
      <c r="M254" s="2">
        <f t="shared" si="165"/>
        <v>3.8889199482593489E-3</v>
      </c>
      <c r="N254" s="2">
        <f t="shared" si="165"/>
        <v>0.43793879240534</v>
      </c>
      <c r="O254" s="2" t="e">
        <f t="shared" si="165"/>
        <v>#DIV/0!</v>
      </c>
      <c r="P254" s="2" t="e">
        <f t="shared" si="165"/>
        <v>#DIV/0!</v>
      </c>
    </row>
    <row r="255" spans="3:16" x14ac:dyDescent="0.35">
      <c r="C255" s="155"/>
    </row>
    <row r="256" spans="3:16" ht="24" thickBot="1" x14ac:dyDescent="0.6">
      <c r="C256" s="155" t="s">
        <v>216</v>
      </c>
      <c r="F256" s="9" t="s">
        <v>1</v>
      </c>
      <c r="G256" s="9" t="s">
        <v>2</v>
      </c>
      <c r="H256" s="9" t="s">
        <v>3</v>
      </c>
      <c r="I256" s="9" t="s">
        <v>4</v>
      </c>
      <c r="J256" s="9" t="s">
        <v>5</v>
      </c>
      <c r="K256" s="9" t="s">
        <v>6</v>
      </c>
      <c r="L256" s="9" t="s">
        <v>7</v>
      </c>
      <c r="M256" s="9" t="s">
        <v>8</v>
      </c>
      <c r="N256" s="9" t="s">
        <v>9</v>
      </c>
      <c r="O256" s="9" t="s">
        <v>10</v>
      </c>
      <c r="P256" s="44" t="s">
        <v>139</v>
      </c>
    </row>
    <row r="257" spans="3:18" x14ac:dyDescent="0.35">
      <c r="C257" s="155">
        <v>-3</v>
      </c>
      <c r="F257">
        <v>2.742</v>
      </c>
      <c r="G257">
        <v>8.45852</v>
      </c>
      <c r="H257" s="2">
        <f>G257-F257</f>
        <v>5.71652</v>
      </c>
      <c r="I257" s="2">
        <f>F258-G257</f>
        <v>6.0906900000000004</v>
      </c>
      <c r="J257" s="2">
        <f>H257/N257</f>
        <v>0.48415502053406345</v>
      </c>
      <c r="K257" s="2">
        <f>I257/N257</f>
        <v>0.51584497946593644</v>
      </c>
      <c r="L257" s="2">
        <f>1/H257</f>
        <v>0.17493160174371822</v>
      </c>
      <c r="M257" s="2">
        <f>1/N257</f>
        <v>8.4694013234286505E-2</v>
      </c>
      <c r="N257" s="2">
        <f>H257+I257</f>
        <v>11.807210000000001</v>
      </c>
      <c r="R257" t="s">
        <v>227</v>
      </c>
    </row>
    <row r="258" spans="3:18" x14ac:dyDescent="0.35">
      <c r="C258" s="155">
        <v>-3</v>
      </c>
      <c r="F258">
        <v>14.54921</v>
      </c>
      <c r="G258">
        <v>21.625139999999998</v>
      </c>
      <c r="H258" s="2">
        <f t="shared" ref="H258:H266" si="166">G258-F258</f>
        <v>7.0759299999999978</v>
      </c>
      <c r="I258" s="2">
        <f t="shared" ref="I258:I265" si="167">F259-G258</f>
        <v>6.0727800000000016</v>
      </c>
      <c r="J258" s="2">
        <f t="shared" ref="J258:J265" si="168">H258/N258</f>
        <v>0.53814632766256143</v>
      </c>
      <c r="K258" s="2">
        <f t="shared" ref="K258:K265" si="169">I258/N258</f>
        <v>0.46185367233743857</v>
      </c>
      <c r="L258" s="2">
        <f t="shared" ref="L258:L265" si="170">1/H258</f>
        <v>0.14132417929515984</v>
      </c>
      <c r="M258" s="2">
        <f t="shared" ref="M258:M265" si="171">1/N258</f>
        <v>7.6053088097615656E-2</v>
      </c>
      <c r="N258" s="2">
        <f t="shared" ref="N258:N265" si="172">H258+I258</f>
        <v>13.148709999999999</v>
      </c>
    </row>
    <row r="259" spans="3:18" x14ac:dyDescent="0.35">
      <c r="C259" s="155">
        <v>-3</v>
      </c>
      <c r="F259">
        <v>27.69792</v>
      </c>
      <c r="G259">
        <v>32.296559999999999</v>
      </c>
      <c r="H259" s="2">
        <f t="shared" si="166"/>
        <v>4.5986399999999996</v>
      </c>
      <c r="I259" s="2">
        <f t="shared" si="167"/>
        <v>7.3113700000000037</v>
      </c>
      <c r="J259" s="2">
        <f t="shared" si="168"/>
        <v>0.38611554482321997</v>
      </c>
      <c r="K259" s="2">
        <f t="shared" si="169"/>
        <v>0.61388445517678003</v>
      </c>
      <c r="L259" s="2">
        <f t="shared" si="170"/>
        <v>0.21745559556738517</v>
      </c>
      <c r="M259" s="2">
        <f t="shared" si="171"/>
        <v>8.3962985757358707E-2</v>
      </c>
      <c r="N259" s="2">
        <f t="shared" si="172"/>
        <v>11.910010000000003</v>
      </c>
    </row>
    <row r="260" spans="3:18" x14ac:dyDescent="0.35">
      <c r="C260" s="155">
        <v>-3</v>
      </c>
      <c r="F260">
        <v>39.607930000000003</v>
      </c>
      <c r="G260">
        <v>45.39555</v>
      </c>
      <c r="H260" s="2">
        <f t="shared" si="166"/>
        <v>5.7876199999999969</v>
      </c>
      <c r="I260" s="2">
        <f t="shared" si="167"/>
        <v>7.4385400000000033</v>
      </c>
      <c r="J260" s="2">
        <f t="shared" si="168"/>
        <v>0.43758883908859386</v>
      </c>
      <c r="K260" s="2">
        <f t="shared" si="169"/>
        <v>0.56241116091140608</v>
      </c>
      <c r="L260" s="2">
        <f t="shared" si="170"/>
        <v>0.17278259457255324</v>
      </c>
      <c r="M260" s="2">
        <f t="shared" si="171"/>
        <v>7.5607734973718754E-2</v>
      </c>
      <c r="N260" s="2">
        <f t="shared" si="172"/>
        <v>13.22616</v>
      </c>
    </row>
    <row r="261" spans="3:18" x14ac:dyDescent="0.35">
      <c r="C261" s="155">
        <v>-3</v>
      </c>
      <c r="F261">
        <v>52.834090000000003</v>
      </c>
      <c r="G261">
        <v>58.461370000000002</v>
      </c>
      <c r="H261" s="2">
        <f t="shared" si="166"/>
        <v>5.6272799999999989</v>
      </c>
      <c r="I261" s="2">
        <f t="shared" si="167"/>
        <v>6.3848200000000048</v>
      </c>
      <c r="J261" s="2">
        <f t="shared" si="168"/>
        <v>0.4684676284746212</v>
      </c>
      <c r="K261" s="2">
        <f t="shared" si="169"/>
        <v>0.5315323715253788</v>
      </c>
      <c r="L261" s="2">
        <f t="shared" si="170"/>
        <v>0.17770574771470413</v>
      </c>
      <c r="M261" s="2">
        <f t="shared" si="171"/>
        <v>8.3249390198216769E-2</v>
      </c>
      <c r="N261" s="2">
        <f t="shared" si="172"/>
        <v>12.012100000000004</v>
      </c>
    </row>
    <row r="262" spans="3:18" x14ac:dyDescent="0.35">
      <c r="C262" s="155">
        <v>-3</v>
      </c>
      <c r="F262">
        <v>64.846190000000007</v>
      </c>
      <c r="G262">
        <v>70.857249999999993</v>
      </c>
      <c r="H262" s="2">
        <f t="shared" si="166"/>
        <v>6.0110599999999863</v>
      </c>
      <c r="I262" s="2">
        <f t="shared" si="167"/>
        <v>6.0933500000000009</v>
      </c>
      <c r="J262" s="2">
        <f t="shared" si="168"/>
        <v>0.49660082564949409</v>
      </c>
      <c r="K262" s="2">
        <f t="shared" si="169"/>
        <v>0.50339917435050596</v>
      </c>
      <c r="L262" s="2">
        <f t="shared" si="170"/>
        <v>0.16636000971542494</v>
      </c>
      <c r="M262" s="2">
        <f t="shared" si="171"/>
        <v>8.2614518179737889E-2</v>
      </c>
      <c r="N262" s="2">
        <f t="shared" si="172"/>
        <v>12.104409999999987</v>
      </c>
    </row>
    <row r="263" spans="3:18" x14ac:dyDescent="0.35">
      <c r="C263" s="155">
        <v>-3</v>
      </c>
      <c r="F263">
        <v>76.950599999999994</v>
      </c>
      <c r="G263">
        <v>85.33117</v>
      </c>
      <c r="H263" s="2">
        <f t="shared" si="166"/>
        <v>8.3805700000000058</v>
      </c>
      <c r="I263" s="2">
        <f t="shared" si="167"/>
        <v>7.2379700000000042</v>
      </c>
      <c r="J263" s="2">
        <f t="shared" si="168"/>
        <v>0.53657832294183705</v>
      </c>
      <c r="K263" s="2">
        <f t="shared" si="169"/>
        <v>0.4634216770581629</v>
      </c>
      <c r="L263" s="2">
        <f t="shared" si="170"/>
        <v>0.11932362595861609</v>
      </c>
      <c r="M263" s="2">
        <f t="shared" si="171"/>
        <v>6.4026471104213278E-2</v>
      </c>
      <c r="N263" s="2">
        <f t="shared" si="172"/>
        <v>15.61854000000001</v>
      </c>
    </row>
    <row r="264" spans="3:18" x14ac:dyDescent="0.35">
      <c r="C264" s="155">
        <v>-3</v>
      </c>
      <c r="F264">
        <v>92.569140000000004</v>
      </c>
      <c r="G264">
        <v>96.973839999999996</v>
      </c>
      <c r="H264" s="2">
        <f t="shared" si="166"/>
        <v>4.4046999999999912</v>
      </c>
      <c r="I264" s="2">
        <f t="shared" si="167"/>
        <v>6.384529999999998</v>
      </c>
      <c r="J264" s="2">
        <f t="shared" si="168"/>
        <v>0.40824970827389867</v>
      </c>
      <c r="K264" s="2">
        <f t="shared" si="169"/>
        <v>0.59175029172610139</v>
      </c>
      <c r="L264" s="2">
        <f t="shared" si="170"/>
        <v>0.22703021772197926</v>
      </c>
      <c r="M264" s="2">
        <f t="shared" si="171"/>
        <v>9.2685020154357728E-2</v>
      </c>
      <c r="N264" s="2">
        <f t="shared" si="172"/>
        <v>10.789229999999989</v>
      </c>
    </row>
    <row r="265" spans="3:18" x14ac:dyDescent="0.35">
      <c r="C265" s="155">
        <v>-3</v>
      </c>
      <c r="F265">
        <v>103.35836999999999</v>
      </c>
      <c r="G265">
        <v>109.19665999999999</v>
      </c>
      <c r="H265" s="2">
        <f t="shared" si="166"/>
        <v>5.8382900000000006</v>
      </c>
      <c r="I265" s="2">
        <f t="shared" si="167"/>
        <v>6.0548700000000082</v>
      </c>
      <c r="J265" s="2">
        <f t="shared" si="168"/>
        <v>0.49089476640354596</v>
      </c>
      <c r="K265" s="2">
        <f t="shared" si="169"/>
        <v>0.5091052335964541</v>
      </c>
      <c r="L265" s="2">
        <f t="shared" si="170"/>
        <v>0.17128302979125734</v>
      </c>
      <c r="M265" s="2">
        <f t="shared" si="171"/>
        <v>8.4081942898270881E-2</v>
      </c>
      <c r="N265" s="2">
        <f t="shared" si="172"/>
        <v>11.893160000000009</v>
      </c>
    </row>
    <row r="266" spans="3:18" x14ac:dyDescent="0.35">
      <c r="C266" s="155">
        <v>-3</v>
      </c>
      <c r="F266">
        <v>115.25153</v>
      </c>
      <c r="G266">
        <v>119.5782</v>
      </c>
      <c r="H266" s="2">
        <f t="shared" si="166"/>
        <v>4.3266699999999929</v>
      </c>
      <c r="I266" s="2"/>
      <c r="J266" s="2"/>
      <c r="K266" s="2"/>
      <c r="L266" s="2"/>
      <c r="M266" s="2"/>
      <c r="N266" s="2"/>
    </row>
    <row r="267" spans="3:18" x14ac:dyDescent="0.35">
      <c r="C267" s="155"/>
    </row>
    <row r="268" spans="3:18" ht="16" thickBot="1" x14ac:dyDescent="0.4">
      <c r="C268" s="155"/>
      <c r="G268" s="13"/>
      <c r="H268" s="9" t="s">
        <v>3</v>
      </c>
      <c r="I268" s="9" t="s">
        <v>4</v>
      </c>
      <c r="J268" s="9" t="s">
        <v>5</v>
      </c>
      <c r="K268" s="9" t="s">
        <v>6</v>
      </c>
      <c r="L268" s="9" t="s">
        <v>7</v>
      </c>
      <c r="M268" s="9" t="s">
        <v>8</v>
      </c>
      <c r="N268" s="9" t="s">
        <v>9</v>
      </c>
      <c r="O268" s="9" t="s">
        <v>10</v>
      </c>
      <c r="P268" s="44" t="s">
        <v>139</v>
      </c>
    </row>
    <row r="269" spans="3:18" x14ac:dyDescent="0.35">
      <c r="C269" s="155"/>
      <c r="G269" s="49" t="s">
        <v>77</v>
      </c>
      <c r="H269" s="13">
        <f>AVERAGE(H257:H265)</f>
        <v>5.9378455555555529</v>
      </c>
      <c r="I269" s="13">
        <f t="shared" ref="I269:P269" si="173">AVERAGE(I257:I265)</f>
        <v>6.5632133333333362</v>
      </c>
      <c r="J269" s="13">
        <f t="shared" si="173"/>
        <v>0.4718663315390928</v>
      </c>
      <c r="K269" s="13">
        <f t="shared" si="173"/>
        <v>0.52813366846090704</v>
      </c>
      <c r="L269" s="13">
        <f t="shared" si="173"/>
        <v>0.17424406689786648</v>
      </c>
      <c r="M269" s="13">
        <f t="shared" si="173"/>
        <v>8.0775018288641795E-2</v>
      </c>
      <c r="N269" s="13">
        <f t="shared" si="173"/>
        <v>12.501058888888888</v>
      </c>
      <c r="O269" s="13" t="e">
        <f t="shared" si="173"/>
        <v>#DIV/0!</v>
      </c>
      <c r="P269" s="13" t="e">
        <f t="shared" si="173"/>
        <v>#DIV/0!</v>
      </c>
    </row>
    <row r="270" spans="3:18" x14ac:dyDescent="0.35">
      <c r="C270" s="155"/>
      <c r="G270" s="49" t="s">
        <v>94</v>
      </c>
      <c r="H270" s="2">
        <f>_xlfn.STDEV.S(H257:H265)</f>
        <v>1.2036102502275334</v>
      </c>
      <c r="I270" s="2">
        <f t="shared" ref="I270:P270" si="174">_xlfn.STDEV.S(I257:I265)</f>
        <v>0.59033584689141194</v>
      </c>
      <c r="J270" s="2">
        <f t="shared" si="174"/>
        <v>5.2787709242080226E-2</v>
      </c>
      <c r="K270" s="2">
        <f t="shared" si="174"/>
        <v>5.2787709242079268E-2</v>
      </c>
      <c r="L270" s="2">
        <f t="shared" si="174"/>
        <v>3.3239858790918196E-2</v>
      </c>
      <c r="M270" s="2">
        <f t="shared" si="174"/>
        <v>8.0414792121193748E-3</v>
      </c>
      <c r="N270" s="2">
        <f t="shared" si="174"/>
        <v>1.3779961661271716</v>
      </c>
      <c r="O270" s="2" t="e">
        <f t="shared" si="174"/>
        <v>#DIV/0!</v>
      </c>
      <c r="P270" s="2" t="e">
        <f t="shared" si="174"/>
        <v>#DIV/0!</v>
      </c>
    </row>
    <row r="271" spans="3:18" x14ac:dyDescent="0.35">
      <c r="C271" s="155"/>
      <c r="G271" s="49" t="s">
        <v>95</v>
      </c>
      <c r="H271" s="2">
        <f>H270/(SQRT(COUNT(H257:H265)))</f>
        <v>0.40120341674251114</v>
      </c>
      <c r="I271" s="2">
        <f t="shared" ref="I271:P271" si="175">I270/(SQRT(COUNT(I257:I265)))</f>
        <v>0.19677861563047064</v>
      </c>
      <c r="J271" s="2">
        <f t="shared" si="175"/>
        <v>1.759590308069341E-2</v>
      </c>
      <c r="K271" s="2">
        <f t="shared" si="175"/>
        <v>1.7595903080693091E-2</v>
      </c>
      <c r="L271" s="2">
        <f t="shared" si="175"/>
        <v>1.1079952930306065E-2</v>
      </c>
      <c r="M271" s="2">
        <f t="shared" si="175"/>
        <v>2.6804930707064584E-3</v>
      </c>
      <c r="N271" s="2">
        <f t="shared" si="175"/>
        <v>0.45933205537572386</v>
      </c>
      <c r="O271" s="2" t="e">
        <f t="shared" si="175"/>
        <v>#DIV/0!</v>
      </c>
      <c r="P271" s="2" t="e">
        <f t="shared" si="175"/>
        <v>#DIV/0!</v>
      </c>
    </row>
    <row r="272" spans="3:18" x14ac:dyDescent="0.35">
      <c r="C272" s="155"/>
    </row>
    <row r="273" spans="3:18" ht="24" thickBot="1" x14ac:dyDescent="0.6">
      <c r="C273" s="155" t="s">
        <v>216</v>
      </c>
      <c r="F273" s="9" t="s">
        <v>1</v>
      </c>
      <c r="G273" s="9" t="s">
        <v>2</v>
      </c>
      <c r="H273" s="9" t="s">
        <v>3</v>
      </c>
      <c r="I273" s="9" t="s">
        <v>4</v>
      </c>
      <c r="J273" s="9" t="s">
        <v>5</v>
      </c>
      <c r="K273" s="9" t="s">
        <v>6</v>
      </c>
      <c r="L273" s="9" t="s">
        <v>7</v>
      </c>
      <c r="M273" s="9" t="s">
        <v>8</v>
      </c>
      <c r="N273" s="9" t="s">
        <v>9</v>
      </c>
      <c r="O273" s="9" t="s">
        <v>10</v>
      </c>
      <c r="P273" s="44" t="s">
        <v>139</v>
      </c>
    </row>
    <row r="274" spans="3:18" x14ac:dyDescent="0.35">
      <c r="C274" s="155">
        <v>0</v>
      </c>
      <c r="F274">
        <v>7.1817599999999997</v>
      </c>
      <c r="G274">
        <v>12.870799999999999</v>
      </c>
      <c r="H274" s="2">
        <f t="shared" ref="H274:H283" si="176">G274-F274</f>
        <v>5.6890399999999994</v>
      </c>
      <c r="I274" s="2">
        <f t="shared" ref="I274:I282" si="177">F275-G274</f>
        <v>5.0796500000000009</v>
      </c>
      <c r="J274" s="2">
        <f t="shared" ref="J274:J282" si="178">H274/N274</f>
        <v>0.52829452793236686</v>
      </c>
      <c r="K274" s="2">
        <f t="shared" ref="K274:K282" si="179">I274/N274</f>
        <v>0.47170547206763319</v>
      </c>
      <c r="L274" s="2">
        <f t="shared" ref="L274:L282" si="180">1/H274</f>
        <v>0.17577658093456894</v>
      </c>
      <c r="M274" s="2">
        <f t="shared" ref="M274:M282" si="181">1/N274</f>
        <v>9.2861805846393572E-2</v>
      </c>
      <c r="N274" s="2">
        <f t="shared" ref="N274:N282" si="182">H274+I274</f>
        <v>10.768689999999999</v>
      </c>
      <c r="R274" t="s">
        <v>228</v>
      </c>
    </row>
    <row r="275" spans="3:18" x14ac:dyDescent="0.35">
      <c r="C275" s="155">
        <v>0</v>
      </c>
      <c r="F275">
        <v>17.95045</v>
      </c>
      <c r="G275">
        <v>21.946480000000001</v>
      </c>
      <c r="H275" s="2">
        <f t="shared" si="176"/>
        <v>3.9960300000000011</v>
      </c>
      <c r="I275" s="2">
        <f t="shared" si="177"/>
        <v>6.4649000000000001</v>
      </c>
      <c r="J275" s="2">
        <f t="shared" si="178"/>
        <v>0.38199567342482943</v>
      </c>
      <c r="K275" s="2">
        <f t="shared" si="179"/>
        <v>0.61800432657517057</v>
      </c>
      <c r="L275" s="2">
        <f t="shared" si="180"/>
        <v>0.25024837150872237</v>
      </c>
      <c r="M275" s="2">
        <f t="shared" si="181"/>
        <v>9.5593795197941284E-2</v>
      </c>
      <c r="N275" s="2">
        <f t="shared" si="182"/>
        <v>10.460930000000001</v>
      </c>
    </row>
    <row r="276" spans="3:18" x14ac:dyDescent="0.35">
      <c r="C276" s="155">
        <v>0</v>
      </c>
      <c r="F276">
        <v>28.411380000000001</v>
      </c>
      <c r="G276">
        <v>34.096969999999999</v>
      </c>
      <c r="H276" s="2">
        <f t="shared" si="176"/>
        <v>5.6855899999999977</v>
      </c>
      <c r="I276" s="2">
        <f t="shared" si="177"/>
        <v>5.1253999999999991</v>
      </c>
      <c r="J276" s="2">
        <f t="shared" si="178"/>
        <v>0.52590835806896497</v>
      </c>
      <c r="K276" s="2">
        <f t="shared" si="179"/>
        <v>0.47409164193103503</v>
      </c>
      <c r="L276" s="2">
        <f t="shared" si="180"/>
        <v>0.17588324166885061</v>
      </c>
      <c r="M276" s="2">
        <f t="shared" si="181"/>
        <v>9.2498466837912185E-2</v>
      </c>
      <c r="N276" s="2">
        <f t="shared" si="182"/>
        <v>10.810989999999997</v>
      </c>
    </row>
    <row r="277" spans="3:18" x14ac:dyDescent="0.35">
      <c r="C277" s="155">
        <v>0</v>
      </c>
      <c r="F277">
        <v>39.222369999999998</v>
      </c>
      <c r="G277">
        <v>43.376350000000002</v>
      </c>
      <c r="H277" s="2">
        <f t="shared" si="176"/>
        <v>4.1539800000000042</v>
      </c>
      <c r="I277" s="2">
        <f t="shared" si="177"/>
        <v>6.4939299999999989</v>
      </c>
      <c r="J277" s="2">
        <f t="shared" si="178"/>
        <v>0.39012162950287926</v>
      </c>
      <c r="K277" s="2">
        <f t="shared" si="179"/>
        <v>0.60987837049712079</v>
      </c>
      <c r="L277" s="2">
        <f t="shared" si="180"/>
        <v>0.24073298378904062</v>
      </c>
      <c r="M277" s="2">
        <f t="shared" si="181"/>
        <v>9.3915143910870746E-2</v>
      </c>
      <c r="N277" s="2">
        <f t="shared" si="182"/>
        <v>10.647910000000003</v>
      </c>
    </row>
    <row r="278" spans="3:18" x14ac:dyDescent="0.35">
      <c r="C278" s="155">
        <v>0</v>
      </c>
      <c r="F278">
        <v>49.870280000000001</v>
      </c>
      <c r="G278">
        <v>55.670020000000001</v>
      </c>
      <c r="H278" s="2">
        <f t="shared" si="176"/>
        <v>5.7997399999999999</v>
      </c>
      <c r="I278" s="2">
        <f t="shared" si="177"/>
        <v>6.3994399999999985</v>
      </c>
      <c r="J278" s="2">
        <f t="shared" si="178"/>
        <v>0.47542047908138091</v>
      </c>
      <c r="K278" s="2">
        <f t="shared" si="179"/>
        <v>0.52457952091861904</v>
      </c>
      <c r="L278" s="2">
        <f t="shared" si="180"/>
        <v>0.17242152234410507</v>
      </c>
      <c r="M278" s="2">
        <f t="shared" si="181"/>
        <v>8.197272275677546E-2</v>
      </c>
      <c r="N278" s="2">
        <f t="shared" si="182"/>
        <v>12.199179999999998</v>
      </c>
    </row>
    <row r="279" spans="3:18" x14ac:dyDescent="0.35">
      <c r="C279" s="155">
        <v>0</v>
      </c>
      <c r="F279">
        <v>62.069459999999999</v>
      </c>
      <c r="G279">
        <v>67.888859999999994</v>
      </c>
      <c r="H279" s="2">
        <f t="shared" si="176"/>
        <v>5.8193999999999946</v>
      </c>
      <c r="I279" s="2">
        <f t="shared" si="177"/>
        <v>6.1619400000000013</v>
      </c>
      <c r="J279" s="2">
        <f t="shared" si="178"/>
        <v>0.48570527169748934</v>
      </c>
      <c r="K279" s="2">
        <f t="shared" si="179"/>
        <v>0.51429472830251066</v>
      </c>
      <c r="L279" s="2">
        <f t="shared" si="180"/>
        <v>0.17183902120493538</v>
      </c>
      <c r="M279" s="2">
        <f t="shared" si="181"/>
        <v>8.3463118482573762E-2</v>
      </c>
      <c r="N279" s="2">
        <f t="shared" si="182"/>
        <v>11.981339999999996</v>
      </c>
    </row>
    <row r="280" spans="3:18" x14ac:dyDescent="0.35">
      <c r="C280" s="155">
        <v>0</v>
      </c>
      <c r="F280">
        <v>74.050799999999995</v>
      </c>
      <c r="G280">
        <v>79.838279999999997</v>
      </c>
      <c r="H280" s="2">
        <f t="shared" si="176"/>
        <v>5.7874800000000022</v>
      </c>
      <c r="I280" s="2">
        <f t="shared" si="177"/>
        <v>6.08202</v>
      </c>
      <c r="J280" s="2">
        <f t="shared" si="178"/>
        <v>0.48759256918994071</v>
      </c>
      <c r="K280" s="2">
        <f t="shared" si="179"/>
        <v>0.51240743081005935</v>
      </c>
      <c r="L280" s="2">
        <f t="shared" si="180"/>
        <v>0.17278677420915486</v>
      </c>
      <c r="M280" s="2">
        <f t="shared" si="181"/>
        <v>8.4249547158684004E-2</v>
      </c>
      <c r="N280" s="2">
        <f t="shared" si="182"/>
        <v>11.869500000000002</v>
      </c>
    </row>
    <row r="281" spans="3:18" x14ac:dyDescent="0.35">
      <c r="C281" s="155">
        <v>0</v>
      </c>
      <c r="F281">
        <v>85.920299999999997</v>
      </c>
      <c r="G281">
        <v>90.063100000000006</v>
      </c>
      <c r="H281" s="2">
        <f t="shared" si="176"/>
        <v>4.1428000000000083</v>
      </c>
      <c r="I281" s="2">
        <f t="shared" si="177"/>
        <v>6.4958999999999918</v>
      </c>
      <c r="J281" s="2">
        <f t="shared" si="178"/>
        <v>0.3894084803594432</v>
      </c>
      <c r="K281" s="2">
        <f t="shared" si="179"/>
        <v>0.6105915196405568</v>
      </c>
      <c r="L281" s="2">
        <f t="shared" si="180"/>
        <v>0.24138263976054794</v>
      </c>
      <c r="M281" s="2">
        <f t="shared" si="181"/>
        <v>9.399644693430588E-2</v>
      </c>
      <c r="N281" s="2">
        <f t="shared" si="182"/>
        <v>10.6387</v>
      </c>
    </row>
    <row r="282" spans="3:18" x14ac:dyDescent="0.35">
      <c r="C282" s="155">
        <v>0</v>
      </c>
      <c r="F282">
        <v>96.558999999999997</v>
      </c>
      <c r="G282">
        <v>102.39845</v>
      </c>
      <c r="H282" s="2">
        <f t="shared" si="176"/>
        <v>5.8394499999999994</v>
      </c>
      <c r="I282" s="2">
        <f t="shared" si="177"/>
        <v>7.7458400000000012</v>
      </c>
      <c r="J282" s="2">
        <f t="shared" si="178"/>
        <v>0.42983624199409798</v>
      </c>
      <c r="K282" s="2">
        <f t="shared" si="179"/>
        <v>0.57016375800590202</v>
      </c>
      <c r="L282" s="2">
        <f t="shared" si="180"/>
        <v>0.17124900461516068</v>
      </c>
      <c r="M282" s="2">
        <f t="shared" si="181"/>
        <v>7.3609028589010611E-2</v>
      </c>
      <c r="N282" s="2">
        <f t="shared" si="182"/>
        <v>13.585290000000001</v>
      </c>
    </row>
    <row r="283" spans="3:18" x14ac:dyDescent="0.35">
      <c r="C283" s="155"/>
      <c r="F283">
        <v>110.14429</v>
      </c>
      <c r="G283">
        <v>116.47393</v>
      </c>
      <c r="H283" s="2">
        <f t="shared" si="176"/>
        <v>6.3296399999999977</v>
      </c>
      <c r="I283" s="2"/>
      <c r="J283" s="2"/>
      <c r="K283" s="2"/>
      <c r="L283" s="2"/>
      <c r="M283" s="2"/>
      <c r="N283" s="2"/>
    </row>
    <row r="284" spans="3:18" x14ac:dyDescent="0.35">
      <c r="C284" s="155"/>
    </row>
    <row r="285" spans="3:18" ht="16" thickBot="1" x14ac:dyDescent="0.4">
      <c r="C285" s="155"/>
      <c r="G285" s="13"/>
      <c r="H285" s="9" t="s">
        <v>3</v>
      </c>
      <c r="I285" s="9" t="s">
        <v>4</v>
      </c>
      <c r="J285" s="9" t="s">
        <v>5</v>
      </c>
      <c r="K285" s="9" t="s">
        <v>6</v>
      </c>
      <c r="L285" s="9" t="s">
        <v>7</v>
      </c>
      <c r="M285" s="9" t="s">
        <v>8</v>
      </c>
      <c r="N285" s="9" t="s">
        <v>9</v>
      </c>
      <c r="O285" s="9" t="s">
        <v>10</v>
      </c>
      <c r="P285" s="44" t="s">
        <v>139</v>
      </c>
    </row>
    <row r="286" spans="3:18" x14ac:dyDescent="0.35">
      <c r="C286" s="155"/>
      <c r="G286" s="49" t="s">
        <v>77</v>
      </c>
      <c r="H286" s="13">
        <f>AVERAGE(H274:H282)</f>
        <v>5.2126122222222229</v>
      </c>
      <c r="I286" s="13">
        <f>AVERAGE(I274:I282)</f>
        <v>6.2276688888888883</v>
      </c>
      <c r="J286" s="13">
        <f t="shared" ref="J286:P286" si="183">AVERAGE(J274:J282)</f>
        <v>0.45492035902793249</v>
      </c>
      <c r="K286" s="13">
        <f t="shared" si="183"/>
        <v>0.54507964097206751</v>
      </c>
      <c r="L286" s="13">
        <f t="shared" si="183"/>
        <v>0.19692446000389852</v>
      </c>
      <c r="M286" s="13">
        <f t="shared" si="183"/>
        <v>8.8017786190496397E-2</v>
      </c>
      <c r="N286" s="13">
        <f t="shared" si="183"/>
        <v>11.440281111111112</v>
      </c>
      <c r="O286" s="13" t="e">
        <f t="shared" si="183"/>
        <v>#DIV/0!</v>
      </c>
      <c r="P286" s="13" t="e">
        <f t="shared" si="183"/>
        <v>#DIV/0!</v>
      </c>
    </row>
    <row r="287" spans="3:18" x14ac:dyDescent="0.35">
      <c r="C287" s="155"/>
      <c r="G287" s="49" t="s">
        <v>94</v>
      </c>
      <c r="H287" s="2">
        <f>_xlfn.STDEV.S(H274:H282)</f>
        <v>0.83906741968059018</v>
      </c>
      <c r="I287" s="2">
        <f t="shared" ref="I287:P287" si="184">_xlfn.STDEV.S(I274:I282)</f>
        <v>0.79780545121358082</v>
      </c>
      <c r="J287" s="2">
        <f t="shared" si="184"/>
        <v>5.8412764069410858E-2</v>
      </c>
      <c r="K287" s="2">
        <f t="shared" si="184"/>
        <v>5.8412764069409429E-2</v>
      </c>
      <c r="L287" s="2">
        <f t="shared" si="184"/>
        <v>3.553282246472525E-2</v>
      </c>
      <c r="M287" s="2">
        <f t="shared" si="184"/>
        <v>7.504664059852297E-3</v>
      </c>
      <c r="N287" s="2">
        <f t="shared" si="184"/>
        <v>1.0446601726212743</v>
      </c>
      <c r="O287" s="2" t="e">
        <f t="shared" si="184"/>
        <v>#DIV/0!</v>
      </c>
      <c r="P287" s="2" t="e">
        <f t="shared" si="184"/>
        <v>#DIV/0!</v>
      </c>
    </row>
    <row r="288" spans="3:18" x14ac:dyDescent="0.35">
      <c r="C288" s="155"/>
      <c r="G288" s="49" t="s">
        <v>95</v>
      </c>
      <c r="H288" s="2">
        <f>H287/(SQRT(COUNT(H274:H282)))</f>
        <v>0.27968913989353006</v>
      </c>
      <c r="I288" s="2">
        <f t="shared" ref="I288:P288" si="185">I287/(SQRT(COUNT(I274:I282)))</f>
        <v>0.26593515040452692</v>
      </c>
      <c r="J288" s="2">
        <f t="shared" si="185"/>
        <v>1.9470921356470286E-2</v>
      </c>
      <c r="K288" s="2">
        <f t="shared" si="185"/>
        <v>1.9470921356469811E-2</v>
      </c>
      <c r="L288" s="2">
        <f t="shared" si="185"/>
        <v>1.1844274154908416E-2</v>
      </c>
      <c r="M288" s="2">
        <f t="shared" si="185"/>
        <v>2.5015546866174322E-3</v>
      </c>
      <c r="N288" s="2">
        <f t="shared" si="185"/>
        <v>0.34822005754042479</v>
      </c>
      <c r="O288" s="2" t="e">
        <f t="shared" si="185"/>
        <v>#DIV/0!</v>
      </c>
      <c r="P288" s="2" t="e">
        <f t="shared" si="185"/>
        <v>#DIV/0!</v>
      </c>
    </row>
    <row r="289" spans="3:18" x14ac:dyDescent="0.35">
      <c r="C289" s="155"/>
    </row>
    <row r="290" spans="3:18" ht="24" thickBot="1" x14ac:dyDescent="0.6">
      <c r="C290" s="155" t="s">
        <v>216</v>
      </c>
      <c r="F290" s="9" t="s">
        <v>1</v>
      </c>
      <c r="G290" s="9" t="s">
        <v>2</v>
      </c>
      <c r="H290" s="9" t="s">
        <v>3</v>
      </c>
      <c r="I290" s="9" t="s">
        <v>4</v>
      </c>
      <c r="J290" s="9" t="s">
        <v>5</v>
      </c>
      <c r="K290" s="9" t="s">
        <v>6</v>
      </c>
      <c r="L290" s="9" t="s">
        <v>7</v>
      </c>
      <c r="M290" s="9" t="s">
        <v>8</v>
      </c>
      <c r="N290" s="9" t="s">
        <v>9</v>
      </c>
      <c r="O290" s="9" t="s">
        <v>10</v>
      </c>
      <c r="P290" s="44" t="s">
        <v>139</v>
      </c>
    </row>
    <row r="291" spans="3:18" x14ac:dyDescent="0.35">
      <c r="C291" s="155">
        <v>-4</v>
      </c>
      <c r="F291">
        <v>3.4242699999999999</v>
      </c>
      <c r="G291">
        <v>9.6130499999999994</v>
      </c>
      <c r="H291" s="2">
        <f>G291-F291</f>
        <v>6.1887799999999995</v>
      </c>
      <c r="I291" s="2">
        <f>F292-G291</f>
        <v>7.2798500000000015</v>
      </c>
      <c r="J291" s="2">
        <f>H291/N291</f>
        <v>0.45949588042733369</v>
      </c>
      <c r="K291" s="2">
        <f>I291/N291</f>
        <v>0.54050411957266631</v>
      </c>
      <c r="L291" s="2">
        <f>1/H291</f>
        <v>0.16158273520790853</v>
      </c>
      <c r="M291" s="2">
        <f t="shared" ref="M291:M309" si="186">1/N291</f>
        <v>7.4246601176214649E-2</v>
      </c>
      <c r="N291" s="2">
        <f>H291+I291</f>
        <v>13.468630000000001</v>
      </c>
      <c r="R291" t="s">
        <v>229</v>
      </c>
    </row>
    <row r="292" spans="3:18" x14ac:dyDescent="0.35">
      <c r="C292" s="155">
        <v>-4</v>
      </c>
      <c r="F292">
        <v>16.892900000000001</v>
      </c>
      <c r="G292">
        <v>22.652049999999999</v>
      </c>
      <c r="H292" s="2">
        <f t="shared" ref="H292:H310" si="187">G292-F292</f>
        <v>5.7591499999999982</v>
      </c>
      <c r="I292" s="2">
        <f t="shared" ref="I292:I309" si="188">F293-G292</f>
        <v>6.4686100000000017</v>
      </c>
      <c r="J292" s="2">
        <f t="shared" ref="J292:J309" si="189">H292/N292</f>
        <v>0.47098978063030333</v>
      </c>
      <c r="K292" s="2">
        <f t="shared" ref="K292:K309" si="190">I292/N292</f>
        <v>0.52901021936969661</v>
      </c>
      <c r="L292" s="2">
        <f t="shared" ref="L292:L309" si="191">1/H292</f>
        <v>0.1736367345875694</v>
      </c>
      <c r="M292" s="2">
        <f t="shared" si="186"/>
        <v>8.1781127532761524E-2</v>
      </c>
      <c r="N292" s="2">
        <f t="shared" ref="N292:N309" si="192">H292+I292</f>
        <v>12.22776</v>
      </c>
    </row>
    <row r="293" spans="3:18" x14ac:dyDescent="0.35">
      <c r="C293" s="155">
        <v>-4</v>
      </c>
      <c r="F293">
        <v>29.120660000000001</v>
      </c>
      <c r="G293">
        <v>34.630389999999998</v>
      </c>
      <c r="H293" s="2">
        <f t="shared" si="187"/>
        <v>5.5097299999999976</v>
      </c>
      <c r="I293" s="2">
        <f t="shared" si="188"/>
        <v>6.4318900000000028</v>
      </c>
      <c r="J293" s="2">
        <f t="shared" si="189"/>
        <v>0.46138882329198194</v>
      </c>
      <c r="K293" s="2">
        <f t="shared" si="190"/>
        <v>0.53861117670801806</v>
      </c>
      <c r="L293" s="2">
        <f t="shared" si="191"/>
        <v>0.18149709695393429</v>
      </c>
      <c r="M293" s="2">
        <f t="shared" si="186"/>
        <v>8.3740731994486506E-2</v>
      </c>
      <c r="N293" s="2">
        <f t="shared" si="192"/>
        <v>11.94162</v>
      </c>
    </row>
    <row r="294" spans="3:18" x14ac:dyDescent="0.35">
      <c r="C294" s="155">
        <v>-4</v>
      </c>
      <c r="F294">
        <v>41.062280000000001</v>
      </c>
      <c r="G294">
        <v>45.376170000000002</v>
      </c>
      <c r="H294" s="2">
        <f t="shared" si="187"/>
        <v>4.3138900000000007</v>
      </c>
      <c r="I294" s="2">
        <f t="shared" si="188"/>
        <v>6.5161699999999954</v>
      </c>
      <c r="J294" s="2">
        <f t="shared" si="189"/>
        <v>0.3983255863771763</v>
      </c>
      <c r="K294" s="2">
        <f t="shared" si="190"/>
        <v>0.6016744136228237</v>
      </c>
      <c r="L294" s="2">
        <f t="shared" si="191"/>
        <v>0.23180934145284182</v>
      </c>
      <c r="M294" s="2">
        <f t="shared" si="186"/>
        <v>9.2335591861910316E-2</v>
      </c>
      <c r="N294" s="2">
        <f t="shared" si="192"/>
        <v>10.830059999999996</v>
      </c>
    </row>
    <row r="295" spans="3:18" x14ac:dyDescent="0.35">
      <c r="C295" s="155">
        <v>-4</v>
      </c>
      <c r="F295">
        <v>51.892339999999997</v>
      </c>
      <c r="G295">
        <v>56.682209999999998</v>
      </c>
      <c r="H295" s="2">
        <f t="shared" si="187"/>
        <v>4.7898700000000005</v>
      </c>
      <c r="I295" s="2">
        <f t="shared" si="188"/>
        <v>5.9749800000000022</v>
      </c>
      <c r="J295" s="2">
        <f t="shared" si="189"/>
        <v>0.44495464404984736</v>
      </c>
      <c r="K295" s="2">
        <f t="shared" si="190"/>
        <v>0.5550453559501527</v>
      </c>
      <c r="L295" s="2">
        <f t="shared" si="191"/>
        <v>0.20877393332178115</v>
      </c>
      <c r="M295" s="2">
        <f t="shared" si="186"/>
        <v>9.2894931188079705E-2</v>
      </c>
      <c r="N295" s="2">
        <f t="shared" si="192"/>
        <v>10.764850000000003</v>
      </c>
    </row>
    <row r="296" spans="3:18" x14ac:dyDescent="0.35">
      <c r="C296" s="155">
        <v>-4</v>
      </c>
      <c r="F296">
        <v>62.65719</v>
      </c>
      <c r="G296">
        <v>66.926370000000006</v>
      </c>
      <c r="H296" s="2">
        <f t="shared" si="187"/>
        <v>4.2691800000000057</v>
      </c>
      <c r="I296" s="2">
        <f t="shared" si="188"/>
        <v>7.8255599999999959</v>
      </c>
      <c r="J296" s="2">
        <f t="shared" si="189"/>
        <v>0.3529782368203041</v>
      </c>
      <c r="K296" s="2">
        <f t="shared" si="190"/>
        <v>0.64702176317969584</v>
      </c>
      <c r="L296" s="2">
        <f t="shared" si="191"/>
        <v>0.23423701975554992</v>
      </c>
      <c r="M296" s="2">
        <f t="shared" si="186"/>
        <v>8.2680570231356762E-2</v>
      </c>
      <c r="N296" s="2">
        <f t="shared" si="192"/>
        <v>12.094740000000002</v>
      </c>
    </row>
    <row r="297" spans="3:18" x14ac:dyDescent="0.35">
      <c r="C297" s="155">
        <v>-4</v>
      </c>
      <c r="F297">
        <v>74.751930000000002</v>
      </c>
      <c r="G297">
        <v>80.748869999999997</v>
      </c>
      <c r="H297" s="2">
        <f t="shared" si="187"/>
        <v>5.9969399999999951</v>
      </c>
      <c r="I297" s="2">
        <f t="shared" si="188"/>
        <v>7.576509999999999</v>
      </c>
      <c r="J297" s="2">
        <f t="shared" si="189"/>
        <v>0.44181398244366743</v>
      </c>
      <c r="K297" s="2">
        <f t="shared" si="190"/>
        <v>0.55818601755633257</v>
      </c>
      <c r="L297" s="2">
        <f t="shared" si="191"/>
        <v>0.16675171003878658</v>
      </c>
      <c r="M297" s="2">
        <f t="shared" si="186"/>
        <v>7.3673237091527982E-2</v>
      </c>
      <c r="N297" s="2">
        <f t="shared" si="192"/>
        <v>13.573449999999994</v>
      </c>
    </row>
    <row r="298" spans="3:18" x14ac:dyDescent="0.35">
      <c r="C298" s="155">
        <v>-4</v>
      </c>
      <c r="F298">
        <v>88.325379999999996</v>
      </c>
      <c r="G298">
        <v>92.750900000000001</v>
      </c>
      <c r="H298" s="2">
        <f t="shared" si="187"/>
        <v>4.4255200000000059</v>
      </c>
      <c r="I298" s="2">
        <f t="shared" si="188"/>
        <v>6.3769199999999984</v>
      </c>
      <c r="J298" s="2">
        <f t="shared" si="189"/>
        <v>0.40967781353101745</v>
      </c>
      <c r="K298" s="2">
        <f t="shared" si="190"/>
        <v>0.5903221864689826</v>
      </c>
      <c r="L298" s="2">
        <f t="shared" si="191"/>
        <v>0.22596214682116422</v>
      </c>
      <c r="M298" s="2">
        <f t="shared" si="186"/>
        <v>9.2571678250469303E-2</v>
      </c>
      <c r="N298" s="2">
        <f t="shared" si="192"/>
        <v>10.802440000000004</v>
      </c>
    </row>
    <row r="299" spans="3:18" x14ac:dyDescent="0.35">
      <c r="C299" s="155">
        <v>-4</v>
      </c>
      <c r="F299">
        <v>99.12782</v>
      </c>
      <c r="G299">
        <v>103.64892999999999</v>
      </c>
      <c r="H299" s="2">
        <f t="shared" si="187"/>
        <v>4.5211099999999931</v>
      </c>
      <c r="I299" s="2">
        <f t="shared" si="188"/>
        <v>7.4797300000000035</v>
      </c>
      <c r="J299" s="2">
        <f t="shared" si="189"/>
        <v>0.37673279537099025</v>
      </c>
      <c r="K299" s="2">
        <f t="shared" si="190"/>
        <v>0.62326720462900975</v>
      </c>
      <c r="L299" s="2">
        <f t="shared" si="191"/>
        <v>0.22118462059096142</v>
      </c>
      <c r="M299" s="2">
        <f t="shared" si="186"/>
        <v>8.3327500408304778E-2</v>
      </c>
      <c r="N299" s="2">
        <f t="shared" si="192"/>
        <v>12.000839999999997</v>
      </c>
    </row>
    <row r="300" spans="3:18" x14ac:dyDescent="0.35">
      <c r="C300" s="155">
        <v>-4</v>
      </c>
      <c r="F300">
        <v>111.12866</v>
      </c>
      <c r="G300">
        <v>116.82044</v>
      </c>
      <c r="H300" s="2">
        <f t="shared" si="187"/>
        <v>5.6917800000000085</v>
      </c>
      <c r="I300" s="2">
        <f t="shared" si="188"/>
        <v>6.3355499999999978</v>
      </c>
      <c r="J300" s="2">
        <f t="shared" si="189"/>
        <v>0.47323720227182636</v>
      </c>
      <c r="K300" s="2">
        <f t="shared" si="190"/>
        <v>0.52676279772817358</v>
      </c>
      <c r="L300" s="2">
        <f t="shared" si="191"/>
        <v>0.1756919627954697</v>
      </c>
      <c r="M300" s="2">
        <f t="shared" si="186"/>
        <v>8.3143972934973887E-2</v>
      </c>
      <c r="N300" s="2">
        <f t="shared" si="192"/>
        <v>12.027330000000006</v>
      </c>
    </row>
    <row r="301" spans="3:18" x14ac:dyDescent="0.35">
      <c r="C301" s="155">
        <v>-4</v>
      </c>
      <c r="F301">
        <v>123.15599</v>
      </c>
      <c r="G301">
        <v>128.73432</v>
      </c>
      <c r="H301" s="2">
        <f t="shared" si="187"/>
        <v>5.578329999999994</v>
      </c>
      <c r="I301" s="2">
        <f t="shared" si="188"/>
        <v>7.8948300000000131</v>
      </c>
      <c r="J301" s="2">
        <f t="shared" si="189"/>
        <v>0.4140327881506633</v>
      </c>
      <c r="K301" s="2">
        <f t="shared" si="190"/>
        <v>0.58596721184933664</v>
      </c>
      <c r="L301" s="2">
        <f t="shared" si="191"/>
        <v>0.17926512056475702</v>
      </c>
      <c r="M301" s="2">
        <f t="shared" si="186"/>
        <v>7.422163768559116E-2</v>
      </c>
      <c r="N301" s="2">
        <f t="shared" si="192"/>
        <v>13.473160000000007</v>
      </c>
      <c r="R301" t="s">
        <v>230</v>
      </c>
    </row>
    <row r="302" spans="3:18" x14ac:dyDescent="0.35">
      <c r="C302" s="155">
        <v>-4</v>
      </c>
      <c r="F302">
        <v>136.62915000000001</v>
      </c>
      <c r="G302">
        <v>141.36556999999999</v>
      </c>
      <c r="H302" s="2">
        <f t="shared" si="187"/>
        <v>4.7364199999999812</v>
      </c>
      <c r="I302" s="2">
        <f t="shared" si="188"/>
        <v>7.5484900000000152</v>
      </c>
      <c r="J302" s="2">
        <f t="shared" si="189"/>
        <v>0.38554779807096534</v>
      </c>
      <c r="K302" s="2">
        <f t="shared" si="190"/>
        <v>0.61445220192903471</v>
      </c>
      <c r="L302" s="2">
        <f t="shared" si="191"/>
        <v>0.2111299251333294</v>
      </c>
      <c r="M302" s="2">
        <f t="shared" si="186"/>
        <v>8.1400677742042904E-2</v>
      </c>
      <c r="N302" s="2">
        <f t="shared" si="192"/>
        <v>12.284909999999996</v>
      </c>
    </row>
    <row r="303" spans="3:18" x14ac:dyDescent="0.35">
      <c r="C303" s="155">
        <v>-4</v>
      </c>
      <c r="F303">
        <v>148.91406000000001</v>
      </c>
      <c r="G303">
        <v>154.82619</v>
      </c>
      <c r="H303" s="2">
        <f t="shared" si="187"/>
        <v>5.9121299999999906</v>
      </c>
      <c r="I303" s="2">
        <f t="shared" si="188"/>
        <v>6.3891700000000071</v>
      </c>
      <c r="J303" s="2">
        <f t="shared" si="189"/>
        <v>0.4806101794119314</v>
      </c>
      <c r="K303" s="2">
        <f t="shared" si="190"/>
        <v>0.5193898205880686</v>
      </c>
      <c r="L303" s="2">
        <f t="shared" si="191"/>
        <v>0.16914377728500585</v>
      </c>
      <c r="M303" s="2">
        <f t="shared" si="186"/>
        <v>8.1292221147358429E-2</v>
      </c>
      <c r="N303" s="2">
        <f t="shared" si="192"/>
        <v>12.301299999999998</v>
      </c>
    </row>
    <row r="304" spans="3:18" x14ac:dyDescent="0.35">
      <c r="C304" s="155">
        <v>-4</v>
      </c>
      <c r="F304">
        <v>161.21536</v>
      </c>
      <c r="G304">
        <v>165.97379000000001</v>
      </c>
      <c r="H304" s="2">
        <f t="shared" si="187"/>
        <v>4.7584300000000042</v>
      </c>
      <c r="I304" s="2">
        <f t="shared" si="188"/>
        <v>6.2631700000000023</v>
      </c>
      <c r="J304" s="2">
        <f t="shared" si="189"/>
        <v>0.43173677143064543</v>
      </c>
      <c r="K304" s="2">
        <f t="shared" si="190"/>
        <v>0.56826322856935463</v>
      </c>
      <c r="L304" s="2">
        <f t="shared" si="191"/>
        <v>0.21015334889869119</v>
      </c>
      <c r="M304" s="2">
        <f t="shared" si="186"/>
        <v>9.0730928358858917E-2</v>
      </c>
      <c r="N304" s="2">
        <f t="shared" si="192"/>
        <v>11.021600000000007</v>
      </c>
    </row>
    <row r="305" spans="3:16" x14ac:dyDescent="0.35">
      <c r="C305" s="155">
        <v>-4</v>
      </c>
      <c r="F305">
        <v>172.23696000000001</v>
      </c>
      <c r="G305">
        <v>178.12615</v>
      </c>
      <c r="H305" s="2">
        <f t="shared" si="187"/>
        <v>5.889189999999985</v>
      </c>
      <c r="I305" s="2">
        <f t="shared" si="188"/>
        <v>6.289890000000014</v>
      </c>
      <c r="J305" s="2">
        <f t="shared" si="189"/>
        <v>0.48354966056549309</v>
      </c>
      <c r="K305" s="2">
        <f t="shared" si="190"/>
        <v>0.51645033943450691</v>
      </c>
      <c r="L305" s="2">
        <f t="shared" si="191"/>
        <v>0.16980263839339579</v>
      </c>
      <c r="M305" s="2">
        <f t="shared" si="186"/>
        <v>8.21080081582517E-2</v>
      </c>
      <c r="N305" s="2">
        <f t="shared" si="192"/>
        <v>12.179079999999999</v>
      </c>
    </row>
    <row r="306" spans="3:16" x14ac:dyDescent="0.35">
      <c r="C306" s="155">
        <v>-4</v>
      </c>
      <c r="F306">
        <v>184.41604000000001</v>
      </c>
      <c r="G306">
        <v>190.22157999999999</v>
      </c>
      <c r="H306" s="2">
        <f t="shared" si="187"/>
        <v>5.8055399999999793</v>
      </c>
      <c r="I306" s="2">
        <f t="shared" si="188"/>
        <v>6.5102500000000134</v>
      </c>
      <c r="J306" s="2">
        <f t="shared" si="189"/>
        <v>0.47138997985512765</v>
      </c>
      <c r="K306" s="2">
        <f t="shared" si="190"/>
        <v>0.52861002014487235</v>
      </c>
      <c r="L306" s="2">
        <f t="shared" si="191"/>
        <v>0.17224926535688387</v>
      </c>
      <c r="M306" s="2">
        <f t="shared" si="186"/>
        <v>8.119657772664203E-2</v>
      </c>
      <c r="N306" s="2">
        <f t="shared" si="192"/>
        <v>12.315789999999993</v>
      </c>
    </row>
    <row r="307" spans="3:16" x14ac:dyDescent="0.35">
      <c r="C307" s="155">
        <v>-4</v>
      </c>
      <c r="F307">
        <v>196.73183</v>
      </c>
      <c r="G307">
        <v>201.08029999999999</v>
      </c>
      <c r="H307" s="2">
        <f t="shared" si="187"/>
        <v>4.3484699999999918</v>
      </c>
      <c r="I307" s="2">
        <f t="shared" si="188"/>
        <v>7.909719999999993</v>
      </c>
      <c r="J307" s="2">
        <f t="shared" si="189"/>
        <v>0.35473997384605699</v>
      </c>
      <c r="K307" s="2">
        <f t="shared" si="190"/>
        <v>0.64526002615394307</v>
      </c>
      <c r="L307" s="2">
        <f t="shared" si="191"/>
        <v>0.22996594204398371</v>
      </c>
      <c r="M307" s="2">
        <f t="shared" si="186"/>
        <v>8.1578112266166639E-2</v>
      </c>
      <c r="N307" s="2">
        <f t="shared" si="192"/>
        <v>12.258189999999985</v>
      </c>
    </row>
    <row r="308" spans="3:16" x14ac:dyDescent="0.35">
      <c r="C308" s="155">
        <v>-4</v>
      </c>
      <c r="F308">
        <v>208.99001999999999</v>
      </c>
      <c r="G308">
        <v>214.80224999999999</v>
      </c>
      <c r="H308" s="2">
        <f t="shared" si="187"/>
        <v>5.8122299999999996</v>
      </c>
      <c r="I308" s="2">
        <f t="shared" si="188"/>
        <v>6.6419500000000085</v>
      </c>
      <c r="J308" s="2">
        <f t="shared" si="189"/>
        <v>0.4666890955486428</v>
      </c>
      <c r="K308" s="2">
        <f t="shared" si="190"/>
        <v>0.5333109044513572</v>
      </c>
      <c r="L308" s="2">
        <f t="shared" si="191"/>
        <v>0.17205100279926983</v>
      </c>
      <c r="M308" s="2">
        <f t="shared" si="186"/>
        <v>8.0294326884628245E-2</v>
      </c>
      <c r="N308" s="2">
        <f t="shared" si="192"/>
        <v>12.454180000000008</v>
      </c>
    </row>
    <row r="309" spans="3:16" x14ac:dyDescent="0.35">
      <c r="C309" s="155">
        <v>-4</v>
      </c>
      <c r="F309">
        <v>221.4442</v>
      </c>
      <c r="G309">
        <v>227.12290999999999</v>
      </c>
      <c r="H309" s="2">
        <f t="shared" si="187"/>
        <v>5.6787099999999953</v>
      </c>
      <c r="I309" s="2">
        <f t="shared" si="188"/>
        <v>6.5451300000000003</v>
      </c>
      <c r="J309" s="2">
        <f t="shared" si="189"/>
        <v>0.46456023639052846</v>
      </c>
      <c r="K309" s="2">
        <f t="shared" si="190"/>
        <v>0.53543976360947154</v>
      </c>
      <c r="L309" s="2">
        <f t="shared" si="191"/>
        <v>0.17609633173731373</v>
      </c>
      <c r="M309" s="2">
        <f t="shared" si="186"/>
        <v>8.1807353499391389E-2</v>
      </c>
      <c r="N309" s="2">
        <f t="shared" si="192"/>
        <v>12.223839999999996</v>
      </c>
    </row>
    <row r="310" spans="3:16" x14ac:dyDescent="0.35">
      <c r="C310" s="155">
        <v>-4</v>
      </c>
      <c r="F310">
        <v>233.66803999999999</v>
      </c>
      <c r="G310">
        <v>239.24997999999999</v>
      </c>
      <c r="H310" s="2">
        <f t="shared" si="187"/>
        <v>5.581940000000003</v>
      </c>
      <c r="I310" s="2"/>
      <c r="J310" s="2"/>
      <c r="K310" s="2"/>
      <c r="L310" s="2"/>
      <c r="M310" s="2"/>
      <c r="N310" s="2"/>
    </row>
    <row r="311" spans="3:16" x14ac:dyDescent="0.35">
      <c r="C311" s="155"/>
    </row>
    <row r="312" spans="3:16" ht="16" thickBot="1" x14ac:dyDescent="0.4">
      <c r="C312" s="155"/>
      <c r="G312" s="13"/>
      <c r="H312" s="9" t="s">
        <v>3</v>
      </c>
      <c r="I312" s="9" t="s">
        <v>4</v>
      </c>
      <c r="J312" s="9" t="s">
        <v>5</v>
      </c>
      <c r="K312" s="9" t="s">
        <v>6</v>
      </c>
      <c r="L312" s="9" t="s">
        <v>7</v>
      </c>
      <c r="M312" s="9" t="s">
        <v>8</v>
      </c>
      <c r="N312" s="9" t="s">
        <v>9</v>
      </c>
      <c r="O312" s="9" t="s">
        <v>10</v>
      </c>
      <c r="P312" s="44" t="s">
        <v>139</v>
      </c>
    </row>
    <row r="313" spans="3:16" x14ac:dyDescent="0.35">
      <c r="C313" s="155"/>
      <c r="G313" s="49" t="s">
        <v>77</v>
      </c>
      <c r="H313" s="13">
        <f>AVERAGE(H291:H309)</f>
        <v>5.2623894736842063</v>
      </c>
      <c r="I313" s="13">
        <f t="shared" ref="I313:P313" si="193">AVERAGE(I291:I309)</f>
        <v>6.8557036842105301</v>
      </c>
      <c r="J313" s="13">
        <f t="shared" si="193"/>
        <v>0.43381322255181598</v>
      </c>
      <c r="K313" s="13">
        <f t="shared" si="193"/>
        <v>0.56618677744818402</v>
      </c>
      <c r="L313" s="13">
        <f t="shared" si="193"/>
        <v>0.19320971861782088</v>
      </c>
      <c r="M313" s="13">
        <f t="shared" si="193"/>
        <v>8.2896094007316692E-2</v>
      </c>
      <c r="N313" s="13">
        <f t="shared" si="193"/>
        <v>12.118093157894736</v>
      </c>
      <c r="O313" s="13" t="e">
        <f t="shared" si="193"/>
        <v>#DIV/0!</v>
      </c>
      <c r="P313" s="13" t="e">
        <f t="shared" si="193"/>
        <v>#DIV/0!</v>
      </c>
    </row>
    <row r="314" spans="3:16" x14ac:dyDescent="0.35">
      <c r="C314" s="155"/>
      <c r="G314" s="49" t="s">
        <v>94</v>
      </c>
      <c r="H314" s="2">
        <f>_xlfn.STDEV.S(H291:H309)</f>
        <v>0.67908079171998059</v>
      </c>
      <c r="I314" s="2">
        <f t="shared" ref="I314:P314" si="194">_xlfn.STDEV.S(I291:I309)</f>
        <v>0.64853549386470644</v>
      </c>
      <c r="J314" s="2">
        <f t="shared" si="194"/>
        <v>4.2984786219643766E-2</v>
      </c>
      <c r="K314" s="2">
        <f t="shared" si="194"/>
        <v>4.2984786219643772E-2</v>
      </c>
      <c r="L314" s="2">
        <f t="shared" si="194"/>
        <v>2.6096866626301344E-2</v>
      </c>
      <c r="M314" s="2">
        <f t="shared" si="194"/>
        <v>5.7709220290004066E-3</v>
      </c>
      <c r="N314" s="2">
        <f t="shared" si="194"/>
        <v>0.83384709251791689</v>
      </c>
      <c r="O314" s="2" t="e">
        <f t="shared" si="194"/>
        <v>#DIV/0!</v>
      </c>
      <c r="P314" s="2" t="e">
        <f t="shared" si="194"/>
        <v>#DIV/0!</v>
      </c>
    </row>
    <row r="315" spans="3:16" x14ac:dyDescent="0.35">
      <c r="C315" s="155"/>
      <c r="G315" s="49" t="s">
        <v>95</v>
      </c>
      <c r="H315" s="2">
        <f>H314/(SQRT(COUNT(H291:H309)))</f>
        <v>0.15579181818984145</v>
      </c>
      <c r="I315" s="2">
        <f t="shared" ref="I315:P315" si="195">I314/(SQRT(COUNT(I291:I309)))</f>
        <v>0.14878424626607881</v>
      </c>
      <c r="J315" s="2">
        <f t="shared" si="195"/>
        <v>9.8613862758487845E-3</v>
      </c>
      <c r="K315" s="2">
        <f t="shared" si="195"/>
        <v>9.8613862758487863E-3</v>
      </c>
      <c r="L315" s="2">
        <f t="shared" si="195"/>
        <v>5.9870318087950937E-3</v>
      </c>
      <c r="M315" s="2">
        <f t="shared" si="195"/>
        <v>1.3239403123929195E-3</v>
      </c>
      <c r="N315" s="2">
        <f t="shared" si="195"/>
        <v>0.1912976426658321</v>
      </c>
      <c r="O315" s="2" t="e">
        <f t="shared" si="195"/>
        <v>#DIV/0!</v>
      </c>
      <c r="P315" s="2" t="e">
        <f t="shared" si="195"/>
        <v>#DIV/0!</v>
      </c>
    </row>
    <row r="316" spans="3:16" x14ac:dyDescent="0.35">
      <c r="C316" s="155"/>
    </row>
    <row r="317" spans="3:16" x14ac:dyDescent="0.35">
      <c r="C317" s="155"/>
    </row>
    <row r="318" spans="3:16" x14ac:dyDescent="0.35">
      <c r="C318" s="155"/>
    </row>
    <row r="319" spans="3:16" x14ac:dyDescent="0.35">
      <c r="C319" s="155"/>
    </row>
    <row r="320" spans="3:16" x14ac:dyDescent="0.35">
      <c r="C320" s="155"/>
    </row>
    <row r="321" spans="3:3" x14ac:dyDescent="0.35">
      <c r="C321" s="155"/>
    </row>
    <row r="322" spans="3:3" x14ac:dyDescent="0.35">
      <c r="C322" s="155"/>
    </row>
    <row r="323" spans="3:3" x14ac:dyDescent="0.35">
      <c r="C323" s="155"/>
    </row>
    <row r="324" spans="3:3" x14ac:dyDescent="0.35">
      <c r="C324" s="155"/>
    </row>
    <row r="325" spans="3:3" x14ac:dyDescent="0.35">
      <c r="C325" s="155"/>
    </row>
    <row r="326" spans="3:3" x14ac:dyDescent="0.35">
      <c r="C326" s="155"/>
    </row>
    <row r="327" spans="3:3" x14ac:dyDescent="0.35">
      <c r="C327" s="155"/>
    </row>
    <row r="328" spans="3:3" x14ac:dyDescent="0.35">
      <c r="C328" s="155"/>
    </row>
    <row r="329" spans="3:3" x14ac:dyDescent="0.35">
      <c r="C329" s="155"/>
    </row>
    <row r="330" spans="3:3" x14ac:dyDescent="0.35">
      <c r="C330" s="155"/>
    </row>
    <row r="331" spans="3:3" x14ac:dyDescent="0.35">
      <c r="C331" s="155"/>
    </row>
    <row r="332" spans="3:3" x14ac:dyDescent="0.35">
      <c r="C332" s="155"/>
    </row>
    <row r="333" spans="3:3" x14ac:dyDescent="0.35">
      <c r="C333" s="155"/>
    </row>
    <row r="334" spans="3:3" x14ac:dyDescent="0.35">
      <c r="C334" s="155"/>
    </row>
    <row r="335" spans="3:3" x14ac:dyDescent="0.35">
      <c r="C335" s="155"/>
    </row>
    <row r="336" spans="3:3" x14ac:dyDescent="0.35">
      <c r="C336" s="155"/>
    </row>
    <row r="337" spans="3:3" x14ac:dyDescent="0.35">
      <c r="C337" s="155"/>
    </row>
    <row r="338" spans="3:3" x14ac:dyDescent="0.35">
      <c r="C338" s="155"/>
    </row>
    <row r="339" spans="3:3" x14ac:dyDescent="0.35">
      <c r="C339" s="155"/>
    </row>
    <row r="340" spans="3:3" x14ac:dyDescent="0.35">
      <c r="C340" s="155"/>
    </row>
    <row r="341" spans="3:3" x14ac:dyDescent="0.35">
      <c r="C341" s="155"/>
    </row>
    <row r="342" spans="3:3" x14ac:dyDescent="0.35">
      <c r="C342" s="155"/>
    </row>
    <row r="343" spans="3:3" x14ac:dyDescent="0.35">
      <c r="C343" s="155"/>
    </row>
    <row r="344" spans="3:3" x14ac:dyDescent="0.35">
      <c r="C344" s="155"/>
    </row>
    <row r="345" spans="3:3" x14ac:dyDescent="0.35">
      <c r="C345" s="155"/>
    </row>
    <row r="346" spans="3:3" x14ac:dyDescent="0.35">
      <c r="C346" s="155"/>
    </row>
    <row r="347" spans="3:3" x14ac:dyDescent="0.35">
      <c r="C347" s="155"/>
    </row>
    <row r="348" spans="3:3" x14ac:dyDescent="0.35">
      <c r="C348" s="155"/>
    </row>
    <row r="349" spans="3:3" x14ac:dyDescent="0.35">
      <c r="C349" s="155"/>
    </row>
    <row r="350" spans="3:3" x14ac:dyDescent="0.35">
      <c r="C350" s="155"/>
    </row>
    <row r="351" spans="3:3" x14ac:dyDescent="0.35">
      <c r="C351" s="155"/>
    </row>
    <row r="352" spans="3:3" x14ac:dyDescent="0.35">
      <c r="C352" s="155"/>
    </row>
    <row r="353" spans="3:3" x14ac:dyDescent="0.35">
      <c r="C353" s="155"/>
    </row>
    <row r="354" spans="3:3" x14ac:dyDescent="0.35">
      <c r="C354" s="155"/>
    </row>
    <row r="355" spans="3:3" x14ac:dyDescent="0.35">
      <c r="C355" s="155"/>
    </row>
    <row r="356" spans="3:3" x14ac:dyDescent="0.35">
      <c r="C356" s="155"/>
    </row>
    <row r="357" spans="3:3" x14ac:dyDescent="0.35">
      <c r="C357" s="155"/>
    </row>
    <row r="358" spans="3:3" x14ac:dyDescent="0.35">
      <c r="C358" s="155"/>
    </row>
    <row r="359" spans="3:3" x14ac:dyDescent="0.35">
      <c r="C359" s="155"/>
    </row>
    <row r="360" spans="3:3" x14ac:dyDescent="0.35">
      <c r="C360" s="155"/>
    </row>
    <row r="361" spans="3:3" x14ac:dyDescent="0.35">
      <c r="C361" s="155"/>
    </row>
    <row r="362" spans="3:3" x14ac:dyDescent="0.35">
      <c r="C362" s="155"/>
    </row>
    <row r="363" spans="3:3" x14ac:dyDescent="0.35">
      <c r="C363" s="155"/>
    </row>
    <row r="364" spans="3:3" x14ac:dyDescent="0.35">
      <c r="C364" s="155"/>
    </row>
    <row r="365" spans="3:3" x14ac:dyDescent="0.35">
      <c r="C365" s="155"/>
    </row>
    <row r="366" spans="3:3" x14ac:dyDescent="0.35">
      <c r="C366" s="155"/>
    </row>
    <row r="367" spans="3:3" x14ac:dyDescent="0.35">
      <c r="C367" s="155"/>
    </row>
    <row r="368" spans="3:3" x14ac:dyDescent="0.35">
      <c r="C368" s="155"/>
    </row>
    <row r="369" spans="3:3" x14ac:dyDescent="0.35">
      <c r="C369" s="155"/>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J356"/>
  <sheetViews>
    <sheetView topLeftCell="A31" workbookViewId="0">
      <selection activeCell="N290" sqref="N290"/>
    </sheetView>
  </sheetViews>
  <sheetFormatPr defaultRowHeight="14.5" x14ac:dyDescent="0.35"/>
  <cols>
    <col min="2" max="2" width="10.54296875" customWidth="1"/>
    <col min="3" max="3" width="10.26953125" customWidth="1"/>
    <col min="13" max="13" width="11" customWidth="1"/>
  </cols>
  <sheetData>
    <row r="4" spans="2:36" ht="18.5" x14ac:dyDescent="0.45">
      <c r="B4" s="2"/>
      <c r="C4" s="1" t="s">
        <v>256</v>
      </c>
      <c r="D4" s="2"/>
      <c r="E4" s="2"/>
      <c r="F4" s="2"/>
      <c r="G4" s="2"/>
      <c r="H4" s="2"/>
      <c r="I4" s="2"/>
      <c r="J4" s="2"/>
      <c r="K4" s="2"/>
      <c r="L4" s="2"/>
      <c r="M4" s="2"/>
      <c r="N4" s="2"/>
      <c r="O4" s="2"/>
    </row>
    <row r="5" spans="2:36" ht="18.5" x14ac:dyDescent="0.45">
      <c r="B5" s="2"/>
      <c r="C5" s="2"/>
      <c r="D5" s="2"/>
      <c r="E5" s="2"/>
      <c r="F5" s="1" t="s">
        <v>0</v>
      </c>
      <c r="G5" s="3"/>
      <c r="H5" s="3"/>
      <c r="I5" s="3"/>
      <c r="J5" s="3"/>
      <c r="K5" s="3"/>
      <c r="L5" s="3"/>
      <c r="M5" s="3"/>
      <c r="N5" s="3"/>
      <c r="O5" s="3"/>
      <c r="W5" s="1" t="s">
        <v>282</v>
      </c>
      <c r="X5" s="3"/>
      <c r="Y5" s="3"/>
      <c r="Z5" s="3"/>
      <c r="AA5" s="3"/>
      <c r="AB5" s="3"/>
      <c r="AC5" s="3"/>
      <c r="AD5" s="3"/>
      <c r="AE5" s="3"/>
      <c r="AF5" s="3"/>
    </row>
    <row r="6" spans="2:36"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S6" s="14"/>
      <c r="W6" s="9" t="s">
        <v>1</v>
      </c>
      <c r="X6" s="9" t="s">
        <v>2</v>
      </c>
      <c r="Y6" s="9" t="s">
        <v>3</v>
      </c>
      <c r="Z6" s="9" t="s">
        <v>4</v>
      </c>
      <c r="AA6" s="9" t="s">
        <v>5</v>
      </c>
      <c r="AB6" s="9" t="s">
        <v>6</v>
      </c>
      <c r="AC6" s="9" t="s">
        <v>7</v>
      </c>
      <c r="AD6" s="9" t="s">
        <v>8</v>
      </c>
      <c r="AE6" s="9" t="s">
        <v>9</v>
      </c>
      <c r="AF6" s="9" t="s">
        <v>10</v>
      </c>
      <c r="AG6" s="44" t="s">
        <v>139</v>
      </c>
      <c r="AI6" s="44" t="s">
        <v>138</v>
      </c>
      <c r="AJ6" s="14"/>
    </row>
    <row r="7" spans="2:36" x14ac:dyDescent="0.35">
      <c r="B7" s="2"/>
      <c r="C7" s="2"/>
      <c r="D7" s="2"/>
      <c r="E7" s="2"/>
      <c r="F7" s="2">
        <v>35.037799999999997</v>
      </c>
      <c r="G7" s="2">
        <v>40.434469999999997</v>
      </c>
      <c r="H7" s="2">
        <f>G7-F7</f>
        <v>5.3966700000000003</v>
      </c>
      <c r="I7" s="2">
        <f>F8-G7</f>
        <v>4.0933600000000041</v>
      </c>
      <c r="J7" s="2">
        <f>H7/N7</f>
        <v>0.56866732771129258</v>
      </c>
      <c r="K7" s="2">
        <f>I7/N7</f>
        <v>0.43133267228870742</v>
      </c>
      <c r="L7" s="2">
        <f>1/H7</f>
        <v>0.18529945318131366</v>
      </c>
      <c r="M7" s="2">
        <f>1/N7</f>
        <v>0.10537374486698141</v>
      </c>
      <c r="N7" s="2">
        <f>H7+I7</f>
        <v>9.4900300000000044</v>
      </c>
      <c r="O7" s="2">
        <v>42</v>
      </c>
      <c r="P7">
        <f>O7/H7</f>
        <v>7.7825770336151736</v>
      </c>
      <c r="R7" t="s">
        <v>257</v>
      </c>
      <c r="W7">
        <v>20.61327</v>
      </c>
      <c r="X7">
        <v>24.312460000000002</v>
      </c>
      <c r="Y7" s="2">
        <f>X7-W7</f>
        <v>3.6991900000000015</v>
      </c>
      <c r="Z7" s="2">
        <f>W8-X7</f>
        <v>9.0676799999999957</v>
      </c>
      <c r="AA7" s="2">
        <f>Y7/AE7</f>
        <v>0.28974917109675297</v>
      </c>
      <c r="AB7" s="2">
        <f>Z7/AE7</f>
        <v>0.71025082890324709</v>
      </c>
      <c r="AC7" s="2">
        <f>1/Y7</f>
        <v>0.27032945050132584</v>
      </c>
      <c r="AD7" s="2">
        <f>1/AE7</f>
        <v>7.8327734205799873E-2</v>
      </c>
      <c r="AE7" s="2">
        <f>Y7+Z7</f>
        <v>12.766869999999997</v>
      </c>
      <c r="AF7">
        <v>18</v>
      </c>
      <c r="AG7">
        <f>AF7/Y7</f>
        <v>4.8659301090238651</v>
      </c>
      <c r="AI7" t="s">
        <v>283</v>
      </c>
    </row>
    <row r="8" spans="2:36" x14ac:dyDescent="0.35">
      <c r="B8" s="2"/>
      <c r="C8" s="2"/>
      <c r="D8" s="2"/>
      <c r="E8" s="2"/>
      <c r="F8" s="2">
        <v>44.527830000000002</v>
      </c>
      <c r="G8" s="2">
        <v>50.100020000000001</v>
      </c>
      <c r="H8" s="2">
        <f t="shared" ref="H8:H14" si="0">G8-F8</f>
        <v>5.5721899999999991</v>
      </c>
      <c r="I8" s="2">
        <f t="shared" ref="I8:I14" si="1">F9-G8</f>
        <v>4.2397399999999976</v>
      </c>
      <c r="J8" s="2">
        <f t="shared" ref="J8:J14" si="2">H8/N8</f>
        <v>0.56789948562617154</v>
      </c>
      <c r="K8" s="2">
        <f t="shared" ref="K8:K14" si="3">I8/N8</f>
        <v>0.43210051437382851</v>
      </c>
      <c r="L8" s="2">
        <f t="shared" ref="L8:L14" si="4">1/H8</f>
        <v>0.17946265292461316</v>
      </c>
      <c r="M8" s="2">
        <f t="shared" ref="M8:M14" si="5">1/N8</f>
        <v>0.10191674828499596</v>
      </c>
      <c r="N8" s="2">
        <f t="shared" ref="N8:N14" si="6">H8+I8</f>
        <v>9.8119299999999967</v>
      </c>
      <c r="O8" s="2">
        <v>36</v>
      </c>
      <c r="P8">
        <f t="shared" ref="P8:P14" si="7">O8/H8</f>
        <v>6.4606555052860735</v>
      </c>
      <c r="W8">
        <v>33.380139999999997</v>
      </c>
      <c r="X8">
        <v>37.069479999999999</v>
      </c>
      <c r="Y8" s="2">
        <f t="shared" ref="Y8:Y15" si="8">X8-W8</f>
        <v>3.6893400000000014</v>
      </c>
      <c r="Z8" s="2">
        <f t="shared" ref="Z8:Z14" si="9">W9-X8</f>
        <v>7.7973399999999984</v>
      </c>
      <c r="AA8" s="2">
        <f t="shared" ref="AA8:AA14" si="10">Y8/AE8</f>
        <v>0.32118418899107498</v>
      </c>
      <c r="AB8" s="2">
        <f t="shared" ref="AB8:AB14" si="11">Z8/AE8</f>
        <v>0.67881581100892496</v>
      </c>
      <c r="AC8" s="2">
        <f t="shared" ref="AC8:AC14" si="12">1/Y8</f>
        <v>0.27105119072788075</v>
      </c>
      <c r="AD8" s="2">
        <f t="shared" ref="AD8:AD14" si="13">1/AE8</f>
        <v>8.7057356868999569E-2</v>
      </c>
      <c r="AE8" s="2">
        <f t="shared" ref="AE8:AE14" si="14">Y8+Z8</f>
        <v>11.48668</v>
      </c>
      <c r="AF8">
        <v>17</v>
      </c>
      <c r="AG8">
        <f t="shared" ref="AG8:AG14" si="15">AF8/Y8</f>
        <v>4.6078702423739726</v>
      </c>
    </row>
    <row r="9" spans="2:36" x14ac:dyDescent="0.35">
      <c r="B9" s="2"/>
      <c r="C9" s="2"/>
      <c r="D9" s="2"/>
      <c r="E9" s="2"/>
      <c r="F9" s="2">
        <v>54.339759999999998</v>
      </c>
      <c r="G9" s="2">
        <v>58.704810000000002</v>
      </c>
      <c r="H9" s="2">
        <f t="shared" si="0"/>
        <v>4.3650500000000036</v>
      </c>
      <c r="I9" s="2">
        <f t="shared" si="1"/>
        <v>5.4332700000000003</v>
      </c>
      <c r="J9" s="2">
        <f t="shared" si="2"/>
        <v>0.44548963495782967</v>
      </c>
      <c r="K9" s="2">
        <f t="shared" si="3"/>
        <v>0.55451036504217033</v>
      </c>
      <c r="L9" s="2">
        <f t="shared" si="4"/>
        <v>0.22909245025830155</v>
      </c>
      <c r="M9" s="2">
        <f t="shared" si="5"/>
        <v>0.10205831203716552</v>
      </c>
      <c r="N9" s="2">
        <f t="shared" si="6"/>
        <v>9.7983200000000039</v>
      </c>
      <c r="O9" s="2">
        <v>28</v>
      </c>
      <c r="P9">
        <f t="shared" si="7"/>
        <v>6.4145886072324432</v>
      </c>
      <c r="W9">
        <v>44.866819999999997</v>
      </c>
      <c r="X9">
        <v>48.675539999999998</v>
      </c>
      <c r="Y9" s="2">
        <f t="shared" si="8"/>
        <v>3.808720000000001</v>
      </c>
      <c r="Z9" s="2">
        <f t="shared" si="9"/>
        <v>9.0049300000000017</v>
      </c>
      <c r="AA9" s="2">
        <f t="shared" si="10"/>
        <v>0.29723927218239926</v>
      </c>
      <c r="AB9" s="2">
        <f t="shared" si="11"/>
        <v>0.70276072781760079</v>
      </c>
      <c r="AC9" s="2">
        <f t="shared" si="12"/>
        <v>0.26255539918922888</v>
      </c>
      <c r="AD9" s="2">
        <f t="shared" si="13"/>
        <v>7.8041775762565685E-2</v>
      </c>
      <c r="AE9" s="2">
        <f t="shared" si="14"/>
        <v>12.813650000000003</v>
      </c>
      <c r="AF9">
        <v>14</v>
      </c>
      <c r="AG9">
        <f t="shared" si="15"/>
        <v>3.6757755886492038</v>
      </c>
    </row>
    <row r="10" spans="2:36" x14ac:dyDescent="0.35">
      <c r="B10" s="2"/>
      <c r="C10" s="2"/>
      <c r="D10" s="2"/>
      <c r="E10" s="2"/>
      <c r="F10" s="13">
        <v>64.138080000000002</v>
      </c>
      <c r="G10" s="13">
        <v>69.350129999999993</v>
      </c>
      <c r="H10" s="2">
        <f t="shared" si="0"/>
        <v>5.2120499999999907</v>
      </c>
      <c r="I10" s="2">
        <f t="shared" si="1"/>
        <v>4.6645500000000055</v>
      </c>
      <c r="J10" s="2">
        <f t="shared" si="2"/>
        <v>0.52771702812708754</v>
      </c>
      <c r="K10" s="2">
        <f t="shared" si="3"/>
        <v>0.47228297187291246</v>
      </c>
      <c r="L10" s="2">
        <f t="shared" si="4"/>
        <v>0.19186308650147288</v>
      </c>
      <c r="M10" s="2">
        <f t="shared" si="5"/>
        <v>0.10124941781584759</v>
      </c>
      <c r="N10" s="2">
        <f t="shared" si="6"/>
        <v>9.8765999999999963</v>
      </c>
      <c r="O10" s="13">
        <v>31</v>
      </c>
      <c r="P10">
        <f t="shared" si="7"/>
        <v>5.9477556815456598</v>
      </c>
      <c r="W10">
        <v>57.68047</v>
      </c>
      <c r="X10">
        <v>61.520389999999999</v>
      </c>
      <c r="Y10" s="2">
        <f t="shared" si="8"/>
        <v>3.8399199999999993</v>
      </c>
      <c r="Z10" s="2">
        <f t="shared" si="9"/>
        <v>6.6159400000000019</v>
      </c>
      <c r="AA10" s="2">
        <f t="shared" si="10"/>
        <v>0.36725051789140239</v>
      </c>
      <c r="AB10" s="2">
        <f t="shared" si="11"/>
        <v>0.63274948210859761</v>
      </c>
      <c r="AC10" s="2">
        <f t="shared" si="12"/>
        <v>0.26042209212691936</v>
      </c>
      <c r="AD10" s="2">
        <f t="shared" si="13"/>
        <v>9.5640148203973652E-2</v>
      </c>
      <c r="AE10" s="2">
        <f t="shared" si="14"/>
        <v>10.455860000000001</v>
      </c>
      <c r="AF10">
        <v>15</v>
      </c>
      <c r="AG10">
        <f t="shared" si="15"/>
        <v>3.9063313819037901</v>
      </c>
    </row>
    <row r="11" spans="2:36" x14ac:dyDescent="0.35">
      <c r="B11" s="2"/>
      <c r="C11" s="2"/>
      <c r="D11" s="2"/>
      <c r="E11" s="2"/>
      <c r="F11" s="13">
        <v>74.014679999999998</v>
      </c>
      <c r="G11" s="13">
        <v>79.096000000000004</v>
      </c>
      <c r="H11" s="2">
        <f t="shared" si="0"/>
        <v>5.0813200000000052</v>
      </c>
      <c r="I11" s="2">
        <f t="shared" si="1"/>
        <v>5.0752499999999969</v>
      </c>
      <c r="J11" s="2">
        <f t="shared" si="2"/>
        <v>0.5002988213540599</v>
      </c>
      <c r="K11" s="2">
        <f t="shared" si="3"/>
        <v>0.4997011786459401</v>
      </c>
      <c r="L11" s="2">
        <f t="shared" si="4"/>
        <v>0.1967992568860058</v>
      </c>
      <c r="M11" s="2">
        <f t="shared" si="5"/>
        <v>9.8458436263423557E-2</v>
      </c>
      <c r="N11" s="2">
        <f t="shared" si="6"/>
        <v>10.156570000000002</v>
      </c>
      <c r="O11" s="13">
        <v>29</v>
      </c>
      <c r="P11">
        <f t="shared" si="7"/>
        <v>5.707178449694168</v>
      </c>
      <c r="W11">
        <v>68.136330000000001</v>
      </c>
      <c r="X11">
        <v>71.227959999999996</v>
      </c>
      <c r="Y11" s="2">
        <f t="shared" si="8"/>
        <v>3.091629999999995</v>
      </c>
      <c r="Z11" s="2">
        <f t="shared" si="9"/>
        <v>8.2996100000000013</v>
      </c>
      <c r="AA11" s="2">
        <f t="shared" si="10"/>
        <v>0.27140416671055967</v>
      </c>
      <c r="AB11" s="2">
        <f t="shared" si="11"/>
        <v>0.72859583328944033</v>
      </c>
      <c r="AC11" s="2">
        <f t="shared" si="12"/>
        <v>0.32345397088267408</v>
      </c>
      <c r="AD11" s="2">
        <f t="shared" si="13"/>
        <v>8.7786755436633793E-2</v>
      </c>
      <c r="AE11" s="2">
        <f t="shared" si="14"/>
        <v>11.391239999999996</v>
      </c>
      <c r="AF11">
        <v>18</v>
      </c>
      <c r="AG11">
        <f t="shared" si="15"/>
        <v>5.8221714758881333</v>
      </c>
    </row>
    <row r="12" spans="2:36" x14ac:dyDescent="0.35">
      <c r="B12" s="2"/>
      <c r="C12" s="2"/>
      <c r="D12" s="2"/>
      <c r="E12" s="2"/>
      <c r="F12" s="13">
        <v>84.171250000000001</v>
      </c>
      <c r="G12" s="13">
        <v>88.434449999999998</v>
      </c>
      <c r="H12" s="2">
        <f t="shared" si="0"/>
        <v>4.2631999999999977</v>
      </c>
      <c r="I12" s="2">
        <f t="shared" si="1"/>
        <v>7.1698200000000014</v>
      </c>
      <c r="J12" s="2">
        <f t="shared" si="2"/>
        <v>0.3728848545703583</v>
      </c>
      <c r="K12" s="2">
        <f t="shared" si="3"/>
        <v>0.62711514542964164</v>
      </c>
      <c r="L12" s="2">
        <f t="shared" si="4"/>
        <v>0.23456558453743678</v>
      </c>
      <c r="M12" s="2">
        <f t="shared" si="5"/>
        <v>8.7465953877453206E-2</v>
      </c>
      <c r="N12" s="2">
        <f t="shared" si="6"/>
        <v>11.433019999999999</v>
      </c>
      <c r="O12" s="13">
        <v>27</v>
      </c>
      <c r="P12">
        <f t="shared" si="7"/>
        <v>6.3332707825107937</v>
      </c>
      <c r="W12">
        <v>79.527569999999997</v>
      </c>
      <c r="X12">
        <v>83.326589999999996</v>
      </c>
      <c r="Y12" s="2">
        <f t="shared" si="8"/>
        <v>3.7990199999999987</v>
      </c>
      <c r="Z12" s="2">
        <f t="shared" si="9"/>
        <v>7.6660700000000048</v>
      </c>
      <c r="AA12" s="2">
        <f t="shared" si="10"/>
        <v>0.33135544509463055</v>
      </c>
      <c r="AB12" s="2">
        <f t="shared" si="11"/>
        <v>0.66864455490536945</v>
      </c>
      <c r="AC12" s="2">
        <f t="shared" si="12"/>
        <v>0.26322577927991964</v>
      </c>
      <c r="AD12" s="2">
        <f t="shared" si="13"/>
        <v>8.7221295253678749E-2</v>
      </c>
      <c r="AE12" s="2">
        <f t="shared" si="14"/>
        <v>11.465090000000004</v>
      </c>
      <c r="AF12">
        <v>19</v>
      </c>
      <c r="AG12">
        <f t="shared" si="15"/>
        <v>5.0012898063184732</v>
      </c>
    </row>
    <row r="13" spans="2:36" x14ac:dyDescent="0.35">
      <c r="B13" s="2"/>
      <c r="C13" s="2"/>
      <c r="D13" s="2" t="s">
        <v>541</v>
      </c>
      <c r="E13" s="2"/>
      <c r="F13" s="13">
        <v>95.60427</v>
      </c>
      <c r="G13" s="13">
        <v>99.928349999999995</v>
      </c>
      <c r="H13" s="2">
        <f t="shared" si="0"/>
        <v>4.324079999999995</v>
      </c>
      <c r="I13" s="2">
        <f t="shared" si="1"/>
        <v>7.3482500000000073</v>
      </c>
      <c r="J13" s="2">
        <f t="shared" si="2"/>
        <v>0.37045559883930579</v>
      </c>
      <c r="K13" s="2">
        <f t="shared" si="3"/>
        <v>0.62954440116069421</v>
      </c>
      <c r="L13" s="2">
        <f t="shared" si="4"/>
        <v>0.23126306636324978</v>
      </c>
      <c r="M13" s="2">
        <f t="shared" si="5"/>
        <v>8.5672697739011816E-2</v>
      </c>
      <c r="N13" s="2">
        <f t="shared" si="6"/>
        <v>11.672330000000002</v>
      </c>
      <c r="O13" s="13">
        <v>26</v>
      </c>
      <c r="P13">
        <f t="shared" si="7"/>
        <v>6.0128397254444943</v>
      </c>
      <c r="W13">
        <v>90.992660000000001</v>
      </c>
      <c r="X13">
        <v>94.643900000000002</v>
      </c>
      <c r="Y13" s="2">
        <f t="shared" si="8"/>
        <v>3.6512400000000014</v>
      </c>
      <c r="Z13" s="2">
        <f t="shared" si="9"/>
        <v>6.5586899999999986</v>
      </c>
      <c r="AA13" s="2">
        <f t="shared" si="10"/>
        <v>0.35761655564729644</v>
      </c>
      <c r="AB13" s="2">
        <f t="shared" si="11"/>
        <v>0.64238344435270356</v>
      </c>
      <c r="AC13" s="2">
        <f t="shared" si="12"/>
        <v>0.27387955872525488</v>
      </c>
      <c r="AD13" s="2">
        <f t="shared" si="13"/>
        <v>9.794386445352711E-2</v>
      </c>
      <c r="AE13" s="2">
        <f t="shared" si="14"/>
        <v>10.20993</v>
      </c>
      <c r="AF13">
        <v>15</v>
      </c>
      <c r="AG13">
        <f t="shared" si="15"/>
        <v>4.1081933808788236</v>
      </c>
    </row>
    <row r="14" spans="2:36" x14ac:dyDescent="0.35">
      <c r="B14" s="2"/>
      <c r="C14" s="2"/>
      <c r="D14" s="2"/>
      <c r="E14" s="2"/>
      <c r="F14" s="13">
        <v>107.2766</v>
      </c>
      <c r="G14" s="13">
        <v>111.55322</v>
      </c>
      <c r="H14" s="2">
        <f t="shared" si="0"/>
        <v>4.2766199999999941</v>
      </c>
      <c r="I14" s="2">
        <f t="shared" si="1"/>
        <v>7.4738700000000051</v>
      </c>
      <c r="J14" s="2">
        <f t="shared" si="2"/>
        <v>0.36395248198160202</v>
      </c>
      <c r="K14" s="2">
        <f t="shared" si="3"/>
        <v>0.63604751801839798</v>
      </c>
      <c r="L14" s="2">
        <f t="shared" si="4"/>
        <v>0.23382951957386941</v>
      </c>
      <c r="M14" s="2">
        <f t="shared" si="5"/>
        <v>8.5102834009475353E-2</v>
      </c>
      <c r="N14" s="2">
        <f t="shared" si="6"/>
        <v>11.750489999999999</v>
      </c>
      <c r="O14" s="13">
        <v>25</v>
      </c>
      <c r="P14">
        <f t="shared" si="7"/>
        <v>5.8457379893467349</v>
      </c>
      <c r="W14">
        <v>101.20259</v>
      </c>
      <c r="X14">
        <v>104.79053999999999</v>
      </c>
      <c r="Y14" s="2">
        <f t="shared" si="8"/>
        <v>3.5879499999999922</v>
      </c>
      <c r="Z14" s="2">
        <f t="shared" si="9"/>
        <v>7.9405300000000096</v>
      </c>
      <c r="AA14" s="2">
        <f t="shared" si="10"/>
        <v>0.31122489695085487</v>
      </c>
      <c r="AB14" s="2">
        <f t="shared" si="11"/>
        <v>0.68877510304914513</v>
      </c>
      <c r="AC14" s="2">
        <f t="shared" si="12"/>
        <v>0.27871068437408608</v>
      </c>
      <c r="AD14" s="2">
        <f t="shared" si="13"/>
        <v>8.674170402342718E-2</v>
      </c>
      <c r="AE14" s="2">
        <f t="shared" si="14"/>
        <v>11.528480000000002</v>
      </c>
      <c r="AF14">
        <v>24</v>
      </c>
      <c r="AG14">
        <f t="shared" si="15"/>
        <v>6.689056424978066</v>
      </c>
    </row>
    <row r="15" spans="2:36" x14ac:dyDescent="0.35">
      <c r="B15" s="2"/>
      <c r="C15" s="2"/>
      <c r="D15" s="2"/>
      <c r="E15" s="2"/>
      <c r="F15" s="13">
        <v>119.02709</v>
      </c>
      <c r="G15" s="13"/>
      <c r="H15" s="2"/>
      <c r="I15" s="2"/>
      <c r="J15" s="2"/>
      <c r="K15" s="2"/>
      <c r="L15" s="2"/>
      <c r="M15" s="2"/>
      <c r="N15" s="2"/>
      <c r="O15" s="2"/>
      <c r="W15">
        <v>112.73107</v>
      </c>
      <c r="X15">
        <v>116.28146</v>
      </c>
      <c r="Y15" s="2">
        <f t="shared" si="8"/>
        <v>3.5503899999999931</v>
      </c>
      <c r="Z15" s="2"/>
      <c r="AA15" s="2"/>
      <c r="AB15" s="2"/>
      <c r="AC15" s="2"/>
      <c r="AD15" s="2"/>
      <c r="AE15" s="2"/>
    </row>
    <row r="16" spans="2:36" x14ac:dyDescent="0.35">
      <c r="B16" s="2"/>
      <c r="C16" s="2"/>
      <c r="D16" s="2"/>
      <c r="E16" s="2"/>
      <c r="F16" s="13"/>
      <c r="G16" s="13"/>
      <c r="H16" s="2"/>
      <c r="I16" s="2"/>
      <c r="J16" s="2"/>
      <c r="K16" s="2"/>
      <c r="L16" s="2"/>
      <c r="M16" s="2"/>
      <c r="N16" s="2"/>
      <c r="O16" s="2"/>
    </row>
    <row r="17" spans="1:36" ht="16" thickBot="1" x14ac:dyDescent="0.4">
      <c r="B17" s="2"/>
      <c r="C17" s="2"/>
      <c r="D17" s="2"/>
      <c r="E17" s="2"/>
      <c r="F17" s="13"/>
      <c r="G17" s="13"/>
      <c r="H17" s="9" t="s">
        <v>3</v>
      </c>
      <c r="I17" s="9" t="s">
        <v>4</v>
      </c>
      <c r="J17" s="9" t="s">
        <v>5</v>
      </c>
      <c r="K17" s="9" t="s">
        <v>6</v>
      </c>
      <c r="L17" s="9" t="s">
        <v>7</v>
      </c>
      <c r="M17" s="9" t="s">
        <v>8</v>
      </c>
      <c r="N17" s="9" t="s">
        <v>9</v>
      </c>
      <c r="O17" s="9" t="s">
        <v>10</v>
      </c>
      <c r="P17" s="44" t="s">
        <v>139</v>
      </c>
      <c r="X17" s="13"/>
      <c r="Y17" s="9" t="s">
        <v>3</v>
      </c>
      <c r="Z17" s="9" t="s">
        <v>4</v>
      </c>
      <c r="AA17" s="9" t="s">
        <v>5</v>
      </c>
      <c r="AB17" s="9" t="s">
        <v>6</v>
      </c>
      <c r="AC17" s="9" t="s">
        <v>7</v>
      </c>
      <c r="AD17" s="9" t="s">
        <v>8</v>
      </c>
      <c r="AE17" s="9" t="s">
        <v>9</v>
      </c>
      <c r="AF17" s="9" t="s">
        <v>10</v>
      </c>
      <c r="AG17" s="44" t="s">
        <v>139</v>
      </c>
    </row>
    <row r="18" spans="1:36" x14ac:dyDescent="0.35">
      <c r="B18" s="2"/>
      <c r="C18" s="2"/>
      <c r="D18" s="2"/>
      <c r="E18" s="2"/>
      <c r="F18" s="13"/>
      <c r="G18" s="49" t="s">
        <v>77</v>
      </c>
      <c r="H18" s="13">
        <f>AVERAGE(H7:H14)</f>
        <v>4.8113974999999982</v>
      </c>
      <c r="I18" s="13">
        <f t="shared" ref="I18:P18" si="16">AVERAGE(I7:I14)</f>
        <v>5.6872637500000023</v>
      </c>
      <c r="J18" s="13">
        <f t="shared" si="16"/>
        <v>0.46467065414596342</v>
      </c>
      <c r="K18" s="13">
        <f t="shared" si="16"/>
        <v>0.53532934585403658</v>
      </c>
      <c r="L18" s="13">
        <f t="shared" si="16"/>
        <v>0.21027188377828288</v>
      </c>
      <c r="M18" s="13">
        <f t="shared" si="16"/>
        <v>9.5912268111794305E-2</v>
      </c>
      <c r="N18" s="13">
        <f t="shared" si="16"/>
        <v>10.49866125</v>
      </c>
      <c r="O18" s="13">
        <f t="shared" si="16"/>
        <v>30.5</v>
      </c>
      <c r="P18" s="13">
        <f t="shared" si="16"/>
        <v>6.3130754718344431</v>
      </c>
      <c r="X18" s="49" t="s">
        <v>77</v>
      </c>
      <c r="Y18" s="13">
        <f>AVERAGE(Y7:Y14)</f>
        <v>3.6458762499999988</v>
      </c>
      <c r="Z18" s="13">
        <f t="shared" ref="Z18:AG18" si="17">AVERAGE(Z7:Z14)</f>
        <v>7.8688487500000015</v>
      </c>
      <c r="AA18" s="13">
        <f t="shared" si="17"/>
        <v>0.31837802682062144</v>
      </c>
      <c r="AB18" s="13">
        <f t="shared" si="17"/>
        <v>0.68162197317937856</v>
      </c>
      <c r="AC18" s="13">
        <f t="shared" si="17"/>
        <v>0.2754535157259112</v>
      </c>
      <c r="AD18" s="13">
        <f t="shared" si="17"/>
        <v>8.7345079276075696E-2</v>
      </c>
      <c r="AE18" s="13">
        <f t="shared" si="17"/>
        <v>11.514725</v>
      </c>
      <c r="AF18" s="13">
        <f t="shared" si="17"/>
        <v>17.5</v>
      </c>
      <c r="AG18" s="13">
        <f t="shared" si="17"/>
        <v>4.834577301251791</v>
      </c>
    </row>
    <row r="19" spans="1:36" x14ac:dyDescent="0.35">
      <c r="B19" s="2"/>
      <c r="C19" s="2"/>
      <c r="D19" s="2"/>
      <c r="E19" s="2"/>
      <c r="F19" s="13"/>
      <c r="G19" s="49" t="s">
        <v>94</v>
      </c>
      <c r="H19" s="2">
        <f>_xlfn.STDEV.S(H7:H14)</f>
        <v>0.55779433218833374</v>
      </c>
      <c r="I19" s="2">
        <f t="shared" ref="I19:P19" si="18">_xlfn.STDEV.S(I7:I14)</f>
        <v>1.4277695637595795</v>
      </c>
      <c r="J19" s="2">
        <f t="shared" si="18"/>
        <v>8.8260072418792662E-2</v>
      </c>
      <c r="K19" s="2">
        <f t="shared" si="18"/>
        <v>8.8260072418793023E-2</v>
      </c>
      <c r="L19" s="2">
        <f t="shared" si="18"/>
        <v>2.4003618947594989E-2</v>
      </c>
      <c r="M19" s="2">
        <f t="shared" si="18"/>
        <v>8.3781025031117451E-3</v>
      </c>
      <c r="N19" s="2">
        <f t="shared" si="18"/>
        <v>0.94875867204675812</v>
      </c>
      <c r="O19" s="2">
        <f t="shared" si="18"/>
        <v>5.7817446699565895</v>
      </c>
      <c r="P19" s="2">
        <f t="shared" si="18"/>
        <v>0.65476746691855747</v>
      </c>
      <c r="X19" s="49" t="s">
        <v>94</v>
      </c>
      <c r="Y19" s="2">
        <f>_xlfn.STDEV.S(Y7:Y14)</f>
        <v>0.23991922789243242</v>
      </c>
      <c r="Z19" s="2">
        <f t="shared" ref="Z19:AG19" si="19">_xlfn.STDEV.S(Z7:Z14)</f>
        <v>0.94499428853055123</v>
      </c>
      <c r="AA19" s="2">
        <f t="shared" si="19"/>
        <v>3.3012204642303505E-2</v>
      </c>
      <c r="AB19" s="2">
        <f t="shared" si="19"/>
        <v>3.3012204642303512E-2</v>
      </c>
      <c r="AC19" s="2">
        <f t="shared" si="19"/>
        <v>2.0370108834521859E-2</v>
      </c>
      <c r="AD19" s="2">
        <f t="shared" si="19"/>
        <v>7.0676691483251069E-3</v>
      </c>
      <c r="AE19" s="2">
        <f t="shared" si="19"/>
        <v>0.93330796000034189</v>
      </c>
      <c r="AF19" s="2">
        <f t="shared" si="19"/>
        <v>3.1622776601683795</v>
      </c>
      <c r="AG19" s="2">
        <f t="shared" si="19"/>
        <v>1.0160640248563724</v>
      </c>
    </row>
    <row r="20" spans="1:36" x14ac:dyDescent="0.35">
      <c r="B20" s="2"/>
      <c r="C20" s="2"/>
      <c r="D20" s="2"/>
      <c r="E20" s="2"/>
      <c r="F20" s="13"/>
      <c r="G20" s="49" t="s">
        <v>95</v>
      </c>
      <c r="H20" s="2">
        <f>H19/(SQRT(COUNT(H7:H14)))</f>
        <v>0.19721007739889623</v>
      </c>
      <c r="I20" s="2">
        <f t="shared" ref="I20:P20" si="20">I19/(SQRT(COUNT(I7:I14)))</f>
        <v>0.50479277025307867</v>
      </c>
      <c r="J20" s="2">
        <f t="shared" si="20"/>
        <v>3.1204647857672029E-2</v>
      </c>
      <c r="K20" s="2">
        <f t="shared" si="20"/>
        <v>3.1204647857672158E-2</v>
      </c>
      <c r="L20" s="2">
        <f t="shared" si="20"/>
        <v>8.4865608654311579E-3</v>
      </c>
      <c r="M20" s="2">
        <f t="shared" si="20"/>
        <v>2.9621065467131513E-3</v>
      </c>
      <c r="N20" s="2">
        <f t="shared" si="20"/>
        <v>0.33543684535690316</v>
      </c>
      <c r="O20" s="2">
        <f t="shared" si="20"/>
        <v>2.0441554316077406</v>
      </c>
      <c r="P20" s="2">
        <f t="shared" si="20"/>
        <v>0.23149525797922518</v>
      </c>
      <c r="X20" s="49" t="s">
        <v>95</v>
      </c>
      <c r="Y20" s="2">
        <f>Y19/(SQRT(COUNT(Y7:Y14)))</f>
        <v>8.482425648988981E-2</v>
      </c>
      <c r="Z20" s="2">
        <f t="shared" ref="Z20:AG20" si="21">Z19/(SQRT(COUNT(Z7:Z14)))</f>
        <v>0.33410593480125478</v>
      </c>
      <c r="AA20" s="2">
        <f t="shared" si="21"/>
        <v>1.1671576882245415E-2</v>
      </c>
      <c r="AB20" s="2">
        <f t="shared" si="21"/>
        <v>1.1671576882245419E-2</v>
      </c>
      <c r="AC20" s="2">
        <f t="shared" si="21"/>
        <v>7.2019210451992029E-3</v>
      </c>
      <c r="AD20" s="2">
        <f t="shared" si="21"/>
        <v>2.4987983909818168E-3</v>
      </c>
      <c r="AE20" s="2">
        <f t="shared" si="21"/>
        <v>0.32997419372581238</v>
      </c>
      <c r="AF20" s="2">
        <f t="shared" si="21"/>
        <v>1.1180339887498949</v>
      </c>
      <c r="AG20" s="2">
        <f t="shared" si="21"/>
        <v>0.35923288104781881</v>
      </c>
    </row>
    <row r="21" spans="1:36" x14ac:dyDescent="0.35">
      <c r="B21" s="2"/>
      <c r="C21" s="2"/>
      <c r="D21" s="2"/>
      <c r="E21" s="2"/>
      <c r="F21" s="13"/>
      <c r="G21" s="13"/>
      <c r="H21" s="2"/>
      <c r="I21" s="2"/>
      <c r="J21" s="2"/>
      <c r="K21" s="2"/>
      <c r="L21" s="2"/>
      <c r="M21" s="2"/>
      <c r="N21" s="2"/>
      <c r="O21" s="2"/>
    </row>
    <row r="22" spans="1:36" x14ac:dyDescent="0.35">
      <c r="B22" s="2"/>
      <c r="C22" s="2"/>
      <c r="D22" s="2"/>
      <c r="E22" s="2"/>
      <c r="F22" s="13"/>
      <c r="G22" s="13"/>
      <c r="H22" s="2"/>
      <c r="I22" s="2"/>
      <c r="J22" s="2"/>
      <c r="K22" s="2"/>
      <c r="L22" s="2"/>
      <c r="M22" s="2"/>
      <c r="N22" s="2"/>
      <c r="O22" s="2"/>
    </row>
    <row r="23" spans="1:36" x14ac:dyDescent="0.35">
      <c r="B23" s="2"/>
      <c r="C23" s="2"/>
      <c r="D23" s="2"/>
      <c r="E23" s="2"/>
      <c r="F23" s="2"/>
      <c r="G23" s="2"/>
      <c r="H23" s="2"/>
      <c r="I23" s="2"/>
      <c r="J23" s="2"/>
      <c r="K23" s="2"/>
      <c r="L23" s="2"/>
      <c r="M23" s="2"/>
      <c r="N23" s="2"/>
      <c r="O23" s="2"/>
    </row>
    <row r="24" spans="1:36" x14ac:dyDescent="0.35">
      <c r="B24" s="2"/>
      <c r="C24" s="2"/>
      <c r="D24" s="2"/>
      <c r="E24" s="2"/>
      <c r="F24" s="2"/>
      <c r="G24" s="2"/>
      <c r="H24" s="49"/>
      <c r="I24" s="49"/>
      <c r="J24" s="49"/>
      <c r="K24" s="49"/>
      <c r="L24" s="49"/>
      <c r="M24" s="49"/>
      <c r="N24" s="49"/>
      <c r="O24" s="2"/>
    </row>
    <row r="25" spans="1:36" x14ac:dyDescent="0.35">
      <c r="A25" s="13"/>
      <c r="B25" s="6"/>
      <c r="D25" s="2"/>
      <c r="E25" s="2"/>
      <c r="F25" s="2"/>
      <c r="G25" s="2"/>
      <c r="H25" s="2"/>
      <c r="I25" s="2"/>
      <c r="J25" s="2"/>
      <c r="K25" s="2"/>
      <c r="L25" s="2"/>
      <c r="M25" s="2"/>
      <c r="N25" s="2"/>
      <c r="O25" s="2"/>
    </row>
    <row r="26" spans="1:36" x14ac:dyDescent="0.35">
      <c r="A26" s="7"/>
      <c r="B26" s="6" t="s">
        <v>72</v>
      </c>
      <c r="D26" s="2"/>
      <c r="E26" s="2"/>
      <c r="F26" s="2"/>
      <c r="G26" s="2"/>
      <c r="H26" s="2"/>
      <c r="I26" s="2"/>
      <c r="J26" s="2"/>
      <c r="K26" s="2"/>
      <c r="L26" s="2"/>
      <c r="M26" s="2"/>
      <c r="N26" s="2"/>
      <c r="O26" s="2"/>
    </row>
    <row r="27" spans="1:36" x14ac:dyDescent="0.35">
      <c r="B27" s="2"/>
      <c r="C27" s="2"/>
      <c r="D27" s="2"/>
      <c r="E27" s="2"/>
      <c r="F27" s="2"/>
      <c r="G27" s="2"/>
      <c r="H27" s="2"/>
      <c r="I27" s="2"/>
      <c r="J27" s="2"/>
      <c r="K27" s="2"/>
      <c r="L27" s="2"/>
      <c r="M27" s="2"/>
      <c r="N27" s="2"/>
      <c r="O27" s="2"/>
    </row>
    <row r="28" spans="1:36" ht="18.5" x14ac:dyDescent="0.45">
      <c r="B28" s="2"/>
      <c r="C28" s="2"/>
      <c r="D28" s="2"/>
      <c r="E28" s="2"/>
      <c r="F28" s="1" t="s">
        <v>15</v>
      </c>
      <c r="G28" s="2"/>
      <c r="H28" s="2"/>
      <c r="I28" s="2"/>
      <c r="J28" s="2"/>
      <c r="K28" s="2"/>
      <c r="L28" s="2"/>
      <c r="M28" s="2"/>
      <c r="N28" s="2"/>
      <c r="O28" s="2"/>
      <c r="W28" s="1" t="s">
        <v>284</v>
      </c>
      <c r="X28" s="3"/>
      <c r="Y28" s="3"/>
      <c r="Z28" s="3"/>
      <c r="AA28" s="3"/>
      <c r="AB28" s="3"/>
      <c r="AC28" s="3"/>
      <c r="AD28" s="3"/>
      <c r="AE28" s="3"/>
      <c r="AF28" s="3"/>
    </row>
    <row r="29" spans="1:36" ht="16" thickBot="1" x14ac:dyDescent="0.4">
      <c r="B29" s="5"/>
      <c r="C29" s="5"/>
      <c r="D29" s="5"/>
      <c r="E29" s="5"/>
      <c r="F29" s="9" t="s">
        <v>1</v>
      </c>
      <c r="G29" s="9" t="s">
        <v>2</v>
      </c>
      <c r="H29" s="9" t="s">
        <v>3</v>
      </c>
      <c r="I29" s="9" t="s">
        <v>4</v>
      </c>
      <c r="J29" s="9" t="s">
        <v>5</v>
      </c>
      <c r="K29" s="9" t="s">
        <v>6</v>
      </c>
      <c r="L29" s="9" t="s">
        <v>7</v>
      </c>
      <c r="M29" s="9" t="s">
        <v>8</v>
      </c>
      <c r="N29" s="9" t="s">
        <v>9</v>
      </c>
      <c r="O29" s="9" t="s">
        <v>10</v>
      </c>
      <c r="P29" s="44" t="s">
        <v>139</v>
      </c>
      <c r="R29" s="44" t="s">
        <v>134</v>
      </c>
      <c r="V29" s="13"/>
      <c r="W29" s="9" t="s">
        <v>1</v>
      </c>
      <c r="X29" s="9" t="s">
        <v>2</v>
      </c>
      <c r="Y29" s="9" t="s">
        <v>3</v>
      </c>
      <c r="Z29" s="9" t="s">
        <v>4</v>
      </c>
      <c r="AA29" s="9" t="s">
        <v>5</v>
      </c>
      <c r="AB29" s="9" t="s">
        <v>6</v>
      </c>
      <c r="AC29" s="9" t="s">
        <v>7</v>
      </c>
      <c r="AD29" s="9" t="s">
        <v>8</v>
      </c>
      <c r="AE29" s="9" t="s">
        <v>9</v>
      </c>
      <c r="AF29" s="9" t="s">
        <v>10</v>
      </c>
      <c r="AG29" s="44" t="s">
        <v>139</v>
      </c>
      <c r="AI29" s="44" t="s">
        <v>138</v>
      </c>
      <c r="AJ29" s="14"/>
    </row>
    <row r="30" spans="1:36" x14ac:dyDescent="0.35">
      <c r="B30" s="13"/>
      <c r="C30" s="338" t="s">
        <v>261</v>
      </c>
      <c r="D30" s="13"/>
      <c r="E30" s="91" t="s">
        <v>235</v>
      </c>
      <c r="F30" s="92">
        <v>119.02709</v>
      </c>
      <c r="G30" s="91">
        <v>122.94565</v>
      </c>
      <c r="H30" s="91">
        <f>G30-F30</f>
        <v>3.9185599999999994</v>
      </c>
      <c r="I30" s="91">
        <f>F31-G30</f>
        <v>9.3306900000000041</v>
      </c>
      <c r="J30" s="91">
        <f>H30/N30</f>
        <v>0.29575711832745238</v>
      </c>
      <c r="K30" s="91">
        <f>I30/N30</f>
        <v>0.70424288167254767</v>
      </c>
      <c r="L30" s="91">
        <f>1/H30</f>
        <v>0.2551957862071782</v>
      </c>
      <c r="M30" s="91">
        <f>1/N30</f>
        <v>7.5475970337943635E-2</v>
      </c>
      <c r="N30" s="91">
        <f>H30+I30</f>
        <v>13.249250000000004</v>
      </c>
      <c r="O30" s="91">
        <v>24</v>
      </c>
      <c r="P30" s="144">
        <f t="shared" ref="P30:P38" si="22">O30/H30</f>
        <v>6.1246988689722768</v>
      </c>
      <c r="Q30" s="85"/>
      <c r="R30" t="s">
        <v>258</v>
      </c>
      <c r="U30" s="85"/>
      <c r="V30" s="91" t="s">
        <v>235</v>
      </c>
      <c r="W30" s="144">
        <v>3.8596499999999998</v>
      </c>
      <c r="X30" s="144">
        <v>8.5682799999999997</v>
      </c>
      <c r="Y30" s="91">
        <f>X30-W30</f>
        <v>4.7086299999999994</v>
      </c>
      <c r="Z30" s="91">
        <f>W31-X30</f>
        <v>11.169980000000001</v>
      </c>
      <c r="AA30" s="91">
        <f>Y30/AE30</f>
        <v>0.29653918069654706</v>
      </c>
      <c r="AB30" s="91">
        <f>Z30/AE30</f>
        <v>0.70346081930345294</v>
      </c>
      <c r="AC30" s="91">
        <f>1/Y30</f>
        <v>0.21237599896360515</v>
      </c>
      <c r="AD30" s="91">
        <f>1/AE30</f>
        <v>6.2977804732278209E-2</v>
      </c>
      <c r="AE30" s="91">
        <f>Y30+Z30</f>
        <v>15.87861</v>
      </c>
      <c r="AF30">
        <v>16</v>
      </c>
      <c r="AG30">
        <f>AF30/Y30</f>
        <v>3.3980159834176824</v>
      </c>
      <c r="AI30" t="s">
        <v>285</v>
      </c>
    </row>
    <row r="31" spans="1:36" s="85" customFormat="1" x14ac:dyDescent="0.35">
      <c r="B31" s="13"/>
      <c r="C31" s="338"/>
      <c r="D31" s="13"/>
      <c r="F31" s="85">
        <v>132.27634</v>
      </c>
      <c r="G31" s="85">
        <v>136.56283999999999</v>
      </c>
      <c r="H31" s="13">
        <f t="shared" ref="H31:H38" si="23">G31-F31</f>
        <v>4.2864999999999895</v>
      </c>
      <c r="I31" s="13">
        <f t="shared" ref="I31:I38" si="24">F32-G31</f>
        <v>7.4896300000000053</v>
      </c>
      <c r="J31" s="13">
        <f t="shared" ref="J31:J38" si="25">H31/N31</f>
        <v>0.36399903873343714</v>
      </c>
      <c r="K31" s="13">
        <f t="shared" ref="K31:K38" si="26">I31/N31</f>
        <v>0.6360009612665628</v>
      </c>
      <c r="L31" s="13">
        <f t="shared" ref="L31:L38" si="27">1/H31</f>
        <v>0.23329056339671117</v>
      </c>
      <c r="M31" s="13">
        <f t="shared" ref="M31:M38" si="28">1/N31</f>
        <v>8.4917540821984855E-2</v>
      </c>
      <c r="N31" s="13">
        <f t="shared" ref="N31:N38" si="29">H31+I31</f>
        <v>11.776129999999995</v>
      </c>
      <c r="O31" s="85">
        <v>24</v>
      </c>
      <c r="P31" s="85">
        <f t="shared" si="22"/>
        <v>5.5989735215210681</v>
      </c>
      <c r="W31">
        <v>19.73826</v>
      </c>
      <c r="X31">
        <v>23.419429999999998</v>
      </c>
      <c r="Y31" s="2">
        <f t="shared" ref="Y31:Y37" si="30">X31-W31</f>
        <v>3.6811699999999981</v>
      </c>
      <c r="Z31" s="2">
        <f t="shared" ref="Z31:Z36" si="31">W32-X31</f>
        <v>10.073440000000005</v>
      </c>
      <c r="AA31" s="2">
        <f t="shared" ref="AA31:AA36" si="32">Y31/AE31</f>
        <v>0.26763172492713333</v>
      </c>
      <c r="AB31" s="2">
        <f t="shared" ref="AB31:AB36" si="33">Z31/AE31</f>
        <v>0.73236827507286673</v>
      </c>
      <c r="AC31" s="2">
        <f t="shared" ref="AC31:AC36" si="34">1/Y31</f>
        <v>0.2716527625727691</v>
      </c>
      <c r="AD31" s="2">
        <f t="shared" ref="AD31:AD36" si="35">1/AE31</f>
        <v>7.2702897428571209E-2</v>
      </c>
      <c r="AE31" s="2">
        <f t="shared" ref="AE31:AE36" si="36">Y31+Z31</f>
        <v>13.754610000000003</v>
      </c>
      <c r="AF31" s="85">
        <v>18</v>
      </c>
      <c r="AG31">
        <f t="shared" ref="AG31:AG36" si="37">AF31/Y31</f>
        <v>4.8897497263098444</v>
      </c>
    </row>
    <row r="32" spans="1:36" s="85" customFormat="1" x14ac:dyDescent="0.35">
      <c r="B32" s="13"/>
      <c r="C32" s="338"/>
      <c r="D32" s="13"/>
      <c r="F32" s="85">
        <v>144.05247</v>
      </c>
      <c r="G32" s="85">
        <v>148.12559999999999</v>
      </c>
      <c r="H32" s="13">
        <f t="shared" si="23"/>
        <v>4.0731299999999919</v>
      </c>
      <c r="I32" s="13">
        <f t="shared" si="24"/>
        <v>9.1789799999999957</v>
      </c>
      <c r="J32" s="13">
        <f t="shared" si="25"/>
        <v>0.30735709256865479</v>
      </c>
      <c r="K32" s="13">
        <f t="shared" si="26"/>
        <v>0.69264290743134527</v>
      </c>
      <c r="L32" s="13">
        <f t="shared" si="27"/>
        <v>0.24551143715030013</v>
      </c>
      <c r="M32" s="13">
        <f t="shared" si="28"/>
        <v>7.5459681514868274E-2</v>
      </c>
      <c r="N32" s="13">
        <f t="shared" si="29"/>
        <v>13.252109999999988</v>
      </c>
      <c r="O32" s="85">
        <v>23</v>
      </c>
      <c r="P32" s="85">
        <f t="shared" si="22"/>
        <v>5.646763054456903</v>
      </c>
      <c r="V32" s="91" t="s">
        <v>235</v>
      </c>
      <c r="W32" s="144">
        <v>33.492870000000003</v>
      </c>
      <c r="X32" s="144">
        <v>36.969760000000001</v>
      </c>
      <c r="Y32" s="91">
        <f t="shared" si="30"/>
        <v>3.4768899999999974</v>
      </c>
      <c r="Z32" s="91">
        <f t="shared" si="31"/>
        <v>10.246809999999996</v>
      </c>
      <c r="AA32" s="91">
        <f t="shared" si="32"/>
        <v>0.25334931541785372</v>
      </c>
      <c r="AB32" s="91">
        <f t="shared" si="33"/>
        <v>0.74665068458214634</v>
      </c>
      <c r="AC32" s="91">
        <f t="shared" si="34"/>
        <v>0.28761335561378149</v>
      </c>
      <c r="AD32" s="91">
        <f t="shared" si="35"/>
        <v>7.2866646749783257E-2</v>
      </c>
      <c r="AE32" s="91">
        <f t="shared" si="36"/>
        <v>13.723699999999994</v>
      </c>
      <c r="AF32" s="85">
        <v>18</v>
      </c>
      <c r="AG32">
        <f t="shared" si="37"/>
        <v>5.1770404010480666</v>
      </c>
    </row>
    <row r="33" spans="2:33" s="85" customFormat="1" x14ac:dyDescent="0.35">
      <c r="B33" s="13"/>
      <c r="C33" s="338"/>
      <c r="D33" s="13"/>
      <c r="F33" s="85">
        <v>157.30457999999999</v>
      </c>
      <c r="G33" s="85">
        <v>161.71544</v>
      </c>
      <c r="H33" s="13">
        <f t="shared" si="23"/>
        <v>4.4108600000000138</v>
      </c>
      <c r="I33" s="13">
        <f t="shared" si="24"/>
        <v>8.8942000000000121</v>
      </c>
      <c r="J33" s="13">
        <f t="shared" si="25"/>
        <v>0.33151748282232513</v>
      </c>
      <c r="K33" s="13">
        <f t="shared" si="26"/>
        <v>0.66848251717767482</v>
      </c>
      <c r="L33" s="13">
        <f t="shared" si="27"/>
        <v>0.22671315797826203</v>
      </c>
      <c r="M33" s="13">
        <f t="shared" si="28"/>
        <v>7.5159375455653571E-2</v>
      </c>
      <c r="N33" s="13">
        <f t="shared" si="29"/>
        <v>13.305060000000026</v>
      </c>
      <c r="O33" s="85">
        <v>25</v>
      </c>
      <c r="P33" s="85">
        <f t="shared" si="22"/>
        <v>5.6678289494565508</v>
      </c>
      <c r="W33">
        <v>47.216569999999997</v>
      </c>
      <c r="X33">
        <v>51.11148</v>
      </c>
      <c r="Y33" s="2">
        <f t="shared" si="30"/>
        <v>3.894910000000003</v>
      </c>
      <c r="Z33" s="2">
        <f t="shared" si="31"/>
        <v>9.7418800000000019</v>
      </c>
      <c r="AA33" s="2">
        <f t="shared" si="32"/>
        <v>0.28561780301669248</v>
      </c>
      <c r="AB33" s="2">
        <f t="shared" si="33"/>
        <v>0.71438219698330752</v>
      </c>
      <c r="AC33" s="2">
        <f t="shared" si="34"/>
        <v>0.2567453419976326</v>
      </c>
      <c r="AD33" s="2">
        <f t="shared" si="35"/>
        <v>7.3331040516133164E-2</v>
      </c>
      <c r="AE33" s="2">
        <f t="shared" si="36"/>
        <v>13.636790000000005</v>
      </c>
      <c r="AF33" s="85">
        <v>20</v>
      </c>
      <c r="AG33">
        <f t="shared" si="37"/>
        <v>5.1349068399526523</v>
      </c>
    </row>
    <row r="34" spans="2:33" s="85" customFormat="1" x14ac:dyDescent="0.35">
      <c r="B34" s="13"/>
      <c r="C34" s="338"/>
      <c r="D34" s="13"/>
      <c r="F34" s="85">
        <v>170.60964000000001</v>
      </c>
      <c r="G34" s="85">
        <v>174.63124999999999</v>
      </c>
      <c r="H34" s="13">
        <f t="shared" si="23"/>
        <v>4.0216099999999813</v>
      </c>
      <c r="I34" s="13">
        <f t="shared" si="24"/>
        <v>9.1020300000000134</v>
      </c>
      <c r="J34" s="13">
        <f t="shared" si="25"/>
        <v>0.30644013398721565</v>
      </c>
      <c r="K34" s="13">
        <f t="shared" si="26"/>
        <v>0.6935598660127843</v>
      </c>
      <c r="L34" s="13">
        <f t="shared" si="27"/>
        <v>0.2486566325426893</v>
      </c>
      <c r="M34" s="13">
        <f t="shared" si="28"/>
        <v>7.6198371793191555E-2</v>
      </c>
      <c r="N34" s="13">
        <f t="shared" si="29"/>
        <v>13.123639999999995</v>
      </c>
      <c r="O34" s="85">
        <v>33</v>
      </c>
      <c r="P34" s="85">
        <f t="shared" si="22"/>
        <v>8.2056688739087473</v>
      </c>
      <c r="W34">
        <v>60.853360000000002</v>
      </c>
      <c r="X34">
        <v>64.267259999999993</v>
      </c>
      <c r="Y34" s="2">
        <f t="shared" si="30"/>
        <v>3.4138999999999911</v>
      </c>
      <c r="Z34" s="2">
        <f t="shared" si="31"/>
        <v>12.531830000000014</v>
      </c>
      <c r="AA34" s="2">
        <f t="shared" si="32"/>
        <v>0.21409493325172257</v>
      </c>
      <c r="AB34" s="2">
        <f t="shared" si="33"/>
        <v>0.78590506674827743</v>
      </c>
      <c r="AC34" s="2">
        <f t="shared" si="34"/>
        <v>0.29292012068309048</v>
      </c>
      <c r="AD34" s="2">
        <f t="shared" si="35"/>
        <v>6.2712713685732779E-2</v>
      </c>
      <c r="AE34" s="2">
        <f t="shared" si="36"/>
        <v>15.945730000000005</v>
      </c>
      <c r="AF34" s="85">
        <v>15</v>
      </c>
      <c r="AG34">
        <f t="shared" si="37"/>
        <v>4.393801810246357</v>
      </c>
    </row>
    <row r="35" spans="2:33" s="85" customFormat="1" x14ac:dyDescent="0.35">
      <c r="B35" s="13"/>
      <c r="C35" s="338"/>
      <c r="D35" s="13"/>
      <c r="E35" s="91" t="s">
        <v>235</v>
      </c>
      <c r="F35" s="144">
        <v>183.73328000000001</v>
      </c>
      <c r="G35" s="144">
        <v>187.70195999999999</v>
      </c>
      <c r="H35" s="91">
        <f t="shared" si="23"/>
        <v>3.9686799999999778</v>
      </c>
      <c r="I35" s="91">
        <f t="shared" si="24"/>
        <v>9.1905000000000143</v>
      </c>
      <c r="J35" s="91">
        <f t="shared" si="25"/>
        <v>0.30159022066724372</v>
      </c>
      <c r="K35" s="91">
        <f t="shared" si="26"/>
        <v>0.69840977933275628</v>
      </c>
      <c r="L35" s="91">
        <f t="shared" si="27"/>
        <v>0.25197294818428434</v>
      </c>
      <c r="M35" s="91">
        <f t="shared" si="28"/>
        <v>7.5992577045074283E-2</v>
      </c>
      <c r="N35" s="91">
        <f t="shared" si="29"/>
        <v>13.159179999999992</v>
      </c>
      <c r="O35" s="144">
        <v>30</v>
      </c>
      <c r="P35" s="144">
        <f t="shared" si="22"/>
        <v>7.5591884455285303</v>
      </c>
      <c r="V35" s="91" t="s">
        <v>235</v>
      </c>
      <c r="W35" s="144">
        <v>76.799090000000007</v>
      </c>
      <c r="X35" s="144">
        <v>79.532240000000002</v>
      </c>
      <c r="Y35" s="91">
        <f t="shared" si="30"/>
        <v>2.7331499999999949</v>
      </c>
      <c r="Z35" s="91">
        <f t="shared" si="31"/>
        <v>14.226370000000003</v>
      </c>
      <c r="AA35" s="91">
        <f t="shared" si="32"/>
        <v>0.16115727331905591</v>
      </c>
      <c r="AB35" s="91">
        <f t="shared" si="33"/>
        <v>0.83884272668094406</v>
      </c>
      <c r="AC35" s="91">
        <f t="shared" si="34"/>
        <v>0.36587819914750447</v>
      </c>
      <c r="AD35" s="91">
        <f t="shared" si="35"/>
        <v>5.8963932941498355E-2</v>
      </c>
      <c r="AE35" s="91">
        <f t="shared" si="36"/>
        <v>16.959519999999998</v>
      </c>
      <c r="AF35" s="85">
        <v>16</v>
      </c>
      <c r="AG35">
        <f t="shared" si="37"/>
        <v>5.8540511863600715</v>
      </c>
    </row>
    <row r="36" spans="2:33" s="85" customFormat="1" x14ac:dyDescent="0.35">
      <c r="B36" s="13"/>
      <c r="C36" s="338"/>
      <c r="D36" s="13"/>
      <c r="F36" s="85">
        <v>196.89246</v>
      </c>
      <c r="G36" s="85">
        <v>201.00238000000002</v>
      </c>
      <c r="H36" s="13">
        <f t="shared" si="23"/>
        <v>4.1099200000000167</v>
      </c>
      <c r="I36" s="13">
        <f t="shared" si="24"/>
        <v>7.7340799999999774</v>
      </c>
      <c r="J36" s="13">
        <f t="shared" si="25"/>
        <v>0.34700439040864733</v>
      </c>
      <c r="K36" s="13">
        <f t="shared" si="26"/>
        <v>0.65299560959135272</v>
      </c>
      <c r="L36" s="13">
        <f t="shared" si="27"/>
        <v>0.2433137384669278</v>
      </c>
      <c r="M36" s="13">
        <f t="shared" si="28"/>
        <v>8.4430935494765325E-2</v>
      </c>
      <c r="N36" s="13">
        <f t="shared" si="29"/>
        <v>11.843999999999994</v>
      </c>
      <c r="O36" s="85">
        <v>32</v>
      </c>
      <c r="P36" s="85">
        <f t="shared" si="22"/>
        <v>7.7860396309416897</v>
      </c>
      <c r="V36" s="91" t="s">
        <v>235</v>
      </c>
      <c r="W36" s="144">
        <v>93.758610000000004</v>
      </c>
      <c r="X36" s="144">
        <v>97.586560000000006</v>
      </c>
      <c r="Y36" s="91">
        <f t="shared" si="30"/>
        <v>3.8279500000000013</v>
      </c>
      <c r="Z36" s="91">
        <f t="shared" si="31"/>
        <v>14.62133</v>
      </c>
      <c r="AA36" s="91">
        <f t="shared" si="32"/>
        <v>0.20748506174766718</v>
      </c>
      <c r="AB36" s="91">
        <f t="shared" si="33"/>
        <v>0.79251493825233288</v>
      </c>
      <c r="AC36" s="91">
        <f t="shared" si="34"/>
        <v>0.26123643203281122</v>
      </c>
      <c r="AD36" s="91">
        <f t="shared" si="35"/>
        <v>5.420265723106809E-2</v>
      </c>
      <c r="AE36" s="91">
        <f t="shared" si="36"/>
        <v>18.449280000000002</v>
      </c>
      <c r="AF36" s="85">
        <v>17</v>
      </c>
      <c r="AG36">
        <f t="shared" si="37"/>
        <v>4.4410193445577901</v>
      </c>
    </row>
    <row r="37" spans="2:33" s="85" customFormat="1" x14ac:dyDescent="0.35">
      <c r="B37" s="13"/>
      <c r="C37" s="338"/>
      <c r="D37" s="13"/>
      <c r="E37" s="91" t="s">
        <v>235</v>
      </c>
      <c r="F37" s="144">
        <v>208.73645999999999</v>
      </c>
      <c r="G37" s="144">
        <v>212.61806000000001</v>
      </c>
      <c r="H37" s="91">
        <f t="shared" si="23"/>
        <v>3.8816000000000201</v>
      </c>
      <c r="I37" s="91">
        <f t="shared" si="24"/>
        <v>9.3366699999999696</v>
      </c>
      <c r="J37" s="91">
        <f t="shared" si="25"/>
        <v>0.29365416200456057</v>
      </c>
      <c r="K37" s="91">
        <f t="shared" si="26"/>
        <v>0.70634583799543937</v>
      </c>
      <c r="L37" s="91">
        <f t="shared" si="27"/>
        <v>0.25762572135201844</v>
      </c>
      <c r="M37" s="91">
        <f t="shared" si="28"/>
        <v>7.5652865314447412E-2</v>
      </c>
      <c r="N37" s="91">
        <f t="shared" si="29"/>
        <v>13.21826999999999</v>
      </c>
      <c r="O37" s="144">
        <v>26</v>
      </c>
      <c r="P37" s="144">
        <f t="shared" si="22"/>
        <v>6.6982687551524798</v>
      </c>
      <c r="W37">
        <v>112.20789000000001</v>
      </c>
      <c r="X37">
        <v>116.03857000000001</v>
      </c>
      <c r="Y37" s="2">
        <f t="shared" si="30"/>
        <v>3.830680000000001</v>
      </c>
      <c r="Z37" s="2"/>
      <c r="AA37" s="2"/>
      <c r="AB37" s="2"/>
      <c r="AC37" s="2"/>
      <c r="AD37" s="2"/>
      <c r="AE37" s="2"/>
    </row>
    <row r="38" spans="2:33" s="85" customFormat="1" x14ac:dyDescent="0.35">
      <c r="B38" s="13"/>
      <c r="C38" s="338"/>
      <c r="D38" s="13"/>
      <c r="F38" s="85">
        <v>221.95472999999998</v>
      </c>
      <c r="G38" s="85">
        <v>226.00817000000001</v>
      </c>
      <c r="H38" s="13">
        <f t="shared" si="23"/>
        <v>4.0534400000000232</v>
      </c>
      <c r="I38" s="13">
        <f t="shared" si="24"/>
        <v>9.1902900000000045</v>
      </c>
      <c r="J38" s="13">
        <f t="shared" si="25"/>
        <v>0.30606483218851599</v>
      </c>
      <c r="K38" s="13">
        <f t="shared" si="26"/>
        <v>0.69393516781148401</v>
      </c>
      <c r="L38" s="13">
        <f t="shared" si="27"/>
        <v>0.24670403410436426</v>
      </c>
      <c r="M38" s="13">
        <f t="shared" si="28"/>
        <v>7.5507428798382167E-2</v>
      </c>
      <c r="N38" s="13">
        <f t="shared" si="29"/>
        <v>13.243730000000028</v>
      </c>
      <c r="O38" s="85">
        <v>28</v>
      </c>
      <c r="P38" s="85">
        <f t="shared" si="22"/>
        <v>6.9077129549221992</v>
      </c>
      <c r="W38"/>
      <c r="X38"/>
    </row>
    <row r="39" spans="2:33" s="85" customFormat="1" x14ac:dyDescent="0.35">
      <c r="F39" s="85">
        <v>235.19846000000001</v>
      </c>
      <c r="G39" s="85">
        <v>238.91399000000001</v>
      </c>
      <c r="H39" s="13"/>
      <c r="I39" s="13"/>
      <c r="J39" s="13"/>
      <c r="K39" s="13"/>
      <c r="L39" s="13"/>
      <c r="M39" s="13"/>
      <c r="N39" s="13"/>
      <c r="O39" s="85">
        <v>28</v>
      </c>
      <c r="U39"/>
    </row>
    <row r="40" spans="2:33" s="85" customFormat="1" ht="16" thickBot="1" x14ac:dyDescent="0.4">
      <c r="H40" s="13"/>
      <c r="I40" s="13"/>
      <c r="J40" s="13"/>
      <c r="K40" s="13"/>
      <c r="L40" s="13"/>
      <c r="M40" s="13"/>
      <c r="N40" s="13"/>
      <c r="U40"/>
      <c r="X40" s="13"/>
      <c r="Y40" s="9" t="s">
        <v>3</v>
      </c>
      <c r="Z40" s="9" t="s">
        <v>4</v>
      </c>
      <c r="AA40" s="9" t="s">
        <v>5</v>
      </c>
      <c r="AB40" s="9" t="s">
        <v>6</v>
      </c>
      <c r="AC40" s="9" t="s">
        <v>7</v>
      </c>
      <c r="AD40" s="9" t="s">
        <v>8</v>
      </c>
      <c r="AE40" s="9" t="s">
        <v>9</v>
      </c>
      <c r="AF40" s="9" t="s">
        <v>10</v>
      </c>
      <c r="AG40" s="44" t="s">
        <v>139</v>
      </c>
    </row>
    <row r="41" spans="2:33" s="85" customFormat="1" x14ac:dyDescent="0.35">
      <c r="H41" s="13"/>
      <c r="I41" s="13"/>
      <c r="J41" s="13"/>
      <c r="K41" s="13"/>
      <c r="L41" s="13"/>
      <c r="M41" s="13"/>
      <c r="N41" s="13"/>
      <c r="V41" s="137" t="s">
        <v>125</v>
      </c>
      <c r="X41" s="49" t="s">
        <v>77</v>
      </c>
      <c r="Y41" s="13">
        <f>AVERAGE(Y30,Y32,Y35,Y36)</f>
        <v>3.6866549999999982</v>
      </c>
      <c r="Z41" s="13">
        <f t="shared" ref="Z41:AG41" si="38">AVERAGE(Z30,Z32,Z35,Z36)</f>
        <v>12.566122500000001</v>
      </c>
      <c r="AA41" s="13">
        <f t="shared" si="38"/>
        <v>0.229632707795281</v>
      </c>
      <c r="AB41" s="13">
        <f t="shared" si="38"/>
        <v>0.770367292204719</v>
      </c>
      <c r="AC41" s="13">
        <f t="shared" si="38"/>
        <v>0.28177599643942558</v>
      </c>
      <c r="AD41" s="13">
        <f t="shared" si="38"/>
        <v>6.2252760413656981E-2</v>
      </c>
      <c r="AE41" s="13">
        <f t="shared" si="38"/>
        <v>16.252777500000001</v>
      </c>
      <c r="AF41" s="13">
        <f t="shared" si="38"/>
        <v>16.75</v>
      </c>
      <c r="AG41" s="13">
        <f t="shared" si="38"/>
        <v>4.7175317288459029</v>
      </c>
    </row>
    <row r="42" spans="2:33" s="85" customFormat="1" ht="16" thickBot="1" x14ac:dyDescent="0.4">
      <c r="E42"/>
      <c r="F42"/>
      <c r="G42"/>
      <c r="H42" s="9" t="s">
        <v>3</v>
      </c>
      <c r="I42" s="9" t="s">
        <v>4</v>
      </c>
      <c r="J42" s="9" t="s">
        <v>5</v>
      </c>
      <c r="K42" s="9" t="s">
        <v>6</v>
      </c>
      <c r="L42" s="9" t="s">
        <v>7</v>
      </c>
      <c r="M42" s="9" t="s">
        <v>8</v>
      </c>
      <c r="N42" s="9" t="s">
        <v>9</v>
      </c>
      <c r="O42" s="9" t="s">
        <v>10</v>
      </c>
      <c r="P42" s="44" t="s">
        <v>139</v>
      </c>
      <c r="Q42"/>
      <c r="V42" s="137"/>
      <c r="X42" s="49" t="s">
        <v>94</v>
      </c>
      <c r="Y42" s="2">
        <f>_xlfn.STDEV.S(Y30,Y32,Y35,Y36)</f>
        <v>0.82007526441175094</v>
      </c>
      <c r="Z42" s="2">
        <f t="shared" ref="Z42:AG42" si="39">_xlfn.STDEV.S(Z30,Z32,Z35,Z36)</f>
        <v>2.1839355898831716</v>
      </c>
      <c r="AA42" s="2">
        <f t="shared" si="39"/>
        <v>5.8361965198146661E-2</v>
      </c>
      <c r="AB42" s="2">
        <f t="shared" si="39"/>
        <v>5.8361965198146813E-2</v>
      </c>
      <c r="AC42" s="2">
        <f t="shared" si="39"/>
        <v>6.4149535249391085E-2</v>
      </c>
      <c r="AD42" s="2">
        <f t="shared" si="39"/>
        <v>7.9330704398764343E-3</v>
      </c>
      <c r="AE42" s="2">
        <f t="shared" si="39"/>
        <v>1.9883278161036828</v>
      </c>
      <c r="AF42" s="2">
        <f t="shared" si="39"/>
        <v>0.9574271077563381</v>
      </c>
      <c r="AG42" s="2">
        <f t="shared" si="39"/>
        <v>1.0520465132675114</v>
      </c>
    </row>
    <row r="43" spans="2:33" s="85" customFormat="1" x14ac:dyDescent="0.35">
      <c r="E43" s="104" t="s">
        <v>192</v>
      </c>
      <c r="F43"/>
      <c r="G43" s="49" t="s">
        <v>77</v>
      </c>
      <c r="H43" s="13">
        <f>AVERAGE(H30,H35,H37)</f>
        <v>3.9229466666666659</v>
      </c>
      <c r="I43" s="13">
        <f t="shared" ref="I43:P43" si="40">AVERAGE(I30,I35,I37)</f>
        <v>9.28595333333333</v>
      </c>
      <c r="J43" s="13">
        <f t="shared" si="40"/>
        <v>0.29700050033308556</v>
      </c>
      <c r="K43" s="13">
        <f t="shared" si="40"/>
        <v>0.70299949966691455</v>
      </c>
      <c r="L43" s="13">
        <f t="shared" si="40"/>
        <v>0.25493148524782699</v>
      </c>
      <c r="M43" s="13">
        <f t="shared" si="40"/>
        <v>7.5707137565821772E-2</v>
      </c>
      <c r="N43" s="13">
        <f t="shared" si="40"/>
        <v>13.208899999999995</v>
      </c>
      <c r="O43" s="13">
        <f t="shared" si="40"/>
        <v>26.666666666666668</v>
      </c>
      <c r="P43" s="13">
        <f t="shared" si="40"/>
        <v>6.7940520232177626</v>
      </c>
      <c r="Q43"/>
      <c r="V43" s="137"/>
      <c r="X43" s="49" t="s">
        <v>95</v>
      </c>
      <c r="Y43" s="2">
        <f>Y42/(SQRT(COUNT(Y30,Y32,Y35,Y36)))</f>
        <v>0.41003763220587547</v>
      </c>
      <c r="Z43" s="2">
        <f t="shared" ref="Z43:AG43" si="41">Z42/(SQRT(COUNT(Z30,Z32,Z35,Z36)))</f>
        <v>1.0919677949415858</v>
      </c>
      <c r="AA43" s="2">
        <f t="shared" si="41"/>
        <v>2.918098259907333E-2</v>
      </c>
      <c r="AB43" s="2">
        <f t="shared" si="41"/>
        <v>2.9180982599073407E-2</v>
      </c>
      <c r="AC43" s="2">
        <f t="shared" si="41"/>
        <v>3.2074767624695542E-2</v>
      </c>
      <c r="AD43" s="2">
        <f t="shared" si="41"/>
        <v>3.9665352199382171E-3</v>
      </c>
      <c r="AE43" s="2">
        <f t="shared" si="41"/>
        <v>0.99416390805184141</v>
      </c>
      <c r="AF43" s="2">
        <f t="shared" si="41"/>
        <v>0.47871355387816905</v>
      </c>
      <c r="AG43" s="2">
        <f t="shared" si="41"/>
        <v>0.52602325663375571</v>
      </c>
    </row>
    <row r="44" spans="2:33" s="85" customFormat="1" x14ac:dyDescent="0.35">
      <c r="E44" s="104"/>
      <c r="F44"/>
      <c r="G44" s="49" t="s">
        <v>94</v>
      </c>
      <c r="H44" s="13">
        <f>_xlfn.STDEV.S(H30,H35,H37)</f>
        <v>4.3705419953725268E-2</v>
      </c>
      <c r="I44" s="13">
        <f t="shared" ref="I44:P44" si="42">_xlfn.STDEV.S(I30,I35,I37)</f>
        <v>8.2719068136256291E-2</v>
      </c>
      <c r="J44" s="13">
        <f t="shared" si="42"/>
        <v>4.1115393568998421E-3</v>
      </c>
      <c r="K44" s="13">
        <f t="shared" si="42"/>
        <v>4.1115393568998274E-3</v>
      </c>
      <c r="L44" s="13">
        <f t="shared" si="42"/>
        <v>2.8356396755051831E-3</v>
      </c>
      <c r="M44" s="13">
        <f t="shared" si="42"/>
        <v>2.6254472079061992E-4</v>
      </c>
      <c r="N44" s="13">
        <f t="shared" si="42"/>
        <v>4.5760232735426933E-2</v>
      </c>
      <c r="O44" s="13">
        <f t="shared" si="42"/>
        <v>3.0550504633038935</v>
      </c>
      <c r="P44" s="13">
        <f t="shared" si="42"/>
        <v>0.72202556197345558</v>
      </c>
      <c r="Q44"/>
      <c r="V44" s="137"/>
    </row>
    <row r="45" spans="2:33" s="85" customFormat="1" x14ac:dyDescent="0.35">
      <c r="E45" s="104"/>
      <c r="F45"/>
      <c r="G45" s="49" t="s">
        <v>95</v>
      </c>
      <c r="H45" s="13">
        <f>H44/SQRT(3)</f>
        <v>2.5233335975328924E-2</v>
      </c>
      <c r="I45" s="13">
        <f t="shared" ref="I45:P45" si="43">I44/SQRT(3)</f>
        <v>4.7757876255582567E-2</v>
      </c>
      <c r="J45" s="13">
        <f t="shared" si="43"/>
        <v>2.3737983544898649E-3</v>
      </c>
      <c r="K45" s="13">
        <f t="shared" si="43"/>
        <v>2.3737983544898562E-3</v>
      </c>
      <c r="L45" s="13">
        <f t="shared" si="43"/>
        <v>1.6371573299777005E-3</v>
      </c>
      <c r="M45" s="13">
        <f t="shared" si="43"/>
        <v>1.5158026522277957E-4</v>
      </c>
      <c r="N45" s="13">
        <f t="shared" si="43"/>
        <v>2.6419682687978667E-2</v>
      </c>
      <c r="O45" s="13">
        <f t="shared" si="43"/>
        <v>1.763834207376394</v>
      </c>
      <c r="P45" s="13">
        <f t="shared" si="43"/>
        <v>0.4168616525671654</v>
      </c>
      <c r="Q45"/>
      <c r="V45" s="137"/>
    </row>
    <row r="46" spans="2:33" s="85" customFormat="1" ht="16" thickBot="1" x14ac:dyDescent="0.4">
      <c r="E46" s="104"/>
      <c r="F46"/>
      <c r="G46"/>
      <c r="H46"/>
      <c r="I46"/>
      <c r="J46"/>
      <c r="K46"/>
      <c r="L46"/>
      <c r="M46"/>
      <c r="N46"/>
      <c r="O46"/>
      <c r="P46"/>
      <c r="Q46"/>
      <c r="V46" s="137"/>
      <c r="X46" s="13"/>
      <c r="Y46" s="9" t="s">
        <v>3</v>
      </c>
      <c r="Z46" s="9" t="s">
        <v>4</v>
      </c>
      <c r="AA46" s="9" t="s">
        <v>5</v>
      </c>
      <c r="AB46" s="9" t="s">
        <v>6</v>
      </c>
      <c r="AC46" s="9" t="s">
        <v>7</v>
      </c>
      <c r="AD46" s="9" t="s">
        <v>8</v>
      </c>
      <c r="AE46" s="9" t="s">
        <v>9</v>
      </c>
      <c r="AF46" s="9" t="s">
        <v>10</v>
      </c>
      <c r="AG46" s="44" t="s">
        <v>139</v>
      </c>
    </row>
    <row r="47" spans="2:33" s="85" customFormat="1" x14ac:dyDescent="0.35">
      <c r="E47" s="104"/>
      <c r="F47"/>
      <c r="G47"/>
      <c r="H47"/>
      <c r="I47"/>
      <c r="J47"/>
      <c r="K47"/>
      <c r="L47"/>
      <c r="M47"/>
      <c r="N47"/>
      <c r="O47"/>
      <c r="P47"/>
      <c r="Q47"/>
      <c r="V47" s="137" t="s">
        <v>78</v>
      </c>
      <c r="X47" s="49" t="s">
        <v>77</v>
      </c>
      <c r="Y47" s="13">
        <f>AVERAGE(Y31,Y33:Y34)</f>
        <v>3.6633266666666642</v>
      </c>
      <c r="Z47" s="13">
        <f t="shared" ref="Z47:AG47" si="44">AVERAGE(Z31,Z33:Z34)</f>
        <v>10.782383333333341</v>
      </c>
      <c r="AA47" s="13">
        <f t="shared" si="44"/>
        <v>0.25578148706518283</v>
      </c>
      <c r="AB47" s="13">
        <f t="shared" si="44"/>
        <v>0.74421851293481733</v>
      </c>
      <c r="AC47" s="13">
        <f t="shared" si="44"/>
        <v>0.27377274175116406</v>
      </c>
      <c r="AD47" s="13">
        <f t="shared" si="44"/>
        <v>6.9582217210145722E-2</v>
      </c>
      <c r="AE47" s="13">
        <f t="shared" si="44"/>
        <v>14.445710000000005</v>
      </c>
      <c r="AF47" s="13">
        <f t="shared" si="44"/>
        <v>17.666666666666668</v>
      </c>
      <c r="AG47" s="13">
        <f t="shared" si="44"/>
        <v>4.8061527921696179</v>
      </c>
    </row>
    <row r="48" spans="2:33" s="85" customFormat="1" x14ac:dyDescent="0.35">
      <c r="E48" s="104" t="s">
        <v>259</v>
      </c>
      <c r="F48"/>
      <c r="G48" s="49" t="s">
        <v>77</v>
      </c>
      <c r="H48">
        <f>AVERAGE(H31:H34,H36,H38)</f>
        <v>4.1592433333333361</v>
      </c>
      <c r="I48">
        <f t="shared" ref="I48:P48" si="45">AVERAGE(I31:I34,I36,I38)</f>
        <v>8.5982016666666681</v>
      </c>
      <c r="J48">
        <f t="shared" si="45"/>
        <v>0.32706382845146598</v>
      </c>
      <c r="K48">
        <f t="shared" si="45"/>
        <v>0.67293617154853391</v>
      </c>
      <c r="L48">
        <f t="shared" si="45"/>
        <v>0.24069826060654242</v>
      </c>
      <c r="M48">
        <f t="shared" si="45"/>
        <v>7.8612222313140953E-2</v>
      </c>
      <c r="N48">
        <f t="shared" si="45"/>
        <v>12.757445000000004</v>
      </c>
      <c r="O48">
        <f t="shared" si="45"/>
        <v>27.5</v>
      </c>
      <c r="P48">
        <f t="shared" si="45"/>
        <v>6.6354978308678589</v>
      </c>
      <c r="Q48"/>
      <c r="V48" s="137"/>
      <c r="X48" s="49" t="s">
        <v>94</v>
      </c>
      <c r="Y48" s="2">
        <f>_xlfn.STDEV.S(Y31,Y33:Y34)</f>
        <v>0.24100091998441878</v>
      </c>
      <c r="Z48" s="2">
        <f t="shared" ref="Z48:AG48" si="46">_xlfn.STDEV.S(Z31,Z33:Z34)</f>
        <v>1.5241081779300871</v>
      </c>
      <c r="AA48" s="2">
        <f t="shared" si="46"/>
        <v>3.7204856240722284E-2</v>
      </c>
      <c r="AB48" s="2">
        <f t="shared" si="46"/>
        <v>3.7204856240722332E-2</v>
      </c>
      <c r="AC48" s="2">
        <f t="shared" si="46"/>
        <v>1.8180329673113341E-2</v>
      </c>
      <c r="AD48" s="2">
        <f t="shared" si="46"/>
        <v>5.9574491133835379E-3</v>
      </c>
      <c r="AE48" s="2">
        <f t="shared" si="46"/>
        <v>1.3003904753573061</v>
      </c>
      <c r="AF48" s="2">
        <f t="shared" si="46"/>
        <v>2.5166114784235796</v>
      </c>
      <c r="AG48" s="2">
        <f t="shared" si="46"/>
        <v>0.37755860712242578</v>
      </c>
    </row>
    <row r="49" spans="1:35" s="85" customFormat="1" x14ac:dyDescent="0.35">
      <c r="E49" s="104"/>
      <c r="F49"/>
      <c r="G49" s="49" t="s">
        <v>94</v>
      </c>
      <c r="H49" s="13">
        <f>_xlfn.STDEV.S(H31:H34,H36,H38)</f>
        <v>0.15459028645638612</v>
      </c>
      <c r="I49" s="13">
        <f t="shared" ref="I49:P49" si="47">_xlfn.STDEV.S(I31:I34,I36,I38)</f>
        <v>0.77523770092577171</v>
      </c>
      <c r="J49" s="13">
        <f t="shared" si="47"/>
        <v>2.4642730626120577E-2</v>
      </c>
      <c r="K49" s="13">
        <f t="shared" si="47"/>
        <v>2.4642730626120584E-2</v>
      </c>
      <c r="L49" s="13">
        <f t="shared" si="47"/>
        <v>8.7163004254880039E-3</v>
      </c>
      <c r="M49" s="13">
        <f t="shared" si="47"/>
        <v>4.7104468279763256E-3</v>
      </c>
      <c r="N49" s="13">
        <f t="shared" si="47"/>
        <v>0.73654713724921361</v>
      </c>
      <c r="O49" s="13">
        <f t="shared" si="47"/>
        <v>4.2308391602612359</v>
      </c>
      <c r="P49" s="13">
        <f t="shared" si="47"/>
        <v>1.1706106763470319</v>
      </c>
      <c r="Q49"/>
      <c r="V49" s="137"/>
      <c r="X49" s="49" t="s">
        <v>95</v>
      </c>
      <c r="Y49" s="2">
        <f>Y48/(SQRT(3))</f>
        <v>0.13914194602795166</v>
      </c>
      <c r="Z49" s="2">
        <f t="shared" ref="Z49:AG49" si="48">Z48/(SQRT(3))</f>
        <v>0.87994426680204585</v>
      </c>
      <c r="AA49" s="2">
        <f t="shared" si="48"/>
        <v>2.1480233765742339E-2</v>
      </c>
      <c r="AB49" s="2">
        <f t="shared" si="48"/>
        <v>2.1480233765742367E-2</v>
      </c>
      <c r="AC49" s="2">
        <f t="shared" si="48"/>
        <v>1.049641823072813E-2</v>
      </c>
      <c r="AD49" s="2">
        <f t="shared" si="48"/>
        <v>3.4395348492954831E-3</v>
      </c>
      <c r="AE49" s="2">
        <f t="shared" si="48"/>
        <v>0.75078079099916617</v>
      </c>
      <c r="AF49" s="2">
        <f t="shared" si="48"/>
        <v>1.4529663145135558</v>
      </c>
      <c r="AG49" s="2">
        <f t="shared" si="48"/>
        <v>0.21798356345699268</v>
      </c>
    </row>
    <row r="50" spans="1:35" s="85" customFormat="1" x14ac:dyDescent="0.35">
      <c r="E50"/>
      <c r="F50"/>
      <c r="G50" s="49" t="s">
        <v>95</v>
      </c>
      <c r="H50" s="13">
        <f>H49/SQRT(6)</f>
        <v>6.3111220168138513E-2</v>
      </c>
      <c r="I50" s="13">
        <f t="shared" ref="I50:P50" si="49">I49/SQRT(6)</f>
        <v>0.31648946610608186</v>
      </c>
      <c r="J50" s="13">
        <f t="shared" si="49"/>
        <v>1.0060352650475207E-2</v>
      </c>
      <c r="K50" s="13">
        <f t="shared" si="49"/>
        <v>1.006035265047521E-2</v>
      </c>
      <c r="L50" s="13">
        <f t="shared" si="49"/>
        <v>3.5584147478749197E-3</v>
      </c>
      <c r="M50" s="13">
        <f t="shared" si="49"/>
        <v>1.9230318648422613E-3</v>
      </c>
      <c r="N50" s="13">
        <f t="shared" si="49"/>
        <v>0.30069410962804377</v>
      </c>
      <c r="O50" s="13">
        <f t="shared" si="49"/>
        <v>1.7272328544042155</v>
      </c>
      <c r="P50" s="13">
        <f t="shared" si="49"/>
        <v>0.47789980741742227</v>
      </c>
      <c r="Q50"/>
    </row>
    <row r="51" spans="1:35" s="85" customFormat="1" x14ac:dyDescent="0.35">
      <c r="E51"/>
      <c r="F51"/>
      <c r="G51"/>
      <c r="H51"/>
      <c r="I51"/>
      <c r="J51"/>
      <c r="K51"/>
      <c r="L51"/>
      <c r="M51"/>
      <c r="N51"/>
      <c r="O51"/>
      <c r="P51"/>
      <c r="Q51"/>
    </row>
    <row r="52" spans="1:35" s="85" customFormat="1" x14ac:dyDescent="0.35">
      <c r="E52" s="104"/>
      <c r="F52" s="104"/>
      <c r="G52" s="49"/>
      <c r="H52"/>
      <c r="I52"/>
      <c r="J52"/>
      <c r="K52"/>
      <c r="L52"/>
      <c r="M52"/>
      <c r="N52"/>
      <c r="O52"/>
      <c r="P52"/>
      <c r="Q52"/>
    </row>
    <row r="53" spans="1:35" s="85" customFormat="1" x14ac:dyDescent="0.35">
      <c r="A53"/>
      <c r="B53"/>
      <c r="C53"/>
      <c r="D53"/>
      <c r="E53" s="104"/>
      <c r="F53" s="104"/>
      <c r="G53" s="104"/>
      <c r="H53"/>
      <c r="I53"/>
      <c r="J53"/>
      <c r="K53"/>
      <c r="L53"/>
      <c r="M53"/>
      <c r="N53"/>
      <c r="O53"/>
      <c r="P53"/>
      <c r="Q53"/>
      <c r="R53"/>
      <c r="S53"/>
      <c r="T53"/>
      <c r="U53"/>
      <c r="V53"/>
    </row>
    <row r="54" spans="1:35" s="85" customFormat="1" x14ac:dyDescent="0.35">
      <c r="A54"/>
      <c r="B54"/>
      <c r="C54"/>
      <c r="D54"/>
      <c r="E54"/>
      <c r="F54"/>
      <c r="G54"/>
      <c r="H54"/>
      <c r="I54"/>
      <c r="J54"/>
      <c r="K54"/>
      <c r="L54"/>
      <c r="M54"/>
      <c r="N54"/>
      <c r="O54"/>
      <c r="P54"/>
      <c r="Q54"/>
      <c r="R54"/>
      <c r="S54"/>
      <c r="T54"/>
      <c r="U54"/>
      <c r="V54"/>
    </row>
    <row r="55" spans="1:35" s="85" customFormat="1" x14ac:dyDescent="0.35">
      <c r="A55"/>
      <c r="B55" s="2"/>
      <c r="C55" s="2"/>
      <c r="D55" s="2"/>
      <c r="E55"/>
      <c r="F55"/>
      <c r="G55"/>
      <c r="H55"/>
      <c r="I55"/>
      <c r="J55"/>
      <c r="K55"/>
      <c r="L55"/>
      <c r="M55"/>
      <c r="N55"/>
      <c r="O55"/>
      <c r="P55"/>
      <c r="Q55"/>
      <c r="R55"/>
      <c r="S55"/>
      <c r="T55"/>
      <c r="U55"/>
      <c r="V55"/>
    </row>
    <row r="56" spans="1:35" s="85" customFormat="1" ht="18.5" x14ac:dyDescent="0.45">
      <c r="A56"/>
      <c r="B56" s="2"/>
      <c r="C56" s="2"/>
      <c r="D56" s="2"/>
      <c r="E56" s="2"/>
      <c r="F56" s="1" t="s">
        <v>15</v>
      </c>
      <c r="G56" s="2"/>
      <c r="H56" s="2"/>
      <c r="I56" s="2"/>
      <c r="J56" s="2"/>
      <c r="K56" s="2"/>
      <c r="L56" s="2"/>
      <c r="M56" s="2"/>
      <c r="N56" s="2"/>
      <c r="O56" s="2"/>
      <c r="P56"/>
      <c r="Q56"/>
      <c r="R56"/>
      <c r="S56"/>
      <c r="T56"/>
      <c r="U56"/>
      <c r="V56"/>
      <c r="W56" s="1" t="s">
        <v>286</v>
      </c>
      <c r="X56" s="3"/>
      <c r="Y56" s="3"/>
      <c r="Z56" s="3"/>
      <c r="AA56" s="3"/>
      <c r="AB56" s="3"/>
      <c r="AC56" s="3"/>
      <c r="AD56" s="3"/>
      <c r="AE56" s="3"/>
      <c r="AF56" s="3"/>
      <c r="AG56"/>
    </row>
    <row r="57" spans="1:35" s="85" customFormat="1" ht="16" thickBot="1" x14ac:dyDescent="0.4">
      <c r="A57"/>
      <c r="B57" s="5"/>
      <c r="C57" s="5"/>
      <c r="D57" s="5"/>
      <c r="E57" s="5"/>
      <c r="F57" s="9" t="s">
        <v>1</v>
      </c>
      <c r="G57" s="9" t="s">
        <v>2</v>
      </c>
      <c r="H57" s="9" t="s">
        <v>3</v>
      </c>
      <c r="I57" s="9" t="s">
        <v>4</v>
      </c>
      <c r="J57" s="9" t="s">
        <v>5</v>
      </c>
      <c r="K57" s="9" t="s">
        <v>6</v>
      </c>
      <c r="L57" s="9" t="s">
        <v>7</v>
      </c>
      <c r="M57" s="9" t="s">
        <v>8</v>
      </c>
      <c r="N57" s="9" t="s">
        <v>9</v>
      </c>
      <c r="O57" s="9" t="s">
        <v>10</v>
      </c>
      <c r="P57" s="44" t="s">
        <v>139</v>
      </c>
      <c r="Q57"/>
      <c r="R57" s="44" t="s">
        <v>134</v>
      </c>
      <c r="S57"/>
      <c r="T57"/>
      <c r="U57"/>
      <c r="V57"/>
      <c r="W57" s="9" t="s">
        <v>1</v>
      </c>
      <c r="X57" s="9" t="s">
        <v>2</v>
      </c>
      <c r="Y57" s="9" t="s">
        <v>3</v>
      </c>
      <c r="Z57" s="9" t="s">
        <v>4</v>
      </c>
      <c r="AA57" s="9" t="s">
        <v>5</v>
      </c>
      <c r="AB57" s="9" t="s">
        <v>6</v>
      </c>
      <c r="AC57" s="9" t="s">
        <v>7</v>
      </c>
      <c r="AD57" s="9" t="s">
        <v>8</v>
      </c>
      <c r="AE57" s="9" t="s">
        <v>9</v>
      </c>
      <c r="AF57" s="9" t="s">
        <v>10</v>
      </c>
      <c r="AG57" s="44" t="s">
        <v>139</v>
      </c>
      <c r="AI57" s="44" t="s">
        <v>138</v>
      </c>
    </row>
    <row r="58" spans="1:35" s="85" customFormat="1" x14ac:dyDescent="0.35">
      <c r="A58"/>
      <c r="B58" s="2"/>
      <c r="C58" s="338" t="s">
        <v>261</v>
      </c>
      <c r="D58" s="2"/>
      <c r="E58" s="91" t="s">
        <v>235</v>
      </c>
      <c r="F58" s="144">
        <v>4.8168300000000004</v>
      </c>
      <c r="G58" s="144">
        <v>8.6715199999999992</v>
      </c>
      <c r="H58" s="91">
        <f>G58-F58</f>
        <v>3.8546899999999988</v>
      </c>
      <c r="I58" s="91">
        <f>F59-G58</f>
        <v>10.725250000000001</v>
      </c>
      <c r="J58" s="91">
        <f>H58/N58</f>
        <v>0.26438311817469745</v>
      </c>
      <c r="K58" s="91">
        <f>I58/N58</f>
        <v>0.73561688182530249</v>
      </c>
      <c r="L58" s="91">
        <f>1/H58</f>
        <v>0.25942423385538144</v>
      </c>
      <c r="M58" s="91">
        <f>1/N58</f>
        <v>6.8587387876767672E-2</v>
      </c>
      <c r="N58" s="91">
        <f>H58+I58</f>
        <v>14.579940000000001</v>
      </c>
      <c r="O58" s="144">
        <v>43</v>
      </c>
      <c r="P58" s="144">
        <f>O58/H58</f>
        <v>11.155242055781402</v>
      </c>
      <c r="R58" t="s">
        <v>260</v>
      </c>
      <c r="S58"/>
      <c r="T58"/>
      <c r="U58"/>
      <c r="V58"/>
      <c r="W58" s="85">
        <v>10.686669999999999</v>
      </c>
      <c r="X58" s="85">
        <v>15.8034</v>
      </c>
      <c r="Y58" s="2">
        <f>X58-W58</f>
        <v>5.1167300000000004</v>
      </c>
      <c r="Z58" s="2">
        <f>W59-X58</f>
        <v>6.7246799999999993</v>
      </c>
      <c r="AA58" s="2">
        <f>Y58/AE58</f>
        <v>0.43210479157465204</v>
      </c>
      <c r="AB58" s="2">
        <f>Z58/AE58</f>
        <v>0.56789520842534791</v>
      </c>
      <c r="AC58" s="2">
        <f>1/Y58</f>
        <v>0.19543732031981362</v>
      </c>
      <c r="AD58" s="2">
        <f>1/AE58</f>
        <v>8.4449402562701573E-2</v>
      </c>
      <c r="AE58" s="2">
        <f>Y58+Z58</f>
        <v>11.84141</v>
      </c>
      <c r="AI58" t="s">
        <v>287</v>
      </c>
    </row>
    <row r="59" spans="1:35" s="85" customFormat="1" x14ac:dyDescent="0.35">
      <c r="A59"/>
      <c r="B59"/>
      <c r="C59" s="338"/>
      <c r="D59"/>
      <c r="F59" s="85">
        <v>19.39677</v>
      </c>
      <c r="G59" s="85">
        <v>23.440090000000001</v>
      </c>
      <c r="H59" s="13">
        <f t="shared" ref="H59:H68" si="50">G59-F59</f>
        <v>4.0433200000000014</v>
      </c>
      <c r="I59" s="13">
        <f t="shared" ref="I59:I67" si="51">F60-G59</f>
        <v>7.2811799999999991</v>
      </c>
      <c r="J59" s="13">
        <f t="shared" ref="J59:J67" si="52">H59/N59</f>
        <v>0.35704181200052992</v>
      </c>
      <c r="K59" s="13">
        <f t="shared" ref="K59:K67" si="53">I59/N59</f>
        <v>0.64295818799947002</v>
      </c>
      <c r="L59" s="13">
        <f t="shared" ref="L59:L67" si="54">1/H59</f>
        <v>0.24732150806762751</v>
      </c>
      <c r="M59" s="13">
        <f t="shared" ref="M59:M67" si="55">1/N59</f>
        <v>8.8304119387169408E-2</v>
      </c>
      <c r="N59" s="13">
        <f t="shared" ref="N59:N67" si="56">H59+I59</f>
        <v>11.3245</v>
      </c>
      <c r="O59" s="85">
        <v>29</v>
      </c>
      <c r="P59" s="85">
        <f t="shared" ref="P59:P67" si="57">O59/H59</f>
        <v>7.172323733961198</v>
      </c>
      <c r="R59"/>
      <c r="S59"/>
      <c r="T59"/>
      <c r="U59"/>
      <c r="V59"/>
      <c r="W59" s="85">
        <v>22.528079999999999</v>
      </c>
      <c r="X59" s="85">
        <v>27.285869999999999</v>
      </c>
      <c r="Y59" s="2">
        <f t="shared" ref="Y59:Y66" si="58">X59-W59</f>
        <v>4.75779</v>
      </c>
      <c r="Z59" s="2">
        <f t="shared" ref="Z59:Z65" si="59">W60-X59</f>
        <v>7.0428800000000003</v>
      </c>
      <c r="AA59" s="2">
        <f t="shared" ref="AA59:AA65" si="60">Y59/AE59</f>
        <v>0.40317964996902717</v>
      </c>
      <c r="AB59" s="2">
        <f t="shared" ref="AB59:AB65" si="61">Z59/AE59</f>
        <v>0.59682035003097278</v>
      </c>
      <c r="AC59" s="2">
        <f t="shared" ref="AC59:AC65" si="62">1/Y59</f>
        <v>0.21018161793605855</v>
      </c>
      <c r="AD59" s="2">
        <f t="shared" ref="AD59:AD65" si="63">1/AE59</f>
        <v>8.4740951149383889E-2</v>
      </c>
      <c r="AE59" s="2">
        <f t="shared" ref="AE59:AE65" si="64">Y59+Z59</f>
        <v>11.80067</v>
      </c>
    </row>
    <row r="60" spans="1:35" s="85" customFormat="1" x14ac:dyDescent="0.35">
      <c r="A60"/>
      <c r="C60" s="338"/>
      <c r="E60" s="91" t="s">
        <v>235</v>
      </c>
      <c r="F60" s="144">
        <v>30.721270000000001</v>
      </c>
      <c r="G60" s="144">
        <v>34.261189999999999</v>
      </c>
      <c r="H60" s="91">
        <f t="shared" si="50"/>
        <v>3.5399199999999986</v>
      </c>
      <c r="I60" s="91">
        <f t="shared" si="51"/>
        <v>6.3373899999999992</v>
      </c>
      <c r="J60" s="91">
        <f t="shared" si="52"/>
        <v>0.35838907556814553</v>
      </c>
      <c r="K60" s="91">
        <f t="shared" si="53"/>
        <v>0.64161092443185452</v>
      </c>
      <c r="L60" s="91">
        <f t="shared" si="54"/>
        <v>0.28249225971208403</v>
      </c>
      <c r="M60" s="91">
        <f t="shared" si="55"/>
        <v>0.10124213981337027</v>
      </c>
      <c r="N60" s="91">
        <f t="shared" si="56"/>
        <v>9.8773099999999978</v>
      </c>
      <c r="O60" s="144">
        <v>28</v>
      </c>
      <c r="P60" s="144">
        <f t="shared" si="57"/>
        <v>7.9097832719383518</v>
      </c>
      <c r="U60"/>
      <c r="V60" s="91" t="s">
        <v>235</v>
      </c>
      <c r="W60" s="144">
        <v>34.328749999999999</v>
      </c>
      <c r="X60" s="144">
        <v>39.215060000000001</v>
      </c>
      <c r="Y60" s="91">
        <f t="shared" si="58"/>
        <v>4.8863100000000017</v>
      </c>
      <c r="Z60" s="91">
        <f t="shared" si="59"/>
        <v>6.9131999999999962</v>
      </c>
      <c r="AA60" s="91">
        <f t="shared" si="60"/>
        <v>0.41411126394231645</v>
      </c>
      <c r="AB60" s="91">
        <f t="shared" si="61"/>
        <v>0.58588873605768355</v>
      </c>
      <c r="AC60" s="91">
        <f t="shared" si="62"/>
        <v>0.20465340921881739</v>
      </c>
      <c r="AD60" s="91">
        <f t="shared" si="63"/>
        <v>8.4749281961708597E-2</v>
      </c>
      <c r="AE60" s="91">
        <f t="shared" si="64"/>
        <v>11.799509999999998</v>
      </c>
    </row>
    <row r="61" spans="1:35" s="85" customFormat="1" x14ac:dyDescent="0.35">
      <c r="A61"/>
      <c r="C61" s="338"/>
      <c r="F61" s="85">
        <v>40.598579999999998</v>
      </c>
      <c r="G61" s="85">
        <v>44.832470000000001</v>
      </c>
      <c r="H61" s="13">
        <f t="shared" si="50"/>
        <v>4.2338900000000024</v>
      </c>
      <c r="I61" s="13">
        <f t="shared" si="51"/>
        <v>8.8347699999999989</v>
      </c>
      <c r="J61" s="13">
        <f t="shared" si="52"/>
        <v>0.32397277150067427</v>
      </c>
      <c r="K61" s="13">
        <f t="shared" si="53"/>
        <v>0.67602722849932573</v>
      </c>
      <c r="L61" s="13">
        <f t="shared" si="54"/>
        <v>0.23618941446282246</v>
      </c>
      <c r="M61" s="13">
        <f t="shared" si="55"/>
        <v>7.6518939202642036E-2</v>
      </c>
      <c r="N61" s="13">
        <f t="shared" si="56"/>
        <v>13.068660000000001</v>
      </c>
      <c r="O61" s="85">
        <v>27</v>
      </c>
      <c r="P61" s="85">
        <f t="shared" si="57"/>
        <v>6.377114190496207</v>
      </c>
      <c r="U61"/>
      <c r="V61"/>
      <c r="W61" s="85">
        <v>46.128259999999997</v>
      </c>
      <c r="X61" s="85">
        <v>51.322789999999998</v>
      </c>
      <c r="Y61" s="2">
        <f t="shared" si="58"/>
        <v>5.1945300000000003</v>
      </c>
      <c r="Z61" s="2">
        <f t="shared" si="59"/>
        <v>6.7160100000000043</v>
      </c>
      <c r="AA61" s="2">
        <f t="shared" si="60"/>
        <v>0.43612884050597189</v>
      </c>
      <c r="AB61" s="2">
        <f t="shared" si="61"/>
        <v>0.56387115949402811</v>
      </c>
      <c r="AC61" s="2">
        <f t="shared" si="62"/>
        <v>0.19251019822775112</v>
      </c>
      <c r="AD61" s="2">
        <f t="shared" si="63"/>
        <v>8.3959249538643893E-2</v>
      </c>
      <c r="AE61" s="2">
        <f t="shared" si="64"/>
        <v>11.910540000000005</v>
      </c>
    </row>
    <row r="62" spans="1:35" s="85" customFormat="1" x14ac:dyDescent="0.35">
      <c r="A62"/>
      <c r="C62" s="338"/>
      <c r="E62" s="91" t="s">
        <v>235</v>
      </c>
      <c r="F62" s="144">
        <v>53.66724</v>
      </c>
      <c r="G62" s="144">
        <v>57.270139999999998</v>
      </c>
      <c r="H62" s="91">
        <f t="shared" si="50"/>
        <v>3.6028999999999982</v>
      </c>
      <c r="I62" s="91">
        <f t="shared" si="51"/>
        <v>7.7451300000000032</v>
      </c>
      <c r="J62" s="91">
        <f t="shared" si="52"/>
        <v>0.31749122975529653</v>
      </c>
      <c r="K62" s="91">
        <f t="shared" si="53"/>
        <v>0.68250877024470347</v>
      </c>
      <c r="L62" s="91">
        <f t="shared" si="54"/>
        <v>0.27755419245607721</v>
      </c>
      <c r="M62" s="91">
        <f t="shared" si="55"/>
        <v>8.8121021886618189E-2</v>
      </c>
      <c r="N62" s="91">
        <f t="shared" si="56"/>
        <v>11.348030000000001</v>
      </c>
      <c r="O62" s="144">
        <v>28</v>
      </c>
      <c r="P62" s="144">
        <f t="shared" si="57"/>
        <v>7.7715173887701612</v>
      </c>
      <c r="U62"/>
      <c r="V62" s="91" t="s">
        <v>235</v>
      </c>
      <c r="W62" s="144">
        <v>58.038800000000002</v>
      </c>
      <c r="X62" s="144">
        <v>62.984279999999998</v>
      </c>
      <c r="Y62" s="91">
        <f t="shared" si="58"/>
        <v>4.9454799999999963</v>
      </c>
      <c r="Z62" s="91">
        <f t="shared" si="59"/>
        <v>8.1143500000000017</v>
      </c>
      <c r="AA62" s="91">
        <f t="shared" si="60"/>
        <v>0.37867874237260341</v>
      </c>
      <c r="AB62" s="91">
        <f t="shared" si="61"/>
        <v>0.62132125762739665</v>
      </c>
      <c r="AC62" s="91">
        <f t="shared" si="62"/>
        <v>0.20220484159272725</v>
      </c>
      <c r="AD62" s="91">
        <f t="shared" si="63"/>
        <v>7.6570675115985448E-2</v>
      </c>
      <c r="AE62" s="91">
        <f t="shared" si="64"/>
        <v>13.059829999999998</v>
      </c>
    </row>
    <row r="63" spans="1:35" s="85" customFormat="1" x14ac:dyDescent="0.35">
      <c r="A63"/>
      <c r="C63" s="338"/>
      <c r="F63" s="85">
        <v>65.015270000000001</v>
      </c>
      <c r="G63" s="85">
        <v>68.937139999999999</v>
      </c>
      <c r="H63" s="13">
        <f t="shared" si="50"/>
        <v>3.9218699999999984</v>
      </c>
      <c r="I63" s="13">
        <f t="shared" si="51"/>
        <v>7.5564200000000028</v>
      </c>
      <c r="J63" s="13">
        <f t="shared" si="52"/>
        <v>0.34167720104649718</v>
      </c>
      <c r="K63" s="13">
        <f t="shared" si="53"/>
        <v>0.65832279895350287</v>
      </c>
      <c r="L63" s="13">
        <f t="shared" si="54"/>
        <v>0.25498040475589462</v>
      </c>
      <c r="M63" s="13">
        <f t="shared" si="55"/>
        <v>8.7120991018697025E-2</v>
      </c>
      <c r="N63" s="13">
        <f t="shared" si="56"/>
        <v>11.478290000000001</v>
      </c>
      <c r="O63" s="85">
        <v>27</v>
      </c>
      <c r="P63" s="85">
        <f t="shared" si="57"/>
        <v>6.8844709284091543</v>
      </c>
      <c r="U63"/>
      <c r="V63"/>
      <c r="W63" s="85">
        <v>71.09863</v>
      </c>
      <c r="X63" s="85">
        <v>76.354870000000005</v>
      </c>
      <c r="Y63" s="2">
        <f t="shared" si="58"/>
        <v>5.2562400000000054</v>
      </c>
      <c r="Z63" s="2">
        <f t="shared" si="59"/>
        <v>6.9265699999999981</v>
      </c>
      <c r="AA63" s="2">
        <f t="shared" si="60"/>
        <v>0.43144726052528143</v>
      </c>
      <c r="AB63" s="2">
        <f t="shared" si="61"/>
        <v>0.56855273947471852</v>
      </c>
      <c r="AC63" s="2">
        <f t="shared" si="62"/>
        <v>0.19025006468502179</v>
      </c>
      <c r="AD63" s="2">
        <f t="shared" si="63"/>
        <v>8.2082869223110241E-2</v>
      </c>
      <c r="AE63" s="2">
        <f t="shared" si="64"/>
        <v>12.182810000000003</v>
      </c>
    </row>
    <row r="64" spans="1:35" s="85" customFormat="1" x14ac:dyDescent="0.35">
      <c r="A64" s="104"/>
      <c r="C64" s="338"/>
      <c r="E64" s="91" t="s">
        <v>235</v>
      </c>
      <c r="F64" s="144">
        <v>76.493560000000002</v>
      </c>
      <c r="G64" s="144">
        <v>79.811350000000004</v>
      </c>
      <c r="H64" s="91">
        <f t="shared" si="50"/>
        <v>3.3177900000000022</v>
      </c>
      <c r="I64" s="91">
        <f t="shared" si="51"/>
        <v>6.4217999999999904</v>
      </c>
      <c r="J64" s="91">
        <f t="shared" si="52"/>
        <v>0.34064986308458617</v>
      </c>
      <c r="K64" s="91">
        <f t="shared" si="53"/>
        <v>0.65935013691541378</v>
      </c>
      <c r="L64" s="91">
        <f t="shared" si="54"/>
        <v>0.30140545363027776</v>
      </c>
      <c r="M64" s="91">
        <f t="shared" si="55"/>
        <v>0.10267372651210172</v>
      </c>
      <c r="N64" s="91">
        <f t="shared" si="56"/>
        <v>9.7395899999999926</v>
      </c>
      <c r="O64" s="144">
        <v>23</v>
      </c>
      <c r="P64" s="144">
        <f t="shared" si="57"/>
        <v>6.9323254334963886</v>
      </c>
      <c r="U64"/>
      <c r="V64" s="91" t="s">
        <v>235</v>
      </c>
      <c r="W64" s="144">
        <v>83.281440000000003</v>
      </c>
      <c r="X64" s="144">
        <v>88.209900000000005</v>
      </c>
      <c r="Y64" s="91">
        <f t="shared" si="58"/>
        <v>4.9284600000000012</v>
      </c>
      <c r="Z64" s="91">
        <f t="shared" si="59"/>
        <v>8.0248399999999975</v>
      </c>
      <c r="AA64" s="91">
        <f t="shared" si="60"/>
        <v>0.38047910571051408</v>
      </c>
      <c r="AB64" s="91">
        <f t="shared" si="61"/>
        <v>0.61952089428948598</v>
      </c>
      <c r="AC64" s="91">
        <f t="shared" si="62"/>
        <v>0.20290313809993379</v>
      </c>
      <c r="AD64" s="91">
        <f t="shared" si="63"/>
        <v>7.720040453011974E-2</v>
      </c>
      <c r="AE64" s="91">
        <f t="shared" si="64"/>
        <v>12.953299999999999</v>
      </c>
    </row>
    <row r="65" spans="1:33" s="85" customFormat="1" x14ac:dyDescent="0.35">
      <c r="A65"/>
      <c r="C65" s="338"/>
      <c r="F65" s="85">
        <v>86.233149999999995</v>
      </c>
      <c r="G65" s="85">
        <v>90.117289999999997</v>
      </c>
      <c r="H65" s="13">
        <f t="shared" si="50"/>
        <v>3.8841400000000021</v>
      </c>
      <c r="I65" s="13">
        <f t="shared" si="51"/>
        <v>7.561080000000004</v>
      </c>
      <c r="J65" s="13">
        <f t="shared" si="52"/>
        <v>0.33936787584686007</v>
      </c>
      <c r="K65" s="13">
        <f t="shared" si="53"/>
        <v>0.66063212415313988</v>
      </c>
      <c r="L65" s="13">
        <f t="shared" si="54"/>
        <v>0.25745724922376623</v>
      </c>
      <c r="M65" s="13">
        <f t="shared" si="55"/>
        <v>8.7372719790445225E-2</v>
      </c>
      <c r="N65" s="13">
        <f t="shared" si="56"/>
        <v>11.445220000000006</v>
      </c>
      <c r="O65" s="85">
        <v>25</v>
      </c>
      <c r="P65" s="85">
        <f t="shared" si="57"/>
        <v>6.436431230594156</v>
      </c>
      <c r="U65"/>
      <c r="V65" s="91" t="s">
        <v>235</v>
      </c>
      <c r="W65" s="144">
        <v>96.234740000000002</v>
      </c>
      <c r="X65" s="144">
        <v>101.35947</v>
      </c>
      <c r="Y65" s="91">
        <f t="shared" si="58"/>
        <v>5.1247299999999996</v>
      </c>
      <c r="Z65" s="91">
        <f t="shared" si="59"/>
        <v>8.0883000000000038</v>
      </c>
      <c r="AA65" s="91">
        <f t="shared" si="60"/>
        <v>0.38785426204284695</v>
      </c>
      <c r="AB65" s="91">
        <f t="shared" si="61"/>
        <v>0.61214573795715299</v>
      </c>
      <c r="AC65" s="91">
        <f t="shared" si="62"/>
        <v>0.19513223135657881</v>
      </c>
      <c r="AD65" s="91">
        <f t="shared" si="63"/>
        <v>7.568286759357995E-2</v>
      </c>
      <c r="AE65" s="91">
        <f t="shared" si="64"/>
        <v>13.213030000000003</v>
      </c>
    </row>
    <row r="66" spans="1:33" s="85" customFormat="1" x14ac:dyDescent="0.35">
      <c r="A66"/>
      <c r="C66" s="338"/>
      <c r="E66" s="91" t="s">
        <v>235</v>
      </c>
      <c r="F66" s="144">
        <v>97.678370000000001</v>
      </c>
      <c r="G66" s="144">
        <v>101.20277</v>
      </c>
      <c r="H66" s="91">
        <f t="shared" si="50"/>
        <v>3.5244</v>
      </c>
      <c r="I66" s="91">
        <f t="shared" si="51"/>
        <v>6.029679999999999</v>
      </c>
      <c r="J66" s="91">
        <f t="shared" si="52"/>
        <v>0.36888952154472227</v>
      </c>
      <c r="K66" s="91">
        <f t="shared" si="53"/>
        <v>0.63111047845527768</v>
      </c>
      <c r="L66" s="91">
        <f t="shared" si="54"/>
        <v>0.28373623879241855</v>
      </c>
      <c r="M66" s="91">
        <f t="shared" si="55"/>
        <v>0.10466732537303436</v>
      </c>
      <c r="N66" s="91">
        <f t="shared" si="56"/>
        <v>9.554079999999999</v>
      </c>
      <c r="O66" s="144">
        <v>24</v>
      </c>
      <c r="P66" s="144">
        <f t="shared" si="57"/>
        <v>6.8096697310180456</v>
      </c>
      <c r="U66"/>
      <c r="V66"/>
      <c r="W66" s="85">
        <v>109.44777000000001</v>
      </c>
      <c r="X66" s="85">
        <v>114.58265</v>
      </c>
      <c r="Y66" s="2">
        <f t="shared" si="58"/>
        <v>5.1348799999999954</v>
      </c>
      <c r="Z66" s="2"/>
      <c r="AA66" s="2"/>
      <c r="AB66" s="2"/>
      <c r="AC66" s="2"/>
      <c r="AD66" s="2"/>
      <c r="AE66" s="2"/>
    </row>
    <row r="67" spans="1:33" s="85" customFormat="1" x14ac:dyDescent="0.35">
      <c r="A67"/>
      <c r="C67" s="162"/>
      <c r="E67" s="91" t="s">
        <v>235</v>
      </c>
      <c r="F67" s="144">
        <v>107.23245</v>
      </c>
      <c r="G67" s="144">
        <v>110.85306</v>
      </c>
      <c r="H67" s="91">
        <f t="shared" si="50"/>
        <v>3.6206099999999992</v>
      </c>
      <c r="I67" s="91">
        <f t="shared" si="51"/>
        <v>7.5943400000000025</v>
      </c>
      <c r="J67" s="91">
        <f t="shared" si="52"/>
        <v>0.32283781916103049</v>
      </c>
      <c r="K67" s="91">
        <f t="shared" si="53"/>
        <v>0.67716218083896951</v>
      </c>
      <c r="L67" s="91">
        <f t="shared" si="54"/>
        <v>0.2761965525146316</v>
      </c>
      <c r="M67" s="91">
        <f t="shared" si="55"/>
        <v>8.916669267361868E-2</v>
      </c>
      <c r="N67" s="91">
        <f t="shared" si="56"/>
        <v>11.214950000000002</v>
      </c>
      <c r="O67" s="144">
        <v>25</v>
      </c>
      <c r="P67" s="144">
        <f t="shared" si="57"/>
        <v>6.9049138128657894</v>
      </c>
      <c r="U67"/>
      <c r="V67"/>
    </row>
    <row r="68" spans="1:33" s="85" customFormat="1" x14ac:dyDescent="0.35">
      <c r="A68"/>
      <c r="C68" s="162"/>
      <c r="F68" s="85">
        <v>118.4474</v>
      </c>
      <c r="G68" s="85">
        <v>119.93559</v>
      </c>
      <c r="H68" s="13">
        <f t="shared" si="50"/>
        <v>1.488190000000003</v>
      </c>
      <c r="I68" s="13"/>
      <c r="J68" s="13"/>
      <c r="K68" s="13"/>
      <c r="L68" s="13"/>
      <c r="M68" s="13"/>
      <c r="N68" s="13"/>
      <c r="U68"/>
      <c r="V68"/>
    </row>
    <row r="69" spans="1:33" s="85" customFormat="1" x14ac:dyDescent="0.35">
      <c r="A69"/>
      <c r="H69" s="13"/>
      <c r="I69" s="13"/>
      <c r="J69" s="13"/>
      <c r="K69" s="13"/>
      <c r="L69" s="13"/>
      <c r="M69" s="13"/>
      <c r="N69" s="13"/>
      <c r="U69"/>
      <c r="V69"/>
    </row>
    <row r="70" spans="1:33" s="85" customFormat="1" x14ac:dyDescent="0.35">
      <c r="A70"/>
      <c r="H70" s="13"/>
      <c r="I70" s="13"/>
      <c r="J70" s="13"/>
      <c r="K70" s="13"/>
      <c r="L70" s="13"/>
      <c r="M70" s="13"/>
      <c r="N70" s="13"/>
      <c r="U70"/>
      <c r="V70"/>
    </row>
    <row r="71" spans="1:33" s="85" customFormat="1" ht="16" thickBot="1" x14ac:dyDescent="0.4">
      <c r="A71"/>
      <c r="E71"/>
      <c r="F71"/>
      <c r="G71"/>
      <c r="H71" s="9" t="s">
        <v>3</v>
      </c>
      <c r="I71" s="9" t="s">
        <v>4</v>
      </c>
      <c r="J71" s="9" t="s">
        <v>5</v>
      </c>
      <c r="K71" s="9" t="s">
        <v>6</v>
      </c>
      <c r="L71" s="9" t="s">
        <v>7</v>
      </c>
      <c r="M71" s="9" t="s">
        <v>8</v>
      </c>
      <c r="N71" s="9" t="s">
        <v>9</v>
      </c>
      <c r="O71" s="9" t="s">
        <v>10</v>
      </c>
      <c r="P71" s="44" t="s">
        <v>139</v>
      </c>
      <c r="U71"/>
      <c r="V71" s="137" t="s">
        <v>125</v>
      </c>
      <c r="X71" s="13"/>
      <c r="Y71" s="9" t="s">
        <v>3</v>
      </c>
      <c r="Z71" s="9" t="s">
        <v>4</v>
      </c>
      <c r="AA71" s="9" t="s">
        <v>5</v>
      </c>
      <c r="AB71" s="9" t="s">
        <v>6</v>
      </c>
      <c r="AC71" s="9" t="s">
        <v>7</v>
      </c>
      <c r="AD71" s="9" t="s">
        <v>8</v>
      </c>
      <c r="AE71" s="9" t="s">
        <v>9</v>
      </c>
      <c r="AF71" s="9" t="s">
        <v>10</v>
      </c>
      <c r="AG71" s="44" t="s">
        <v>139</v>
      </c>
    </row>
    <row r="72" spans="1:33" s="85" customFormat="1" x14ac:dyDescent="0.35">
      <c r="A72"/>
      <c r="E72" s="104" t="s">
        <v>192</v>
      </c>
      <c r="F72"/>
      <c r="G72" s="49" t="s">
        <v>77</v>
      </c>
      <c r="H72" s="13">
        <f>AVERAGE(H58,H62,H64,H60,H66,H67)</f>
        <v>3.5767183333333326</v>
      </c>
      <c r="I72" s="13">
        <f t="shared" ref="I72:P72" si="65">AVERAGE(I58,I62,I64,I60,I66,I67)</f>
        <v>7.4755983333333331</v>
      </c>
      <c r="J72" s="13">
        <f t="shared" si="65"/>
        <v>0.32877343788141311</v>
      </c>
      <c r="K72" s="13">
        <f t="shared" si="65"/>
        <v>0.671226562118587</v>
      </c>
      <c r="L72" s="13">
        <f t="shared" si="65"/>
        <v>0.28013482182681176</v>
      </c>
      <c r="M72" s="13">
        <f t="shared" si="65"/>
        <v>9.2409715689251812E-2</v>
      </c>
      <c r="N72" s="13">
        <f t="shared" si="65"/>
        <v>11.052316666666664</v>
      </c>
      <c r="O72" s="13">
        <f t="shared" si="65"/>
        <v>28.5</v>
      </c>
      <c r="P72" s="13">
        <f t="shared" si="65"/>
        <v>7.9139086156450231</v>
      </c>
      <c r="U72"/>
      <c r="V72" s="137"/>
      <c r="X72" s="49" t="s">
        <v>77</v>
      </c>
      <c r="Y72" s="13">
        <f>AVERAGE(Y60,Y62,Y64,Y65)</f>
        <v>4.9712449999999997</v>
      </c>
      <c r="Z72" s="13">
        <f t="shared" ref="Z72:AG72" si="66">AVERAGE(Z60,Z62,Z64,Z65)</f>
        <v>7.7851724999999998</v>
      </c>
      <c r="AA72" s="13">
        <f t="shared" si="66"/>
        <v>0.39028084351707021</v>
      </c>
      <c r="AB72" s="13">
        <f t="shared" si="66"/>
        <v>0.60971915648292985</v>
      </c>
      <c r="AC72" s="13">
        <f t="shared" si="66"/>
        <v>0.2012234050670143</v>
      </c>
      <c r="AD72" s="13">
        <f t="shared" si="66"/>
        <v>7.8550807300348427E-2</v>
      </c>
      <c r="AE72" s="13">
        <f t="shared" si="66"/>
        <v>12.7564175</v>
      </c>
      <c r="AF72" s="13" t="e">
        <f t="shared" si="66"/>
        <v>#DIV/0!</v>
      </c>
      <c r="AG72" s="13" t="e">
        <f t="shared" si="66"/>
        <v>#DIV/0!</v>
      </c>
    </row>
    <row r="73" spans="1:33" s="85" customFormat="1" x14ac:dyDescent="0.35">
      <c r="A73"/>
      <c r="E73" s="104"/>
      <c r="F73"/>
      <c r="G73" s="49" t="s">
        <v>94</v>
      </c>
      <c r="H73" s="13">
        <f>_xlfn.STDEV.S(H58,H62,H64,H60,H66,H67)</f>
        <v>0.1737903407461597</v>
      </c>
      <c r="I73" s="13">
        <f t="shared" ref="I73:P73" si="67">_xlfn.STDEV.S(I58,I62,I64,I60,I66,I67)</f>
        <v>1.7403259362247829</v>
      </c>
      <c r="J73" s="13">
        <f t="shared" si="67"/>
        <v>3.7245318367300141E-2</v>
      </c>
      <c r="K73" s="13">
        <f t="shared" si="67"/>
        <v>3.7245318367300356E-2</v>
      </c>
      <c r="L73" s="13">
        <f t="shared" si="67"/>
        <v>1.3579878954603454E-2</v>
      </c>
      <c r="M73" s="13">
        <f t="shared" si="67"/>
        <v>1.3638357851720901E-2</v>
      </c>
      <c r="N73" s="13">
        <f t="shared" si="67"/>
        <v>1.8924390312997343</v>
      </c>
      <c r="O73" s="13">
        <f t="shared" si="67"/>
        <v>7.3959448348402388</v>
      </c>
      <c r="P73" s="13">
        <f t="shared" si="67"/>
        <v>1.6569522817469913</v>
      </c>
      <c r="U73"/>
      <c r="V73" s="137"/>
      <c r="X73" s="49" t="s">
        <v>94</v>
      </c>
      <c r="Y73" s="2">
        <f>_xlfn.STDEV.S(Y60,Y62,Y64,Y65)</f>
        <v>0.10530272376977351</v>
      </c>
      <c r="Z73" s="2">
        <f t="shared" ref="Z73:AG73" si="68">_xlfn.STDEV.S(Z60,Z62,Z64,Z65)</f>
        <v>0.58252915780385583</v>
      </c>
      <c r="AA73" s="2">
        <f t="shared" si="68"/>
        <v>1.6375388547959675E-2</v>
      </c>
      <c r="AB73" s="2">
        <f t="shared" si="68"/>
        <v>1.6375388547959696E-2</v>
      </c>
      <c r="AC73" s="2">
        <f t="shared" si="68"/>
        <v>4.1893534253697306E-3</v>
      </c>
      <c r="AD73" s="2">
        <f t="shared" si="68"/>
        <v>4.1789423461993649E-3</v>
      </c>
      <c r="AE73" s="2">
        <f t="shared" si="68"/>
        <v>0.64678404501940856</v>
      </c>
      <c r="AF73" s="2" t="e">
        <f t="shared" si="68"/>
        <v>#DIV/0!</v>
      </c>
      <c r="AG73" s="2" t="e">
        <f t="shared" si="68"/>
        <v>#DIV/0!</v>
      </c>
    </row>
    <row r="74" spans="1:33" s="85" customFormat="1" x14ac:dyDescent="0.35">
      <c r="A74"/>
      <c r="E74" s="104"/>
      <c r="F74"/>
      <c r="G74" s="49" t="s">
        <v>95</v>
      </c>
      <c r="H74" s="13">
        <f>H73/SQRT(6)</f>
        <v>7.094960950875194E-2</v>
      </c>
      <c r="I74" s="13">
        <f t="shared" ref="I74:P74" si="69">I73/SQRT(6)</f>
        <v>0.71048508831368962</v>
      </c>
      <c r="J74" s="13">
        <f t="shared" si="69"/>
        <v>1.5205337551232602E-2</v>
      </c>
      <c r="K74" s="13">
        <f t="shared" si="69"/>
        <v>1.5205337551232689E-2</v>
      </c>
      <c r="L74" s="13">
        <f t="shared" si="69"/>
        <v>5.5439623679230518E-3</v>
      </c>
      <c r="M74" s="13">
        <f t="shared" si="69"/>
        <v>5.5678362776994611E-3</v>
      </c>
      <c r="N74" s="13">
        <f t="shared" si="69"/>
        <v>0.77258499933520552</v>
      </c>
      <c r="O74" s="13">
        <f t="shared" si="69"/>
        <v>3.0193818351885655</v>
      </c>
      <c r="P74" s="13">
        <f t="shared" si="69"/>
        <v>0.67644793640340639</v>
      </c>
      <c r="U74"/>
      <c r="V74" s="137"/>
      <c r="X74" s="49" t="s">
        <v>95</v>
      </c>
      <c r="Y74" s="2">
        <f>Y73/(SQRT(COUNT(Y60,Y62,Y64,Y65)))</f>
        <v>5.2651361884886755E-2</v>
      </c>
      <c r="Z74" s="2">
        <f t="shared" ref="Z74:AG74" si="70">Z73/(SQRT(COUNT(Z60,Z62,Z64,Z65)))</f>
        <v>0.29126457890192792</v>
      </c>
      <c r="AA74" s="2">
        <f t="shared" si="70"/>
        <v>8.1876942739798377E-3</v>
      </c>
      <c r="AB74" s="2">
        <f t="shared" si="70"/>
        <v>8.1876942739798481E-3</v>
      </c>
      <c r="AC74" s="2">
        <f t="shared" si="70"/>
        <v>2.0946767126848653E-3</v>
      </c>
      <c r="AD74" s="2">
        <f t="shared" si="70"/>
        <v>2.0894711730996825E-3</v>
      </c>
      <c r="AE74" s="2">
        <f t="shared" si="70"/>
        <v>0.32339202250970428</v>
      </c>
      <c r="AF74" s="2" t="e">
        <f t="shared" si="70"/>
        <v>#DIV/0!</v>
      </c>
      <c r="AG74" s="2" t="e">
        <f t="shared" si="70"/>
        <v>#DIV/0!</v>
      </c>
    </row>
    <row r="75" spans="1:33" x14ac:dyDescent="0.35">
      <c r="B75" s="85"/>
      <c r="C75" s="85"/>
      <c r="D75" s="85"/>
      <c r="E75" s="104"/>
      <c r="Q75" s="85"/>
      <c r="R75" s="85"/>
      <c r="S75" s="85"/>
      <c r="T75" s="85"/>
      <c r="V75" s="137"/>
    </row>
    <row r="76" spans="1:33" ht="16" thickBot="1" x14ac:dyDescent="0.4">
      <c r="B76" s="85"/>
      <c r="C76" s="85"/>
      <c r="D76" s="85"/>
      <c r="E76" s="104"/>
      <c r="Q76" s="85"/>
      <c r="R76" s="85"/>
      <c r="S76" s="85"/>
      <c r="T76" s="85"/>
      <c r="V76" s="137"/>
      <c r="X76" s="13"/>
      <c r="Y76" s="9" t="s">
        <v>3</v>
      </c>
      <c r="Z76" s="9" t="s">
        <v>4</v>
      </c>
      <c r="AA76" s="9" t="s">
        <v>5</v>
      </c>
      <c r="AB76" s="9" t="s">
        <v>6</v>
      </c>
      <c r="AC76" s="9" t="s">
        <v>7</v>
      </c>
      <c r="AD76" s="9" t="s">
        <v>8</v>
      </c>
      <c r="AE76" s="9" t="s">
        <v>9</v>
      </c>
      <c r="AF76" s="9" t="s">
        <v>10</v>
      </c>
      <c r="AG76" s="44" t="s">
        <v>139</v>
      </c>
    </row>
    <row r="77" spans="1:33" x14ac:dyDescent="0.35">
      <c r="B77" s="85"/>
      <c r="C77" s="85"/>
      <c r="D77" s="85"/>
      <c r="E77" s="104" t="s">
        <v>193</v>
      </c>
      <c r="G77" s="49" t="s">
        <v>77</v>
      </c>
      <c r="H77">
        <f>AVERAGE(H59,H61,H63,H65)</f>
        <v>4.0208050000000011</v>
      </c>
      <c r="I77">
        <f t="shared" ref="I77:P77" si="71">AVERAGE(I59,I61,I63,I65)</f>
        <v>7.8083625000000012</v>
      </c>
      <c r="J77">
        <f t="shared" si="71"/>
        <v>0.3405149150986404</v>
      </c>
      <c r="K77">
        <f t="shared" si="71"/>
        <v>0.6594850849013596</v>
      </c>
      <c r="L77">
        <f t="shared" si="71"/>
        <v>0.2489871441275277</v>
      </c>
      <c r="M77">
        <f t="shared" si="71"/>
        <v>8.482919234973843E-2</v>
      </c>
      <c r="N77">
        <f t="shared" si="71"/>
        <v>11.829167500000002</v>
      </c>
      <c r="O77">
        <f t="shared" si="71"/>
        <v>27</v>
      </c>
      <c r="P77">
        <f t="shared" si="71"/>
        <v>6.7175850208651786</v>
      </c>
      <c r="Q77" s="85"/>
      <c r="R77" s="85"/>
      <c r="S77" s="85"/>
      <c r="T77" s="85"/>
      <c r="V77" s="137" t="s">
        <v>78</v>
      </c>
      <c r="X77" s="49" t="s">
        <v>77</v>
      </c>
      <c r="Y77" s="13">
        <f>AVERAGE(Y58:Y59,Y61,Y63)</f>
        <v>5.0813225000000015</v>
      </c>
      <c r="Z77" s="13">
        <f t="shared" ref="Z77:AG77" si="72">AVERAGE(Z58:Z59,Z61,Z63,)</f>
        <v>5.4820280000000006</v>
      </c>
      <c r="AA77" s="13">
        <f t="shared" si="72"/>
        <v>0.34057210851498654</v>
      </c>
      <c r="AB77" s="13">
        <f t="shared" si="72"/>
        <v>0.45942789148501345</v>
      </c>
      <c r="AC77" s="13">
        <f t="shared" si="72"/>
        <v>0.15767584023372899</v>
      </c>
      <c r="AD77" s="13">
        <f t="shared" si="72"/>
        <v>6.7046494494767919E-2</v>
      </c>
      <c r="AE77" s="13">
        <f t="shared" si="72"/>
        <v>9.547086000000002</v>
      </c>
      <c r="AF77" s="13">
        <f t="shared" si="72"/>
        <v>0</v>
      </c>
      <c r="AG77" s="13">
        <f t="shared" si="72"/>
        <v>0</v>
      </c>
    </row>
    <row r="78" spans="1:33" x14ac:dyDescent="0.35">
      <c r="B78" s="85"/>
      <c r="C78" s="85"/>
      <c r="D78" s="85"/>
      <c r="E78" s="104"/>
      <c r="G78" s="49" t="s">
        <v>94</v>
      </c>
      <c r="H78" s="13">
        <f>_xlfn.STDEV.S(H59,H61,H63,H65)</f>
        <v>0.15745644784087737</v>
      </c>
      <c r="I78" s="13">
        <f t="shared" ref="I78:P78" si="73">_xlfn.STDEV.S(I59,I61,I63,I65)</f>
        <v>0.6966724248107321</v>
      </c>
      <c r="J78" s="13">
        <f t="shared" si="73"/>
        <v>1.3533260800599479E-2</v>
      </c>
      <c r="K78" s="13">
        <f t="shared" si="73"/>
        <v>1.3533260800599498E-2</v>
      </c>
      <c r="L78" s="13">
        <f t="shared" si="73"/>
        <v>9.5606499318085965E-3</v>
      </c>
      <c r="M78" s="13">
        <f t="shared" si="73"/>
        <v>5.5634910582284336E-3</v>
      </c>
      <c r="N78" s="13">
        <f t="shared" si="73"/>
        <v>0.82896755985482673</v>
      </c>
      <c r="O78" s="13">
        <f t="shared" si="73"/>
        <v>1.6329931618554521</v>
      </c>
      <c r="P78" s="13">
        <f t="shared" si="73"/>
        <v>0.37842042027393269</v>
      </c>
      <c r="Q78" s="85"/>
      <c r="R78" s="85"/>
      <c r="S78" s="85"/>
      <c r="T78" s="85"/>
      <c r="X78" s="49" t="s">
        <v>94</v>
      </c>
      <c r="Y78" s="2">
        <f>_xlfn.STDEV.S(Y58:Y59,Y61,Y63)</f>
        <v>0.22311360295822544</v>
      </c>
      <c r="Z78" s="2">
        <f>_xlfn.STDEV.S(Z58:Z59,Z61,Z63)</f>
        <v>0.15989410756288969</v>
      </c>
      <c r="AA78" s="2">
        <f t="shared" ref="AA78:AG78" si="74">_xlfn.STDEV.S(AA58:AA59,AA61,AA63)</f>
        <v>1.5165512653450319E-2</v>
      </c>
      <c r="AB78" s="2">
        <f t="shared" si="74"/>
        <v>1.5165512653450307E-2</v>
      </c>
      <c r="AC78" s="2">
        <f t="shared" si="74"/>
        <v>8.9792541918207545E-3</v>
      </c>
      <c r="AD78" s="2">
        <f t="shared" si="74"/>
        <v>1.1945358455736738E-3</v>
      </c>
      <c r="AE78" s="2">
        <f t="shared" si="74"/>
        <v>0.17205280533894385</v>
      </c>
      <c r="AF78" s="2" t="e">
        <f t="shared" si="74"/>
        <v>#DIV/0!</v>
      </c>
      <c r="AG78" s="2" t="e">
        <f t="shared" si="74"/>
        <v>#DIV/0!</v>
      </c>
    </row>
    <row r="79" spans="1:33" x14ac:dyDescent="0.35">
      <c r="B79" s="85"/>
      <c r="C79" s="85"/>
      <c r="D79" s="85"/>
      <c r="G79" s="49" t="s">
        <v>95</v>
      </c>
      <c r="H79" s="13">
        <f>H78/SQRT(4)</f>
        <v>7.8728223920438684E-2</v>
      </c>
      <c r="I79" s="13">
        <f t="shared" ref="I79:P79" si="75">I78/SQRT(4)</f>
        <v>0.34833621240536605</v>
      </c>
      <c r="J79" s="13">
        <f t="shared" si="75"/>
        <v>6.7666304002997396E-3</v>
      </c>
      <c r="K79" s="13">
        <f t="shared" si="75"/>
        <v>6.7666304002997491E-3</v>
      </c>
      <c r="L79" s="13">
        <f t="shared" si="75"/>
        <v>4.7803249659042982E-3</v>
      </c>
      <c r="M79" s="13">
        <f t="shared" si="75"/>
        <v>2.7817455291142168E-3</v>
      </c>
      <c r="N79" s="13">
        <f t="shared" si="75"/>
        <v>0.41448377992741336</v>
      </c>
      <c r="O79" s="13">
        <f t="shared" si="75"/>
        <v>0.81649658092772603</v>
      </c>
      <c r="P79" s="13">
        <f t="shared" si="75"/>
        <v>0.18921021013696634</v>
      </c>
      <c r="Q79" s="85"/>
      <c r="R79" s="85"/>
      <c r="S79" s="85"/>
      <c r="T79" s="85"/>
      <c r="X79" s="49" t="s">
        <v>95</v>
      </c>
      <c r="Y79" s="2">
        <f>Y78/(SQRT(COUNT(Y58:Y59,Y61,Y63)))</f>
        <v>0.11155680147911272</v>
      </c>
      <c r="Z79" s="2">
        <f t="shared" ref="Z79:AG79" si="76">Z78/(SQRT(COUNT(Z58:Z59,Z61,Z63)))</f>
        <v>7.9947053781444843E-2</v>
      </c>
      <c r="AA79" s="2">
        <f t="shared" si="76"/>
        <v>7.5827563267251595E-3</v>
      </c>
      <c r="AB79" s="2">
        <f t="shared" si="76"/>
        <v>7.5827563267251534E-3</v>
      </c>
      <c r="AC79" s="2">
        <f t="shared" si="76"/>
        <v>4.4896270959103772E-3</v>
      </c>
      <c r="AD79" s="2">
        <f t="shared" si="76"/>
        <v>5.9726792278683692E-4</v>
      </c>
      <c r="AE79" s="2">
        <f t="shared" si="76"/>
        <v>8.6026402669471924E-2</v>
      </c>
      <c r="AF79" s="2" t="e">
        <f t="shared" si="76"/>
        <v>#DIV/0!</v>
      </c>
      <c r="AG79" s="2" t="e">
        <f t="shared" si="76"/>
        <v>#DIV/0!</v>
      </c>
    </row>
    <row r="80" spans="1:33" x14ac:dyDescent="0.35">
      <c r="B80" s="85"/>
      <c r="C80" s="85"/>
      <c r="D80" s="85"/>
      <c r="E80" s="85"/>
      <c r="F80" s="85"/>
      <c r="G80" s="85"/>
      <c r="H80" s="13"/>
      <c r="I80" s="13"/>
      <c r="J80" s="13"/>
      <c r="K80" s="13"/>
      <c r="L80" s="13"/>
      <c r="M80" s="13"/>
      <c r="N80" s="13"/>
      <c r="O80" s="85"/>
      <c r="P80" s="85"/>
      <c r="Q80" s="85"/>
      <c r="R80" s="85"/>
      <c r="S80" s="85"/>
      <c r="T80" s="85"/>
    </row>
    <row r="81" spans="2:36" x14ac:dyDescent="0.35">
      <c r="B81" s="85"/>
      <c r="C81" s="85"/>
      <c r="D81" s="85"/>
      <c r="E81" s="85"/>
      <c r="F81" s="85"/>
      <c r="G81" s="85"/>
      <c r="H81" s="13"/>
      <c r="I81" s="13"/>
      <c r="J81" s="13"/>
      <c r="K81" s="13"/>
      <c r="L81" s="13"/>
      <c r="M81" s="13"/>
      <c r="N81" s="13"/>
      <c r="O81" s="85"/>
      <c r="P81" s="85"/>
      <c r="Q81" s="85"/>
      <c r="R81" s="85"/>
      <c r="S81" s="85"/>
      <c r="T81" s="85"/>
    </row>
    <row r="82" spans="2:36" x14ac:dyDescent="0.35">
      <c r="B82" s="85"/>
      <c r="C82" s="85"/>
      <c r="D82" s="85"/>
      <c r="E82" s="85"/>
      <c r="F82" s="85"/>
      <c r="G82" s="85"/>
      <c r="H82" s="13"/>
      <c r="I82" s="13"/>
      <c r="J82" s="13"/>
      <c r="K82" s="13"/>
      <c r="L82" s="13"/>
      <c r="M82" s="13"/>
      <c r="N82" s="13"/>
      <c r="O82" s="85"/>
      <c r="P82" s="85"/>
      <c r="Q82" s="85"/>
      <c r="R82" s="85"/>
      <c r="S82" s="85"/>
      <c r="T82" s="85"/>
    </row>
    <row r="83" spans="2:36" x14ac:dyDescent="0.35">
      <c r="B83" s="85"/>
      <c r="C83" s="85"/>
      <c r="D83" s="85"/>
      <c r="E83" s="85"/>
      <c r="F83" s="85"/>
      <c r="G83" s="85"/>
      <c r="H83" s="13"/>
      <c r="I83" s="13"/>
      <c r="J83" s="13"/>
      <c r="K83" s="13"/>
      <c r="L83" s="13"/>
      <c r="M83" s="13"/>
      <c r="N83" s="13"/>
      <c r="O83" s="85"/>
      <c r="P83" s="85"/>
      <c r="Q83" s="85"/>
      <c r="R83" s="85"/>
      <c r="S83" s="85"/>
      <c r="T83" s="85"/>
    </row>
    <row r="84" spans="2:36" ht="18.5" x14ac:dyDescent="0.45">
      <c r="B84" s="85"/>
      <c r="C84" s="85"/>
      <c r="D84" s="85"/>
      <c r="E84" s="85"/>
      <c r="F84" s="1" t="s">
        <v>0</v>
      </c>
      <c r="G84" s="3"/>
      <c r="H84" s="3"/>
      <c r="I84" s="3"/>
      <c r="J84" s="3"/>
      <c r="K84" s="3"/>
      <c r="L84" s="3"/>
      <c r="M84" s="3"/>
      <c r="N84" s="3"/>
      <c r="O84" s="3"/>
      <c r="R84" s="85"/>
      <c r="S84" s="85"/>
      <c r="T84" s="85"/>
      <c r="W84" s="1" t="s">
        <v>288</v>
      </c>
      <c r="X84" s="3"/>
      <c r="Y84" s="3"/>
      <c r="Z84" s="3"/>
      <c r="AA84" s="3"/>
      <c r="AB84" s="3"/>
      <c r="AC84" s="3"/>
      <c r="AD84" s="3"/>
      <c r="AE84" s="3"/>
      <c r="AF84" s="3"/>
      <c r="AH84" s="85"/>
      <c r="AI84" s="85"/>
      <c r="AJ84" s="85"/>
    </row>
    <row r="85" spans="2:36" ht="16" thickBot="1" x14ac:dyDescent="0.4">
      <c r="B85" s="85"/>
      <c r="C85" s="85"/>
      <c r="D85" s="204" t="s">
        <v>122</v>
      </c>
      <c r="E85" s="85"/>
      <c r="F85" s="9" t="s">
        <v>1</v>
      </c>
      <c r="G85" s="9" t="s">
        <v>2</v>
      </c>
      <c r="H85" s="9" t="s">
        <v>3</v>
      </c>
      <c r="I85" s="9" t="s">
        <v>4</v>
      </c>
      <c r="J85" s="9" t="s">
        <v>5</v>
      </c>
      <c r="K85" s="9" t="s">
        <v>6</v>
      </c>
      <c r="L85" s="9" t="s">
        <v>7</v>
      </c>
      <c r="M85" s="9" t="s">
        <v>8</v>
      </c>
      <c r="N85" s="9" t="s">
        <v>9</v>
      </c>
      <c r="O85" s="9" t="s">
        <v>10</v>
      </c>
      <c r="P85" s="44" t="s">
        <v>139</v>
      </c>
      <c r="R85" s="85"/>
      <c r="S85" s="85"/>
      <c r="T85" s="85"/>
      <c r="W85" s="9" t="s">
        <v>1</v>
      </c>
      <c r="X85" s="9" t="s">
        <v>2</v>
      </c>
      <c r="Y85" s="9" t="s">
        <v>3</v>
      </c>
      <c r="Z85" s="9" t="s">
        <v>4</v>
      </c>
      <c r="AA85" s="9" t="s">
        <v>5</v>
      </c>
      <c r="AB85" s="9" t="s">
        <v>6</v>
      </c>
      <c r="AC85" s="9" t="s">
        <v>7</v>
      </c>
      <c r="AD85" s="9" t="s">
        <v>8</v>
      </c>
      <c r="AE85" s="9" t="s">
        <v>9</v>
      </c>
      <c r="AF85" s="9" t="s">
        <v>10</v>
      </c>
      <c r="AG85" s="44" t="s">
        <v>139</v>
      </c>
      <c r="AH85" s="85"/>
      <c r="AI85" s="44" t="s">
        <v>138</v>
      </c>
      <c r="AJ85" s="85"/>
    </row>
    <row r="86" spans="2:36" x14ac:dyDescent="0.35">
      <c r="B86" s="85"/>
      <c r="C86" s="85"/>
      <c r="D86" s="172" t="s">
        <v>700</v>
      </c>
      <c r="E86" s="85"/>
      <c r="F86" s="2">
        <v>8.6867300000000007</v>
      </c>
      <c r="G86" s="2">
        <v>11.889760000000001</v>
      </c>
      <c r="H86" s="2">
        <f>G86-F86</f>
        <v>3.20303</v>
      </c>
      <c r="I86" s="2">
        <f>F87-G86</f>
        <v>10.076269999999999</v>
      </c>
      <c r="J86" s="2">
        <f>H86/N86</f>
        <v>0.24120473217714791</v>
      </c>
      <c r="K86" s="2">
        <f>I86/N86</f>
        <v>0.75879526782285212</v>
      </c>
      <c r="L86" s="2">
        <f>1/H86</f>
        <v>0.31220438147628965</v>
      </c>
      <c r="M86" s="2">
        <f>1/N86</f>
        <v>7.5305174218520565E-2</v>
      </c>
      <c r="N86" s="2">
        <f>H86+I86</f>
        <v>13.279299999999999</v>
      </c>
      <c r="O86" s="2">
        <v>18</v>
      </c>
      <c r="P86">
        <f>O86/H86</f>
        <v>5.6196788665732136</v>
      </c>
      <c r="R86" s="85"/>
      <c r="S86" s="85"/>
      <c r="T86" s="85"/>
      <c r="W86">
        <v>63.253309999999999</v>
      </c>
      <c r="X86">
        <v>68.180639999999997</v>
      </c>
      <c r="Y86" s="2">
        <f>X86-W86</f>
        <v>4.9273299999999978</v>
      </c>
      <c r="Z86" s="2">
        <f>W87-X86</f>
        <v>5.079740000000001</v>
      </c>
      <c r="AA86" s="2">
        <f>Y86/AE86</f>
        <v>0.49238488388709167</v>
      </c>
      <c r="AB86" s="2">
        <f>Z86/AE86</f>
        <v>0.50761511611290833</v>
      </c>
      <c r="AC86" s="2">
        <f>1/Y86</f>
        <v>0.20294967051121002</v>
      </c>
      <c r="AD86" s="2">
        <f>1/AE86</f>
        <v>9.9929349949585661E-2</v>
      </c>
      <c r="AE86" s="2">
        <f>Y86+Z86</f>
        <v>10.007069999999999</v>
      </c>
      <c r="AI86" t="s">
        <v>289</v>
      </c>
    </row>
    <row r="87" spans="2:36" x14ac:dyDescent="0.35">
      <c r="B87" s="85"/>
      <c r="C87" s="85"/>
      <c r="D87" s="85"/>
      <c r="E87" s="85"/>
      <c r="F87" s="2">
        <v>21.96603</v>
      </c>
      <c r="G87" s="2">
        <v>25.9451</v>
      </c>
      <c r="H87" s="2">
        <f t="shared" ref="H87:H93" si="77">G87-F87</f>
        <v>3.9790700000000001</v>
      </c>
      <c r="I87" s="2">
        <f t="shared" ref="I87:I93" si="78">F88-G87</f>
        <v>9.1870500000000028</v>
      </c>
      <c r="J87" s="2">
        <f t="shared" ref="J87:J93" si="79">H87/N87</f>
        <v>0.30222039598606115</v>
      </c>
      <c r="K87" s="2">
        <f t="shared" ref="K87:K93" si="80">I87/N87</f>
        <v>0.6977796040139389</v>
      </c>
      <c r="L87" s="2">
        <f t="shared" ref="L87:L93" si="81">1/H87</f>
        <v>0.2513150057676794</v>
      </c>
      <c r="M87" s="2">
        <f t="shared" ref="M87:M93" si="82">1/N87</f>
        <v>7.5952520560347292E-2</v>
      </c>
      <c r="N87" s="2">
        <f t="shared" ref="N87:N93" si="83">H87+I87</f>
        <v>13.166120000000003</v>
      </c>
      <c r="O87" s="2">
        <v>24</v>
      </c>
      <c r="P87">
        <f t="shared" ref="P87:P93" si="84">O87/H87</f>
        <v>6.0315601384243047</v>
      </c>
      <c r="R87" s="85"/>
      <c r="S87" s="85"/>
      <c r="T87" s="85"/>
      <c r="W87">
        <v>73.260379999999998</v>
      </c>
      <c r="X87">
        <v>77.952460000000002</v>
      </c>
      <c r="Y87" s="2">
        <f>X87-W87</f>
        <v>4.6920800000000042</v>
      </c>
      <c r="Z87" s="2">
        <f>W88-X87</f>
        <v>5.1277000000000044</v>
      </c>
      <c r="AA87" s="2">
        <f>Y87/AE87</f>
        <v>0.47781925867992969</v>
      </c>
      <c r="AB87" s="2">
        <f>Z87/AE87</f>
        <v>0.52218074132007031</v>
      </c>
      <c r="AC87" s="2">
        <f>1/Y87</f>
        <v>0.21312509590629297</v>
      </c>
      <c r="AD87" s="2">
        <f t="shared" ref="AD87:AD101" si="85">1/AE87</f>
        <v>0.10183527533203382</v>
      </c>
      <c r="AE87" s="2">
        <f>Y87+Z87</f>
        <v>9.8197800000000086</v>
      </c>
    </row>
    <row r="88" spans="2:36" x14ac:dyDescent="0.35">
      <c r="B88" s="85"/>
      <c r="C88" s="85"/>
      <c r="D88" s="85"/>
      <c r="E88" s="85"/>
      <c r="F88" s="2">
        <v>35.132150000000003</v>
      </c>
      <c r="G88" s="2">
        <v>38.927799999999998</v>
      </c>
      <c r="H88" s="2">
        <f t="shared" si="77"/>
        <v>3.7956499999999949</v>
      </c>
      <c r="I88" s="2">
        <f t="shared" si="78"/>
        <v>9.6572400000000016</v>
      </c>
      <c r="J88" s="2">
        <f t="shared" si="79"/>
        <v>0.28214383675180543</v>
      </c>
      <c r="K88" s="2">
        <f t="shared" si="80"/>
        <v>0.71785616324819457</v>
      </c>
      <c r="L88" s="2">
        <f t="shared" si="81"/>
        <v>0.26345948651746115</v>
      </c>
      <c r="M88" s="2">
        <f t="shared" si="82"/>
        <v>7.4333470354697034E-2</v>
      </c>
      <c r="N88" s="2">
        <f t="shared" si="83"/>
        <v>13.452889999999996</v>
      </c>
      <c r="O88" s="2">
        <v>22</v>
      </c>
      <c r="P88">
        <f t="shared" si="84"/>
        <v>5.796108703384145</v>
      </c>
      <c r="R88" s="85"/>
      <c r="S88" s="85"/>
      <c r="T88" s="85"/>
      <c r="V88" s="91" t="s">
        <v>235</v>
      </c>
      <c r="W88" s="144">
        <v>83.080160000000006</v>
      </c>
      <c r="X88" s="144">
        <v>86.978070000000002</v>
      </c>
      <c r="Y88" s="91">
        <f>X88-W88</f>
        <v>3.897909999999996</v>
      </c>
      <c r="Z88" s="91">
        <f>W89-X88</f>
        <v>6.9257999999999953</v>
      </c>
      <c r="AA88" s="91">
        <f>Y88/AE88</f>
        <v>0.36012698049005371</v>
      </c>
      <c r="AB88" s="91">
        <f>Z88/AE88</f>
        <v>0.63987301950994635</v>
      </c>
      <c r="AC88" s="91">
        <f>1/Y88</f>
        <v>0.25654773968613975</v>
      </c>
      <c r="AD88" s="91">
        <f t="shared" si="85"/>
        <v>9.2389762844717824E-2</v>
      </c>
      <c r="AE88" s="91">
        <f>Y88+Z88</f>
        <v>10.823709999999991</v>
      </c>
    </row>
    <row r="89" spans="2:36" x14ac:dyDescent="0.35">
      <c r="B89" s="85"/>
      <c r="C89" s="85"/>
      <c r="D89" s="85"/>
      <c r="E89" s="85"/>
      <c r="F89" s="13">
        <v>48.585039999999999</v>
      </c>
      <c r="G89" s="13">
        <v>52.560209999999998</v>
      </c>
      <c r="H89" s="2">
        <f t="shared" si="77"/>
        <v>3.9751699999999985</v>
      </c>
      <c r="I89" s="2">
        <f t="shared" si="78"/>
        <v>7.8872400000000056</v>
      </c>
      <c r="J89" s="2">
        <f t="shared" si="79"/>
        <v>0.33510644127120859</v>
      </c>
      <c r="K89" s="2">
        <f t="shared" si="80"/>
        <v>0.66489355872879141</v>
      </c>
      <c r="L89" s="2">
        <f t="shared" si="81"/>
        <v>0.25156156843606697</v>
      </c>
      <c r="M89" s="2">
        <f t="shared" si="82"/>
        <v>8.4299901959213996E-2</v>
      </c>
      <c r="N89" s="2">
        <f t="shared" si="83"/>
        <v>11.862410000000004</v>
      </c>
      <c r="O89" s="13">
        <v>25</v>
      </c>
      <c r="P89">
        <f t="shared" si="84"/>
        <v>6.2890392109016746</v>
      </c>
      <c r="R89" s="85"/>
      <c r="S89" s="85"/>
      <c r="T89" s="85"/>
      <c r="W89">
        <v>93.903869999999998</v>
      </c>
      <c r="X89">
        <v>98.677310000000006</v>
      </c>
      <c r="Y89" s="2">
        <f>X89-W89</f>
        <v>4.7734400000000079</v>
      </c>
      <c r="Z89" s="2">
        <f>W90-X89</f>
        <v>7.2338599999999929</v>
      </c>
      <c r="AA89" s="2">
        <f>Y89/AE89</f>
        <v>0.39754482689697163</v>
      </c>
      <c r="AB89" s="2">
        <f>Z89/AE89</f>
        <v>0.60245517310302832</v>
      </c>
      <c r="AC89" s="2">
        <f>1/Y89</f>
        <v>0.20949252530669671</v>
      </c>
      <c r="AD89" s="2">
        <f t="shared" si="85"/>
        <v>8.3282669709260196E-2</v>
      </c>
      <c r="AE89" s="2">
        <f>Y89+Z89</f>
        <v>12.007300000000001</v>
      </c>
    </row>
    <row r="90" spans="2:36" x14ac:dyDescent="0.35">
      <c r="B90" s="85"/>
      <c r="C90" s="85"/>
      <c r="D90" s="85"/>
      <c r="E90" s="85"/>
      <c r="F90" s="13">
        <v>60.447450000000003</v>
      </c>
      <c r="G90" s="13">
        <v>64.222930000000005</v>
      </c>
      <c r="H90" s="2">
        <f t="shared" si="77"/>
        <v>3.7754800000000017</v>
      </c>
      <c r="I90" s="2">
        <f t="shared" si="78"/>
        <v>7.7826499999999896</v>
      </c>
      <c r="J90" s="2">
        <f t="shared" si="79"/>
        <v>0.32665145659375733</v>
      </c>
      <c r="K90" s="2">
        <f t="shared" si="80"/>
        <v>0.67334854340624262</v>
      </c>
      <c r="L90" s="2">
        <f t="shared" si="81"/>
        <v>0.26486698380073515</v>
      </c>
      <c r="M90" s="2">
        <f t="shared" si="82"/>
        <v>8.6519186062105263E-2</v>
      </c>
      <c r="N90" s="2">
        <f t="shared" si="83"/>
        <v>11.558129999999991</v>
      </c>
      <c r="O90" s="13">
        <v>21</v>
      </c>
      <c r="P90">
        <f t="shared" si="84"/>
        <v>5.5622066598154385</v>
      </c>
      <c r="R90" s="85"/>
      <c r="S90" s="85"/>
      <c r="T90" s="85"/>
      <c r="V90" s="91" t="s">
        <v>235</v>
      </c>
      <c r="W90" s="144">
        <v>105.91117</v>
      </c>
      <c r="X90" s="144">
        <v>109.77567000000001</v>
      </c>
      <c r="Y90" s="91">
        <f>X90-W90</f>
        <v>3.8645000000000067</v>
      </c>
      <c r="Z90" s="91">
        <f>W91-X90</f>
        <v>7.094229999999996</v>
      </c>
      <c r="AA90" s="91">
        <f>Y90/AE90</f>
        <v>0.35264122758750382</v>
      </c>
      <c r="AB90" s="91">
        <f>Z90/AE90</f>
        <v>0.64735877241249618</v>
      </c>
      <c r="AC90" s="91">
        <f>1/Y90</f>
        <v>0.25876568766981456</v>
      </c>
      <c r="AD90" s="91">
        <f t="shared" si="85"/>
        <v>9.1251449757407996E-2</v>
      </c>
      <c r="AE90" s="91">
        <f>Y90+Z90</f>
        <v>10.958730000000003</v>
      </c>
    </row>
    <row r="91" spans="2:36" x14ac:dyDescent="0.35">
      <c r="B91" s="85"/>
      <c r="C91" s="85"/>
      <c r="D91" s="85"/>
      <c r="E91" s="85"/>
      <c r="F91" s="13">
        <v>72.005579999999995</v>
      </c>
      <c r="G91" s="13">
        <v>75.148799999999994</v>
      </c>
      <c r="H91" s="2">
        <f t="shared" si="77"/>
        <v>3.1432199999999995</v>
      </c>
      <c r="I91" s="2">
        <f t="shared" si="78"/>
        <v>10.158940000000001</v>
      </c>
      <c r="J91" s="2">
        <f t="shared" si="79"/>
        <v>0.23629395526741517</v>
      </c>
      <c r="K91" s="2">
        <f t="shared" si="80"/>
        <v>0.76370604473258485</v>
      </c>
      <c r="L91" s="2">
        <f t="shared" si="81"/>
        <v>0.31814508688542326</v>
      </c>
      <c r="M91" s="2">
        <f t="shared" si="82"/>
        <v>7.5175760929052121E-2</v>
      </c>
      <c r="N91" s="2">
        <f t="shared" si="83"/>
        <v>13.302160000000001</v>
      </c>
      <c r="O91" s="13">
        <v>19</v>
      </c>
      <c r="P91">
        <f t="shared" si="84"/>
        <v>6.0447566508230421</v>
      </c>
      <c r="R91" s="85"/>
      <c r="S91" s="85"/>
      <c r="T91" s="85"/>
      <c r="V91" s="91" t="s">
        <v>235</v>
      </c>
      <c r="W91" s="144">
        <v>116.8699</v>
      </c>
      <c r="X91" s="144">
        <v>120.52539</v>
      </c>
      <c r="Y91" s="91">
        <f t="shared" ref="Y91:Y101" si="86">X91-W91</f>
        <v>3.6554900000000004</v>
      </c>
      <c r="Z91" s="91">
        <f t="shared" ref="Z91:Z101" si="87">W92-X91</f>
        <v>4.8182000000000045</v>
      </c>
      <c r="AA91" s="91">
        <f t="shared" ref="AA91:AA101" si="88">Y91/AE91</f>
        <v>0.43139293507314974</v>
      </c>
      <c r="AB91" s="91">
        <f t="shared" ref="AB91:AB101" si="89">Z91/AE91</f>
        <v>0.5686070649268502</v>
      </c>
      <c r="AC91" s="91">
        <f t="shared" ref="AC91:AC101" si="90">1/Y91</f>
        <v>0.27356113681066008</v>
      </c>
      <c r="AD91" s="91">
        <f t="shared" si="85"/>
        <v>0.11801234173069813</v>
      </c>
      <c r="AE91" s="91">
        <f t="shared" ref="AE91:AE101" si="91">Y91+Z91</f>
        <v>8.4736900000000048</v>
      </c>
    </row>
    <row r="92" spans="2:36" x14ac:dyDescent="0.35">
      <c r="B92" s="85"/>
      <c r="C92" s="85"/>
      <c r="D92" s="85"/>
      <c r="E92" s="85"/>
      <c r="F92" s="13">
        <v>85.307739999999995</v>
      </c>
      <c r="G92" s="13">
        <v>88.526499999999999</v>
      </c>
      <c r="H92" s="2">
        <f t="shared" si="77"/>
        <v>3.2187600000000032</v>
      </c>
      <c r="I92" s="2">
        <f t="shared" si="78"/>
        <v>8.4757699999999971</v>
      </c>
      <c r="J92" s="2">
        <f t="shared" si="79"/>
        <v>0.27523637119234401</v>
      </c>
      <c r="K92" s="2">
        <f t="shared" si="80"/>
        <v>0.72476362880765599</v>
      </c>
      <c r="L92" s="2">
        <f t="shared" si="81"/>
        <v>0.31067864643527293</v>
      </c>
      <c r="M92" s="2">
        <f t="shared" si="82"/>
        <v>8.5510063251793791E-2</v>
      </c>
      <c r="N92" s="2">
        <f t="shared" si="83"/>
        <v>11.69453</v>
      </c>
      <c r="O92" s="13">
        <v>17</v>
      </c>
      <c r="P92">
        <f t="shared" si="84"/>
        <v>5.2815369893996396</v>
      </c>
      <c r="R92" s="85"/>
      <c r="S92" s="85"/>
      <c r="T92" s="85"/>
      <c r="V92" s="91" t="s">
        <v>235</v>
      </c>
      <c r="W92" s="144">
        <v>125.34359000000001</v>
      </c>
      <c r="X92" s="144">
        <v>129.33157</v>
      </c>
      <c r="Y92" s="91">
        <f t="shared" si="86"/>
        <v>3.9879799999999932</v>
      </c>
      <c r="Z92" s="91">
        <f t="shared" si="87"/>
        <v>5.815100000000001</v>
      </c>
      <c r="AA92" s="91">
        <f t="shared" si="88"/>
        <v>0.40680888047429947</v>
      </c>
      <c r="AB92" s="91">
        <f t="shared" si="89"/>
        <v>0.59319111952570058</v>
      </c>
      <c r="AC92" s="91">
        <f t="shared" si="90"/>
        <v>0.25075351431050347</v>
      </c>
      <c r="AD92" s="91">
        <f t="shared" si="85"/>
        <v>0.10200875643165215</v>
      </c>
      <c r="AE92" s="91">
        <f t="shared" si="91"/>
        <v>9.8030799999999942</v>
      </c>
      <c r="AI92" t="s">
        <v>290</v>
      </c>
    </row>
    <row r="93" spans="2:36" x14ac:dyDescent="0.35">
      <c r="B93" s="85"/>
      <c r="C93" s="85"/>
      <c r="D93" s="85"/>
      <c r="E93" s="85"/>
      <c r="F93" s="13">
        <v>97.002269999999996</v>
      </c>
      <c r="G93" s="13">
        <v>99.327870000000004</v>
      </c>
      <c r="H93" s="2">
        <f t="shared" si="77"/>
        <v>2.3256000000000085</v>
      </c>
      <c r="I93" s="2">
        <f t="shared" si="78"/>
        <v>9.1565399999999926</v>
      </c>
      <c r="J93" s="2">
        <f t="shared" si="79"/>
        <v>0.20254064137869843</v>
      </c>
      <c r="K93" s="2">
        <f t="shared" si="80"/>
        <v>0.79745935862130157</v>
      </c>
      <c r="L93" s="2">
        <f t="shared" si="81"/>
        <v>0.42999656002751818</v>
      </c>
      <c r="M93" s="2">
        <f t="shared" si="82"/>
        <v>8.709177905860753E-2</v>
      </c>
      <c r="N93" s="2">
        <f t="shared" si="83"/>
        <v>11.482140000000001</v>
      </c>
      <c r="O93" s="13">
        <v>14</v>
      </c>
      <c r="P93">
        <f t="shared" si="84"/>
        <v>6.0199518403852545</v>
      </c>
      <c r="R93" s="85"/>
      <c r="S93" s="85"/>
      <c r="T93" s="85"/>
      <c r="W93">
        <v>135.14667</v>
      </c>
      <c r="X93">
        <v>140.20956999999999</v>
      </c>
      <c r="Y93" s="2">
        <f t="shared" si="86"/>
        <v>5.0628999999999849</v>
      </c>
      <c r="Z93" s="2">
        <f t="shared" si="87"/>
        <v>5.8296000000000276</v>
      </c>
      <c r="AA93" s="2">
        <f t="shared" si="88"/>
        <v>0.4648060592150543</v>
      </c>
      <c r="AB93" s="2">
        <f t="shared" si="89"/>
        <v>0.53519394078494564</v>
      </c>
      <c r="AC93" s="2">
        <f t="shared" si="90"/>
        <v>0.19751525805368525</v>
      </c>
      <c r="AD93" s="2">
        <f t="shared" si="85"/>
        <v>9.1806288730777952E-2</v>
      </c>
      <c r="AE93" s="2">
        <f t="shared" si="91"/>
        <v>10.892500000000013</v>
      </c>
    </row>
    <row r="94" spans="2:36" x14ac:dyDescent="0.35">
      <c r="B94" s="85"/>
      <c r="C94" s="85"/>
      <c r="D94" s="85"/>
      <c r="E94" s="85"/>
      <c r="F94" s="13">
        <v>108.48441</v>
      </c>
      <c r="G94" s="13">
        <v>112.00089</v>
      </c>
      <c r="H94" s="2"/>
      <c r="I94" s="2"/>
      <c r="J94" s="2"/>
      <c r="K94" s="2"/>
      <c r="L94" s="2"/>
      <c r="M94" s="2"/>
      <c r="N94" s="2"/>
      <c r="O94" s="2"/>
      <c r="R94" s="85"/>
      <c r="S94" s="85"/>
      <c r="T94" s="85"/>
      <c r="V94" s="91" t="s">
        <v>235</v>
      </c>
      <c r="W94" s="144">
        <v>146.03917000000001</v>
      </c>
      <c r="X94" s="144">
        <v>149.80837</v>
      </c>
      <c r="Y94" s="91">
        <f t="shared" si="86"/>
        <v>3.7691999999999837</v>
      </c>
      <c r="Z94" s="91">
        <f t="shared" si="87"/>
        <v>8.0274900000000002</v>
      </c>
      <c r="AA94" s="91">
        <f t="shared" si="88"/>
        <v>0.31951335501738104</v>
      </c>
      <c r="AB94" s="91">
        <f t="shared" si="89"/>
        <v>0.6804866449826189</v>
      </c>
      <c r="AC94" s="91">
        <f t="shared" si="90"/>
        <v>0.2653082882309255</v>
      </c>
      <c r="AD94" s="91">
        <f t="shared" si="85"/>
        <v>8.4769541286581346E-2</v>
      </c>
      <c r="AE94" s="91">
        <f t="shared" si="91"/>
        <v>11.796689999999984</v>
      </c>
    </row>
    <row r="95" spans="2:36" x14ac:dyDescent="0.35">
      <c r="B95" s="85"/>
      <c r="C95" s="85"/>
      <c r="D95" s="85"/>
      <c r="E95" s="85"/>
      <c r="F95" s="13"/>
      <c r="G95" s="13"/>
      <c r="H95" s="2"/>
      <c r="I95" s="2"/>
      <c r="J95" s="2"/>
      <c r="K95" s="2"/>
      <c r="L95" s="2"/>
      <c r="M95" s="2"/>
      <c r="N95" s="2"/>
      <c r="O95" s="2"/>
      <c r="R95" s="85"/>
      <c r="S95" s="85"/>
      <c r="T95" s="85"/>
      <c r="W95">
        <v>157.83586</v>
      </c>
      <c r="X95">
        <v>162.61113</v>
      </c>
      <c r="Y95" s="2">
        <f t="shared" si="86"/>
        <v>4.7752700000000061</v>
      </c>
      <c r="Z95" s="2">
        <f t="shared" si="87"/>
        <v>6.1908399999999801</v>
      </c>
      <c r="AA95" s="2">
        <f t="shared" si="88"/>
        <v>0.43545705815462477</v>
      </c>
      <c r="AB95" s="2">
        <f t="shared" si="89"/>
        <v>0.56454294184537523</v>
      </c>
      <c r="AC95" s="2">
        <f t="shared" si="90"/>
        <v>0.20941224265853003</v>
      </c>
      <c r="AD95" s="2">
        <f t="shared" si="85"/>
        <v>9.1190039129645906E-2</v>
      </c>
      <c r="AE95" s="2">
        <f t="shared" si="91"/>
        <v>10.966109999999986</v>
      </c>
    </row>
    <row r="96" spans="2:36" ht="16" thickBot="1" x14ac:dyDescent="0.4">
      <c r="B96" s="85"/>
      <c r="C96" s="85"/>
      <c r="D96" s="85"/>
      <c r="E96" s="85"/>
      <c r="F96" s="13"/>
      <c r="G96" s="13"/>
      <c r="H96" s="9" t="s">
        <v>3</v>
      </c>
      <c r="I96" s="9" t="s">
        <v>4</v>
      </c>
      <c r="J96" s="9" t="s">
        <v>5</v>
      </c>
      <c r="K96" s="9" t="s">
        <v>6</v>
      </c>
      <c r="L96" s="9" t="s">
        <v>7</v>
      </c>
      <c r="M96" s="9" t="s">
        <v>8</v>
      </c>
      <c r="N96" s="9" t="s">
        <v>9</v>
      </c>
      <c r="O96" s="9" t="s">
        <v>10</v>
      </c>
      <c r="P96" s="44" t="s">
        <v>139</v>
      </c>
      <c r="R96" s="85"/>
      <c r="S96" s="85"/>
      <c r="T96" s="85"/>
      <c r="V96" s="91" t="s">
        <v>235</v>
      </c>
      <c r="W96" s="144">
        <v>168.80196999999998</v>
      </c>
      <c r="X96" s="144">
        <v>173.3056</v>
      </c>
      <c r="Y96" s="91">
        <f t="shared" si="86"/>
        <v>4.5036300000000153</v>
      </c>
      <c r="Z96" s="91">
        <f t="shared" si="87"/>
        <v>5.152070000000009</v>
      </c>
      <c r="AA96" s="91">
        <f t="shared" si="88"/>
        <v>0.46642190623155277</v>
      </c>
      <c r="AB96" s="91">
        <f t="shared" si="89"/>
        <v>0.53357809376844723</v>
      </c>
      <c r="AC96" s="91">
        <f t="shared" si="90"/>
        <v>0.22204310744887937</v>
      </c>
      <c r="AD96" s="91">
        <f t="shared" si="85"/>
        <v>0.10356576944188381</v>
      </c>
      <c r="AE96" s="91">
        <f t="shared" si="91"/>
        <v>9.6557000000000244</v>
      </c>
    </row>
    <row r="97" spans="2:33" x14ac:dyDescent="0.35">
      <c r="B97" s="85"/>
      <c r="C97" s="85"/>
      <c r="D97" s="85"/>
      <c r="E97" s="85"/>
      <c r="F97" s="13"/>
      <c r="G97" s="49" t="s">
        <v>77</v>
      </c>
      <c r="H97" s="13">
        <f>AVERAGE(H86:H93)</f>
        <v>3.4269975000000006</v>
      </c>
      <c r="I97" s="13">
        <f t="shared" ref="I97:P97" si="92">AVERAGE(I86:I93)</f>
        <v>9.0477124999999994</v>
      </c>
      <c r="J97" s="13">
        <f t="shared" si="92"/>
        <v>0.27517472882730476</v>
      </c>
      <c r="K97" s="13">
        <f t="shared" si="92"/>
        <v>0.72482527117269524</v>
      </c>
      <c r="L97" s="13">
        <f t="shared" si="92"/>
        <v>0.30027846491830579</v>
      </c>
      <c r="M97" s="13">
        <f t="shared" si="92"/>
        <v>8.0523482049292203E-2</v>
      </c>
      <c r="N97" s="13">
        <f t="shared" si="92"/>
        <v>12.474709999999998</v>
      </c>
      <c r="O97" s="13">
        <f t="shared" si="92"/>
        <v>20</v>
      </c>
      <c r="P97" s="13">
        <f t="shared" si="92"/>
        <v>5.830604882463339</v>
      </c>
      <c r="R97" s="85"/>
      <c r="S97" s="85"/>
      <c r="T97" s="85"/>
      <c r="W97">
        <v>178.45767000000001</v>
      </c>
      <c r="X97">
        <v>183.51118</v>
      </c>
      <c r="Y97" s="2">
        <f t="shared" si="86"/>
        <v>5.0535099999999886</v>
      </c>
      <c r="Z97" s="2">
        <f t="shared" si="87"/>
        <v>6.9161200000000065</v>
      </c>
      <c r="AA97" s="2">
        <f t="shared" si="88"/>
        <v>0.42219433683413693</v>
      </c>
      <c r="AB97" s="2">
        <f t="shared" si="89"/>
        <v>0.57780566316586301</v>
      </c>
      <c r="AC97" s="2">
        <f t="shared" si="90"/>
        <v>0.19788226401055944</v>
      </c>
      <c r="AD97" s="2">
        <f t="shared" si="85"/>
        <v>8.3544771225175743E-2</v>
      </c>
      <c r="AE97" s="2">
        <f t="shared" si="91"/>
        <v>11.969629999999995</v>
      </c>
    </row>
    <row r="98" spans="2:33" x14ac:dyDescent="0.35">
      <c r="F98" s="13"/>
      <c r="G98" s="49" t="s">
        <v>94</v>
      </c>
      <c r="H98" s="2">
        <f>_xlfn.STDEV.S(H86:H93)</f>
        <v>0.56691549805567354</v>
      </c>
      <c r="I98" s="2">
        <f t="shared" ref="I98:P98" si="93">_xlfn.STDEV.S(I86:I93)</f>
        <v>0.92348230704298351</v>
      </c>
      <c r="J98" s="2">
        <f t="shared" si="93"/>
        <v>4.6234016418998873E-2</v>
      </c>
      <c r="K98" s="2">
        <f t="shared" si="93"/>
        <v>4.6234016418998963E-2</v>
      </c>
      <c r="L98" s="2">
        <f t="shared" si="93"/>
        <v>5.9494007070209243E-2</v>
      </c>
      <c r="M98" s="2">
        <f t="shared" si="93"/>
        <v>5.7725597583522699E-3</v>
      </c>
      <c r="N98" s="2">
        <f t="shared" si="93"/>
        <v>0.89249479348621452</v>
      </c>
      <c r="O98" s="2">
        <f t="shared" si="93"/>
        <v>3.7032803990902057</v>
      </c>
      <c r="P98" s="2">
        <f t="shared" si="93"/>
        <v>0.32764336587629284</v>
      </c>
      <c r="V98" s="91" t="s">
        <v>235</v>
      </c>
      <c r="W98" s="144">
        <v>190.4273</v>
      </c>
      <c r="X98" s="144">
        <v>195.20929999999998</v>
      </c>
      <c r="Y98" s="91">
        <f t="shared" si="86"/>
        <v>4.7819999999999823</v>
      </c>
      <c r="Z98" s="91">
        <f t="shared" si="87"/>
        <v>6.0387400000000184</v>
      </c>
      <c r="AA98" s="91">
        <f t="shared" si="88"/>
        <v>0.44192911020872711</v>
      </c>
      <c r="AB98" s="91">
        <f t="shared" si="89"/>
        <v>0.55807088979127284</v>
      </c>
      <c r="AC98" s="91">
        <f t="shared" si="90"/>
        <v>0.20911752404851605</v>
      </c>
      <c r="AD98" s="91">
        <f t="shared" si="85"/>
        <v>9.2415121331812788E-2</v>
      </c>
      <c r="AE98" s="91">
        <f t="shared" si="91"/>
        <v>10.820740000000001</v>
      </c>
    </row>
    <row r="99" spans="2:33" x14ac:dyDescent="0.35">
      <c r="F99" s="13"/>
      <c r="G99" s="49" t="s">
        <v>95</v>
      </c>
      <c r="H99" s="2">
        <f t="shared" ref="H99:P99" si="94">H98/(SQRT(COUNT(H86:H93)))</f>
        <v>0.20043489651745786</v>
      </c>
      <c r="I99" s="2">
        <f t="shared" si="94"/>
        <v>0.32650030080794551</v>
      </c>
      <c r="J99" s="2">
        <f t="shared" si="94"/>
        <v>1.6346193265682141E-2</v>
      </c>
      <c r="K99" s="2">
        <f t="shared" si="94"/>
        <v>1.6346193265682173E-2</v>
      </c>
      <c r="L99" s="2">
        <f t="shared" si="94"/>
        <v>2.1034307919652679E-2</v>
      </c>
      <c r="M99" s="2">
        <f t="shared" si="94"/>
        <v>2.040908074967734E-3</v>
      </c>
      <c r="N99" s="2">
        <f t="shared" si="94"/>
        <v>0.31554456032389477</v>
      </c>
      <c r="O99" s="2">
        <f t="shared" si="94"/>
        <v>1.3093073414159542</v>
      </c>
      <c r="P99" s="2">
        <f t="shared" si="94"/>
        <v>0.11583942291095586</v>
      </c>
      <c r="W99">
        <v>201.24804</v>
      </c>
      <c r="X99">
        <v>206.01219</v>
      </c>
      <c r="Y99" s="2">
        <f t="shared" si="86"/>
        <v>4.7641500000000008</v>
      </c>
      <c r="Z99" s="2">
        <f t="shared" si="87"/>
        <v>9.0967100000000016</v>
      </c>
      <c r="AA99" s="2">
        <f t="shared" si="88"/>
        <v>0.34371243919929934</v>
      </c>
      <c r="AB99" s="2">
        <f t="shared" si="89"/>
        <v>0.65628756080070072</v>
      </c>
      <c r="AC99" s="2">
        <f t="shared" si="90"/>
        <v>0.2099010316635706</v>
      </c>
      <c r="AD99" s="2">
        <f t="shared" si="85"/>
        <v>7.2145595583535213E-2</v>
      </c>
      <c r="AE99" s="2">
        <f t="shared" si="91"/>
        <v>13.860860000000002</v>
      </c>
    </row>
    <row r="100" spans="2:33" x14ac:dyDescent="0.35">
      <c r="F100" s="13"/>
      <c r="G100" s="49"/>
      <c r="H100" s="2"/>
      <c r="I100" s="2"/>
      <c r="J100" s="2"/>
      <c r="K100" s="2"/>
      <c r="L100" s="2"/>
      <c r="M100" s="2"/>
      <c r="N100" s="2"/>
      <c r="O100" s="2"/>
      <c r="P100" s="2"/>
      <c r="W100">
        <v>215.10890000000001</v>
      </c>
      <c r="X100">
        <v>220.20787999999999</v>
      </c>
      <c r="Y100" s="2">
        <f t="shared" si="86"/>
        <v>5.0989799999999832</v>
      </c>
      <c r="Z100" s="2">
        <f t="shared" si="87"/>
        <v>6.9310900000000117</v>
      </c>
      <c r="AA100" s="2">
        <f t="shared" si="88"/>
        <v>0.42385289528655989</v>
      </c>
      <c r="AB100" s="2">
        <f t="shared" si="89"/>
        <v>0.57614710471344011</v>
      </c>
      <c r="AC100" s="2">
        <f t="shared" si="90"/>
        <v>0.19611765490353036</v>
      </c>
      <c r="AD100" s="2">
        <f t="shared" si="85"/>
        <v>8.3125035847671738E-2</v>
      </c>
      <c r="AE100" s="2">
        <f t="shared" si="91"/>
        <v>12.030069999999995</v>
      </c>
    </row>
    <row r="101" spans="2:33" x14ac:dyDescent="0.35">
      <c r="F101" s="13"/>
      <c r="G101" s="49"/>
      <c r="H101" s="2"/>
      <c r="I101" s="2"/>
      <c r="J101" s="2"/>
      <c r="K101" s="2"/>
      <c r="L101" s="2"/>
      <c r="M101" s="2"/>
      <c r="N101" s="2"/>
      <c r="O101" s="2"/>
      <c r="P101" s="2"/>
      <c r="V101" s="91" t="s">
        <v>235</v>
      </c>
      <c r="W101" s="144">
        <v>227.13897</v>
      </c>
      <c r="X101" s="144">
        <v>231.72863999999998</v>
      </c>
      <c r="Y101" s="91">
        <f t="shared" si="86"/>
        <v>4.5896699999999839</v>
      </c>
      <c r="Z101" s="91">
        <f t="shared" si="87"/>
        <v>6.2195500000000266</v>
      </c>
      <c r="AA101" s="91">
        <f t="shared" si="88"/>
        <v>0.42460695591356079</v>
      </c>
      <c r="AB101" s="91">
        <f t="shared" si="89"/>
        <v>0.57539304408643921</v>
      </c>
      <c r="AC101" s="91">
        <f t="shared" si="90"/>
        <v>0.21788058836474158</v>
      </c>
      <c r="AD101" s="91">
        <f t="shared" si="85"/>
        <v>9.2513613378208515E-2</v>
      </c>
      <c r="AE101" s="91">
        <f t="shared" si="91"/>
        <v>10.80922000000001</v>
      </c>
    </row>
    <row r="102" spans="2:33" x14ac:dyDescent="0.35">
      <c r="F102" s="13"/>
      <c r="G102" s="49"/>
      <c r="H102" s="2"/>
      <c r="I102" s="2"/>
      <c r="J102" s="2"/>
      <c r="K102" s="2"/>
      <c r="L102" s="2"/>
      <c r="M102" s="2"/>
      <c r="N102" s="2"/>
      <c r="O102" s="2"/>
      <c r="P102" s="2"/>
      <c r="W102">
        <v>237.94819000000001</v>
      </c>
      <c r="X102">
        <v>239.82101</v>
      </c>
      <c r="Y102" s="2"/>
    </row>
    <row r="103" spans="2:33" x14ac:dyDescent="0.35">
      <c r="F103" s="13"/>
      <c r="G103" s="49"/>
      <c r="H103" s="2"/>
      <c r="I103" s="2"/>
      <c r="J103" s="2"/>
      <c r="K103" s="2"/>
      <c r="L103" s="2"/>
      <c r="M103" s="2"/>
      <c r="N103" s="2"/>
      <c r="O103" s="2"/>
      <c r="P103" s="2"/>
    </row>
    <row r="104" spans="2:33" x14ac:dyDescent="0.35">
      <c r="F104" s="13"/>
      <c r="G104" s="49"/>
      <c r="H104" s="2"/>
      <c r="I104" s="2"/>
      <c r="J104" s="2"/>
      <c r="K104" s="2"/>
      <c r="L104" s="2"/>
      <c r="M104" s="2"/>
      <c r="N104" s="2"/>
      <c r="O104" s="2"/>
      <c r="P104" s="2"/>
    </row>
    <row r="105" spans="2:33" ht="15.5" x14ac:dyDescent="0.35">
      <c r="C105" s="155"/>
      <c r="G105" s="2"/>
      <c r="H105" s="5"/>
      <c r="I105" s="5"/>
      <c r="J105" s="5"/>
      <c r="K105" s="5"/>
      <c r="L105" s="5"/>
      <c r="M105" s="5"/>
      <c r="N105" s="5"/>
      <c r="O105" s="5"/>
      <c r="P105" s="14"/>
      <c r="Q105" s="2"/>
      <c r="R105" s="2"/>
      <c r="S105" s="2"/>
      <c r="T105" s="2"/>
      <c r="U105" s="2"/>
      <c r="V105" s="2"/>
      <c r="W105" s="2"/>
    </row>
    <row r="106" spans="2:33" ht="18.5" x14ac:dyDescent="0.45">
      <c r="C106" s="155"/>
      <c r="E106" s="104"/>
      <c r="F106" s="1" t="s">
        <v>215</v>
      </c>
      <c r="G106" s="2"/>
      <c r="H106" s="2"/>
      <c r="I106" s="2"/>
      <c r="J106" s="2"/>
      <c r="K106" s="2"/>
      <c r="L106" s="2"/>
      <c r="M106" s="2"/>
      <c r="N106" s="2"/>
      <c r="O106" s="2"/>
      <c r="P106" s="2"/>
      <c r="Q106" s="2"/>
      <c r="R106" s="2"/>
      <c r="S106" s="2"/>
      <c r="T106" s="2"/>
      <c r="U106" s="2"/>
      <c r="V106" s="2"/>
      <c r="W106" s="2"/>
    </row>
    <row r="107" spans="2:33" ht="24" thickBot="1" x14ac:dyDescent="0.6">
      <c r="C107" s="155" t="s">
        <v>216</v>
      </c>
      <c r="D107" s="204" t="s">
        <v>122</v>
      </c>
      <c r="E107" s="104"/>
      <c r="F107" s="9" t="s">
        <v>1</v>
      </c>
      <c r="G107" s="9" t="s">
        <v>2</v>
      </c>
      <c r="H107" s="9" t="s">
        <v>3</v>
      </c>
      <c r="I107" s="9" t="s">
        <v>4</v>
      </c>
      <c r="J107" s="9" t="s">
        <v>5</v>
      </c>
      <c r="K107" s="9" t="s">
        <v>6</v>
      </c>
      <c r="L107" s="9" t="s">
        <v>7</v>
      </c>
      <c r="M107" s="9" t="s">
        <v>8</v>
      </c>
      <c r="N107" s="9" t="s">
        <v>9</v>
      </c>
      <c r="O107" s="9" t="s">
        <v>10</v>
      </c>
      <c r="P107" s="44" t="s">
        <v>139</v>
      </c>
      <c r="R107" s="44" t="s">
        <v>134</v>
      </c>
      <c r="S107" s="2"/>
      <c r="T107" s="2"/>
      <c r="U107" s="2"/>
      <c r="V107" s="137" t="s">
        <v>125</v>
      </c>
      <c r="W107" s="2"/>
      <c r="X107" s="13"/>
      <c r="Y107" s="9" t="s">
        <v>3</v>
      </c>
      <c r="Z107" s="9" t="s">
        <v>4</v>
      </c>
      <c r="AA107" s="9" t="s">
        <v>5</v>
      </c>
      <c r="AB107" s="9" t="s">
        <v>6</v>
      </c>
      <c r="AC107" s="9" t="s">
        <v>7</v>
      </c>
      <c r="AD107" s="9" t="s">
        <v>8</v>
      </c>
      <c r="AE107" s="9" t="s">
        <v>9</v>
      </c>
      <c r="AF107" s="9" t="s">
        <v>10</v>
      </c>
      <c r="AG107" s="44" t="s">
        <v>139</v>
      </c>
    </row>
    <row r="108" spans="2:33" x14ac:dyDescent="0.35">
      <c r="C108" s="155">
        <v>2</v>
      </c>
      <c r="D108" s="259" t="s">
        <v>700</v>
      </c>
      <c r="E108" s="104"/>
      <c r="F108" s="141">
        <v>9.2854299999999999</v>
      </c>
      <c r="G108" s="45">
        <v>12.838469999999999</v>
      </c>
      <c r="H108" s="2">
        <f>G108-F108</f>
        <v>3.5530399999999993</v>
      </c>
      <c r="I108" s="2">
        <f>F109-G108</f>
        <v>7.8118800000000004</v>
      </c>
      <c r="J108" s="2">
        <f>H108/N108</f>
        <v>0.31263220506611566</v>
      </c>
      <c r="K108" s="2">
        <f>I108/N108</f>
        <v>0.68736779493388434</v>
      </c>
      <c r="L108" s="2">
        <f>1/H108</f>
        <v>0.28144912525611876</v>
      </c>
      <c r="M108" s="2">
        <f>1/N108</f>
        <v>8.7990060642749793E-2</v>
      </c>
      <c r="N108" s="2">
        <f>H108+I108</f>
        <v>11.36492</v>
      </c>
      <c r="O108" s="2">
        <v>20</v>
      </c>
      <c r="P108" s="2">
        <f>O108/H108</f>
        <v>5.6289825051223747</v>
      </c>
      <c r="Q108" s="2"/>
      <c r="R108" t="s">
        <v>262</v>
      </c>
      <c r="S108" s="2"/>
      <c r="T108" s="2"/>
      <c r="U108" s="2"/>
      <c r="V108" s="137"/>
      <c r="W108" s="2"/>
      <c r="X108" s="49" t="s">
        <v>77</v>
      </c>
      <c r="Y108" s="13">
        <f>AVERAGE(Y88,Y90:Y92,Y94,Y96,Y98,Y101)</f>
        <v>4.1312974999999952</v>
      </c>
      <c r="Z108" s="13">
        <f t="shared" ref="Z108:AG108" si="95">AVERAGE(Z88,Z90:Z92,Z94,Z96,Z98,Z101)</f>
        <v>6.2613975000000064</v>
      </c>
      <c r="AA108" s="13">
        <f t="shared" si="95"/>
        <v>0.40043016887452854</v>
      </c>
      <c r="AB108" s="13">
        <f t="shared" si="95"/>
        <v>0.59956983112547146</v>
      </c>
      <c r="AC108" s="13">
        <f t="shared" si="95"/>
        <v>0.24424719832127256</v>
      </c>
      <c r="AD108" s="13">
        <f t="shared" si="95"/>
        <v>9.7115794525370308E-2</v>
      </c>
      <c r="AE108" s="13">
        <f t="shared" si="95"/>
        <v>10.392695000000002</v>
      </c>
      <c r="AF108" s="13" t="e">
        <f t="shared" si="95"/>
        <v>#DIV/0!</v>
      </c>
      <c r="AG108" s="13" t="e">
        <f t="shared" si="95"/>
        <v>#DIV/0!</v>
      </c>
    </row>
    <row r="109" spans="2:33" x14ac:dyDescent="0.35">
      <c r="C109" s="155">
        <v>2</v>
      </c>
      <c r="E109" s="104"/>
      <c r="F109" s="141">
        <v>20.65035</v>
      </c>
      <c r="G109" s="46">
        <v>24.52647</v>
      </c>
      <c r="H109" s="2">
        <f t="shared" ref="H109:H116" si="96">G109-F109</f>
        <v>3.8761200000000002</v>
      </c>
      <c r="I109" s="2">
        <f t="shared" ref="I109:I116" si="97">F110-G109</f>
        <v>9.3161799999999992</v>
      </c>
      <c r="J109" s="2">
        <f t="shared" ref="J109:J115" si="98">H109/N109</f>
        <v>0.29381684770661676</v>
      </c>
      <c r="K109" s="2">
        <f t="shared" ref="K109:K115" si="99">I109/N109</f>
        <v>0.70618315229338324</v>
      </c>
      <c r="L109" s="2">
        <f t="shared" ref="L109:L115" si="100">1/H109</f>
        <v>0.25798994871159819</v>
      </c>
      <c r="M109" s="2">
        <f t="shared" ref="M109:M115" si="101">1/N109</f>
        <v>7.5801793470433518E-2</v>
      </c>
      <c r="N109" s="2">
        <f t="shared" ref="N109:N115" si="102">H109+I109</f>
        <v>13.192299999999999</v>
      </c>
      <c r="O109" s="2">
        <v>21</v>
      </c>
      <c r="P109" s="2">
        <f t="shared" ref="P109:P116" si="103">O109/H109</f>
        <v>5.4177889229435614</v>
      </c>
      <c r="Q109" s="2"/>
      <c r="R109" s="2"/>
      <c r="S109" s="2"/>
      <c r="T109" s="2"/>
      <c r="U109" s="2"/>
      <c r="V109" s="137"/>
      <c r="W109" s="2"/>
      <c r="X109" s="49" t="s">
        <v>94</v>
      </c>
      <c r="Y109" s="2">
        <f>_xlfn.STDEV.S(Y88,Y90:Y92,Y94,Y96,Y98,Y101)</f>
        <v>0.42692396384735859</v>
      </c>
      <c r="Z109" s="2">
        <f t="shared" ref="Z109:AG109" si="104">_xlfn.STDEV.S(Z88,Z90:Z92,Z94,Z96,Z98,Z101)</f>
        <v>1.0568186041099243</v>
      </c>
      <c r="AA109" s="2">
        <f t="shared" si="104"/>
        <v>5.0873274043328767E-2</v>
      </c>
      <c r="AB109" s="2">
        <f t="shared" si="104"/>
        <v>5.087327404332876E-2</v>
      </c>
      <c r="AC109" s="2">
        <f t="shared" si="104"/>
        <v>2.4288775429655456E-2</v>
      </c>
      <c r="AD109" s="2">
        <f t="shared" si="104"/>
        <v>1.0382961465571229E-2</v>
      </c>
      <c r="AE109" s="2">
        <f t="shared" si="104"/>
        <v>1.0286936776736317</v>
      </c>
      <c r="AF109" s="2" t="e">
        <f t="shared" si="104"/>
        <v>#DIV/0!</v>
      </c>
      <c r="AG109" s="2" t="e">
        <f t="shared" si="104"/>
        <v>#DIV/0!</v>
      </c>
    </row>
    <row r="110" spans="2:33" x14ac:dyDescent="0.35">
      <c r="C110" s="155">
        <v>2</v>
      </c>
      <c r="E110" s="104"/>
      <c r="F110" s="141">
        <v>33.842649999999999</v>
      </c>
      <c r="G110" s="141">
        <v>37.411499999999997</v>
      </c>
      <c r="H110" s="2">
        <f t="shared" si="96"/>
        <v>3.5688499999999976</v>
      </c>
      <c r="I110" s="2">
        <f t="shared" si="97"/>
        <v>9.7714400000000055</v>
      </c>
      <c r="J110" s="2">
        <f t="shared" si="98"/>
        <v>0.26752416926468592</v>
      </c>
      <c r="K110" s="2">
        <f t="shared" si="99"/>
        <v>0.73247583073531408</v>
      </c>
      <c r="L110" s="2">
        <f t="shared" si="100"/>
        <v>0.28020230606497909</v>
      </c>
      <c r="M110" s="2">
        <f t="shared" si="101"/>
        <v>7.4960889156082802E-2</v>
      </c>
      <c r="N110" s="2">
        <f t="shared" si="102"/>
        <v>13.340290000000003</v>
      </c>
      <c r="O110">
        <v>20</v>
      </c>
      <c r="P110" s="2">
        <f t="shared" si="103"/>
        <v>5.6040461212995822</v>
      </c>
      <c r="V110" s="137"/>
      <c r="X110" s="49" t="s">
        <v>95</v>
      </c>
      <c r="Y110" s="2">
        <f>Y109/(SQRT(COUNT(Y88,Y90:Y92,Y94,Y96,Y98,Y101)))</f>
        <v>0.15094041494375385</v>
      </c>
      <c r="Z110" s="2">
        <f t="shared" ref="Z110:AG110" si="105">Z109/(SQRT(COUNT(Z88,Z90:Z92,Z94,Z96,Z98,Z101)))</f>
        <v>0.37364180072511438</v>
      </c>
      <c r="AA110" s="2">
        <f t="shared" si="105"/>
        <v>1.7986418528599672E-2</v>
      </c>
      <c r="AB110" s="2">
        <f t="shared" si="105"/>
        <v>1.7986418528599668E-2</v>
      </c>
      <c r="AC110" s="2">
        <f t="shared" si="105"/>
        <v>8.587378906513286E-3</v>
      </c>
      <c r="AD110" s="2">
        <f t="shared" si="105"/>
        <v>3.6709312305520147E-3</v>
      </c>
      <c r="AE110" s="2">
        <f t="shared" si="105"/>
        <v>0.36369813762337677</v>
      </c>
      <c r="AF110" s="2" t="e">
        <f t="shared" si="105"/>
        <v>#DIV/0!</v>
      </c>
      <c r="AG110" s="2" t="e">
        <f t="shared" si="105"/>
        <v>#DIV/0!</v>
      </c>
    </row>
    <row r="111" spans="2:33" x14ac:dyDescent="0.35">
      <c r="C111" s="155">
        <v>2</v>
      </c>
      <c r="E111" s="104"/>
      <c r="F111" s="141">
        <v>47.182940000000002</v>
      </c>
      <c r="G111" s="45">
        <v>50.784610000000001</v>
      </c>
      <c r="H111" s="2">
        <f t="shared" si="96"/>
        <v>3.6016699999999986</v>
      </c>
      <c r="I111" s="2">
        <f t="shared" si="97"/>
        <v>9.6780399999999958</v>
      </c>
      <c r="J111" s="2">
        <f t="shared" si="98"/>
        <v>0.27121601300028392</v>
      </c>
      <c r="K111" s="2">
        <f t="shared" si="99"/>
        <v>0.72878398699971614</v>
      </c>
      <c r="L111" s="2">
        <f t="shared" si="100"/>
        <v>0.27764897950117595</v>
      </c>
      <c r="M111" s="2">
        <f t="shared" si="101"/>
        <v>7.5302849233906496E-2</v>
      </c>
      <c r="N111" s="2">
        <f t="shared" si="102"/>
        <v>13.279709999999994</v>
      </c>
      <c r="O111">
        <v>21</v>
      </c>
      <c r="P111" s="2">
        <f t="shared" si="103"/>
        <v>5.8306285695246949</v>
      </c>
      <c r="V111" s="137"/>
    </row>
    <row r="112" spans="2:33" ht="16" thickBot="1" x14ac:dyDescent="0.4">
      <c r="C112" s="155">
        <v>2</v>
      </c>
      <c r="E112" s="104"/>
      <c r="F112" s="141">
        <v>60.462649999999996</v>
      </c>
      <c r="G112" s="45">
        <v>64.361909999999995</v>
      </c>
      <c r="H112" s="2">
        <f t="shared" si="96"/>
        <v>3.8992599999999982</v>
      </c>
      <c r="I112" s="2">
        <f t="shared" si="97"/>
        <v>7.7465900000000119</v>
      </c>
      <c r="J112" s="2">
        <f t="shared" si="98"/>
        <v>0.3348196997213595</v>
      </c>
      <c r="K112" s="2">
        <f t="shared" si="99"/>
        <v>0.6651803002786405</v>
      </c>
      <c r="L112" s="2">
        <f t="shared" si="100"/>
        <v>0.25645891784595037</v>
      </c>
      <c r="M112" s="2">
        <f t="shared" si="101"/>
        <v>8.5867497864045919E-2</v>
      </c>
      <c r="N112" s="2">
        <f t="shared" si="102"/>
        <v>11.64585000000001</v>
      </c>
      <c r="O112">
        <v>24</v>
      </c>
      <c r="P112" s="2">
        <f t="shared" si="103"/>
        <v>6.1550140283028094</v>
      </c>
      <c r="V112" s="137"/>
      <c r="X112" s="13"/>
      <c r="Y112" s="9" t="s">
        <v>3</v>
      </c>
      <c r="Z112" s="9" t="s">
        <v>4</v>
      </c>
      <c r="AA112" s="9" t="s">
        <v>5</v>
      </c>
      <c r="AB112" s="9" t="s">
        <v>6</v>
      </c>
      <c r="AC112" s="9" t="s">
        <v>7</v>
      </c>
      <c r="AD112" s="9" t="s">
        <v>8</v>
      </c>
      <c r="AE112" s="9" t="s">
        <v>9</v>
      </c>
      <c r="AF112" s="9" t="s">
        <v>10</v>
      </c>
      <c r="AG112" s="44" t="s">
        <v>139</v>
      </c>
    </row>
    <row r="113" spans="3:35" x14ac:dyDescent="0.35">
      <c r="C113" s="155">
        <v>2</v>
      </c>
      <c r="E113" s="104"/>
      <c r="F113" s="141">
        <v>72.108500000000006</v>
      </c>
      <c r="G113" s="45">
        <v>75.791049999999998</v>
      </c>
      <c r="H113" s="2">
        <f t="shared" si="96"/>
        <v>3.682549999999992</v>
      </c>
      <c r="I113" s="2">
        <f t="shared" si="97"/>
        <v>7.745040000000003</v>
      </c>
      <c r="J113" s="2">
        <f t="shared" si="98"/>
        <v>0.32225079828730235</v>
      </c>
      <c r="K113" s="2">
        <f t="shared" si="99"/>
        <v>0.67774920171269759</v>
      </c>
      <c r="L113" s="2">
        <f t="shared" si="100"/>
        <v>0.27155096332704298</v>
      </c>
      <c r="M113" s="2">
        <f t="shared" si="101"/>
        <v>8.7507514707825571E-2</v>
      </c>
      <c r="N113" s="2">
        <f t="shared" si="102"/>
        <v>11.427589999999995</v>
      </c>
      <c r="O113">
        <v>20</v>
      </c>
      <c r="P113" s="2">
        <f t="shared" si="103"/>
        <v>5.4310192665408596</v>
      </c>
      <c r="V113" s="137" t="s">
        <v>78</v>
      </c>
      <c r="X113" s="49" t="s">
        <v>77</v>
      </c>
      <c r="Y113" s="13">
        <f>AVERAGE(Y86:Y87,Y89,Y93,Y95,Y97,Y99:Y100)</f>
        <v>4.8934574999999967</v>
      </c>
      <c r="Z113" s="13">
        <f t="shared" ref="Z113:AG113" si="106">AVERAGE(Z86:Z87,Z89,Z93,Z95,Z97,Z99:Z100)</f>
        <v>6.5507075000000032</v>
      </c>
      <c r="AA113" s="13">
        <f t="shared" si="106"/>
        <v>0.4322214697692085</v>
      </c>
      <c r="AB113" s="13">
        <f t="shared" si="106"/>
        <v>0.5677785302307915</v>
      </c>
      <c r="AC113" s="13">
        <f t="shared" si="106"/>
        <v>0.20454946787675943</v>
      </c>
      <c r="AD113" s="13">
        <f t="shared" si="106"/>
        <v>8.8357378188460775E-2</v>
      </c>
      <c r="AE113" s="13">
        <f t="shared" si="106"/>
        <v>11.444165</v>
      </c>
      <c r="AF113" s="13" t="e">
        <f t="shared" si="106"/>
        <v>#DIV/0!</v>
      </c>
      <c r="AG113" s="13" t="e">
        <f t="shared" si="106"/>
        <v>#DIV/0!</v>
      </c>
    </row>
    <row r="114" spans="3:35" x14ac:dyDescent="0.35">
      <c r="C114" s="155">
        <v>2</v>
      </c>
      <c r="F114" s="141">
        <v>83.536090000000002</v>
      </c>
      <c r="G114" s="141">
        <v>87.250820000000004</v>
      </c>
      <c r="H114" s="2">
        <f t="shared" si="96"/>
        <v>3.714730000000003</v>
      </c>
      <c r="I114" s="2">
        <f t="shared" si="97"/>
        <v>7.7218799999999987</v>
      </c>
      <c r="J114" s="2">
        <f t="shared" si="98"/>
        <v>0.32481041147682771</v>
      </c>
      <c r="K114" s="2">
        <f t="shared" si="99"/>
        <v>0.67518958852317235</v>
      </c>
      <c r="L114" s="2">
        <f t="shared" si="100"/>
        <v>0.26919856894040728</v>
      </c>
      <c r="M114" s="2">
        <f t="shared" si="101"/>
        <v>8.7438497946506863E-2</v>
      </c>
      <c r="N114" s="2">
        <f t="shared" si="102"/>
        <v>11.436610000000002</v>
      </c>
      <c r="O114">
        <v>22</v>
      </c>
      <c r="P114" s="2">
        <f t="shared" si="103"/>
        <v>5.9223685166889606</v>
      </c>
      <c r="X114" s="49" t="s">
        <v>94</v>
      </c>
      <c r="Y114" s="2">
        <f>_xlfn.STDEV.S(Y94:Y95,Y97,Y99)</f>
        <v>0.56368023478890072</v>
      </c>
      <c r="Z114" s="2">
        <f>_xlfn.STDEV.S(Z94:Z95,Z97,Z99)</f>
        <v>1.2739944463248971</v>
      </c>
      <c r="AA114" s="2">
        <f t="shared" ref="AA114:AG114" si="107">_xlfn.STDEV.S(AA94:AA95,AA97,AA99)</f>
        <v>5.7245309225386627E-2</v>
      </c>
      <c r="AB114" s="2">
        <f t="shared" si="107"/>
        <v>5.7245309225386704E-2</v>
      </c>
      <c r="AC114" s="2">
        <f t="shared" si="107"/>
        <v>3.0301582510006069E-2</v>
      </c>
      <c r="AD114" s="2">
        <f t="shared" si="107"/>
        <v>7.9223787252244021E-3</v>
      </c>
      <c r="AE114" s="2">
        <f t="shared" si="107"/>
        <v>1.2228365260975611</v>
      </c>
      <c r="AF114" s="2" t="e">
        <f t="shared" si="107"/>
        <v>#DIV/0!</v>
      </c>
      <c r="AG114" s="2" t="e">
        <f t="shared" si="107"/>
        <v>#DIV/0!</v>
      </c>
    </row>
    <row r="115" spans="3:35" x14ac:dyDescent="0.35">
      <c r="C115" s="155">
        <v>2</v>
      </c>
      <c r="E115" s="104"/>
      <c r="F115" s="141">
        <v>94.972700000000003</v>
      </c>
      <c r="G115" s="45">
        <v>98.598979999999997</v>
      </c>
      <c r="H115" s="2">
        <f t="shared" si="96"/>
        <v>3.6262799999999942</v>
      </c>
      <c r="I115" s="2">
        <f t="shared" si="97"/>
        <v>8.5300799999999981</v>
      </c>
      <c r="J115" s="2">
        <f t="shared" si="98"/>
        <v>0.29830311047056818</v>
      </c>
      <c r="K115" s="2">
        <f t="shared" si="99"/>
        <v>0.70169688952943177</v>
      </c>
      <c r="L115" s="2">
        <f t="shared" si="100"/>
        <v>0.27576469550062366</v>
      </c>
      <c r="M115" s="2">
        <f t="shared" si="101"/>
        <v>8.2261466425805146E-2</v>
      </c>
      <c r="N115" s="2">
        <f t="shared" si="102"/>
        <v>12.156359999999992</v>
      </c>
      <c r="O115">
        <v>23</v>
      </c>
      <c r="P115" s="2">
        <f t="shared" si="103"/>
        <v>6.3425879965143448</v>
      </c>
      <c r="X115" s="49" t="s">
        <v>95</v>
      </c>
      <c r="Y115" s="2">
        <f t="shared" ref="Y115:AG115" si="108">Y114/(SQRT(COUNT(Y94:Y95,Y97,Y99)))</f>
        <v>0.28184011739445036</v>
      </c>
      <c r="Z115" s="2">
        <f t="shared" si="108"/>
        <v>0.63699722316244856</v>
      </c>
      <c r="AA115" s="2">
        <f t="shared" si="108"/>
        <v>2.8622654612693314E-2</v>
      </c>
      <c r="AB115" s="2">
        <f t="shared" si="108"/>
        <v>2.8622654612693352E-2</v>
      </c>
      <c r="AC115" s="2">
        <f t="shared" si="108"/>
        <v>1.5150791255003035E-2</v>
      </c>
      <c r="AD115" s="2">
        <f t="shared" si="108"/>
        <v>3.9611893626122011E-3</v>
      </c>
      <c r="AE115" s="2">
        <f t="shared" si="108"/>
        <v>0.61141826304878055</v>
      </c>
      <c r="AF115" s="2" t="e">
        <f t="shared" si="108"/>
        <v>#DIV/0!</v>
      </c>
      <c r="AG115" s="2" t="e">
        <f t="shared" si="108"/>
        <v>#DIV/0!</v>
      </c>
    </row>
    <row r="116" spans="3:35" x14ac:dyDescent="0.35">
      <c r="C116" s="155">
        <v>2</v>
      </c>
      <c r="E116" s="104"/>
      <c r="F116" s="141">
        <v>107.12906</v>
      </c>
      <c r="G116" s="45">
        <v>110.48421999999999</v>
      </c>
      <c r="H116" s="2">
        <f t="shared" si="96"/>
        <v>3.3551599999999979</v>
      </c>
      <c r="I116" s="2">
        <f t="shared" si="97"/>
        <v>8.1769800000000004</v>
      </c>
      <c r="J116" s="2">
        <f>H116/N116</f>
        <v>0.29093992962277587</v>
      </c>
      <c r="K116" s="2">
        <f>I116/N116</f>
        <v>0.70906007037722418</v>
      </c>
      <c r="L116" s="2">
        <f>1/H116</f>
        <v>0.29804837921291405</v>
      </c>
      <c r="M116" s="2">
        <f>1/N116</f>
        <v>8.671417447238762E-2</v>
      </c>
      <c r="N116" s="2">
        <f>H116+I116</f>
        <v>11.532139999999998</v>
      </c>
      <c r="O116">
        <v>18</v>
      </c>
      <c r="P116" s="2">
        <f t="shared" si="103"/>
        <v>5.364870825832452</v>
      </c>
    </row>
    <row r="117" spans="3:35" x14ac:dyDescent="0.35">
      <c r="C117" s="155">
        <v>2</v>
      </c>
      <c r="E117" s="104"/>
      <c r="F117" s="141">
        <v>118.66119999999999</v>
      </c>
      <c r="G117" s="45">
        <v>119.77006</v>
      </c>
      <c r="H117" s="2"/>
      <c r="I117" s="2"/>
      <c r="J117" s="2"/>
      <c r="K117" s="2"/>
      <c r="L117" s="2"/>
      <c r="M117" s="2"/>
      <c r="N117" s="2"/>
    </row>
    <row r="118" spans="3:35" x14ac:dyDescent="0.35">
      <c r="C118" s="155"/>
      <c r="E118" s="104"/>
      <c r="F118" s="141"/>
      <c r="G118" s="45"/>
    </row>
    <row r="119" spans="3:35" ht="16" thickBot="1" x14ac:dyDescent="0.4">
      <c r="C119" s="155"/>
      <c r="G119" s="13"/>
      <c r="H119" s="9" t="s">
        <v>3</v>
      </c>
      <c r="I119" s="9" t="s">
        <v>4</v>
      </c>
      <c r="J119" s="9" t="s">
        <v>5</v>
      </c>
      <c r="K119" s="9" t="s">
        <v>6</v>
      </c>
      <c r="L119" s="9" t="s">
        <v>7</v>
      </c>
      <c r="M119" s="9" t="s">
        <v>8</v>
      </c>
      <c r="N119" s="9" t="s">
        <v>9</v>
      </c>
      <c r="O119" s="9" t="s">
        <v>10</v>
      </c>
      <c r="P119" s="44" t="s">
        <v>139</v>
      </c>
    </row>
    <row r="120" spans="3:35" x14ac:dyDescent="0.35">
      <c r="C120" s="155"/>
      <c r="G120" s="49" t="s">
        <v>77</v>
      </c>
      <c r="H120" s="13">
        <f>AVERAGE(H108:H116)</f>
        <v>3.6530733333333307</v>
      </c>
      <c r="I120" s="13">
        <f t="shared" ref="I120:P120" si="109">AVERAGE(I108:I116)</f>
        <v>8.4997900000000008</v>
      </c>
      <c r="J120" s="13">
        <f t="shared" si="109"/>
        <v>0.30181257606850398</v>
      </c>
      <c r="K120" s="13">
        <f t="shared" si="109"/>
        <v>0.69818742393149591</v>
      </c>
      <c r="L120" s="13">
        <f t="shared" si="109"/>
        <v>0.27425687604009003</v>
      </c>
      <c r="M120" s="13">
        <f t="shared" si="109"/>
        <v>8.2649415991082623E-2</v>
      </c>
      <c r="N120" s="13">
        <f t="shared" si="109"/>
        <v>12.152863333333334</v>
      </c>
      <c r="O120" s="13">
        <f t="shared" si="109"/>
        <v>21</v>
      </c>
      <c r="P120" s="13">
        <f t="shared" si="109"/>
        <v>5.7441451947521829</v>
      </c>
    </row>
    <row r="121" spans="3:35" x14ac:dyDescent="0.35">
      <c r="C121" s="155"/>
      <c r="G121" s="49" t="s">
        <v>94</v>
      </c>
      <c r="H121" s="2">
        <f>_xlfn.STDEV.S(H108:H116)</f>
        <v>0.16742195420553471</v>
      </c>
      <c r="I121" s="2">
        <f t="shared" ref="I121:P121" si="110">_xlfn.STDEV.S(I108:I116)</f>
        <v>0.86546989664574558</v>
      </c>
      <c r="J121" s="2">
        <f t="shared" si="110"/>
        <v>2.3610016197315113E-2</v>
      </c>
      <c r="K121" s="2">
        <f t="shared" si="110"/>
        <v>2.3610016197315127E-2</v>
      </c>
      <c r="L121" s="2">
        <f t="shared" si="110"/>
        <v>1.2654943552428417E-2</v>
      </c>
      <c r="M121" s="2">
        <f t="shared" si="110"/>
        <v>5.7234512525864145E-3</v>
      </c>
      <c r="N121" s="2">
        <f t="shared" si="110"/>
        <v>0.8705214836809021</v>
      </c>
      <c r="O121" s="2">
        <f t="shared" si="110"/>
        <v>1.8027756377319946</v>
      </c>
      <c r="P121" s="2">
        <f t="shared" si="110"/>
        <v>0.34414484912060578</v>
      </c>
    </row>
    <row r="122" spans="3:35" x14ac:dyDescent="0.35">
      <c r="C122" s="155"/>
      <c r="G122" s="49" t="s">
        <v>95</v>
      </c>
      <c r="H122" s="2">
        <f>H121/(SQRT(9))</f>
        <v>5.5807318068511573E-2</v>
      </c>
      <c r="I122" s="2">
        <f t="shared" ref="I122:P122" si="111">I121/(SQRT(9))</f>
        <v>0.28848996554858186</v>
      </c>
      <c r="J122" s="2">
        <f t="shared" si="111"/>
        <v>7.8700053991050383E-3</v>
      </c>
      <c r="K122" s="2">
        <f t="shared" si="111"/>
        <v>7.8700053991050418E-3</v>
      </c>
      <c r="L122" s="2">
        <f t="shared" si="111"/>
        <v>4.2183145174761391E-3</v>
      </c>
      <c r="M122" s="2">
        <f t="shared" si="111"/>
        <v>1.9078170841954716E-3</v>
      </c>
      <c r="N122" s="2">
        <f t="shared" si="111"/>
        <v>0.29017382789363405</v>
      </c>
      <c r="O122" s="2">
        <f t="shared" si="111"/>
        <v>0.60092521257733156</v>
      </c>
      <c r="P122" s="2">
        <f t="shared" si="111"/>
        <v>0.11471494970686859</v>
      </c>
    </row>
    <row r="123" spans="3:35" x14ac:dyDescent="0.35">
      <c r="C123" s="155"/>
      <c r="G123" s="49"/>
      <c r="H123" s="2"/>
      <c r="I123" s="2"/>
      <c r="J123" s="2"/>
      <c r="K123" s="2"/>
      <c r="L123" s="2"/>
      <c r="M123" s="2"/>
      <c r="N123" s="2"/>
      <c r="O123" s="2"/>
      <c r="P123" s="2"/>
    </row>
    <row r="124" spans="3:35" ht="24" thickBot="1" x14ac:dyDescent="0.6">
      <c r="C124" s="155" t="s">
        <v>216</v>
      </c>
      <c r="D124" s="204" t="s">
        <v>122</v>
      </c>
      <c r="F124" s="9" t="s">
        <v>1</v>
      </c>
      <c r="G124" s="9" t="s">
        <v>2</v>
      </c>
      <c r="H124" s="9" t="s">
        <v>3</v>
      </c>
      <c r="I124" s="9" t="s">
        <v>4</v>
      </c>
      <c r="J124" s="9" t="s">
        <v>5</v>
      </c>
      <c r="K124" s="9" t="s">
        <v>6</v>
      </c>
      <c r="L124" s="9" t="s">
        <v>7</v>
      </c>
      <c r="M124" s="9" t="s">
        <v>8</v>
      </c>
      <c r="N124" s="9" t="s">
        <v>9</v>
      </c>
      <c r="O124" s="9" t="s">
        <v>10</v>
      </c>
      <c r="P124" s="44" t="s">
        <v>139</v>
      </c>
      <c r="W124" s="1" t="s">
        <v>284</v>
      </c>
      <c r="X124" s="3"/>
      <c r="Y124" s="3"/>
      <c r="Z124" s="3"/>
      <c r="AA124" s="3"/>
      <c r="AB124" s="3"/>
      <c r="AC124" s="3"/>
      <c r="AD124" s="3"/>
      <c r="AE124" s="3"/>
      <c r="AF124" s="3"/>
    </row>
    <row r="125" spans="3:35" ht="16" thickBot="1" x14ac:dyDescent="0.4">
      <c r="C125" s="155">
        <v>0</v>
      </c>
      <c r="D125" s="259" t="s">
        <v>700</v>
      </c>
      <c r="F125">
        <v>8.4667399999999997</v>
      </c>
      <c r="G125">
        <v>11.770949999999999</v>
      </c>
      <c r="H125" s="2">
        <f>G125-F125</f>
        <v>3.3042099999999994</v>
      </c>
      <c r="I125" s="2">
        <f>F126-G125</f>
        <v>6.642710000000001</v>
      </c>
      <c r="J125" s="2">
        <f>H125/N125</f>
        <v>0.3321842339136134</v>
      </c>
      <c r="K125" s="2">
        <f>I125/N125</f>
        <v>0.6678157660863866</v>
      </c>
      <c r="L125" s="2">
        <f>1/H125</f>
        <v>0.30264420239633683</v>
      </c>
      <c r="M125" s="2">
        <f>1/N125</f>
        <v>0.10053363252142371</v>
      </c>
      <c r="N125" s="2">
        <f>H125+I125</f>
        <v>9.9469200000000004</v>
      </c>
      <c r="O125">
        <v>20</v>
      </c>
      <c r="P125" s="2">
        <f>O125/H125</f>
        <v>6.052884047926737</v>
      </c>
      <c r="R125" t="s">
        <v>263</v>
      </c>
      <c r="V125" s="13"/>
      <c r="W125" s="9" t="s">
        <v>1</v>
      </c>
      <c r="X125" s="9" t="s">
        <v>2</v>
      </c>
      <c r="Y125" s="9" t="s">
        <v>3</v>
      </c>
      <c r="Z125" s="9" t="s">
        <v>4</v>
      </c>
      <c r="AA125" s="9" t="s">
        <v>5</v>
      </c>
      <c r="AB125" s="9" t="s">
        <v>6</v>
      </c>
      <c r="AC125" s="9" t="s">
        <v>7</v>
      </c>
      <c r="AD125" s="9" t="s">
        <v>8</v>
      </c>
      <c r="AE125" s="9" t="s">
        <v>9</v>
      </c>
      <c r="AF125" s="9" t="s">
        <v>10</v>
      </c>
      <c r="AG125" s="44" t="s">
        <v>139</v>
      </c>
      <c r="AI125" s="44" t="s">
        <v>138</v>
      </c>
    </row>
    <row r="126" spans="3:35" x14ac:dyDescent="0.35">
      <c r="C126" s="155">
        <v>0</v>
      </c>
      <c r="F126">
        <v>18.41366</v>
      </c>
      <c r="G126">
        <v>21.838450000000002</v>
      </c>
      <c r="H126" s="2">
        <f t="shared" ref="H126:H132" si="112">G126-F126</f>
        <v>3.4247900000000016</v>
      </c>
      <c r="I126" s="2">
        <f t="shared" ref="I126:I131" si="113">F127-G126</f>
        <v>9.5386399999999973</v>
      </c>
      <c r="J126" s="2">
        <f t="shared" ref="J126:J131" si="114">H126/N126</f>
        <v>0.26418856737761548</v>
      </c>
      <c r="K126" s="2">
        <f t="shared" ref="K126:K131" si="115">I126/N126</f>
        <v>0.73581143262238446</v>
      </c>
      <c r="L126" s="2">
        <f t="shared" ref="L126:L131" si="116">1/H126</f>
        <v>0.29198870587685655</v>
      </c>
      <c r="M126" s="2">
        <f t="shared" ref="M126:M131" si="117">1/N126</f>
        <v>7.7140077896050666E-2</v>
      </c>
      <c r="N126" s="2">
        <f t="shared" ref="N126:N131" si="118">H126+I126</f>
        <v>12.963429999999999</v>
      </c>
      <c r="O126">
        <v>21</v>
      </c>
      <c r="P126" s="2">
        <f t="shared" ref="P126:P132" si="119">O126/H126</f>
        <v>6.1317628234139878</v>
      </c>
      <c r="V126" s="13"/>
      <c r="W126" s="85">
        <v>3.90238</v>
      </c>
      <c r="X126" s="85">
        <v>7.4842700000000004</v>
      </c>
      <c r="Y126" s="13">
        <f>X126-W126</f>
        <v>3.5818900000000005</v>
      </c>
      <c r="Z126" s="13">
        <f>W127-X126</f>
        <v>8.7962000000000007</v>
      </c>
      <c r="AA126" s="13">
        <f>Y126/AE126</f>
        <v>0.28937340090433988</v>
      </c>
      <c r="AB126" s="13">
        <f>Z126/AE126</f>
        <v>0.71062659909566017</v>
      </c>
      <c r="AC126" s="13">
        <f>1/Y126</f>
        <v>0.27918221944280808</v>
      </c>
      <c r="AD126" s="13">
        <f>1/AE126</f>
        <v>8.0787908312187101E-2</v>
      </c>
      <c r="AE126" s="13">
        <f>Y126+Z126</f>
        <v>12.37809</v>
      </c>
      <c r="AF126">
        <v>18</v>
      </c>
      <c r="AG126" s="2">
        <f>AF126/Y126</f>
        <v>5.0252799499705461</v>
      </c>
      <c r="AI126" t="s">
        <v>616</v>
      </c>
    </row>
    <row r="127" spans="3:35" x14ac:dyDescent="0.35">
      <c r="C127" s="155">
        <v>0</v>
      </c>
      <c r="E127" s="104"/>
      <c r="F127">
        <v>31.377089999999999</v>
      </c>
      <c r="G127">
        <v>34.87041</v>
      </c>
      <c r="H127" s="2">
        <f t="shared" si="112"/>
        <v>3.4933200000000006</v>
      </c>
      <c r="I127" s="2">
        <f t="shared" si="113"/>
        <v>9.5766399999999976</v>
      </c>
      <c r="J127" s="2">
        <f t="shared" si="114"/>
        <v>0.26727855326259614</v>
      </c>
      <c r="K127" s="2">
        <f t="shared" si="115"/>
        <v>0.7327214467374038</v>
      </c>
      <c r="L127" s="2">
        <f t="shared" si="116"/>
        <v>0.28626063458257467</v>
      </c>
      <c r="M127" s="2">
        <f t="shared" si="117"/>
        <v>7.6511328267263257E-2</v>
      </c>
      <c r="N127" s="2">
        <f t="shared" si="118"/>
        <v>13.069959999999998</v>
      </c>
      <c r="O127">
        <v>20</v>
      </c>
      <c r="P127" s="2">
        <f t="shared" si="119"/>
        <v>5.7252126916514934</v>
      </c>
      <c r="V127" s="85"/>
      <c r="W127" s="85">
        <v>16.280470000000001</v>
      </c>
      <c r="X127" s="85">
        <v>20.233229999999999</v>
      </c>
      <c r="Y127" s="13">
        <f t="shared" ref="Y127:Y134" si="120">X127-W127</f>
        <v>3.9527599999999978</v>
      </c>
      <c r="Z127" s="13">
        <f t="shared" ref="Z127:Z133" si="121">W128-X127</f>
        <v>12.004220000000004</v>
      </c>
      <c r="AA127" s="13">
        <f t="shared" ref="AA127:AA133" si="122">Y127/AE127</f>
        <v>0.24771353978008354</v>
      </c>
      <c r="AB127" s="13">
        <f t="shared" ref="AB127:AB133" si="123">Z127/AE127</f>
        <v>0.75228646021991641</v>
      </c>
      <c r="AC127" s="13">
        <f t="shared" ref="AC127:AC133" si="124">1/Y127</f>
        <v>0.25298778574970415</v>
      </c>
      <c r="AD127" s="13">
        <f t="shared" ref="AD127:AD133" si="125">1/AE127</f>
        <v>6.2668499929184593E-2</v>
      </c>
      <c r="AE127" s="13">
        <f t="shared" ref="AE127:AE133" si="126">Y127+Z127</f>
        <v>15.956980000000001</v>
      </c>
      <c r="AF127" s="85">
        <v>17</v>
      </c>
      <c r="AG127" s="2">
        <f t="shared" ref="AG127:AG133" si="127">AF127/Y127</f>
        <v>4.30079235774497</v>
      </c>
      <c r="AH127" s="85"/>
      <c r="AI127" s="85"/>
    </row>
    <row r="128" spans="3:35" x14ac:dyDescent="0.35">
      <c r="C128" s="155">
        <v>0</v>
      </c>
      <c r="F128">
        <v>44.447049999999997</v>
      </c>
      <c r="G128">
        <v>47.879829999999998</v>
      </c>
      <c r="H128" s="2">
        <f t="shared" si="112"/>
        <v>3.4327800000000011</v>
      </c>
      <c r="I128" s="2">
        <f t="shared" si="113"/>
        <v>8.4110900000000015</v>
      </c>
      <c r="J128" s="2">
        <f t="shared" si="114"/>
        <v>0.28983600799400872</v>
      </c>
      <c r="K128" s="2">
        <f t="shared" si="115"/>
        <v>0.71016399200599123</v>
      </c>
      <c r="L128" s="2">
        <f t="shared" si="116"/>
        <v>0.29130908476511741</v>
      </c>
      <c r="M128" s="2">
        <f t="shared" si="117"/>
        <v>8.4431862220709933E-2</v>
      </c>
      <c r="N128" s="2">
        <f t="shared" si="118"/>
        <v>11.843870000000003</v>
      </c>
      <c r="O128">
        <v>21</v>
      </c>
      <c r="P128" s="2">
        <f t="shared" si="119"/>
        <v>6.1174907800674649</v>
      </c>
      <c r="V128" s="91" t="s">
        <v>235</v>
      </c>
      <c r="W128" s="144">
        <v>32.237450000000003</v>
      </c>
      <c r="X128" s="144">
        <v>35.00074</v>
      </c>
      <c r="Y128" s="91">
        <f t="shared" si="120"/>
        <v>2.7632899999999978</v>
      </c>
      <c r="Z128" s="91">
        <f t="shared" si="121"/>
        <v>11.03989</v>
      </c>
      <c r="AA128" s="91">
        <f t="shared" si="122"/>
        <v>0.20019227453383917</v>
      </c>
      <c r="AB128" s="91">
        <f t="shared" si="123"/>
        <v>0.79980772546616086</v>
      </c>
      <c r="AC128" s="91">
        <f t="shared" si="124"/>
        <v>0.36188746023761559</v>
      </c>
      <c r="AD128" s="91">
        <f t="shared" si="125"/>
        <v>7.2447073790242553E-2</v>
      </c>
      <c r="AE128" s="91">
        <f t="shared" si="126"/>
        <v>13.803179999999998</v>
      </c>
      <c r="AF128" s="144">
        <v>14</v>
      </c>
      <c r="AG128" s="91">
        <f t="shared" si="127"/>
        <v>5.0664244433266186</v>
      </c>
      <c r="AH128" s="85"/>
      <c r="AI128" s="85"/>
    </row>
    <row r="129" spans="3:35" x14ac:dyDescent="0.35">
      <c r="C129" s="155">
        <v>0</v>
      </c>
      <c r="F129">
        <v>56.29092</v>
      </c>
      <c r="G129">
        <v>59.428989999999999</v>
      </c>
      <c r="H129" s="2">
        <f t="shared" si="112"/>
        <v>3.138069999999999</v>
      </c>
      <c r="I129" s="2">
        <f t="shared" si="113"/>
        <v>7.2746000000000066</v>
      </c>
      <c r="J129" s="2">
        <f t="shared" si="114"/>
        <v>0.30137034977580174</v>
      </c>
      <c r="K129" s="2">
        <f t="shared" si="115"/>
        <v>0.69862965022419832</v>
      </c>
      <c r="L129" s="2">
        <f t="shared" si="116"/>
        <v>0.31866720627646938</v>
      </c>
      <c r="M129" s="2">
        <f t="shared" si="117"/>
        <v>9.6036847417617144E-2</v>
      </c>
      <c r="N129" s="2">
        <f t="shared" si="118"/>
        <v>10.412670000000006</v>
      </c>
      <c r="O129">
        <v>24</v>
      </c>
      <c r="P129" s="2">
        <f t="shared" si="119"/>
        <v>7.6480129506352652</v>
      </c>
      <c r="V129" s="91" t="s">
        <v>235</v>
      </c>
      <c r="W129" s="144">
        <v>46.04063</v>
      </c>
      <c r="X129" s="144">
        <v>48.466459999999998</v>
      </c>
      <c r="Y129" s="91">
        <f t="shared" si="120"/>
        <v>2.4258299999999977</v>
      </c>
      <c r="Z129" s="91">
        <f t="shared" si="121"/>
        <v>16.763890000000004</v>
      </c>
      <c r="AA129" s="91">
        <f t="shared" si="122"/>
        <v>0.12641299612500848</v>
      </c>
      <c r="AB129" s="91">
        <f t="shared" si="123"/>
        <v>0.87358700387499155</v>
      </c>
      <c r="AC129" s="91">
        <f t="shared" si="124"/>
        <v>0.41223004085199744</v>
      </c>
      <c r="AD129" s="91">
        <f t="shared" si="125"/>
        <v>5.2111234556835632E-2</v>
      </c>
      <c r="AE129" s="91">
        <f t="shared" si="126"/>
        <v>19.189720000000001</v>
      </c>
      <c r="AF129" s="144">
        <v>15</v>
      </c>
      <c r="AG129" s="91">
        <f t="shared" si="127"/>
        <v>6.1834506127799616</v>
      </c>
      <c r="AH129" s="85"/>
      <c r="AI129" s="85"/>
    </row>
    <row r="130" spans="3:35" x14ac:dyDescent="0.35">
      <c r="C130" s="155">
        <v>0</v>
      </c>
      <c r="F130">
        <v>66.703590000000005</v>
      </c>
      <c r="G130">
        <v>70.147059999999996</v>
      </c>
      <c r="H130" s="2">
        <f t="shared" si="112"/>
        <v>3.4434699999999907</v>
      </c>
      <c r="I130" s="2">
        <f t="shared" si="113"/>
        <v>8.6059100000000086</v>
      </c>
      <c r="J130" s="2">
        <f t="shared" si="114"/>
        <v>0.28577984925365379</v>
      </c>
      <c r="K130" s="2">
        <f t="shared" si="115"/>
        <v>0.71422015074634626</v>
      </c>
      <c r="L130" s="2">
        <f t="shared" si="116"/>
        <v>0.29040473708207204</v>
      </c>
      <c r="M130" s="2">
        <f t="shared" si="117"/>
        <v>8.2991821985861525E-2</v>
      </c>
      <c r="N130" s="2">
        <f t="shared" si="118"/>
        <v>12.049379999999999</v>
      </c>
      <c r="O130">
        <v>20</v>
      </c>
      <c r="P130" s="2">
        <f t="shared" si="119"/>
        <v>5.8080947416414412</v>
      </c>
      <c r="V130" s="85"/>
      <c r="W130" s="85">
        <v>65.230350000000001</v>
      </c>
      <c r="X130" s="85">
        <v>68.854389999999995</v>
      </c>
      <c r="Y130" s="13">
        <f t="shared" si="120"/>
        <v>3.6240399999999937</v>
      </c>
      <c r="Z130" s="13">
        <f t="shared" si="121"/>
        <v>9.9106600000000071</v>
      </c>
      <c r="AA130" s="13">
        <f t="shared" si="122"/>
        <v>0.26775916717769832</v>
      </c>
      <c r="AB130" s="13">
        <f t="shared" si="123"/>
        <v>0.73224083282230168</v>
      </c>
      <c r="AC130" s="13">
        <f t="shared" si="124"/>
        <v>0.27593514420370685</v>
      </c>
      <c r="AD130" s="13">
        <f t="shared" si="125"/>
        <v>7.3884164407042638E-2</v>
      </c>
      <c r="AE130" s="13">
        <f t="shared" si="126"/>
        <v>13.534700000000001</v>
      </c>
      <c r="AF130" s="85">
        <v>18</v>
      </c>
      <c r="AG130" s="2">
        <f t="shared" si="127"/>
        <v>4.9668325956667232</v>
      </c>
      <c r="AH130" s="85"/>
      <c r="AI130" s="85"/>
    </row>
    <row r="131" spans="3:35" x14ac:dyDescent="0.35">
      <c r="C131" s="155">
        <v>0</v>
      </c>
      <c r="E131" s="104"/>
      <c r="F131">
        <v>78.752970000000005</v>
      </c>
      <c r="G131">
        <v>81.880600000000001</v>
      </c>
      <c r="H131" s="2">
        <f t="shared" si="112"/>
        <v>3.1276299999999964</v>
      </c>
      <c r="I131" s="2">
        <f t="shared" si="113"/>
        <v>8.9704600000000028</v>
      </c>
      <c r="J131" s="2">
        <f t="shared" si="114"/>
        <v>0.25852262629886175</v>
      </c>
      <c r="K131" s="2">
        <f t="shared" si="115"/>
        <v>0.7414773737011382</v>
      </c>
      <c r="L131" s="2">
        <f t="shared" si="116"/>
        <v>0.31973091446238883</v>
      </c>
      <c r="M131" s="2">
        <f t="shared" si="117"/>
        <v>8.2657675715753484E-2</v>
      </c>
      <c r="N131" s="2">
        <f t="shared" si="118"/>
        <v>12.098089999999999</v>
      </c>
      <c r="O131">
        <v>22</v>
      </c>
      <c r="P131" s="2">
        <f t="shared" si="119"/>
        <v>7.0340801181725539</v>
      </c>
      <c r="V131" s="13"/>
      <c r="W131" s="85">
        <v>78.765050000000002</v>
      </c>
      <c r="X131" s="85">
        <v>81.995459999999994</v>
      </c>
      <c r="Y131" s="13">
        <f t="shared" si="120"/>
        <v>3.230409999999992</v>
      </c>
      <c r="Z131" s="13">
        <f t="shared" si="121"/>
        <v>14.854810000000001</v>
      </c>
      <c r="AA131" s="13">
        <f t="shared" si="122"/>
        <v>0.17862154842462483</v>
      </c>
      <c r="AB131" s="13">
        <f t="shared" si="123"/>
        <v>0.82137845157537515</v>
      </c>
      <c r="AC131" s="13">
        <f t="shared" si="124"/>
        <v>0.30955822945075162</v>
      </c>
      <c r="AD131" s="13">
        <f t="shared" si="125"/>
        <v>5.5293770272078546E-2</v>
      </c>
      <c r="AE131" s="13">
        <f t="shared" si="126"/>
        <v>18.085219999999993</v>
      </c>
      <c r="AF131" s="85">
        <v>19</v>
      </c>
      <c r="AG131" s="2">
        <f t="shared" si="127"/>
        <v>5.8816063595642802</v>
      </c>
      <c r="AH131" s="85"/>
      <c r="AI131" s="85"/>
    </row>
    <row r="132" spans="3:35" x14ac:dyDescent="0.35">
      <c r="C132" s="155">
        <v>0</v>
      </c>
      <c r="F132">
        <v>90.851060000000004</v>
      </c>
      <c r="G132">
        <v>94.472459999999998</v>
      </c>
      <c r="H132" s="2">
        <f t="shared" si="112"/>
        <v>3.6213999999999942</v>
      </c>
      <c r="I132" s="2">
        <f>F133-G132</f>
        <v>6.9923799999999972</v>
      </c>
      <c r="J132" s="2">
        <f>H132/N132</f>
        <v>0.34119795209623688</v>
      </c>
      <c r="K132" s="2">
        <f>I132/N132</f>
        <v>0.65880204790376307</v>
      </c>
      <c r="L132" s="2">
        <f>1/H132</f>
        <v>0.27613630087811386</v>
      </c>
      <c r="M132" s="2">
        <f>1/N132</f>
        <v>9.4217140359042759E-2</v>
      </c>
      <c r="N132" s="2">
        <f>H132+I132</f>
        <v>10.613779999999991</v>
      </c>
      <c r="O132">
        <v>23</v>
      </c>
      <c r="P132" s="2">
        <f t="shared" si="119"/>
        <v>6.3511349201966194</v>
      </c>
      <c r="V132" s="91" t="s">
        <v>235</v>
      </c>
      <c r="W132" s="144">
        <v>96.850269999999995</v>
      </c>
      <c r="X132" s="144">
        <v>99.263180000000006</v>
      </c>
      <c r="Y132" s="91">
        <f t="shared" si="120"/>
        <v>2.4129100000000108</v>
      </c>
      <c r="Z132" s="91">
        <f t="shared" si="121"/>
        <v>5.5349799999999902</v>
      </c>
      <c r="AA132" s="91">
        <f t="shared" si="122"/>
        <v>0.30359126761945754</v>
      </c>
      <c r="AB132" s="91">
        <f t="shared" si="123"/>
        <v>0.69640873238054246</v>
      </c>
      <c r="AC132" s="91">
        <f t="shared" si="124"/>
        <v>0.41443733914650588</v>
      </c>
      <c r="AD132" s="91">
        <f t="shared" si="125"/>
        <v>0.12581955714032275</v>
      </c>
      <c r="AE132" s="91">
        <f t="shared" si="126"/>
        <v>7.947890000000001</v>
      </c>
      <c r="AF132" s="144">
        <v>15</v>
      </c>
      <c r="AG132" s="91">
        <f t="shared" si="127"/>
        <v>6.2165600871975881</v>
      </c>
      <c r="AH132" s="85"/>
      <c r="AI132" s="85"/>
    </row>
    <row r="133" spans="3:35" x14ac:dyDescent="0.35">
      <c r="C133" s="155">
        <v>0</v>
      </c>
      <c r="F133">
        <v>101.46484</v>
      </c>
      <c r="G133">
        <v>104.86517000000001</v>
      </c>
      <c r="O133">
        <v>18</v>
      </c>
      <c r="V133" s="85"/>
      <c r="W133" s="85">
        <v>104.79816</v>
      </c>
      <c r="X133" s="85">
        <v>108.55625999999999</v>
      </c>
      <c r="Y133" s="13">
        <f t="shared" si="120"/>
        <v>3.7580999999999989</v>
      </c>
      <c r="Z133" s="13">
        <f t="shared" si="121"/>
        <v>8.894110000000012</v>
      </c>
      <c r="AA133" s="13">
        <f t="shared" si="122"/>
        <v>0.29703111156074674</v>
      </c>
      <c r="AB133" s="13">
        <f t="shared" si="123"/>
        <v>0.7029688884392532</v>
      </c>
      <c r="AC133" s="13">
        <f t="shared" si="124"/>
        <v>0.26609190814507339</v>
      </c>
      <c r="AD133" s="13">
        <f t="shared" si="125"/>
        <v>7.9037575253651265E-2</v>
      </c>
      <c r="AE133" s="13">
        <f t="shared" si="126"/>
        <v>12.652210000000011</v>
      </c>
      <c r="AF133" s="85">
        <v>24</v>
      </c>
      <c r="AG133" s="2">
        <f t="shared" si="127"/>
        <v>6.3862057954817617</v>
      </c>
      <c r="AH133" s="85"/>
      <c r="AI133" s="85"/>
    </row>
    <row r="134" spans="3:35" x14ac:dyDescent="0.35">
      <c r="C134" s="155"/>
      <c r="V134" s="85"/>
      <c r="W134" s="85">
        <v>117.45037000000001</v>
      </c>
      <c r="X134" s="85">
        <v>119.90206999999999</v>
      </c>
      <c r="Y134" s="13">
        <f t="shared" si="120"/>
        <v>2.4516999999999882</v>
      </c>
      <c r="Z134" s="13"/>
      <c r="AA134" s="13"/>
      <c r="AB134" s="13"/>
      <c r="AC134" s="13"/>
      <c r="AD134" s="13"/>
      <c r="AE134" s="13"/>
      <c r="AF134" s="85"/>
      <c r="AG134" s="85"/>
      <c r="AH134" s="85"/>
      <c r="AI134" s="85"/>
    </row>
    <row r="135" spans="3:35" ht="16" thickBot="1" x14ac:dyDescent="0.4">
      <c r="C135" s="155"/>
      <c r="G135" s="13"/>
      <c r="H135" s="9" t="s">
        <v>3</v>
      </c>
      <c r="I135" s="9" t="s">
        <v>4</v>
      </c>
      <c r="J135" s="9" t="s">
        <v>5</v>
      </c>
      <c r="K135" s="9" t="s">
        <v>6</v>
      </c>
      <c r="L135" s="9" t="s">
        <v>7</v>
      </c>
      <c r="M135" s="9" t="s">
        <v>8</v>
      </c>
      <c r="N135" s="9" t="s">
        <v>9</v>
      </c>
      <c r="O135" s="9" t="s">
        <v>10</v>
      </c>
      <c r="P135" s="44" t="s">
        <v>139</v>
      </c>
      <c r="V135" s="85"/>
      <c r="W135" s="85"/>
      <c r="X135" s="85"/>
      <c r="Y135" s="85"/>
      <c r="Z135" s="85"/>
      <c r="AA135" s="85"/>
      <c r="AB135" s="85"/>
      <c r="AC135" s="85"/>
      <c r="AD135" s="85"/>
      <c r="AE135" s="85"/>
      <c r="AF135" s="85"/>
      <c r="AG135" s="85"/>
      <c r="AH135" s="85"/>
      <c r="AI135" s="85"/>
    </row>
    <row r="136" spans="3:35" ht="16" thickBot="1" x14ac:dyDescent="0.4">
      <c r="C136" s="155"/>
      <c r="G136" s="49" t="s">
        <v>77</v>
      </c>
      <c r="H136" s="13">
        <f>AVERAGE(H125:H132)</f>
        <v>3.3732087499999981</v>
      </c>
      <c r="I136" s="13">
        <f t="shared" ref="I136:P136" si="128">AVERAGE(I125:I132)</f>
        <v>8.2515537500000011</v>
      </c>
      <c r="J136" s="13">
        <f t="shared" si="128"/>
        <v>0.29254476749654851</v>
      </c>
      <c r="K136" s="13">
        <f t="shared" si="128"/>
        <v>0.70745523250345155</v>
      </c>
      <c r="L136" s="13">
        <f t="shared" si="128"/>
        <v>0.29714272328999114</v>
      </c>
      <c r="M136" s="13">
        <f t="shared" si="128"/>
        <v>8.6815048297965297E-2</v>
      </c>
      <c r="N136" s="13">
        <f t="shared" si="128"/>
        <v>11.624762500000001</v>
      </c>
      <c r="O136" s="13">
        <f t="shared" si="128"/>
        <v>21.375</v>
      </c>
      <c r="P136" s="13">
        <f t="shared" si="128"/>
        <v>6.3585841342131957</v>
      </c>
      <c r="V136" s="85"/>
      <c r="W136" s="85"/>
      <c r="X136" s="13"/>
      <c r="Y136" s="9" t="s">
        <v>3</v>
      </c>
      <c r="Z136" s="9" t="s">
        <v>4</v>
      </c>
      <c r="AA136" s="9" t="s">
        <v>5</v>
      </c>
      <c r="AB136" s="9" t="s">
        <v>6</v>
      </c>
      <c r="AC136" s="9" t="s">
        <v>7</v>
      </c>
      <c r="AD136" s="9" t="s">
        <v>8</v>
      </c>
      <c r="AE136" s="9" t="s">
        <v>9</v>
      </c>
      <c r="AF136" s="9" t="s">
        <v>10</v>
      </c>
      <c r="AG136" s="44" t="s">
        <v>139</v>
      </c>
      <c r="AH136" s="85"/>
      <c r="AI136" s="85"/>
    </row>
    <row r="137" spans="3:35" x14ac:dyDescent="0.35">
      <c r="C137" s="155"/>
      <c r="G137" s="49" t="s">
        <v>94</v>
      </c>
      <c r="H137" s="2">
        <f>_xlfn.STDEV.S(H125:H132)</f>
        <v>0.17218411785374174</v>
      </c>
      <c r="I137" s="2">
        <f t="shared" ref="I137:P137" si="129">_xlfn.STDEV.S(I125:I132)</f>
        <v>1.14696035069019</v>
      </c>
      <c r="J137" s="2">
        <f t="shared" si="129"/>
        <v>3.086693521632302E-2</v>
      </c>
      <c r="K137" s="2">
        <f t="shared" si="129"/>
        <v>3.086693521632301E-2</v>
      </c>
      <c r="L137" s="2">
        <f t="shared" si="129"/>
        <v>1.5443358951285404E-2</v>
      </c>
      <c r="M137" s="2">
        <f t="shared" si="129"/>
        <v>8.9871668810009887E-3</v>
      </c>
      <c r="N137" s="2">
        <f t="shared" si="129"/>
        <v>1.1734797355575788</v>
      </c>
      <c r="O137" s="2">
        <f t="shared" si="129"/>
        <v>1.5059406173077154</v>
      </c>
      <c r="P137" s="2">
        <f t="shared" si="129"/>
        <v>0.65750626271243062</v>
      </c>
      <c r="V137" s="137" t="s">
        <v>125</v>
      </c>
      <c r="W137" s="85"/>
      <c r="X137" s="49" t="s">
        <v>77</v>
      </c>
      <c r="Y137" s="13">
        <f>AVERAGE(Y128:Y129,Y132)</f>
        <v>2.5340100000000021</v>
      </c>
      <c r="Z137" s="13">
        <f t="shared" ref="Z137:AG137" si="130">AVERAGE(Z128:Z129,Z132)</f>
        <v>11.112919999999997</v>
      </c>
      <c r="AA137" s="13">
        <f t="shared" si="130"/>
        <v>0.21006551275943508</v>
      </c>
      <c r="AB137" s="13">
        <f t="shared" si="130"/>
        <v>0.78993448724056492</v>
      </c>
      <c r="AC137" s="13">
        <f t="shared" si="130"/>
        <v>0.39618494674537302</v>
      </c>
      <c r="AD137" s="13">
        <f t="shared" si="130"/>
        <v>8.345928849580031E-2</v>
      </c>
      <c r="AE137" s="13">
        <f t="shared" si="130"/>
        <v>13.646929999999999</v>
      </c>
      <c r="AF137" s="13">
        <f t="shared" si="130"/>
        <v>14.666666666666666</v>
      </c>
      <c r="AG137" s="13">
        <f t="shared" si="130"/>
        <v>5.8221450477680561</v>
      </c>
      <c r="AH137" s="85"/>
      <c r="AI137" s="85"/>
    </row>
    <row r="138" spans="3:35" x14ac:dyDescent="0.35">
      <c r="C138" s="155"/>
      <c r="G138" s="49" t="s">
        <v>95</v>
      </c>
      <c r="H138" s="2">
        <f>H137/(SQRT(8))</f>
        <v>6.0876278673502232E-2</v>
      </c>
      <c r="I138" s="2">
        <f t="shared" ref="I138:P138" si="131">I137/(SQRT(8))</f>
        <v>0.40551172086256698</v>
      </c>
      <c r="J138" s="2">
        <f t="shared" si="131"/>
        <v>1.0913109602953929E-2</v>
      </c>
      <c r="K138" s="2">
        <f t="shared" si="131"/>
        <v>1.0913109602953925E-2</v>
      </c>
      <c r="L138" s="2">
        <f t="shared" si="131"/>
        <v>5.4600519193759387E-3</v>
      </c>
      <c r="M138" s="2">
        <f t="shared" si="131"/>
        <v>3.177443322605476E-3</v>
      </c>
      <c r="N138" s="2">
        <f t="shared" si="131"/>
        <v>0.41488773929888023</v>
      </c>
      <c r="O138" s="2">
        <f t="shared" si="131"/>
        <v>0.53243041128127044</v>
      </c>
      <c r="P138" s="2">
        <f t="shared" si="131"/>
        <v>0.23246356851829164</v>
      </c>
      <c r="V138" s="137"/>
      <c r="W138" s="85"/>
      <c r="X138" s="49" t="s">
        <v>94</v>
      </c>
      <c r="Y138" s="2">
        <f>_xlfn.STDEV.S(Y128:Y129,Y132)</f>
        <v>0.19866736118446443</v>
      </c>
      <c r="Z138" s="2">
        <f t="shared" ref="Z138:AG138" si="132">_xlfn.STDEV.S(Z128:Z129,Z132)</f>
        <v>5.6148112152324474</v>
      </c>
      <c r="AA138" s="2">
        <f t="shared" si="132"/>
        <v>8.9000817958233933E-2</v>
      </c>
      <c r="AB138" s="2">
        <f t="shared" si="132"/>
        <v>8.9000817958233974E-2</v>
      </c>
      <c r="AC138" s="2">
        <f t="shared" si="132"/>
        <v>2.9722991555403446E-2</v>
      </c>
      <c r="AD138" s="2">
        <f t="shared" si="132"/>
        <v>3.8068108162329618E-2</v>
      </c>
      <c r="AE138" s="2">
        <f t="shared" si="132"/>
        <v>5.6225435511074515</v>
      </c>
      <c r="AF138" s="2">
        <f t="shared" si="132"/>
        <v>0.57735026918962573</v>
      </c>
      <c r="AG138" s="2">
        <f t="shared" si="132"/>
        <v>0.65468258210147279</v>
      </c>
      <c r="AH138" s="85"/>
      <c r="AI138" s="85"/>
    </row>
    <row r="139" spans="3:35" x14ac:dyDescent="0.35">
      <c r="C139" s="155"/>
      <c r="G139" s="49"/>
      <c r="H139" s="2"/>
      <c r="I139" s="2"/>
      <c r="J139" s="2"/>
      <c r="K139" s="2"/>
      <c r="L139" s="2"/>
      <c r="M139" s="2"/>
      <c r="N139" s="2"/>
      <c r="O139" s="2"/>
      <c r="P139" s="2"/>
      <c r="V139" s="137"/>
      <c r="W139" s="85"/>
      <c r="X139" s="49" t="s">
        <v>95</v>
      </c>
      <c r="Y139" s="2">
        <f>Y138/(SQRT(COUNT(Y128:Y129,Y132)))</f>
        <v>0.11470065445904315</v>
      </c>
      <c r="Z139" s="2">
        <f t="shared" ref="Z139:AG139" si="133">Z138/(SQRT(COUNT(Z128:Z129,Z132)))</f>
        <v>3.2417127665633836</v>
      </c>
      <c r="AA139" s="2">
        <f t="shared" si="133"/>
        <v>5.138464620628324E-2</v>
      </c>
      <c r="AB139" s="2">
        <f t="shared" si="133"/>
        <v>5.1384646206283267E-2</v>
      </c>
      <c r="AC139" s="2">
        <f t="shared" si="133"/>
        <v>1.7160577175633154E-2</v>
      </c>
      <c r="AD139" s="2">
        <f t="shared" si="133"/>
        <v>2.1978632495060796E-2</v>
      </c>
      <c r="AE139" s="2">
        <f t="shared" si="133"/>
        <v>3.2461770327622816</v>
      </c>
      <c r="AF139" s="2">
        <f t="shared" si="133"/>
        <v>0.33333333333333331</v>
      </c>
      <c r="AG139" s="2">
        <f t="shared" si="133"/>
        <v>0.37798116501004458</v>
      </c>
      <c r="AH139" s="85"/>
      <c r="AI139" s="85"/>
    </row>
    <row r="140" spans="3:35" x14ac:dyDescent="0.35">
      <c r="C140" s="155"/>
      <c r="G140" s="13"/>
      <c r="H140" s="2"/>
      <c r="I140" s="2"/>
      <c r="J140" s="2"/>
      <c r="K140" s="2"/>
      <c r="L140" s="2"/>
      <c r="M140" s="2"/>
      <c r="N140" s="2"/>
      <c r="O140" s="2"/>
      <c r="V140" s="137"/>
      <c r="W140" s="85"/>
      <c r="X140" s="85"/>
      <c r="Y140" s="85"/>
      <c r="Z140" s="85"/>
      <c r="AA140" s="85"/>
      <c r="AB140" s="85"/>
      <c r="AC140" s="85"/>
      <c r="AD140" s="85"/>
      <c r="AE140" s="85"/>
      <c r="AF140" s="85"/>
      <c r="AG140" s="85"/>
      <c r="AH140" s="85"/>
      <c r="AI140" s="85"/>
    </row>
    <row r="141" spans="3:35" ht="24" thickBot="1" x14ac:dyDescent="0.6">
      <c r="C141" s="155" t="s">
        <v>216</v>
      </c>
      <c r="D141" s="204" t="s">
        <v>122</v>
      </c>
      <c r="F141" s="9" t="s">
        <v>1</v>
      </c>
      <c r="G141" s="9" t="s">
        <v>2</v>
      </c>
      <c r="H141" s="9" t="s">
        <v>3</v>
      </c>
      <c r="I141" s="9" t="s">
        <v>4</v>
      </c>
      <c r="J141" s="9" t="s">
        <v>5</v>
      </c>
      <c r="K141" s="9" t="s">
        <v>6</v>
      </c>
      <c r="L141" s="9" t="s">
        <v>7</v>
      </c>
      <c r="M141" s="9" t="s">
        <v>8</v>
      </c>
      <c r="N141" s="9" t="s">
        <v>9</v>
      </c>
      <c r="O141" s="9" t="s">
        <v>10</v>
      </c>
      <c r="P141" s="44" t="s">
        <v>139</v>
      </c>
      <c r="V141" s="137"/>
      <c r="W141" s="85"/>
      <c r="X141" s="85"/>
      <c r="Y141" s="85"/>
      <c r="Z141" s="85"/>
      <c r="AA141" s="85"/>
      <c r="AB141" s="85"/>
      <c r="AC141" s="85"/>
      <c r="AD141" s="85"/>
      <c r="AE141" s="85"/>
      <c r="AF141" s="85"/>
      <c r="AG141" s="85"/>
      <c r="AH141" s="85"/>
      <c r="AI141" s="85"/>
    </row>
    <row r="142" spans="3:35" ht="16" thickBot="1" x14ac:dyDescent="0.4">
      <c r="C142" s="155">
        <v>3</v>
      </c>
      <c r="D142" s="259" t="s">
        <v>700</v>
      </c>
      <c r="F142">
        <v>1.28023</v>
      </c>
      <c r="G142">
        <v>4.7303100000000002</v>
      </c>
      <c r="H142" s="2">
        <f>G142-F142</f>
        <v>3.4500800000000003</v>
      </c>
      <c r="I142" s="2">
        <f>F143-G142</f>
        <v>7.0212200000000005</v>
      </c>
      <c r="J142" s="2">
        <f>H142/N142</f>
        <v>0.32947962526142882</v>
      </c>
      <c r="K142" s="2">
        <f>I142/N142</f>
        <v>0.67052037473857107</v>
      </c>
      <c r="L142" s="2">
        <f>1/H142</f>
        <v>0.28984835134257753</v>
      </c>
      <c r="M142" s="2">
        <f>1/N142</f>
        <v>9.5499126182995414E-2</v>
      </c>
      <c r="N142" s="2">
        <f>H142+I142</f>
        <v>10.471300000000001</v>
      </c>
      <c r="O142">
        <v>19</v>
      </c>
      <c r="P142" s="2">
        <f>O142/H142</f>
        <v>5.5071186755089734</v>
      </c>
      <c r="R142" t="s">
        <v>264</v>
      </c>
      <c r="V142" s="137"/>
      <c r="W142" s="85"/>
      <c r="X142" s="13"/>
      <c r="Y142" s="9" t="s">
        <v>3</v>
      </c>
      <c r="Z142" s="9" t="s">
        <v>4</v>
      </c>
      <c r="AA142" s="9" t="s">
        <v>5</v>
      </c>
      <c r="AB142" s="9" t="s">
        <v>6</v>
      </c>
      <c r="AC142" s="9" t="s">
        <v>7</v>
      </c>
      <c r="AD142" s="9" t="s">
        <v>8</v>
      </c>
      <c r="AE142" s="9" t="s">
        <v>9</v>
      </c>
      <c r="AF142" s="9" t="s">
        <v>10</v>
      </c>
      <c r="AG142" s="44" t="s">
        <v>139</v>
      </c>
      <c r="AH142" s="85"/>
      <c r="AI142" s="85"/>
    </row>
    <row r="143" spans="3:35" x14ac:dyDescent="0.35">
      <c r="C143" s="155">
        <v>3</v>
      </c>
      <c r="E143" s="104"/>
      <c r="F143">
        <v>11.751530000000001</v>
      </c>
      <c r="G143">
        <v>15.432919999999999</v>
      </c>
      <c r="H143" s="2">
        <f t="shared" ref="H143:H151" si="134">G143-F143</f>
        <v>3.6813899999999986</v>
      </c>
      <c r="I143" s="2">
        <f t="shared" ref="I143:I148" si="135">F144-G143</f>
        <v>8.1609400000000001</v>
      </c>
      <c r="J143" s="2">
        <f t="shared" ref="J143:J148" si="136">H143/N143</f>
        <v>0.31086703376784797</v>
      </c>
      <c r="K143" s="2">
        <f t="shared" ref="K143:K148" si="137">I143/N143</f>
        <v>0.68913296623215203</v>
      </c>
      <c r="L143" s="2">
        <f t="shared" ref="L143:L148" si="138">1/H143</f>
        <v>0.27163652859381926</v>
      </c>
      <c r="M143" s="2">
        <f t="shared" ref="M143:M148" si="139">1/N143</f>
        <v>8.4442841906955821E-2</v>
      </c>
      <c r="N143" s="2">
        <f t="shared" ref="N143:N148" si="140">H143+I143</f>
        <v>11.842329999999999</v>
      </c>
      <c r="O143">
        <v>22</v>
      </c>
      <c r="P143" s="2">
        <f t="shared" ref="P143:P151" si="141">O143/H143</f>
        <v>5.9760036290640244</v>
      </c>
      <c r="V143" s="137" t="s">
        <v>78</v>
      </c>
      <c r="W143" s="85"/>
      <c r="X143" s="49" t="s">
        <v>77</v>
      </c>
      <c r="Y143" s="13">
        <f>AVERAGE(Y126:Y127,Y130:Y131,Y133)</f>
        <v>3.6294399999999967</v>
      </c>
      <c r="Z143" s="13">
        <f t="shared" ref="Z143:AG143" si="142">AVERAGE(Z126:Z127,Z130:Z131,Z133)</f>
        <v>10.892000000000005</v>
      </c>
      <c r="AA143" s="13">
        <f t="shared" si="142"/>
        <v>0.25609975356949866</v>
      </c>
      <c r="AB143" s="13">
        <f t="shared" si="142"/>
        <v>0.74390024643050123</v>
      </c>
      <c r="AC143" s="13">
        <f t="shared" si="142"/>
        <v>0.27675105739840877</v>
      </c>
      <c r="AD143" s="13">
        <f t="shared" si="142"/>
        <v>7.0334383634828829E-2</v>
      </c>
      <c r="AE143" s="13">
        <f t="shared" si="142"/>
        <v>14.521440000000002</v>
      </c>
      <c r="AF143" s="13">
        <f t="shared" si="142"/>
        <v>19.2</v>
      </c>
      <c r="AG143" s="13">
        <f t="shared" si="142"/>
        <v>5.3121434116856561</v>
      </c>
      <c r="AH143" s="85"/>
      <c r="AI143" s="85"/>
    </row>
    <row r="144" spans="3:35" x14ac:dyDescent="0.35">
      <c r="C144" s="155">
        <v>3</v>
      </c>
      <c r="F144">
        <v>23.593859999999999</v>
      </c>
      <c r="G144">
        <v>27.114129999999999</v>
      </c>
      <c r="H144" s="2">
        <f t="shared" si="134"/>
        <v>3.52027</v>
      </c>
      <c r="I144" s="2">
        <f t="shared" si="135"/>
        <v>8.3813300000000019</v>
      </c>
      <c r="J144" s="2">
        <f t="shared" si="136"/>
        <v>0.29578123949721041</v>
      </c>
      <c r="K144" s="2">
        <f t="shared" si="137"/>
        <v>0.70421876050278964</v>
      </c>
      <c r="L144" s="2">
        <f t="shared" si="138"/>
        <v>0.28406911969820497</v>
      </c>
      <c r="M144" s="2">
        <f t="shared" si="139"/>
        <v>8.402231632721649E-2</v>
      </c>
      <c r="N144" s="2">
        <f t="shared" si="140"/>
        <v>11.901600000000002</v>
      </c>
      <c r="O144">
        <v>21</v>
      </c>
      <c r="P144" s="2">
        <f t="shared" si="141"/>
        <v>5.9654515136623045</v>
      </c>
      <c r="V144" s="137"/>
      <c r="W144" s="85"/>
      <c r="X144" s="49" t="s">
        <v>94</v>
      </c>
      <c r="Y144" s="2">
        <f>_xlfn.STDEV.S(Y126:Y127,Y130:Y131,Y133)</f>
        <v>0.26580270944819423</v>
      </c>
      <c r="Z144" s="2">
        <f t="shared" ref="Z144:AG144" si="143">_xlfn.STDEV.S(Z126:Z127,Z130:Z131,Z133)</f>
        <v>2.5635847319817651</v>
      </c>
      <c r="AA144" s="2">
        <f t="shared" si="143"/>
        <v>4.7412167356732225E-2</v>
      </c>
      <c r="AB144" s="2">
        <f t="shared" si="143"/>
        <v>4.74121673567321E-2</v>
      </c>
      <c r="AC144" s="2">
        <f t="shared" si="143"/>
        <v>2.0983310889576334E-2</v>
      </c>
      <c r="AD144" s="2">
        <f t="shared" si="143"/>
        <v>1.0984175997555141E-2</v>
      </c>
      <c r="AE144" s="2">
        <f t="shared" si="143"/>
        <v>2.4404368882947862</v>
      </c>
      <c r="AF144" s="2">
        <f t="shared" si="143"/>
        <v>2.7748873851023195</v>
      </c>
      <c r="AG144" s="2">
        <f t="shared" si="143"/>
        <v>0.82192749268505294</v>
      </c>
      <c r="AH144" s="85"/>
      <c r="AI144" s="85"/>
    </row>
    <row r="145" spans="3:35" x14ac:dyDescent="0.35">
      <c r="C145" s="155">
        <v>3</v>
      </c>
      <c r="F145">
        <v>35.495460000000001</v>
      </c>
      <c r="G145">
        <v>39.11421</v>
      </c>
      <c r="H145" s="2">
        <f t="shared" si="134"/>
        <v>3.6187499999999986</v>
      </c>
      <c r="I145" s="2">
        <f t="shared" si="135"/>
        <v>8.18703</v>
      </c>
      <c r="J145" s="2">
        <f t="shared" si="136"/>
        <v>0.30652358421044601</v>
      </c>
      <c r="K145" s="2">
        <f t="shared" si="137"/>
        <v>0.69347641578955399</v>
      </c>
      <c r="L145" s="2">
        <f t="shared" si="138"/>
        <v>0.2763385146804837</v>
      </c>
      <c r="M145" s="2">
        <f t="shared" si="139"/>
        <v>8.4704271975252807E-2</v>
      </c>
      <c r="N145" s="2">
        <f t="shared" si="140"/>
        <v>11.805779999999999</v>
      </c>
      <c r="O145">
        <v>20</v>
      </c>
      <c r="P145" s="2">
        <f t="shared" si="141"/>
        <v>5.5267702936096743</v>
      </c>
      <c r="V145" s="137"/>
      <c r="W145" s="85"/>
      <c r="X145" s="49" t="s">
        <v>95</v>
      </c>
      <c r="Y145" s="2">
        <f>Y144/(SQRT(5))</f>
        <v>0.11887058538595757</v>
      </c>
      <c r="Z145" s="2">
        <f t="shared" ref="Z145:AG145" si="144">Z144/(SQRT(5))</f>
        <v>1.1464699453583611</v>
      </c>
      <c r="AA145" s="2">
        <f t="shared" si="144"/>
        <v>2.1203365834049956E-2</v>
      </c>
      <c r="AB145" s="2">
        <f t="shared" si="144"/>
        <v>2.1203365834049897E-2</v>
      </c>
      <c r="AC145" s="2">
        <f t="shared" si="144"/>
        <v>9.3840219084208535E-3</v>
      </c>
      <c r="AD145" s="2">
        <f t="shared" si="144"/>
        <v>4.9122728414709715E-3</v>
      </c>
      <c r="AE145" s="2">
        <f t="shared" si="144"/>
        <v>1.0913965554050404</v>
      </c>
      <c r="AF145" s="2">
        <f t="shared" si="144"/>
        <v>1.2409673645990846</v>
      </c>
      <c r="AG145" s="2">
        <f t="shared" si="144"/>
        <v>0.36757714924394791</v>
      </c>
      <c r="AH145" s="85"/>
      <c r="AI145" s="85"/>
    </row>
    <row r="146" spans="3:35" x14ac:dyDescent="0.35">
      <c r="C146" s="155">
        <v>3</v>
      </c>
      <c r="F146">
        <v>47.30124</v>
      </c>
      <c r="G146">
        <v>50.70776</v>
      </c>
      <c r="H146" s="2">
        <f t="shared" si="134"/>
        <v>3.4065200000000004</v>
      </c>
      <c r="I146" s="2">
        <f t="shared" si="135"/>
        <v>8.2870199999999983</v>
      </c>
      <c r="J146" s="2">
        <f t="shared" si="136"/>
        <v>0.29131640204762638</v>
      </c>
      <c r="K146" s="2">
        <f t="shared" si="137"/>
        <v>0.70868359795237368</v>
      </c>
      <c r="L146" s="2">
        <f t="shared" si="138"/>
        <v>0.29355471272735811</v>
      </c>
      <c r="M146" s="2">
        <f t="shared" si="139"/>
        <v>8.5517302715858515E-2</v>
      </c>
      <c r="N146" s="2">
        <f t="shared" si="140"/>
        <v>11.693539999999999</v>
      </c>
      <c r="O146">
        <v>20</v>
      </c>
      <c r="P146" s="2">
        <f t="shared" si="141"/>
        <v>5.8710942545471614</v>
      </c>
    </row>
    <row r="147" spans="3:35" x14ac:dyDescent="0.35">
      <c r="C147" s="155">
        <v>3</v>
      </c>
      <c r="E147" s="104"/>
      <c r="F147">
        <v>58.994779999999999</v>
      </c>
      <c r="G147">
        <v>62.257669999999997</v>
      </c>
      <c r="H147" s="2">
        <f t="shared" si="134"/>
        <v>3.2628899999999987</v>
      </c>
      <c r="I147" s="2">
        <f t="shared" si="135"/>
        <v>8.299970000000009</v>
      </c>
      <c r="J147" s="2">
        <f t="shared" si="136"/>
        <v>0.28218710595821417</v>
      </c>
      <c r="K147" s="2">
        <f t="shared" si="137"/>
        <v>0.71781289404178583</v>
      </c>
      <c r="L147" s="2">
        <f t="shared" si="138"/>
        <v>0.30647677365770848</v>
      </c>
      <c r="M147" s="2">
        <f t="shared" si="139"/>
        <v>8.6483793801879413E-2</v>
      </c>
      <c r="N147" s="2">
        <f t="shared" si="140"/>
        <v>11.562860000000008</v>
      </c>
      <c r="O147">
        <v>21</v>
      </c>
      <c r="P147" s="2">
        <f t="shared" si="141"/>
        <v>6.4360122468118774</v>
      </c>
    </row>
    <row r="148" spans="3:35" x14ac:dyDescent="0.35">
      <c r="C148" s="155">
        <v>3</v>
      </c>
      <c r="F148">
        <v>70.557640000000006</v>
      </c>
      <c r="G148">
        <v>73.893969999999996</v>
      </c>
      <c r="H148" s="2">
        <f t="shared" si="134"/>
        <v>3.3363299999999896</v>
      </c>
      <c r="I148" s="2">
        <f t="shared" si="135"/>
        <v>8.3248099999999994</v>
      </c>
      <c r="J148" s="2">
        <f t="shared" si="136"/>
        <v>0.28610667567664849</v>
      </c>
      <c r="K148" s="2">
        <f t="shared" si="137"/>
        <v>0.71389332432335151</v>
      </c>
      <c r="L148" s="2">
        <f t="shared" si="138"/>
        <v>0.29973054224252493</v>
      </c>
      <c r="M148" s="2">
        <f t="shared" si="139"/>
        <v>8.5754909039768068E-2</v>
      </c>
      <c r="N148" s="2">
        <f t="shared" si="140"/>
        <v>11.661139999999989</v>
      </c>
      <c r="O148">
        <v>19</v>
      </c>
      <c r="P148" s="2">
        <f t="shared" si="141"/>
        <v>5.6948803026079728</v>
      </c>
    </row>
    <row r="149" spans="3:35" x14ac:dyDescent="0.35">
      <c r="C149" s="155">
        <v>3</v>
      </c>
      <c r="F149">
        <v>82.218779999999995</v>
      </c>
      <c r="G149">
        <v>85.731930000000006</v>
      </c>
      <c r="H149" s="2">
        <f t="shared" si="134"/>
        <v>3.5131500000000102</v>
      </c>
      <c r="I149" s="2">
        <f>F150-G149</f>
        <v>8.1659099999999967</v>
      </c>
      <c r="J149" s="2">
        <f>H149/N149</f>
        <v>0.30080759924172051</v>
      </c>
      <c r="K149" s="2">
        <f>I149/N149</f>
        <v>0.69919240075827949</v>
      </c>
      <c r="L149" s="2">
        <f>1/H149</f>
        <v>0.28464483440786675</v>
      </c>
      <c r="M149" s="2">
        <f>1/N149</f>
        <v>8.5623329274787469E-2</v>
      </c>
      <c r="N149" s="2">
        <f>H149+I149</f>
        <v>11.679060000000007</v>
      </c>
      <c r="O149">
        <v>22</v>
      </c>
      <c r="P149" s="2">
        <f t="shared" si="141"/>
        <v>6.2621863569730687</v>
      </c>
    </row>
    <row r="150" spans="3:35" x14ac:dyDescent="0.35">
      <c r="C150" s="155">
        <v>3</v>
      </c>
      <c r="F150">
        <v>93.897840000000002</v>
      </c>
      <c r="G150">
        <v>97.118210000000005</v>
      </c>
      <c r="H150" s="2">
        <f t="shared" si="134"/>
        <v>3.2203700000000026</v>
      </c>
      <c r="I150" s="2">
        <f>F151-G150</f>
        <v>8.6068300000000022</v>
      </c>
      <c r="J150" s="2">
        <f>H150/N150</f>
        <v>0.2722850716991343</v>
      </c>
      <c r="K150" s="2">
        <f>I150/N150</f>
        <v>0.7277149283008657</v>
      </c>
      <c r="L150" s="2">
        <f>1/H150</f>
        <v>0.31052332495955409</v>
      </c>
      <c r="M150" s="2">
        <f>1/N150</f>
        <v>8.4550865800865765E-2</v>
      </c>
      <c r="N150" s="2">
        <f>H150+I150</f>
        <v>11.827200000000005</v>
      </c>
      <c r="O150">
        <v>19</v>
      </c>
      <c r="P150" s="2">
        <f>O150/H150</f>
        <v>5.8999431742315274</v>
      </c>
    </row>
    <row r="151" spans="3:35" x14ac:dyDescent="0.35">
      <c r="C151" s="155">
        <v>3</v>
      </c>
      <c r="F151">
        <v>105.72504000000001</v>
      </c>
      <c r="G151">
        <v>108.90062</v>
      </c>
      <c r="H151" s="2">
        <f t="shared" si="134"/>
        <v>3.1755799999999965</v>
      </c>
      <c r="I151" s="2">
        <f>F152-G151</f>
        <v>8.6086999999999989</v>
      </c>
      <c r="J151" s="2">
        <f>H151/N151</f>
        <v>0.26947594592117613</v>
      </c>
      <c r="K151" s="2">
        <f>I151/N151</f>
        <v>0.73052405407882381</v>
      </c>
      <c r="L151" s="2">
        <f>1/H151</f>
        <v>0.31490310431480267</v>
      </c>
      <c r="M151" s="2">
        <f>1/N151</f>
        <v>8.4858811908746265E-2</v>
      </c>
      <c r="N151" s="2">
        <f>H151+I151</f>
        <v>11.784279999999995</v>
      </c>
      <c r="O151">
        <v>17</v>
      </c>
      <c r="P151" s="2">
        <f t="shared" si="141"/>
        <v>5.3533527733516459</v>
      </c>
    </row>
    <row r="152" spans="3:35" x14ac:dyDescent="0.35">
      <c r="C152" s="155">
        <v>3</v>
      </c>
      <c r="F152">
        <v>117.50932</v>
      </c>
      <c r="G152">
        <v>119.6943</v>
      </c>
    </row>
    <row r="153" spans="3:35" x14ac:dyDescent="0.35">
      <c r="C153" s="155"/>
    </row>
    <row r="154" spans="3:35" ht="16" thickBot="1" x14ac:dyDescent="0.4">
      <c r="C154" s="155"/>
      <c r="G154" s="13"/>
      <c r="H154" s="9" t="s">
        <v>3</v>
      </c>
      <c r="I154" s="9" t="s">
        <v>4</v>
      </c>
      <c r="J154" s="9" t="s">
        <v>5</v>
      </c>
      <c r="K154" s="9" t="s">
        <v>6</v>
      </c>
      <c r="L154" s="9" t="s">
        <v>7</v>
      </c>
      <c r="M154" s="9" t="s">
        <v>8</v>
      </c>
      <c r="N154" s="9" t="s">
        <v>9</v>
      </c>
      <c r="O154" s="9" t="s">
        <v>10</v>
      </c>
      <c r="P154" s="44" t="s">
        <v>139</v>
      </c>
    </row>
    <row r="155" spans="3:35" x14ac:dyDescent="0.35">
      <c r="C155" s="155"/>
      <c r="G155" s="49" t="s">
        <v>77</v>
      </c>
      <c r="H155" s="13">
        <f>AVERAGE(H142:H151)</f>
        <v>3.4185329999999992</v>
      </c>
      <c r="I155" s="13">
        <f t="shared" ref="I155:P155" si="145">AVERAGE(I142:I151)</f>
        <v>8.2043759999999999</v>
      </c>
      <c r="J155" s="13">
        <f t="shared" si="145"/>
        <v>0.29448302832814532</v>
      </c>
      <c r="K155" s="13">
        <f t="shared" si="145"/>
        <v>0.70551697167185468</v>
      </c>
      <c r="L155" s="13">
        <f t="shared" si="145"/>
        <v>0.29317258066249013</v>
      </c>
      <c r="M155" s="13">
        <f t="shared" si="145"/>
        <v>8.6145756893432596E-2</v>
      </c>
      <c r="N155" s="13">
        <f t="shared" si="145"/>
        <v>11.622909</v>
      </c>
      <c r="O155" s="13">
        <f t="shared" si="145"/>
        <v>20</v>
      </c>
      <c r="P155" s="13">
        <f t="shared" si="145"/>
        <v>5.8492813220368216</v>
      </c>
    </row>
    <row r="156" spans="3:35" x14ac:dyDescent="0.35">
      <c r="C156" s="155"/>
      <c r="G156" s="49" t="s">
        <v>94</v>
      </c>
      <c r="H156" s="2">
        <f>_xlfn.STDEV.S(H142:H151)</f>
        <v>0.1696073177830365</v>
      </c>
      <c r="I156" s="2">
        <f t="shared" ref="I156:P156" si="146">_xlfn.STDEV.S(I142:I151)</f>
        <v>0.44606399048168488</v>
      </c>
      <c r="J156" s="2">
        <f t="shared" si="146"/>
        <v>1.8346485973784774E-2</v>
      </c>
      <c r="K156" s="2">
        <f t="shared" si="146"/>
        <v>1.8346485973784792E-2</v>
      </c>
      <c r="L156" s="2">
        <f t="shared" si="146"/>
        <v>1.4557364293618098E-2</v>
      </c>
      <c r="M156" s="2">
        <f t="shared" si="146"/>
        <v>3.3682691958708856E-3</v>
      </c>
      <c r="N156" s="2">
        <f t="shared" si="146"/>
        <v>0.41719219089447601</v>
      </c>
      <c r="O156" s="2">
        <f t="shared" si="146"/>
        <v>1.5634719199411433</v>
      </c>
      <c r="P156" s="2">
        <f t="shared" si="146"/>
        <v>0.33964256867639908</v>
      </c>
    </row>
    <row r="157" spans="3:35" x14ac:dyDescent="0.35">
      <c r="C157" s="155"/>
      <c r="G157" s="49" t="s">
        <v>95</v>
      </c>
      <c r="H157" s="2">
        <f>H156/(SQRT(10))</f>
        <v>5.3634543202637538E-2</v>
      </c>
      <c r="I157" s="2">
        <f t="shared" ref="I157:P157" si="147">I156/(SQRT(10))</f>
        <v>0.14105781921057925</v>
      </c>
      <c r="J157" s="2">
        <f t="shared" si="147"/>
        <v>5.8016682737492102E-3</v>
      </c>
      <c r="K157" s="2">
        <f t="shared" si="147"/>
        <v>5.8016682737492154E-3</v>
      </c>
      <c r="L157" s="2">
        <f t="shared" si="147"/>
        <v>4.6034427896641346E-3</v>
      </c>
      <c r="M157" s="2">
        <f t="shared" si="147"/>
        <v>1.0651402431535813E-3</v>
      </c>
      <c r="N157" s="2">
        <f t="shared" si="147"/>
        <v>0.13192775452623035</v>
      </c>
      <c r="O157" s="2">
        <f t="shared" si="147"/>
        <v>0.4944132324730442</v>
      </c>
      <c r="P157" s="2">
        <f t="shared" si="147"/>
        <v>0.10740441073675813</v>
      </c>
    </row>
    <row r="158" spans="3:35" x14ac:dyDescent="0.35">
      <c r="C158" s="155"/>
    </row>
    <row r="159" spans="3:35" ht="24" thickBot="1" x14ac:dyDescent="0.6">
      <c r="C159" s="155" t="s">
        <v>216</v>
      </c>
      <c r="D159" s="204" t="s">
        <v>122</v>
      </c>
      <c r="F159" s="9" t="s">
        <v>1</v>
      </c>
      <c r="G159" s="9" t="s">
        <v>2</v>
      </c>
      <c r="H159" s="9" t="s">
        <v>3</v>
      </c>
      <c r="I159" s="9" t="s">
        <v>4</v>
      </c>
      <c r="J159" s="9" t="s">
        <v>5</v>
      </c>
      <c r="K159" s="9" t="s">
        <v>6</v>
      </c>
      <c r="L159" s="9" t="s">
        <v>7</v>
      </c>
      <c r="M159" s="9" t="s">
        <v>8</v>
      </c>
      <c r="N159" s="9" t="s">
        <v>9</v>
      </c>
      <c r="O159" s="9" t="s">
        <v>10</v>
      </c>
      <c r="P159" s="44" t="s">
        <v>139</v>
      </c>
    </row>
    <row r="160" spans="3:35" x14ac:dyDescent="0.35">
      <c r="C160" s="155">
        <v>0</v>
      </c>
      <c r="F160">
        <v>9.1322899999999994</v>
      </c>
      <c r="G160">
        <v>12.38326</v>
      </c>
      <c r="H160" s="2">
        <f>G160-F160</f>
        <v>3.2509700000000006</v>
      </c>
      <c r="I160" s="2">
        <f>F161-G160</f>
        <v>10.19022</v>
      </c>
      <c r="J160" s="2">
        <f>H160/N160</f>
        <v>0.24186623357009315</v>
      </c>
      <c r="K160" s="2">
        <f>I160/N160</f>
        <v>0.75813376642990682</v>
      </c>
      <c r="L160" s="2">
        <f>1/H160</f>
        <v>0.30760050077361523</v>
      </c>
      <c r="M160" s="2">
        <f>1/N160</f>
        <v>7.4398174566388836E-2</v>
      </c>
      <c r="N160" s="2">
        <f>H160+I160</f>
        <v>13.441190000000001</v>
      </c>
      <c r="O160">
        <v>17</v>
      </c>
      <c r="P160" s="2">
        <f>O160/H160</f>
        <v>5.2292085131514581</v>
      </c>
      <c r="R160" t="s">
        <v>265</v>
      </c>
    </row>
    <row r="161" spans="3:18" x14ac:dyDescent="0.35">
      <c r="C161" s="155">
        <v>0</v>
      </c>
      <c r="F161">
        <v>22.57348</v>
      </c>
      <c r="G161">
        <v>26.002079999999999</v>
      </c>
      <c r="H161" s="2">
        <f t="shared" ref="H161:H166" si="148">G161-F161</f>
        <v>3.4285999999999994</v>
      </c>
      <c r="I161" s="2">
        <f t="shared" ref="I161:I166" si="149">F162-G161</f>
        <v>8.5325199999999981</v>
      </c>
      <c r="J161" s="2">
        <f t="shared" ref="J161:J166" si="150">H161/N161</f>
        <v>0.28664539775539416</v>
      </c>
      <c r="K161" s="2">
        <f t="shared" ref="K161:K166" si="151">I161/N161</f>
        <v>0.7133546022446059</v>
      </c>
      <c r="L161" s="2">
        <f t="shared" ref="L161:L166" si="152">1/H161</f>
        <v>0.29166423613136561</v>
      </c>
      <c r="M161" s="2">
        <f t="shared" ref="M161:M166" si="153">1/N161</f>
        <v>8.3604210976898505E-2</v>
      </c>
      <c r="N161" s="2">
        <f t="shared" ref="N161:N166" si="154">H161+I161</f>
        <v>11.961119999999998</v>
      </c>
      <c r="O161">
        <v>21</v>
      </c>
      <c r="P161" s="2">
        <f t="shared" ref="P161:P167" si="155">O161/H161</f>
        <v>6.1249489587586776</v>
      </c>
    </row>
    <row r="162" spans="3:18" x14ac:dyDescent="0.35">
      <c r="C162" s="155">
        <v>0</v>
      </c>
      <c r="E162" s="104"/>
      <c r="F162">
        <v>34.534599999999998</v>
      </c>
      <c r="G162">
        <v>37.776760000000003</v>
      </c>
      <c r="H162" s="2">
        <f t="shared" si="148"/>
        <v>3.2421600000000055</v>
      </c>
      <c r="I162" s="2">
        <f t="shared" si="149"/>
        <v>10.29692</v>
      </c>
      <c r="J162" s="2">
        <f t="shared" si="150"/>
        <v>0.23946678799445784</v>
      </c>
      <c r="K162" s="2">
        <f t="shared" si="151"/>
        <v>0.76053321200554214</v>
      </c>
      <c r="L162" s="2">
        <f t="shared" si="152"/>
        <v>0.30843635107459172</v>
      </c>
      <c r="M162" s="2">
        <f t="shared" si="153"/>
        <v>7.3860262292563428E-2</v>
      </c>
      <c r="N162" s="2">
        <f t="shared" si="154"/>
        <v>13.539080000000006</v>
      </c>
      <c r="O162">
        <v>16</v>
      </c>
      <c r="P162" s="2">
        <f t="shared" si="155"/>
        <v>4.9349816171934675</v>
      </c>
    </row>
    <row r="163" spans="3:18" x14ac:dyDescent="0.35">
      <c r="C163" s="155">
        <v>0</v>
      </c>
      <c r="F163">
        <v>48.073680000000003</v>
      </c>
      <c r="G163">
        <v>50.951430000000002</v>
      </c>
      <c r="H163" s="2">
        <f t="shared" si="148"/>
        <v>2.8777499999999989</v>
      </c>
      <c r="I163" s="2">
        <f t="shared" si="149"/>
        <v>8.8932199999999995</v>
      </c>
      <c r="J163" s="2">
        <f t="shared" si="150"/>
        <v>0.24447857738147319</v>
      </c>
      <c r="K163" s="2">
        <f t="shared" si="151"/>
        <v>0.75552142261852684</v>
      </c>
      <c r="L163" s="2">
        <f t="shared" si="152"/>
        <v>0.34749370167665722</v>
      </c>
      <c r="M163" s="2">
        <f t="shared" si="153"/>
        <v>8.4954765834931209E-2</v>
      </c>
      <c r="N163" s="2">
        <f t="shared" si="154"/>
        <v>11.770969999999998</v>
      </c>
      <c r="O163">
        <v>15</v>
      </c>
      <c r="P163" s="2">
        <f t="shared" si="155"/>
        <v>5.2124055251498582</v>
      </c>
    </row>
    <row r="164" spans="3:18" x14ac:dyDescent="0.35">
      <c r="C164" s="155">
        <v>0</v>
      </c>
      <c r="F164">
        <v>59.844650000000001</v>
      </c>
      <c r="G164">
        <v>62.916490000000003</v>
      </c>
      <c r="H164" s="2">
        <f t="shared" si="148"/>
        <v>3.0718400000000017</v>
      </c>
      <c r="I164" s="2">
        <f t="shared" si="149"/>
        <v>8.8784099999999953</v>
      </c>
      <c r="J164" s="2">
        <f t="shared" si="150"/>
        <v>0.25705236292127798</v>
      </c>
      <c r="K164" s="2">
        <f t="shared" si="151"/>
        <v>0.74294763707872202</v>
      </c>
      <c r="L164" s="2">
        <f t="shared" si="152"/>
        <v>0.32553778842648035</v>
      </c>
      <c r="M164" s="2">
        <f t="shared" si="153"/>
        <v>8.3680257735193844E-2</v>
      </c>
      <c r="N164" s="2">
        <f t="shared" si="154"/>
        <v>11.950249999999997</v>
      </c>
      <c r="O164">
        <v>15</v>
      </c>
      <c r="P164" s="2">
        <f t="shared" si="155"/>
        <v>4.8830668263972052</v>
      </c>
    </row>
    <row r="165" spans="3:18" x14ac:dyDescent="0.35">
      <c r="C165" s="155">
        <v>0</v>
      </c>
      <c r="F165">
        <v>71.794899999999998</v>
      </c>
      <c r="G165">
        <v>75.002200000000002</v>
      </c>
      <c r="H165" s="2">
        <f t="shared" si="148"/>
        <v>3.2073000000000036</v>
      </c>
      <c r="I165" s="2">
        <f t="shared" si="149"/>
        <v>8.8199499999999915</v>
      </c>
      <c r="J165" s="2">
        <f t="shared" si="150"/>
        <v>0.26666943815086613</v>
      </c>
      <c r="K165" s="2">
        <f t="shared" si="151"/>
        <v>0.73333056184913381</v>
      </c>
      <c r="L165" s="2">
        <f t="shared" si="152"/>
        <v>0.31178873195522677</v>
      </c>
      <c r="M165" s="2">
        <f t="shared" si="153"/>
        <v>8.314452597227133E-2</v>
      </c>
      <c r="N165" s="2">
        <f t="shared" si="154"/>
        <v>12.027249999999995</v>
      </c>
      <c r="O165">
        <v>20</v>
      </c>
      <c r="P165" s="2">
        <f t="shared" si="155"/>
        <v>6.2357746391045357</v>
      </c>
    </row>
    <row r="166" spans="3:18" x14ac:dyDescent="0.35">
      <c r="C166" s="155">
        <v>0</v>
      </c>
      <c r="E166" s="104"/>
      <c r="F166">
        <v>83.822149999999993</v>
      </c>
      <c r="G166">
        <v>87.158439999999999</v>
      </c>
      <c r="H166" s="2">
        <f t="shared" si="148"/>
        <v>3.3362900000000053</v>
      </c>
      <c r="I166" s="2">
        <f t="shared" si="149"/>
        <v>10.286670000000001</v>
      </c>
      <c r="J166" s="2">
        <f t="shared" si="150"/>
        <v>0.24490198899504981</v>
      </c>
      <c r="K166" s="2">
        <f t="shared" si="151"/>
        <v>0.75509801100495022</v>
      </c>
      <c r="L166" s="2">
        <f t="shared" si="152"/>
        <v>0.2997341358215258</v>
      </c>
      <c r="M166" s="2">
        <f t="shared" si="153"/>
        <v>7.3405486032404085E-2</v>
      </c>
      <c r="N166" s="2">
        <f t="shared" si="154"/>
        <v>13.622960000000006</v>
      </c>
      <c r="O166">
        <v>20</v>
      </c>
      <c r="P166" s="2">
        <f t="shared" si="155"/>
        <v>5.9946827164305168</v>
      </c>
    </row>
    <row r="167" spans="3:18" x14ac:dyDescent="0.35">
      <c r="C167" s="155">
        <v>0</v>
      </c>
      <c r="D167" s="254" t="s">
        <v>541</v>
      </c>
      <c r="F167">
        <v>97.44511</v>
      </c>
      <c r="G167">
        <v>100.79013999999999</v>
      </c>
      <c r="H167" s="2">
        <f>G167-F167</f>
        <v>3.3450299999999942</v>
      </c>
      <c r="I167" s="2">
        <f>F168-G167</f>
        <v>8.7211300000000023</v>
      </c>
      <c r="J167" s="2">
        <f>H167/N167</f>
        <v>0.27722407128697074</v>
      </c>
      <c r="K167" s="2">
        <f>I167/N167</f>
        <v>0.7227759287130292</v>
      </c>
      <c r="L167" s="2">
        <f>1/H167</f>
        <v>0.29895098100764472</v>
      </c>
      <c r="M167" s="2">
        <f>1/N167</f>
        <v>8.287640807017313E-2</v>
      </c>
      <c r="N167" s="2">
        <f>H167+I167</f>
        <v>12.066159999999996</v>
      </c>
      <c r="O167">
        <v>18</v>
      </c>
      <c r="P167" s="2">
        <f t="shared" si="155"/>
        <v>5.3811176581376046</v>
      </c>
    </row>
    <row r="168" spans="3:18" x14ac:dyDescent="0.35">
      <c r="C168" s="155">
        <v>0</v>
      </c>
      <c r="F168">
        <v>109.51127</v>
      </c>
      <c r="G168">
        <v>113.02076</v>
      </c>
      <c r="H168" s="2"/>
      <c r="I168" s="2"/>
      <c r="J168" s="2"/>
      <c r="K168" s="2"/>
      <c r="L168" s="2"/>
      <c r="M168" s="2"/>
      <c r="N168" s="2"/>
      <c r="P168" s="2"/>
    </row>
    <row r="169" spans="3:18" x14ac:dyDescent="0.35">
      <c r="C169" s="155"/>
      <c r="P169" s="2"/>
    </row>
    <row r="170" spans="3:18" ht="16" thickBot="1" x14ac:dyDescent="0.4">
      <c r="C170" s="155"/>
      <c r="G170" s="13"/>
      <c r="H170" s="9" t="s">
        <v>3</v>
      </c>
      <c r="I170" s="9" t="s">
        <v>4</v>
      </c>
      <c r="J170" s="9" t="s">
        <v>5</v>
      </c>
      <c r="K170" s="9" t="s">
        <v>6</v>
      </c>
      <c r="L170" s="9" t="s">
        <v>7</v>
      </c>
      <c r="M170" s="9" t="s">
        <v>8</v>
      </c>
      <c r="N170" s="9" t="s">
        <v>9</v>
      </c>
      <c r="O170" s="9" t="s">
        <v>10</v>
      </c>
      <c r="P170" s="44" t="s">
        <v>139</v>
      </c>
    </row>
    <row r="171" spans="3:18" x14ac:dyDescent="0.35">
      <c r="C171" s="155"/>
      <c r="G171" s="49" t="s">
        <v>77</v>
      </c>
      <c r="H171" s="13">
        <f>AVERAGE(H160:H167)</f>
        <v>3.2199925000000009</v>
      </c>
      <c r="I171" s="13">
        <f t="shared" ref="I171:P171" si="156">AVERAGE(I160:I167)</f>
        <v>9.3273799999999998</v>
      </c>
      <c r="J171" s="13">
        <f t="shared" si="156"/>
        <v>0.2572881072569479</v>
      </c>
      <c r="K171" s="13">
        <f t="shared" si="156"/>
        <v>0.74271189274305216</v>
      </c>
      <c r="L171" s="13">
        <f t="shared" si="156"/>
        <v>0.31140080335838849</v>
      </c>
      <c r="M171" s="13">
        <f t="shared" si="156"/>
        <v>7.9990511435103051E-2</v>
      </c>
      <c r="N171" s="13">
        <f t="shared" si="156"/>
        <v>12.5473725</v>
      </c>
      <c r="O171" s="13">
        <f t="shared" si="156"/>
        <v>17.75</v>
      </c>
      <c r="P171" s="13">
        <f t="shared" si="156"/>
        <v>5.4995233067904152</v>
      </c>
    </row>
    <row r="172" spans="3:18" x14ac:dyDescent="0.35">
      <c r="C172" s="155"/>
      <c r="G172" s="49" t="s">
        <v>94</v>
      </c>
      <c r="H172" s="2">
        <f>_xlfn.STDEV.S(H160:H167)</f>
        <v>0.17458840132887243</v>
      </c>
      <c r="I172" s="2">
        <f t="shared" ref="I172:P172" si="157">_xlfn.STDEV.S(I160:I167)</f>
        <v>0.77934346314244496</v>
      </c>
      <c r="J172" s="2">
        <f t="shared" si="157"/>
        <v>1.7809675145215791E-2</v>
      </c>
      <c r="K172" s="2">
        <f t="shared" si="157"/>
        <v>1.7809675145215788E-2</v>
      </c>
      <c r="L172" s="2">
        <f t="shared" si="157"/>
        <v>1.7754571706589034E-2</v>
      </c>
      <c r="M172" s="2">
        <f t="shared" si="157"/>
        <v>5.0963548139763021E-3</v>
      </c>
      <c r="N172" s="2">
        <f t="shared" si="157"/>
        <v>0.82327073831412945</v>
      </c>
      <c r="O172" s="2">
        <f t="shared" si="157"/>
        <v>2.3754698783308417</v>
      </c>
      <c r="P172" s="2">
        <f t="shared" si="157"/>
        <v>0.54072155876176864</v>
      </c>
    </row>
    <row r="173" spans="3:18" x14ac:dyDescent="0.35">
      <c r="C173" s="155"/>
      <c r="G173" s="49" t="s">
        <v>95</v>
      </c>
      <c r="H173" s="2">
        <f>H172/(SQRT(8))</f>
        <v>6.1726321248082069E-2</v>
      </c>
      <c r="I173" s="2">
        <f t="shared" ref="I173:P173" si="158">I172/(SQRT(8))</f>
        <v>0.2755395238307155</v>
      </c>
      <c r="J173" s="2">
        <f t="shared" si="158"/>
        <v>6.296671032955798E-3</v>
      </c>
      <c r="K173" s="2">
        <f t="shared" si="158"/>
        <v>6.2966710329557963E-3</v>
      </c>
      <c r="L173" s="2">
        <f t="shared" si="158"/>
        <v>6.2771890253959595E-3</v>
      </c>
      <c r="M173" s="2">
        <f t="shared" si="158"/>
        <v>1.8018335241476746E-3</v>
      </c>
      <c r="N173" s="2">
        <f t="shared" si="158"/>
        <v>0.29107016090718824</v>
      </c>
      <c r="O173" s="2">
        <f t="shared" si="158"/>
        <v>0.83985542973606053</v>
      </c>
      <c r="P173" s="2">
        <f t="shared" si="158"/>
        <v>0.1911739404671034</v>
      </c>
    </row>
    <row r="174" spans="3:18" x14ac:dyDescent="0.35">
      <c r="C174" s="155"/>
    </row>
    <row r="175" spans="3:18" ht="24" thickBot="1" x14ac:dyDescent="0.6">
      <c r="C175" s="155" t="s">
        <v>216</v>
      </c>
      <c r="D175" s="204" t="s">
        <v>122</v>
      </c>
      <c r="F175" s="9" t="s">
        <v>1</v>
      </c>
      <c r="G175" s="9" t="s">
        <v>2</v>
      </c>
      <c r="H175" s="9" t="s">
        <v>3</v>
      </c>
      <c r="I175" s="9" t="s">
        <v>4</v>
      </c>
      <c r="J175" s="9" t="s">
        <v>5</v>
      </c>
      <c r="K175" s="9" t="s">
        <v>6</v>
      </c>
      <c r="L175" s="9" t="s">
        <v>7</v>
      </c>
      <c r="M175" s="9" t="s">
        <v>8</v>
      </c>
      <c r="N175" s="9" t="s">
        <v>9</v>
      </c>
      <c r="O175" s="9" t="s">
        <v>10</v>
      </c>
      <c r="P175" s="44" t="s">
        <v>139</v>
      </c>
    </row>
    <row r="176" spans="3:18" x14ac:dyDescent="0.35">
      <c r="C176" s="155">
        <v>5</v>
      </c>
      <c r="D176" s="259" t="s">
        <v>700</v>
      </c>
      <c r="F176">
        <v>1.518</v>
      </c>
      <c r="G176">
        <v>4.6431199999999997</v>
      </c>
      <c r="H176" s="2">
        <f>G176-F176</f>
        <v>3.1251199999999999</v>
      </c>
      <c r="I176" s="2">
        <f>F177-G176</f>
        <v>9.0087500000000009</v>
      </c>
      <c r="J176" s="2">
        <f>H176/N176</f>
        <v>0.25755344337791647</v>
      </c>
      <c r="K176" s="2">
        <f>I176/N176</f>
        <v>0.74244655662208348</v>
      </c>
      <c r="L176" s="2">
        <f>1/H176</f>
        <v>0.3199877124718411</v>
      </c>
      <c r="M176" s="2">
        <f>1/N176</f>
        <v>8.2413937185745342E-2</v>
      </c>
      <c r="N176" s="2">
        <f>H176+I176</f>
        <v>12.133870000000002</v>
      </c>
      <c r="O176">
        <v>18</v>
      </c>
      <c r="P176" s="2">
        <f>O176/H176</f>
        <v>5.7597788244931394</v>
      </c>
      <c r="R176" t="s">
        <v>266</v>
      </c>
    </row>
    <row r="177" spans="3:16" x14ac:dyDescent="0.35">
      <c r="C177" s="155">
        <v>5</v>
      </c>
      <c r="F177">
        <v>13.651870000000001</v>
      </c>
      <c r="G177">
        <v>17.035710000000002</v>
      </c>
      <c r="H177" s="2">
        <f t="shared" ref="H177:H185" si="159">G177-F177</f>
        <v>3.3838400000000011</v>
      </c>
      <c r="I177" s="2">
        <f t="shared" ref="I177:I182" si="160">F178-G177</f>
        <v>7.1125099999999968</v>
      </c>
      <c r="J177" s="2">
        <f t="shared" ref="J177:J182" si="161">H177/N177</f>
        <v>0.32238254250287024</v>
      </c>
      <c r="K177" s="2">
        <f t="shared" ref="K177:K182" si="162">I177/N177</f>
        <v>0.67761745749712976</v>
      </c>
      <c r="L177" s="2">
        <f t="shared" ref="L177:L182" si="163">1/H177</f>
        <v>0.29552224691474765</v>
      </c>
      <c r="M177" s="2">
        <f t="shared" ref="M177:M182" si="164">1/N177</f>
        <v>9.5271213326537346E-2</v>
      </c>
      <c r="N177" s="2">
        <f t="shared" ref="N177:N182" si="165">H177+I177</f>
        <v>10.496349999999998</v>
      </c>
      <c r="O177">
        <v>25</v>
      </c>
      <c r="P177" s="2">
        <f t="shared" ref="P177:P185" si="166">O177/H177</f>
        <v>7.3880561728686915</v>
      </c>
    </row>
    <row r="178" spans="3:16" x14ac:dyDescent="0.35">
      <c r="C178" s="155">
        <v>5</v>
      </c>
      <c r="E178" s="104"/>
      <c r="F178">
        <v>24.148219999999998</v>
      </c>
      <c r="G178">
        <v>27.468779999999999</v>
      </c>
      <c r="H178" s="2">
        <f t="shared" si="159"/>
        <v>3.3205600000000004</v>
      </c>
      <c r="I178" s="2">
        <f t="shared" si="160"/>
        <v>7.2110000000000021</v>
      </c>
      <c r="J178" s="2">
        <f t="shared" si="161"/>
        <v>0.3152961194732784</v>
      </c>
      <c r="K178" s="2">
        <f t="shared" si="162"/>
        <v>0.6847038805267216</v>
      </c>
      <c r="L178" s="2">
        <f t="shared" si="163"/>
        <v>0.30115402221312065</v>
      </c>
      <c r="M178" s="2">
        <f t="shared" si="164"/>
        <v>9.4952694567566415E-2</v>
      </c>
      <c r="N178" s="2">
        <f t="shared" si="165"/>
        <v>10.531560000000002</v>
      </c>
      <c r="O178">
        <v>19</v>
      </c>
      <c r="P178" s="2">
        <f t="shared" si="166"/>
        <v>5.7219264220492922</v>
      </c>
    </row>
    <row r="179" spans="3:16" x14ac:dyDescent="0.35">
      <c r="C179" s="155">
        <v>5</v>
      </c>
      <c r="F179">
        <v>34.679780000000001</v>
      </c>
      <c r="G179">
        <v>37.855119999999999</v>
      </c>
      <c r="H179" s="2">
        <f t="shared" si="159"/>
        <v>3.1753399999999985</v>
      </c>
      <c r="I179" s="2">
        <f t="shared" si="160"/>
        <v>7.3110300000000024</v>
      </c>
      <c r="J179" s="2">
        <f t="shared" si="161"/>
        <v>0.30280640488557986</v>
      </c>
      <c r="K179" s="2">
        <f t="shared" si="162"/>
        <v>0.69719359511442014</v>
      </c>
      <c r="L179" s="2">
        <f t="shared" si="163"/>
        <v>0.31492690546524166</v>
      </c>
      <c r="M179" s="2">
        <f t="shared" si="164"/>
        <v>9.5361884045670711E-2</v>
      </c>
      <c r="N179" s="2">
        <f t="shared" si="165"/>
        <v>10.486370000000001</v>
      </c>
      <c r="O179">
        <v>19</v>
      </c>
      <c r="P179" s="2">
        <f t="shared" si="166"/>
        <v>5.9836112038395921</v>
      </c>
    </row>
    <row r="180" spans="3:16" x14ac:dyDescent="0.35">
      <c r="C180" s="155">
        <v>5</v>
      </c>
      <c r="F180">
        <v>45.166150000000002</v>
      </c>
      <c r="G180">
        <v>48.553170000000001</v>
      </c>
      <c r="H180" s="2">
        <f t="shared" si="159"/>
        <v>3.3870199999999997</v>
      </c>
      <c r="I180" s="2">
        <f t="shared" si="160"/>
        <v>7.1900899999999979</v>
      </c>
      <c r="J180" s="2">
        <f t="shared" si="161"/>
        <v>0.32022168626401737</v>
      </c>
      <c r="K180" s="2">
        <f t="shared" si="162"/>
        <v>0.67977831373598263</v>
      </c>
      <c r="L180" s="2">
        <f t="shared" si="163"/>
        <v>0.29524478745327754</v>
      </c>
      <c r="M180" s="2">
        <f t="shared" si="164"/>
        <v>9.4543783698949918E-2</v>
      </c>
      <c r="N180" s="2">
        <f t="shared" si="165"/>
        <v>10.577109999999998</v>
      </c>
      <c r="O180">
        <v>21</v>
      </c>
      <c r="P180" s="2">
        <f t="shared" si="166"/>
        <v>6.2001405365188287</v>
      </c>
    </row>
    <row r="181" spans="3:16" x14ac:dyDescent="0.35">
      <c r="C181" s="155">
        <v>5</v>
      </c>
      <c r="E181" s="104"/>
      <c r="F181">
        <v>55.743259999999999</v>
      </c>
      <c r="G181">
        <v>59.185969999999998</v>
      </c>
      <c r="H181" s="2">
        <f t="shared" si="159"/>
        <v>3.4427099999999982</v>
      </c>
      <c r="I181" s="2">
        <f t="shared" si="160"/>
        <v>8.5660500000000042</v>
      </c>
      <c r="J181" s="2">
        <f t="shared" si="161"/>
        <v>0.28668322124848838</v>
      </c>
      <c r="K181" s="2">
        <f t="shared" si="162"/>
        <v>0.71331677875151156</v>
      </c>
      <c r="L181" s="2">
        <f t="shared" si="163"/>
        <v>0.29046884576394777</v>
      </c>
      <c r="M181" s="2">
        <f t="shared" si="164"/>
        <v>8.3272544375938881E-2</v>
      </c>
      <c r="N181" s="2">
        <f t="shared" si="165"/>
        <v>12.008760000000002</v>
      </c>
      <c r="O181">
        <v>21</v>
      </c>
      <c r="P181" s="2">
        <f t="shared" si="166"/>
        <v>6.0998457610429027</v>
      </c>
    </row>
    <row r="182" spans="3:16" x14ac:dyDescent="0.35">
      <c r="C182" s="155">
        <v>5</v>
      </c>
      <c r="E182" s="104"/>
      <c r="F182">
        <v>67.752020000000002</v>
      </c>
      <c r="G182">
        <v>71.405019999999993</v>
      </c>
      <c r="H182" s="2">
        <f t="shared" si="159"/>
        <v>3.6529999999999916</v>
      </c>
      <c r="I182" s="2">
        <f t="shared" si="160"/>
        <v>8.3439900000000051</v>
      </c>
      <c r="J182" s="2">
        <f t="shared" si="161"/>
        <v>0.30449304367178703</v>
      </c>
      <c r="K182" s="2">
        <f t="shared" si="162"/>
        <v>0.69550695632821291</v>
      </c>
      <c r="L182" s="2">
        <f t="shared" si="163"/>
        <v>0.27374760470845944</v>
      </c>
      <c r="M182" s="2">
        <f t="shared" si="164"/>
        <v>8.3354241355540037E-2</v>
      </c>
      <c r="N182" s="2">
        <f t="shared" si="165"/>
        <v>11.996989999999997</v>
      </c>
      <c r="O182">
        <v>18</v>
      </c>
      <c r="P182" s="2">
        <f t="shared" si="166"/>
        <v>4.9274568847522699</v>
      </c>
    </row>
    <row r="183" spans="3:16" x14ac:dyDescent="0.35">
      <c r="C183" s="155">
        <v>5</v>
      </c>
      <c r="F183">
        <v>79.749009999999998</v>
      </c>
      <c r="G183">
        <v>83.195040000000006</v>
      </c>
      <c r="H183" s="2">
        <f t="shared" si="159"/>
        <v>3.4460300000000075</v>
      </c>
      <c r="I183" s="2">
        <f>F184-G183</f>
        <v>7.1921999999999997</v>
      </c>
      <c r="J183" s="2">
        <f>H183/N183</f>
        <v>0.32392888666629743</v>
      </c>
      <c r="K183" s="2">
        <f>I183/N183</f>
        <v>0.67607111333370262</v>
      </c>
      <c r="L183" s="2">
        <f>1/H183</f>
        <v>0.29018900009576176</v>
      </c>
      <c r="M183" s="2">
        <f>1/N183</f>
        <v>9.400059972382617E-2</v>
      </c>
      <c r="N183" s="2">
        <f>H183+I183</f>
        <v>10.638230000000007</v>
      </c>
      <c r="O183">
        <v>22</v>
      </c>
      <c r="P183" s="2">
        <f t="shared" si="166"/>
        <v>6.3841580021067585</v>
      </c>
    </row>
    <row r="184" spans="3:16" x14ac:dyDescent="0.35">
      <c r="C184" s="155">
        <v>5</v>
      </c>
      <c r="F184">
        <v>90.387240000000006</v>
      </c>
      <c r="G184">
        <v>93.784279999999995</v>
      </c>
      <c r="H184" s="2">
        <f t="shared" si="159"/>
        <v>3.3970399999999898</v>
      </c>
      <c r="I184" s="2">
        <f>F185-G184</f>
        <v>7.3295099999999991</v>
      </c>
      <c r="J184" s="2">
        <f>H184/N184</f>
        <v>0.31669455696379484</v>
      </c>
      <c r="K184" s="2">
        <f>I184/N184</f>
        <v>0.68330544303620522</v>
      </c>
      <c r="L184" s="2">
        <f>1/H184</f>
        <v>0.29437392553517266</v>
      </c>
      <c r="M184" s="2">
        <f>1/N184</f>
        <v>9.3226619929054635E-2</v>
      </c>
      <c r="N184" s="2">
        <f>H184+I184</f>
        <v>10.726549999999989</v>
      </c>
      <c r="O184">
        <v>19</v>
      </c>
      <c r="P184" s="2">
        <f>O184/H184</f>
        <v>5.5931045851682812</v>
      </c>
    </row>
    <row r="185" spans="3:16" x14ac:dyDescent="0.35">
      <c r="C185" s="155">
        <v>5</v>
      </c>
      <c r="F185">
        <v>101.11378999999999</v>
      </c>
      <c r="G185">
        <v>104.63524</v>
      </c>
      <c r="H185" s="2">
        <f t="shared" si="159"/>
        <v>3.5214500000000015</v>
      </c>
      <c r="I185" s="2">
        <f>F186-G185</f>
        <v>7.2136200000000059</v>
      </c>
      <c r="J185" s="2">
        <f>H185/N185</f>
        <v>0.32803232768859442</v>
      </c>
      <c r="K185" s="2">
        <f>I185/N185</f>
        <v>0.67196767231140564</v>
      </c>
      <c r="L185" s="2">
        <f>1/H185</f>
        <v>0.28397393119311637</v>
      </c>
      <c r="M185" s="2">
        <f>1/N185</f>
        <v>9.3152629652158703E-2</v>
      </c>
      <c r="N185" s="2">
        <f>H185+I185</f>
        <v>10.735070000000007</v>
      </c>
      <c r="O185">
        <v>19</v>
      </c>
      <c r="P185" s="2">
        <f t="shared" si="166"/>
        <v>5.3955046926692107</v>
      </c>
    </row>
    <row r="186" spans="3:16" x14ac:dyDescent="0.35">
      <c r="C186" s="155">
        <v>5</v>
      </c>
      <c r="F186">
        <v>111.84886</v>
      </c>
      <c r="G186">
        <v>115.23163</v>
      </c>
      <c r="H186" s="2"/>
      <c r="I186" s="2"/>
      <c r="J186" s="2"/>
      <c r="K186" s="2"/>
      <c r="L186" s="2"/>
      <c r="M186" s="2"/>
      <c r="N186" s="2"/>
    </row>
    <row r="187" spans="3:16" x14ac:dyDescent="0.35">
      <c r="C187" s="155"/>
    </row>
    <row r="188" spans="3:16" ht="16" thickBot="1" x14ac:dyDescent="0.4">
      <c r="C188" s="155"/>
      <c r="G188" s="13"/>
      <c r="H188" s="9" t="s">
        <v>3</v>
      </c>
      <c r="I188" s="9" t="s">
        <v>4</v>
      </c>
      <c r="J188" s="9" t="s">
        <v>5</v>
      </c>
      <c r="K188" s="9" t="s">
        <v>6</v>
      </c>
      <c r="L188" s="9" t="s">
        <v>7</v>
      </c>
      <c r="M188" s="9" t="s">
        <v>8</v>
      </c>
      <c r="N188" s="9" t="s">
        <v>9</v>
      </c>
      <c r="O188" s="9" t="s">
        <v>10</v>
      </c>
      <c r="P188" s="44" t="s">
        <v>139</v>
      </c>
    </row>
    <row r="189" spans="3:16" x14ac:dyDescent="0.35">
      <c r="C189" s="155"/>
      <c r="G189" s="49" t="s">
        <v>77</v>
      </c>
      <c r="H189" s="13">
        <f>AVERAGE(H176:H185)</f>
        <v>3.3852109999999991</v>
      </c>
      <c r="I189" s="13">
        <f t="shared" ref="I189:P189" si="167">AVERAGE(I176:I185)</f>
        <v>7.6478750000000018</v>
      </c>
      <c r="J189" s="13">
        <f t="shared" si="167"/>
        <v>0.30780922327426241</v>
      </c>
      <c r="K189" s="13">
        <f t="shared" si="167"/>
        <v>0.69219077672573748</v>
      </c>
      <c r="L189" s="13">
        <f t="shared" si="167"/>
        <v>0.29595889818146864</v>
      </c>
      <c r="M189" s="13">
        <f t="shared" si="167"/>
        <v>9.0955014786098826E-2</v>
      </c>
      <c r="N189" s="13">
        <f t="shared" si="167"/>
        <v>11.033086000000001</v>
      </c>
      <c r="O189" s="13">
        <f t="shared" si="167"/>
        <v>20.100000000000001</v>
      </c>
      <c r="P189" s="13">
        <f t="shared" si="167"/>
        <v>5.9453583085508965</v>
      </c>
    </row>
    <row r="190" spans="3:16" x14ac:dyDescent="0.35">
      <c r="C190" s="155"/>
      <c r="G190" s="49" t="s">
        <v>94</v>
      </c>
      <c r="H190" s="2">
        <f>_xlfn.STDEV.S(H176:H185)</f>
        <v>0.1539462725505944</v>
      </c>
      <c r="I190" s="2">
        <f t="shared" ref="I190:P190" si="168">_xlfn.STDEV.S(I176:I185)</f>
        <v>0.70535118774267447</v>
      </c>
      <c r="J190" s="2">
        <f t="shared" si="168"/>
        <v>2.1546455634988134E-2</v>
      </c>
      <c r="K190" s="2">
        <f t="shared" si="168"/>
        <v>2.1546455634988099E-2</v>
      </c>
      <c r="L190" s="2">
        <f t="shared" si="168"/>
        <v>1.361283984534732E-2</v>
      </c>
      <c r="M190" s="2">
        <f t="shared" si="168"/>
        <v>5.5369283102468594E-3</v>
      </c>
      <c r="N190" s="2">
        <f t="shared" si="168"/>
        <v>0.70536763984306627</v>
      </c>
      <c r="O190" s="2">
        <f t="shared" si="168"/>
        <v>2.1832697191750441</v>
      </c>
      <c r="P190" s="2">
        <f t="shared" si="168"/>
        <v>0.65921438810406552</v>
      </c>
    </row>
    <row r="191" spans="3:16" x14ac:dyDescent="0.35">
      <c r="C191" s="155"/>
      <c r="G191" s="49" t="s">
        <v>95</v>
      </c>
      <c r="H191" s="2">
        <f>H190/(SQRT(10))</f>
        <v>4.8682085855293725E-2</v>
      </c>
      <c r="I191" s="2">
        <f t="shared" ref="I191:P191" si="169">I190/(SQRT(10))</f>
        <v>0.22305163035718917</v>
      </c>
      <c r="J191" s="2">
        <f t="shared" si="169"/>
        <v>6.8135875310332064E-3</v>
      </c>
      <c r="K191" s="2">
        <f t="shared" si="169"/>
        <v>6.8135875310331951E-3</v>
      </c>
      <c r="L191" s="2">
        <f t="shared" si="169"/>
        <v>4.3047579334391803E-3</v>
      </c>
      <c r="M191" s="2">
        <f t="shared" si="169"/>
        <v>1.7509304701447497E-3</v>
      </c>
      <c r="N191" s="2">
        <f t="shared" si="169"/>
        <v>0.22305683296814235</v>
      </c>
      <c r="O191" s="2">
        <f t="shared" si="169"/>
        <v>0.69041050590693331</v>
      </c>
      <c r="P191" s="2">
        <f t="shared" si="169"/>
        <v>0.2084618932763054</v>
      </c>
    </row>
    <row r="192" spans="3:16" x14ac:dyDescent="0.35">
      <c r="C192" s="155"/>
    </row>
    <row r="193" spans="3:18" ht="24" thickBot="1" x14ac:dyDescent="0.6">
      <c r="C193" s="155" t="s">
        <v>216</v>
      </c>
      <c r="D193" s="204" t="s">
        <v>122</v>
      </c>
      <c r="F193" s="9" t="s">
        <v>1</v>
      </c>
      <c r="G193" s="9" t="s">
        <v>2</v>
      </c>
      <c r="H193" s="9" t="s">
        <v>3</v>
      </c>
      <c r="I193" s="9" t="s">
        <v>4</v>
      </c>
      <c r="J193" s="9" t="s">
        <v>5</v>
      </c>
      <c r="K193" s="9" t="s">
        <v>6</v>
      </c>
      <c r="L193" s="9" t="s">
        <v>7</v>
      </c>
      <c r="M193" s="9" t="s">
        <v>8</v>
      </c>
      <c r="N193" s="9" t="s">
        <v>9</v>
      </c>
      <c r="O193" s="9" t="s">
        <v>10</v>
      </c>
      <c r="P193" s="44" t="s">
        <v>139</v>
      </c>
    </row>
    <row r="194" spans="3:18" x14ac:dyDescent="0.35">
      <c r="C194" s="155">
        <v>0</v>
      </c>
      <c r="D194" s="259" t="s">
        <v>700</v>
      </c>
      <c r="E194" s="104"/>
      <c r="F194">
        <v>6.6010499999999999</v>
      </c>
      <c r="G194">
        <v>9.9300899999999999</v>
      </c>
      <c r="H194" s="2">
        <f>G194-F194</f>
        <v>3.32904</v>
      </c>
      <c r="I194" s="2">
        <f>F195-G194</f>
        <v>10.13045</v>
      </c>
      <c r="J194" s="2">
        <f>H194/N194</f>
        <v>0.24733775202477956</v>
      </c>
      <c r="K194" s="2">
        <f>I194/N194</f>
        <v>0.75266224797522052</v>
      </c>
      <c r="L194" s="2">
        <f>1/H194</f>
        <v>0.30038689832504267</v>
      </c>
      <c r="M194" s="2">
        <f>1/N194</f>
        <v>7.4297020169412073E-2</v>
      </c>
      <c r="N194" s="2">
        <f>H194+I194</f>
        <v>13.459489999999999</v>
      </c>
      <c r="O194">
        <v>21</v>
      </c>
      <c r="P194" s="2">
        <f>O194/H194</f>
        <v>6.3081248648258956</v>
      </c>
      <c r="R194" t="s">
        <v>267</v>
      </c>
    </row>
    <row r="195" spans="3:18" x14ac:dyDescent="0.35">
      <c r="C195" s="155">
        <v>0</v>
      </c>
      <c r="F195">
        <v>20.06054</v>
      </c>
      <c r="G195">
        <v>23.304950000000002</v>
      </c>
      <c r="H195" s="2">
        <f t="shared" ref="H195:H202" si="170">G195-F195</f>
        <v>3.244410000000002</v>
      </c>
      <c r="I195" s="2">
        <f t="shared" ref="I195:I202" si="171">F196-G195</f>
        <v>10.360099999999999</v>
      </c>
      <c r="J195" s="2">
        <f t="shared" ref="J195:J202" si="172">H195/N195</f>
        <v>0.2384804744897098</v>
      </c>
      <c r="K195" s="2">
        <f t="shared" ref="K195:K202" si="173">I195/N195</f>
        <v>0.76151952551029023</v>
      </c>
      <c r="L195" s="2">
        <f t="shared" ref="L195:L202" si="174">1/H195</f>
        <v>0.30822245030683526</v>
      </c>
      <c r="M195" s="2">
        <f t="shared" ref="M195:M202" si="175">1/N195</f>
        <v>7.3505036197555065E-2</v>
      </c>
      <c r="N195" s="2">
        <f t="shared" ref="N195:N202" si="176">H195+I195</f>
        <v>13.604510000000001</v>
      </c>
      <c r="O195">
        <v>19</v>
      </c>
      <c r="P195" s="2">
        <f t="shared" ref="P195:P201" si="177">O195/H195</f>
        <v>5.8562265558298696</v>
      </c>
    </row>
    <row r="196" spans="3:18" x14ac:dyDescent="0.35">
      <c r="C196" s="155">
        <v>0</v>
      </c>
      <c r="F196">
        <v>33.665050000000001</v>
      </c>
      <c r="G196">
        <v>36.85528</v>
      </c>
      <c r="H196" s="2">
        <f t="shared" si="170"/>
        <v>3.1902299999999997</v>
      </c>
      <c r="I196" s="2">
        <f t="shared" si="171"/>
        <v>7.3237499999999969</v>
      </c>
      <c r="J196" s="2">
        <f t="shared" si="172"/>
        <v>0.30342743661296678</v>
      </c>
      <c r="K196" s="2">
        <f t="shared" si="173"/>
        <v>0.69657256338703322</v>
      </c>
      <c r="L196" s="2">
        <f t="shared" si="174"/>
        <v>0.31345702347479654</v>
      </c>
      <c r="M196" s="2">
        <f t="shared" si="175"/>
        <v>9.5111461121288071E-2</v>
      </c>
      <c r="N196" s="2">
        <f t="shared" si="176"/>
        <v>10.513979999999997</v>
      </c>
      <c r="O196">
        <v>16</v>
      </c>
      <c r="P196" s="2">
        <f t="shared" si="177"/>
        <v>5.0153123755967446</v>
      </c>
    </row>
    <row r="197" spans="3:18" x14ac:dyDescent="0.35">
      <c r="C197" s="155">
        <v>0</v>
      </c>
      <c r="F197">
        <v>44.179029999999997</v>
      </c>
      <c r="G197">
        <v>47.179340000000003</v>
      </c>
      <c r="H197" s="2">
        <f t="shared" si="170"/>
        <v>3.000310000000006</v>
      </c>
      <c r="I197" s="2">
        <f t="shared" si="171"/>
        <v>8.7235199999999935</v>
      </c>
      <c r="J197" s="2">
        <f t="shared" si="172"/>
        <v>0.25591551566339721</v>
      </c>
      <c r="K197" s="2">
        <f t="shared" si="173"/>
        <v>0.74408448433660279</v>
      </c>
      <c r="L197" s="2">
        <f t="shared" si="174"/>
        <v>0.33329889244777972</v>
      </c>
      <c r="M197" s="2">
        <f t="shared" si="175"/>
        <v>8.5296357930812722E-2</v>
      </c>
      <c r="N197" s="2">
        <f t="shared" si="176"/>
        <v>11.72383</v>
      </c>
      <c r="O197">
        <v>21</v>
      </c>
      <c r="P197" s="2">
        <f t="shared" si="177"/>
        <v>6.9992767414033743</v>
      </c>
    </row>
    <row r="198" spans="3:18" x14ac:dyDescent="0.35">
      <c r="C198" s="155">
        <v>0</v>
      </c>
      <c r="F198">
        <v>55.902859999999997</v>
      </c>
      <c r="G198">
        <v>59.403590000000001</v>
      </c>
      <c r="H198" s="2">
        <f t="shared" si="170"/>
        <v>3.5007300000000043</v>
      </c>
      <c r="I198" s="2">
        <f t="shared" si="171"/>
        <v>9.6408300000000011</v>
      </c>
      <c r="J198" s="2">
        <f t="shared" si="172"/>
        <v>0.26638618246235629</v>
      </c>
      <c r="K198" s="2">
        <f t="shared" si="173"/>
        <v>0.73361381753764376</v>
      </c>
      <c r="L198" s="2">
        <f t="shared" si="174"/>
        <v>0.28565470630411338</v>
      </c>
      <c r="M198" s="2">
        <f t="shared" si="175"/>
        <v>7.6094466714758335E-2</v>
      </c>
      <c r="N198" s="2">
        <f t="shared" si="176"/>
        <v>13.141560000000005</v>
      </c>
      <c r="O198">
        <v>21</v>
      </c>
      <c r="P198" s="2">
        <f t="shared" si="177"/>
        <v>5.9987488323863802</v>
      </c>
    </row>
    <row r="199" spans="3:18" x14ac:dyDescent="0.35">
      <c r="C199" s="155">
        <v>0</v>
      </c>
      <c r="E199" s="104"/>
      <c r="F199">
        <v>69.044420000000002</v>
      </c>
      <c r="G199">
        <v>72.042789999999997</v>
      </c>
      <c r="H199" s="2">
        <f t="shared" si="170"/>
        <v>2.9983699999999942</v>
      </c>
      <c r="I199" s="2">
        <f t="shared" si="171"/>
        <v>8.8899700000000053</v>
      </c>
      <c r="J199" s="2">
        <f t="shared" si="172"/>
        <v>0.25221098992794572</v>
      </c>
      <c r="K199" s="2">
        <f t="shared" si="173"/>
        <v>0.74778901007205423</v>
      </c>
      <c r="L199" s="2">
        <f t="shared" si="174"/>
        <v>0.3335145429016439</v>
      </c>
      <c r="M199" s="2">
        <f t="shared" si="175"/>
        <v>8.4116033020589925E-2</v>
      </c>
      <c r="N199" s="2">
        <f t="shared" si="176"/>
        <v>11.888339999999999</v>
      </c>
      <c r="O199">
        <v>18</v>
      </c>
      <c r="P199" s="2">
        <f t="shared" si="177"/>
        <v>6.0032617722295898</v>
      </c>
    </row>
    <row r="200" spans="3:18" x14ac:dyDescent="0.35">
      <c r="C200" s="155">
        <v>0</v>
      </c>
      <c r="F200">
        <v>80.932760000000002</v>
      </c>
      <c r="G200">
        <v>83.984560000000002</v>
      </c>
      <c r="H200" s="2">
        <f t="shared" si="170"/>
        <v>3.0518000000000001</v>
      </c>
      <c r="I200" s="2">
        <f t="shared" si="171"/>
        <v>8.7501000000000033</v>
      </c>
      <c r="J200" s="2">
        <f t="shared" si="172"/>
        <v>0.25858548199866116</v>
      </c>
      <c r="K200" s="2">
        <f t="shared" si="173"/>
        <v>0.74141451800133884</v>
      </c>
      <c r="L200" s="2">
        <f t="shared" si="174"/>
        <v>0.32767547021429977</v>
      </c>
      <c r="M200" s="2">
        <f t="shared" si="175"/>
        <v>8.4732119404502634E-2</v>
      </c>
      <c r="N200" s="2">
        <f t="shared" si="176"/>
        <v>11.801900000000003</v>
      </c>
      <c r="O200">
        <v>18</v>
      </c>
      <c r="P200" s="2">
        <f t="shared" si="177"/>
        <v>5.8981584638573956</v>
      </c>
    </row>
    <row r="201" spans="3:18" x14ac:dyDescent="0.35">
      <c r="C201" s="155">
        <v>0</v>
      </c>
      <c r="E201" s="104"/>
      <c r="F201">
        <v>92.734660000000005</v>
      </c>
      <c r="G201">
        <v>96.150149999999996</v>
      </c>
      <c r="H201" s="2">
        <f t="shared" si="170"/>
        <v>3.4154899999999913</v>
      </c>
      <c r="I201" s="2">
        <f t="shared" si="171"/>
        <v>8.5963200000000057</v>
      </c>
      <c r="J201" s="2">
        <f t="shared" si="172"/>
        <v>0.28434432446067598</v>
      </c>
      <c r="K201" s="2">
        <f t="shared" si="173"/>
        <v>0.71565567553932408</v>
      </c>
      <c r="L201" s="2">
        <f t="shared" si="174"/>
        <v>0.2927837586993382</v>
      </c>
      <c r="M201" s="2">
        <f t="shared" si="175"/>
        <v>8.3251400080420868E-2</v>
      </c>
      <c r="N201" s="2">
        <f t="shared" si="176"/>
        <v>12.011809999999997</v>
      </c>
      <c r="O201">
        <v>21</v>
      </c>
      <c r="P201" s="2">
        <f t="shared" si="177"/>
        <v>6.1484589326861014</v>
      </c>
    </row>
    <row r="202" spans="3:18" x14ac:dyDescent="0.35">
      <c r="C202" s="155">
        <v>0</v>
      </c>
      <c r="F202">
        <v>104.74647</v>
      </c>
      <c r="G202">
        <v>108.08673</v>
      </c>
      <c r="H202" s="2">
        <f t="shared" si="170"/>
        <v>3.3402600000000007</v>
      </c>
      <c r="I202" s="2">
        <f t="shared" si="171"/>
        <v>8.5717599999999976</v>
      </c>
      <c r="J202" s="2">
        <f t="shared" si="172"/>
        <v>0.28041087909523332</v>
      </c>
      <c r="K202" s="2">
        <f t="shared" si="173"/>
        <v>0.71958912090476668</v>
      </c>
      <c r="L202" s="2">
        <f t="shared" si="174"/>
        <v>0.29937789273888854</v>
      </c>
      <c r="M202" s="2">
        <f t="shared" si="175"/>
        <v>8.3948818084590204E-2</v>
      </c>
      <c r="N202" s="2">
        <f t="shared" si="176"/>
        <v>11.912019999999998</v>
      </c>
      <c r="O202">
        <v>17</v>
      </c>
      <c r="P202" s="2">
        <f>O202/H202</f>
        <v>5.0894241765611046</v>
      </c>
    </row>
    <row r="203" spans="3:18" x14ac:dyDescent="0.35">
      <c r="C203" s="155">
        <v>0</v>
      </c>
      <c r="E203" s="104"/>
      <c r="F203">
        <v>116.65849</v>
      </c>
      <c r="G203">
        <v>119.93368</v>
      </c>
      <c r="H203" s="2"/>
      <c r="I203" s="2"/>
      <c r="J203" s="2"/>
      <c r="K203" s="2"/>
      <c r="L203" s="2"/>
      <c r="M203" s="2"/>
      <c r="N203" s="2"/>
      <c r="P203" s="2"/>
    </row>
    <row r="204" spans="3:18" x14ac:dyDescent="0.35">
      <c r="C204" s="155"/>
    </row>
    <row r="205" spans="3:18" ht="16" thickBot="1" x14ac:dyDescent="0.4">
      <c r="C205" s="155"/>
      <c r="G205" s="13"/>
      <c r="H205" s="9" t="s">
        <v>3</v>
      </c>
      <c r="I205" s="9" t="s">
        <v>4</v>
      </c>
      <c r="J205" s="9" t="s">
        <v>5</v>
      </c>
      <c r="K205" s="9" t="s">
        <v>6</v>
      </c>
      <c r="L205" s="9" t="s">
        <v>7</v>
      </c>
      <c r="M205" s="9" t="s">
        <v>8</v>
      </c>
      <c r="N205" s="9" t="s">
        <v>9</v>
      </c>
      <c r="O205" s="9" t="s">
        <v>10</v>
      </c>
      <c r="P205" s="44" t="s">
        <v>139</v>
      </c>
    </row>
    <row r="206" spans="3:18" x14ac:dyDescent="0.35">
      <c r="C206" s="155"/>
      <c r="G206" s="49" t="s">
        <v>77</v>
      </c>
      <c r="H206" s="13">
        <f>AVERAGE(H194:H202)</f>
        <v>3.2300711111111107</v>
      </c>
      <c r="I206" s="13">
        <f t="shared" ref="I206:P206" si="178">AVERAGE(I194:I202)</f>
        <v>8.9985333333333344</v>
      </c>
      <c r="J206" s="13">
        <f t="shared" si="178"/>
        <v>0.26523322630396956</v>
      </c>
      <c r="K206" s="13">
        <f t="shared" si="178"/>
        <v>0.73476677369603038</v>
      </c>
      <c r="L206" s="13">
        <f t="shared" si="178"/>
        <v>0.31048573726808198</v>
      </c>
      <c r="M206" s="13">
        <f t="shared" si="178"/>
        <v>8.2261412524881103E-2</v>
      </c>
      <c r="N206" s="13">
        <f t="shared" si="178"/>
        <v>12.228604444444445</v>
      </c>
      <c r="O206" s="13">
        <f t="shared" si="178"/>
        <v>19.111111111111111</v>
      </c>
      <c r="P206" s="13">
        <f t="shared" si="178"/>
        <v>5.9241103017084953</v>
      </c>
    </row>
    <row r="207" spans="3:18" x14ac:dyDescent="0.35">
      <c r="C207" s="155"/>
      <c r="G207" s="49" t="s">
        <v>94</v>
      </c>
      <c r="H207" s="2">
        <f>_xlfn.STDEV.S(H194:H202)</f>
        <v>0.18358305705078293</v>
      </c>
      <c r="I207" s="2">
        <f t="shared" ref="I207:P207" si="179">_xlfn.STDEV.S(I194:I202)</f>
        <v>0.92503998867616577</v>
      </c>
      <c r="J207" s="2">
        <f t="shared" si="179"/>
        <v>2.0592082311881005E-2</v>
      </c>
      <c r="K207" s="2">
        <f t="shared" si="179"/>
        <v>2.0592082311881005E-2</v>
      </c>
      <c r="L207" s="2">
        <f t="shared" si="179"/>
        <v>1.773243767992292E-2</v>
      </c>
      <c r="M207" s="2">
        <f t="shared" si="179"/>
        <v>6.7624233609407678E-3</v>
      </c>
      <c r="N207" s="2">
        <f t="shared" si="179"/>
        <v>0.99256608955161296</v>
      </c>
      <c r="O207" s="2">
        <f t="shared" si="179"/>
        <v>1.9649710204252659</v>
      </c>
      <c r="P207" s="2">
        <f t="shared" si="179"/>
        <v>0.60140611594436433</v>
      </c>
    </row>
    <row r="208" spans="3:18" x14ac:dyDescent="0.35">
      <c r="C208" s="155"/>
      <c r="G208" s="49" t="s">
        <v>95</v>
      </c>
      <c r="H208" s="2">
        <f>H207/(SQRT(9))</f>
        <v>6.1194352350260973E-2</v>
      </c>
      <c r="I208" s="2">
        <f t="shared" ref="I208:P208" si="180">I207/(SQRT(9))</f>
        <v>0.30834666289205526</v>
      </c>
      <c r="J208" s="2">
        <f t="shared" si="180"/>
        <v>6.8640274372936683E-3</v>
      </c>
      <c r="K208" s="2">
        <f t="shared" si="180"/>
        <v>6.8640274372936683E-3</v>
      </c>
      <c r="L208" s="2">
        <f t="shared" si="180"/>
        <v>5.910812559974307E-3</v>
      </c>
      <c r="M208" s="2">
        <f t="shared" si="180"/>
        <v>2.2541411203135893E-3</v>
      </c>
      <c r="N208" s="2">
        <f t="shared" si="180"/>
        <v>0.33085536318387099</v>
      </c>
      <c r="O208" s="2">
        <f t="shared" si="180"/>
        <v>0.65499034014175528</v>
      </c>
      <c r="P208" s="2">
        <f t="shared" si="180"/>
        <v>0.20046870531478811</v>
      </c>
    </row>
    <row r="209" spans="3:18" x14ac:dyDescent="0.35">
      <c r="C209" s="155"/>
    </row>
    <row r="210" spans="3:18" x14ac:dyDescent="0.35">
      <c r="C210" s="155"/>
    </row>
    <row r="211" spans="3:18" ht="24" thickBot="1" x14ac:dyDescent="0.6">
      <c r="C211" s="155" t="s">
        <v>216</v>
      </c>
      <c r="D211" s="204" t="s">
        <v>122</v>
      </c>
      <c r="F211" s="9" t="s">
        <v>1</v>
      </c>
      <c r="G211" s="9" t="s">
        <v>2</v>
      </c>
      <c r="H211" s="9" t="s">
        <v>3</v>
      </c>
      <c r="I211" s="9" t="s">
        <v>4</v>
      </c>
      <c r="J211" s="9" t="s">
        <v>5</v>
      </c>
      <c r="K211" s="9" t="s">
        <v>6</v>
      </c>
      <c r="L211" s="9" t="s">
        <v>7</v>
      </c>
      <c r="M211" s="9" t="s">
        <v>8</v>
      </c>
      <c r="N211" s="9" t="s">
        <v>9</v>
      </c>
      <c r="O211" s="9" t="s">
        <v>10</v>
      </c>
      <c r="P211" s="44" t="s">
        <v>139</v>
      </c>
    </row>
    <row r="212" spans="3:18" x14ac:dyDescent="0.35">
      <c r="C212" s="155">
        <v>7</v>
      </c>
      <c r="D212" s="259" t="s">
        <v>700</v>
      </c>
      <c r="F212">
        <v>6.90137</v>
      </c>
      <c r="G212">
        <v>11.401529999999999</v>
      </c>
      <c r="H212" s="2">
        <f t="shared" ref="H212:H220" si="181">G212-F212</f>
        <v>4.5001599999999993</v>
      </c>
      <c r="I212" s="2">
        <f t="shared" ref="I212:I220" si="182">F213-G212</f>
        <v>4.4736400000000014</v>
      </c>
      <c r="J212" s="2">
        <f t="shared" ref="J212:J220" si="183">H212/N212</f>
        <v>0.50147763489268748</v>
      </c>
      <c r="K212" s="2">
        <f t="shared" ref="K212:K220" si="184">I212/N212</f>
        <v>0.49852236510731252</v>
      </c>
      <c r="L212" s="2">
        <f t="shared" ref="L212:L220" si="185">1/H212</f>
        <v>0.22221432126857715</v>
      </c>
      <c r="M212" s="2">
        <f t="shared" ref="M212:M220" si="186">1/N212</f>
        <v>0.11143551226904989</v>
      </c>
      <c r="N212" s="2">
        <f t="shared" ref="N212:N220" si="187">H212+I212</f>
        <v>8.9738000000000007</v>
      </c>
      <c r="O212">
        <v>24</v>
      </c>
      <c r="P212" s="2">
        <f t="shared" ref="P212:P218" si="188">O212/H212</f>
        <v>5.3331437104458521</v>
      </c>
      <c r="R212" t="s">
        <v>291</v>
      </c>
    </row>
    <row r="213" spans="3:18" x14ac:dyDescent="0.35">
      <c r="C213" s="155">
        <v>7</v>
      </c>
      <c r="E213" s="104"/>
      <c r="F213">
        <v>15.875170000000001</v>
      </c>
      <c r="G213">
        <v>19.377330000000001</v>
      </c>
      <c r="H213" s="2">
        <f t="shared" si="181"/>
        <v>3.5021599999999999</v>
      </c>
      <c r="I213" s="2">
        <f t="shared" si="182"/>
        <v>6.8736099999999993</v>
      </c>
      <c r="J213" s="2">
        <f t="shared" si="183"/>
        <v>0.33753253975367614</v>
      </c>
      <c r="K213" s="2">
        <f t="shared" si="184"/>
        <v>0.66246746024632386</v>
      </c>
      <c r="L213" s="2">
        <f t="shared" si="185"/>
        <v>0.28553806793521713</v>
      </c>
      <c r="M213" s="2">
        <f t="shared" si="186"/>
        <v>9.6378389266531556E-2</v>
      </c>
      <c r="N213" s="2">
        <f t="shared" si="187"/>
        <v>10.375769999999999</v>
      </c>
      <c r="O213">
        <v>22</v>
      </c>
      <c r="P213" s="2">
        <f t="shared" si="188"/>
        <v>6.281837494574777</v>
      </c>
    </row>
    <row r="214" spans="3:18" x14ac:dyDescent="0.35">
      <c r="C214" s="155">
        <v>7</v>
      </c>
      <c r="F214">
        <v>26.25094</v>
      </c>
      <c r="G214">
        <v>30.58794</v>
      </c>
      <c r="H214" s="2">
        <f t="shared" si="181"/>
        <v>4.3369999999999997</v>
      </c>
      <c r="I214" s="2">
        <f t="shared" si="182"/>
        <v>7.6984200000000023</v>
      </c>
      <c r="J214" s="2">
        <f t="shared" si="183"/>
        <v>0.36035302465555824</v>
      </c>
      <c r="K214" s="2">
        <f t="shared" si="184"/>
        <v>0.6396469753444417</v>
      </c>
      <c r="L214" s="2">
        <f t="shared" si="185"/>
        <v>0.23057412958266085</v>
      </c>
      <c r="M214" s="2">
        <f t="shared" si="186"/>
        <v>8.3088085002434461E-2</v>
      </c>
      <c r="N214" s="2">
        <f t="shared" si="187"/>
        <v>12.035420000000002</v>
      </c>
      <c r="O214">
        <v>23</v>
      </c>
      <c r="P214" s="2">
        <f t="shared" si="188"/>
        <v>5.3032049804011994</v>
      </c>
    </row>
    <row r="215" spans="3:18" x14ac:dyDescent="0.35">
      <c r="C215" s="155">
        <v>7</v>
      </c>
      <c r="F215">
        <v>38.286360000000002</v>
      </c>
      <c r="G215">
        <v>41.724200000000003</v>
      </c>
      <c r="H215" s="2">
        <f t="shared" si="181"/>
        <v>3.4378400000000013</v>
      </c>
      <c r="I215" s="2">
        <f t="shared" si="182"/>
        <v>8.4543999999999997</v>
      </c>
      <c r="J215" s="2">
        <f t="shared" si="183"/>
        <v>0.28908262867214257</v>
      </c>
      <c r="K215" s="2">
        <f t="shared" si="184"/>
        <v>0.71091737132785737</v>
      </c>
      <c r="L215" s="2">
        <f t="shared" si="185"/>
        <v>0.29088032020105636</v>
      </c>
      <c r="M215" s="2">
        <f t="shared" si="186"/>
        <v>8.4088447592715915E-2</v>
      </c>
      <c r="N215" s="2">
        <f t="shared" si="187"/>
        <v>11.892240000000001</v>
      </c>
      <c r="O215">
        <v>23</v>
      </c>
      <c r="P215" s="2">
        <f t="shared" si="188"/>
        <v>6.6902473646242964</v>
      </c>
    </row>
    <row r="216" spans="3:18" x14ac:dyDescent="0.35">
      <c r="C216" s="155">
        <v>7</v>
      </c>
      <c r="E216" s="104"/>
      <c r="F216">
        <v>50.178600000000003</v>
      </c>
      <c r="G216">
        <v>55.07685</v>
      </c>
      <c r="H216" s="2">
        <f t="shared" si="181"/>
        <v>4.8982499999999973</v>
      </c>
      <c r="I216" s="2">
        <f t="shared" si="182"/>
        <v>7.0979699999999966</v>
      </c>
      <c r="J216" s="2">
        <f t="shared" si="183"/>
        <v>0.40831611957766695</v>
      </c>
      <c r="K216" s="2">
        <f t="shared" si="184"/>
        <v>0.591683880422333</v>
      </c>
      <c r="L216" s="2">
        <f t="shared" si="185"/>
        <v>0.20415454499055796</v>
      </c>
      <c r="M216" s="2">
        <f t="shared" si="186"/>
        <v>8.3359591604688851E-2</v>
      </c>
      <c r="N216" s="2">
        <f t="shared" si="187"/>
        <v>11.996219999999994</v>
      </c>
      <c r="O216">
        <v>32</v>
      </c>
      <c r="P216" s="2">
        <f t="shared" si="188"/>
        <v>6.5329454396978548</v>
      </c>
    </row>
    <row r="217" spans="3:18" x14ac:dyDescent="0.35">
      <c r="C217" s="155">
        <v>7</v>
      </c>
      <c r="E217" s="104"/>
      <c r="F217">
        <v>62.174819999999997</v>
      </c>
      <c r="G217">
        <v>65.733080000000001</v>
      </c>
      <c r="H217" s="2">
        <f t="shared" si="181"/>
        <v>3.5582600000000042</v>
      </c>
      <c r="I217" s="2">
        <f t="shared" si="182"/>
        <v>6.8110199999999992</v>
      </c>
      <c r="J217" s="2">
        <f t="shared" si="183"/>
        <v>0.34315400876435037</v>
      </c>
      <c r="K217" s="2">
        <f t="shared" si="184"/>
        <v>0.65684599123564957</v>
      </c>
      <c r="L217" s="2">
        <f t="shared" si="185"/>
        <v>0.28103623681237427</v>
      </c>
      <c r="M217" s="2">
        <f t="shared" si="186"/>
        <v>9.6438711270213529E-2</v>
      </c>
      <c r="N217" s="2">
        <f t="shared" si="187"/>
        <v>10.369280000000003</v>
      </c>
      <c r="O217">
        <v>23</v>
      </c>
      <c r="P217" s="2">
        <f t="shared" si="188"/>
        <v>6.4638334466846077</v>
      </c>
    </row>
    <row r="218" spans="3:18" x14ac:dyDescent="0.35">
      <c r="C218" s="155">
        <v>7</v>
      </c>
      <c r="F218">
        <v>72.5441</v>
      </c>
      <c r="G218">
        <v>75.802350000000004</v>
      </c>
      <c r="H218" s="2">
        <f t="shared" si="181"/>
        <v>3.2582500000000039</v>
      </c>
      <c r="I218" s="2">
        <f t="shared" si="182"/>
        <v>6.9735900000000015</v>
      </c>
      <c r="J218" s="2">
        <f t="shared" si="183"/>
        <v>0.31844223521869008</v>
      </c>
      <c r="K218" s="2">
        <f t="shared" si="184"/>
        <v>0.68155776478130992</v>
      </c>
      <c r="L218" s="2">
        <f t="shared" si="185"/>
        <v>0.3069132202869635</v>
      </c>
      <c r="M218" s="2">
        <f t="shared" si="186"/>
        <v>9.7734131886346887E-2</v>
      </c>
      <c r="N218" s="2">
        <f t="shared" si="187"/>
        <v>10.231840000000005</v>
      </c>
      <c r="O218">
        <v>19</v>
      </c>
      <c r="P218" s="2">
        <f t="shared" si="188"/>
        <v>5.8313511854523066</v>
      </c>
    </row>
    <row r="219" spans="3:18" x14ac:dyDescent="0.35">
      <c r="C219" s="155">
        <v>7</v>
      </c>
      <c r="F219">
        <v>82.775940000000006</v>
      </c>
      <c r="G219">
        <v>86.457030000000003</v>
      </c>
      <c r="H219" s="2">
        <f t="shared" si="181"/>
        <v>3.6810899999999975</v>
      </c>
      <c r="I219" s="2">
        <f t="shared" si="182"/>
        <v>6.7903199999999941</v>
      </c>
      <c r="J219" s="2">
        <f t="shared" si="183"/>
        <v>0.35153718553661834</v>
      </c>
      <c r="K219" s="2">
        <f t="shared" si="184"/>
        <v>0.64846281446338172</v>
      </c>
      <c r="L219" s="2">
        <f t="shared" si="185"/>
        <v>0.27165866631894375</v>
      </c>
      <c r="M219" s="2">
        <f t="shared" si="186"/>
        <v>9.5498122984392822E-2</v>
      </c>
      <c r="N219" s="2">
        <f t="shared" si="187"/>
        <v>10.471409999999992</v>
      </c>
      <c r="O219">
        <v>25</v>
      </c>
      <c r="P219" s="2">
        <f>O219/H219</f>
        <v>6.7914666579735936</v>
      </c>
    </row>
    <row r="220" spans="3:18" x14ac:dyDescent="0.35">
      <c r="C220" s="155">
        <v>7</v>
      </c>
      <c r="F220">
        <v>93.247349999999997</v>
      </c>
      <c r="G220">
        <v>96.887129999999999</v>
      </c>
      <c r="H220" s="2">
        <f t="shared" si="181"/>
        <v>3.6397800000000018</v>
      </c>
      <c r="I220" s="2">
        <f t="shared" si="182"/>
        <v>6.8750100000000032</v>
      </c>
      <c r="J220" s="2">
        <f t="shared" si="183"/>
        <v>0.34615812583988842</v>
      </c>
      <c r="K220" s="2">
        <f t="shared" si="184"/>
        <v>0.65384187416011164</v>
      </c>
      <c r="L220" s="2">
        <f t="shared" si="185"/>
        <v>0.27474188000373634</v>
      </c>
      <c r="M220" s="2">
        <f t="shared" si="186"/>
        <v>9.5104134271820892E-2</v>
      </c>
      <c r="N220" s="2">
        <f t="shared" si="187"/>
        <v>10.514790000000005</v>
      </c>
      <c r="O220">
        <v>21</v>
      </c>
      <c r="P220" s="2">
        <f>O220/H220</f>
        <v>5.7695794800784634</v>
      </c>
    </row>
    <row r="221" spans="3:18" x14ac:dyDescent="0.35">
      <c r="C221" s="155">
        <v>7</v>
      </c>
      <c r="F221">
        <v>103.76214</v>
      </c>
      <c r="G221">
        <v>107.16547</v>
      </c>
      <c r="H221" s="2">
        <f>G221-F221</f>
        <v>3.4033299999999969</v>
      </c>
      <c r="I221" s="2">
        <f>F222-G221</f>
        <v>7.0394900000000007</v>
      </c>
      <c r="J221" s="2">
        <f>H221/N221</f>
        <v>0.32590143275475375</v>
      </c>
      <c r="K221" s="2">
        <f>I221/N221</f>
        <v>0.67409856724524619</v>
      </c>
      <c r="L221" s="2">
        <f>1/H221</f>
        <v>0.29382986663062383</v>
      </c>
      <c r="M221" s="2">
        <f>1/N221</f>
        <v>9.5759574521058516E-2</v>
      </c>
      <c r="N221" s="2">
        <f>H221+I221</f>
        <v>10.442819999999998</v>
      </c>
      <c r="O221">
        <v>23</v>
      </c>
      <c r="P221" s="2">
        <f>O221/H221</f>
        <v>6.758086932504348</v>
      </c>
    </row>
    <row r="222" spans="3:18" x14ac:dyDescent="0.35">
      <c r="C222" s="155">
        <v>7</v>
      </c>
      <c r="F222">
        <v>114.20496</v>
      </c>
      <c r="G222">
        <v>117.63473999999999</v>
      </c>
    </row>
    <row r="223" spans="3:18" x14ac:dyDescent="0.35">
      <c r="C223" s="155"/>
    </row>
    <row r="224" spans="3:18" ht="16" thickBot="1" x14ac:dyDescent="0.4">
      <c r="C224" s="155"/>
      <c r="G224" s="13"/>
      <c r="H224" s="9" t="s">
        <v>3</v>
      </c>
      <c r="I224" s="9" t="s">
        <v>4</v>
      </c>
      <c r="J224" s="9" t="s">
        <v>5</v>
      </c>
      <c r="K224" s="9" t="s">
        <v>6</v>
      </c>
      <c r="L224" s="9" t="s">
        <v>7</v>
      </c>
      <c r="M224" s="9" t="s">
        <v>8</v>
      </c>
      <c r="N224" s="9" t="s">
        <v>9</v>
      </c>
      <c r="O224" s="9" t="s">
        <v>10</v>
      </c>
      <c r="P224" s="44" t="s">
        <v>139</v>
      </c>
    </row>
    <row r="225" spans="3:18" x14ac:dyDescent="0.35">
      <c r="C225" s="155"/>
      <c r="G225" s="49" t="s">
        <v>77</v>
      </c>
      <c r="H225" s="13">
        <f>AVERAGE(H212:H221)</f>
        <v>3.8216120000000005</v>
      </c>
      <c r="I225" s="13">
        <f t="shared" ref="I225:P225" si="189">AVERAGE(I212:I221)</f>
        <v>6.908747</v>
      </c>
      <c r="J225" s="13">
        <f t="shared" si="189"/>
        <v>0.35819549356660324</v>
      </c>
      <c r="K225" s="13">
        <f t="shared" si="189"/>
        <v>0.6418045064333967</v>
      </c>
      <c r="L225" s="13">
        <f t="shared" si="189"/>
        <v>0.2661541254030711</v>
      </c>
      <c r="M225" s="13">
        <f t="shared" si="189"/>
        <v>9.3888470066925328E-2</v>
      </c>
      <c r="N225" s="13">
        <f t="shared" si="189"/>
        <v>10.730359</v>
      </c>
      <c r="O225" s="13">
        <f t="shared" si="189"/>
        <v>23.5</v>
      </c>
      <c r="P225" s="13">
        <f t="shared" si="189"/>
        <v>6.1755696692437301</v>
      </c>
    </row>
    <row r="226" spans="3:18" x14ac:dyDescent="0.35">
      <c r="C226" s="155"/>
      <c r="G226" s="49" t="s">
        <v>94</v>
      </c>
      <c r="H226" s="2">
        <f>_xlfn.STDEV.S(H212:H221)</f>
        <v>0.55267352723525687</v>
      </c>
      <c r="I226" s="2">
        <f t="shared" ref="I226:P226" si="190">_xlfn.STDEV.S(I212:I221)</f>
        <v>1.0014114899597175</v>
      </c>
      <c r="J226" s="2">
        <f t="shared" si="190"/>
        <v>5.8962092657520102E-2</v>
      </c>
      <c r="K226" s="2">
        <f t="shared" si="190"/>
        <v>5.8962092657520143E-2</v>
      </c>
      <c r="L226" s="2">
        <f t="shared" si="190"/>
        <v>3.4609712199173755E-2</v>
      </c>
      <c r="M226" s="2">
        <f t="shared" si="190"/>
        <v>8.6055997676506551E-3</v>
      </c>
      <c r="N226" s="2">
        <f t="shared" si="190"/>
        <v>0.96849775512216074</v>
      </c>
      <c r="O226" s="2">
        <f t="shared" si="190"/>
        <v>3.4075080500434787</v>
      </c>
      <c r="P226" s="2">
        <f t="shared" si="190"/>
        <v>0.57345647271766964</v>
      </c>
    </row>
    <row r="227" spans="3:18" x14ac:dyDescent="0.35">
      <c r="C227" s="155"/>
      <c r="G227" s="49" t="s">
        <v>95</v>
      </c>
      <c r="H227" s="2">
        <f t="shared" ref="H227:P227" si="191">H226/(SQRT(10))</f>
        <v>0.1747707148542513</v>
      </c>
      <c r="I227" s="2">
        <f t="shared" si="191"/>
        <v>0.31667411833355458</v>
      </c>
      <c r="J227" s="2">
        <f t="shared" si="191"/>
        <v>1.8645450840765382E-2</v>
      </c>
      <c r="K227" s="2">
        <f t="shared" si="191"/>
        <v>1.8645450840765396E-2</v>
      </c>
      <c r="L227" s="2">
        <f t="shared" si="191"/>
        <v>1.0944551971230419E-2</v>
      </c>
      <c r="M227" s="2">
        <f t="shared" si="191"/>
        <v>2.7213295897591861E-3</v>
      </c>
      <c r="N227" s="2">
        <f t="shared" si="191"/>
        <v>0.30626588149460343</v>
      </c>
      <c r="O227" s="2">
        <f t="shared" si="191"/>
        <v>1.0775486583496408</v>
      </c>
      <c r="P227" s="2">
        <f t="shared" si="191"/>
        <v>0.18134285927540442</v>
      </c>
    </row>
    <row r="228" spans="3:18" x14ac:dyDescent="0.35">
      <c r="C228" s="155"/>
    </row>
    <row r="229" spans="3:18" x14ac:dyDescent="0.35">
      <c r="C229" s="155"/>
    </row>
    <row r="230" spans="3:18" x14ac:dyDescent="0.35">
      <c r="C230" s="155"/>
    </row>
    <row r="231" spans="3:18" x14ac:dyDescent="0.35">
      <c r="C231" s="155"/>
    </row>
    <row r="232" spans="3:18" x14ac:dyDescent="0.35">
      <c r="C232" s="155"/>
    </row>
    <row r="233" spans="3:18" ht="18.5" x14ac:dyDescent="0.45">
      <c r="C233" s="155"/>
      <c r="F233" s="1" t="s">
        <v>52</v>
      </c>
      <c r="G233" s="2"/>
      <c r="H233" s="2"/>
      <c r="I233" s="2"/>
      <c r="J233" s="2"/>
      <c r="K233" s="2"/>
    </row>
    <row r="234" spans="3:18" ht="16" thickBot="1" x14ac:dyDescent="0.4">
      <c r="C234" s="155"/>
      <c r="D234" s="204" t="s">
        <v>122</v>
      </c>
      <c r="F234" s="9" t="s">
        <v>1</v>
      </c>
      <c r="G234" s="9" t="s">
        <v>2</v>
      </c>
      <c r="H234" s="9" t="s">
        <v>3</v>
      </c>
      <c r="I234" s="9" t="s">
        <v>4</v>
      </c>
      <c r="J234" s="9" t="s">
        <v>5</v>
      </c>
      <c r="K234" s="9" t="s">
        <v>6</v>
      </c>
      <c r="L234" s="9" t="s">
        <v>7</v>
      </c>
      <c r="M234" s="9" t="s">
        <v>8</v>
      </c>
      <c r="N234" s="9" t="s">
        <v>9</v>
      </c>
      <c r="O234" s="9" t="s">
        <v>10</v>
      </c>
      <c r="P234" s="44" t="s">
        <v>139</v>
      </c>
      <c r="R234" s="44" t="s">
        <v>134</v>
      </c>
    </row>
    <row r="235" spans="3:18" x14ac:dyDescent="0.35">
      <c r="C235" s="155"/>
      <c r="F235">
        <v>1.11981</v>
      </c>
      <c r="G235">
        <v>5.04711</v>
      </c>
      <c r="H235" s="2">
        <f>G235-F235</f>
        <v>3.9272999999999998</v>
      </c>
      <c r="I235" s="2">
        <f>F236-G235</f>
        <v>4.5436800000000002</v>
      </c>
      <c r="J235" s="2">
        <f>H235/N235</f>
        <v>0.46361814099431226</v>
      </c>
      <c r="K235" s="2">
        <f>I235/N235</f>
        <v>0.53638185900568758</v>
      </c>
      <c r="L235" s="2">
        <f>1/H235</f>
        <v>0.25462786138059229</v>
      </c>
      <c r="M235" s="2">
        <f>1/N235</f>
        <v>0.11805009573862764</v>
      </c>
      <c r="N235" s="2">
        <f>H235+I235</f>
        <v>8.4709800000000008</v>
      </c>
      <c r="O235">
        <v>22</v>
      </c>
      <c r="P235" s="2">
        <f t="shared" ref="P235:P241" si="192">O235/H235</f>
        <v>5.6018129503730298</v>
      </c>
      <c r="R235" t="s">
        <v>702</v>
      </c>
    </row>
    <row r="236" spans="3:18" x14ac:dyDescent="0.35">
      <c r="C236" s="155"/>
      <c r="F236">
        <v>9.5907900000000001</v>
      </c>
      <c r="G236">
        <v>13.332409999999999</v>
      </c>
      <c r="H236" s="2">
        <f t="shared" ref="H236:H246" si="193">G236-F236</f>
        <v>3.7416199999999993</v>
      </c>
      <c r="I236" s="2">
        <f t="shared" ref="I236:I246" si="194">F237-G236</f>
        <v>5.2778999999999989</v>
      </c>
      <c r="J236" s="2">
        <f t="shared" ref="J236:J246" si="195">H236/N236</f>
        <v>0.41483582274888242</v>
      </c>
      <c r="K236" s="2">
        <f t="shared" ref="K236:K246" si="196">I236/N236</f>
        <v>0.58516417725111758</v>
      </c>
      <c r="L236" s="2">
        <f t="shared" ref="L236:L246" si="197">1/H236</f>
        <v>0.26726391242296121</v>
      </c>
      <c r="M236" s="2">
        <f t="shared" ref="M236:M246" si="198">1/N236</f>
        <v>0.11087064500106437</v>
      </c>
      <c r="N236" s="2">
        <f t="shared" ref="N236:N246" si="199">H236+I236</f>
        <v>9.0195199999999982</v>
      </c>
      <c r="O236">
        <v>25</v>
      </c>
      <c r="P236" s="2">
        <f t="shared" si="192"/>
        <v>6.681597810574031</v>
      </c>
    </row>
    <row r="237" spans="3:18" x14ac:dyDescent="0.35">
      <c r="C237" s="155"/>
      <c r="D237" s="258" t="s">
        <v>541</v>
      </c>
      <c r="F237">
        <v>18.610309999999998</v>
      </c>
      <c r="G237">
        <v>20.50582</v>
      </c>
      <c r="H237" s="2">
        <f t="shared" si="193"/>
        <v>1.8955100000000016</v>
      </c>
      <c r="I237" s="2">
        <f t="shared" si="194"/>
        <v>5.9341599999999985</v>
      </c>
      <c r="J237" s="2">
        <f t="shared" si="195"/>
        <v>0.24209321721094268</v>
      </c>
      <c r="K237" s="2">
        <f t="shared" si="196"/>
        <v>0.75790678278905732</v>
      </c>
      <c r="L237" s="2">
        <f t="shared" si="197"/>
        <v>0.52756250296753859</v>
      </c>
      <c r="M237" s="2">
        <f t="shared" si="198"/>
        <v>0.12771930362326891</v>
      </c>
      <c r="N237" s="2">
        <f t="shared" si="199"/>
        <v>7.8296700000000001</v>
      </c>
      <c r="O237">
        <v>16</v>
      </c>
      <c r="P237" s="2">
        <f t="shared" si="192"/>
        <v>8.4410000474806175</v>
      </c>
    </row>
    <row r="238" spans="3:18" x14ac:dyDescent="0.35">
      <c r="C238" s="155"/>
      <c r="F238">
        <v>26.439979999999998</v>
      </c>
      <c r="G238">
        <v>30.1174</v>
      </c>
      <c r="H238" s="2">
        <f t="shared" si="193"/>
        <v>3.6774200000000015</v>
      </c>
      <c r="I238" s="2">
        <f t="shared" si="194"/>
        <v>5.1515999999999984</v>
      </c>
      <c r="J238" s="2">
        <f t="shared" si="195"/>
        <v>0.41651508321421876</v>
      </c>
      <c r="K238" s="2">
        <f t="shared" si="196"/>
        <v>0.58348491678578129</v>
      </c>
      <c r="L238" s="2">
        <f t="shared" si="197"/>
        <v>0.27192977685442499</v>
      </c>
      <c r="M238" s="2">
        <f t="shared" si="198"/>
        <v>0.11326285363494476</v>
      </c>
      <c r="N238" s="2">
        <f t="shared" si="199"/>
        <v>8.8290199999999999</v>
      </c>
      <c r="O238">
        <v>27</v>
      </c>
      <c r="P238" s="2">
        <f t="shared" si="192"/>
        <v>7.3421039750694748</v>
      </c>
    </row>
    <row r="239" spans="3:18" x14ac:dyDescent="0.35">
      <c r="C239" s="155"/>
      <c r="D239" s="258" t="s">
        <v>541</v>
      </c>
      <c r="F239">
        <v>35.268999999999998</v>
      </c>
      <c r="G239">
        <v>39.229320000000001</v>
      </c>
      <c r="H239" s="2">
        <f t="shared" si="193"/>
        <v>3.9603200000000029</v>
      </c>
      <c r="I239" s="2">
        <f t="shared" si="194"/>
        <v>4.8567699999999974</v>
      </c>
      <c r="J239" s="2">
        <f t="shared" si="195"/>
        <v>0.44916406660247349</v>
      </c>
      <c r="K239" s="2">
        <f t="shared" si="196"/>
        <v>0.55083593339752657</v>
      </c>
      <c r="L239" s="2">
        <f t="shared" si="197"/>
        <v>0.25250484809308321</v>
      </c>
      <c r="M239" s="2">
        <f t="shared" si="198"/>
        <v>0.11341610440632907</v>
      </c>
      <c r="N239" s="2">
        <f t="shared" si="199"/>
        <v>8.8170900000000003</v>
      </c>
      <c r="O239">
        <v>24</v>
      </c>
      <c r="P239" s="2">
        <f t="shared" si="192"/>
        <v>6.0601163542339966</v>
      </c>
    </row>
    <row r="240" spans="3:18" x14ac:dyDescent="0.35">
      <c r="C240" s="155"/>
      <c r="F240">
        <v>44.086089999999999</v>
      </c>
      <c r="G240">
        <v>47.829509999999999</v>
      </c>
      <c r="H240" s="2">
        <f t="shared" si="193"/>
        <v>3.7434200000000004</v>
      </c>
      <c r="I240" s="2">
        <f t="shared" si="194"/>
        <v>5.7488400000000013</v>
      </c>
      <c r="J240" s="2">
        <f t="shared" si="195"/>
        <v>0.39436551464034908</v>
      </c>
      <c r="K240" s="2">
        <f t="shared" si="196"/>
        <v>0.60563448535965092</v>
      </c>
      <c r="L240" s="2">
        <f t="shared" si="197"/>
        <v>0.26713540024897015</v>
      </c>
      <c r="M240" s="2">
        <f t="shared" si="198"/>
        <v>0.10534898959784075</v>
      </c>
      <c r="N240" s="2">
        <f t="shared" si="199"/>
        <v>9.4922600000000017</v>
      </c>
      <c r="O240">
        <v>26</v>
      </c>
      <c r="P240" s="2">
        <f t="shared" si="192"/>
        <v>6.9455204064732241</v>
      </c>
    </row>
    <row r="241" spans="3:16" x14ac:dyDescent="0.35">
      <c r="C241" s="155"/>
      <c r="D241" s="258" t="s">
        <v>541</v>
      </c>
      <c r="F241">
        <v>53.57835</v>
      </c>
      <c r="G241">
        <v>57.43018</v>
      </c>
      <c r="H241" s="2">
        <f t="shared" si="193"/>
        <v>3.8518299999999996</v>
      </c>
      <c r="I241" s="2">
        <f t="shared" si="194"/>
        <v>5.9624900000000025</v>
      </c>
      <c r="J241" s="2">
        <f t="shared" si="195"/>
        <v>0.39247039020533248</v>
      </c>
      <c r="K241" s="2">
        <f t="shared" si="196"/>
        <v>0.60752960979466752</v>
      </c>
      <c r="L241" s="2">
        <f t="shared" si="197"/>
        <v>0.25961685744178742</v>
      </c>
      <c r="M241" s="2">
        <f t="shared" si="198"/>
        <v>0.10189192934406049</v>
      </c>
      <c r="N241" s="2">
        <f t="shared" si="199"/>
        <v>9.8143200000000022</v>
      </c>
      <c r="O241">
        <v>29</v>
      </c>
      <c r="P241" s="2">
        <f t="shared" si="192"/>
        <v>7.5288888658118358</v>
      </c>
    </row>
    <row r="242" spans="3:16" x14ac:dyDescent="0.35">
      <c r="C242" s="155"/>
      <c r="F242">
        <v>63.392670000000003</v>
      </c>
      <c r="G242">
        <v>67.014679999999998</v>
      </c>
      <c r="H242" s="2">
        <f t="shared" si="193"/>
        <v>3.622009999999996</v>
      </c>
      <c r="I242" s="2">
        <f t="shared" si="194"/>
        <v>6.0052299999999974</v>
      </c>
      <c r="J242" s="2">
        <f t="shared" si="195"/>
        <v>0.3762251694151178</v>
      </c>
      <c r="K242" s="2">
        <f t="shared" si="196"/>
        <v>0.62377483058488226</v>
      </c>
      <c r="L242" s="2">
        <f t="shared" si="197"/>
        <v>0.27608979544507084</v>
      </c>
      <c r="M242" s="2">
        <f t="shared" si="198"/>
        <v>0.103871930065107</v>
      </c>
      <c r="N242" s="2">
        <f t="shared" si="199"/>
        <v>9.6272399999999934</v>
      </c>
      <c r="O242">
        <v>26</v>
      </c>
      <c r="P242" s="2">
        <f>O242/H242</f>
        <v>7.1783346815718421</v>
      </c>
    </row>
    <row r="243" spans="3:16" x14ac:dyDescent="0.35">
      <c r="C243" s="155"/>
      <c r="F243">
        <v>73.019909999999996</v>
      </c>
      <c r="G243">
        <v>76.936170000000004</v>
      </c>
      <c r="H243" s="2">
        <f t="shared" si="193"/>
        <v>3.9162600000000083</v>
      </c>
      <c r="I243" s="2">
        <f t="shared" si="194"/>
        <v>7.0345499999999959</v>
      </c>
      <c r="J243" s="2">
        <f t="shared" si="195"/>
        <v>0.35762286077468303</v>
      </c>
      <c r="K243" s="2">
        <f t="shared" si="196"/>
        <v>0.64237713922531692</v>
      </c>
      <c r="L243" s="2">
        <f t="shared" si="197"/>
        <v>0.25534566142186627</v>
      </c>
      <c r="M243" s="2">
        <f t="shared" si="198"/>
        <v>9.1317445924091425E-2</v>
      </c>
      <c r="N243" s="2">
        <f t="shared" si="199"/>
        <v>10.950810000000004</v>
      </c>
      <c r="O243">
        <v>30</v>
      </c>
      <c r="P243" s="2">
        <f>O243/H243</f>
        <v>7.660369842655987</v>
      </c>
    </row>
    <row r="244" spans="3:16" x14ac:dyDescent="0.35">
      <c r="C244" s="155"/>
      <c r="F244">
        <v>83.97072</v>
      </c>
      <c r="G244">
        <v>87.764899999999997</v>
      </c>
      <c r="H244" s="2">
        <f t="shared" si="193"/>
        <v>3.7941799999999972</v>
      </c>
      <c r="I244" s="2">
        <f t="shared" si="194"/>
        <v>6.1143900000000002</v>
      </c>
      <c r="J244" s="2">
        <f t="shared" si="195"/>
        <v>0.38291902867921385</v>
      </c>
      <c r="K244" s="2">
        <f t="shared" si="196"/>
        <v>0.6170809713207861</v>
      </c>
      <c r="L244" s="2">
        <f t="shared" si="197"/>
        <v>0.26356156007358655</v>
      </c>
      <c r="M244" s="2">
        <f t="shared" si="198"/>
        <v>0.10092273658055605</v>
      </c>
      <c r="N244" s="2">
        <f t="shared" si="199"/>
        <v>9.9085699999999974</v>
      </c>
      <c r="O244">
        <v>27</v>
      </c>
      <c r="P244" s="2">
        <f>O244/H244</f>
        <v>7.1161621219868376</v>
      </c>
    </row>
    <row r="245" spans="3:16" x14ac:dyDescent="0.35">
      <c r="C245" s="155"/>
      <c r="F245">
        <v>93.879289999999997</v>
      </c>
      <c r="G245">
        <v>97.625739999999993</v>
      </c>
      <c r="H245" s="2">
        <f t="shared" si="193"/>
        <v>3.7464499999999958</v>
      </c>
      <c r="I245" s="2">
        <f t="shared" si="194"/>
        <v>6.0664200000000079</v>
      </c>
      <c r="J245" s="2">
        <f t="shared" si="195"/>
        <v>0.38178942551975054</v>
      </c>
      <c r="K245" s="2">
        <f t="shared" si="196"/>
        <v>0.61821057448024952</v>
      </c>
      <c r="L245" s="2">
        <f t="shared" si="197"/>
        <v>0.26691935031830161</v>
      </c>
      <c r="M245" s="2">
        <f t="shared" si="198"/>
        <v>0.10190698541812941</v>
      </c>
      <c r="N245" s="2">
        <f t="shared" si="199"/>
        <v>9.8128700000000038</v>
      </c>
      <c r="O245">
        <v>27</v>
      </c>
      <c r="P245" s="2">
        <f>O245/H245</f>
        <v>7.2068224585941438</v>
      </c>
    </row>
    <row r="246" spans="3:16" x14ac:dyDescent="0.35">
      <c r="C246" s="155"/>
      <c r="D246" s="258" t="s">
        <v>541</v>
      </c>
      <c r="F246">
        <v>103.69216</v>
      </c>
      <c r="G246">
        <v>107.16529</v>
      </c>
      <c r="H246" s="2">
        <f t="shared" si="193"/>
        <v>3.4731299999999976</v>
      </c>
      <c r="I246" s="2">
        <f t="shared" si="194"/>
        <v>6.416799999999995</v>
      </c>
      <c r="J246" s="2">
        <f t="shared" si="195"/>
        <v>0.3511784208786109</v>
      </c>
      <c r="K246" s="2">
        <f t="shared" si="196"/>
        <v>0.64882157912138916</v>
      </c>
      <c r="L246" s="2">
        <f t="shared" si="197"/>
        <v>0.28792472495990667</v>
      </c>
      <c r="M246" s="2">
        <f t="shared" si="198"/>
        <v>0.10111295024332839</v>
      </c>
      <c r="N246" s="2">
        <f t="shared" si="199"/>
        <v>9.8899299999999926</v>
      </c>
      <c r="O246">
        <v>23</v>
      </c>
      <c r="P246" s="2">
        <f>O246/H246</f>
        <v>6.622268674077854</v>
      </c>
    </row>
    <row r="247" spans="3:16" x14ac:dyDescent="0.35">
      <c r="C247" s="155"/>
      <c r="F247">
        <v>113.58208999999999</v>
      </c>
      <c r="G247">
        <v>117.44004</v>
      </c>
      <c r="H247" s="2"/>
      <c r="I247" s="2"/>
      <c r="J247" s="2"/>
      <c r="K247" s="2"/>
      <c r="L247" s="2"/>
      <c r="M247" s="2"/>
      <c r="N247" s="2"/>
    </row>
    <row r="248" spans="3:16" x14ac:dyDescent="0.35">
      <c r="C248" s="155"/>
    </row>
    <row r="249" spans="3:16" ht="16" thickBot="1" x14ac:dyDescent="0.4">
      <c r="C249" s="155"/>
      <c r="G249" s="13"/>
      <c r="H249" s="9" t="s">
        <v>3</v>
      </c>
      <c r="I249" s="9" t="s">
        <v>4</v>
      </c>
      <c r="J249" s="9" t="s">
        <v>5</v>
      </c>
      <c r="K249" s="9" t="s">
        <v>6</v>
      </c>
      <c r="L249" s="9" t="s">
        <v>7</v>
      </c>
      <c r="M249" s="9" t="s">
        <v>8</v>
      </c>
      <c r="N249" s="9" t="s">
        <v>9</v>
      </c>
      <c r="O249" s="9" t="s">
        <v>10</v>
      </c>
      <c r="P249" s="44" t="s">
        <v>139</v>
      </c>
    </row>
    <row r="250" spans="3:16" x14ac:dyDescent="0.35">
      <c r="C250" s="155"/>
      <c r="G250" s="49" t="s">
        <v>77</v>
      </c>
      <c r="H250" s="13">
        <f>AVERAGE(H235:H246)</f>
        <v>3.6124541666666672</v>
      </c>
      <c r="I250" s="13">
        <f t="shared" ref="I250:P250" si="200">AVERAGE(I235:I246)</f>
        <v>5.7594025000000002</v>
      </c>
      <c r="J250" s="13">
        <f t="shared" si="200"/>
        <v>0.38523309507365733</v>
      </c>
      <c r="K250" s="13">
        <f t="shared" si="200"/>
        <v>0.61476690492634278</v>
      </c>
      <c r="L250" s="13">
        <f t="shared" si="200"/>
        <v>0.28754018763567413</v>
      </c>
      <c r="M250" s="13">
        <f t="shared" si="200"/>
        <v>0.10747433079811235</v>
      </c>
      <c r="N250" s="13">
        <f t="shared" si="200"/>
        <v>9.3718566666666661</v>
      </c>
      <c r="O250" s="13">
        <f t="shared" si="200"/>
        <v>25.166666666666668</v>
      </c>
      <c r="P250" s="13">
        <f t="shared" si="200"/>
        <v>7.0320831824085728</v>
      </c>
    </row>
    <row r="251" spans="3:16" x14ac:dyDescent="0.35">
      <c r="C251" s="155"/>
      <c r="G251" s="49" t="s">
        <v>94</v>
      </c>
      <c r="H251" s="2">
        <f>_xlfn.STDEV.S(H235:H246)</f>
        <v>0.55809519413575182</v>
      </c>
      <c r="I251" s="2">
        <f t="shared" ref="I251:P251" si="201">_xlfn.STDEV.S(I235:I246)</f>
        <v>0.6944436030786133</v>
      </c>
      <c r="J251" s="2">
        <f t="shared" si="201"/>
        <v>5.6190807510479973E-2</v>
      </c>
      <c r="K251" s="2">
        <f t="shared" si="201"/>
        <v>5.6190807510480334E-2</v>
      </c>
      <c r="L251" s="2">
        <f t="shared" si="201"/>
        <v>7.6241380110185608E-2</v>
      </c>
      <c r="M251" s="2">
        <f t="shared" si="201"/>
        <v>9.6584430055073785E-3</v>
      </c>
      <c r="N251" s="2">
        <f t="shared" si="201"/>
        <v>0.82219419803279337</v>
      </c>
      <c r="O251" s="2">
        <f t="shared" si="201"/>
        <v>3.6886393976723495</v>
      </c>
      <c r="P251" s="2">
        <f t="shared" si="201"/>
        <v>0.74286825675325996</v>
      </c>
    </row>
    <row r="252" spans="3:16" x14ac:dyDescent="0.35">
      <c r="C252" s="155"/>
      <c r="G252" s="49" t="s">
        <v>95</v>
      </c>
      <c r="H252" s="2">
        <f>H251/(SQRT(COUNT(H235:H246)))</f>
        <v>0.16110820528385639</v>
      </c>
      <c r="I252" s="2">
        <f t="shared" ref="I252:P252" si="202">I251/(SQRT(COUNT(I235:I246)))</f>
        <v>0.20046860058722552</v>
      </c>
      <c r="J252" s="2">
        <f t="shared" si="202"/>
        <v>1.6220888921079028E-2</v>
      </c>
      <c r="K252" s="2">
        <f t="shared" si="202"/>
        <v>1.6220888921079132E-2</v>
      </c>
      <c r="L252" s="2">
        <f t="shared" si="202"/>
        <v>2.2008990665002122E-2</v>
      </c>
      <c r="M252" s="2">
        <f t="shared" si="202"/>
        <v>2.7881523345911715E-3</v>
      </c>
      <c r="N252" s="2">
        <f t="shared" si="202"/>
        <v>0.23734702078019088</v>
      </c>
      <c r="O252" s="2">
        <f t="shared" si="202"/>
        <v>1.0648184745947951</v>
      </c>
      <c r="P252" s="2">
        <f t="shared" si="202"/>
        <v>0.21444759400446134</v>
      </c>
    </row>
    <row r="253" spans="3:16" x14ac:dyDescent="0.35">
      <c r="C253" s="258"/>
      <c r="G253" s="49"/>
      <c r="H253" s="2"/>
      <c r="I253" s="2"/>
      <c r="J253" s="2"/>
      <c r="K253" s="2"/>
      <c r="L253" s="2"/>
      <c r="M253" s="2"/>
      <c r="N253" s="2"/>
      <c r="O253" s="2"/>
      <c r="P253" s="2"/>
    </row>
    <row r="254" spans="3:16" x14ac:dyDescent="0.35">
      <c r="C254" s="258"/>
      <c r="G254" s="49"/>
      <c r="H254" s="2"/>
      <c r="I254" s="2"/>
      <c r="J254" s="2"/>
      <c r="K254" s="2"/>
      <c r="L254" s="2"/>
      <c r="M254" s="2"/>
      <c r="N254" s="2"/>
      <c r="O254" s="2"/>
      <c r="P254" s="2"/>
    </row>
    <row r="255" spans="3:16" x14ac:dyDescent="0.35">
      <c r="C255" s="258"/>
      <c r="G255" s="49"/>
      <c r="H255" s="2"/>
      <c r="I255" s="2"/>
      <c r="J255" s="2"/>
      <c r="K255" s="2"/>
      <c r="L255" s="2"/>
      <c r="M255" s="2"/>
      <c r="N255" s="2"/>
      <c r="O255" s="2"/>
      <c r="P255" s="2"/>
    </row>
    <row r="256" spans="3:16" ht="16" thickBot="1" x14ac:dyDescent="0.4">
      <c r="C256" s="258"/>
      <c r="E256" t="s">
        <v>81</v>
      </c>
      <c r="G256" s="13"/>
      <c r="H256" s="9" t="s">
        <v>3</v>
      </c>
      <c r="I256" s="9" t="s">
        <v>4</v>
      </c>
      <c r="J256" s="9" t="s">
        <v>5</v>
      </c>
      <c r="K256" s="9" t="s">
        <v>6</v>
      </c>
      <c r="L256" s="9" t="s">
        <v>7</v>
      </c>
      <c r="M256" s="9" t="s">
        <v>8</v>
      </c>
      <c r="N256" s="9" t="s">
        <v>9</v>
      </c>
      <c r="O256" s="9" t="s">
        <v>10</v>
      </c>
      <c r="P256" s="44" t="s">
        <v>139</v>
      </c>
    </row>
    <row r="257" spans="3:16" x14ac:dyDescent="0.35">
      <c r="C257" s="258"/>
      <c r="G257" s="49" t="s">
        <v>77</v>
      </c>
      <c r="H257" s="13">
        <f>AVERAGE(H237,H239,H241,H246)</f>
        <v>3.2951975000000004</v>
      </c>
      <c r="I257" s="13">
        <f t="shared" ref="I257:P257" si="203">AVERAGE(I237,I239,I241,I246)</f>
        <v>5.7925549999999983</v>
      </c>
      <c r="J257" s="13">
        <f t="shared" si="203"/>
        <v>0.35872652372433983</v>
      </c>
      <c r="K257" s="13">
        <f t="shared" si="203"/>
        <v>0.64127347627566023</v>
      </c>
      <c r="L257" s="13">
        <f t="shared" si="203"/>
        <v>0.33190223336557895</v>
      </c>
      <c r="M257" s="13">
        <f t="shared" si="203"/>
        <v>0.11103507190424672</v>
      </c>
      <c r="N257" s="13">
        <f t="shared" si="203"/>
        <v>9.0877524999999988</v>
      </c>
      <c r="O257" s="13">
        <f t="shared" si="203"/>
        <v>23</v>
      </c>
      <c r="P257" s="13">
        <f t="shared" si="203"/>
        <v>7.1630684854010767</v>
      </c>
    </row>
    <row r="258" spans="3:16" x14ac:dyDescent="0.35">
      <c r="C258" s="258"/>
      <c r="G258" s="49" t="s">
        <v>94</v>
      </c>
      <c r="H258" s="2">
        <f>_xlfn.STDEV.S(H237,H239,H241,H246)</f>
        <v>0.95621001045359622</v>
      </c>
      <c r="I258" s="2">
        <f t="shared" ref="I258:P258" si="204">_xlfn.STDEV.S(I237,I239,I241,I246)</f>
        <v>0.66189255585782181</v>
      </c>
      <c r="J258" s="2">
        <f t="shared" si="204"/>
        <v>8.7517426325159658E-2</v>
      </c>
      <c r="K258" s="2">
        <f t="shared" si="204"/>
        <v>8.7517426325158187E-2</v>
      </c>
      <c r="L258" s="2">
        <f t="shared" si="204"/>
        <v>0.13133428431149222</v>
      </c>
      <c r="M258" s="2">
        <f t="shared" si="204"/>
        <v>1.2464328541347535E-2</v>
      </c>
      <c r="N258" s="2">
        <f t="shared" si="204"/>
        <v>0.97081045854739167</v>
      </c>
      <c r="O258" s="2">
        <f t="shared" si="204"/>
        <v>5.3541261347363367</v>
      </c>
      <c r="P258" s="2">
        <f t="shared" si="204"/>
        <v>1.0449723230236174</v>
      </c>
    </row>
    <row r="259" spans="3:16" x14ac:dyDescent="0.35">
      <c r="C259" s="258"/>
      <c r="G259" s="49" t="s">
        <v>95</v>
      </c>
      <c r="H259" s="2">
        <f>H258/(SQRT(COUNT(H237,H239,H241,H246)))</f>
        <v>0.47810500522679811</v>
      </c>
      <c r="I259" s="2">
        <f t="shared" ref="I259:P259" si="205">I258/(SQRT(COUNT(I237,I239,I241,I246)))</f>
        <v>0.3309462779289109</v>
      </c>
      <c r="J259" s="2">
        <f t="shared" si="205"/>
        <v>4.3758713162579829E-2</v>
      </c>
      <c r="K259" s="2">
        <f t="shared" si="205"/>
        <v>4.3758713162579094E-2</v>
      </c>
      <c r="L259" s="2">
        <f t="shared" si="205"/>
        <v>6.5667142155746108E-2</v>
      </c>
      <c r="M259" s="2">
        <f t="shared" si="205"/>
        <v>6.2321642706737674E-3</v>
      </c>
      <c r="N259" s="2">
        <f t="shared" si="205"/>
        <v>0.48540522927369584</v>
      </c>
      <c r="O259" s="2">
        <f t="shared" si="205"/>
        <v>2.6770630673681683</v>
      </c>
      <c r="P259" s="2">
        <f t="shared" si="205"/>
        <v>0.52248616151180871</v>
      </c>
    </row>
    <row r="260" spans="3:16" x14ac:dyDescent="0.35">
      <c r="C260" s="258"/>
      <c r="G260" s="49"/>
      <c r="H260" s="2"/>
      <c r="I260" s="2"/>
      <c r="J260" s="2"/>
      <c r="K260" s="2"/>
      <c r="L260" s="2"/>
      <c r="M260" s="2"/>
      <c r="N260" s="2"/>
      <c r="O260" s="2"/>
      <c r="P260" s="2"/>
    </row>
    <row r="261" spans="3:16" x14ac:dyDescent="0.35">
      <c r="C261" s="258"/>
      <c r="G261" s="49"/>
      <c r="H261" s="2"/>
      <c r="I261" s="2"/>
      <c r="J261" s="2"/>
      <c r="K261" s="2"/>
      <c r="L261" s="2"/>
      <c r="M261" s="2"/>
      <c r="N261" s="2"/>
      <c r="O261" s="2"/>
      <c r="P261" s="2"/>
    </row>
    <row r="262" spans="3:16" x14ac:dyDescent="0.35">
      <c r="C262" s="258"/>
      <c r="G262" s="49"/>
      <c r="H262" s="2"/>
      <c r="I262" s="2"/>
      <c r="J262" s="2"/>
      <c r="K262" s="2"/>
      <c r="L262" s="2"/>
      <c r="M262" s="2"/>
      <c r="N262" s="2"/>
      <c r="O262" s="2"/>
      <c r="P262" s="2"/>
    </row>
    <row r="263" spans="3:16" ht="16" thickBot="1" x14ac:dyDescent="0.4">
      <c r="C263" s="258"/>
      <c r="E263" t="s">
        <v>82</v>
      </c>
      <c r="G263" s="13"/>
      <c r="H263" s="9" t="s">
        <v>3</v>
      </c>
      <c r="I263" s="9" t="s">
        <v>4</v>
      </c>
      <c r="J263" s="9" t="s">
        <v>5</v>
      </c>
      <c r="K263" s="9" t="s">
        <v>6</v>
      </c>
      <c r="L263" s="9" t="s">
        <v>7</v>
      </c>
      <c r="M263" s="9" t="s">
        <v>8</v>
      </c>
      <c r="N263" s="9" t="s">
        <v>9</v>
      </c>
      <c r="O263" s="9" t="s">
        <v>10</v>
      </c>
      <c r="P263" s="44" t="s">
        <v>139</v>
      </c>
    </row>
    <row r="264" spans="3:16" x14ac:dyDescent="0.35">
      <c r="C264" s="258"/>
      <c r="G264" s="49" t="s">
        <v>77</v>
      </c>
      <c r="H264" s="13">
        <f>AVERAGE(H235:H236,H238,H240,H242:H245)</f>
        <v>3.7710824999999999</v>
      </c>
      <c r="I264" s="13">
        <f t="shared" ref="I264:P264" si="206">AVERAGE(I235:I236,I238,I240,I242:I245)</f>
        <v>5.7428262500000002</v>
      </c>
      <c r="J264" s="13">
        <f t="shared" si="206"/>
        <v>0.39848638074831599</v>
      </c>
      <c r="K264" s="13">
        <f t="shared" si="206"/>
        <v>0.60151361925168401</v>
      </c>
      <c r="L264" s="13">
        <f t="shared" si="206"/>
        <v>0.26535916477072174</v>
      </c>
      <c r="M264" s="13">
        <f t="shared" si="206"/>
        <v>0.10569396024504517</v>
      </c>
      <c r="N264" s="13">
        <f t="shared" si="206"/>
        <v>9.5139087499999988</v>
      </c>
      <c r="O264" s="13">
        <f t="shared" si="206"/>
        <v>26.25</v>
      </c>
      <c r="P264" s="13">
        <f t="shared" si="206"/>
        <v>6.9665905309123222</v>
      </c>
    </row>
    <row r="265" spans="3:16" x14ac:dyDescent="0.35">
      <c r="C265" s="258"/>
      <c r="G265" s="49" t="s">
        <v>94</v>
      </c>
      <c r="H265" s="2">
        <f>_xlfn.STDEV.S(H235:H236,H238,H240,H242:H245)</f>
        <v>0.10640166174185932</v>
      </c>
      <c r="I265" s="2">
        <f t="shared" ref="I265:P265" si="207">_xlfn.STDEV.S(I235:I236,I238,I240,I242:I245)</f>
        <v>0.75440338777335647</v>
      </c>
      <c r="J265" s="2">
        <f t="shared" si="207"/>
        <v>3.2815470340245172E-2</v>
      </c>
      <c r="K265" s="2">
        <f t="shared" si="207"/>
        <v>3.2815470340245213E-2</v>
      </c>
      <c r="L265" s="2">
        <f t="shared" si="207"/>
        <v>7.4277389106671551E-3</v>
      </c>
      <c r="M265" s="2">
        <f t="shared" si="207"/>
        <v>8.3151240252543664E-3</v>
      </c>
      <c r="N265" s="2">
        <f t="shared" si="207"/>
        <v>0.76758679245760786</v>
      </c>
      <c r="O265" s="2">
        <f t="shared" si="207"/>
        <v>2.2519832529192065</v>
      </c>
      <c r="P265" s="2">
        <f t="shared" si="207"/>
        <v>0.62008540316769167</v>
      </c>
    </row>
    <row r="266" spans="3:16" x14ac:dyDescent="0.35">
      <c r="C266" s="258"/>
      <c r="G266" s="49" t="s">
        <v>95</v>
      </c>
      <c r="H266" s="2">
        <f>H265/(SQRT(COUNT(H235:H236,H238,H240,H242:H245)))</f>
        <v>3.7618668273592976E-2</v>
      </c>
      <c r="I266" s="2">
        <f t="shared" ref="I266:P266" si="208">I265/(SQRT(COUNT(I235:I236,I238,I240,I242:I245)))</f>
        <v>0.26672187562232247</v>
      </c>
      <c r="J266" s="2">
        <f t="shared" si="208"/>
        <v>1.160202080270669E-2</v>
      </c>
      <c r="K266" s="2">
        <f t="shared" si="208"/>
        <v>1.1602020802706706E-2</v>
      </c>
      <c r="L266" s="2">
        <f t="shared" si="208"/>
        <v>2.6261022763079621E-3</v>
      </c>
      <c r="M266" s="2">
        <f t="shared" si="208"/>
        <v>2.9398402923322717E-3</v>
      </c>
      <c r="N266" s="2">
        <f t="shared" si="208"/>
        <v>0.27138291304800277</v>
      </c>
      <c r="O266" s="2">
        <f t="shared" si="208"/>
        <v>0.79619631462885543</v>
      </c>
      <c r="P266" s="2">
        <f t="shared" si="208"/>
        <v>0.21923329674733452</v>
      </c>
    </row>
    <row r="267" spans="3:16" x14ac:dyDescent="0.35">
      <c r="C267" s="258"/>
      <c r="G267" s="49"/>
      <c r="H267" s="2"/>
      <c r="I267" s="2"/>
      <c r="J267" s="2"/>
      <c r="K267" s="2"/>
      <c r="L267" s="2"/>
      <c r="M267" s="2"/>
      <c r="N267" s="2"/>
      <c r="O267" s="2"/>
      <c r="P267" s="2"/>
    </row>
    <row r="268" spans="3:16" x14ac:dyDescent="0.35">
      <c r="C268" s="155"/>
    </row>
    <row r="269" spans="3:16" x14ac:dyDescent="0.35">
      <c r="C269" s="155"/>
    </row>
    <row r="270" spans="3:16" x14ac:dyDescent="0.35">
      <c r="C270" s="155"/>
    </row>
    <row r="271" spans="3:16" x14ac:dyDescent="0.35">
      <c r="C271" s="155"/>
    </row>
    <row r="272" spans="3:16" x14ac:dyDescent="0.35">
      <c r="C272" s="155"/>
    </row>
    <row r="273" spans="3:18" ht="18.5" x14ac:dyDescent="0.45">
      <c r="C273" s="155"/>
      <c r="F273" s="1" t="s">
        <v>224</v>
      </c>
      <c r="G273" s="2"/>
      <c r="H273" s="2"/>
      <c r="I273" s="2"/>
      <c r="J273" s="2"/>
      <c r="K273" s="2"/>
      <c r="L273" s="2"/>
      <c r="M273" s="2"/>
      <c r="N273" s="2"/>
      <c r="O273" s="2"/>
      <c r="P273" s="2"/>
    </row>
    <row r="274" spans="3:18" ht="24" thickBot="1" x14ac:dyDescent="0.6">
      <c r="C274" s="155" t="s">
        <v>216</v>
      </c>
      <c r="D274" s="204" t="s">
        <v>122</v>
      </c>
      <c r="F274" s="9" t="s">
        <v>1</v>
      </c>
      <c r="G274" s="9" t="s">
        <v>2</v>
      </c>
      <c r="H274" s="9" t="s">
        <v>3</v>
      </c>
      <c r="I274" s="9" t="s">
        <v>4</v>
      </c>
      <c r="J274" s="9" t="s">
        <v>5</v>
      </c>
      <c r="K274" s="9" t="s">
        <v>6</v>
      </c>
      <c r="L274" s="9" t="s">
        <v>7</v>
      </c>
      <c r="M274" s="9" t="s">
        <v>8</v>
      </c>
      <c r="N274" s="9" t="s">
        <v>9</v>
      </c>
      <c r="O274" s="9" t="s">
        <v>10</v>
      </c>
      <c r="P274" s="44" t="s">
        <v>139</v>
      </c>
    </row>
    <row r="275" spans="3:18" x14ac:dyDescent="0.35">
      <c r="C275" s="155">
        <v>-2</v>
      </c>
      <c r="D275" s="258" t="s">
        <v>541</v>
      </c>
      <c r="F275">
        <v>4.4354399999999998</v>
      </c>
      <c r="G275">
        <v>8.3497900000000005</v>
      </c>
      <c r="H275" s="2">
        <f>G275-F275</f>
        <v>3.9143500000000007</v>
      </c>
      <c r="I275" s="2">
        <f>F276-G275</f>
        <v>7.2142900000000001</v>
      </c>
      <c r="J275" s="2">
        <f>H275/N275</f>
        <v>0.35173660033930476</v>
      </c>
      <c r="K275" s="2">
        <f>I275/N275</f>
        <v>0.64826339966069524</v>
      </c>
      <c r="L275" s="2">
        <f>1/H275</f>
        <v>0.25547025687534325</v>
      </c>
      <c r="M275" s="2">
        <f>1/N275</f>
        <v>8.9858239641142132E-2</v>
      </c>
      <c r="N275" s="2">
        <f>H275+I275</f>
        <v>11.128640000000001</v>
      </c>
      <c r="O275">
        <v>29</v>
      </c>
      <c r="P275">
        <f>O275/H275</f>
        <v>7.4086374493849538</v>
      </c>
      <c r="R275" t="s">
        <v>701</v>
      </c>
    </row>
    <row r="276" spans="3:18" x14ac:dyDescent="0.35">
      <c r="C276" s="155">
        <v>-2</v>
      </c>
      <c r="F276">
        <v>15.564080000000001</v>
      </c>
      <c r="G276">
        <v>19.580660000000002</v>
      </c>
      <c r="H276" s="2">
        <f t="shared" ref="H276:H284" si="209">G276-F276</f>
        <v>4.0165800000000011</v>
      </c>
      <c r="I276" s="2">
        <f t="shared" ref="I276:I283" si="210">F277-G276</f>
        <v>7.3992999999999967</v>
      </c>
      <c r="J276" s="2">
        <f t="shared" ref="J276:J283" si="211">H276/N276</f>
        <v>0.3518414699523823</v>
      </c>
      <c r="K276" s="2">
        <f t="shared" ref="K276:K283" si="212">I276/N276</f>
        <v>0.6481585300476177</v>
      </c>
      <c r="L276" s="2">
        <f t="shared" ref="L276:L283" si="213">1/H276</f>
        <v>0.24896802752590505</v>
      </c>
      <c r="M276" s="2">
        <f t="shared" ref="M276:M283" si="214">1/N276</f>
        <v>8.7597276775859614E-2</v>
      </c>
      <c r="N276" s="2">
        <f t="shared" ref="N276:N283" si="215">H276+I276</f>
        <v>11.415879999999998</v>
      </c>
      <c r="O276">
        <v>30</v>
      </c>
      <c r="P276">
        <f t="shared" ref="P276:P283" si="216">O276/H276</f>
        <v>7.4690408257771512</v>
      </c>
    </row>
    <row r="277" spans="3:18" x14ac:dyDescent="0.35">
      <c r="C277" s="155">
        <v>-2</v>
      </c>
      <c r="F277">
        <v>26.979959999999998</v>
      </c>
      <c r="G277">
        <v>30.826879999999999</v>
      </c>
      <c r="H277" s="2">
        <f t="shared" si="209"/>
        <v>3.8469200000000008</v>
      </c>
      <c r="I277" s="2">
        <f t="shared" si="210"/>
        <v>7.6457599999999992</v>
      </c>
      <c r="J277" s="2">
        <f t="shared" si="211"/>
        <v>0.33472784415819468</v>
      </c>
      <c r="K277" s="2">
        <f t="shared" si="212"/>
        <v>0.66527215584180532</v>
      </c>
      <c r="L277" s="2">
        <f t="shared" si="213"/>
        <v>0.25994821831491161</v>
      </c>
      <c r="M277" s="2">
        <f t="shared" si="214"/>
        <v>8.7011906709314107E-2</v>
      </c>
      <c r="N277" s="2">
        <f t="shared" si="215"/>
        <v>11.49268</v>
      </c>
      <c r="O277">
        <v>29</v>
      </c>
      <c r="P277">
        <f t="shared" si="216"/>
        <v>7.5384983311324367</v>
      </c>
    </row>
    <row r="278" spans="3:18" x14ac:dyDescent="0.35">
      <c r="C278" s="155">
        <v>-2</v>
      </c>
      <c r="F278">
        <v>38.472639999999998</v>
      </c>
      <c r="G278">
        <v>42.501959999999997</v>
      </c>
      <c r="H278" s="2">
        <f t="shared" si="209"/>
        <v>4.0293199999999985</v>
      </c>
      <c r="I278" s="2">
        <f t="shared" si="210"/>
        <v>7.4154100000000014</v>
      </c>
      <c r="J278" s="2">
        <f t="shared" si="211"/>
        <v>0.35206772025202854</v>
      </c>
      <c r="K278" s="2">
        <f t="shared" si="212"/>
        <v>0.64793227974797152</v>
      </c>
      <c r="L278" s="2">
        <f t="shared" si="213"/>
        <v>0.24818083448323797</v>
      </c>
      <c r="M278" s="2">
        <f t="shared" si="214"/>
        <v>8.7376460606759618E-2</v>
      </c>
      <c r="N278" s="2">
        <f t="shared" si="215"/>
        <v>11.44473</v>
      </c>
      <c r="O278">
        <v>29</v>
      </c>
      <c r="P278">
        <f t="shared" si="216"/>
        <v>7.197244200013901</v>
      </c>
    </row>
    <row r="279" spans="3:18" x14ac:dyDescent="0.35">
      <c r="C279" s="155">
        <v>-2</v>
      </c>
      <c r="F279">
        <v>49.917369999999998</v>
      </c>
      <c r="G279">
        <v>53.931109999999997</v>
      </c>
      <c r="H279" s="2">
        <f t="shared" si="209"/>
        <v>4.0137399999999985</v>
      </c>
      <c r="I279" s="2">
        <f t="shared" si="210"/>
        <v>7.4490300000000005</v>
      </c>
      <c r="J279" s="2">
        <f t="shared" si="211"/>
        <v>0.35015445655805699</v>
      </c>
      <c r="K279" s="2">
        <f t="shared" si="212"/>
        <v>0.64984554344194301</v>
      </c>
      <c r="L279" s="2">
        <f t="shared" si="213"/>
        <v>0.24914418970835189</v>
      </c>
      <c r="M279" s="2">
        <f t="shared" si="214"/>
        <v>8.7238948351925416E-2</v>
      </c>
      <c r="N279" s="2">
        <f t="shared" si="215"/>
        <v>11.462769999999999</v>
      </c>
      <c r="O279">
        <v>29</v>
      </c>
      <c r="P279">
        <f t="shared" si="216"/>
        <v>7.2251815015422052</v>
      </c>
    </row>
    <row r="280" spans="3:18" x14ac:dyDescent="0.35">
      <c r="C280" s="155">
        <v>-2</v>
      </c>
      <c r="F280">
        <v>61.380139999999997</v>
      </c>
      <c r="G280">
        <v>65.432640000000006</v>
      </c>
      <c r="H280" s="2">
        <f t="shared" si="209"/>
        <v>4.0525000000000091</v>
      </c>
      <c r="I280" s="2">
        <f t="shared" si="210"/>
        <v>7.6926199999999909</v>
      </c>
      <c r="J280" s="2">
        <f t="shared" si="211"/>
        <v>0.3450369174601885</v>
      </c>
      <c r="K280" s="2">
        <f t="shared" si="212"/>
        <v>0.6549630825398115</v>
      </c>
      <c r="L280" s="2">
        <f t="shared" si="213"/>
        <v>0.2467612584824177</v>
      </c>
      <c r="M280" s="2">
        <f t="shared" si="214"/>
        <v>8.5141743975370193E-2</v>
      </c>
      <c r="N280" s="2">
        <f t="shared" si="215"/>
        <v>11.74512</v>
      </c>
      <c r="O280">
        <v>29</v>
      </c>
      <c r="P280">
        <f t="shared" si="216"/>
        <v>7.1560764959901135</v>
      </c>
    </row>
    <row r="281" spans="3:18" x14ac:dyDescent="0.35">
      <c r="C281" s="155">
        <v>-2</v>
      </c>
      <c r="F281">
        <v>73.125259999999997</v>
      </c>
      <c r="G281">
        <v>77.193110000000004</v>
      </c>
      <c r="H281" s="2">
        <f t="shared" si="209"/>
        <v>4.0678500000000071</v>
      </c>
      <c r="I281" s="2">
        <f t="shared" si="210"/>
        <v>8.6045400000000001</v>
      </c>
      <c r="J281" s="2">
        <f t="shared" si="211"/>
        <v>0.32100101085904115</v>
      </c>
      <c r="K281" s="2">
        <f t="shared" si="212"/>
        <v>0.6789989891409588</v>
      </c>
      <c r="L281" s="2">
        <f t="shared" si="213"/>
        <v>0.24583010681318099</v>
      </c>
      <c r="M281" s="2">
        <f t="shared" si="214"/>
        <v>7.8911712786617155E-2</v>
      </c>
      <c r="N281" s="2">
        <f t="shared" si="215"/>
        <v>12.672390000000007</v>
      </c>
      <c r="O281">
        <v>30</v>
      </c>
      <c r="P281">
        <f t="shared" si="216"/>
        <v>7.3749032043954292</v>
      </c>
    </row>
    <row r="282" spans="3:18" x14ac:dyDescent="0.35">
      <c r="C282" s="155">
        <v>-2</v>
      </c>
      <c r="F282">
        <v>85.797650000000004</v>
      </c>
      <c r="G282">
        <v>90.207229999999996</v>
      </c>
      <c r="H282" s="2">
        <f t="shared" si="209"/>
        <v>4.4095799999999912</v>
      </c>
      <c r="I282" s="2">
        <f t="shared" si="210"/>
        <v>10.705120000000008</v>
      </c>
      <c r="J282" s="2">
        <f t="shared" si="211"/>
        <v>0.291741152652715</v>
      </c>
      <c r="K282" s="2">
        <f t="shared" si="212"/>
        <v>0.70825884734728495</v>
      </c>
      <c r="L282" s="2">
        <f t="shared" si="213"/>
        <v>0.22677896761142829</v>
      </c>
      <c r="M282" s="2">
        <f t="shared" si="214"/>
        <v>6.6160757408350812E-2</v>
      </c>
      <c r="N282" s="2">
        <f t="shared" si="215"/>
        <v>15.114699999999999</v>
      </c>
      <c r="O282">
        <v>30</v>
      </c>
      <c r="P282">
        <f t="shared" si="216"/>
        <v>6.803369028342849</v>
      </c>
    </row>
    <row r="283" spans="3:18" x14ac:dyDescent="0.35">
      <c r="C283" s="155">
        <v>-2</v>
      </c>
      <c r="F283">
        <v>100.91235</v>
      </c>
      <c r="G283">
        <v>104.46907</v>
      </c>
      <c r="H283" s="2">
        <f t="shared" si="209"/>
        <v>3.5567199999999985</v>
      </c>
      <c r="I283" s="2">
        <f t="shared" si="210"/>
        <v>9.8545900000000017</v>
      </c>
      <c r="J283" s="2">
        <f t="shared" si="211"/>
        <v>0.26520302640085108</v>
      </c>
      <c r="K283" s="2">
        <f t="shared" si="212"/>
        <v>0.73479697359914886</v>
      </c>
      <c r="L283" s="2">
        <f t="shared" si="213"/>
        <v>0.28115792078094437</v>
      </c>
      <c r="M283" s="2">
        <f t="shared" si="214"/>
        <v>7.456393148767719E-2</v>
      </c>
      <c r="N283" s="2">
        <f t="shared" si="215"/>
        <v>13.41131</v>
      </c>
      <c r="O283">
        <v>26</v>
      </c>
      <c r="P283">
        <f t="shared" si="216"/>
        <v>7.3101059403045534</v>
      </c>
    </row>
    <row r="284" spans="3:18" x14ac:dyDescent="0.35">
      <c r="C284" s="155">
        <v>-2</v>
      </c>
      <c r="F284">
        <v>114.32366</v>
      </c>
      <c r="G284">
        <v>118.40053</v>
      </c>
      <c r="H284" s="2">
        <f t="shared" si="209"/>
        <v>4.0768699999999995</v>
      </c>
      <c r="I284" s="2"/>
      <c r="J284" s="2"/>
      <c r="K284" s="2"/>
      <c r="L284" s="2"/>
      <c r="M284" s="2"/>
      <c r="N284" s="2"/>
    </row>
    <row r="285" spans="3:18" x14ac:dyDescent="0.35">
      <c r="C285" s="155"/>
      <c r="H285" s="2"/>
      <c r="I285" s="2"/>
      <c r="J285" s="2"/>
      <c r="K285" s="2"/>
      <c r="L285" s="2"/>
      <c r="M285" s="2"/>
      <c r="N285" s="2"/>
    </row>
    <row r="286" spans="3:18" x14ac:dyDescent="0.35">
      <c r="C286" s="155"/>
      <c r="H286" s="2"/>
      <c r="I286" s="2"/>
      <c r="J286" s="2"/>
      <c r="K286" s="2"/>
      <c r="L286" s="2"/>
      <c r="M286" s="2"/>
      <c r="N286" s="2"/>
    </row>
    <row r="287" spans="3:18" x14ac:dyDescent="0.35">
      <c r="C287" s="155"/>
    </row>
    <row r="288" spans="3:18" ht="16" thickBot="1" x14ac:dyDescent="0.4">
      <c r="C288" s="155"/>
      <c r="G288" s="13"/>
      <c r="H288" s="9" t="s">
        <v>3</v>
      </c>
      <c r="I288" s="9" t="s">
        <v>4</v>
      </c>
      <c r="J288" s="9" t="s">
        <v>5</v>
      </c>
      <c r="K288" s="9" t="s">
        <v>6</v>
      </c>
      <c r="L288" s="9" t="s">
        <v>7</v>
      </c>
      <c r="M288" s="9" t="s">
        <v>8</v>
      </c>
      <c r="N288" s="9" t="s">
        <v>9</v>
      </c>
      <c r="O288" s="9" t="s">
        <v>10</v>
      </c>
      <c r="P288" s="44" t="s">
        <v>139</v>
      </c>
    </row>
    <row r="289" spans="3:18" x14ac:dyDescent="0.35">
      <c r="C289" s="155"/>
      <c r="G289" s="49" t="s">
        <v>77</v>
      </c>
      <c r="H289" s="13">
        <f>AVERAGE(H275:H283)</f>
        <v>3.9897288888888891</v>
      </c>
      <c r="I289" s="13">
        <f t="shared" ref="I289:P289" si="217">AVERAGE(I275:I283)</f>
        <v>8.2200733333333336</v>
      </c>
      <c r="J289" s="13">
        <f t="shared" si="217"/>
        <v>0.32927891095919587</v>
      </c>
      <c r="K289" s="13">
        <f t="shared" si="217"/>
        <v>0.67072108904080407</v>
      </c>
      <c r="L289" s="13">
        <f t="shared" si="217"/>
        <v>0.25135997562174678</v>
      </c>
      <c r="M289" s="13">
        <f t="shared" si="217"/>
        <v>8.2651219749224014E-2</v>
      </c>
      <c r="N289" s="13">
        <f t="shared" si="217"/>
        <v>12.209802222222223</v>
      </c>
      <c r="O289" s="13">
        <f t="shared" si="217"/>
        <v>29</v>
      </c>
      <c r="P289" s="13">
        <f t="shared" si="217"/>
        <v>7.2758952196537336</v>
      </c>
    </row>
    <row r="290" spans="3:18" x14ac:dyDescent="0.35">
      <c r="C290" s="155"/>
      <c r="G290" s="49" t="s">
        <v>94</v>
      </c>
      <c r="H290" s="2">
        <f>_xlfn.STDEV.S(H275:H283)</f>
        <v>0.22437582899258682</v>
      </c>
      <c r="I290" s="2">
        <f t="shared" ref="I290:P290" si="218">_xlfn.STDEV.S(I275:I283)</f>
        <v>1.2515100374547594</v>
      </c>
      <c r="J290" s="2">
        <f t="shared" si="218"/>
        <v>3.1284714051395011E-2</v>
      </c>
      <c r="K290" s="2">
        <f t="shared" si="218"/>
        <v>3.1284714051394984E-2</v>
      </c>
      <c r="L290" s="2">
        <f t="shared" si="218"/>
        <v>1.4384286238407526E-2</v>
      </c>
      <c r="M290" s="2">
        <f t="shared" si="218"/>
        <v>7.8765598802429254E-3</v>
      </c>
      <c r="N290" s="2">
        <f t="shared" si="218"/>
        <v>1.3119094020146631</v>
      </c>
      <c r="O290" s="2">
        <f t="shared" si="218"/>
        <v>1.2247448713915889</v>
      </c>
      <c r="P290" s="2">
        <f t="shared" si="218"/>
        <v>0.21830439340442323</v>
      </c>
    </row>
    <row r="291" spans="3:18" x14ac:dyDescent="0.35">
      <c r="C291" s="155"/>
      <c r="G291" s="49" t="s">
        <v>95</v>
      </c>
      <c r="H291" s="2">
        <f>H290/(SQRT(COUNT(H275:H283)))</f>
        <v>7.4791942997528935E-2</v>
      </c>
      <c r="I291" s="2">
        <f t="shared" ref="I291:P291" si="219">I290/(SQRT(COUNT(I275:I283)))</f>
        <v>0.41717001248491981</v>
      </c>
      <c r="J291" s="2">
        <f t="shared" si="219"/>
        <v>1.042823801713167E-2</v>
      </c>
      <c r="K291" s="2">
        <f t="shared" si="219"/>
        <v>1.0428238017131662E-2</v>
      </c>
      <c r="L291" s="2">
        <f t="shared" si="219"/>
        <v>4.7947620794691753E-3</v>
      </c>
      <c r="M291" s="2">
        <f t="shared" si="219"/>
        <v>2.625519960080975E-3</v>
      </c>
      <c r="N291" s="2">
        <f t="shared" si="219"/>
        <v>0.43730313400488768</v>
      </c>
      <c r="O291" s="2">
        <f t="shared" si="219"/>
        <v>0.40824829046386296</v>
      </c>
      <c r="P291" s="2">
        <f t="shared" si="219"/>
        <v>7.2768131134807748E-2</v>
      </c>
    </row>
    <row r="292" spans="3:18" x14ac:dyDescent="0.35">
      <c r="C292" s="155"/>
    </row>
    <row r="293" spans="3:18" ht="24" thickBot="1" x14ac:dyDescent="0.6">
      <c r="C293" s="155" t="s">
        <v>216</v>
      </c>
      <c r="D293" s="204" t="s">
        <v>122</v>
      </c>
      <c r="F293" s="9" t="s">
        <v>1</v>
      </c>
      <c r="G293" s="9" t="s">
        <v>2</v>
      </c>
      <c r="H293" s="9" t="s">
        <v>3</v>
      </c>
      <c r="I293" s="9" t="s">
        <v>4</v>
      </c>
      <c r="J293" s="9" t="s">
        <v>5</v>
      </c>
      <c r="K293" s="9" t="s">
        <v>6</v>
      </c>
      <c r="L293" s="9" t="s">
        <v>7</v>
      </c>
      <c r="M293" s="9" t="s">
        <v>8</v>
      </c>
      <c r="N293" s="9" t="s">
        <v>9</v>
      </c>
      <c r="O293" s="9" t="s">
        <v>10</v>
      </c>
      <c r="P293" s="44" t="s">
        <v>139</v>
      </c>
    </row>
    <row r="294" spans="3:18" x14ac:dyDescent="0.35">
      <c r="C294" s="155">
        <v>-3</v>
      </c>
      <c r="D294" s="259" t="s">
        <v>700</v>
      </c>
      <c r="F294">
        <v>14.24957</v>
      </c>
      <c r="G294">
        <v>18.094080000000002</v>
      </c>
      <c r="H294" s="2">
        <f>G294-F294</f>
        <v>3.8445100000000014</v>
      </c>
      <c r="I294" s="2">
        <f t="shared" ref="I294:I299" si="220">F295-G294</f>
        <v>15.690180000000002</v>
      </c>
      <c r="J294" s="2">
        <f t="shared" ref="J294:J299" si="221">H294/N294</f>
        <v>0.19680424926118614</v>
      </c>
      <c r="K294" s="2">
        <f t="shared" ref="K294:K299" si="222">I294/N294</f>
        <v>0.80319575073881377</v>
      </c>
      <c r="L294" s="2">
        <f t="shared" ref="L294:L299" si="223">1/H294</f>
        <v>0.26011117151470531</v>
      </c>
      <c r="M294" s="2">
        <f t="shared" ref="M294:M299" si="224">1/N294</f>
        <v>5.1190983834399205E-2</v>
      </c>
      <c r="N294" s="2">
        <f t="shared" ref="N294:N299" si="225">H294+I294</f>
        <v>19.534690000000005</v>
      </c>
      <c r="O294">
        <v>28</v>
      </c>
      <c r="P294">
        <f t="shared" ref="P294:P299" si="226">O294/H294</f>
        <v>7.2831128024117477</v>
      </c>
      <c r="R294" t="s">
        <v>703</v>
      </c>
    </row>
    <row r="295" spans="3:18" x14ac:dyDescent="0.35">
      <c r="C295" s="155">
        <v>-3</v>
      </c>
      <c r="F295">
        <v>33.784260000000003</v>
      </c>
      <c r="G295">
        <v>37.482590000000002</v>
      </c>
      <c r="H295" s="2">
        <f t="shared" ref="H295:H300" si="227">G295-F295</f>
        <v>3.6983299999999986</v>
      </c>
      <c r="I295" s="2">
        <f t="shared" si="220"/>
        <v>8.2810799999999958</v>
      </c>
      <c r="J295" s="2">
        <f t="shared" si="221"/>
        <v>0.30872388540003226</v>
      </c>
      <c r="K295" s="2">
        <f t="shared" si="222"/>
        <v>0.69127611459996774</v>
      </c>
      <c r="L295" s="2">
        <f t="shared" si="223"/>
        <v>0.27039231220577947</v>
      </c>
      <c r="M295" s="2">
        <f t="shared" si="224"/>
        <v>8.3476565206466805E-2</v>
      </c>
      <c r="N295" s="2">
        <f t="shared" si="225"/>
        <v>11.979409999999994</v>
      </c>
      <c r="O295">
        <v>31</v>
      </c>
      <c r="P295">
        <f t="shared" si="226"/>
        <v>8.3821616783791644</v>
      </c>
    </row>
    <row r="296" spans="3:18" x14ac:dyDescent="0.35">
      <c r="C296" s="155">
        <v>-3</v>
      </c>
      <c r="F296">
        <v>45.763669999999998</v>
      </c>
      <c r="G296">
        <v>49.75591</v>
      </c>
      <c r="H296" s="2">
        <f t="shared" si="227"/>
        <v>3.9922400000000025</v>
      </c>
      <c r="I296" s="2">
        <f t="shared" si="220"/>
        <v>14.573769999999996</v>
      </c>
      <c r="J296" s="2">
        <f t="shared" si="221"/>
        <v>0.21502950822497688</v>
      </c>
      <c r="K296" s="2">
        <f t="shared" si="222"/>
        <v>0.78497049177502309</v>
      </c>
      <c r="L296" s="2">
        <f t="shared" si="223"/>
        <v>0.25048594272889391</v>
      </c>
      <c r="M296" s="2">
        <f t="shared" si="224"/>
        <v>5.3861869082263779E-2</v>
      </c>
      <c r="N296" s="2">
        <f t="shared" si="225"/>
        <v>18.566009999999999</v>
      </c>
      <c r="O296">
        <v>31</v>
      </c>
      <c r="P296">
        <f t="shared" si="226"/>
        <v>7.7650642245957107</v>
      </c>
    </row>
    <row r="297" spans="3:18" x14ac:dyDescent="0.35">
      <c r="C297" s="155">
        <v>-3</v>
      </c>
      <c r="F297">
        <v>64.329679999999996</v>
      </c>
      <c r="G297">
        <v>68.786519999999996</v>
      </c>
      <c r="H297" s="2">
        <f t="shared" si="227"/>
        <v>4.4568399999999997</v>
      </c>
      <c r="I297" s="2">
        <f t="shared" si="220"/>
        <v>8.3720399999999984</v>
      </c>
      <c r="J297" s="2">
        <f t="shared" si="221"/>
        <v>0.34740678843359674</v>
      </c>
      <c r="K297" s="2">
        <f t="shared" si="222"/>
        <v>0.65259321156640326</v>
      </c>
      <c r="L297" s="2">
        <f t="shared" si="223"/>
        <v>0.22437422029958448</v>
      </c>
      <c r="M297" s="2">
        <f t="shared" si="224"/>
        <v>7.7949127281570968E-2</v>
      </c>
      <c r="N297" s="2">
        <f t="shared" si="225"/>
        <v>12.828879999999998</v>
      </c>
      <c r="O297">
        <v>32</v>
      </c>
      <c r="P297">
        <f t="shared" si="226"/>
        <v>7.1799750495867034</v>
      </c>
    </row>
    <row r="298" spans="3:18" x14ac:dyDescent="0.35">
      <c r="C298" s="155">
        <v>-3</v>
      </c>
      <c r="F298">
        <v>77.158559999999994</v>
      </c>
      <c r="G298">
        <v>80.828550000000007</v>
      </c>
      <c r="H298" s="2">
        <f t="shared" si="227"/>
        <v>3.6699900000000127</v>
      </c>
      <c r="I298" s="2">
        <f t="shared" si="220"/>
        <v>20.050539999999998</v>
      </c>
      <c r="J298" s="2">
        <f t="shared" si="221"/>
        <v>0.15471787519081617</v>
      </c>
      <c r="K298" s="2">
        <f t="shared" si="222"/>
        <v>0.84528212480918385</v>
      </c>
      <c r="L298" s="2">
        <f t="shared" si="223"/>
        <v>0.27248030648584781</v>
      </c>
      <c r="M298" s="2">
        <f t="shared" si="224"/>
        <v>4.2157574050832737E-2</v>
      </c>
      <c r="N298" s="2">
        <f t="shared" si="225"/>
        <v>23.720530000000011</v>
      </c>
      <c r="O298">
        <v>29</v>
      </c>
      <c r="P298">
        <f t="shared" si="226"/>
        <v>7.9019288880895857</v>
      </c>
    </row>
    <row r="299" spans="3:18" x14ac:dyDescent="0.35">
      <c r="C299" s="155">
        <v>-3</v>
      </c>
      <c r="F299">
        <v>100.87909000000001</v>
      </c>
      <c r="G299">
        <v>104.82678</v>
      </c>
      <c r="H299" s="2">
        <f t="shared" si="227"/>
        <v>3.9476899999999944</v>
      </c>
      <c r="I299" s="2">
        <f t="shared" si="220"/>
        <v>12.330550000000002</v>
      </c>
      <c r="J299" s="2">
        <f t="shared" si="221"/>
        <v>0.24251331839314294</v>
      </c>
      <c r="K299" s="2">
        <f t="shared" si="222"/>
        <v>0.75748668160685706</v>
      </c>
      <c r="L299" s="2">
        <f t="shared" si="223"/>
        <v>0.25331269679230167</v>
      </c>
      <c r="M299" s="2">
        <f t="shared" si="224"/>
        <v>6.1431702690217138E-2</v>
      </c>
      <c r="N299" s="2">
        <f t="shared" si="225"/>
        <v>16.278239999999997</v>
      </c>
      <c r="O299">
        <v>30</v>
      </c>
      <c r="P299">
        <f t="shared" si="226"/>
        <v>7.5993809037690507</v>
      </c>
    </row>
    <row r="300" spans="3:18" x14ac:dyDescent="0.35">
      <c r="C300" s="155">
        <v>-3</v>
      </c>
      <c r="F300">
        <v>117.15733</v>
      </c>
      <c r="G300">
        <v>119.98390000000001</v>
      </c>
      <c r="H300" s="2">
        <f t="shared" si="227"/>
        <v>2.8265700000000038</v>
      </c>
      <c r="I300" s="2"/>
      <c r="J300" s="2"/>
      <c r="K300" s="2"/>
      <c r="L300" s="2"/>
      <c r="M300" s="2"/>
      <c r="N300" s="2"/>
    </row>
    <row r="301" spans="3:18" x14ac:dyDescent="0.35">
      <c r="C301" s="155"/>
      <c r="H301" s="2"/>
      <c r="I301" s="2"/>
      <c r="J301" s="2"/>
      <c r="K301" s="2"/>
      <c r="L301" s="2"/>
      <c r="M301" s="2"/>
      <c r="N301" s="2"/>
    </row>
    <row r="302" spans="3:18" x14ac:dyDescent="0.35">
      <c r="C302" s="155"/>
      <c r="H302" s="2"/>
      <c r="I302" s="2"/>
      <c r="J302" s="2"/>
      <c r="K302" s="2"/>
      <c r="L302" s="2"/>
      <c r="M302" s="2"/>
      <c r="N302" s="2"/>
    </row>
    <row r="303" spans="3:18" x14ac:dyDescent="0.35">
      <c r="C303" s="155"/>
      <c r="H303" s="2"/>
      <c r="I303" s="2"/>
      <c r="J303" s="2"/>
      <c r="K303" s="2"/>
      <c r="L303" s="2"/>
      <c r="M303" s="2"/>
      <c r="N303" s="2"/>
    </row>
    <row r="304" spans="3:18" x14ac:dyDescent="0.35">
      <c r="C304" s="155"/>
    </row>
    <row r="305" spans="3:16" ht="16" thickBot="1" x14ac:dyDescent="0.4">
      <c r="C305" s="155"/>
      <c r="G305" s="13"/>
      <c r="H305" s="9" t="s">
        <v>3</v>
      </c>
      <c r="I305" s="9" t="s">
        <v>4</v>
      </c>
      <c r="J305" s="9" t="s">
        <v>5</v>
      </c>
      <c r="K305" s="9" t="s">
        <v>6</v>
      </c>
      <c r="L305" s="9" t="s">
        <v>7</v>
      </c>
      <c r="M305" s="9" t="s">
        <v>8</v>
      </c>
      <c r="N305" s="9" t="s">
        <v>9</v>
      </c>
      <c r="O305" s="9" t="s">
        <v>10</v>
      </c>
      <c r="P305" s="44" t="s">
        <v>139</v>
      </c>
    </row>
    <row r="306" spans="3:16" x14ac:dyDescent="0.35">
      <c r="C306" s="155"/>
      <c r="G306" s="49" t="s">
        <v>77</v>
      </c>
      <c r="H306" s="13">
        <f>AVERAGE(H294:H299)</f>
        <v>3.9349333333333347</v>
      </c>
      <c r="I306" s="13">
        <f t="shared" ref="I306:P306" si="228">AVERAGE(I294:I299)</f>
        <v>13.21636</v>
      </c>
      <c r="J306" s="13">
        <f t="shared" si="228"/>
        <v>0.24419927081729187</v>
      </c>
      <c r="K306" s="13">
        <f t="shared" si="228"/>
        <v>0.75580072918270813</v>
      </c>
      <c r="L306" s="13">
        <f t="shared" si="228"/>
        <v>0.25519277500451876</v>
      </c>
      <c r="M306" s="13">
        <f t="shared" si="228"/>
        <v>6.1677970357625102E-2</v>
      </c>
      <c r="N306" s="13">
        <f t="shared" si="228"/>
        <v>17.151293333333335</v>
      </c>
      <c r="O306" s="13">
        <f t="shared" si="228"/>
        <v>30.166666666666668</v>
      </c>
      <c r="P306" s="13">
        <f t="shared" si="228"/>
        <v>7.6852705911386607</v>
      </c>
    </row>
    <row r="307" spans="3:16" x14ac:dyDescent="0.35">
      <c r="C307" s="155"/>
      <c r="G307" s="49" t="s">
        <v>94</v>
      </c>
      <c r="H307" s="2">
        <f>_xlfn.STDEV.S(H294:H299)</f>
        <v>0.28642131266137538</v>
      </c>
      <c r="I307" s="2">
        <f t="shared" ref="I307:P307" si="229">_xlfn.STDEV.S(I294:I299)</f>
        <v>4.5448310831052892</v>
      </c>
      <c r="J307" s="2">
        <f t="shared" si="229"/>
        <v>7.2002976739028057E-2</v>
      </c>
      <c r="K307" s="2">
        <f t="shared" si="229"/>
        <v>7.2002976739028196E-2</v>
      </c>
      <c r="L307" s="2">
        <f t="shared" si="229"/>
        <v>1.7490269170815014E-2</v>
      </c>
      <c r="M307" s="2">
        <f t="shared" si="229"/>
        <v>1.6075472809537469E-2</v>
      </c>
      <c r="N307" s="2">
        <f t="shared" si="229"/>
        <v>4.4052407348732547</v>
      </c>
      <c r="O307" s="2">
        <f t="shared" si="229"/>
        <v>1.4719601443879746</v>
      </c>
      <c r="P307" s="2">
        <f t="shared" si="229"/>
        <v>0.43895251196357449</v>
      </c>
    </row>
    <row r="308" spans="3:16" x14ac:dyDescent="0.35">
      <c r="C308" s="155"/>
      <c r="G308" s="49" t="s">
        <v>95</v>
      </c>
      <c r="H308" s="2">
        <f>H307/(SQRT(COUNT(H294:H299)))</f>
        <v>0.11693101124642212</v>
      </c>
      <c r="I308" s="2">
        <f t="shared" ref="I308:P308" si="230">I307/(SQRT(COUNT(I294:I299)))</f>
        <v>1.8554195201247614</v>
      </c>
      <c r="J308" s="2">
        <f t="shared" si="230"/>
        <v>2.9395092162017501E-2</v>
      </c>
      <c r="K308" s="2">
        <f t="shared" si="230"/>
        <v>2.9395092162017557E-2</v>
      </c>
      <c r="L308" s="2">
        <f t="shared" si="230"/>
        <v>7.1403724887380369E-3</v>
      </c>
      <c r="M308" s="2">
        <f t="shared" si="230"/>
        <v>6.5627842928919853E-3</v>
      </c>
      <c r="N308" s="2">
        <f t="shared" si="230"/>
        <v>1.798431999093778</v>
      </c>
      <c r="O308" s="2">
        <f t="shared" si="230"/>
        <v>0.60092521257733167</v>
      </c>
      <c r="P308" s="2">
        <f t="shared" si="230"/>
        <v>0.17920161260394768</v>
      </c>
    </row>
    <row r="309" spans="3:16" x14ac:dyDescent="0.35">
      <c r="C309" s="155"/>
    </row>
    <row r="310" spans="3:16" x14ac:dyDescent="0.35">
      <c r="C310" s="155"/>
    </row>
    <row r="311" spans="3:16" x14ac:dyDescent="0.35">
      <c r="C311" s="155"/>
    </row>
    <row r="312" spans="3:16" x14ac:dyDescent="0.35">
      <c r="C312" s="155"/>
    </row>
    <row r="313" spans="3:16" x14ac:dyDescent="0.35">
      <c r="C313" s="155"/>
    </row>
    <row r="314" spans="3:16" x14ac:dyDescent="0.35">
      <c r="C314" s="155"/>
    </row>
    <row r="315" spans="3:16" x14ac:dyDescent="0.35">
      <c r="C315" s="155"/>
    </row>
    <row r="316" spans="3:16" x14ac:dyDescent="0.35">
      <c r="C316" s="155"/>
    </row>
    <row r="317" spans="3:16" x14ac:dyDescent="0.35">
      <c r="C317" s="155"/>
    </row>
    <row r="318" spans="3:16" x14ac:dyDescent="0.35">
      <c r="C318" s="155"/>
    </row>
    <row r="319" spans="3:16" x14ac:dyDescent="0.35">
      <c r="C319" s="155"/>
    </row>
    <row r="320" spans="3:16" x14ac:dyDescent="0.35">
      <c r="C320" s="155"/>
    </row>
    <row r="321" spans="3:3" x14ac:dyDescent="0.35">
      <c r="C321" s="155"/>
    </row>
    <row r="322" spans="3:3" x14ac:dyDescent="0.35">
      <c r="C322" s="155"/>
    </row>
    <row r="323" spans="3:3" x14ac:dyDescent="0.35">
      <c r="C323" s="155"/>
    </row>
    <row r="324" spans="3:3" x14ac:dyDescent="0.35">
      <c r="C324" s="155"/>
    </row>
    <row r="325" spans="3:3" x14ac:dyDescent="0.35">
      <c r="C325" s="155"/>
    </row>
    <row r="326" spans="3:3" x14ac:dyDescent="0.35">
      <c r="C326" s="155"/>
    </row>
    <row r="327" spans="3:3" x14ac:dyDescent="0.35">
      <c r="C327" s="155"/>
    </row>
    <row r="328" spans="3:3" x14ac:dyDescent="0.35">
      <c r="C328" s="155"/>
    </row>
    <row r="329" spans="3:3" x14ac:dyDescent="0.35">
      <c r="C329" s="155"/>
    </row>
    <row r="330" spans="3:3" x14ac:dyDescent="0.35">
      <c r="C330" s="155"/>
    </row>
    <row r="331" spans="3:3" x14ac:dyDescent="0.35">
      <c r="C331" s="155"/>
    </row>
    <row r="332" spans="3:3" x14ac:dyDescent="0.35">
      <c r="C332" s="155"/>
    </row>
    <row r="333" spans="3:3" x14ac:dyDescent="0.35">
      <c r="C333" s="155"/>
    </row>
    <row r="334" spans="3:3" x14ac:dyDescent="0.35">
      <c r="C334" s="155"/>
    </row>
    <row r="335" spans="3:3" x14ac:dyDescent="0.35">
      <c r="C335" s="155"/>
    </row>
    <row r="336" spans="3:3" x14ac:dyDescent="0.35">
      <c r="C336" s="155"/>
    </row>
    <row r="337" spans="3:3" x14ac:dyDescent="0.35">
      <c r="C337" s="155"/>
    </row>
    <row r="338" spans="3:3" x14ac:dyDescent="0.35">
      <c r="C338" s="155"/>
    </row>
    <row r="339" spans="3:3" x14ac:dyDescent="0.35">
      <c r="C339" s="155"/>
    </row>
    <row r="340" spans="3:3" x14ac:dyDescent="0.35">
      <c r="C340" s="155"/>
    </row>
    <row r="341" spans="3:3" x14ac:dyDescent="0.35">
      <c r="C341" s="155"/>
    </row>
    <row r="342" spans="3:3" x14ac:dyDescent="0.35">
      <c r="C342" s="155"/>
    </row>
    <row r="343" spans="3:3" x14ac:dyDescent="0.35">
      <c r="C343" s="155"/>
    </row>
    <row r="344" spans="3:3" x14ac:dyDescent="0.35">
      <c r="C344" s="155"/>
    </row>
    <row r="345" spans="3:3" x14ac:dyDescent="0.35">
      <c r="C345" s="155"/>
    </row>
    <row r="346" spans="3:3" x14ac:dyDescent="0.35">
      <c r="C346" s="155"/>
    </row>
    <row r="347" spans="3:3" x14ac:dyDescent="0.35">
      <c r="C347" s="155"/>
    </row>
    <row r="348" spans="3:3" x14ac:dyDescent="0.35">
      <c r="C348" s="155"/>
    </row>
    <row r="349" spans="3:3" x14ac:dyDescent="0.35">
      <c r="C349" s="155"/>
    </row>
    <row r="350" spans="3:3" x14ac:dyDescent="0.35">
      <c r="C350" s="155"/>
    </row>
    <row r="351" spans="3:3" x14ac:dyDescent="0.35">
      <c r="C351" s="155"/>
    </row>
    <row r="352" spans="3:3" x14ac:dyDescent="0.35">
      <c r="C352" s="155"/>
    </row>
    <row r="353" spans="3:3" x14ac:dyDescent="0.35">
      <c r="C353" s="155"/>
    </row>
    <row r="354" spans="3:3" x14ac:dyDescent="0.35">
      <c r="C354" s="155"/>
    </row>
    <row r="355" spans="3:3" x14ac:dyDescent="0.35">
      <c r="C355" s="155"/>
    </row>
    <row r="356" spans="3:3" x14ac:dyDescent="0.35">
      <c r="C356" s="155"/>
    </row>
  </sheetData>
  <mergeCells count="2">
    <mergeCell ref="C30:C38"/>
    <mergeCell ref="C58:C66"/>
  </mergeCells>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600"/>
  <sheetViews>
    <sheetView topLeftCell="A49" workbookViewId="0">
      <selection activeCell="N510" sqref="N510"/>
    </sheetView>
  </sheetViews>
  <sheetFormatPr defaultRowHeight="14.5" x14ac:dyDescent="0.35"/>
  <cols>
    <col min="2" max="2" width="10.54296875" customWidth="1"/>
    <col min="3" max="3" width="10.26953125" customWidth="1"/>
    <col min="13" max="13" width="11" customWidth="1"/>
  </cols>
  <sheetData>
    <row r="2" spans="2:39" x14ac:dyDescent="0.35">
      <c r="V2" s="132"/>
      <c r="W2" s="28" t="s">
        <v>336</v>
      </c>
      <c r="X2" s="13"/>
      <c r="Y2" s="13"/>
    </row>
    <row r="3" spans="2:39" x14ac:dyDescent="0.35">
      <c r="V3" s="144"/>
      <c r="W3" s="28" t="s">
        <v>337</v>
      </c>
      <c r="X3" s="85"/>
      <c r="Y3" s="104"/>
    </row>
    <row r="4" spans="2:39" ht="18.5" x14ac:dyDescent="0.45">
      <c r="B4" s="2"/>
      <c r="C4" s="1" t="s">
        <v>304</v>
      </c>
      <c r="D4" s="2"/>
      <c r="E4" s="2"/>
      <c r="F4" s="2"/>
      <c r="G4" s="2"/>
      <c r="H4" s="2"/>
      <c r="I4" s="2"/>
      <c r="J4" s="2"/>
      <c r="K4" s="2"/>
      <c r="L4" s="2"/>
      <c r="M4" s="2"/>
      <c r="N4" s="2"/>
      <c r="O4" s="2"/>
      <c r="V4" s="185"/>
      <c r="W4" s="28" t="s">
        <v>364</v>
      </c>
    </row>
    <row r="5" spans="2:39" ht="18.5" x14ac:dyDescent="0.45">
      <c r="B5" s="2"/>
      <c r="C5" s="2"/>
      <c r="D5" s="2"/>
      <c r="E5" s="2"/>
      <c r="F5" s="1" t="s">
        <v>0</v>
      </c>
      <c r="G5" s="3"/>
      <c r="H5" s="3"/>
      <c r="I5" s="3"/>
      <c r="J5" s="3"/>
      <c r="K5" s="3"/>
      <c r="L5" s="3"/>
      <c r="M5" s="3"/>
      <c r="N5" s="3"/>
      <c r="O5" s="3"/>
      <c r="Z5" s="1" t="s">
        <v>360</v>
      </c>
      <c r="AA5" s="3"/>
      <c r="AB5" s="3"/>
      <c r="AC5" s="3"/>
      <c r="AD5" s="3"/>
      <c r="AE5" s="3"/>
      <c r="AF5" s="3"/>
      <c r="AG5" s="3"/>
      <c r="AH5" s="3"/>
      <c r="AI5" s="3"/>
    </row>
    <row r="6" spans="2:39" ht="16" thickBot="1" x14ac:dyDescent="0.4">
      <c r="B6" s="4"/>
      <c r="C6" s="4"/>
      <c r="D6" s="204" t="s">
        <v>122</v>
      </c>
      <c r="E6" s="4"/>
      <c r="F6" s="9" t="s">
        <v>1</v>
      </c>
      <c r="G6" s="9" t="s">
        <v>2</v>
      </c>
      <c r="H6" s="9" t="s">
        <v>3</v>
      </c>
      <c r="I6" s="9" t="s">
        <v>4</v>
      </c>
      <c r="J6" s="9" t="s">
        <v>5</v>
      </c>
      <c r="K6" s="9" t="s">
        <v>6</v>
      </c>
      <c r="L6" s="9" t="s">
        <v>7</v>
      </c>
      <c r="M6" s="9" t="s">
        <v>8</v>
      </c>
      <c r="N6" s="9" t="s">
        <v>9</v>
      </c>
      <c r="O6" s="9" t="s">
        <v>10</v>
      </c>
      <c r="P6" s="44" t="s">
        <v>139</v>
      </c>
      <c r="R6" s="44" t="s">
        <v>138</v>
      </c>
      <c r="S6" s="14"/>
      <c r="Z6" s="9" t="s">
        <v>1</v>
      </c>
      <c r="AA6" s="9" t="s">
        <v>2</v>
      </c>
      <c r="AB6" s="9" t="s">
        <v>3</v>
      </c>
      <c r="AC6" s="9" t="s">
        <v>4</v>
      </c>
      <c r="AD6" s="9" t="s">
        <v>5</v>
      </c>
      <c r="AE6" s="9" t="s">
        <v>6</v>
      </c>
      <c r="AF6" s="9" t="s">
        <v>7</v>
      </c>
      <c r="AG6" s="9" t="s">
        <v>8</v>
      </c>
      <c r="AH6" s="9" t="s">
        <v>9</v>
      </c>
      <c r="AI6" s="9" t="s">
        <v>10</v>
      </c>
      <c r="AJ6" s="44" t="s">
        <v>139</v>
      </c>
      <c r="AL6" s="44" t="s">
        <v>138</v>
      </c>
      <c r="AM6" s="14"/>
    </row>
    <row r="7" spans="2:39" x14ac:dyDescent="0.35">
      <c r="B7" s="2"/>
      <c r="C7" s="2"/>
      <c r="D7" s="2"/>
      <c r="E7" s="2"/>
      <c r="F7" s="2">
        <v>26.085100000000001</v>
      </c>
      <c r="G7" s="2">
        <v>30.53763</v>
      </c>
      <c r="H7" s="2">
        <f t="shared" ref="H7:H12" si="0">G7-F7</f>
        <v>4.4525299999999994</v>
      </c>
      <c r="I7" s="2">
        <f t="shared" ref="I7:I12" si="1">F8-G7</f>
        <v>9.0829400000000007</v>
      </c>
      <c r="J7" s="2">
        <f t="shared" ref="J7:J12" si="2">H7/N7</f>
        <v>0.32895274416034309</v>
      </c>
      <c r="K7" s="2">
        <f t="shared" ref="K7:K12" si="3">I7/N7</f>
        <v>0.67104725583965685</v>
      </c>
      <c r="L7" s="2">
        <f t="shared" ref="L7:L12" si="4">1/H7</f>
        <v>0.22459141207358516</v>
      </c>
      <c r="M7" s="2">
        <f t="shared" ref="M7:M12" si="5">1/N7</f>
        <v>7.3879961316452247E-2</v>
      </c>
      <c r="N7" s="2">
        <f t="shared" ref="N7:N12" si="6">H7+I7</f>
        <v>13.53547</v>
      </c>
      <c r="O7" s="2">
        <v>10</v>
      </c>
      <c r="P7">
        <f>O7/H7</f>
        <v>2.2459141207358515</v>
      </c>
      <c r="R7" t="s">
        <v>327</v>
      </c>
      <c r="Z7" s="141">
        <v>2.54765</v>
      </c>
      <c r="AA7" s="141">
        <v>11.500870000000001</v>
      </c>
      <c r="AB7" s="2">
        <f>AA7-Z7</f>
        <v>8.9532200000000017</v>
      </c>
      <c r="AC7" s="2">
        <f>Z8-AA7</f>
        <v>16.80247</v>
      </c>
      <c r="AD7" s="2">
        <f>AB7/AH7</f>
        <v>0.34762104995051585</v>
      </c>
      <c r="AE7" s="2">
        <f>AC7/AH7</f>
        <v>0.65237895004948421</v>
      </c>
      <c r="AF7" s="2">
        <f>1/AB7</f>
        <v>0.11169165953701571</v>
      </c>
      <c r="AG7" s="2">
        <f>1/AH7</f>
        <v>3.8826371958972948E-2</v>
      </c>
      <c r="AH7" s="2">
        <f>AB7+AC7</f>
        <v>25.755690000000001</v>
      </c>
      <c r="AI7">
        <v>66</v>
      </c>
      <c r="AJ7">
        <f>AI7/AB7</f>
        <v>7.3716495294430366</v>
      </c>
      <c r="AL7" t="s">
        <v>605</v>
      </c>
    </row>
    <row r="8" spans="2:39" x14ac:dyDescent="0.35">
      <c r="B8" s="2"/>
      <c r="C8" s="2"/>
      <c r="D8" s="2" t="s">
        <v>541</v>
      </c>
      <c r="E8" s="2"/>
      <c r="F8" s="2">
        <v>39.620570000000001</v>
      </c>
      <c r="G8" s="2">
        <v>44.359110000000001</v>
      </c>
      <c r="H8" s="2">
        <f t="shared" si="0"/>
        <v>4.7385400000000004</v>
      </c>
      <c r="I8" s="2">
        <f t="shared" si="1"/>
        <v>10.524929999999998</v>
      </c>
      <c r="J8" s="2">
        <f t="shared" si="2"/>
        <v>0.31044972080398503</v>
      </c>
      <c r="K8" s="2">
        <f t="shared" si="3"/>
        <v>0.68955027919601497</v>
      </c>
      <c r="L8" s="2">
        <f t="shared" si="4"/>
        <v>0.21103546662052022</v>
      </c>
      <c r="M8" s="2">
        <f t="shared" si="5"/>
        <v>6.5515901692079201E-2</v>
      </c>
      <c r="N8" s="2">
        <f t="shared" si="6"/>
        <v>15.263469999999998</v>
      </c>
      <c r="O8" s="2">
        <v>19</v>
      </c>
      <c r="P8">
        <f t="shared" ref="P8:P21" si="7">O8/H8</f>
        <v>4.0096738657898845</v>
      </c>
      <c r="Z8" s="141">
        <v>28.303339999999999</v>
      </c>
      <c r="AA8" s="141">
        <v>38.36027</v>
      </c>
      <c r="AB8" s="2">
        <f t="shared" ref="AB8:AB46" si="8">AA8-Z8</f>
        <v>10.056930000000001</v>
      </c>
      <c r="AC8" s="2">
        <f t="shared" ref="AC8:AC46" si="9">Z9-AA8</f>
        <v>19.461669999999998</v>
      </c>
      <c r="AD8" s="2">
        <f t="shared" ref="AD8:AD46" si="10">AB8/AH8</f>
        <v>0.34069806833657429</v>
      </c>
      <c r="AE8" s="2">
        <f t="shared" ref="AE8:AE46" si="11">AC8/AH8</f>
        <v>0.65930193166342577</v>
      </c>
      <c r="AF8" s="2">
        <f t="shared" ref="AF8:AF46" si="12">1/AB8</f>
        <v>9.9433922678193037E-2</v>
      </c>
      <c r="AG8" s="2">
        <f t="shared" ref="AG8:AG60" si="13">1/AH8</f>
        <v>3.3876945383588652E-2</v>
      </c>
      <c r="AH8" s="2">
        <f t="shared" ref="AH8:AH46" si="14">AB8+AC8</f>
        <v>29.518599999999999</v>
      </c>
      <c r="AI8">
        <v>79</v>
      </c>
      <c r="AJ8">
        <f t="shared" ref="AJ8:AJ60" si="15">AI8/AB8</f>
        <v>7.8552798915772497</v>
      </c>
    </row>
    <row r="9" spans="2:39" ht="15" thickBot="1" x14ac:dyDescent="0.4">
      <c r="B9" s="2"/>
      <c r="C9" s="2"/>
      <c r="D9" s="2" t="s">
        <v>541</v>
      </c>
      <c r="E9" s="2"/>
      <c r="F9" s="13">
        <v>54.884039999999999</v>
      </c>
      <c r="G9" s="2">
        <v>61.107889999999998</v>
      </c>
      <c r="H9" s="2">
        <f t="shared" si="0"/>
        <v>6.2238499999999988</v>
      </c>
      <c r="I9" s="2">
        <f t="shared" si="1"/>
        <v>9.141059999999996</v>
      </c>
      <c r="J9" s="2">
        <f t="shared" si="2"/>
        <v>0.40506908273462072</v>
      </c>
      <c r="K9" s="2">
        <f t="shared" si="3"/>
        <v>0.59493091726537928</v>
      </c>
      <c r="L9" s="2">
        <f t="shared" si="4"/>
        <v>0.1606722527053191</v>
      </c>
      <c r="M9" s="2">
        <f t="shared" si="5"/>
        <v>6.5083362024248775E-2</v>
      </c>
      <c r="N9" s="2">
        <f t="shared" si="6"/>
        <v>15.364909999999995</v>
      </c>
      <c r="O9" s="2">
        <v>24</v>
      </c>
      <c r="P9">
        <f t="shared" si="7"/>
        <v>3.8561340649276579</v>
      </c>
      <c r="V9" s="122" t="s">
        <v>361</v>
      </c>
      <c r="W9" s="122" t="s">
        <v>362</v>
      </c>
      <c r="X9" s="122" t="s">
        <v>363</v>
      </c>
      <c r="Z9" s="141">
        <v>57.821939999999998</v>
      </c>
      <c r="AA9" s="141">
        <v>68.951970000000003</v>
      </c>
      <c r="AB9" s="2">
        <f t="shared" si="8"/>
        <v>11.130030000000005</v>
      </c>
      <c r="AC9" s="2">
        <f t="shared" si="9"/>
        <v>14.775019999999998</v>
      </c>
      <c r="AD9" s="2">
        <f t="shared" si="10"/>
        <v>0.42964711513778214</v>
      </c>
      <c r="AE9" s="2">
        <f t="shared" si="11"/>
        <v>0.5703528848622178</v>
      </c>
      <c r="AF9" s="2">
        <f t="shared" si="12"/>
        <v>8.9847017483331099E-2</v>
      </c>
      <c r="AG9" s="2">
        <f t="shared" si="13"/>
        <v>3.8602511865447081E-2</v>
      </c>
      <c r="AH9" s="2">
        <f t="shared" si="14"/>
        <v>25.905050000000003</v>
      </c>
      <c r="AI9">
        <v>91</v>
      </c>
      <c r="AJ9">
        <f t="shared" si="15"/>
        <v>8.1760785909831295</v>
      </c>
    </row>
    <row r="10" spans="2:39" x14ac:dyDescent="0.35">
      <c r="B10" s="2"/>
      <c r="C10" s="2"/>
      <c r="D10" s="2"/>
      <c r="E10" s="2"/>
      <c r="F10" s="13">
        <v>70.248949999999994</v>
      </c>
      <c r="G10" s="2">
        <v>75.705799999999996</v>
      </c>
      <c r="H10" s="2">
        <f t="shared" si="0"/>
        <v>5.4568500000000029</v>
      </c>
      <c r="I10" s="2">
        <f t="shared" si="1"/>
        <v>9.2552799999999991</v>
      </c>
      <c r="J10" s="2">
        <f t="shared" si="2"/>
        <v>0.37090822335039197</v>
      </c>
      <c r="K10" s="2">
        <f t="shared" si="3"/>
        <v>0.62909177664960803</v>
      </c>
      <c r="L10" s="2">
        <f t="shared" si="4"/>
        <v>0.18325590771232478</v>
      </c>
      <c r="M10" s="2">
        <f t="shared" si="5"/>
        <v>6.7971123148041782E-2</v>
      </c>
      <c r="N10" s="2">
        <f t="shared" si="6"/>
        <v>14.712130000000002</v>
      </c>
      <c r="O10" s="13">
        <v>28</v>
      </c>
      <c r="P10">
        <f t="shared" si="7"/>
        <v>5.1311654159450937</v>
      </c>
      <c r="V10" s="176">
        <v>84.414659999999998</v>
      </c>
      <c r="W10" s="157">
        <v>94.289709999999999</v>
      </c>
      <c r="X10" s="157">
        <f>W10-V10</f>
        <v>9.8750500000000017</v>
      </c>
      <c r="Y10" s="157"/>
      <c r="Z10" s="176">
        <v>83.726990000000001</v>
      </c>
      <c r="AA10" s="176">
        <v>87.779769999999999</v>
      </c>
      <c r="AB10" s="132">
        <f t="shared" si="8"/>
        <v>4.0527799999999985</v>
      </c>
      <c r="AC10" s="132">
        <f t="shared" si="9"/>
        <v>35.996309999999994</v>
      </c>
      <c r="AD10" s="132">
        <f t="shared" si="10"/>
        <v>0.10119530805818558</v>
      </c>
      <c r="AE10" s="132">
        <f t="shared" si="11"/>
        <v>0.89880469194181445</v>
      </c>
      <c r="AF10" s="132">
        <f t="shared" si="12"/>
        <v>0.24674421014710898</v>
      </c>
      <c r="AG10" s="132">
        <f t="shared" si="13"/>
        <v>2.4969356357410374E-2</v>
      </c>
      <c r="AH10" s="132">
        <f t="shared" si="14"/>
        <v>40.049089999999993</v>
      </c>
      <c r="AI10">
        <v>38</v>
      </c>
      <c r="AJ10">
        <f t="shared" si="15"/>
        <v>9.3762799855901413</v>
      </c>
    </row>
    <row r="11" spans="2:39" x14ac:dyDescent="0.35">
      <c r="B11" s="2"/>
      <c r="C11" s="2"/>
      <c r="D11" s="13" t="s">
        <v>541</v>
      </c>
      <c r="E11" s="2"/>
      <c r="F11" s="13">
        <v>84.961079999999995</v>
      </c>
      <c r="G11" s="2">
        <v>89.442549999999997</v>
      </c>
      <c r="H11" s="2">
        <f t="shared" si="0"/>
        <v>4.4814700000000016</v>
      </c>
      <c r="I11" s="2">
        <f t="shared" si="1"/>
        <v>11.177639999999997</v>
      </c>
      <c r="J11" s="2">
        <f t="shared" si="2"/>
        <v>0.28618931727282088</v>
      </c>
      <c r="K11" s="2">
        <f t="shared" si="3"/>
        <v>0.71381068272717907</v>
      </c>
      <c r="L11" s="2">
        <f t="shared" si="4"/>
        <v>0.22314106755149529</v>
      </c>
      <c r="M11" s="2">
        <f t="shared" si="5"/>
        <v>6.3860589778090837E-2</v>
      </c>
      <c r="N11" s="2">
        <f t="shared" si="6"/>
        <v>15.659109999999998</v>
      </c>
      <c r="O11" s="13">
        <v>27</v>
      </c>
      <c r="P11">
        <f t="shared" si="7"/>
        <v>6.024808823890373</v>
      </c>
      <c r="V11" s="176">
        <v>124.61619</v>
      </c>
      <c r="W11" s="157">
        <v>131.49122</v>
      </c>
      <c r="X11" s="157">
        <f>W11-V11</f>
        <v>6.8750299999999953</v>
      </c>
      <c r="Y11" s="157"/>
      <c r="Z11" s="176">
        <v>123.77607999999999</v>
      </c>
      <c r="AA11" s="176">
        <v>129.09508</v>
      </c>
      <c r="AB11" s="132">
        <f t="shared" si="8"/>
        <v>5.3190000000000026</v>
      </c>
      <c r="AC11" s="132">
        <f t="shared" si="9"/>
        <v>13.957099999999997</v>
      </c>
      <c r="AD11" s="132">
        <f t="shared" si="10"/>
        <v>0.27593755998360681</v>
      </c>
      <c r="AE11" s="132">
        <f t="shared" si="11"/>
        <v>0.72406244001639319</v>
      </c>
      <c r="AF11" s="132">
        <f t="shared" si="12"/>
        <v>0.18800526414739605</v>
      </c>
      <c r="AG11" s="132">
        <f t="shared" si="13"/>
        <v>5.1877713852905932E-2</v>
      </c>
      <c r="AH11" s="132">
        <f t="shared" si="14"/>
        <v>19.2761</v>
      </c>
      <c r="AI11">
        <v>59</v>
      </c>
      <c r="AJ11">
        <f t="shared" si="15"/>
        <v>11.092310584696365</v>
      </c>
      <c r="AL11" t="s">
        <v>606</v>
      </c>
    </row>
    <row r="12" spans="2:39" x14ac:dyDescent="0.35">
      <c r="B12" s="2"/>
      <c r="C12" s="2"/>
      <c r="D12" s="13"/>
      <c r="E12" s="2"/>
      <c r="F12" s="13">
        <v>100.62018999999999</v>
      </c>
      <c r="G12" s="2">
        <v>105.11337</v>
      </c>
      <c r="H12" s="2">
        <f t="shared" si="0"/>
        <v>4.4931800000000095</v>
      </c>
      <c r="I12" s="2">
        <f t="shared" si="1"/>
        <v>11.143999999999991</v>
      </c>
      <c r="J12" s="2">
        <f t="shared" si="2"/>
        <v>0.28733953308716847</v>
      </c>
      <c r="K12" s="2">
        <f t="shared" si="3"/>
        <v>0.71266046691283147</v>
      </c>
      <c r="L12" s="2">
        <f t="shared" si="4"/>
        <v>0.22255952354457154</v>
      </c>
      <c r="M12" s="2">
        <f t="shared" si="5"/>
        <v>6.3950149579399859E-2</v>
      </c>
      <c r="N12" s="2">
        <f t="shared" si="6"/>
        <v>15.637180000000001</v>
      </c>
      <c r="O12" s="13">
        <v>25</v>
      </c>
      <c r="P12">
        <f t="shared" si="7"/>
        <v>5.5639880886142885</v>
      </c>
      <c r="Z12" s="141">
        <v>143.05217999999999</v>
      </c>
      <c r="AA12" s="141">
        <v>152.87656999999999</v>
      </c>
      <c r="AB12" s="2">
        <f t="shared" si="8"/>
        <v>9.824389999999994</v>
      </c>
      <c r="AC12" s="2">
        <f t="shared" si="9"/>
        <v>46.539070000000009</v>
      </c>
      <c r="AD12" s="2">
        <f t="shared" si="10"/>
        <v>0.17430423895197339</v>
      </c>
      <c r="AE12" s="2">
        <f t="shared" si="11"/>
        <v>0.82569576104802667</v>
      </c>
      <c r="AF12" s="2">
        <f t="shared" si="12"/>
        <v>0.10178749011389009</v>
      </c>
      <c r="AG12" s="2">
        <f t="shared" si="13"/>
        <v>1.7741990999133126E-2</v>
      </c>
      <c r="AH12" s="2">
        <f t="shared" si="14"/>
        <v>56.363460000000003</v>
      </c>
      <c r="AI12">
        <v>91</v>
      </c>
      <c r="AJ12">
        <f t="shared" si="15"/>
        <v>9.2626616003639981</v>
      </c>
      <c r="AK12" s="141"/>
      <c r="AL12" s="141"/>
      <c r="AM12" s="141"/>
    </row>
    <row r="13" spans="2:39" x14ac:dyDescent="0.35">
      <c r="B13" s="2"/>
      <c r="C13" s="2"/>
      <c r="D13" s="13" t="s">
        <v>541</v>
      </c>
      <c r="E13" s="2"/>
      <c r="F13" s="13">
        <v>116.25736999999999</v>
      </c>
      <c r="G13" s="2">
        <v>120.96474000000001</v>
      </c>
      <c r="H13" s="2">
        <f t="shared" ref="H13:H21" si="16">G13-F13</f>
        <v>4.7073700000000116</v>
      </c>
      <c r="I13" s="2">
        <f t="shared" ref="I13:I20" si="17">F14-G13</f>
        <v>10.009060000000005</v>
      </c>
      <c r="J13" s="2">
        <f t="shared" ref="J13:J20" si="18">H13/N13</f>
        <v>0.31987173519664797</v>
      </c>
      <c r="K13" s="2">
        <f t="shared" ref="K13:K20" si="19">I13/N13</f>
        <v>0.68012826480335198</v>
      </c>
      <c r="L13" s="2">
        <f t="shared" ref="L13:L20" si="20">1/H13</f>
        <v>0.21243284466697912</v>
      </c>
      <c r="M13" s="2">
        <f t="shared" ref="M13:M20" si="21">1/N13</f>
        <v>6.7951262636386595E-2</v>
      </c>
      <c r="N13" s="2">
        <f t="shared" ref="N13:N20" si="22">H13+I13</f>
        <v>14.716430000000017</v>
      </c>
      <c r="O13" s="13">
        <v>25</v>
      </c>
      <c r="P13">
        <f t="shared" si="7"/>
        <v>5.3108211166744779</v>
      </c>
      <c r="R13" t="s">
        <v>328</v>
      </c>
      <c r="Z13" s="141">
        <v>199.41564</v>
      </c>
      <c r="AA13" s="141">
        <v>207.31363999999999</v>
      </c>
      <c r="AB13" s="2">
        <f t="shared" si="8"/>
        <v>7.8979999999999961</v>
      </c>
      <c r="AC13" s="2">
        <f t="shared" si="9"/>
        <v>12.277630000000016</v>
      </c>
      <c r="AD13" s="2">
        <f t="shared" si="10"/>
        <v>0.39146237317000715</v>
      </c>
      <c r="AE13" s="2">
        <f t="shared" si="11"/>
        <v>0.60853762682999291</v>
      </c>
      <c r="AF13" s="2">
        <f t="shared" si="12"/>
        <v>0.1266143327424665</v>
      </c>
      <c r="AG13" s="2">
        <f t="shared" si="13"/>
        <v>4.9564747172702879E-2</v>
      </c>
      <c r="AH13" s="2">
        <f t="shared" si="14"/>
        <v>20.175630000000012</v>
      </c>
      <c r="AI13">
        <v>54</v>
      </c>
      <c r="AJ13">
        <f t="shared" si="15"/>
        <v>6.8371739680931913</v>
      </c>
      <c r="AK13" s="141"/>
      <c r="AL13" s="141"/>
      <c r="AM13" s="141"/>
    </row>
    <row r="14" spans="2:39" x14ac:dyDescent="0.35">
      <c r="B14" s="2"/>
      <c r="C14" s="2"/>
      <c r="D14" s="2"/>
      <c r="E14" s="2"/>
      <c r="F14" s="13">
        <v>130.97380000000001</v>
      </c>
      <c r="G14" s="2">
        <v>135.99428</v>
      </c>
      <c r="H14" s="2">
        <f t="shared" si="16"/>
        <v>5.0204799999999921</v>
      </c>
      <c r="I14" s="2">
        <f t="shared" si="17"/>
        <v>9.8729799999999841</v>
      </c>
      <c r="J14" s="2">
        <f t="shared" si="18"/>
        <v>0.33709292535112728</v>
      </c>
      <c r="K14" s="2">
        <f t="shared" si="19"/>
        <v>0.66290707464887277</v>
      </c>
      <c r="L14" s="2">
        <f t="shared" si="20"/>
        <v>0.19918414175537033</v>
      </c>
      <c r="M14" s="2">
        <f t="shared" si="21"/>
        <v>6.7143565027871402E-2</v>
      </c>
      <c r="N14" s="2">
        <f t="shared" si="22"/>
        <v>14.893459999999976</v>
      </c>
      <c r="O14" s="13">
        <v>27</v>
      </c>
      <c r="P14">
        <f t="shared" si="7"/>
        <v>5.3779718273949983</v>
      </c>
      <c r="V14" s="176">
        <v>220.36033</v>
      </c>
      <c r="W14" s="157">
        <v>227.23535000000001</v>
      </c>
      <c r="X14" s="157">
        <f>W14-V14</f>
        <v>6.8750200000000063</v>
      </c>
      <c r="Y14" s="157"/>
      <c r="Z14" s="176">
        <v>219.59127000000001</v>
      </c>
      <c r="AA14" s="176">
        <v>221.96897000000001</v>
      </c>
      <c r="AB14" s="132">
        <f t="shared" si="8"/>
        <v>2.3777000000000044</v>
      </c>
      <c r="AC14" s="132">
        <f t="shared" si="9"/>
        <v>26.713380000000001</v>
      </c>
      <c r="AD14" s="132">
        <f t="shared" si="10"/>
        <v>8.1732957318875893E-2</v>
      </c>
      <c r="AE14" s="132">
        <f t="shared" si="11"/>
        <v>0.91826704268112413</v>
      </c>
      <c r="AF14" s="132">
        <f t="shared" si="12"/>
        <v>0.42057450477351987</v>
      </c>
      <c r="AG14" s="132">
        <f t="shared" si="13"/>
        <v>3.4374798048061463E-2</v>
      </c>
      <c r="AH14" s="132">
        <f t="shared" si="14"/>
        <v>29.091080000000005</v>
      </c>
      <c r="AI14">
        <v>29</v>
      </c>
      <c r="AJ14">
        <f t="shared" si="15"/>
        <v>12.196660638432077</v>
      </c>
      <c r="AK14" s="141"/>
      <c r="AL14" s="141"/>
      <c r="AM14" s="141"/>
    </row>
    <row r="15" spans="2:39" x14ac:dyDescent="0.35">
      <c r="B15" s="2"/>
      <c r="C15" s="2"/>
      <c r="D15" s="13" t="s">
        <v>541</v>
      </c>
      <c r="E15" s="2"/>
      <c r="F15" s="13">
        <v>145.86725999999999</v>
      </c>
      <c r="G15" s="2">
        <v>151.0822</v>
      </c>
      <c r="H15" s="2">
        <f t="shared" si="16"/>
        <v>5.2149400000000128</v>
      </c>
      <c r="I15" s="2">
        <f t="shared" si="17"/>
        <v>9.815400000000011</v>
      </c>
      <c r="J15" s="2">
        <f t="shared" si="18"/>
        <v>0.34696088045912499</v>
      </c>
      <c r="K15" s="2">
        <f t="shared" si="19"/>
        <v>0.65303911954087501</v>
      </c>
      <c r="L15" s="2">
        <f t="shared" si="20"/>
        <v>0.19175676038458689</v>
      </c>
      <c r="M15" s="2">
        <f t="shared" si="21"/>
        <v>6.6532094417025719E-2</v>
      </c>
      <c r="N15" s="2">
        <f t="shared" si="22"/>
        <v>15.030340000000024</v>
      </c>
      <c r="O15" s="13">
        <v>28</v>
      </c>
      <c r="P15">
        <f t="shared" si="7"/>
        <v>5.3691892907684329</v>
      </c>
      <c r="V15" s="176">
        <v>249.55662000000001</v>
      </c>
      <c r="W15" s="176">
        <v>256.43164000000002</v>
      </c>
      <c r="X15" s="157">
        <f>W15-V15</f>
        <v>6.8750200000000063</v>
      </c>
      <c r="Y15" s="157"/>
      <c r="Z15" s="176">
        <v>248.68235000000001</v>
      </c>
      <c r="AA15" s="176">
        <v>254.53371000000001</v>
      </c>
      <c r="AB15" s="132">
        <f t="shared" si="8"/>
        <v>5.8513599999999997</v>
      </c>
      <c r="AC15" s="132">
        <f t="shared" si="9"/>
        <v>27.402749999999997</v>
      </c>
      <c r="AD15" s="132">
        <f t="shared" si="10"/>
        <v>0.17595900175948176</v>
      </c>
      <c r="AE15" s="132">
        <f t="shared" si="11"/>
        <v>0.82404099824051824</v>
      </c>
      <c r="AF15" s="132">
        <f t="shared" si="12"/>
        <v>0.17090044023953407</v>
      </c>
      <c r="AG15" s="132">
        <f t="shared" si="13"/>
        <v>3.0071470864804384E-2</v>
      </c>
      <c r="AH15" s="132">
        <f t="shared" si="14"/>
        <v>33.254109999999997</v>
      </c>
      <c r="AI15">
        <v>65</v>
      </c>
      <c r="AJ15">
        <f t="shared" si="15"/>
        <v>11.108528615569714</v>
      </c>
      <c r="AK15" s="141"/>
      <c r="AL15" t="s">
        <v>607</v>
      </c>
      <c r="AM15" s="141"/>
    </row>
    <row r="16" spans="2:39" x14ac:dyDescent="0.35">
      <c r="B16" s="2"/>
      <c r="C16" s="2"/>
      <c r="D16" s="2"/>
      <c r="E16" s="2"/>
      <c r="F16" s="13">
        <v>160.89760000000001</v>
      </c>
      <c r="G16" s="2">
        <v>164.8415</v>
      </c>
      <c r="H16" s="2">
        <f t="shared" si="16"/>
        <v>3.9438999999999851</v>
      </c>
      <c r="I16" s="2">
        <f t="shared" si="17"/>
        <v>11.020330000000001</v>
      </c>
      <c r="J16" s="2">
        <f t="shared" si="18"/>
        <v>0.26355515786645811</v>
      </c>
      <c r="K16" s="2">
        <f t="shared" si="19"/>
        <v>0.73644484213354189</v>
      </c>
      <c r="L16" s="2">
        <f t="shared" si="20"/>
        <v>0.25355612464819183</v>
      </c>
      <c r="M16" s="2">
        <f t="shared" si="21"/>
        <v>6.6826024459661529E-2</v>
      </c>
      <c r="N16" s="2">
        <f t="shared" si="22"/>
        <v>14.964229999999986</v>
      </c>
      <c r="O16" s="13">
        <v>28</v>
      </c>
      <c r="P16">
        <f t="shared" si="7"/>
        <v>7.0995714901493718</v>
      </c>
      <c r="Z16" s="141">
        <v>281.93646000000001</v>
      </c>
      <c r="AA16" s="141">
        <v>288.79072000000002</v>
      </c>
      <c r="AB16" s="2">
        <f t="shared" si="8"/>
        <v>6.8542600000000107</v>
      </c>
      <c r="AC16" s="2">
        <f t="shared" si="9"/>
        <v>15.22181999999998</v>
      </c>
      <c r="AD16" s="2">
        <f t="shared" si="10"/>
        <v>0.31048356411102035</v>
      </c>
      <c r="AE16" s="2">
        <f t="shared" si="11"/>
        <v>0.68951643588897971</v>
      </c>
      <c r="AF16" s="2">
        <f t="shared" si="12"/>
        <v>0.14589466988413022</v>
      </c>
      <c r="AG16" s="2">
        <f t="shared" si="13"/>
        <v>4.5297897090425497E-2</v>
      </c>
      <c r="AH16" s="2">
        <f t="shared" si="14"/>
        <v>22.07607999999999</v>
      </c>
      <c r="AI16">
        <v>80</v>
      </c>
      <c r="AJ16">
        <f t="shared" si="15"/>
        <v>11.671573590730418</v>
      </c>
      <c r="AK16" s="141"/>
      <c r="AL16" s="141"/>
      <c r="AM16" s="141"/>
    </row>
    <row r="17" spans="2:39" x14ac:dyDescent="0.35">
      <c r="B17" s="2"/>
      <c r="C17" s="2"/>
      <c r="D17" s="13" t="s">
        <v>541</v>
      </c>
      <c r="E17" s="2"/>
      <c r="F17" s="13">
        <v>175.86183</v>
      </c>
      <c r="G17" s="2">
        <v>181.57459</v>
      </c>
      <c r="H17" s="2">
        <f t="shared" si="16"/>
        <v>5.7127600000000029</v>
      </c>
      <c r="I17" s="2">
        <f t="shared" si="17"/>
        <v>8.5216900000000066</v>
      </c>
      <c r="J17" s="2">
        <f t="shared" si="18"/>
        <v>0.40133338485153969</v>
      </c>
      <c r="K17" s="2">
        <f t="shared" si="19"/>
        <v>0.59866661514846031</v>
      </c>
      <c r="L17" s="2">
        <f t="shared" si="20"/>
        <v>0.17504673747890678</v>
      </c>
      <c r="M17" s="2">
        <f t="shared" si="21"/>
        <v>7.0252099659628531E-2</v>
      </c>
      <c r="N17" s="2">
        <f t="shared" si="22"/>
        <v>14.23445000000001</v>
      </c>
      <c r="O17" s="13">
        <v>25</v>
      </c>
      <c r="P17">
        <f t="shared" si="7"/>
        <v>4.3761684369726694</v>
      </c>
      <c r="Z17" s="141">
        <v>304.01254</v>
      </c>
      <c r="AA17" s="141">
        <v>311.84888999999998</v>
      </c>
      <c r="AB17" s="2">
        <f t="shared" si="8"/>
        <v>7.8363499999999817</v>
      </c>
      <c r="AC17" s="2">
        <f t="shared" si="9"/>
        <v>24.463349999999991</v>
      </c>
      <c r="AD17" s="2">
        <f t="shared" si="10"/>
        <v>0.24261370848645616</v>
      </c>
      <c r="AE17" s="2">
        <f t="shared" si="11"/>
        <v>0.75738629151354386</v>
      </c>
      <c r="AF17" s="2">
        <f t="shared" si="12"/>
        <v>0.12761043087662016</v>
      </c>
      <c r="AG17" s="2">
        <f t="shared" si="13"/>
        <v>3.0960039876531387E-2</v>
      </c>
      <c r="AH17" s="2">
        <f t="shared" si="14"/>
        <v>32.299699999999973</v>
      </c>
      <c r="AI17">
        <v>86</v>
      </c>
      <c r="AJ17">
        <f t="shared" si="15"/>
        <v>10.974497055389334</v>
      </c>
      <c r="AK17" s="141"/>
      <c r="AL17" s="141"/>
      <c r="AM17" s="141"/>
    </row>
    <row r="18" spans="2:39" x14ac:dyDescent="0.35">
      <c r="B18" s="2"/>
      <c r="C18" s="2"/>
      <c r="D18" s="2"/>
      <c r="E18" s="2"/>
      <c r="F18" s="13">
        <v>190.09628000000001</v>
      </c>
      <c r="G18" s="2">
        <v>194.86626999999999</v>
      </c>
      <c r="H18" s="2">
        <f t="shared" si="16"/>
        <v>4.7699899999999786</v>
      </c>
      <c r="I18" s="2">
        <f t="shared" si="17"/>
        <v>10.177910000000026</v>
      </c>
      <c r="J18" s="2">
        <f t="shared" si="18"/>
        <v>0.31910770074726064</v>
      </c>
      <c r="K18" s="2">
        <f t="shared" si="19"/>
        <v>0.68089229925273931</v>
      </c>
      <c r="L18" s="2">
        <f t="shared" si="20"/>
        <v>0.20964404537535811</v>
      </c>
      <c r="M18" s="2">
        <f t="shared" si="21"/>
        <v>6.6899029295084914E-2</v>
      </c>
      <c r="N18" s="2">
        <f t="shared" si="22"/>
        <v>14.947900000000004</v>
      </c>
      <c r="O18" s="13">
        <v>32</v>
      </c>
      <c r="P18">
        <f t="shared" si="7"/>
        <v>6.7086094520114594</v>
      </c>
      <c r="V18" s="176">
        <v>337.26868000000002</v>
      </c>
      <c r="W18" s="176">
        <v>344.14371</v>
      </c>
      <c r="X18" s="157">
        <f>W18-V18</f>
        <v>6.8750299999999811</v>
      </c>
      <c r="Y18" s="157"/>
      <c r="Z18" s="176">
        <v>336.31223999999997</v>
      </c>
      <c r="AA18" s="176">
        <v>341.22861999999998</v>
      </c>
      <c r="AB18" s="132">
        <f t="shared" si="8"/>
        <v>4.9163800000000037</v>
      </c>
      <c r="AC18" s="132">
        <f t="shared" si="9"/>
        <v>10.091660000000047</v>
      </c>
      <c r="AD18" s="132">
        <f t="shared" si="10"/>
        <v>0.32758308213464166</v>
      </c>
      <c r="AE18" s="132">
        <f t="shared" si="11"/>
        <v>0.6724169178653584</v>
      </c>
      <c r="AF18" s="132">
        <f t="shared" si="12"/>
        <v>0.20340168986123922</v>
      </c>
      <c r="AG18" s="132">
        <f t="shared" si="13"/>
        <v>6.6630952476139232E-2</v>
      </c>
      <c r="AH18" s="132">
        <f t="shared" si="14"/>
        <v>15.008040000000051</v>
      </c>
      <c r="AI18">
        <v>53</v>
      </c>
      <c r="AJ18">
        <f t="shared" si="15"/>
        <v>10.780289562645677</v>
      </c>
      <c r="AK18" s="141"/>
      <c r="AL18" s="141"/>
      <c r="AM18" s="141"/>
    </row>
    <row r="19" spans="2:39" x14ac:dyDescent="0.35">
      <c r="B19" s="2"/>
      <c r="C19" s="2"/>
      <c r="D19" s="13" t="s">
        <v>541</v>
      </c>
      <c r="E19" s="2"/>
      <c r="F19" s="13">
        <v>205.04418000000001</v>
      </c>
      <c r="G19" s="2">
        <v>209.70894000000001</v>
      </c>
      <c r="H19" s="2">
        <f t="shared" si="16"/>
        <v>4.6647600000000011</v>
      </c>
      <c r="I19" s="2">
        <f t="shared" si="17"/>
        <v>8.553229999999985</v>
      </c>
      <c r="J19" s="2">
        <f t="shared" si="18"/>
        <v>0.35290993562561374</v>
      </c>
      <c r="K19" s="2">
        <f t="shared" si="19"/>
        <v>0.64709006437438632</v>
      </c>
      <c r="L19" s="2">
        <f t="shared" si="20"/>
        <v>0.21437330109158881</v>
      </c>
      <c r="M19" s="2">
        <f t="shared" si="21"/>
        <v>7.5654467888082916E-2</v>
      </c>
      <c r="N19" s="2">
        <f t="shared" si="22"/>
        <v>13.217989999999986</v>
      </c>
      <c r="O19" s="13">
        <v>29</v>
      </c>
      <c r="P19">
        <f t="shared" si="7"/>
        <v>6.2168257316560753</v>
      </c>
      <c r="Z19" s="141">
        <v>351.32028000000003</v>
      </c>
      <c r="AA19" s="141">
        <v>359.24883</v>
      </c>
      <c r="AB19" s="2">
        <f t="shared" si="8"/>
        <v>7.9285499999999729</v>
      </c>
      <c r="AC19" s="2">
        <f t="shared" si="9"/>
        <v>13.922349999999994</v>
      </c>
      <c r="AD19" s="2">
        <f t="shared" si="10"/>
        <v>0.36284775455473162</v>
      </c>
      <c r="AE19" s="2">
        <f t="shared" si="11"/>
        <v>0.63715224544526838</v>
      </c>
      <c r="AF19" s="2">
        <f t="shared" si="12"/>
        <v>0.12612646700846983</v>
      </c>
      <c r="AG19" s="2">
        <f t="shared" si="13"/>
        <v>4.5764705343944709E-2</v>
      </c>
      <c r="AH19" s="2">
        <f t="shared" si="14"/>
        <v>21.850899999999967</v>
      </c>
      <c r="AI19">
        <v>79</v>
      </c>
      <c r="AJ19">
        <f t="shared" si="15"/>
        <v>9.9639908936691164</v>
      </c>
      <c r="AK19" s="141"/>
      <c r="AL19" s="141"/>
      <c r="AM19" s="141"/>
    </row>
    <row r="20" spans="2:39" x14ac:dyDescent="0.35">
      <c r="B20" s="2"/>
      <c r="C20" s="2"/>
      <c r="D20" s="2"/>
      <c r="E20" s="2"/>
      <c r="F20" s="13">
        <v>218.26217</v>
      </c>
      <c r="G20" s="2">
        <v>223.07965999999999</v>
      </c>
      <c r="H20" s="2">
        <f t="shared" si="16"/>
        <v>4.8174899999999923</v>
      </c>
      <c r="I20" s="2">
        <f t="shared" si="17"/>
        <v>9.4207700000000045</v>
      </c>
      <c r="J20" s="2">
        <f t="shared" si="18"/>
        <v>0.3383482251342505</v>
      </c>
      <c r="K20" s="2">
        <f t="shared" si="19"/>
        <v>0.66165177486574955</v>
      </c>
      <c r="L20" s="2">
        <f t="shared" si="20"/>
        <v>0.20757697473165521</v>
      </c>
      <c r="M20" s="2">
        <f t="shared" si="21"/>
        <v>7.0233300979192698E-2</v>
      </c>
      <c r="N20" s="2">
        <f t="shared" si="22"/>
        <v>14.238259999999997</v>
      </c>
      <c r="O20" s="13">
        <v>30</v>
      </c>
      <c r="P20">
        <f t="shared" si="7"/>
        <v>6.2273092419496558</v>
      </c>
      <c r="V20" s="176">
        <v>374.24565999999999</v>
      </c>
      <c r="W20" s="176">
        <v>381.12067999999999</v>
      </c>
      <c r="X20" s="157">
        <f>W20-V20</f>
        <v>6.8750200000000063</v>
      </c>
      <c r="Y20" s="157"/>
      <c r="Z20" s="176">
        <v>373.17117999999999</v>
      </c>
      <c r="AA20" s="176">
        <v>378.31943999999999</v>
      </c>
      <c r="AB20" s="132">
        <f t="shared" si="8"/>
        <v>5.1482599999999934</v>
      </c>
      <c r="AC20" s="132">
        <f t="shared" si="9"/>
        <v>15.379099999999994</v>
      </c>
      <c r="AD20" s="132">
        <f t="shared" si="10"/>
        <v>0.25079990802519159</v>
      </c>
      <c r="AE20" s="132">
        <f t="shared" si="11"/>
        <v>0.74920009197480841</v>
      </c>
      <c r="AF20" s="132">
        <f t="shared" si="12"/>
        <v>0.19424038412978389</v>
      </c>
      <c r="AG20" s="132">
        <f t="shared" si="13"/>
        <v>4.8715470474527685E-2</v>
      </c>
      <c r="AH20" s="132">
        <f t="shared" si="14"/>
        <v>20.527359999999987</v>
      </c>
      <c r="AI20">
        <v>64</v>
      </c>
      <c r="AJ20">
        <f t="shared" si="15"/>
        <v>12.431384584306169</v>
      </c>
      <c r="AK20" s="141"/>
      <c r="AL20" t="s">
        <v>608</v>
      </c>
      <c r="AM20" s="141"/>
    </row>
    <row r="21" spans="2:39" x14ac:dyDescent="0.35">
      <c r="B21" s="2"/>
      <c r="C21" s="2"/>
      <c r="D21" s="2"/>
      <c r="E21" s="2"/>
      <c r="F21" s="13">
        <v>232.50042999999999</v>
      </c>
      <c r="G21" s="2">
        <v>237.10937000000001</v>
      </c>
      <c r="H21" s="2">
        <f t="shared" si="16"/>
        <v>4.6089400000000182</v>
      </c>
      <c r="I21" s="2"/>
      <c r="J21" s="2"/>
      <c r="K21" s="2"/>
      <c r="L21" s="2"/>
      <c r="M21" s="2"/>
      <c r="N21" s="2"/>
      <c r="O21" s="13">
        <v>31</v>
      </c>
      <c r="P21">
        <f t="shared" si="7"/>
        <v>6.7260584863330566</v>
      </c>
      <c r="Z21" s="141">
        <v>393.69853999999998</v>
      </c>
      <c r="AA21" s="141">
        <v>401.75513000000001</v>
      </c>
      <c r="AB21" s="2">
        <f t="shared" si="8"/>
        <v>8.0565900000000283</v>
      </c>
      <c r="AC21" s="2">
        <f t="shared" si="9"/>
        <v>12.330640000000017</v>
      </c>
      <c r="AD21" s="2">
        <f t="shared" si="10"/>
        <v>0.39517825619272506</v>
      </c>
      <c r="AE21" s="2">
        <f t="shared" si="11"/>
        <v>0.60482174380727494</v>
      </c>
      <c r="AF21" s="2">
        <f t="shared" si="12"/>
        <v>0.12412199205867451</v>
      </c>
      <c r="AG21" s="2">
        <f t="shared" si="13"/>
        <v>4.9050312376914262E-2</v>
      </c>
      <c r="AH21" s="2">
        <f t="shared" si="14"/>
        <v>20.387230000000045</v>
      </c>
      <c r="AI21">
        <v>92</v>
      </c>
      <c r="AJ21">
        <f t="shared" si="15"/>
        <v>11.419223269398055</v>
      </c>
      <c r="AK21" s="141"/>
      <c r="AL21" s="141"/>
      <c r="AM21" s="141"/>
    </row>
    <row r="22" spans="2:39" x14ac:dyDescent="0.35">
      <c r="B22" s="2"/>
      <c r="C22" s="2"/>
      <c r="D22" s="2"/>
      <c r="E22" s="2"/>
      <c r="F22" s="13"/>
      <c r="G22" s="2"/>
      <c r="H22" s="2"/>
      <c r="I22" s="2"/>
      <c r="J22" s="2"/>
      <c r="K22" s="2"/>
      <c r="L22" s="2"/>
      <c r="M22" s="2"/>
      <c r="N22" s="2"/>
      <c r="O22" s="2"/>
      <c r="V22" s="176">
        <v>414.88571999999999</v>
      </c>
      <c r="W22" s="176">
        <v>421.76074999999997</v>
      </c>
      <c r="X22" s="157">
        <f>W22-V22</f>
        <v>6.8750299999999811</v>
      </c>
      <c r="Y22" s="157"/>
      <c r="Z22" s="176">
        <v>414.08577000000002</v>
      </c>
      <c r="AA22" s="176">
        <v>419.84638000000001</v>
      </c>
      <c r="AB22" s="132">
        <f t="shared" si="8"/>
        <v>5.7606099999999856</v>
      </c>
      <c r="AC22" s="132">
        <f t="shared" si="9"/>
        <v>10.835379999999986</v>
      </c>
      <c r="AD22" s="132">
        <f t="shared" si="10"/>
        <v>0.34710854851081469</v>
      </c>
      <c r="AE22" s="132">
        <f t="shared" si="11"/>
        <v>0.65289145148918537</v>
      </c>
      <c r="AF22" s="132">
        <f t="shared" si="12"/>
        <v>0.17359272715910337</v>
      </c>
      <c r="AG22" s="132">
        <f t="shared" si="13"/>
        <v>6.025551955623025E-2</v>
      </c>
      <c r="AH22" s="132">
        <f t="shared" si="14"/>
        <v>16.595989999999972</v>
      </c>
      <c r="AI22">
        <v>64</v>
      </c>
      <c r="AJ22">
        <f t="shared" si="15"/>
        <v>11.109934538182616</v>
      </c>
      <c r="AK22" s="141"/>
      <c r="AL22" s="141"/>
      <c r="AM22" s="141"/>
    </row>
    <row r="23" spans="2:39" x14ac:dyDescent="0.35">
      <c r="B23" s="2"/>
      <c r="C23" s="2"/>
      <c r="D23" s="2"/>
      <c r="E23" s="2"/>
      <c r="F23" s="13"/>
      <c r="G23" s="13"/>
      <c r="H23" s="2"/>
      <c r="I23" s="2"/>
      <c r="J23" s="2"/>
      <c r="K23" s="2"/>
      <c r="L23" s="2"/>
      <c r="M23" s="2"/>
      <c r="N23" s="2"/>
      <c r="O23" s="2"/>
      <c r="Z23" s="141">
        <v>430.68176</v>
      </c>
      <c r="AA23" s="141">
        <v>439.24558999999999</v>
      </c>
      <c r="AB23" s="2">
        <f t="shared" si="8"/>
        <v>8.5638299999999958</v>
      </c>
      <c r="AC23" s="2">
        <f t="shared" si="9"/>
        <v>12.683629999999994</v>
      </c>
      <c r="AD23" s="2">
        <f t="shared" si="10"/>
        <v>0.40305194126733268</v>
      </c>
      <c r="AE23" s="2">
        <f t="shared" si="11"/>
        <v>0.59694805873266732</v>
      </c>
      <c r="AF23" s="2">
        <f t="shared" si="12"/>
        <v>0.11677018343428121</v>
      </c>
      <c r="AG23" s="2">
        <f t="shared" si="13"/>
        <v>4.7064449115329574E-2</v>
      </c>
      <c r="AH23" s="2">
        <f t="shared" si="14"/>
        <v>21.24745999999999</v>
      </c>
      <c r="AI23">
        <v>101</v>
      </c>
      <c r="AJ23">
        <f t="shared" si="15"/>
        <v>11.793788526862402</v>
      </c>
      <c r="AK23" s="141"/>
      <c r="AL23" s="141"/>
      <c r="AM23" s="141"/>
    </row>
    <row r="24" spans="2:39" x14ac:dyDescent="0.35">
      <c r="B24" s="2"/>
      <c r="C24" s="2"/>
      <c r="D24" s="2"/>
      <c r="E24" s="2"/>
      <c r="F24" s="13"/>
      <c r="G24" s="13"/>
      <c r="H24" s="2"/>
      <c r="I24" s="2"/>
      <c r="J24" s="2"/>
      <c r="K24" s="2"/>
      <c r="L24" s="2"/>
      <c r="M24" s="2"/>
      <c r="N24" s="2"/>
      <c r="O24" s="2"/>
      <c r="S24" s="184">
        <v>452.83774</v>
      </c>
      <c r="T24" s="184">
        <v>459.71276</v>
      </c>
      <c r="U24" s="185">
        <f>T24-S24</f>
        <v>6.8750200000000063</v>
      </c>
      <c r="V24" s="184">
        <v>467.90965</v>
      </c>
      <c r="W24" s="184">
        <v>474.78469999999999</v>
      </c>
      <c r="X24" s="185">
        <f>W24-V24</f>
        <v>6.8750499999999874</v>
      </c>
      <c r="Y24" s="185"/>
      <c r="Z24" s="184">
        <v>451.92921999999999</v>
      </c>
      <c r="AA24" s="184">
        <v>456.9941</v>
      </c>
      <c r="AB24" s="186">
        <f t="shared" si="8"/>
        <v>5.0648800000000165</v>
      </c>
      <c r="AC24" s="186">
        <f t="shared" si="9"/>
        <v>23.056330000000003</v>
      </c>
      <c r="AD24" s="186">
        <f t="shared" si="10"/>
        <v>0.1801088928961454</v>
      </c>
      <c r="AE24" s="186">
        <f t="shared" si="11"/>
        <v>0.8198911071038546</v>
      </c>
      <c r="AF24" s="186">
        <f t="shared" si="12"/>
        <v>0.19743804394181041</v>
      </c>
      <c r="AG24" s="186">
        <f t="shared" si="13"/>
        <v>3.5560347509939985E-2</v>
      </c>
      <c r="AH24" s="186">
        <f t="shared" si="14"/>
        <v>28.121210000000019</v>
      </c>
      <c r="AI24">
        <v>57</v>
      </c>
      <c r="AJ24">
        <f t="shared" si="15"/>
        <v>11.253968504683193</v>
      </c>
      <c r="AK24" s="141"/>
      <c r="AL24" s="141"/>
      <c r="AM24" s="141"/>
    </row>
    <row r="25" spans="2:39" ht="16" thickBot="1" x14ac:dyDescent="0.4">
      <c r="B25" s="2"/>
      <c r="C25" s="2"/>
      <c r="D25" s="2"/>
      <c r="E25" s="2"/>
      <c r="F25" s="13"/>
      <c r="G25" s="13"/>
      <c r="H25" s="9" t="s">
        <v>3</v>
      </c>
      <c r="I25" s="9" t="s">
        <v>4</v>
      </c>
      <c r="J25" s="9" t="s">
        <v>5</v>
      </c>
      <c r="K25" s="9" t="s">
        <v>6</v>
      </c>
      <c r="L25" s="9" t="s">
        <v>7</v>
      </c>
      <c r="M25" s="9" t="s">
        <v>8</v>
      </c>
      <c r="N25" s="9" t="s">
        <v>9</v>
      </c>
      <c r="O25" s="9" t="s">
        <v>10</v>
      </c>
      <c r="P25" s="44" t="s">
        <v>139</v>
      </c>
      <c r="Z25" s="141">
        <v>480.05043000000001</v>
      </c>
      <c r="AA25" s="45">
        <v>488.05126999999999</v>
      </c>
      <c r="AB25" s="2">
        <f t="shared" si="8"/>
        <v>8.0008399999999824</v>
      </c>
      <c r="AC25" s="2">
        <f t="shared" si="9"/>
        <v>11.802979999999991</v>
      </c>
      <c r="AD25" s="2">
        <f t="shared" si="10"/>
        <v>0.4040048839062359</v>
      </c>
      <c r="AE25" s="2">
        <f t="shared" si="11"/>
        <v>0.5959951160937641</v>
      </c>
      <c r="AF25" s="2">
        <f t="shared" si="12"/>
        <v>0.12498687637798059</v>
      </c>
      <c r="AG25" s="2">
        <f t="shared" si="13"/>
        <v>5.0495308480889109E-2</v>
      </c>
      <c r="AH25" s="2">
        <f t="shared" si="14"/>
        <v>19.803819999999973</v>
      </c>
      <c r="AI25">
        <v>85</v>
      </c>
      <c r="AJ25">
        <f t="shared" si="15"/>
        <v>10.623884492128349</v>
      </c>
      <c r="AK25" s="46"/>
      <c r="AL25" t="s">
        <v>610</v>
      </c>
      <c r="AM25" s="141"/>
    </row>
    <row r="26" spans="2:39" x14ac:dyDescent="0.35">
      <c r="B26" s="2"/>
      <c r="C26" s="2"/>
      <c r="D26" s="2"/>
      <c r="E26" s="2"/>
      <c r="F26" s="13"/>
      <c r="G26" s="49" t="s">
        <v>77</v>
      </c>
      <c r="H26" s="13">
        <f>AVERAGE(H7:H20)</f>
        <v>4.9070078571428564</v>
      </c>
      <c r="I26" s="13">
        <f t="shared" ref="I26:P26" si="23">AVERAGE(I7:I20)</f>
        <v>9.836944285714285</v>
      </c>
      <c r="J26" s="13">
        <f t="shared" si="23"/>
        <v>0.33343489761723955</v>
      </c>
      <c r="K26" s="13">
        <f t="shared" si="23"/>
        <v>0.66656510238276045</v>
      </c>
      <c r="L26" s="13">
        <f t="shared" si="23"/>
        <v>0.20634475431003235</v>
      </c>
      <c r="M26" s="13">
        <f t="shared" si="23"/>
        <v>6.7982352278660507E-2</v>
      </c>
      <c r="N26" s="13">
        <f t="shared" si="23"/>
        <v>14.743952142857141</v>
      </c>
      <c r="O26" s="13">
        <f>AVERAGE(O7:O20)</f>
        <v>25.5</v>
      </c>
      <c r="P26" s="13">
        <f t="shared" si="23"/>
        <v>5.2512964976771643</v>
      </c>
      <c r="S26" s="184">
        <v>500.73554000000001</v>
      </c>
      <c r="T26" s="184">
        <v>507.61059</v>
      </c>
      <c r="U26" s="185">
        <f>T26-S26</f>
        <v>6.8750499999999874</v>
      </c>
      <c r="V26" s="184">
        <v>516.57555000000002</v>
      </c>
      <c r="W26" s="184">
        <v>523.45059000000003</v>
      </c>
      <c r="X26" s="185">
        <f>W26-V26</f>
        <v>6.8750400000000127</v>
      </c>
      <c r="Y26" s="185"/>
      <c r="Z26" s="184">
        <v>499.85424999999998</v>
      </c>
      <c r="AA26" s="187">
        <v>504.89978000000002</v>
      </c>
      <c r="AB26" s="186">
        <f t="shared" si="8"/>
        <v>5.045530000000042</v>
      </c>
      <c r="AC26" s="186">
        <f t="shared" si="9"/>
        <v>23.137540000000001</v>
      </c>
      <c r="AD26" s="186">
        <f t="shared" si="10"/>
        <v>0.17902698322077878</v>
      </c>
      <c r="AE26" s="186">
        <f t="shared" si="11"/>
        <v>0.82097301677922119</v>
      </c>
      <c r="AF26" s="186">
        <f t="shared" si="12"/>
        <v>0.19819523419739685</v>
      </c>
      <c r="AG26" s="186">
        <f t="shared" si="13"/>
        <v>3.5482294867095684E-2</v>
      </c>
      <c r="AH26" s="186">
        <f t="shared" si="14"/>
        <v>28.183070000000043</v>
      </c>
      <c r="AI26">
        <v>62</v>
      </c>
      <c r="AJ26">
        <f t="shared" si="15"/>
        <v>12.288104520238605</v>
      </c>
      <c r="AK26" s="46"/>
      <c r="AL26" s="46"/>
      <c r="AM26" s="141"/>
    </row>
    <row r="27" spans="2:39" x14ac:dyDescent="0.35">
      <c r="B27" s="2"/>
      <c r="C27" s="2"/>
      <c r="D27" s="2"/>
      <c r="E27" s="2"/>
      <c r="F27" s="13"/>
      <c r="G27" s="49" t="s">
        <v>94</v>
      </c>
      <c r="H27" s="2">
        <f>_xlfn.STDEV.S(H7:H20)</f>
        <v>0.58398532293436456</v>
      </c>
      <c r="I27" s="2">
        <f t="shared" ref="I27:P27" si="24">_xlfn.STDEV.S(I7:I20)</f>
        <v>0.89740471444231751</v>
      </c>
      <c r="J27" s="2">
        <f t="shared" si="24"/>
        <v>4.1065991898334077E-2</v>
      </c>
      <c r="K27" s="2">
        <f t="shared" si="24"/>
        <v>4.106599189833425E-2</v>
      </c>
      <c r="L27" s="2">
        <f t="shared" si="24"/>
        <v>2.3379050127796033E-2</v>
      </c>
      <c r="M27" s="2">
        <f t="shared" si="24"/>
        <v>3.4742499855957656E-3</v>
      </c>
      <c r="N27" s="2">
        <f t="shared" si="24"/>
        <v>0.72278423658025581</v>
      </c>
      <c r="O27" s="2">
        <f t="shared" si="24"/>
        <v>5.4313902456001077</v>
      </c>
      <c r="P27" s="2">
        <f t="shared" si="24"/>
        <v>1.2846736717663241</v>
      </c>
      <c r="V27" s="141"/>
      <c r="W27" s="141"/>
      <c r="Z27" s="141">
        <v>528.03732000000002</v>
      </c>
      <c r="AA27" s="45">
        <v>536.39346999999998</v>
      </c>
      <c r="AB27" s="2">
        <f t="shared" si="8"/>
        <v>8.3561499999999569</v>
      </c>
      <c r="AC27" s="2">
        <f t="shared" si="9"/>
        <v>12.430310000000077</v>
      </c>
      <c r="AD27" s="2">
        <f t="shared" si="10"/>
        <v>0.40199966709097862</v>
      </c>
      <c r="AE27" s="2">
        <f t="shared" si="11"/>
        <v>0.59800033290902144</v>
      </c>
      <c r="AF27" s="2">
        <f t="shared" si="12"/>
        <v>0.11967233714090882</v>
      </c>
      <c r="AG27" s="2">
        <f t="shared" si="13"/>
        <v>4.8108239690644698E-2</v>
      </c>
      <c r="AH27" s="2">
        <f t="shared" si="14"/>
        <v>20.786460000000034</v>
      </c>
      <c r="AI27">
        <v>90</v>
      </c>
      <c r="AJ27">
        <f t="shared" si="15"/>
        <v>10.770510342681792</v>
      </c>
      <c r="AK27" s="46"/>
      <c r="AL27" s="46"/>
      <c r="AM27" s="141"/>
    </row>
    <row r="28" spans="2:39" x14ac:dyDescent="0.35">
      <c r="B28" s="2"/>
      <c r="C28" s="2"/>
      <c r="D28" s="2"/>
      <c r="E28" s="2"/>
      <c r="F28" s="13"/>
      <c r="G28" s="49" t="s">
        <v>95</v>
      </c>
      <c r="H28" s="2">
        <f>H27/(SQRT(COUNT(H7:H20)))</f>
        <v>0.1560766426660665</v>
      </c>
      <c r="I28" s="2">
        <f t="shared" ref="I28:P28" si="25">I27/(SQRT(COUNT(I7:I20)))</f>
        <v>0.23984149847991834</v>
      </c>
      <c r="J28" s="2">
        <f t="shared" si="25"/>
        <v>1.0975347995114324E-2</v>
      </c>
      <c r="K28" s="2">
        <f t="shared" si="25"/>
        <v>1.0975347995114371E-2</v>
      </c>
      <c r="L28" s="2">
        <f t="shared" si="25"/>
        <v>6.2483139718875914E-3</v>
      </c>
      <c r="M28" s="2">
        <f t="shared" si="25"/>
        <v>9.2853236586454681E-4</v>
      </c>
      <c r="N28" s="2">
        <f t="shared" si="25"/>
        <v>0.19317221270316273</v>
      </c>
      <c r="O28" s="2">
        <f t="shared" si="25"/>
        <v>1.4516001023501126</v>
      </c>
      <c r="P28" s="2">
        <f t="shared" si="25"/>
        <v>0.34334348096846201</v>
      </c>
      <c r="Z28" s="141">
        <v>548.82378000000006</v>
      </c>
      <c r="AA28" s="45">
        <v>557.04286000000002</v>
      </c>
      <c r="AB28" s="2">
        <f t="shared" si="8"/>
        <v>8.2190799999999626</v>
      </c>
      <c r="AC28" s="2">
        <f t="shared" si="9"/>
        <v>11.434869999999933</v>
      </c>
      <c r="AD28" s="2">
        <f t="shared" si="10"/>
        <v>0.41818972776464813</v>
      </c>
      <c r="AE28" s="2">
        <f t="shared" si="11"/>
        <v>0.58181027223535187</v>
      </c>
      <c r="AF28" s="2">
        <f t="shared" si="12"/>
        <v>0.12166811857288219</v>
      </c>
      <c r="AG28" s="2">
        <f t="shared" si="13"/>
        <v>5.0880357383630531E-2</v>
      </c>
      <c r="AH28" s="2">
        <f t="shared" si="14"/>
        <v>19.653949999999895</v>
      </c>
      <c r="AI28">
        <v>90</v>
      </c>
      <c r="AJ28">
        <f t="shared" si="15"/>
        <v>10.950130671559396</v>
      </c>
      <c r="AK28" s="46"/>
      <c r="AL28" s="46"/>
      <c r="AM28" s="141"/>
    </row>
    <row r="29" spans="2:39" x14ac:dyDescent="0.35">
      <c r="B29" s="2"/>
      <c r="C29" s="2"/>
      <c r="D29" s="2"/>
      <c r="E29" s="2"/>
      <c r="F29" s="13"/>
      <c r="G29" s="13"/>
      <c r="H29" s="2"/>
      <c r="I29" s="2"/>
      <c r="J29" s="2"/>
      <c r="K29" s="2"/>
      <c r="L29" s="2"/>
      <c r="M29" s="2"/>
      <c r="N29" s="2"/>
      <c r="O29" s="2"/>
      <c r="Z29" s="141">
        <v>568.47772999999995</v>
      </c>
      <c r="AA29" s="46">
        <v>576.44200999999998</v>
      </c>
      <c r="AB29" s="2">
        <f t="shared" si="8"/>
        <v>7.9642800000000307</v>
      </c>
      <c r="AC29" s="2">
        <f t="shared" si="9"/>
        <v>10.410600000000045</v>
      </c>
      <c r="AD29" s="2">
        <f t="shared" si="10"/>
        <v>0.43343303466471605</v>
      </c>
      <c r="AE29" s="2">
        <f t="shared" si="11"/>
        <v>0.56656696533528395</v>
      </c>
      <c r="AF29" s="2">
        <f t="shared" si="12"/>
        <v>0.12556062820493455</v>
      </c>
      <c r="AG29" s="2">
        <f t="shared" si="13"/>
        <v>5.4422124117272923E-2</v>
      </c>
      <c r="AH29" s="2">
        <f t="shared" si="14"/>
        <v>18.374880000000076</v>
      </c>
      <c r="AI29">
        <v>89</v>
      </c>
      <c r="AJ29">
        <f t="shared" si="15"/>
        <v>11.174895910239176</v>
      </c>
      <c r="AK29" s="46"/>
      <c r="AL29" s="46"/>
      <c r="AM29" s="141"/>
    </row>
    <row r="30" spans="2:39" x14ac:dyDescent="0.35">
      <c r="B30" s="2"/>
      <c r="C30" s="2"/>
      <c r="D30" s="2"/>
      <c r="E30" s="2"/>
      <c r="F30" s="13"/>
      <c r="G30" s="13"/>
      <c r="H30" s="2"/>
      <c r="I30" s="2"/>
      <c r="J30" s="2"/>
      <c r="K30" s="2"/>
      <c r="L30" s="2"/>
      <c r="M30" s="2"/>
      <c r="N30" s="2"/>
      <c r="O30" s="2"/>
      <c r="Z30" s="141">
        <v>586.85261000000003</v>
      </c>
      <c r="AA30" s="141">
        <v>594.64954999999998</v>
      </c>
      <c r="AB30" s="2">
        <f t="shared" si="8"/>
        <v>7.7969399999999496</v>
      </c>
      <c r="AC30" s="2">
        <f t="shared" si="9"/>
        <v>13.495790000000056</v>
      </c>
      <c r="AD30" s="2">
        <f t="shared" si="10"/>
        <v>0.36617850317925166</v>
      </c>
      <c r="AE30" s="2">
        <f t="shared" si="11"/>
        <v>0.63382149682074829</v>
      </c>
      <c r="AF30" s="2">
        <f t="shared" si="12"/>
        <v>0.12825544380231302</v>
      </c>
      <c r="AG30" s="2">
        <f t="shared" si="13"/>
        <v>4.6964386436121615E-2</v>
      </c>
      <c r="AH30" s="2">
        <f t="shared" si="14"/>
        <v>21.292730000000006</v>
      </c>
      <c r="AI30">
        <v>70</v>
      </c>
      <c r="AJ30">
        <f t="shared" si="15"/>
        <v>8.9778810661619115</v>
      </c>
      <c r="AK30" s="141"/>
      <c r="AL30" s="141"/>
      <c r="AM30" s="141"/>
    </row>
    <row r="31" spans="2:39" ht="16" thickBot="1" x14ac:dyDescent="0.4">
      <c r="B31" s="2"/>
      <c r="C31" s="2"/>
      <c r="D31" s="2"/>
      <c r="E31" s="104" t="s">
        <v>81</v>
      </c>
      <c r="G31" s="13"/>
      <c r="H31" s="9" t="s">
        <v>3</v>
      </c>
      <c r="I31" s="9" t="s">
        <v>4</v>
      </c>
      <c r="J31" s="9" t="s">
        <v>5</v>
      </c>
      <c r="K31" s="9" t="s">
        <v>6</v>
      </c>
      <c r="L31" s="9" t="s">
        <v>7</v>
      </c>
      <c r="M31" s="9" t="s">
        <v>8</v>
      </c>
      <c r="N31" s="9" t="s">
        <v>9</v>
      </c>
      <c r="O31" s="9" t="s">
        <v>10</v>
      </c>
      <c r="P31" s="44" t="s">
        <v>139</v>
      </c>
      <c r="V31" s="174">
        <v>625.45150999999998</v>
      </c>
      <c r="W31" s="174">
        <v>635.32654000000002</v>
      </c>
      <c r="X31" s="144">
        <f>W31-V31</f>
        <v>9.8750300000000379</v>
      </c>
      <c r="Y31" s="144"/>
      <c r="Z31" s="183">
        <v>608.14534000000003</v>
      </c>
      <c r="AA31" s="183">
        <v>617.75573999999995</v>
      </c>
      <c r="AB31" s="91">
        <f t="shared" si="8"/>
        <v>9.6103999999999132</v>
      </c>
      <c r="AC31" s="91">
        <f t="shared" si="9"/>
        <v>22.948700000000031</v>
      </c>
      <c r="AD31" s="91">
        <f t="shared" si="10"/>
        <v>0.29516786397658196</v>
      </c>
      <c r="AE31" s="91">
        <f t="shared" si="11"/>
        <v>0.70483213602341799</v>
      </c>
      <c r="AF31" s="91">
        <f t="shared" si="12"/>
        <v>0.10405394156330736</v>
      </c>
      <c r="AG31" s="91">
        <f t="shared" si="13"/>
        <v>3.0713379669585514E-2</v>
      </c>
      <c r="AH31" s="91">
        <f t="shared" si="14"/>
        <v>32.559099999999944</v>
      </c>
      <c r="AI31">
        <v>91</v>
      </c>
      <c r="AJ31">
        <f t="shared" si="15"/>
        <v>9.4689086822609703</v>
      </c>
      <c r="AK31" s="141"/>
      <c r="AL31" t="s">
        <v>609</v>
      </c>
      <c r="AM31" s="141"/>
    </row>
    <row r="32" spans="2:39" x14ac:dyDescent="0.35">
      <c r="B32" s="2"/>
      <c r="C32" s="2"/>
      <c r="D32" s="2"/>
      <c r="G32" s="49" t="s">
        <v>77</v>
      </c>
      <c r="H32" s="2">
        <f>AVERAGE(H8:H9,H11,H13,H15,H17,H19)</f>
        <v>5.1062414285714324</v>
      </c>
      <c r="I32" s="2">
        <f t="shared" ref="I32:P32" si="26">AVERAGE(I8:I9,I11,I13,I15,I17,I19)</f>
        <v>9.6775728571428576</v>
      </c>
      <c r="J32" s="2">
        <f t="shared" si="26"/>
        <v>0.34611200813490761</v>
      </c>
      <c r="K32" s="2">
        <f t="shared" si="26"/>
        <v>0.65388799186509239</v>
      </c>
      <c r="L32" s="2">
        <f t="shared" si="26"/>
        <v>0.19835120435705658</v>
      </c>
      <c r="M32" s="2">
        <f t="shared" si="26"/>
        <v>6.7835682585077509E-2</v>
      </c>
      <c r="N32" s="2">
        <f t="shared" si="26"/>
        <v>14.783814285714289</v>
      </c>
      <c r="O32" s="2">
        <f t="shared" si="26"/>
        <v>25.285714285714285</v>
      </c>
      <c r="P32" s="2">
        <f t="shared" si="26"/>
        <v>5.0233744758113668</v>
      </c>
      <c r="Z32" s="141">
        <v>640.70443999999998</v>
      </c>
      <c r="AA32" s="141">
        <v>648.93847000000005</v>
      </c>
      <c r="AB32" s="2">
        <f t="shared" si="8"/>
        <v>8.2340300000000752</v>
      </c>
      <c r="AC32" s="2">
        <f t="shared" si="9"/>
        <v>10.698379999999929</v>
      </c>
      <c r="AD32" s="2">
        <f t="shared" si="10"/>
        <v>0.43491716057279939</v>
      </c>
      <c r="AE32" s="2">
        <f t="shared" si="11"/>
        <v>0.56508283942720061</v>
      </c>
      <c r="AF32" s="2">
        <f t="shared" si="12"/>
        <v>0.12144721357585421</v>
      </c>
      <c r="AG32" s="2">
        <f t="shared" si="13"/>
        <v>5.2819477287888848E-2</v>
      </c>
      <c r="AH32" s="2">
        <f t="shared" si="14"/>
        <v>18.932410000000004</v>
      </c>
      <c r="AI32">
        <v>91</v>
      </c>
      <c r="AJ32">
        <f t="shared" si="15"/>
        <v>11.051696435402734</v>
      </c>
      <c r="AK32" s="141"/>
      <c r="AL32" s="141"/>
      <c r="AM32" s="141"/>
    </row>
    <row r="33" spans="1:42" x14ac:dyDescent="0.35">
      <c r="A33" s="13"/>
      <c r="B33" s="6"/>
      <c r="D33" s="2"/>
      <c r="G33" s="49" t="s">
        <v>94</v>
      </c>
      <c r="H33" s="2">
        <f>_xlfn.STDEV.S(H8:H9,H11,H13,H15,H17,H19)</f>
        <v>0.64656490041419268</v>
      </c>
      <c r="I33" s="2">
        <f t="shared" ref="I33:P33" si="27">_xlfn.STDEV.S(I8:I9,I11,I13,I15,I17,I19)</f>
        <v>0.99876204152464598</v>
      </c>
      <c r="J33" s="2">
        <f t="shared" si="27"/>
        <v>4.4950619268868647E-2</v>
      </c>
      <c r="K33" s="2">
        <f t="shared" si="27"/>
        <v>4.4950619268868994E-2</v>
      </c>
      <c r="L33" s="2">
        <f t="shared" si="27"/>
        <v>2.3226121319579438E-2</v>
      </c>
      <c r="M33" s="2">
        <f t="shared" si="27"/>
        <v>4.0299543140102324E-3</v>
      </c>
      <c r="N33" s="2">
        <f t="shared" si="27"/>
        <v>0.83194619244791101</v>
      </c>
      <c r="O33" s="2">
        <f t="shared" si="27"/>
        <v>3.3022358947782524</v>
      </c>
      <c r="P33" s="2">
        <f t="shared" si="27"/>
        <v>0.95204384277932941</v>
      </c>
      <c r="Y33" s="180"/>
      <c r="Z33" s="45">
        <v>659.63684999999998</v>
      </c>
      <c r="AA33" s="45">
        <v>667.52434000000005</v>
      </c>
      <c r="AB33" s="2">
        <f t="shared" si="8"/>
        <v>7.8874900000000707</v>
      </c>
      <c r="AC33" s="2">
        <f t="shared" si="9"/>
        <v>11.424849999999992</v>
      </c>
      <c r="AD33" s="2">
        <f t="shared" si="10"/>
        <v>0.40841710533265491</v>
      </c>
      <c r="AE33" s="2">
        <f t="shared" si="11"/>
        <v>0.59158289466734504</v>
      </c>
      <c r="AF33" s="2">
        <f t="shared" si="12"/>
        <v>0.12678304504981827</v>
      </c>
      <c r="AG33" s="2">
        <f t="shared" si="13"/>
        <v>5.1780364264506357E-2</v>
      </c>
      <c r="AH33" s="2">
        <f t="shared" si="14"/>
        <v>19.312340000000063</v>
      </c>
      <c r="AI33">
        <v>76</v>
      </c>
      <c r="AJ33">
        <f t="shared" si="15"/>
        <v>9.6355114237861876</v>
      </c>
      <c r="AK33" s="45"/>
      <c r="AL33" s="45"/>
      <c r="AM33" s="45"/>
      <c r="AN33" s="180"/>
      <c r="AO33" s="180"/>
    </row>
    <row r="34" spans="1:42" x14ac:dyDescent="0.35">
      <c r="A34" s="13"/>
      <c r="B34" s="28"/>
      <c r="C34" s="13"/>
      <c r="D34" s="13"/>
      <c r="G34" s="49" t="s">
        <v>95</v>
      </c>
      <c r="H34" s="2">
        <f>H33/SQRT(7)</f>
        <v>0.24437856185131382</v>
      </c>
      <c r="I34" s="2">
        <f t="shared" ref="I34:P34" si="28">I33/SQRT(7)</f>
        <v>0.37749656868648274</v>
      </c>
      <c r="J34" s="2">
        <f t="shared" si="28"/>
        <v>1.6989737123396353E-2</v>
      </c>
      <c r="K34" s="2">
        <f t="shared" si="28"/>
        <v>1.6989737123396482E-2</v>
      </c>
      <c r="L34" s="2">
        <f t="shared" si="28"/>
        <v>8.7786487046032195E-3</v>
      </c>
      <c r="M34" s="2">
        <f t="shared" si="28"/>
        <v>1.5231795585461392E-3</v>
      </c>
      <c r="N34" s="2">
        <f t="shared" si="28"/>
        <v>0.31444610420060781</v>
      </c>
      <c r="O34" s="2">
        <f t="shared" si="28"/>
        <v>1.2481278497220161</v>
      </c>
      <c r="P34" s="2">
        <f t="shared" si="28"/>
        <v>0.35983874931776882</v>
      </c>
      <c r="Q34" s="13"/>
      <c r="R34" s="13"/>
      <c r="S34" s="13"/>
      <c r="V34" s="174">
        <v>692.17147999999997</v>
      </c>
      <c r="W34" s="174">
        <v>699.04650000000004</v>
      </c>
      <c r="X34" s="144">
        <f>W34-V34</f>
        <v>6.8750200000000632</v>
      </c>
      <c r="Y34" s="181"/>
      <c r="Z34" s="174">
        <v>678.94919000000004</v>
      </c>
      <c r="AA34" s="174">
        <v>687.66561000000002</v>
      </c>
      <c r="AB34" s="91">
        <f t="shared" si="8"/>
        <v>8.716419999999971</v>
      </c>
      <c r="AC34" s="91">
        <f t="shared" si="9"/>
        <v>20.031370000000038</v>
      </c>
      <c r="AD34" s="91">
        <f t="shared" si="10"/>
        <v>0.30320313317997549</v>
      </c>
      <c r="AE34" s="91">
        <f t="shared" si="11"/>
        <v>0.69679686682002451</v>
      </c>
      <c r="AF34" s="91">
        <f t="shared" si="12"/>
        <v>0.11472599989445247</v>
      </c>
      <c r="AG34" s="91">
        <f t="shared" si="13"/>
        <v>3.4785282625203529E-2</v>
      </c>
      <c r="AH34" s="91">
        <f t="shared" si="14"/>
        <v>28.747790000000009</v>
      </c>
      <c r="AI34">
        <v>86</v>
      </c>
      <c r="AJ34">
        <f t="shared" si="15"/>
        <v>9.8664359909229109</v>
      </c>
      <c r="AK34" s="45"/>
      <c r="AL34" s="45"/>
      <c r="AM34" s="45"/>
      <c r="AN34" s="180"/>
      <c r="AO34" s="180"/>
    </row>
    <row r="35" spans="1:42" x14ac:dyDescent="0.35">
      <c r="A35" s="13"/>
      <c r="B35" s="13"/>
      <c r="C35" s="13"/>
      <c r="D35" s="13"/>
      <c r="H35" s="2"/>
      <c r="I35" s="2"/>
      <c r="J35" s="2"/>
      <c r="K35" s="2"/>
      <c r="L35" s="2"/>
      <c r="M35" s="2"/>
      <c r="N35" s="2"/>
      <c r="Q35" s="13"/>
      <c r="R35" s="13"/>
      <c r="S35" s="13"/>
      <c r="Y35" s="180"/>
      <c r="Z35" s="45">
        <v>707.69698000000005</v>
      </c>
      <c r="AA35" s="45">
        <v>716.66058999999996</v>
      </c>
      <c r="AB35" s="2">
        <f t="shared" si="8"/>
        <v>8.9636099999999033</v>
      </c>
      <c r="AC35" s="2">
        <f t="shared" si="9"/>
        <v>11.241399999999999</v>
      </c>
      <c r="AD35" s="2">
        <f t="shared" si="10"/>
        <v>0.44363303952831235</v>
      </c>
      <c r="AE35" s="2">
        <f t="shared" si="11"/>
        <v>0.55636696047168765</v>
      </c>
      <c r="AF35" s="2">
        <f t="shared" si="12"/>
        <v>0.11156219424986259</v>
      </c>
      <c r="AG35" s="2">
        <f t="shared" si="13"/>
        <v>4.9492675331514552E-2</v>
      </c>
      <c r="AH35" s="2">
        <f t="shared" si="14"/>
        <v>20.205009999999902</v>
      </c>
      <c r="AI35">
        <v>90</v>
      </c>
      <c r="AJ35">
        <f t="shared" si="15"/>
        <v>10.040597482487632</v>
      </c>
      <c r="AK35" s="45"/>
      <c r="AL35" s="45"/>
      <c r="AM35" s="45"/>
      <c r="AN35" s="180"/>
      <c r="AO35" s="180"/>
    </row>
    <row r="36" spans="1:42" x14ac:dyDescent="0.35">
      <c r="A36" s="13"/>
      <c r="B36" s="13"/>
      <c r="C36" s="13"/>
      <c r="D36" s="13"/>
      <c r="H36" s="2"/>
      <c r="I36" s="2"/>
      <c r="J36" s="2"/>
      <c r="K36" s="2"/>
      <c r="L36" s="2"/>
      <c r="M36" s="2"/>
      <c r="N36" s="2"/>
      <c r="Q36" s="13"/>
      <c r="R36" s="13"/>
      <c r="S36" s="13"/>
      <c r="Y36" s="180"/>
      <c r="Z36" s="45">
        <v>727.90198999999996</v>
      </c>
      <c r="AA36" s="45">
        <v>736.43331999999998</v>
      </c>
      <c r="AB36" s="2">
        <f t="shared" si="8"/>
        <v>8.5313300000000254</v>
      </c>
      <c r="AC36" s="2">
        <f t="shared" si="9"/>
        <v>11.74804000000006</v>
      </c>
      <c r="AD36" s="2">
        <f t="shared" si="10"/>
        <v>0.42069009047125178</v>
      </c>
      <c r="AE36" s="2">
        <f t="shared" si="11"/>
        <v>0.57930990952874817</v>
      </c>
      <c r="AF36" s="2">
        <f t="shared" si="12"/>
        <v>0.11721501805697318</v>
      </c>
      <c r="AG36" s="2">
        <f t="shared" si="13"/>
        <v>4.931119655097746E-2</v>
      </c>
      <c r="AH36" s="2">
        <f t="shared" si="14"/>
        <v>20.279370000000085</v>
      </c>
      <c r="AI36">
        <v>90</v>
      </c>
      <c r="AJ36">
        <f t="shared" si="15"/>
        <v>10.549351625127587</v>
      </c>
      <c r="AK36" s="45"/>
      <c r="AL36" t="s">
        <v>611</v>
      </c>
      <c r="AM36" s="45"/>
      <c r="AN36" s="180"/>
      <c r="AO36" s="180"/>
      <c r="AP36">
        <v>81</v>
      </c>
    </row>
    <row r="37" spans="1:42" ht="16" thickBot="1" x14ac:dyDescent="0.4">
      <c r="A37" s="13"/>
      <c r="B37" s="14"/>
      <c r="C37" s="14"/>
      <c r="D37" s="14"/>
      <c r="E37" s="104" t="s">
        <v>82</v>
      </c>
      <c r="G37" s="13"/>
      <c r="H37" s="9" t="s">
        <v>3</v>
      </c>
      <c r="I37" s="9" t="s">
        <v>4</v>
      </c>
      <c r="J37" s="9" t="s">
        <v>5</v>
      </c>
      <c r="K37" s="9" t="s">
        <v>6</v>
      </c>
      <c r="L37" s="9" t="s">
        <v>7</v>
      </c>
      <c r="M37" s="9" t="s">
        <v>8</v>
      </c>
      <c r="N37" s="9" t="s">
        <v>9</v>
      </c>
      <c r="O37" s="9" t="s">
        <v>10</v>
      </c>
      <c r="P37" s="44" t="s">
        <v>139</v>
      </c>
      <c r="Q37" s="13"/>
      <c r="R37" s="14"/>
      <c r="S37" s="13"/>
      <c r="V37" s="174">
        <v>758.07919000000004</v>
      </c>
      <c r="W37" s="174">
        <v>764.95421999999996</v>
      </c>
      <c r="X37" s="144">
        <f>W37-V37</f>
        <v>6.8750299999999243</v>
      </c>
      <c r="Y37" s="181"/>
      <c r="Z37" s="174">
        <v>748.18136000000004</v>
      </c>
      <c r="AA37" s="174">
        <v>756.29519000000005</v>
      </c>
      <c r="AB37" s="91">
        <f t="shared" si="8"/>
        <v>8.1138300000000072</v>
      </c>
      <c r="AC37" s="91">
        <f t="shared" si="9"/>
        <v>16.170569999999998</v>
      </c>
      <c r="AD37" s="91">
        <f t="shared" si="10"/>
        <v>0.33411696397687429</v>
      </c>
      <c r="AE37" s="91">
        <f t="shared" si="11"/>
        <v>0.66588303602312571</v>
      </c>
      <c r="AF37" s="91">
        <f t="shared" si="12"/>
        <v>0.12324635837822571</v>
      </c>
      <c r="AG37" s="91">
        <f t="shared" si="13"/>
        <v>4.1178699082538572E-2</v>
      </c>
      <c r="AH37" s="91">
        <f t="shared" si="14"/>
        <v>24.284400000000005</v>
      </c>
      <c r="AI37">
        <v>81</v>
      </c>
      <c r="AJ37">
        <f t="shared" si="15"/>
        <v>9.9829550286362831</v>
      </c>
      <c r="AK37" s="45"/>
      <c r="AL37" s="164"/>
      <c r="AM37" s="164"/>
      <c r="AN37" s="180"/>
      <c r="AO37" s="180"/>
      <c r="AP37">
        <v>93</v>
      </c>
    </row>
    <row r="38" spans="1:42" x14ac:dyDescent="0.35">
      <c r="A38" s="13"/>
      <c r="B38" s="13"/>
      <c r="C38" s="328"/>
      <c r="D38" s="13"/>
      <c r="G38" s="49" t="s">
        <v>77</v>
      </c>
      <c r="H38" s="2">
        <f>AVERAGE(H7,H10,H12,H14,H16,H18,H20)</f>
        <v>4.7077742857142795</v>
      </c>
      <c r="I38" s="2">
        <f t="shared" ref="I38:P38" si="29">AVERAGE(I7,I10,I12,I14,I16,I18,I20)</f>
        <v>9.9963157142857142</v>
      </c>
      <c r="J38" s="2">
        <f t="shared" si="29"/>
        <v>0.32075778709957142</v>
      </c>
      <c r="K38" s="2">
        <f t="shared" si="29"/>
        <v>0.67924221290042852</v>
      </c>
      <c r="L38" s="2">
        <f t="shared" si="29"/>
        <v>0.21433830426300812</v>
      </c>
      <c r="M38" s="2">
        <f t="shared" si="29"/>
        <v>6.8129021972243478E-2</v>
      </c>
      <c r="N38" s="2">
        <f t="shared" si="29"/>
        <v>14.704089999999995</v>
      </c>
      <c r="O38" s="2">
        <f t="shared" si="29"/>
        <v>25.714285714285715</v>
      </c>
      <c r="P38" s="2">
        <f t="shared" si="29"/>
        <v>5.4792185195429601</v>
      </c>
      <c r="Q38" s="13"/>
      <c r="R38" s="13"/>
      <c r="S38" s="13"/>
      <c r="U38" s="85"/>
      <c r="V38" s="85"/>
      <c r="W38" s="85"/>
      <c r="X38" s="85"/>
      <c r="Y38" s="180"/>
      <c r="Z38" s="45">
        <v>772.46576000000005</v>
      </c>
      <c r="AA38" s="45">
        <v>781.40698999999995</v>
      </c>
      <c r="AB38" s="2">
        <f t="shared" si="8"/>
        <v>8.941229999999905</v>
      </c>
      <c r="AC38" s="2">
        <f t="shared" si="9"/>
        <v>10.441059999999993</v>
      </c>
      <c r="AD38" s="2">
        <f t="shared" si="10"/>
        <v>0.46130926737758809</v>
      </c>
      <c r="AE38" s="2">
        <f t="shared" si="11"/>
        <v>0.53869073262241185</v>
      </c>
      <c r="AF38" s="2">
        <f t="shared" si="12"/>
        <v>0.1118414356861428</v>
      </c>
      <c r="AG38" s="2">
        <f t="shared" si="13"/>
        <v>5.1593490758832176E-2</v>
      </c>
      <c r="AH38" s="2">
        <f t="shared" si="14"/>
        <v>19.382289999999898</v>
      </c>
      <c r="AI38">
        <v>93</v>
      </c>
      <c r="AJ38">
        <f t="shared" si="15"/>
        <v>10.401253518811281</v>
      </c>
      <c r="AK38" s="45"/>
      <c r="AL38" s="45"/>
      <c r="AM38" s="45"/>
      <c r="AN38" s="180"/>
      <c r="AO38" s="180"/>
      <c r="AP38">
        <v>86</v>
      </c>
    </row>
    <row r="39" spans="1:42" s="85" customFormat="1" x14ac:dyDescent="0.35">
      <c r="A39" s="13"/>
      <c r="B39" s="13"/>
      <c r="C39" s="328"/>
      <c r="D39" s="13"/>
      <c r="E39"/>
      <c r="F39"/>
      <c r="G39" s="49" t="s">
        <v>94</v>
      </c>
      <c r="H39" s="2">
        <f>_xlfn.STDEV.S(H7,H10,H12,H14,H16,H18,H20)</f>
        <v>0.47775724305889955</v>
      </c>
      <c r="I39" s="2">
        <f t="shared" ref="I39:P39" si="30">_xlfn.STDEV.S(I7,I10,I12,I14,I16,I18,I20)</f>
        <v>0.82951940449188399</v>
      </c>
      <c r="J39" s="2">
        <f t="shared" si="30"/>
        <v>3.5473293021448596E-2</v>
      </c>
      <c r="K39" s="2">
        <f t="shared" si="30"/>
        <v>3.5473293021448839E-2</v>
      </c>
      <c r="L39" s="2">
        <f t="shared" si="30"/>
        <v>2.2264574860051595E-2</v>
      </c>
      <c r="M39" s="2">
        <f t="shared" si="30"/>
        <v>3.1403558685569378E-3</v>
      </c>
      <c r="N39" s="2">
        <f t="shared" si="30"/>
        <v>0.66034953062752944</v>
      </c>
      <c r="O39" s="2">
        <f t="shared" si="30"/>
        <v>7.2735659689564871</v>
      </c>
      <c r="P39" s="2">
        <f t="shared" si="30"/>
        <v>1.596319757751179</v>
      </c>
      <c r="Q39" s="13"/>
      <c r="R39" s="13"/>
      <c r="S39" s="13"/>
      <c r="V39" s="174">
        <v>803.74329</v>
      </c>
      <c r="W39" s="174">
        <v>810.61832000000004</v>
      </c>
      <c r="X39" s="144">
        <f>W39-V39</f>
        <v>6.8750300000000379</v>
      </c>
      <c r="Y39" s="181"/>
      <c r="Z39" s="174">
        <v>791.84804999999994</v>
      </c>
      <c r="AA39" s="174">
        <v>799.78346999999997</v>
      </c>
      <c r="AB39" s="91">
        <f t="shared" si="8"/>
        <v>7.9354200000000219</v>
      </c>
      <c r="AC39" s="91">
        <f t="shared" si="9"/>
        <v>16.116600000000062</v>
      </c>
      <c r="AD39" s="91">
        <f t="shared" si="10"/>
        <v>0.32992738239865066</v>
      </c>
      <c r="AE39" s="91">
        <f t="shared" si="11"/>
        <v>0.67007261760134929</v>
      </c>
      <c r="AF39" s="91">
        <f t="shared" si="12"/>
        <v>0.12601727444798097</v>
      </c>
      <c r="AG39" s="91">
        <f t="shared" si="13"/>
        <v>4.1576549495634732E-2</v>
      </c>
      <c r="AH39" s="91">
        <f t="shared" si="14"/>
        <v>24.052020000000084</v>
      </c>
      <c r="AI39">
        <v>86</v>
      </c>
      <c r="AJ39">
        <f t="shared" si="15"/>
        <v>10.837485602526364</v>
      </c>
      <c r="AK39" s="180"/>
      <c r="AL39" s="45"/>
      <c r="AM39" s="45"/>
      <c r="AN39" s="180"/>
      <c r="AO39" s="180"/>
      <c r="AP39" s="85">
        <v>110</v>
      </c>
    </row>
    <row r="40" spans="1:42" s="85" customFormat="1" x14ac:dyDescent="0.35">
      <c r="A40" s="13"/>
      <c r="B40" s="13"/>
      <c r="C40" s="328"/>
      <c r="D40" s="13"/>
      <c r="E40"/>
      <c r="F40"/>
      <c r="G40" s="49" t="s">
        <v>95</v>
      </c>
      <c r="H40" s="2">
        <f>H39/SQRT(7)</f>
        <v>0.18057526459909823</v>
      </c>
      <c r="I40" s="2">
        <f t="shared" ref="I40:P40" si="31">I39/SQRT(7)</f>
        <v>0.31352886456970291</v>
      </c>
      <c r="J40" s="2">
        <f t="shared" si="31"/>
        <v>1.3407644502753715E-2</v>
      </c>
      <c r="K40" s="2">
        <f t="shared" si="31"/>
        <v>1.3407644502753807E-2</v>
      </c>
      <c r="L40" s="2">
        <f t="shared" si="31"/>
        <v>8.4152183037538904E-3</v>
      </c>
      <c r="M40" s="2">
        <f t="shared" si="31"/>
        <v>1.186942950920557E-3</v>
      </c>
      <c r="N40" s="2">
        <f t="shared" si="31"/>
        <v>0.24958866234552471</v>
      </c>
      <c r="O40" s="2">
        <f t="shared" si="31"/>
        <v>2.7491495283544878</v>
      </c>
      <c r="P40" s="2">
        <f t="shared" si="31"/>
        <v>0.60335215599264158</v>
      </c>
      <c r="Q40" s="13"/>
      <c r="R40" s="13"/>
      <c r="S40" s="13"/>
      <c r="V40" s="174">
        <v>827.96736999999996</v>
      </c>
      <c r="W40" s="174">
        <v>834.84239000000002</v>
      </c>
      <c r="X40" s="144">
        <f>W40-V40</f>
        <v>6.8750200000000632</v>
      </c>
      <c r="Y40" s="181"/>
      <c r="Z40" s="174">
        <v>815.90007000000003</v>
      </c>
      <c r="AA40" s="174">
        <v>824.54192999999998</v>
      </c>
      <c r="AB40" s="91">
        <f t="shared" si="8"/>
        <v>8.6418599999999515</v>
      </c>
      <c r="AC40" s="91">
        <f t="shared" si="9"/>
        <v>14.344440000000077</v>
      </c>
      <c r="AD40" s="91">
        <f t="shared" si="10"/>
        <v>0.37595698307252323</v>
      </c>
      <c r="AE40" s="91">
        <f t="shared" si="11"/>
        <v>0.62404301692747677</v>
      </c>
      <c r="AF40" s="91">
        <f t="shared" si="12"/>
        <v>0.11571582969407114</v>
      </c>
      <c r="AG40" s="91">
        <f t="shared" si="13"/>
        <v>4.3504174225516883E-2</v>
      </c>
      <c r="AH40" s="91">
        <f t="shared" si="14"/>
        <v>22.986300000000028</v>
      </c>
      <c r="AI40" s="85">
        <v>110</v>
      </c>
      <c r="AJ40">
        <f t="shared" si="15"/>
        <v>12.728741266347825</v>
      </c>
      <c r="AK40" s="180"/>
      <c r="AL40" s="45"/>
      <c r="AM40" s="45"/>
      <c r="AN40" s="180"/>
      <c r="AO40" s="180"/>
      <c r="AP40" s="85">
        <v>16</v>
      </c>
    </row>
    <row r="41" spans="1:42" s="85" customFormat="1" x14ac:dyDescent="0.35">
      <c r="A41" s="13"/>
      <c r="B41" s="13"/>
      <c r="C41" s="328"/>
      <c r="D41" s="13"/>
      <c r="E41" s="13"/>
      <c r="F41" s="13"/>
      <c r="G41" s="13"/>
      <c r="H41" s="13"/>
      <c r="I41" s="13"/>
      <c r="J41" s="13"/>
      <c r="K41" s="13"/>
      <c r="L41" s="13"/>
      <c r="M41" s="13"/>
      <c r="N41" s="13"/>
      <c r="O41" s="13"/>
      <c r="P41" s="13"/>
      <c r="Q41" s="13"/>
      <c r="R41" s="13"/>
      <c r="S41" s="13"/>
      <c r="Y41" s="180"/>
      <c r="Z41" s="45">
        <v>838.88637000000006</v>
      </c>
      <c r="AA41" s="45">
        <v>846.37829999999997</v>
      </c>
      <c r="AB41" s="2">
        <f>AA41-Z41</f>
        <v>7.4919299999999112</v>
      </c>
      <c r="AC41" s="2">
        <f>Z42-AA41</f>
        <v>17.029350000000022</v>
      </c>
      <c r="AD41" s="2">
        <f>AB41/AH41</f>
        <v>0.30552768860352852</v>
      </c>
      <c r="AE41" s="2">
        <f>AC41/AH41</f>
        <v>0.69447231139647148</v>
      </c>
      <c r="AF41" s="2">
        <f>1/AB41</f>
        <v>0.13347695453641609</v>
      </c>
      <c r="AG41" s="2">
        <f t="shared" si="13"/>
        <v>4.0780905401349467E-2</v>
      </c>
      <c r="AH41" s="2">
        <f>AB41+AC41</f>
        <v>24.521279999999933</v>
      </c>
      <c r="AI41" s="45">
        <f>16+71</f>
        <v>87</v>
      </c>
      <c r="AJ41">
        <f t="shared" si="15"/>
        <v>11.612495044668201</v>
      </c>
      <c r="AK41" s="180"/>
      <c r="AL41" t="s">
        <v>612</v>
      </c>
      <c r="AM41" s="180"/>
      <c r="AN41" s="180"/>
      <c r="AO41" s="180"/>
      <c r="AP41" s="85">
        <v>71</v>
      </c>
    </row>
    <row r="42" spans="1:42" s="85" customFormat="1" x14ac:dyDescent="0.35">
      <c r="A42" s="13"/>
      <c r="B42" s="13"/>
      <c r="C42" s="328"/>
      <c r="D42" s="13"/>
      <c r="E42" s="13"/>
      <c r="F42" s="13"/>
      <c r="G42" s="13"/>
      <c r="H42" s="13"/>
      <c r="I42" s="13"/>
      <c r="J42" s="13"/>
      <c r="K42" s="13"/>
      <c r="L42" s="13"/>
      <c r="M42" s="13"/>
      <c r="N42" s="13"/>
      <c r="O42" s="13"/>
      <c r="P42" s="13"/>
      <c r="Q42" s="13"/>
      <c r="R42" s="13"/>
      <c r="S42" s="13"/>
      <c r="V42" s="183">
        <v>878.82273999999995</v>
      </c>
      <c r="W42" s="183">
        <v>886.23063000000002</v>
      </c>
      <c r="X42" s="144">
        <f>W42-V42</f>
        <v>7.4078900000000658</v>
      </c>
      <c r="Y42" s="181"/>
      <c r="Z42" s="174">
        <v>863.40764999999999</v>
      </c>
      <c r="AA42" s="174">
        <v>872.26142000000004</v>
      </c>
      <c r="AB42" s="91">
        <f t="shared" si="8"/>
        <v>8.8537700000000541</v>
      </c>
      <c r="AC42" s="91">
        <f t="shared" si="9"/>
        <v>28.390609999999924</v>
      </c>
      <c r="AD42" s="91">
        <f t="shared" si="10"/>
        <v>0.23772096622363051</v>
      </c>
      <c r="AE42" s="91">
        <f t="shared" si="11"/>
        <v>0.76227903377636952</v>
      </c>
      <c r="AF42" s="91">
        <f t="shared" si="12"/>
        <v>0.11294623646198104</v>
      </c>
      <c r="AG42" s="91">
        <f t="shared" si="13"/>
        <v>2.6849688463064778E-2</v>
      </c>
      <c r="AH42" s="91">
        <f t="shared" si="14"/>
        <v>37.244379999999978</v>
      </c>
      <c r="AI42" s="85">
        <v>124</v>
      </c>
      <c r="AJ42">
        <f t="shared" si="15"/>
        <v>14.005333321285649</v>
      </c>
      <c r="AK42" s="180"/>
      <c r="AL42" s="180"/>
      <c r="AM42" s="180"/>
      <c r="AN42" s="180"/>
      <c r="AO42" s="180"/>
      <c r="AP42" s="85">
        <v>124</v>
      </c>
    </row>
    <row r="43" spans="1:42" s="85" customFormat="1" x14ac:dyDescent="0.35">
      <c r="A43" s="13"/>
      <c r="B43" s="13"/>
      <c r="C43" s="328"/>
      <c r="D43" s="13"/>
      <c r="E43" s="13"/>
      <c r="F43" s="13"/>
      <c r="G43" s="13"/>
      <c r="H43" s="13"/>
      <c r="I43" s="13"/>
      <c r="J43" s="13"/>
      <c r="K43" s="13"/>
      <c r="L43" s="13"/>
      <c r="M43" s="13"/>
      <c r="N43" s="13"/>
      <c r="O43" s="13"/>
      <c r="P43" s="13"/>
      <c r="Q43" s="13"/>
      <c r="R43" s="13"/>
      <c r="S43" s="13"/>
      <c r="Z43" s="45">
        <v>900.65202999999997</v>
      </c>
      <c r="AA43" s="45">
        <v>909.74725999999998</v>
      </c>
      <c r="AB43" s="2">
        <f t="shared" si="8"/>
        <v>9.095230000000015</v>
      </c>
      <c r="AC43" s="2">
        <f t="shared" si="9"/>
        <v>10.45196999999996</v>
      </c>
      <c r="AD43" s="2">
        <f t="shared" si="10"/>
        <v>0.46529579684046957</v>
      </c>
      <c r="AE43" s="2">
        <f t="shared" si="11"/>
        <v>0.53470420315953049</v>
      </c>
      <c r="AF43" s="2">
        <f t="shared" si="12"/>
        <v>0.10994774183830407</v>
      </c>
      <c r="AG43" s="2">
        <f t="shared" si="13"/>
        <v>5.1158222149463924E-2</v>
      </c>
      <c r="AH43" s="2">
        <f t="shared" si="14"/>
        <v>19.547199999999975</v>
      </c>
      <c r="AI43" s="85">
        <v>114</v>
      </c>
      <c r="AJ43">
        <f t="shared" si="15"/>
        <v>12.534042569566664</v>
      </c>
      <c r="AK43" s="180"/>
      <c r="AL43" s="180"/>
      <c r="AM43" s="180"/>
      <c r="AN43" s="180"/>
      <c r="AO43" s="180"/>
      <c r="AP43" s="85">
        <v>114</v>
      </c>
    </row>
    <row r="44" spans="1:42" s="85" customFormat="1" x14ac:dyDescent="0.35">
      <c r="A44" s="13"/>
      <c r="B44" s="13"/>
      <c r="C44" s="328"/>
      <c r="D44" s="13"/>
      <c r="E44" s="13"/>
      <c r="F44" s="13"/>
      <c r="G44" s="13"/>
      <c r="H44" s="13"/>
      <c r="I44" s="13"/>
      <c r="J44" s="13"/>
      <c r="K44" s="13"/>
      <c r="L44" s="13"/>
      <c r="M44" s="13"/>
      <c r="N44" s="13"/>
      <c r="O44" s="13"/>
      <c r="P44" s="13"/>
      <c r="Q44" s="13"/>
      <c r="R44" s="13"/>
      <c r="S44" s="13"/>
      <c r="Y44" s="180"/>
      <c r="Z44" s="45">
        <v>920.19922999999994</v>
      </c>
      <c r="AA44" s="45">
        <v>928.37550999999996</v>
      </c>
      <c r="AB44" s="2">
        <f t="shared" si="8"/>
        <v>8.1762800000000198</v>
      </c>
      <c r="AC44" s="2">
        <f t="shared" si="9"/>
        <v>16.010210000000029</v>
      </c>
      <c r="AD44" s="2">
        <f t="shared" si="10"/>
        <v>0.33805153207431105</v>
      </c>
      <c r="AE44" s="2">
        <f t="shared" si="11"/>
        <v>0.66194846792568895</v>
      </c>
      <c r="AF44" s="2">
        <f t="shared" si="12"/>
        <v>0.12230500912395338</v>
      </c>
      <c r="AG44" s="2">
        <f t="shared" si="13"/>
        <v>4.134539571471503E-2</v>
      </c>
      <c r="AH44" s="2">
        <f t="shared" si="14"/>
        <v>24.186490000000049</v>
      </c>
      <c r="AI44" s="85">
        <v>100</v>
      </c>
      <c r="AJ44">
        <f t="shared" si="15"/>
        <v>12.230500912395339</v>
      </c>
      <c r="AK44" s="180"/>
      <c r="AL44" s="180"/>
      <c r="AM44" s="180"/>
      <c r="AN44" s="180"/>
      <c r="AO44" s="180"/>
      <c r="AP44" s="85">
        <v>100</v>
      </c>
    </row>
    <row r="45" spans="1:42" s="85" customFormat="1" x14ac:dyDescent="0.35">
      <c r="A45" s="13"/>
      <c r="B45" s="13"/>
      <c r="C45" s="328"/>
      <c r="D45" s="13"/>
      <c r="E45" s="13"/>
      <c r="F45" s="13"/>
      <c r="G45" s="13"/>
      <c r="H45" s="13"/>
      <c r="I45" s="13"/>
      <c r="J45" s="13"/>
      <c r="K45" s="13"/>
      <c r="L45" s="13"/>
      <c r="M45" s="13"/>
      <c r="N45" s="13"/>
      <c r="O45" s="13"/>
      <c r="P45" s="13"/>
      <c r="Q45" s="13"/>
      <c r="R45" s="13"/>
      <c r="S45" s="13"/>
      <c r="Y45" s="180"/>
      <c r="Z45" s="45">
        <v>944.38571999999999</v>
      </c>
      <c r="AA45" s="45">
        <v>952.47816</v>
      </c>
      <c r="AB45" s="2">
        <f t="shared" si="8"/>
        <v>8.0924400000000105</v>
      </c>
      <c r="AC45" s="2">
        <f t="shared" si="9"/>
        <v>14.82955000000004</v>
      </c>
      <c r="AD45" s="2">
        <f t="shared" si="10"/>
        <v>0.35304264594827905</v>
      </c>
      <c r="AE45" s="2">
        <f t="shared" si="11"/>
        <v>0.64695735405172095</v>
      </c>
      <c r="AF45" s="2">
        <f t="shared" si="12"/>
        <v>0.12357212410595553</v>
      </c>
      <c r="AG45" s="2">
        <f t="shared" si="13"/>
        <v>4.3626229659815649E-2</v>
      </c>
      <c r="AH45" s="2">
        <f t="shared" si="14"/>
        <v>22.921990000000051</v>
      </c>
      <c r="AI45" s="85">
        <v>106</v>
      </c>
      <c r="AJ45">
        <f t="shared" si="15"/>
        <v>13.098645155231285</v>
      </c>
      <c r="AK45" s="180"/>
      <c r="AL45" s="180"/>
      <c r="AM45" s="180"/>
      <c r="AN45" s="180"/>
      <c r="AO45" s="180"/>
      <c r="AP45" s="85">
        <v>106</v>
      </c>
    </row>
    <row r="46" spans="1:42" s="85" customFormat="1" x14ac:dyDescent="0.35">
      <c r="A46" s="13"/>
      <c r="B46" s="13"/>
      <c r="C46" s="328"/>
      <c r="D46" s="13"/>
      <c r="E46" s="13"/>
      <c r="F46" s="13"/>
      <c r="G46" s="13"/>
      <c r="H46" s="13"/>
      <c r="I46" s="13"/>
      <c r="J46" s="13"/>
      <c r="K46" s="13"/>
      <c r="L46" s="13"/>
      <c r="M46" s="13"/>
      <c r="N46" s="13"/>
      <c r="O46" s="13"/>
      <c r="P46" s="13"/>
      <c r="Q46" s="13"/>
      <c r="R46" s="13"/>
      <c r="S46" s="13"/>
      <c r="Y46" s="180"/>
      <c r="Z46" s="45">
        <v>967.30771000000004</v>
      </c>
      <c r="AA46" s="45">
        <v>975.98809000000006</v>
      </c>
      <c r="AB46" s="2">
        <f t="shared" si="8"/>
        <v>8.6803800000000138</v>
      </c>
      <c r="AC46" s="2">
        <f t="shared" si="9"/>
        <v>10.79043999999999</v>
      </c>
      <c r="AD46" s="2">
        <f t="shared" si="10"/>
        <v>0.44581481416807367</v>
      </c>
      <c r="AE46" s="2">
        <f t="shared" si="11"/>
        <v>0.55418518583192633</v>
      </c>
      <c r="AF46" s="2">
        <f t="shared" si="12"/>
        <v>0.11520232985191874</v>
      </c>
      <c r="AG46" s="2">
        <f t="shared" si="13"/>
        <v>5.1358905274662282E-2</v>
      </c>
      <c r="AH46" s="2">
        <f t="shared" si="14"/>
        <v>19.470820000000003</v>
      </c>
      <c r="AI46" s="85">
        <v>104</v>
      </c>
      <c r="AJ46">
        <f t="shared" si="15"/>
        <v>11.98104230459955</v>
      </c>
      <c r="AK46" s="180"/>
      <c r="AL46" t="s">
        <v>613</v>
      </c>
      <c r="AM46" s="180"/>
      <c r="AN46" s="180"/>
      <c r="AO46" s="180"/>
      <c r="AP46" s="85">
        <v>104</v>
      </c>
    </row>
    <row r="47" spans="1:42" s="85" customFormat="1" x14ac:dyDescent="0.35">
      <c r="A47" s="13"/>
      <c r="B47" s="13"/>
      <c r="C47" s="13"/>
      <c r="D47" s="13"/>
      <c r="E47" s="13"/>
      <c r="F47" s="13"/>
      <c r="G47" s="13"/>
      <c r="H47" s="13"/>
      <c r="I47" s="13"/>
      <c r="J47" s="13"/>
      <c r="K47" s="13"/>
      <c r="L47" s="13"/>
      <c r="M47" s="13"/>
      <c r="N47" s="13"/>
      <c r="O47" s="13"/>
      <c r="P47" s="13"/>
      <c r="Q47" s="13"/>
      <c r="R47" s="13"/>
      <c r="S47" s="13"/>
      <c r="U47"/>
      <c r="V47" s="176">
        <v>987.82169999999996</v>
      </c>
      <c r="W47" s="176">
        <v>994.57173999999998</v>
      </c>
      <c r="X47" s="157">
        <f>W47-V47</f>
        <v>6.7500400000000127</v>
      </c>
      <c r="Y47" s="188"/>
      <c r="Z47" s="178">
        <v>986.77853000000005</v>
      </c>
      <c r="AA47" s="178">
        <v>989.96767999999997</v>
      </c>
      <c r="AB47" s="132">
        <f t="shared" ref="AB47:AB61" si="32">AA47-Z47</f>
        <v>3.1891499999999269</v>
      </c>
      <c r="AC47" s="132">
        <f t="shared" ref="AC47:AC60" si="33">Z48-AA47</f>
        <v>14.649270000000001</v>
      </c>
      <c r="AD47" s="132">
        <f t="shared" ref="AD47:AD60" si="34">AB47/AH47</f>
        <v>0.17877984709407782</v>
      </c>
      <c r="AE47" s="132">
        <f t="shared" ref="AE47:AE60" si="35">AC47/AH47</f>
        <v>0.82122015290592221</v>
      </c>
      <c r="AF47" s="132">
        <f t="shared" ref="AF47:AF60" si="36">1/AB47</f>
        <v>0.31356317514071869</v>
      </c>
      <c r="AG47" s="132">
        <f t="shared" si="13"/>
        <v>5.6058776505991226E-2</v>
      </c>
      <c r="AH47" s="132">
        <f t="shared" ref="AH47:AH60" si="37">AB47+AC47</f>
        <v>17.838419999999928</v>
      </c>
      <c r="AI47" s="85">
        <v>51</v>
      </c>
      <c r="AJ47">
        <f t="shared" si="15"/>
        <v>15.991721932176652</v>
      </c>
      <c r="AK47" s="180"/>
      <c r="AL47" s="180"/>
      <c r="AM47" s="180"/>
      <c r="AN47" s="180"/>
      <c r="AO47" s="180"/>
      <c r="AP47" s="85">
        <v>51</v>
      </c>
    </row>
    <row r="48" spans="1:42" s="85" customFormat="1" x14ac:dyDescent="0.35">
      <c r="A48" s="13"/>
      <c r="B48" s="13"/>
      <c r="C48" s="13"/>
      <c r="D48" s="13"/>
      <c r="E48" s="13"/>
      <c r="F48" s="13"/>
      <c r="G48" s="13"/>
      <c r="H48" s="13"/>
      <c r="I48" s="13"/>
      <c r="J48" s="13"/>
      <c r="K48" s="13"/>
      <c r="L48" s="13"/>
      <c r="M48" s="13"/>
      <c r="N48" s="13"/>
      <c r="O48" s="13"/>
      <c r="P48" s="13"/>
      <c r="Q48" s="13"/>
      <c r="R48" s="13"/>
      <c r="S48" s="49" t="s">
        <v>359</v>
      </c>
      <c r="U48"/>
      <c r="Y48" s="182"/>
      <c r="Z48" s="45">
        <v>1004.61695</v>
      </c>
      <c r="AA48" s="45">
        <v>1011.1500600000001</v>
      </c>
      <c r="AB48" s="2">
        <f t="shared" si="32"/>
        <v>6.5331100000000788</v>
      </c>
      <c r="AC48" s="2">
        <f t="shared" si="33"/>
        <v>26.535999999999945</v>
      </c>
      <c r="AD48" s="2">
        <f t="shared" si="34"/>
        <v>0.19755929324980545</v>
      </c>
      <c r="AE48" s="2">
        <f t="shared" si="35"/>
        <v>0.80244070675019452</v>
      </c>
      <c r="AF48" s="2">
        <f t="shared" si="36"/>
        <v>0.15306645686357462</v>
      </c>
      <c r="AG48" s="2">
        <f t="shared" si="13"/>
        <v>3.0239701038219633E-2</v>
      </c>
      <c r="AH48" s="2">
        <f t="shared" si="37"/>
        <v>33.069110000000023</v>
      </c>
      <c r="AI48" s="85">
        <v>79</v>
      </c>
      <c r="AJ48">
        <f t="shared" si="15"/>
        <v>12.092250092222395</v>
      </c>
      <c r="AK48" s="180"/>
      <c r="AL48" s="180"/>
      <c r="AM48" s="180"/>
      <c r="AN48" s="180"/>
      <c r="AO48" s="180"/>
      <c r="AP48" s="85">
        <v>79</v>
      </c>
    </row>
    <row r="49" spans="1:42" s="85" customFormat="1" x14ac:dyDescent="0.35">
      <c r="A49" s="13"/>
      <c r="B49" s="13"/>
      <c r="C49" s="13"/>
      <c r="D49" s="13"/>
      <c r="E49" s="13"/>
      <c r="F49" s="13"/>
      <c r="G49" s="13"/>
      <c r="H49" s="13"/>
      <c r="I49" s="13"/>
      <c r="J49" s="13"/>
      <c r="K49" s="13"/>
      <c r="L49" s="13"/>
      <c r="M49" s="13"/>
      <c r="N49" s="13"/>
      <c r="O49" s="13"/>
      <c r="P49" s="13"/>
      <c r="Q49" s="13"/>
      <c r="R49" s="13"/>
      <c r="S49" s="13"/>
      <c r="T49" s="172" t="s">
        <v>32</v>
      </c>
      <c r="V49" s="176">
        <v>1038.66967</v>
      </c>
      <c r="W49" s="176">
        <v>1045.4196999999999</v>
      </c>
      <c r="X49" s="157">
        <f>W49-V49</f>
        <v>6.7500299999999243</v>
      </c>
      <c r="Y49" s="189"/>
      <c r="Z49" s="178">
        <v>1037.68606</v>
      </c>
      <c r="AA49" s="178">
        <v>1041.7722900000001</v>
      </c>
      <c r="AB49" s="132">
        <f t="shared" si="32"/>
        <v>4.0862300000001142</v>
      </c>
      <c r="AC49" s="132">
        <f t="shared" si="33"/>
        <v>14.026449999999841</v>
      </c>
      <c r="AD49" s="132">
        <f t="shared" si="34"/>
        <v>0.22560051853177576</v>
      </c>
      <c r="AE49" s="132">
        <f t="shared" si="35"/>
        <v>0.77439948146822424</v>
      </c>
      <c r="AF49" s="132">
        <f t="shared" si="36"/>
        <v>0.24472435472305085</v>
      </c>
      <c r="AG49" s="132">
        <f t="shared" si="13"/>
        <v>5.5209941322874496E-2</v>
      </c>
      <c r="AH49" s="132">
        <f t="shared" si="37"/>
        <v>18.112679999999955</v>
      </c>
      <c r="AI49" s="85">
        <v>54</v>
      </c>
      <c r="AJ49">
        <f t="shared" si="15"/>
        <v>13.215115155044746</v>
      </c>
      <c r="AK49" s="180"/>
      <c r="AL49" s="180"/>
      <c r="AM49" s="180"/>
      <c r="AN49" s="180"/>
      <c r="AO49" s="180"/>
      <c r="AP49" s="85">
        <v>54</v>
      </c>
    </row>
    <row r="50" spans="1:42" s="85" customFormat="1" ht="15.5" x14ac:dyDescent="0.35">
      <c r="A50" s="13"/>
      <c r="B50" s="13"/>
      <c r="C50" s="13"/>
      <c r="D50" s="13"/>
      <c r="E50" s="13"/>
      <c r="F50" s="13"/>
      <c r="G50" s="13"/>
      <c r="H50" s="14"/>
      <c r="I50" s="14"/>
      <c r="J50" s="14"/>
      <c r="K50" s="14"/>
      <c r="L50" s="14"/>
      <c r="M50" s="14"/>
      <c r="N50" s="14"/>
      <c r="O50" s="14"/>
      <c r="P50" s="14"/>
      <c r="Q50" s="13"/>
      <c r="R50" s="13"/>
      <c r="S50" s="13"/>
      <c r="T50" s="172" t="s">
        <v>32</v>
      </c>
      <c r="Y50" s="182"/>
      <c r="Z50" s="45">
        <v>1055.79874</v>
      </c>
      <c r="AA50" s="45">
        <v>1064.61013</v>
      </c>
      <c r="AB50" s="2">
        <f t="shared" si="32"/>
        <v>8.811390000000074</v>
      </c>
      <c r="AC50" s="2">
        <f t="shared" si="33"/>
        <v>11.619860000000017</v>
      </c>
      <c r="AD50" s="2">
        <f t="shared" si="34"/>
        <v>0.43127023554604027</v>
      </c>
      <c r="AE50" s="2">
        <f t="shared" si="35"/>
        <v>0.56872976445395973</v>
      </c>
      <c r="AF50" s="2">
        <f t="shared" si="36"/>
        <v>0.11348947214911513</v>
      </c>
      <c r="AG50" s="2">
        <f t="shared" si="13"/>
        <v>4.8944631385744661E-2</v>
      </c>
      <c r="AH50" s="2">
        <f t="shared" si="37"/>
        <v>20.431250000000091</v>
      </c>
      <c r="AI50" s="85">
        <v>109</v>
      </c>
      <c r="AJ50">
        <f t="shared" si="15"/>
        <v>12.37035246425355</v>
      </c>
      <c r="AK50" s="180"/>
      <c r="AL50" s="180"/>
      <c r="AM50" s="180"/>
      <c r="AN50" s="180"/>
      <c r="AO50" s="180"/>
      <c r="AP50" s="85">
        <v>109</v>
      </c>
    </row>
    <row r="51" spans="1:42" s="85" customFormat="1" x14ac:dyDescent="0.35">
      <c r="A51" s="13"/>
      <c r="B51" s="13"/>
      <c r="C51" s="13"/>
      <c r="D51" s="13"/>
      <c r="E51" s="49"/>
      <c r="F51" s="13"/>
      <c r="G51" s="49"/>
      <c r="H51" s="13"/>
      <c r="I51" s="13"/>
      <c r="J51" s="13"/>
      <c r="K51" s="13"/>
      <c r="L51" s="13"/>
      <c r="M51" s="13"/>
      <c r="N51" s="13"/>
      <c r="O51" s="13"/>
      <c r="P51" s="13"/>
      <c r="Q51" s="13"/>
      <c r="R51" s="13"/>
      <c r="S51" s="13"/>
      <c r="T51" s="172" t="s">
        <v>32</v>
      </c>
      <c r="V51" s="178">
        <v>1077.0697700000001</v>
      </c>
      <c r="W51" s="178">
        <v>1083.5679700000001</v>
      </c>
      <c r="X51" s="157">
        <f>W51-V51</f>
        <v>6.4981999999999971</v>
      </c>
      <c r="Y51" s="189"/>
      <c r="Z51" s="178">
        <v>1076.22999</v>
      </c>
      <c r="AA51" s="178">
        <v>1081.3895600000001</v>
      </c>
      <c r="AB51" s="132">
        <f t="shared" si="32"/>
        <v>5.1595700000000306</v>
      </c>
      <c r="AC51" s="132">
        <f t="shared" si="33"/>
        <v>13.688619999999901</v>
      </c>
      <c r="AD51" s="132">
        <f t="shared" si="34"/>
        <v>0.27374352656674455</v>
      </c>
      <c r="AE51" s="132">
        <f t="shared" si="35"/>
        <v>0.72625647343325539</v>
      </c>
      <c r="AF51" s="132">
        <f t="shared" si="36"/>
        <v>0.19381460082913771</v>
      </c>
      <c r="AG51" s="132">
        <f t="shared" si="13"/>
        <v>5.3055492331094051E-2</v>
      </c>
      <c r="AH51" s="132">
        <f t="shared" si="37"/>
        <v>18.848189999999931</v>
      </c>
      <c r="AI51" s="45">
        <f>51+17</f>
        <v>68</v>
      </c>
      <c r="AJ51">
        <f t="shared" si="15"/>
        <v>13.179392856381364</v>
      </c>
      <c r="AK51" s="180"/>
      <c r="AL51" t="s">
        <v>614</v>
      </c>
      <c r="AM51" s="180"/>
      <c r="AN51" s="180"/>
      <c r="AO51" s="180"/>
      <c r="AP51" s="85">
        <v>51</v>
      </c>
    </row>
    <row r="52" spans="1:42" s="85" customFormat="1" x14ac:dyDescent="0.35">
      <c r="A52" s="13"/>
      <c r="B52" s="13"/>
      <c r="C52" s="13"/>
      <c r="D52" s="13"/>
      <c r="E52" s="49"/>
      <c r="F52" s="13"/>
      <c r="G52" s="49"/>
      <c r="H52" s="13"/>
      <c r="I52" s="13"/>
      <c r="J52" s="13"/>
      <c r="K52" s="13"/>
      <c r="L52" s="13"/>
      <c r="M52" s="13"/>
      <c r="N52" s="13"/>
      <c r="O52" s="13"/>
      <c r="P52" s="13"/>
      <c r="Q52" s="13"/>
      <c r="R52" s="13"/>
      <c r="S52" s="13"/>
      <c r="T52" s="172" t="s">
        <v>32</v>
      </c>
      <c r="V52" s="174">
        <v>1111.1569</v>
      </c>
      <c r="W52" s="174">
        <v>1118.0319300000001</v>
      </c>
      <c r="X52" s="144">
        <f>W52-V52</f>
        <v>6.8750300000001516</v>
      </c>
      <c r="Y52" s="190"/>
      <c r="Z52" s="174">
        <v>1095.07818</v>
      </c>
      <c r="AA52" s="174">
        <v>1103.6311700000001</v>
      </c>
      <c r="AB52" s="91">
        <f t="shared" si="32"/>
        <v>8.5529900000001362</v>
      </c>
      <c r="AC52" s="91">
        <f t="shared" si="33"/>
        <v>19.480179999999791</v>
      </c>
      <c r="AD52" s="91">
        <f t="shared" si="34"/>
        <v>0.3051024910846743</v>
      </c>
      <c r="AE52" s="91">
        <f t="shared" si="35"/>
        <v>0.69489750891532576</v>
      </c>
      <c r="AF52" s="91">
        <f t="shared" si="36"/>
        <v>0.11691817715208179</v>
      </c>
      <c r="AG52" s="91">
        <f t="shared" si="13"/>
        <v>3.5672027102179406E-2</v>
      </c>
      <c r="AH52" s="91">
        <f t="shared" si="37"/>
        <v>28.033169999999927</v>
      </c>
      <c r="AI52" s="85">
        <v>109</v>
      </c>
      <c r="AJ52">
        <f t="shared" si="15"/>
        <v>12.744081309576917</v>
      </c>
      <c r="AK52" s="180"/>
      <c r="AL52" s="180"/>
      <c r="AM52" s="180"/>
      <c r="AN52" s="180"/>
      <c r="AO52" s="180"/>
      <c r="AP52" s="85">
        <v>17</v>
      </c>
    </row>
    <row r="53" spans="1:42" s="85" customFormat="1" x14ac:dyDescent="0.35">
      <c r="A53" s="13"/>
      <c r="B53" s="13"/>
      <c r="C53" s="13"/>
      <c r="D53" s="13"/>
      <c r="E53" s="49"/>
      <c r="F53" s="13"/>
      <c r="G53" s="49"/>
      <c r="H53" s="13"/>
      <c r="I53" s="13"/>
      <c r="J53" s="13"/>
      <c r="K53" s="13"/>
      <c r="L53" s="13"/>
      <c r="M53" s="13"/>
      <c r="N53" s="13"/>
      <c r="O53" s="13"/>
      <c r="P53" s="13"/>
      <c r="Q53" s="13"/>
      <c r="R53" s="13"/>
      <c r="S53" s="13"/>
      <c r="T53" s="172" t="s">
        <v>32</v>
      </c>
      <c r="Y53" s="182"/>
      <c r="Z53" s="45">
        <v>1123.1113499999999</v>
      </c>
      <c r="AA53" s="45">
        <v>1133.58042</v>
      </c>
      <c r="AB53" s="2">
        <f t="shared" si="32"/>
        <v>10.469070000000102</v>
      </c>
      <c r="AC53" s="2">
        <f t="shared" si="33"/>
        <v>11.733300000000099</v>
      </c>
      <c r="AD53" s="2">
        <f t="shared" si="34"/>
        <v>0.47152939078125472</v>
      </c>
      <c r="AE53" s="2">
        <f t="shared" si="35"/>
        <v>0.52847060921874522</v>
      </c>
      <c r="AF53" s="2">
        <f t="shared" si="36"/>
        <v>9.5519468300430732E-2</v>
      </c>
      <c r="AG53" s="2">
        <f t="shared" si="13"/>
        <v>4.5040236695451472E-2</v>
      </c>
      <c r="AH53" s="2">
        <f t="shared" si="37"/>
        <v>22.202370000000201</v>
      </c>
      <c r="AI53" s="85">
        <v>133</v>
      </c>
      <c r="AJ53">
        <f t="shared" si="15"/>
        <v>12.704089283957286</v>
      </c>
      <c r="AK53" s="180"/>
      <c r="AL53" s="180"/>
      <c r="AM53" s="180"/>
      <c r="AN53" s="180"/>
      <c r="AO53" s="180"/>
      <c r="AP53" s="85">
        <v>109</v>
      </c>
    </row>
    <row r="54" spans="1:42" s="85" customFormat="1" x14ac:dyDescent="0.35">
      <c r="A54" s="13"/>
      <c r="B54" s="13"/>
      <c r="C54" s="13"/>
      <c r="D54" s="13"/>
      <c r="E54" s="49"/>
      <c r="F54" s="13"/>
      <c r="G54" s="13"/>
      <c r="H54" s="13"/>
      <c r="I54" s="13"/>
      <c r="J54" s="13"/>
      <c r="K54" s="13"/>
      <c r="L54" s="13"/>
      <c r="M54" s="13"/>
      <c r="N54" s="13"/>
      <c r="O54" s="13"/>
      <c r="P54" s="13"/>
      <c r="Q54" s="13"/>
      <c r="R54" s="13"/>
      <c r="S54" s="13"/>
      <c r="T54" s="172" t="s">
        <v>32</v>
      </c>
      <c r="V54" s="174">
        <v>1158.03702</v>
      </c>
      <c r="W54" s="174">
        <v>1164.9120499999999</v>
      </c>
      <c r="X54" s="144">
        <f>W54-V54</f>
        <v>6.8750299999999243</v>
      </c>
      <c r="Y54" s="190"/>
      <c r="Z54" s="174">
        <v>1145.3137200000001</v>
      </c>
      <c r="AA54" s="174">
        <v>1154.63797</v>
      </c>
      <c r="AB54" s="91">
        <f t="shared" si="32"/>
        <v>9.3242499999998927</v>
      </c>
      <c r="AC54" s="91">
        <f t="shared" si="33"/>
        <v>13.611580000000004</v>
      </c>
      <c r="AD54" s="91">
        <f t="shared" si="34"/>
        <v>0.406536410498331</v>
      </c>
      <c r="AE54" s="91">
        <f t="shared" si="35"/>
        <v>0.593463589501669</v>
      </c>
      <c r="AF54" s="91">
        <f t="shared" si="36"/>
        <v>0.10724723168083347</v>
      </c>
      <c r="AG54" s="91">
        <f t="shared" si="13"/>
        <v>4.3599904603408922E-2</v>
      </c>
      <c r="AH54" s="91">
        <f t="shared" si="37"/>
        <v>22.935829999999896</v>
      </c>
      <c r="AI54" s="85">
        <v>113</v>
      </c>
      <c r="AJ54">
        <f t="shared" si="15"/>
        <v>12.118937179934182</v>
      </c>
      <c r="AK54" s="180"/>
      <c r="AL54" s="180"/>
      <c r="AM54" s="180"/>
      <c r="AN54" s="180"/>
      <c r="AO54" s="180"/>
      <c r="AP54" s="85">
        <v>133</v>
      </c>
    </row>
    <row r="55" spans="1:42" s="85" customFormat="1" x14ac:dyDescent="0.35">
      <c r="A55" s="13"/>
      <c r="B55" s="13"/>
      <c r="C55" s="13"/>
      <c r="D55" s="13"/>
      <c r="E55" s="49"/>
      <c r="F55" s="13"/>
      <c r="G55" s="13"/>
      <c r="H55" s="13"/>
      <c r="I55" s="13"/>
      <c r="J55" s="13"/>
      <c r="K55" s="13"/>
      <c r="L55" s="13"/>
      <c r="M55" s="13"/>
      <c r="N55" s="13"/>
      <c r="O55" s="13"/>
      <c r="P55" s="13"/>
      <c r="Q55" s="13"/>
      <c r="R55" s="13"/>
      <c r="S55" s="13"/>
      <c r="T55" s="172" t="s">
        <v>32</v>
      </c>
      <c r="Y55" s="182"/>
      <c r="Z55" s="45">
        <v>1168.24955</v>
      </c>
      <c r="AA55" s="45">
        <v>1178.46956</v>
      </c>
      <c r="AB55" s="2">
        <f t="shared" si="32"/>
        <v>10.220010000000002</v>
      </c>
      <c r="AC55" s="2">
        <f t="shared" si="33"/>
        <v>8.9044899999998961</v>
      </c>
      <c r="AD55" s="2">
        <f t="shared" si="34"/>
        <v>0.53439357891709882</v>
      </c>
      <c r="AE55" s="2">
        <f t="shared" si="35"/>
        <v>0.46560642108290118</v>
      </c>
      <c r="AF55" s="2">
        <f t="shared" si="36"/>
        <v>9.7847262380369476E-2</v>
      </c>
      <c r="AG55" s="2">
        <f t="shared" si="13"/>
        <v>5.2288948730686048E-2</v>
      </c>
      <c r="AH55" s="2">
        <f t="shared" si="37"/>
        <v>19.124499999999898</v>
      </c>
      <c r="AI55" s="85">
        <v>126</v>
      </c>
      <c r="AJ55">
        <f t="shared" si="15"/>
        <v>12.328755059926554</v>
      </c>
      <c r="AK55" s="180"/>
      <c r="AL55" s="180"/>
      <c r="AM55" s="180"/>
      <c r="AN55" s="180"/>
      <c r="AO55" s="180"/>
      <c r="AP55" s="85">
        <v>113</v>
      </c>
    </row>
    <row r="56" spans="1:42" s="85" customFormat="1" x14ac:dyDescent="0.35">
      <c r="A56" s="13"/>
      <c r="B56" s="13"/>
      <c r="C56" s="13"/>
      <c r="D56" s="13"/>
      <c r="E56" s="49"/>
      <c r="F56" s="13"/>
      <c r="G56" s="49"/>
      <c r="H56" s="13"/>
      <c r="I56" s="13"/>
      <c r="J56" s="13"/>
      <c r="K56" s="13"/>
      <c r="L56" s="13"/>
      <c r="M56" s="13"/>
      <c r="N56" s="13"/>
      <c r="O56" s="13"/>
      <c r="P56" s="13"/>
      <c r="Q56" s="13"/>
      <c r="R56" s="13"/>
      <c r="S56" s="13"/>
      <c r="T56" s="172" t="s">
        <v>32</v>
      </c>
      <c r="Y56" s="180"/>
      <c r="Z56" s="45">
        <v>1187.3740499999999</v>
      </c>
      <c r="AA56" s="45">
        <v>1196.35077</v>
      </c>
      <c r="AB56" s="2">
        <f t="shared" si="32"/>
        <v>8.9767200000001139</v>
      </c>
      <c r="AC56" s="2">
        <f t="shared" si="33"/>
        <v>8.8202100000000883</v>
      </c>
      <c r="AD56" s="2">
        <f t="shared" si="34"/>
        <v>0.50439710669199755</v>
      </c>
      <c r="AE56" s="2">
        <f t="shared" si="35"/>
        <v>0.49560289330800245</v>
      </c>
      <c r="AF56" s="2">
        <f t="shared" si="36"/>
        <v>0.1113992638736629</v>
      </c>
      <c r="AG56" s="2">
        <f t="shared" si="13"/>
        <v>5.6189466385493936E-2</v>
      </c>
      <c r="AH56" s="2">
        <f t="shared" si="37"/>
        <v>17.796930000000202</v>
      </c>
      <c r="AI56" s="85">
        <v>102</v>
      </c>
      <c r="AJ56">
        <f t="shared" si="15"/>
        <v>11.362724915113617</v>
      </c>
      <c r="AK56" s="180"/>
      <c r="AL56" s="180"/>
      <c r="AM56" s="180"/>
      <c r="AN56" s="180"/>
      <c r="AO56" s="180"/>
      <c r="AP56" s="85">
        <v>126</v>
      </c>
    </row>
    <row r="57" spans="1:42" s="85" customFormat="1" ht="15.5" x14ac:dyDescent="0.35">
      <c r="A57" s="13"/>
      <c r="B57" s="13"/>
      <c r="C57" s="13"/>
      <c r="D57" s="13"/>
      <c r="E57" s="49"/>
      <c r="F57" s="13"/>
      <c r="G57" s="49"/>
      <c r="H57" s="13"/>
      <c r="I57" s="13"/>
      <c r="J57" s="13"/>
      <c r="K57" s="13"/>
      <c r="L57" s="13"/>
      <c r="M57" s="13"/>
      <c r="N57" s="13"/>
      <c r="O57" s="13"/>
      <c r="P57" s="13"/>
      <c r="Q57" s="13"/>
      <c r="R57" s="13"/>
      <c r="S57" s="13"/>
      <c r="T57" s="172" t="s">
        <v>32</v>
      </c>
      <c r="V57" s="174">
        <v>1218.5723</v>
      </c>
      <c r="W57" s="165">
        <v>1233.4473599999999</v>
      </c>
      <c r="X57" s="144">
        <f>W57-V57</f>
        <v>14.875059999999849</v>
      </c>
      <c r="Y57" s="181"/>
      <c r="Z57" s="174">
        <v>1205.1709800000001</v>
      </c>
      <c r="AA57" s="174">
        <v>1214.2811200000001</v>
      </c>
      <c r="AB57" s="91">
        <f t="shared" si="32"/>
        <v>9.1101400000000012</v>
      </c>
      <c r="AC57" s="91">
        <f t="shared" si="33"/>
        <v>23.055519999999888</v>
      </c>
      <c r="AD57" s="91">
        <f t="shared" si="34"/>
        <v>0.28322565120690923</v>
      </c>
      <c r="AE57" s="91">
        <f t="shared" si="35"/>
        <v>0.71677434879309077</v>
      </c>
      <c r="AF57" s="91">
        <f t="shared" si="36"/>
        <v>0.1097677972017993</v>
      </c>
      <c r="AG57" s="91">
        <f t="shared" si="13"/>
        <v>3.1089055844027557E-2</v>
      </c>
      <c r="AH57" s="91">
        <f t="shared" si="37"/>
        <v>32.165659999999889</v>
      </c>
      <c r="AI57" s="85">
        <v>108</v>
      </c>
      <c r="AJ57">
        <f t="shared" si="15"/>
        <v>11.854922097794324</v>
      </c>
      <c r="AK57" s="180"/>
      <c r="AL57" t="s">
        <v>615</v>
      </c>
      <c r="AM57" s="180"/>
      <c r="AN57" s="180"/>
      <c r="AO57" s="180"/>
      <c r="AP57" s="85">
        <v>102</v>
      </c>
    </row>
    <row r="58" spans="1:42" s="85" customFormat="1" x14ac:dyDescent="0.35">
      <c r="A58" s="13"/>
      <c r="B58" s="13"/>
      <c r="C58" s="13"/>
      <c r="D58" s="13"/>
      <c r="E58" s="13"/>
      <c r="F58" s="13"/>
      <c r="G58" s="49"/>
      <c r="H58" s="13"/>
      <c r="I58" s="13"/>
      <c r="J58" s="13"/>
      <c r="K58" s="13"/>
      <c r="L58" s="13"/>
      <c r="M58" s="13"/>
      <c r="N58" s="13"/>
      <c r="O58" s="13"/>
      <c r="P58" s="13"/>
      <c r="Q58" s="13"/>
      <c r="R58" s="13"/>
      <c r="S58" s="13"/>
      <c r="T58" s="172" t="s">
        <v>32</v>
      </c>
      <c r="Z58" s="142">
        <v>1237.33664</v>
      </c>
      <c r="AA58" s="142">
        <v>1247.6139800000001</v>
      </c>
      <c r="AB58" s="2">
        <f t="shared" si="32"/>
        <v>10.277340000000095</v>
      </c>
      <c r="AC58" s="2">
        <f t="shared" si="33"/>
        <v>10.894559999999956</v>
      </c>
      <c r="AD58" s="2">
        <f t="shared" si="34"/>
        <v>0.48542360392785106</v>
      </c>
      <c r="AE58" s="2">
        <f t="shared" si="35"/>
        <v>0.51457639607214889</v>
      </c>
      <c r="AF58" s="2">
        <f t="shared" si="36"/>
        <v>9.7301441812763886E-2</v>
      </c>
      <c r="AG58" s="2">
        <f t="shared" si="13"/>
        <v>4.7232416552127947E-2</v>
      </c>
      <c r="AH58" s="2">
        <f t="shared" si="37"/>
        <v>21.171900000000051</v>
      </c>
      <c r="AI58" s="85">
        <v>120</v>
      </c>
      <c r="AJ58">
        <f t="shared" si="15"/>
        <v>11.676173017531665</v>
      </c>
      <c r="AK58" s="180"/>
      <c r="AL58" s="180"/>
      <c r="AM58" s="180"/>
      <c r="AN58" s="180"/>
      <c r="AO58" s="180"/>
      <c r="AP58" s="85">
        <v>108</v>
      </c>
    </row>
    <row r="59" spans="1:42" s="85" customFormat="1" x14ac:dyDescent="0.35">
      <c r="A59" s="13"/>
      <c r="B59" s="132"/>
      <c r="C59" s="28" t="s">
        <v>336</v>
      </c>
      <c r="D59" s="13"/>
      <c r="E59" s="13"/>
      <c r="F59" s="13"/>
      <c r="G59" s="13"/>
      <c r="H59" s="13"/>
      <c r="I59" s="13"/>
      <c r="J59" s="13"/>
      <c r="K59" s="13"/>
      <c r="L59" s="13"/>
      <c r="M59" s="13"/>
      <c r="N59" s="13"/>
      <c r="O59" s="13"/>
      <c r="P59" s="13"/>
      <c r="Q59" s="13"/>
      <c r="R59" s="13"/>
      <c r="S59" s="13"/>
      <c r="T59" s="172" t="s">
        <v>32</v>
      </c>
      <c r="V59" s="174">
        <v>1270.7642900000001</v>
      </c>
      <c r="W59" s="174">
        <v>1285.6393499999999</v>
      </c>
      <c r="X59" s="144">
        <f>W59-V59</f>
        <v>14.875059999999849</v>
      </c>
      <c r="Y59" s="144"/>
      <c r="Z59" s="183">
        <v>1258.50854</v>
      </c>
      <c r="AA59" s="183">
        <v>1267.64312</v>
      </c>
      <c r="AB59" s="91">
        <f t="shared" si="32"/>
        <v>9.1345799999999144</v>
      </c>
      <c r="AC59" s="91">
        <f t="shared" si="33"/>
        <v>23.344160000000102</v>
      </c>
      <c r="AD59" s="91">
        <f t="shared" si="34"/>
        <v>0.28124797944747582</v>
      </c>
      <c r="AE59" s="91">
        <f t="shared" si="35"/>
        <v>0.71875202055252418</v>
      </c>
      <c r="AF59" s="91">
        <f t="shared" si="36"/>
        <v>0.10947410827865205</v>
      </c>
      <c r="AG59" s="91">
        <f t="shared" si="13"/>
        <v>3.078937175518507E-2</v>
      </c>
      <c r="AH59" s="91">
        <f t="shared" si="37"/>
        <v>32.478740000000016</v>
      </c>
      <c r="AI59" s="85">
        <v>110</v>
      </c>
      <c r="AJ59">
        <f t="shared" si="15"/>
        <v>12.042151910651725</v>
      </c>
      <c r="AK59" s="180"/>
      <c r="AL59" s="180"/>
      <c r="AM59" s="180"/>
      <c r="AN59" s="180"/>
      <c r="AO59" s="180"/>
      <c r="AP59" s="85">
        <v>120</v>
      </c>
    </row>
    <row r="60" spans="1:42" s="85" customFormat="1" x14ac:dyDescent="0.35">
      <c r="B60" s="144"/>
      <c r="C60" s="28" t="s">
        <v>337</v>
      </c>
      <c r="E60" s="104"/>
      <c r="F60" s="104"/>
      <c r="G60" s="49"/>
      <c r="H60"/>
      <c r="I60"/>
      <c r="J60"/>
      <c r="K60"/>
      <c r="L60"/>
      <c r="M60"/>
      <c r="N60"/>
      <c r="O60"/>
      <c r="P60"/>
      <c r="Q60"/>
      <c r="T60" s="172" t="s">
        <v>32</v>
      </c>
      <c r="Z60" s="142">
        <v>1290.9872800000001</v>
      </c>
      <c r="AA60" s="142">
        <v>1300.5750399999999</v>
      </c>
      <c r="AB60" s="2">
        <f t="shared" si="32"/>
        <v>9.5877599999998893</v>
      </c>
      <c r="AC60" s="2">
        <f t="shared" si="33"/>
        <v>10.545190000000048</v>
      </c>
      <c r="AD60" s="2">
        <f t="shared" si="34"/>
        <v>0.47622231217978089</v>
      </c>
      <c r="AE60" s="2">
        <f t="shared" si="35"/>
        <v>0.52377768782021916</v>
      </c>
      <c r="AF60" s="2">
        <f t="shared" si="36"/>
        <v>0.10429964871878432</v>
      </c>
      <c r="AG60" s="2">
        <f t="shared" si="13"/>
        <v>4.9669819872398387E-2</v>
      </c>
      <c r="AH60" s="2">
        <f t="shared" si="37"/>
        <v>20.132949999999937</v>
      </c>
      <c r="AI60" s="85">
        <v>118</v>
      </c>
      <c r="AJ60">
        <f t="shared" si="15"/>
        <v>12.30735854881655</v>
      </c>
      <c r="AP60" s="85">
        <v>110</v>
      </c>
    </row>
    <row r="61" spans="1:42" s="85" customFormat="1" ht="15" thickBot="1" x14ac:dyDescent="0.4">
      <c r="A61"/>
      <c r="B61"/>
      <c r="C61"/>
      <c r="D61"/>
      <c r="E61" s="104"/>
      <c r="F61" s="104"/>
      <c r="G61" s="104"/>
      <c r="H61"/>
      <c r="I61"/>
      <c r="J61"/>
      <c r="K61"/>
      <c r="L61"/>
      <c r="M61"/>
      <c r="N61"/>
      <c r="O61"/>
      <c r="P61"/>
      <c r="Q61"/>
      <c r="R61"/>
      <c r="S61"/>
      <c r="T61" s="175" t="s">
        <v>326</v>
      </c>
      <c r="U61"/>
      <c r="V61"/>
      <c r="W61"/>
      <c r="X61"/>
      <c r="Y61"/>
      <c r="Z61" s="45">
        <v>1311.12023</v>
      </c>
      <c r="AA61" s="45">
        <v>1318.60193</v>
      </c>
      <c r="AB61" s="2">
        <f t="shared" si="32"/>
        <v>7.4817000000000462</v>
      </c>
      <c r="AC61" s="2"/>
      <c r="AD61" s="2"/>
      <c r="AE61" s="2"/>
      <c r="AF61" s="2"/>
      <c r="AG61" s="2"/>
      <c r="AH61" s="2"/>
      <c r="AP61" s="85">
        <v>118</v>
      </c>
    </row>
    <row r="62" spans="1:42" s="85" customFormat="1" ht="18.5" x14ac:dyDescent="0.45">
      <c r="A62"/>
      <c r="B62"/>
      <c r="C62"/>
      <c r="D62"/>
      <c r="E62"/>
      <c r="F62"/>
      <c r="G62"/>
      <c r="H62"/>
      <c r="I62"/>
      <c r="J62"/>
      <c r="K62"/>
      <c r="L62"/>
      <c r="M62"/>
      <c r="N62"/>
      <c r="O62"/>
      <c r="P62"/>
      <c r="Q62"/>
      <c r="R62"/>
      <c r="S62"/>
      <c r="T62"/>
      <c r="U62"/>
      <c r="V62"/>
      <c r="W62"/>
      <c r="X62"/>
      <c r="Y62" s="13"/>
      <c r="Z62" s="149"/>
      <c r="AA62" s="49"/>
      <c r="AB62" s="49"/>
      <c r="AC62" s="49"/>
      <c r="AD62" s="49"/>
      <c r="AE62" s="49"/>
      <c r="AF62" s="49"/>
      <c r="AG62" s="49"/>
      <c r="AH62" s="49"/>
      <c r="AI62" s="13"/>
      <c r="AP62" s="85">
        <v>84</v>
      </c>
    </row>
    <row r="63" spans="1:42" s="85" customFormat="1" ht="16" thickBot="1" x14ac:dyDescent="0.4">
      <c r="A63"/>
      <c r="B63" s="2"/>
      <c r="C63" s="2"/>
      <c r="D63" s="2"/>
      <c r="E63"/>
      <c r="F63"/>
      <c r="G63"/>
      <c r="H63"/>
      <c r="I63"/>
      <c r="J63"/>
      <c r="K63"/>
      <c r="L63"/>
      <c r="M63"/>
      <c r="N63"/>
      <c r="O63"/>
      <c r="P63"/>
      <c r="Q63"/>
      <c r="R63"/>
      <c r="S63"/>
      <c r="T63"/>
      <c r="U63"/>
      <c r="V63"/>
      <c r="W63"/>
      <c r="X63"/>
      <c r="Y63" s="13"/>
      <c r="Z63" s="13"/>
      <c r="AA63" s="13"/>
      <c r="AB63" s="9" t="s">
        <v>3</v>
      </c>
      <c r="AC63" s="9" t="s">
        <v>4</v>
      </c>
      <c r="AD63" s="9" t="s">
        <v>5</v>
      </c>
      <c r="AE63" s="9" t="s">
        <v>6</v>
      </c>
      <c r="AF63" s="9" t="s">
        <v>7</v>
      </c>
      <c r="AG63" s="9" t="s">
        <v>8</v>
      </c>
      <c r="AH63" s="9" t="s">
        <v>9</v>
      </c>
      <c r="AI63" s="9" t="s">
        <v>10</v>
      </c>
      <c r="AJ63" s="44" t="s">
        <v>139</v>
      </c>
      <c r="AK63" s="13"/>
      <c r="AL63" s="13"/>
      <c r="AM63" s="13"/>
      <c r="AN63" s="13"/>
      <c r="AO63" s="13"/>
      <c r="AP63" s="13"/>
    </row>
    <row r="64" spans="1:42" s="85" customFormat="1" ht="18.5" x14ac:dyDescent="0.45">
      <c r="A64"/>
      <c r="B64" s="2"/>
      <c r="C64" s="2"/>
      <c r="D64" s="2"/>
      <c r="E64" s="2"/>
      <c r="F64" s="1" t="s">
        <v>15</v>
      </c>
      <c r="G64" s="2"/>
      <c r="H64" s="2"/>
      <c r="I64" s="2"/>
      <c r="J64" s="2"/>
      <c r="K64" s="2"/>
      <c r="L64" s="2"/>
      <c r="M64" s="2"/>
      <c r="N64" s="2"/>
      <c r="O64" s="2"/>
      <c r="P64"/>
      <c r="Q64"/>
      <c r="R64"/>
      <c r="S64"/>
      <c r="T64"/>
      <c r="U64"/>
      <c r="V64"/>
      <c r="W64"/>
      <c r="X64"/>
      <c r="Y64" s="137" t="s">
        <v>312</v>
      </c>
      <c r="Z64" s="13"/>
      <c r="AA64" s="49" t="s">
        <v>77</v>
      </c>
      <c r="AB64" s="13">
        <f t="shared" ref="AB64:AJ64" si="38">AVERAGE(AB10:AB11,AB14:AB15,AB18,AB20,AB22,AB24,AB26)</f>
        <v>4.8373888888888938</v>
      </c>
      <c r="AC64" s="13">
        <f t="shared" si="38"/>
        <v>20.729950000000002</v>
      </c>
      <c r="AD64" s="13">
        <f t="shared" si="38"/>
        <v>0.21327247132308025</v>
      </c>
      <c r="AE64" s="13">
        <f t="shared" si="38"/>
        <v>0.78672752867691975</v>
      </c>
      <c r="AF64" s="13">
        <f t="shared" si="38"/>
        <v>0.22145472206632141</v>
      </c>
      <c r="AG64" s="13">
        <f t="shared" si="38"/>
        <v>4.3104213778568337E-2</v>
      </c>
      <c r="AH64" s="13">
        <f t="shared" si="38"/>
        <v>25.567338888888898</v>
      </c>
      <c r="AI64" s="13">
        <f t="shared" si="38"/>
        <v>54.555555555555557</v>
      </c>
      <c r="AJ64" s="13">
        <f t="shared" si="38"/>
        <v>11.29305128159384</v>
      </c>
      <c r="AK64" s="13"/>
      <c r="AL64" s="13"/>
      <c r="AM64" s="13"/>
      <c r="AN64" s="13"/>
      <c r="AO64" s="13"/>
      <c r="AP64" s="13"/>
    </row>
    <row r="65" spans="1:42" s="85" customFormat="1" ht="16" thickBot="1" x14ac:dyDescent="0.4">
      <c r="A65"/>
      <c r="B65" s="5"/>
      <c r="C65" s="5"/>
      <c r="D65" s="5"/>
      <c r="E65" s="5"/>
      <c r="F65" s="9" t="s">
        <v>1</v>
      </c>
      <c r="G65" s="9" t="s">
        <v>2</v>
      </c>
      <c r="H65" s="9" t="s">
        <v>3</v>
      </c>
      <c r="I65" s="9" t="s">
        <v>4</v>
      </c>
      <c r="J65" s="9" t="s">
        <v>5</v>
      </c>
      <c r="K65" s="9" t="s">
        <v>6</v>
      </c>
      <c r="L65" s="9" t="s">
        <v>7</v>
      </c>
      <c r="M65" s="9" t="s">
        <v>8</v>
      </c>
      <c r="N65" s="9" t="s">
        <v>9</v>
      </c>
      <c r="O65" s="9" t="s">
        <v>10</v>
      </c>
      <c r="P65" s="44" t="s">
        <v>139</v>
      </c>
      <c r="Q65"/>
      <c r="R65" s="44" t="s">
        <v>134</v>
      </c>
      <c r="S65"/>
      <c r="T65"/>
      <c r="U65"/>
      <c r="V65"/>
      <c r="W65"/>
      <c r="X65"/>
      <c r="Z65" s="13"/>
      <c r="AA65" s="49" t="s">
        <v>94</v>
      </c>
      <c r="AB65" s="2">
        <f t="shared" ref="AB65:AJ65" si="39">_xlfn.STDEV.S(AB10:AB11,AB14:AB15,AB18,AB20,AB22,AB24,AB26)</f>
        <v>1.0592485429709619</v>
      </c>
      <c r="AC65" s="2">
        <f t="shared" si="39"/>
        <v>8.7333899347632968</v>
      </c>
      <c r="AD65" s="2">
        <f t="shared" si="39"/>
        <v>9.3436501709491221E-2</v>
      </c>
      <c r="AE65" s="2">
        <f t="shared" si="39"/>
        <v>9.3436501709491304E-2</v>
      </c>
      <c r="AF65" s="2">
        <f t="shared" si="39"/>
        <v>7.7812237983915358E-2</v>
      </c>
      <c r="AG65" s="2">
        <f t="shared" si="39"/>
        <v>1.434427993833696E-2</v>
      </c>
      <c r="AH65" s="2">
        <f t="shared" si="39"/>
        <v>8.3032643546325229</v>
      </c>
      <c r="AI65" s="2">
        <f t="shared" si="39"/>
        <v>12.738829529347578</v>
      </c>
      <c r="AJ65" s="2">
        <f t="shared" si="39"/>
        <v>0.94530318906194677</v>
      </c>
      <c r="AK65" s="13"/>
      <c r="AL65" s="14"/>
      <c r="AM65" s="13"/>
      <c r="AN65" s="13"/>
      <c r="AO65" s="13"/>
      <c r="AP65" s="13"/>
    </row>
    <row r="66" spans="1:42" s="85" customFormat="1" x14ac:dyDescent="0.35">
      <c r="A66"/>
      <c r="B66" s="2"/>
      <c r="C66" s="171"/>
      <c r="D66" s="13"/>
      <c r="E66" s="13"/>
      <c r="F66" s="142">
        <v>9.2882800000000003</v>
      </c>
      <c r="G66" s="142">
        <v>14.34379</v>
      </c>
      <c r="H66" s="13">
        <f>G66-F66</f>
        <v>5.0555099999999999</v>
      </c>
      <c r="I66" s="13">
        <f>F67-G66</f>
        <v>9.511750000000001</v>
      </c>
      <c r="J66" s="13">
        <f>H66/N66</f>
        <v>0.3470460470946492</v>
      </c>
      <c r="K66" s="13">
        <f>I66/N66</f>
        <v>0.65295395290535074</v>
      </c>
      <c r="L66" s="13">
        <f>1/H66</f>
        <v>0.19780398021168982</v>
      </c>
      <c r="M66" s="13">
        <f>1/N66</f>
        <v>6.8647089432055164E-2</v>
      </c>
      <c r="N66" s="13">
        <f>H66+I66</f>
        <v>14.567260000000001</v>
      </c>
      <c r="R66" t="s">
        <v>329</v>
      </c>
      <c r="S66"/>
      <c r="T66"/>
      <c r="U66"/>
      <c r="V66"/>
      <c r="W66"/>
      <c r="X66"/>
      <c r="Y66"/>
      <c r="Z66" s="13"/>
      <c r="AA66" s="49" t="s">
        <v>95</v>
      </c>
      <c r="AB66" s="2">
        <f t="shared" ref="AB66:AJ66" si="40">AB65/(SQRT(COUNT(AB10:AB11,AB14:AB15,AB18,AB20,AB22,AB24,AB26)))</f>
        <v>0.35308284765698733</v>
      </c>
      <c r="AC66" s="2">
        <f t="shared" si="40"/>
        <v>2.9111299782544324</v>
      </c>
      <c r="AD66" s="2">
        <f t="shared" si="40"/>
        <v>3.1145500569830408E-2</v>
      </c>
      <c r="AE66" s="2">
        <f t="shared" si="40"/>
        <v>3.1145500569830436E-2</v>
      </c>
      <c r="AF66" s="2">
        <f t="shared" si="40"/>
        <v>2.5937412661305118E-2</v>
      </c>
      <c r="AG66" s="2">
        <f t="shared" si="40"/>
        <v>4.78142664611232E-3</v>
      </c>
      <c r="AH66" s="2">
        <f t="shared" si="40"/>
        <v>2.7677547848775075</v>
      </c>
      <c r="AI66" s="2">
        <f t="shared" si="40"/>
        <v>4.2462765097825264</v>
      </c>
      <c r="AJ66" s="2">
        <f t="shared" si="40"/>
        <v>0.31510106302064894</v>
      </c>
      <c r="AK66" s="13"/>
      <c r="AL66" s="13"/>
      <c r="AM66" s="13"/>
      <c r="AN66" s="13"/>
      <c r="AO66" s="13"/>
      <c r="AP66" s="13"/>
    </row>
    <row r="67" spans="1:42" s="85" customFormat="1" x14ac:dyDescent="0.35">
      <c r="A67"/>
      <c r="B67" s="157">
        <v>25.184670000000001</v>
      </c>
      <c r="C67" s="157">
        <v>30.059729999999998</v>
      </c>
      <c r="D67" s="157"/>
      <c r="E67" s="157"/>
      <c r="F67" s="176">
        <v>23.855540000000001</v>
      </c>
      <c r="G67" s="176">
        <v>27.079080000000001</v>
      </c>
      <c r="H67" s="132">
        <f t="shared" ref="H67:H101" si="41">G67-F67</f>
        <v>3.2235399999999998</v>
      </c>
      <c r="I67" s="132">
        <f t="shared" ref="I67:I101" si="42">F68-G67</f>
        <v>12.798599999999997</v>
      </c>
      <c r="J67" s="132">
        <f t="shared" ref="J67:J101" si="43">H67/N67</f>
        <v>0.20119284939465018</v>
      </c>
      <c r="K67" s="132">
        <f t="shared" ref="K67:K101" si="44">I67/N67</f>
        <v>0.79880715060534979</v>
      </c>
      <c r="L67" s="132">
        <f t="shared" ref="L67:L101" si="45">1/H67</f>
        <v>0.31021795913809042</v>
      </c>
      <c r="M67" s="132">
        <f t="shared" ref="M67:M114" si="46">1/N67</f>
        <v>6.2413635132385577E-2</v>
      </c>
      <c r="N67" s="132">
        <f t="shared" ref="N67:N101" si="47">H67+I67</f>
        <v>16.022139999999997</v>
      </c>
      <c r="R67"/>
      <c r="S67"/>
      <c r="T67"/>
      <c r="U67"/>
      <c r="V67"/>
      <c r="W67"/>
      <c r="X67"/>
      <c r="Y67"/>
      <c r="Z67" s="13"/>
      <c r="AA67" s="49"/>
      <c r="AB67" s="2"/>
      <c r="AC67" s="2"/>
      <c r="AD67" s="2"/>
      <c r="AE67" s="2"/>
      <c r="AF67" s="2"/>
      <c r="AG67" s="2"/>
      <c r="AH67" s="2"/>
      <c r="AI67" s="2"/>
      <c r="AJ67" s="2"/>
      <c r="AK67" s="13"/>
      <c r="AL67" s="13"/>
      <c r="AM67" s="13"/>
      <c r="AN67" s="13"/>
      <c r="AO67" s="13"/>
      <c r="AP67" s="13"/>
    </row>
    <row r="68" spans="1:42" s="85" customFormat="1" ht="16" thickBot="1" x14ac:dyDescent="0.4">
      <c r="A68"/>
      <c r="B68" s="157">
        <v>41.056609999999999</v>
      </c>
      <c r="C68" s="157">
        <v>45.931629999999998</v>
      </c>
      <c r="D68" s="157"/>
      <c r="E68" s="132"/>
      <c r="F68" s="176">
        <v>39.877679999999998</v>
      </c>
      <c r="G68" s="176">
        <v>43.62538</v>
      </c>
      <c r="H68" s="132">
        <f t="shared" si="41"/>
        <v>3.7477000000000018</v>
      </c>
      <c r="I68" s="132">
        <f t="shared" si="42"/>
        <v>12.211109999999998</v>
      </c>
      <c r="J68" s="132">
        <f t="shared" si="43"/>
        <v>0.23483580542659521</v>
      </c>
      <c r="K68" s="132">
        <f t="shared" si="44"/>
        <v>0.76516419457340479</v>
      </c>
      <c r="L68" s="132">
        <f t="shared" si="45"/>
        <v>0.26683032259785988</v>
      </c>
      <c r="M68" s="132">
        <f t="shared" si="46"/>
        <v>6.2661313719506659E-2</v>
      </c>
      <c r="N68" s="132">
        <f t="shared" si="47"/>
        <v>15.95881</v>
      </c>
      <c r="U68"/>
      <c r="V68"/>
      <c r="W68"/>
      <c r="X68"/>
      <c r="Y68"/>
      <c r="Z68" s="13"/>
      <c r="AA68" s="13"/>
      <c r="AB68" s="9" t="s">
        <v>3</v>
      </c>
      <c r="AC68" s="9" t="s">
        <v>4</v>
      </c>
      <c r="AD68" s="9" t="s">
        <v>5</v>
      </c>
      <c r="AE68" s="9" t="s">
        <v>6</v>
      </c>
      <c r="AF68" s="9" t="s">
        <v>7</v>
      </c>
      <c r="AG68" s="9" t="s">
        <v>8</v>
      </c>
      <c r="AH68" s="9" t="s">
        <v>9</v>
      </c>
      <c r="AI68" s="9" t="s">
        <v>10</v>
      </c>
      <c r="AJ68" s="44" t="s">
        <v>139</v>
      </c>
      <c r="AK68" s="13"/>
      <c r="AL68" s="13"/>
      <c r="AM68" s="13"/>
      <c r="AN68" s="13"/>
      <c r="AO68" s="13"/>
      <c r="AP68" s="13"/>
    </row>
    <row r="69" spans="1:42" s="85" customFormat="1" x14ac:dyDescent="0.35">
      <c r="A69"/>
      <c r="C69" s="171"/>
      <c r="F69" s="142">
        <v>55.836489999999998</v>
      </c>
      <c r="G69" s="142">
        <v>61.679049999999997</v>
      </c>
      <c r="H69" s="13">
        <f t="shared" si="41"/>
        <v>5.8425599999999989</v>
      </c>
      <c r="I69" s="13">
        <f t="shared" si="42"/>
        <v>11.478050000000003</v>
      </c>
      <c r="J69" s="13">
        <f t="shared" si="43"/>
        <v>0.33731837389098873</v>
      </c>
      <c r="K69" s="13">
        <f t="shared" si="44"/>
        <v>0.66268162610901127</v>
      </c>
      <c r="L69" s="13">
        <f t="shared" si="45"/>
        <v>0.17115784861430608</v>
      </c>
      <c r="M69" s="13">
        <f t="shared" si="46"/>
        <v>5.7734687173257748E-2</v>
      </c>
      <c r="N69" s="13">
        <f t="shared" si="47"/>
        <v>17.320610000000002</v>
      </c>
      <c r="U69"/>
      <c r="V69"/>
      <c r="W69"/>
      <c r="X69"/>
      <c r="Y69" t="s">
        <v>301</v>
      </c>
      <c r="Z69" s="13"/>
      <c r="AA69" s="49" t="s">
        <v>77</v>
      </c>
      <c r="AB69" s="13">
        <f t="shared" ref="AB69:AJ69" si="48">AVERAGE(AB12,AB16,AB19,AB21,AB23,AB25,AB27)</f>
        <v>8.2263728571428487</v>
      </c>
      <c r="AC69" s="13">
        <f t="shared" si="48"/>
        <v>17.847257142857153</v>
      </c>
      <c r="AD69" s="13">
        <f t="shared" si="48"/>
        <v>0.35026718658214245</v>
      </c>
      <c r="AE69" s="13">
        <f t="shared" si="48"/>
        <v>0.6497328134178576</v>
      </c>
      <c r="AF69" s="13">
        <f t="shared" si="48"/>
        <v>0.12276571657404789</v>
      </c>
      <c r="AG69" s="13">
        <f t="shared" si="48"/>
        <v>4.3360414728183007E-2</v>
      </c>
      <c r="AH69" s="13">
        <f t="shared" si="48"/>
        <v>26.073630000000001</v>
      </c>
      <c r="AI69" s="13">
        <f t="shared" si="48"/>
        <v>88.285714285714292</v>
      </c>
      <c r="AJ69" s="13">
        <f t="shared" si="48"/>
        <v>10.786518959404875</v>
      </c>
      <c r="AK69" s="13"/>
      <c r="AL69" s="13"/>
      <c r="AM69" s="13"/>
      <c r="AN69" s="13"/>
      <c r="AO69" s="13"/>
      <c r="AP69" s="13"/>
    </row>
    <row r="70" spans="1:42" s="85" customFormat="1" x14ac:dyDescent="0.35">
      <c r="A70"/>
      <c r="B70" s="157">
        <v>73.760620000000003</v>
      </c>
      <c r="C70" s="157">
        <v>78.635639999999995</v>
      </c>
      <c r="D70" s="157"/>
      <c r="E70" s="132"/>
      <c r="F70" s="176">
        <v>73.1571</v>
      </c>
      <c r="G70" s="176">
        <v>76.880560000000003</v>
      </c>
      <c r="H70" s="132">
        <f t="shared" si="41"/>
        <v>3.7234600000000029</v>
      </c>
      <c r="I70" s="132">
        <f t="shared" si="42"/>
        <v>11.135339999999999</v>
      </c>
      <c r="J70" s="132">
        <f t="shared" si="43"/>
        <v>0.25058954962715713</v>
      </c>
      <c r="K70" s="132">
        <f t="shared" si="44"/>
        <v>0.74941045037284282</v>
      </c>
      <c r="L70" s="132">
        <f t="shared" si="45"/>
        <v>0.26856740773366689</v>
      </c>
      <c r="M70" s="132">
        <f t="shared" si="46"/>
        <v>6.7300185748512653E-2</v>
      </c>
      <c r="N70" s="132">
        <f t="shared" si="47"/>
        <v>14.858800000000002</v>
      </c>
      <c r="U70"/>
      <c r="V70"/>
      <c r="W70"/>
      <c r="X70"/>
      <c r="Y70"/>
      <c r="Z70" s="13"/>
      <c r="AA70" s="49" t="s">
        <v>94</v>
      </c>
      <c r="AB70" s="2">
        <f t="shared" ref="AB70:AJ70" si="49">_xlfn.STDEV.S(AB12,AB16,AB19,AB21,AB23,AB25,AB27)</f>
        <v>0.88839383666468641</v>
      </c>
      <c r="AC70" s="2">
        <f t="shared" si="49"/>
        <v>12.704924595079547</v>
      </c>
      <c r="AD70" s="2">
        <f t="shared" si="49"/>
        <v>8.472621632860626E-2</v>
      </c>
      <c r="AE70" s="2">
        <f t="shared" si="49"/>
        <v>8.4726216328605705E-2</v>
      </c>
      <c r="AF70" s="2">
        <f t="shared" si="49"/>
        <v>1.315685852909877E-2</v>
      </c>
      <c r="AG70" s="2">
        <f t="shared" si="49"/>
        <v>1.1441018619867753E-2</v>
      </c>
      <c r="AH70" s="2">
        <f t="shared" si="49"/>
        <v>13.380193085043031</v>
      </c>
      <c r="AI70" s="2">
        <f t="shared" si="49"/>
        <v>7.6531972777022137</v>
      </c>
      <c r="AJ70" s="2">
        <f t="shared" si="49"/>
        <v>0.93306201483989992</v>
      </c>
      <c r="AK70" s="13"/>
      <c r="AL70" s="13"/>
      <c r="AM70" s="13"/>
      <c r="AN70" s="13"/>
      <c r="AO70" s="13"/>
      <c r="AP70" s="13"/>
    </row>
    <row r="71" spans="1:42" s="85" customFormat="1" x14ac:dyDescent="0.35">
      <c r="A71"/>
      <c r="C71" s="171"/>
      <c r="F71" s="142">
        <v>88.015900000000002</v>
      </c>
      <c r="G71" s="142">
        <v>93.825720000000004</v>
      </c>
      <c r="H71" s="13">
        <f t="shared" si="41"/>
        <v>5.809820000000002</v>
      </c>
      <c r="I71" s="13">
        <f t="shared" si="42"/>
        <v>10.741230000000002</v>
      </c>
      <c r="J71" s="13">
        <f t="shared" si="43"/>
        <v>0.35102425525872988</v>
      </c>
      <c r="K71" s="13">
        <f t="shared" si="44"/>
        <v>0.64897574474127018</v>
      </c>
      <c r="L71" s="13">
        <f t="shared" si="45"/>
        <v>0.17212237212168358</v>
      </c>
      <c r="M71" s="13">
        <f t="shared" si="46"/>
        <v>6.0419127487379945E-2</v>
      </c>
      <c r="N71" s="13">
        <f t="shared" si="47"/>
        <v>16.551050000000004</v>
      </c>
      <c r="U71"/>
      <c r="V71"/>
      <c r="W71"/>
      <c r="X71"/>
      <c r="Y71"/>
      <c r="Z71" s="13"/>
      <c r="AA71" s="49" t="s">
        <v>95</v>
      </c>
      <c r="AB71" s="2">
        <f t="shared" ref="AB71:AJ71" si="50">AB70/(SQRT(COUNT(AB12,AB16,AB19,AB21,AB23,AB25,AB27)))</f>
        <v>0.33578130829961367</v>
      </c>
      <c r="AC71" s="2">
        <f t="shared" si="50"/>
        <v>4.8020101292012098</v>
      </c>
      <c r="AD71" s="2">
        <f t="shared" si="50"/>
        <v>3.2023499704707449E-2</v>
      </c>
      <c r="AE71" s="2">
        <f t="shared" si="50"/>
        <v>3.2023499704707234E-2</v>
      </c>
      <c r="AF71" s="2">
        <f t="shared" si="50"/>
        <v>4.9728251004077734E-3</v>
      </c>
      <c r="AG71" s="2">
        <f t="shared" si="50"/>
        <v>4.3242985733470711E-3</v>
      </c>
      <c r="AH71" s="2">
        <f t="shared" si="50"/>
        <v>5.0572376281499949</v>
      </c>
      <c r="AI71" s="2">
        <f t="shared" si="50"/>
        <v>2.8926366759023696</v>
      </c>
      <c r="AJ71" s="2">
        <f t="shared" si="50"/>
        <v>0.35266429272389049</v>
      </c>
      <c r="AK71" s="13"/>
      <c r="AL71" s="13"/>
      <c r="AM71" s="13"/>
      <c r="AN71" s="13"/>
      <c r="AO71" s="13"/>
      <c r="AP71" s="13"/>
    </row>
    <row r="72" spans="1:42" s="85" customFormat="1" x14ac:dyDescent="0.35">
      <c r="A72" s="104"/>
      <c r="B72" s="157">
        <v>105.28064000000001</v>
      </c>
      <c r="C72" s="157">
        <v>110.15566</v>
      </c>
      <c r="D72" s="157"/>
      <c r="E72" s="132"/>
      <c r="F72" s="176">
        <v>104.56695000000001</v>
      </c>
      <c r="G72" s="176">
        <v>108.70180000000001</v>
      </c>
      <c r="H72" s="132">
        <f t="shared" si="41"/>
        <v>4.1348500000000001</v>
      </c>
      <c r="I72" s="132">
        <f t="shared" si="42"/>
        <v>11.62697</v>
      </c>
      <c r="J72" s="132">
        <f t="shared" si="43"/>
        <v>0.26233328384666238</v>
      </c>
      <c r="K72" s="132">
        <f t="shared" si="44"/>
        <v>0.73766671615333756</v>
      </c>
      <c r="L72" s="132">
        <f t="shared" si="45"/>
        <v>0.24184674171977216</v>
      </c>
      <c r="M72" s="132">
        <f t="shared" si="46"/>
        <v>6.3444449942963443E-2</v>
      </c>
      <c r="N72" s="132">
        <f t="shared" si="47"/>
        <v>15.76182</v>
      </c>
      <c r="U72"/>
      <c r="V72"/>
      <c r="W72"/>
      <c r="X72"/>
      <c r="Y72"/>
      <c r="Z72" s="13"/>
      <c r="AA72" s="49"/>
      <c r="AB72" s="2"/>
      <c r="AC72" s="2"/>
      <c r="AD72" s="2"/>
      <c r="AE72" s="2"/>
      <c r="AF72" s="2"/>
      <c r="AG72" s="2"/>
      <c r="AH72" s="2"/>
      <c r="AI72" s="2"/>
      <c r="AJ72" s="2"/>
      <c r="AK72" s="13"/>
      <c r="AL72" s="13"/>
      <c r="AM72" s="13"/>
      <c r="AN72" s="13"/>
      <c r="AO72" s="13"/>
      <c r="AP72" s="13"/>
    </row>
    <row r="73" spans="1:42" s="85" customFormat="1" x14ac:dyDescent="0.35">
      <c r="A73"/>
      <c r="C73" s="171"/>
      <c r="F73" s="142">
        <v>120.32877000000001</v>
      </c>
      <c r="G73" s="142">
        <v>126.43067000000001</v>
      </c>
      <c r="H73" s="13">
        <f t="shared" si="41"/>
        <v>6.1019000000000005</v>
      </c>
      <c r="I73" s="13">
        <f t="shared" si="42"/>
        <v>9.6455700000000064</v>
      </c>
      <c r="J73" s="13">
        <f t="shared" si="43"/>
        <v>0.3874844657586265</v>
      </c>
      <c r="K73" s="13">
        <f t="shared" si="44"/>
        <v>0.6125155342413735</v>
      </c>
      <c r="L73" s="13">
        <f t="shared" si="45"/>
        <v>0.16388338058637472</v>
      </c>
      <c r="M73" s="13">
        <f t="shared" si="46"/>
        <v>6.3502264173229073E-2</v>
      </c>
      <c r="N73" s="13">
        <f t="shared" si="47"/>
        <v>15.747470000000007</v>
      </c>
      <c r="R73" t="s">
        <v>330</v>
      </c>
      <c r="U73"/>
      <c r="V73"/>
      <c r="W73"/>
      <c r="X73"/>
      <c r="Y73"/>
      <c r="Z73" s="13"/>
      <c r="AA73" s="49"/>
      <c r="AB73" s="2"/>
      <c r="AC73" s="2"/>
      <c r="AD73" s="2"/>
      <c r="AE73" s="2"/>
      <c r="AF73" s="2"/>
      <c r="AG73" s="2"/>
      <c r="AH73" s="2"/>
      <c r="AI73" s="2"/>
      <c r="AJ73" s="2"/>
      <c r="AK73" s="13"/>
      <c r="AL73" s="13"/>
      <c r="AM73" s="13"/>
      <c r="AN73" s="13"/>
      <c r="AO73" s="13"/>
      <c r="AP73" s="13"/>
    </row>
    <row r="74" spans="1:42" s="85" customFormat="1" ht="16" thickBot="1" x14ac:dyDescent="0.4">
      <c r="A74"/>
      <c r="C74" s="171"/>
      <c r="E74" s="13"/>
      <c r="F74" s="142">
        <v>136.07624000000001</v>
      </c>
      <c r="G74" s="142">
        <v>142.23065</v>
      </c>
      <c r="H74" s="13">
        <f t="shared" si="41"/>
        <v>6.1544099999999844</v>
      </c>
      <c r="I74" s="13">
        <f t="shared" si="42"/>
        <v>11.354230000000001</v>
      </c>
      <c r="J74" s="13">
        <f t="shared" si="43"/>
        <v>0.35150702738762057</v>
      </c>
      <c r="K74" s="13">
        <f t="shared" si="44"/>
        <v>0.64849297261237937</v>
      </c>
      <c r="L74" s="13">
        <f t="shared" si="45"/>
        <v>0.16248511230158577</v>
      </c>
      <c r="M74" s="13">
        <f t="shared" si="46"/>
        <v>5.7114658819874119E-2</v>
      </c>
      <c r="N74" s="13">
        <f t="shared" si="47"/>
        <v>17.508639999999986</v>
      </c>
      <c r="U74"/>
      <c r="V74"/>
      <c r="W74"/>
      <c r="X74"/>
      <c r="Y74"/>
      <c r="Z74" s="13"/>
      <c r="AA74" s="13"/>
      <c r="AB74" s="9" t="s">
        <v>3</v>
      </c>
      <c r="AC74" s="9" t="s">
        <v>4</v>
      </c>
      <c r="AD74" s="9" t="s">
        <v>5</v>
      </c>
      <c r="AE74" s="9" t="s">
        <v>6</v>
      </c>
      <c r="AF74" s="9" t="s">
        <v>7</v>
      </c>
      <c r="AG74" s="9" t="s">
        <v>8</v>
      </c>
      <c r="AH74" s="9" t="s">
        <v>9</v>
      </c>
      <c r="AI74" s="9" t="s">
        <v>10</v>
      </c>
      <c r="AJ74" s="44" t="s">
        <v>139</v>
      </c>
      <c r="AK74" s="13"/>
      <c r="AL74" s="13"/>
      <c r="AM74" s="13"/>
      <c r="AN74" s="13"/>
      <c r="AO74" s="13"/>
      <c r="AP74" s="13"/>
    </row>
    <row r="75" spans="1:42" s="85" customFormat="1" x14ac:dyDescent="0.35">
      <c r="A75"/>
      <c r="B75" s="157">
        <v>154.38699</v>
      </c>
      <c r="C75" s="157">
        <v>159.26201</v>
      </c>
      <c r="D75" s="157"/>
      <c r="E75" s="132" t="s">
        <v>261</v>
      </c>
      <c r="F75" s="176">
        <v>153.58488</v>
      </c>
      <c r="G75" s="176">
        <v>157.72659999999999</v>
      </c>
      <c r="H75" s="132">
        <f t="shared" si="41"/>
        <v>4.1417199999999923</v>
      </c>
      <c r="I75" s="132">
        <f t="shared" si="42"/>
        <v>11.594790000000017</v>
      </c>
      <c r="J75" s="132">
        <f t="shared" si="43"/>
        <v>0.2631917750505029</v>
      </c>
      <c r="K75" s="132">
        <f t="shared" si="44"/>
        <v>0.73680822494949705</v>
      </c>
      <c r="L75" s="132">
        <f t="shared" si="45"/>
        <v>0.24144558299450514</v>
      </c>
      <c r="M75" s="132">
        <f t="shared" si="46"/>
        <v>6.3546491566427332E-2</v>
      </c>
      <c r="N75" s="132">
        <f t="shared" si="47"/>
        <v>15.73651000000001</v>
      </c>
      <c r="U75"/>
      <c r="V75"/>
      <c r="W75"/>
      <c r="X75"/>
      <c r="Y75" t="s">
        <v>300</v>
      </c>
      <c r="Z75" s="13"/>
      <c r="AA75" s="49" t="s">
        <v>77</v>
      </c>
      <c r="AB75" s="13">
        <f t="shared" ref="AB75:AH75" si="51">AVERAGE(AB24,AB26,AB31,AB34,AB37,AB39,AB40,AB42)</f>
        <v>7.7477637499999972</v>
      </c>
      <c r="AC75" s="13">
        <f t="shared" si="51"/>
        <v>20.524520000000017</v>
      </c>
      <c r="AD75" s="13">
        <f t="shared" si="51"/>
        <v>0.279403646118145</v>
      </c>
      <c r="AE75" s="13">
        <f t="shared" si="51"/>
        <v>0.72059635388185495</v>
      </c>
      <c r="AF75" s="13">
        <f t="shared" si="51"/>
        <v>0.13654236482240323</v>
      </c>
      <c r="AG75" s="13">
        <f t="shared" si="51"/>
        <v>3.6206301992322464E-2</v>
      </c>
      <c r="AH75" s="13">
        <f t="shared" si="51"/>
        <v>28.272283750000014</v>
      </c>
      <c r="AI75" s="13">
        <f>AVERAGE(AI24,AI26,AI31,AI34,AI37,AI39,AI40,AI43)</f>
        <v>85.875</v>
      </c>
      <c r="AJ75" s="13">
        <f>AVERAGE(AJ24,AJ26,AJ31,AJ34,AJ37,AJ39,AJ40,AJ43)</f>
        <v>11.120080270647852</v>
      </c>
      <c r="AK75" s="13"/>
      <c r="AL75" s="13"/>
      <c r="AM75" s="13"/>
      <c r="AN75" s="13"/>
      <c r="AO75" s="13"/>
      <c r="AP75" s="13"/>
    </row>
    <row r="76" spans="1:42" s="85" customFormat="1" x14ac:dyDescent="0.35">
      <c r="A76"/>
      <c r="C76" s="169"/>
      <c r="E76" s="172" t="s">
        <v>32</v>
      </c>
      <c r="F76" s="142">
        <v>169.32139000000001</v>
      </c>
      <c r="G76" s="142">
        <v>174.52440000000001</v>
      </c>
      <c r="H76" s="13">
        <f t="shared" si="41"/>
        <v>5.2030100000000061</v>
      </c>
      <c r="I76" s="13">
        <f t="shared" si="42"/>
        <v>8.6001599999999883</v>
      </c>
      <c r="J76" s="13">
        <f t="shared" si="43"/>
        <v>0.3769431224856325</v>
      </c>
      <c r="K76" s="13">
        <f t="shared" si="44"/>
        <v>0.62305687751436745</v>
      </c>
      <c r="L76" s="13">
        <f t="shared" si="45"/>
        <v>0.19219644013753553</v>
      </c>
      <c r="M76" s="13">
        <f t="shared" si="46"/>
        <v>7.2447126276065602E-2</v>
      </c>
      <c r="N76" s="13">
        <f t="shared" si="47"/>
        <v>13.803169999999994</v>
      </c>
      <c r="U76"/>
      <c r="V76"/>
      <c r="W76"/>
      <c r="X76"/>
      <c r="Y76"/>
      <c r="Z76" s="13"/>
      <c r="AA76" s="49" t="s">
        <v>94</v>
      </c>
      <c r="AB76" s="2">
        <f t="shared" ref="AB76:AH76" si="52">_xlfn.STDEV.S(AB24,AB26,AB31,AB34,AB37,AB39,AB40,AB42)</f>
        <v>1.7361500298479338</v>
      </c>
      <c r="AC76" s="2">
        <f t="shared" si="52"/>
        <v>4.7481301735494785</v>
      </c>
      <c r="AD76" s="2">
        <f t="shared" si="52"/>
        <v>7.3051876264151813E-2</v>
      </c>
      <c r="AE76" s="2">
        <f t="shared" si="52"/>
        <v>7.3051876264151674E-2</v>
      </c>
      <c r="AF76" s="2">
        <f t="shared" si="52"/>
        <v>3.8394372013025341E-2</v>
      </c>
      <c r="AG76" s="2">
        <f t="shared" si="52"/>
        <v>5.7009069721226623E-3</v>
      </c>
      <c r="AH76" s="2">
        <f t="shared" si="52"/>
        <v>4.7926679175260594</v>
      </c>
      <c r="AI76" s="2">
        <f>_xlfn.STDEV.S(AI24,AI26,AI31,AI34,AI37,AI39,AI40,AI43)</f>
        <v>20.095752927280074</v>
      </c>
      <c r="AJ76" s="2">
        <f>_xlfn.STDEV.S(AJ24,AJ26,AJ31,AJ34,AJ37,AJ39,AJ40,AJ43)</f>
        <v>1.2895287868912773</v>
      </c>
      <c r="AK76" s="13"/>
      <c r="AL76" s="13"/>
      <c r="AM76" s="13"/>
      <c r="AN76" s="13"/>
      <c r="AO76" s="13"/>
      <c r="AP76" s="13"/>
    </row>
    <row r="77" spans="1:42" s="85" customFormat="1" x14ac:dyDescent="0.35">
      <c r="A77"/>
      <c r="B77" s="157">
        <v>183.73106999999999</v>
      </c>
      <c r="C77" s="157">
        <v>188.60608999999999</v>
      </c>
      <c r="D77" s="157"/>
      <c r="E77" s="177" t="s">
        <v>32</v>
      </c>
      <c r="F77" s="176">
        <v>183.12456</v>
      </c>
      <c r="G77" s="176">
        <v>187.19857999999999</v>
      </c>
      <c r="H77" s="132">
        <f t="shared" si="41"/>
        <v>4.0740199999999902</v>
      </c>
      <c r="I77" s="132">
        <f t="shared" si="42"/>
        <v>20.90455</v>
      </c>
      <c r="J77" s="132">
        <f t="shared" si="43"/>
        <v>0.16310060984275687</v>
      </c>
      <c r="K77" s="132">
        <f t="shared" si="44"/>
        <v>0.83689939015724313</v>
      </c>
      <c r="L77" s="132">
        <f t="shared" si="45"/>
        <v>0.24545780334902687</v>
      </c>
      <c r="M77" s="132">
        <f t="shared" si="46"/>
        <v>4.0034317416889773E-2</v>
      </c>
      <c r="N77" s="132">
        <f t="shared" si="47"/>
        <v>24.978569999999991</v>
      </c>
      <c r="U77"/>
      <c r="V77"/>
      <c r="W77"/>
      <c r="X77"/>
      <c r="Y77"/>
      <c r="Z77" s="13"/>
      <c r="AA77" s="49" t="s">
        <v>95</v>
      </c>
      <c r="AB77" s="2">
        <f t="shared" ref="AB77:AH77" si="53">AB76/(SQRT(COUNT(AB24,AB26,AB31,AB34,AB37,AB39,AB40,AB42)))</f>
        <v>0.6138217296313504</v>
      </c>
      <c r="AC77" s="2">
        <f t="shared" si="53"/>
        <v>1.6787175218366475</v>
      </c>
      <c r="AD77" s="2">
        <f t="shared" si="53"/>
        <v>2.582773854239117E-2</v>
      </c>
      <c r="AE77" s="2">
        <f t="shared" si="53"/>
        <v>2.5827738542391121E-2</v>
      </c>
      <c r="AF77" s="2">
        <f t="shared" si="53"/>
        <v>1.3574460404904606E-2</v>
      </c>
      <c r="AG77" s="2">
        <f t="shared" si="53"/>
        <v>2.0155749894508013E-3</v>
      </c>
      <c r="AH77" s="2">
        <f t="shared" si="53"/>
        <v>1.6944639922289426</v>
      </c>
      <c r="AI77" s="2">
        <f>AI76/(SQRT(COUNT(AI24,AI26,AI31,AI34,AI37,AI39,AI40,AI43)))</f>
        <v>7.1049215839645763</v>
      </c>
      <c r="AJ77" s="2">
        <f>AJ76/(SQRT(COUNT(AJ24,AJ26,AJ31,AJ34,AJ37,AJ39,AJ40,AJ43)))</f>
        <v>0.45591727487304218</v>
      </c>
      <c r="AK77" s="13"/>
      <c r="AL77" s="13"/>
      <c r="AM77" s="13"/>
      <c r="AN77" s="13"/>
      <c r="AO77" s="13"/>
      <c r="AP77" s="13"/>
    </row>
    <row r="78" spans="1:42" s="85" customFormat="1" x14ac:dyDescent="0.35">
      <c r="A78"/>
      <c r="B78" s="157">
        <v>197.58707000000001</v>
      </c>
      <c r="C78" s="157">
        <v>202.46208999999999</v>
      </c>
      <c r="D78" s="157"/>
      <c r="E78" s="177" t="s">
        <v>32</v>
      </c>
      <c r="F78" s="176">
        <v>208.10312999999999</v>
      </c>
      <c r="G78" s="176">
        <v>215.17568</v>
      </c>
      <c r="H78" s="132">
        <f t="shared" si="41"/>
        <v>7.0725500000000068</v>
      </c>
      <c r="I78" s="132">
        <f t="shared" si="42"/>
        <v>8.088169999999991</v>
      </c>
      <c r="J78" s="132">
        <f t="shared" si="43"/>
        <v>0.46650488894986569</v>
      </c>
      <c r="K78" s="132">
        <f t="shared" si="44"/>
        <v>0.53349511105013425</v>
      </c>
      <c r="L78" s="132">
        <f t="shared" si="45"/>
        <v>0.14139171868703637</v>
      </c>
      <c r="M78" s="132">
        <f t="shared" si="46"/>
        <v>6.5959928024526548E-2</v>
      </c>
      <c r="N78" s="132">
        <f t="shared" si="47"/>
        <v>15.160719999999998</v>
      </c>
      <c r="U78"/>
      <c r="V78"/>
      <c r="W78"/>
      <c r="X78"/>
      <c r="Y78"/>
      <c r="Z78" s="13"/>
      <c r="AA78" s="49"/>
      <c r="AB78" s="2"/>
      <c r="AC78" s="2"/>
      <c r="AD78" s="2"/>
      <c r="AE78" s="2"/>
      <c r="AF78" s="2"/>
      <c r="AG78" s="2"/>
      <c r="AH78" s="2"/>
      <c r="AI78" s="2"/>
      <c r="AJ78" s="2"/>
      <c r="AK78" s="13"/>
      <c r="AL78" s="13"/>
      <c r="AM78" s="13"/>
      <c r="AN78" s="13"/>
      <c r="AO78" s="13"/>
      <c r="AP78" s="13"/>
    </row>
    <row r="79" spans="1:42" s="85" customFormat="1" ht="16" thickBot="1" x14ac:dyDescent="0.4">
      <c r="A79"/>
      <c r="B79" s="157">
        <v>224.62700000000001</v>
      </c>
      <c r="C79" s="157">
        <v>229.50201999999999</v>
      </c>
      <c r="D79" s="157"/>
      <c r="E79" s="177" t="s">
        <v>32</v>
      </c>
      <c r="F79" s="178">
        <v>223.26384999999999</v>
      </c>
      <c r="G79" s="178">
        <v>228.17187000000001</v>
      </c>
      <c r="H79" s="132">
        <f t="shared" si="41"/>
        <v>4.9080200000000218</v>
      </c>
      <c r="I79" s="132">
        <f t="shared" si="42"/>
        <v>7.9789499999999975</v>
      </c>
      <c r="J79" s="132">
        <f t="shared" si="43"/>
        <v>0.38085135605964898</v>
      </c>
      <c r="K79" s="132">
        <f t="shared" si="44"/>
        <v>0.61914864394035107</v>
      </c>
      <c r="L79" s="132">
        <f t="shared" si="45"/>
        <v>0.2037481509855289</v>
      </c>
      <c r="M79" s="132">
        <f t="shared" si="46"/>
        <v>7.7597759597484786E-2</v>
      </c>
      <c r="N79" s="132">
        <f t="shared" si="47"/>
        <v>12.886970000000019</v>
      </c>
      <c r="O79" s="5"/>
      <c r="P79" s="14"/>
      <c r="Q79" s="13"/>
      <c r="U79"/>
      <c r="V79"/>
      <c r="W79"/>
      <c r="X79"/>
      <c r="Y79"/>
      <c r="Z79" s="13"/>
      <c r="AA79" s="13"/>
      <c r="AB79" s="9" t="s">
        <v>3</v>
      </c>
      <c r="AC79" s="9" t="s">
        <v>4</v>
      </c>
      <c r="AD79" s="9" t="s">
        <v>5</v>
      </c>
      <c r="AE79" s="9" t="s">
        <v>6</v>
      </c>
      <c r="AF79" s="9" t="s">
        <v>7</v>
      </c>
      <c r="AG79" s="9" t="s">
        <v>8</v>
      </c>
      <c r="AH79" s="9" t="s">
        <v>9</v>
      </c>
      <c r="AI79" s="9" t="s">
        <v>10</v>
      </c>
      <c r="AJ79" s="44" t="s">
        <v>139</v>
      </c>
      <c r="AK79" s="13"/>
      <c r="AL79" s="13"/>
      <c r="AM79" s="13"/>
      <c r="AN79" s="13"/>
      <c r="AO79" s="13"/>
      <c r="AP79" s="13"/>
    </row>
    <row r="80" spans="1:42" s="85" customFormat="1" x14ac:dyDescent="0.35">
      <c r="A80"/>
      <c r="E80" s="172" t="s">
        <v>32</v>
      </c>
      <c r="F80" s="46">
        <v>236.15082000000001</v>
      </c>
      <c r="G80" s="45">
        <v>241.81057999999999</v>
      </c>
      <c r="H80" s="13">
        <f t="shared" si="41"/>
        <v>5.6597599999999773</v>
      </c>
      <c r="I80" s="13">
        <f t="shared" si="42"/>
        <v>12.509280000000018</v>
      </c>
      <c r="J80" s="13">
        <f t="shared" si="43"/>
        <v>0.31150572622438932</v>
      </c>
      <c r="K80" s="13">
        <f t="shared" si="44"/>
        <v>0.68849427377561068</v>
      </c>
      <c r="L80" s="13">
        <f t="shared" si="45"/>
        <v>0.17668593721288606</v>
      </c>
      <c r="M80" s="13">
        <f t="shared" si="46"/>
        <v>5.5038681185136926E-2</v>
      </c>
      <c r="N80" s="13">
        <f t="shared" si="47"/>
        <v>18.169039999999995</v>
      </c>
      <c r="O80" s="13"/>
      <c r="P80" s="13"/>
      <c r="Q80" s="13"/>
      <c r="R80" t="s">
        <v>331</v>
      </c>
      <c r="U80"/>
      <c r="V80"/>
      <c r="W80"/>
      <c r="X80"/>
      <c r="Y80" t="s">
        <v>301</v>
      </c>
      <c r="Z80" s="13"/>
      <c r="AA80" s="49" t="s">
        <v>77</v>
      </c>
      <c r="AB80" s="13">
        <f>AVERAGE(AB32,AB25,AB27,AB35,AB38,AB41,AB43)</f>
        <v>8.4404314285713919</v>
      </c>
      <c r="AC80" s="13">
        <f t="shared" ref="AC80:AH80" si="54">AVERAGE(AC32,AC25,AC27,AC35,AC38,AC41,AC43)</f>
        <v>12.01363571428571</v>
      </c>
      <c r="AD80" s="13">
        <f t="shared" si="54"/>
        <v>0.41666964341713036</v>
      </c>
      <c r="AE80" s="13">
        <f t="shared" si="54"/>
        <v>0.58333035658286969</v>
      </c>
      <c r="AF80" s="13">
        <f t="shared" si="54"/>
        <v>0.11899067905792415</v>
      </c>
      <c r="AG80" s="13">
        <f t="shared" si="54"/>
        <v>4.9206902728654682E-2</v>
      </c>
      <c r="AH80" s="13">
        <f t="shared" si="54"/>
        <v>20.454067142857102</v>
      </c>
      <c r="AI80" s="13">
        <f>AVERAGE(AI35,AI37,AI39,AI41,AI43,AI46)</f>
        <v>93.666666666666671</v>
      </c>
      <c r="AJ80" s="13">
        <f>AVERAGE(AJ35,AJ37,AJ39,AJ41,AJ43,AJ46)</f>
        <v>11.164769672080782</v>
      </c>
      <c r="AK80" s="13"/>
      <c r="AL80" s="13"/>
      <c r="AM80" s="13"/>
      <c r="AN80" s="13"/>
      <c r="AO80" s="13"/>
      <c r="AP80" s="13"/>
    </row>
    <row r="81" spans="1:42" s="85" customFormat="1" x14ac:dyDescent="0.35">
      <c r="A81"/>
      <c r="B81" s="132">
        <v>253.88328999999999</v>
      </c>
      <c r="C81" s="157">
        <v>258.75830999999999</v>
      </c>
      <c r="D81" s="157"/>
      <c r="E81" s="177" t="s">
        <v>32</v>
      </c>
      <c r="F81" s="178">
        <v>254.31986000000001</v>
      </c>
      <c r="G81" s="178">
        <v>258.56648999999999</v>
      </c>
      <c r="H81" s="132">
        <f t="shared" si="41"/>
        <v>4.2466299999999819</v>
      </c>
      <c r="I81" s="132">
        <f t="shared" si="42"/>
        <v>12.514679999999998</v>
      </c>
      <c r="J81" s="132">
        <f t="shared" si="43"/>
        <v>0.2533590751558194</v>
      </c>
      <c r="K81" s="132">
        <f t="shared" si="44"/>
        <v>0.74664092484418065</v>
      </c>
      <c r="L81" s="132">
        <f t="shared" si="45"/>
        <v>0.23548084010144615</v>
      </c>
      <c r="M81" s="132">
        <f t="shared" si="46"/>
        <v>5.966120786501778E-2</v>
      </c>
      <c r="N81" s="132">
        <f t="shared" si="47"/>
        <v>16.76130999999998</v>
      </c>
      <c r="O81" s="13"/>
      <c r="P81" s="13"/>
      <c r="Q81" s="13"/>
      <c r="U81"/>
      <c r="V81"/>
      <c r="W81"/>
      <c r="X81"/>
      <c r="Y81"/>
      <c r="Z81" s="13"/>
      <c r="AA81" s="49" t="s">
        <v>94</v>
      </c>
      <c r="AB81" s="2">
        <f>_xlfn.STDEV.S(AB32,AB25,AB27,AB35,AB38,AB41,AB43)</f>
        <v>0.59102688727413211</v>
      </c>
      <c r="AC81" s="2">
        <f t="shared" ref="AC81:AH81" si="55">_xlfn.STDEV.S(AC32,AC25,AC27,AC35,AC38,AC41,AC43)</f>
        <v>2.3314309932947537</v>
      </c>
      <c r="AD81" s="2">
        <f t="shared" si="55"/>
        <v>5.4992929689405418E-2</v>
      </c>
      <c r="AE81" s="2">
        <f t="shared" si="55"/>
        <v>5.4992929689405667E-2</v>
      </c>
      <c r="AF81" s="2">
        <f t="shared" si="55"/>
        <v>8.5671325425551049E-3</v>
      </c>
      <c r="AG81" s="2">
        <f t="shared" si="55"/>
        <v>4.0104091987314665E-3</v>
      </c>
      <c r="AH81" s="2">
        <f t="shared" si="55"/>
        <v>1.8896256667720668</v>
      </c>
      <c r="AI81" s="2">
        <f>_xlfn.STDEV.S(AI35,AI37,AI39,AI41,AI43,AI46)</f>
        <v>12.628011192055032</v>
      </c>
      <c r="AJ81" s="2">
        <f>_xlfn.STDEV.S(AJ35,AJ37,AJ39,AJ41,AJ43,AJ46)</f>
        <v>1.0496886312755465</v>
      </c>
      <c r="AK81" s="13"/>
      <c r="AL81" s="13"/>
      <c r="AM81" s="13"/>
      <c r="AN81" s="13"/>
      <c r="AO81" s="13"/>
      <c r="AP81" s="13"/>
    </row>
    <row r="82" spans="1:42" s="85" customFormat="1" x14ac:dyDescent="0.35">
      <c r="A82"/>
      <c r="E82" s="172" t="s">
        <v>32</v>
      </c>
      <c r="F82" s="46">
        <v>271.08116999999999</v>
      </c>
      <c r="G82" s="46">
        <v>277.41701</v>
      </c>
      <c r="H82" s="13">
        <f t="shared" si="41"/>
        <v>6.3358400000000188</v>
      </c>
      <c r="I82" s="13">
        <f t="shared" si="42"/>
        <v>7.6991899999999873</v>
      </c>
      <c r="J82" s="13">
        <f t="shared" si="43"/>
        <v>0.45143045650775354</v>
      </c>
      <c r="K82" s="13">
        <f t="shared" si="44"/>
        <v>0.54856954349224651</v>
      </c>
      <c r="L82" s="13">
        <f t="shared" si="45"/>
        <v>0.1578322684916281</v>
      </c>
      <c r="M82" s="13">
        <f t="shared" si="46"/>
        <v>7.1250293016830002E-2</v>
      </c>
      <c r="N82" s="13">
        <f t="shared" si="47"/>
        <v>14.035030000000006</v>
      </c>
      <c r="O82" s="13"/>
      <c r="P82" s="13"/>
      <c r="Q82" s="13"/>
      <c r="U82"/>
      <c r="V82"/>
      <c r="W82"/>
      <c r="X82"/>
      <c r="Y82"/>
      <c r="Z82" s="13"/>
      <c r="AA82" s="49" t="s">
        <v>95</v>
      </c>
      <c r="AB82" s="2">
        <f>AB81/(SQRT(COUNT(AB32,AB25,AB27,AB35,AB38,AB41,AB43)))</f>
        <v>0.22338716598285127</v>
      </c>
      <c r="AC82" s="2">
        <f t="shared" ref="AC82:AH82" si="56">AC81/(SQRT(COUNT(AC32,AC25,AC27,AC35,AC38,AC41,AC43)))</f>
        <v>0.88119808673803068</v>
      </c>
      <c r="AD82" s="2">
        <f t="shared" si="56"/>
        <v>2.0785373689289604E-2</v>
      </c>
      <c r="AE82" s="2">
        <f t="shared" si="56"/>
        <v>2.0785373689289698E-2</v>
      </c>
      <c r="AF82" s="2">
        <f t="shared" si="56"/>
        <v>3.238071736647041E-3</v>
      </c>
      <c r="AG82" s="2">
        <f t="shared" si="56"/>
        <v>1.5157921993498959E-3</v>
      </c>
      <c r="AH82" s="2">
        <f t="shared" si="56"/>
        <v>0.71421136932621376</v>
      </c>
      <c r="AI82" s="2">
        <f>AI81/(SQRT(COUNT(AI35,AI37,AI39,AI41,AI43,AI46)))</f>
        <v>5.1553639811149967</v>
      </c>
      <c r="AJ82" s="2">
        <f>AJ81/(SQRT(COUNT(AJ35,AJ37,AJ39,AJ41,AJ43,AJ46)))</f>
        <v>0.42853358923759416</v>
      </c>
      <c r="AK82" s="13"/>
      <c r="AL82" s="13"/>
      <c r="AM82" s="13"/>
      <c r="AN82" s="13"/>
      <c r="AO82" s="13"/>
      <c r="AP82" s="13"/>
    </row>
    <row r="83" spans="1:42" x14ac:dyDescent="0.35">
      <c r="B83" s="132">
        <v>286.04331000000002</v>
      </c>
      <c r="C83" s="157">
        <v>290.91831999999999</v>
      </c>
      <c r="D83" s="157"/>
      <c r="E83" s="177" t="s">
        <v>32</v>
      </c>
      <c r="F83" s="178">
        <v>285.11619999999999</v>
      </c>
      <c r="G83" s="178">
        <v>289.72946000000002</v>
      </c>
      <c r="H83" s="132">
        <f t="shared" si="41"/>
        <v>4.6132600000000252</v>
      </c>
      <c r="I83" s="132">
        <f t="shared" si="42"/>
        <v>12.032659999999964</v>
      </c>
      <c r="J83" s="132">
        <f t="shared" si="43"/>
        <v>0.27714058459971141</v>
      </c>
      <c r="K83" s="132">
        <f t="shared" si="44"/>
        <v>0.72285941540028864</v>
      </c>
      <c r="L83" s="132">
        <f t="shared" si="45"/>
        <v>0.21676645148983464</v>
      </c>
      <c r="M83" s="132">
        <f t="shared" si="46"/>
        <v>6.0074781087497753E-2</v>
      </c>
      <c r="N83" s="132">
        <f t="shared" si="47"/>
        <v>16.64591999999999</v>
      </c>
      <c r="O83" s="2"/>
      <c r="P83" s="2"/>
      <c r="Q83" s="13"/>
      <c r="R83" s="85"/>
      <c r="S83" s="85"/>
      <c r="T83" s="85"/>
      <c r="Z83" s="13"/>
      <c r="AA83" s="49"/>
      <c r="AB83" s="2"/>
      <c r="AC83" s="2"/>
      <c r="AD83" s="2"/>
      <c r="AE83" s="2"/>
      <c r="AF83" s="2"/>
      <c r="AG83" s="2"/>
      <c r="AH83" s="2"/>
      <c r="AI83" s="2"/>
      <c r="AJ83" s="2"/>
      <c r="AK83" s="13"/>
      <c r="AL83" s="13"/>
      <c r="AM83" s="13"/>
      <c r="AN83" s="13"/>
      <c r="AO83" s="13"/>
      <c r="AP83" s="13"/>
    </row>
    <row r="84" spans="1:42" ht="16" thickBot="1" x14ac:dyDescent="0.4">
      <c r="B84" s="85"/>
      <c r="C84" s="85"/>
      <c r="D84" s="85"/>
      <c r="E84" s="172" t="s">
        <v>32</v>
      </c>
      <c r="F84" s="46">
        <v>301.76211999999998</v>
      </c>
      <c r="G84" s="45">
        <v>308.27976000000001</v>
      </c>
      <c r="H84" s="13">
        <f t="shared" si="41"/>
        <v>6.5176400000000285</v>
      </c>
      <c r="I84" s="13">
        <f t="shared" si="42"/>
        <v>8.7292299999999727</v>
      </c>
      <c r="J84" s="13">
        <f t="shared" si="43"/>
        <v>0.42747396678793931</v>
      </c>
      <c r="K84" s="13">
        <f t="shared" si="44"/>
        <v>0.57252603321206075</v>
      </c>
      <c r="L84" s="13">
        <f t="shared" si="45"/>
        <v>0.15342976905751093</v>
      </c>
      <c r="M84" s="13">
        <f t="shared" si="46"/>
        <v>6.5587232002371626E-2</v>
      </c>
      <c r="N84" s="13">
        <f t="shared" si="47"/>
        <v>15.246870000000001</v>
      </c>
      <c r="O84" s="2"/>
      <c r="P84" s="2"/>
      <c r="Q84" s="13"/>
      <c r="R84" s="85"/>
      <c r="S84" s="85"/>
      <c r="T84" s="85"/>
      <c r="Z84" s="13"/>
      <c r="AA84" s="13"/>
      <c r="AB84" s="9" t="s">
        <v>3</v>
      </c>
      <c r="AC84" s="9" t="s">
        <v>4</v>
      </c>
      <c r="AD84" s="9" t="s">
        <v>5</v>
      </c>
      <c r="AE84" s="9" t="s">
        <v>6</v>
      </c>
      <c r="AF84" s="9" t="s">
        <v>7</v>
      </c>
      <c r="AG84" s="9" t="s">
        <v>8</v>
      </c>
      <c r="AH84" s="9" t="s">
        <v>9</v>
      </c>
      <c r="AI84" s="9" t="s">
        <v>10</v>
      </c>
      <c r="AJ84" s="44" t="s">
        <v>139</v>
      </c>
      <c r="AK84" s="13"/>
      <c r="AL84" s="13"/>
      <c r="AM84" s="13"/>
      <c r="AN84" s="13"/>
      <c r="AO84" s="13"/>
      <c r="AP84" s="13"/>
    </row>
    <row r="85" spans="1:42" x14ac:dyDescent="0.35">
      <c r="B85" s="85"/>
      <c r="C85" s="85"/>
      <c r="D85" s="85"/>
      <c r="E85" s="172" t="s">
        <v>32</v>
      </c>
      <c r="F85" s="46">
        <v>317.00898999999998</v>
      </c>
      <c r="G85" s="45">
        <v>322.93326000000002</v>
      </c>
      <c r="H85" s="13">
        <f t="shared" si="41"/>
        <v>5.9242700000000355</v>
      </c>
      <c r="I85" s="13">
        <f t="shared" si="42"/>
        <v>10.087289999999996</v>
      </c>
      <c r="J85" s="13">
        <f t="shared" si="43"/>
        <v>0.36999955032489174</v>
      </c>
      <c r="K85" s="13">
        <f t="shared" si="44"/>
        <v>0.63000044967510826</v>
      </c>
      <c r="L85" s="13">
        <f t="shared" si="45"/>
        <v>0.16879716825870428</v>
      </c>
      <c r="M85" s="13">
        <f t="shared" si="46"/>
        <v>6.2454876351835678E-2</v>
      </c>
      <c r="N85" s="13">
        <f t="shared" si="47"/>
        <v>16.011560000000031</v>
      </c>
      <c r="O85" s="2"/>
      <c r="P85" s="2"/>
      <c r="Q85" s="13"/>
      <c r="R85" s="85"/>
      <c r="S85" s="85"/>
      <c r="T85" s="85"/>
      <c r="Y85" t="s">
        <v>250</v>
      </c>
      <c r="Z85" s="13"/>
      <c r="AA85" s="49" t="s">
        <v>77</v>
      </c>
      <c r="AB85" s="13">
        <f>AVERAGE(AB7:AB9,AB13,AB17,AB28:AB30,AB33,AB36,AB44:AB46,AB56)</f>
        <v>8.5856764285714426</v>
      </c>
      <c r="AC85" s="13">
        <f t="shared" ref="AC85:AJ85" si="57">AVERAGE(AC7:AC9,AC13,AC17,AC28:AC30,AC33,AC36,AC44:AC46,AC56)</f>
        <v>14.053192857142875</v>
      </c>
      <c r="AD85" s="13">
        <f t="shared" si="57"/>
        <v>0.38858977681260853</v>
      </c>
      <c r="AE85" s="13">
        <f t="shared" si="57"/>
        <v>0.61141022318739147</v>
      </c>
      <c r="AF85" s="13">
        <f t="shared" si="57"/>
        <v>0.11765416742571701</v>
      </c>
      <c r="AG85" s="13">
        <f t="shared" si="57"/>
        <v>4.5550645860317047E-2</v>
      </c>
      <c r="AH85" s="13">
        <f t="shared" si="57"/>
        <v>22.638869285714318</v>
      </c>
      <c r="AI85" s="13">
        <f t="shared" si="57"/>
        <v>85.928571428571431</v>
      </c>
      <c r="AJ85" s="13">
        <f t="shared" si="57"/>
        <v>10.083954501407144</v>
      </c>
      <c r="AK85" s="13"/>
      <c r="AL85" s="13"/>
      <c r="AM85" s="13"/>
      <c r="AN85" s="13"/>
      <c r="AO85" s="13"/>
      <c r="AP85" s="13"/>
    </row>
    <row r="86" spans="1:42" x14ac:dyDescent="0.35">
      <c r="B86" s="132">
        <v>333.75529</v>
      </c>
      <c r="C86" s="157">
        <v>338.63031000000001</v>
      </c>
      <c r="D86" s="157"/>
      <c r="E86" s="177" t="s">
        <v>32</v>
      </c>
      <c r="F86" s="178">
        <v>333.02055000000001</v>
      </c>
      <c r="G86" s="178">
        <v>337.85169000000002</v>
      </c>
      <c r="H86" s="132">
        <f t="shared" si="41"/>
        <v>4.8311400000000049</v>
      </c>
      <c r="I86" s="132">
        <f t="shared" si="42"/>
        <v>12.121589999999969</v>
      </c>
      <c r="J86" s="132">
        <f t="shared" si="43"/>
        <v>0.28497710988141806</v>
      </c>
      <c r="K86" s="132">
        <f t="shared" si="44"/>
        <v>0.715022890118582</v>
      </c>
      <c r="L86" s="132">
        <f t="shared" si="45"/>
        <v>0.20699048257761088</v>
      </c>
      <c r="M86" s="132">
        <f t="shared" si="46"/>
        <v>5.8987549497927561E-2</v>
      </c>
      <c r="N86" s="132">
        <f t="shared" si="47"/>
        <v>16.952729999999974</v>
      </c>
      <c r="O86" s="13"/>
      <c r="P86" s="13"/>
      <c r="Q86" s="13"/>
      <c r="R86" s="85"/>
      <c r="S86" s="85"/>
      <c r="T86" s="85"/>
      <c r="Z86" s="13"/>
      <c r="AA86" s="49" t="s">
        <v>94</v>
      </c>
      <c r="AB86" s="2">
        <f>_xlfn.STDEV.S(AB7:AB9,AB13,AB17,AB28:AB30,AB33,AB36,AB44:AB46,AB56)</f>
        <v>0.96131401669884087</v>
      </c>
      <c r="AC86" s="2">
        <f t="shared" ref="AC86:AJ86" si="58">_xlfn.STDEV.S(AC7:AC9,AC13,AC17,AC28:AC30,AC33,AC36,AC44:AC46,AC56)</f>
        <v>4.1507571399989898</v>
      </c>
      <c r="AD86" s="2">
        <f t="shared" si="58"/>
        <v>6.342267859605813E-2</v>
      </c>
      <c r="AE86" s="2">
        <f t="shared" si="58"/>
        <v>6.3422678596058352E-2</v>
      </c>
      <c r="AF86" s="2">
        <f t="shared" si="58"/>
        <v>1.1423680743677606E-2</v>
      </c>
      <c r="AG86" s="2">
        <f t="shared" si="58"/>
        <v>7.7911840387620652E-3</v>
      </c>
      <c r="AH86" s="2">
        <f t="shared" si="58"/>
        <v>4.3730386605451166</v>
      </c>
      <c r="AI86" s="2">
        <f t="shared" si="58"/>
        <v>15.369621814647042</v>
      </c>
      <c r="AJ86" s="2">
        <f t="shared" si="58"/>
        <v>1.9574307083085907</v>
      </c>
      <c r="AK86" s="13"/>
      <c r="AL86" s="13"/>
      <c r="AM86" s="13"/>
      <c r="AN86" s="13"/>
      <c r="AO86" s="13"/>
      <c r="AP86" s="13"/>
    </row>
    <row r="87" spans="1:42" x14ac:dyDescent="0.35">
      <c r="B87" s="85"/>
      <c r="C87" s="85"/>
      <c r="D87" s="85"/>
      <c r="E87" s="172" t="s">
        <v>32</v>
      </c>
      <c r="F87" s="46">
        <v>349.97327999999999</v>
      </c>
      <c r="G87" s="45">
        <v>356.60588999999999</v>
      </c>
      <c r="H87" s="13">
        <f t="shared" si="41"/>
        <v>6.6326099999999997</v>
      </c>
      <c r="I87" s="13">
        <f t="shared" si="42"/>
        <v>11.014679999999998</v>
      </c>
      <c r="J87" s="13">
        <f t="shared" si="43"/>
        <v>0.37584297645700843</v>
      </c>
      <c r="K87" s="13">
        <f t="shared" si="44"/>
        <v>0.62415702354299152</v>
      </c>
      <c r="L87" s="13">
        <f t="shared" si="45"/>
        <v>0.15077020961582244</v>
      </c>
      <c r="M87" s="13">
        <f t="shared" si="46"/>
        <v>5.6665924343057776E-2</v>
      </c>
      <c r="N87" s="13">
        <f t="shared" si="47"/>
        <v>17.647289999999998</v>
      </c>
      <c r="O87" s="13"/>
      <c r="P87" s="13"/>
      <c r="Q87" s="13"/>
      <c r="R87" s="85"/>
      <c r="S87" s="85"/>
      <c r="T87" s="85"/>
      <c r="Z87" s="13"/>
      <c r="AA87" s="49" t="s">
        <v>95</v>
      </c>
      <c r="AB87" s="2">
        <f>AB86/(SQRT(COUNT(AB7:AB9,AB13,AB17,AB28:AB30,AB33,AB36,AB44:AB46,AB56)))</f>
        <v>0.25692197797075328</v>
      </c>
      <c r="AC87" s="2">
        <f t="shared" ref="AC87:AI87" si="59">AC86/(SQRT(COUNT(AC7:AC9,AC13,AC17,AC28:AC30,AC33,AC36,AC44:AC46,AC56)))</f>
        <v>1.1093365081129929</v>
      </c>
      <c r="AD87" s="2">
        <f t="shared" si="59"/>
        <v>1.6950423846995032E-2</v>
      </c>
      <c r="AE87" s="2">
        <f t="shared" si="59"/>
        <v>1.6950423846995091E-2</v>
      </c>
      <c r="AF87" s="2">
        <f t="shared" si="59"/>
        <v>3.0531071027663247E-3</v>
      </c>
      <c r="AG87" s="2">
        <f t="shared" si="59"/>
        <v>2.0822815221678082E-3</v>
      </c>
      <c r="AH87" s="2">
        <f t="shared" si="59"/>
        <v>1.1687437433483328</v>
      </c>
      <c r="AI87" s="2">
        <f t="shared" si="59"/>
        <v>4.1077042139068585</v>
      </c>
      <c r="AJ87" s="2">
        <f>AJ86/(SQRT(COUNT(AJ7:AJ9,AJ13,AJ17,AJ28:AJ30,AJ33,AJ36,AJ44:AJ46,AJ56)))</f>
        <v>0.52314536206007045</v>
      </c>
      <c r="AK87" s="13"/>
      <c r="AL87" s="13"/>
      <c r="AM87" s="13"/>
      <c r="AN87" s="13"/>
      <c r="AO87" s="13"/>
      <c r="AP87" s="13"/>
    </row>
    <row r="88" spans="1:42" x14ac:dyDescent="0.35">
      <c r="B88" s="91">
        <v>375.83560999999997</v>
      </c>
      <c r="C88" s="144">
        <v>382.71064000000001</v>
      </c>
      <c r="D88" s="144"/>
      <c r="E88" s="173" t="s">
        <v>32</v>
      </c>
      <c r="F88" s="174">
        <v>367.62056999999999</v>
      </c>
      <c r="G88" s="174">
        <v>373.67827999999997</v>
      </c>
      <c r="H88" s="91">
        <f t="shared" si="41"/>
        <v>6.0577099999999859</v>
      </c>
      <c r="I88" s="91">
        <f t="shared" si="42"/>
        <v>15.660500000000013</v>
      </c>
      <c r="J88" s="91">
        <f t="shared" si="43"/>
        <v>0.27892307883568612</v>
      </c>
      <c r="K88" s="91">
        <f t="shared" si="44"/>
        <v>0.72107692116431388</v>
      </c>
      <c r="L88" s="91">
        <f t="shared" si="45"/>
        <v>0.16507888294421527</v>
      </c>
      <c r="M88" s="91">
        <f t="shared" si="46"/>
        <v>4.6044310281556353E-2</v>
      </c>
      <c r="N88" s="91">
        <f t="shared" si="47"/>
        <v>21.718209999999999</v>
      </c>
      <c r="O88" s="91"/>
      <c r="P88" s="13"/>
      <c r="Q88" s="13"/>
      <c r="R88" t="s">
        <v>332</v>
      </c>
      <c r="S88" s="85"/>
      <c r="T88" s="85"/>
      <c r="Z88" s="13"/>
      <c r="AA88" s="49"/>
      <c r="AB88" s="13"/>
      <c r="AC88" s="13"/>
      <c r="AD88" s="13"/>
      <c r="AE88" s="13"/>
      <c r="AF88" s="13"/>
      <c r="AG88" s="13"/>
      <c r="AH88" s="13"/>
      <c r="AK88" s="13"/>
      <c r="AL88" s="13"/>
      <c r="AM88" s="13"/>
      <c r="AN88" s="13"/>
      <c r="AO88" s="13"/>
      <c r="AP88" s="13"/>
    </row>
    <row r="89" spans="1:42" x14ac:dyDescent="0.35">
      <c r="B89" s="85"/>
      <c r="C89" s="85"/>
      <c r="D89" s="85"/>
      <c r="E89" s="172" t="s">
        <v>32</v>
      </c>
      <c r="F89" s="46">
        <v>389.33877999999999</v>
      </c>
      <c r="G89" s="45">
        <v>396.1857</v>
      </c>
      <c r="H89" s="13">
        <f t="shared" si="41"/>
        <v>6.8469200000000114</v>
      </c>
      <c r="I89" s="13">
        <f t="shared" si="42"/>
        <v>11.028079999999989</v>
      </c>
      <c r="J89" s="13">
        <f t="shared" si="43"/>
        <v>0.38304447552447618</v>
      </c>
      <c r="K89" s="13">
        <f t="shared" si="44"/>
        <v>0.61695552447552382</v>
      </c>
      <c r="L89" s="13">
        <f t="shared" si="45"/>
        <v>0.14605107113855548</v>
      </c>
      <c r="M89" s="13">
        <f t="shared" si="46"/>
        <v>5.5944055944055944E-2</v>
      </c>
      <c r="N89" s="13">
        <f t="shared" si="47"/>
        <v>17.875</v>
      </c>
      <c r="O89" s="13"/>
      <c r="P89" s="13"/>
      <c r="Q89" s="13"/>
      <c r="R89" s="85"/>
      <c r="S89" s="85"/>
      <c r="T89" s="85"/>
      <c r="Y89" s="13"/>
      <c r="Z89" s="13"/>
      <c r="AA89" s="49"/>
      <c r="AB89" s="13"/>
      <c r="AC89" s="13"/>
      <c r="AD89" s="13"/>
      <c r="AE89" s="13"/>
      <c r="AF89" s="13"/>
      <c r="AG89" s="13"/>
      <c r="AH89" s="13"/>
      <c r="AI89" s="13"/>
      <c r="AJ89" s="13"/>
      <c r="AK89" s="13"/>
      <c r="AL89" s="13"/>
      <c r="AM89" s="13"/>
      <c r="AN89" s="13"/>
      <c r="AO89" s="13"/>
      <c r="AP89" s="13"/>
    </row>
    <row r="90" spans="1:42" x14ac:dyDescent="0.35">
      <c r="B90" s="91">
        <v>415.3877</v>
      </c>
      <c r="C90" s="144">
        <v>422.26272</v>
      </c>
      <c r="D90" s="144"/>
      <c r="E90" s="173" t="s">
        <v>32</v>
      </c>
      <c r="F90" s="174">
        <v>407.21377999999999</v>
      </c>
      <c r="G90" s="174">
        <v>413.89048000000003</v>
      </c>
      <c r="H90" s="91">
        <f t="shared" si="41"/>
        <v>6.6767000000000394</v>
      </c>
      <c r="I90" s="91">
        <f t="shared" si="42"/>
        <v>13.13979999999998</v>
      </c>
      <c r="J90" s="91">
        <f t="shared" si="43"/>
        <v>0.33692629879141284</v>
      </c>
      <c r="K90" s="91">
        <f t="shared" si="44"/>
        <v>0.66307370120858711</v>
      </c>
      <c r="L90" s="91">
        <f t="shared" si="45"/>
        <v>0.14977458924318812</v>
      </c>
      <c r="M90" s="91">
        <f t="shared" si="46"/>
        <v>5.0462998006711529E-2</v>
      </c>
      <c r="N90" s="91">
        <f t="shared" si="47"/>
        <v>19.816500000000019</v>
      </c>
      <c r="O90" s="91"/>
      <c r="P90" s="13"/>
      <c r="Q90" s="13"/>
      <c r="R90" s="85"/>
      <c r="S90" s="85"/>
      <c r="T90" s="85"/>
      <c r="Y90" s="13"/>
      <c r="Z90" s="13"/>
      <c r="AA90" s="49"/>
      <c r="AB90" s="13"/>
      <c r="AC90" s="13"/>
      <c r="AD90" s="13"/>
      <c r="AE90" s="13"/>
      <c r="AF90" s="13"/>
      <c r="AG90" s="13"/>
      <c r="AH90" s="13"/>
      <c r="AI90" s="13"/>
      <c r="AJ90" s="13"/>
      <c r="AK90" s="13"/>
      <c r="AL90" s="13"/>
      <c r="AM90" s="13"/>
      <c r="AN90" s="13"/>
      <c r="AO90" s="13"/>
      <c r="AP90" s="13"/>
    </row>
    <row r="91" spans="1:42" x14ac:dyDescent="0.35">
      <c r="B91" s="85"/>
      <c r="C91" s="85"/>
      <c r="D91" s="85"/>
      <c r="E91" s="172" t="s">
        <v>32</v>
      </c>
      <c r="F91" s="46">
        <v>427.03028</v>
      </c>
      <c r="G91" s="45">
        <v>433.57947000000001</v>
      </c>
      <c r="H91" s="13">
        <f t="shared" si="41"/>
        <v>6.5491900000000101</v>
      </c>
      <c r="I91" s="13">
        <f t="shared" si="42"/>
        <v>9.5682999999999652</v>
      </c>
      <c r="J91" s="13">
        <f t="shared" si="43"/>
        <v>0.40634056543543817</v>
      </c>
      <c r="K91" s="13">
        <f t="shared" si="44"/>
        <v>0.59365943456456183</v>
      </c>
      <c r="L91" s="13">
        <f t="shared" si="45"/>
        <v>0.15269063807890723</v>
      </c>
      <c r="M91" s="13">
        <f t="shared" si="46"/>
        <v>6.204440021368101E-2</v>
      </c>
      <c r="N91" s="13">
        <f t="shared" si="47"/>
        <v>16.117489999999975</v>
      </c>
      <c r="O91" s="13"/>
      <c r="P91" s="13"/>
      <c r="Q91" s="13"/>
      <c r="R91" s="85"/>
      <c r="S91" s="85"/>
      <c r="T91" s="85"/>
      <c r="Y91" s="13"/>
      <c r="Z91" s="13"/>
      <c r="AA91" s="49"/>
      <c r="AB91" s="13"/>
      <c r="AC91" s="13"/>
      <c r="AD91" s="13"/>
      <c r="AE91" s="13"/>
      <c r="AF91" s="13"/>
      <c r="AG91" s="13"/>
      <c r="AH91" s="13"/>
      <c r="AI91" s="13"/>
      <c r="AJ91" s="13"/>
      <c r="AK91" s="13"/>
      <c r="AL91" s="13"/>
      <c r="AM91" s="13"/>
      <c r="AN91" s="13"/>
      <c r="AO91" s="13"/>
      <c r="AP91" s="13"/>
    </row>
    <row r="92" spans="1:42" x14ac:dyDescent="0.35">
      <c r="B92" s="91">
        <v>454.10771</v>
      </c>
      <c r="C92" s="144">
        <v>460.98273</v>
      </c>
      <c r="D92" s="144"/>
      <c r="E92" s="173" t="s">
        <v>32</v>
      </c>
      <c r="F92" s="174">
        <v>443.14776999999998</v>
      </c>
      <c r="G92" s="174">
        <v>450.69801999999999</v>
      </c>
      <c r="H92" s="91">
        <f t="shared" si="41"/>
        <v>7.5502500000000055</v>
      </c>
      <c r="I92" s="91">
        <f t="shared" si="42"/>
        <v>14.81065000000001</v>
      </c>
      <c r="J92" s="91">
        <f t="shared" si="43"/>
        <v>0.33765411946746332</v>
      </c>
      <c r="K92" s="91">
        <f t="shared" si="44"/>
        <v>0.66234588053253673</v>
      </c>
      <c r="L92" s="91">
        <f t="shared" si="45"/>
        <v>0.13244594549849334</v>
      </c>
      <c r="M92" s="91">
        <f t="shared" si="46"/>
        <v>4.4720919104329404E-2</v>
      </c>
      <c r="N92" s="91">
        <f t="shared" si="47"/>
        <v>22.360900000000015</v>
      </c>
      <c r="O92" s="91"/>
      <c r="P92" s="13"/>
      <c r="Q92" s="13"/>
      <c r="R92" s="85"/>
      <c r="S92" s="85"/>
      <c r="T92" s="85"/>
      <c r="Y92" s="13"/>
      <c r="Z92" s="13"/>
      <c r="AA92" s="49"/>
      <c r="AB92" s="13"/>
      <c r="AC92" s="13"/>
      <c r="AD92" s="13"/>
      <c r="AE92" s="13"/>
      <c r="AF92" s="13"/>
      <c r="AG92" s="13"/>
      <c r="AH92" s="13"/>
      <c r="AI92" s="13"/>
      <c r="AJ92" s="13"/>
      <c r="AK92" s="13"/>
      <c r="AL92" s="13"/>
      <c r="AM92" s="13"/>
      <c r="AN92" s="13"/>
      <c r="AO92" s="13"/>
      <c r="AP92" s="13"/>
    </row>
    <row r="93" spans="1:42" x14ac:dyDescent="0.35">
      <c r="B93" s="85"/>
      <c r="C93" s="85"/>
      <c r="D93" s="85"/>
      <c r="E93" s="172" t="s">
        <v>32</v>
      </c>
      <c r="F93" s="46">
        <v>465.50867</v>
      </c>
      <c r="G93" s="45">
        <v>473.07686999999999</v>
      </c>
      <c r="H93" s="13">
        <f t="shared" si="41"/>
        <v>7.5681999999999903</v>
      </c>
      <c r="I93" s="13">
        <f t="shared" si="42"/>
        <v>11.000150000000019</v>
      </c>
      <c r="J93" s="13">
        <f t="shared" si="43"/>
        <v>0.40758602676058919</v>
      </c>
      <c r="K93" s="13">
        <f t="shared" si="44"/>
        <v>0.59241397323941081</v>
      </c>
      <c r="L93" s="13">
        <f t="shared" si="45"/>
        <v>0.13213181469834323</v>
      </c>
      <c r="M93" s="13">
        <f t="shared" si="46"/>
        <v>5.3855081361564139E-2</v>
      </c>
      <c r="N93" s="13">
        <f t="shared" si="47"/>
        <v>18.568350000000009</v>
      </c>
      <c r="O93" s="13"/>
      <c r="P93" s="13"/>
      <c r="Q93" s="13"/>
      <c r="R93" s="85"/>
      <c r="S93" s="85"/>
      <c r="T93" s="85"/>
      <c r="Y93" s="13"/>
      <c r="AA93" s="49"/>
      <c r="AB93" s="2"/>
      <c r="AC93" s="2"/>
      <c r="AD93" s="2"/>
      <c r="AE93" s="2"/>
      <c r="AF93" s="2"/>
      <c r="AG93" s="2"/>
      <c r="AH93" s="2"/>
      <c r="AI93" s="13"/>
      <c r="AJ93" s="13"/>
      <c r="AK93" s="13"/>
      <c r="AL93" s="13"/>
      <c r="AM93" s="13"/>
      <c r="AN93" s="13"/>
      <c r="AO93" s="13"/>
      <c r="AP93" s="13"/>
    </row>
    <row r="94" spans="1:42" x14ac:dyDescent="0.35">
      <c r="B94" s="91">
        <v>494.27499999999998</v>
      </c>
      <c r="C94" s="144">
        <v>501.15003000000002</v>
      </c>
      <c r="D94" s="144"/>
      <c r="E94" s="173" t="s">
        <v>32</v>
      </c>
      <c r="F94" s="174">
        <v>484.07702</v>
      </c>
      <c r="G94" s="174">
        <v>491.65109000000001</v>
      </c>
      <c r="H94" s="91">
        <f t="shared" si="41"/>
        <v>7.5740700000000061</v>
      </c>
      <c r="I94" s="91">
        <f t="shared" si="42"/>
        <v>14.279429999999991</v>
      </c>
      <c r="J94" s="91">
        <f t="shared" si="43"/>
        <v>0.34658384240510703</v>
      </c>
      <c r="K94" s="91">
        <f t="shared" si="44"/>
        <v>0.65341615759489291</v>
      </c>
      <c r="L94" s="91">
        <f t="shared" si="45"/>
        <v>0.13202941087156564</v>
      </c>
      <c r="M94" s="91">
        <f t="shared" si="46"/>
        <v>4.5759260530349836E-2</v>
      </c>
      <c r="N94" s="91">
        <f t="shared" si="47"/>
        <v>21.853499999999997</v>
      </c>
      <c r="O94" s="91"/>
      <c r="P94" s="13"/>
      <c r="Q94" s="13"/>
      <c r="R94" t="s">
        <v>333</v>
      </c>
      <c r="S94" s="85"/>
      <c r="T94" s="85"/>
      <c r="Y94" s="104" t="s">
        <v>365</v>
      </c>
      <c r="AA94" s="49"/>
      <c r="AB94" s="2"/>
      <c r="AC94" s="2"/>
      <c r="AD94" s="2"/>
      <c r="AE94" s="2"/>
      <c r="AF94" s="2"/>
      <c r="AG94" s="2"/>
      <c r="AH94" s="2"/>
      <c r="AI94" s="2"/>
      <c r="AJ94" s="13"/>
      <c r="AK94" s="13"/>
      <c r="AL94" s="13"/>
      <c r="AM94" s="13"/>
      <c r="AN94" s="13"/>
      <c r="AO94" s="13"/>
      <c r="AP94" s="13"/>
    </row>
    <row r="95" spans="1:42" ht="16" thickBot="1" x14ac:dyDescent="0.4">
      <c r="B95" s="85"/>
      <c r="C95" s="85"/>
      <c r="D95" s="85"/>
      <c r="E95" s="172" t="s">
        <v>32</v>
      </c>
      <c r="F95" s="46">
        <v>505.93052</v>
      </c>
      <c r="G95" s="45">
        <v>512.90808000000004</v>
      </c>
      <c r="H95" s="13">
        <f t="shared" si="41"/>
        <v>6.9775600000000395</v>
      </c>
      <c r="I95" s="13">
        <f t="shared" si="42"/>
        <v>9.3893399999999474</v>
      </c>
      <c r="J95" s="13">
        <f t="shared" si="43"/>
        <v>0.42632141700627763</v>
      </c>
      <c r="K95" s="13">
        <f t="shared" si="44"/>
        <v>0.57367858299372243</v>
      </c>
      <c r="L95" s="13">
        <f t="shared" si="45"/>
        <v>0.14331657484851357</v>
      </c>
      <c r="M95" s="13">
        <f t="shared" si="46"/>
        <v>6.1098925269904548E-2</v>
      </c>
      <c r="N95" s="13">
        <f t="shared" si="47"/>
        <v>16.366899999999987</v>
      </c>
      <c r="O95" s="13"/>
      <c r="P95" s="13"/>
      <c r="Q95" s="13"/>
      <c r="R95" s="85"/>
      <c r="S95" s="85"/>
      <c r="T95" s="85"/>
      <c r="Y95" s="13"/>
      <c r="Z95" s="13"/>
      <c r="AA95" s="13"/>
      <c r="AB95" s="9" t="s">
        <v>3</v>
      </c>
      <c r="AC95" s="9" t="s">
        <v>4</v>
      </c>
      <c r="AD95" s="9" t="s">
        <v>5</v>
      </c>
      <c r="AE95" s="9" t="s">
        <v>6</v>
      </c>
      <c r="AF95" s="9" t="s">
        <v>7</v>
      </c>
      <c r="AG95" s="9" t="s">
        <v>8</v>
      </c>
      <c r="AH95" s="9" t="s">
        <v>9</v>
      </c>
      <c r="AI95" s="9" t="s">
        <v>10</v>
      </c>
      <c r="AJ95" s="44" t="s">
        <v>139</v>
      </c>
    </row>
    <row r="96" spans="1:42" x14ac:dyDescent="0.35">
      <c r="B96" s="91">
        <v>533.63498000000004</v>
      </c>
      <c r="C96" s="144">
        <v>540.51000999999997</v>
      </c>
      <c r="D96" s="144"/>
      <c r="E96" s="173" t="s">
        <v>32</v>
      </c>
      <c r="F96" s="174">
        <v>522.29741999999999</v>
      </c>
      <c r="G96" s="174">
        <v>529.15778999999998</v>
      </c>
      <c r="H96" s="91">
        <f t="shared" si="41"/>
        <v>6.860369999999989</v>
      </c>
      <c r="I96" s="91">
        <f t="shared" si="42"/>
        <v>13.02958000000001</v>
      </c>
      <c r="J96" s="91">
        <f t="shared" si="43"/>
        <v>0.344916402504782</v>
      </c>
      <c r="K96" s="91">
        <f t="shared" si="44"/>
        <v>0.65508359749521794</v>
      </c>
      <c r="L96" s="91">
        <f t="shared" si="45"/>
        <v>0.14576473280595675</v>
      </c>
      <c r="M96" s="91">
        <f t="shared" si="46"/>
        <v>5.027664725150139E-2</v>
      </c>
      <c r="N96" s="91">
        <f t="shared" si="47"/>
        <v>19.889949999999999</v>
      </c>
      <c r="O96" s="91"/>
      <c r="P96" s="13"/>
      <c r="Q96" s="13"/>
      <c r="R96" s="85"/>
      <c r="S96" s="85"/>
      <c r="T96" s="85"/>
      <c r="Y96" s="137" t="s">
        <v>312</v>
      </c>
      <c r="Z96" s="13"/>
      <c r="AA96" s="49" t="s">
        <v>77</v>
      </c>
      <c r="AB96" s="13">
        <f>AVERAGE(AB47,AB49,AB51)</f>
        <v>4.1449833333333572</v>
      </c>
      <c r="AC96" s="13">
        <f t="shared" ref="AC96:AJ96" si="60">AVERAGE(AC47,AC49,AC51)</f>
        <v>14.12144666666658</v>
      </c>
      <c r="AD96" s="13">
        <f t="shared" si="60"/>
        <v>0.22604129739753268</v>
      </c>
      <c r="AE96" s="13">
        <f t="shared" si="60"/>
        <v>0.77395870260246724</v>
      </c>
      <c r="AF96" s="13">
        <f t="shared" si="60"/>
        <v>0.25070071023096907</v>
      </c>
      <c r="AG96" s="13">
        <f t="shared" si="60"/>
        <v>5.4774736719986589E-2</v>
      </c>
      <c r="AH96" s="13">
        <f t="shared" si="60"/>
        <v>18.266429999999939</v>
      </c>
      <c r="AI96" s="13">
        <f t="shared" si="60"/>
        <v>57.666666666666664</v>
      </c>
      <c r="AJ96" s="13">
        <f t="shared" si="60"/>
        <v>14.128743314534255</v>
      </c>
    </row>
    <row r="97" spans="2:42" x14ac:dyDescent="0.35">
      <c r="B97" s="85"/>
      <c r="C97" s="85"/>
      <c r="D97" s="85"/>
      <c r="E97" s="172" t="s">
        <v>32</v>
      </c>
      <c r="F97" s="46">
        <v>542.18736999999999</v>
      </c>
      <c r="G97" s="45">
        <v>548.87608999999998</v>
      </c>
      <c r="H97" s="13">
        <f t="shared" si="41"/>
        <v>6.6887199999999893</v>
      </c>
      <c r="I97" s="13">
        <f t="shared" si="42"/>
        <v>15.042890000000057</v>
      </c>
      <c r="J97" s="13">
        <f t="shared" si="43"/>
        <v>0.30778759604097328</v>
      </c>
      <c r="K97" s="13">
        <f t="shared" si="44"/>
        <v>0.69221240395902672</v>
      </c>
      <c r="L97" s="13">
        <f t="shared" si="45"/>
        <v>0.14950543601765384</v>
      </c>
      <c r="M97" s="13">
        <f t="shared" si="46"/>
        <v>4.6015918746931214E-2</v>
      </c>
      <c r="N97" s="13">
        <f t="shared" si="47"/>
        <v>21.731610000000046</v>
      </c>
      <c r="O97" s="13"/>
      <c r="P97" s="13"/>
      <c r="Q97" s="13"/>
      <c r="R97" s="85"/>
      <c r="S97" s="85"/>
      <c r="T97" s="85"/>
      <c r="Y97" s="85"/>
      <c r="Z97" s="13"/>
      <c r="AA97" s="49" t="s">
        <v>94</v>
      </c>
      <c r="AB97" s="2">
        <f>_xlfn.STDEV.S(AB47,AB49,AB51)</f>
        <v>0.9865230406500527</v>
      </c>
      <c r="AC97" s="2">
        <f t="shared" ref="AC97:AJ97" si="61">_xlfn.STDEV.S(AC47,AC49,AC51)</f>
        <v>0.4873195877793054</v>
      </c>
      <c r="AD97" s="2">
        <f t="shared" si="61"/>
        <v>4.7483374135093313E-2</v>
      </c>
      <c r="AE97" s="2">
        <f t="shared" si="61"/>
        <v>4.748337413509305E-2</v>
      </c>
      <c r="AF97" s="2">
        <f t="shared" si="61"/>
        <v>6.0097569678663712E-2</v>
      </c>
      <c r="AG97" s="2">
        <f t="shared" si="61"/>
        <v>1.5482187324722776E-3</v>
      </c>
      <c r="AH97" s="2">
        <f t="shared" si="61"/>
        <v>0.52214764205155395</v>
      </c>
      <c r="AI97" s="2">
        <f t="shared" si="61"/>
        <v>9.0737717258774495</v>
      </c>
      <c r="AJ97" s="2">
        <f t="shared" si="61"/>
        <v>1.6134856733172547</v>
      </c>
    </row>
    <row r="98" spans="2:42" x14ac:dyDescent="0.35">
      <c r="B98" s="91">
        <v>553.31502999999998</v>
      </c>
      <c r="C98" s="144">
        <v>560.19006000000002</v>
      </c>
      <c r="D98" s="144"/>
      <c r="E98" s="173" t="s">
        <v>32</v>
      </c>
      <c r="F98" s="174">
        <v>563.91898000000003</v>
      </c>
      <c r="G98" s="174">
        <v>571.70992000000001</v>
      </c>
      <c r="H98" s="91">
        <f t="shared" si="41"/>
        <v>7.7909399999999778</v>
      </c>
      <c r="I98" s="91">
        <f t="shared" si="42"/>
        <v>7.7112200000000257</v>
      </c>
      <c r="J98" s="91">
        <f t="shared" si="43"/>
        <v>0.50257125458645613</v>
      </c>
      <c r="K98" s="91">
        <f t="shared" si="44"/>
        <v>0.49742874541354393</v>
      </c>
      <c r="L98" s="91">
        <f t="shared" si="45"/>
        <v>0.12835421656436871</v>
      </c>
      <c r="M98" s="91">
        <f t="shared" si="46"/>
        <v>6.4507139650216469E-2</v>
      </c>
      <c r="N98" s="91">
        <f t="shared" si="47"/>
        <v>15.502160000000003</v>
      </c>
      <c r="O98" s="91"/>
      <c r="P98" s="13"/>
      <c r="Q98" s="13"/>
      <c r="R98" s="85"/>
      <c r="S98" s="85"/>
      <c r="T98" s="85"/>
      <c r="Z98" s="13"/>
      <c r="AA98" s="49" t="s">
        <v>95</v>
      </c>
      <c r="AB98" s="2">
        <f>AB97/(SQRT(COUNT(AB47,AB49,AB51)))</f>
        <v>0.5695693430810761</v>
      </c>
      <c r="AC98" s="2">
        <f t="shared" ref="AC98:AJ98" si="62">AC97/(SQRT(COUNT(AC47,AC49,AC51)))</f>
        <v>0.28135409518575943</v>
      </c>
      <c r="AD98" s="2">
        <f t="shared" si="62"/>
        <v>2.7414538838927839E-2</v>
      </c>
      <c r="AE98" s="2">
        <f t="shared" si="62"/>
        <v>2.7414538838927686E-2</v>
      </c>
      <c r="AF98" s="2">
        <f t="shared" si="62"/>
        <v>3.4697348031618787E-2</v>
      </c>
      <c r="AG98" s="2">
        <f t="shared" si="62"/>
        <v>8.9386450195729069E-4</v>
      </c>
      <c r="AH98" s="2">
        <f t="shared" si="62"/>
        <v>0.30146208169519306</v>
      </c>
      <c r="AI98" s="2">
        <f t="shared" si="62"/>
        <v>5.238744548500561</v>
      </c>
      <c r="AJ98" s="2">
        <f t="shared" si="62"/>
        <v>0.93154638782332166</v>
      </c>
    </row>
    <row r="99" spans="2:42" x14ac:dyDescent="0.35">
      <c r="B99" s="91">
        <v>589.89104999999995</v>
      </c>
      <c r="C99" s="144">
        <v>596.76607999999999</v>
      </c>
      <c r="D99" s="144"/>
      <c r="E99" s="173" t="s">
        <v>32</v>
      </c>
      <c r="F99" s="174">
        <v>579.42114000000004</v>
      </c>
      <c r="G99" s="174">
        <v>586.35369000000003</v>
      </c>
      <c r="H99" s="91">
        <f t="shared" si="41"/>
        <v>6.932549999999992</v>
      </c>
      <c r="I99" s="91">
        <f t="shared" si="42"/>
        <v>14.577069999999935</v>
      </c>
      <c r="J99" s="91">
        <f t="shared" si="43"/>
        <v>0.32229997554582629</v>
      </c>
      <c r="K99" s="91">
        <f t="shared" si="44"/>
        <v>0.67770002445417377</v>
      </c>
      <c r="L99" s="91">
        <f t="shared" si="45"/>
        <v>0.14424706637528775</v>
      </c>
      <c r="M99" s="91">
        <f t="shared" si="46"/>
        <v>4.649082596531242E-2</v>
      </c>
      <c r="N99" s="91">
        <f t="shared" si="47"/>
        <v>21.509619999999927</v>
      </c>
      <c r="O99" s="91"/>
      <c r="P99" s="13"/>
      <c r="Q99" s="13"/>
      <c r="R99" s="85"/>
      <c r="S99" s="85"/>
      <c r="T99" s="85"/>
      <c r="Z99" s="13"/>
      <c r="AA99" s="49"/>
      <c r="AB99" s="2"/>
      <c r="AC99" s="2"/>
      <c r="AD99" s="2"/>
      <c r="AE99" s="2"/>
      <c r="AF99" s="2"/>
      <c r="AG99" s="2"/>
      <c r="AH99" s="2"/>
      <c r="AI99" s="2"/>
      <c r="AJ99" s="2"/>
    </row>
    <row r="100" spans="2:42" ht="16" thickBot="1" x14ac:dyDescent="0.4">
      <c r="B100" s="85"/>
      <c r="C100" s="85"/>
      <c r="D100" s="85"/>
      <c r="E100" s="175" t="s">
        <v>326</v>
      </c>
      <c r="F100" s="46">
        <v>600.93075999999996</v>
      </c>
      <c r="G100" s="45">
        <v>608.66188</v>
      </c>
      <c r="H100" s="13">
        <f t="shared" si="41"/>
        <v>7.7311200000000326</v>
      </c>
      <c r="I100" s="13">
        <f t="shared" si="42"/>
        <v>8.6394800000000487</v>
      </c>
      <c r="J100" s="13">
        <f t="shared" si="43"/>
        <v>0.47225636201483112</v>
      </c>
      <c r="K100" s="13">
        <f t="shared" si="44"/>
        <v>0.52774363798516888</v>
      </c>
      <c r="L100" s="13">
        <f t="shared" si="45"/>
        <v>0.12934736493548099</v>
      </c>
      <c r="M100" s="13">
        <f t="shared" si="46"/>
        <v>6.108511600063498E-2</v>
      </c>
      <c r="N100" s="13">
        <f t="shared" si="47"/>
        <v>16.370600000000081</v>
      </c>
      <c r="O100" s="13"/>
      <c r="P100" s="13"/>
      <c r="Q100" s="13"/>
      <c r="R100" t="s">
        <v>334</v>
      </c>
      <c r="S100" s="85"/>
      <c r="T100" s="85"/>
      <c r="Z100" s="13"/>
      <c r="AA100" s="13"/>
      <c r="AB100" s="9" t="s">
        <v>3</v>
      </c>
      <c r="AC100" s="9" t="s">
        <v>4</v>
      </c>
      <c r="AD100" s="9" t="s">
        <v>5</v>
      </c>
      <c r="AE100" s="9" t="s">
        <v>6</v>
      </c>
      <c r="AF100" s="9" t="s">
        <v>7</v>
      </c>
      <c r="AG100" s="9" t="s">
        <v>8</v>
      </c>
      <c r="AH100" s="9" t="s">
        <v>9</v>
      </c>
      <c r="AI100" s="9" t="s">
        <v>10</v>
      </c>
      <c r="AJ100" s="44" t="s">
        <v>139</v>
      </c>
    </row>
    <row r="101" spans="2:42" x14ac:dyDescent="0.35">
      <c r="B101" s="85"/>
      <c r="C101" s="85"/>
      <c r="D101" s="85"/>
      <c r="E101" s="172"/>
      <c r="F101" s="142">
        <v>617.30136000000005</v>
      </c>
      <c r="G101" s="142">
        <v>624.28067999999996</v>
      </c>
      <c r="H101" s="13">
        <f t="shared" si="41"/>
        <v>6.979319999999916</v>
      </c>
      <c r="I101" s="13">
        <f t="shared" si="42"/>
        <v>12.536879999999996</v>
      </c>
      <c r="J101" s="13">
        <f t="shared" si="43"/>
        <v>0.35761674916223174</v>
      </c>
      <c r="K101" s="13">
        <f t="shared" si="44"/>
        <v>0.64238325083776826</v>
      </c>
      <c r="L101" s="13">
        <f t="shared" si="45"/>
        <v>0.14328043419702952</v>
      </c>
      <c r="M101" s="13">
        <f t="shared" si="46"/>
        <v>5.1239483096094759E-2</v>
      </c>
      <c r="N101" s="13">
        <f t="shared" si="47"/>
        <v>19.516199999999913</v>
      </c>
      <c r="O101" s="13"/>
      <c r="P101" s="13"/>
      <c r="Q101" s="13"/>
      <c r="R101" s="85"/>
      <c r="S101" s="85"/>
      <c r="T101" s="85"/>
      <c r="Y101" t="s">
        <v>301</v>
      </c>
      <c r="Z101" s="13"/>
      <c r="AA101" s="49" t="s">
        <v>77</v>
      </c>
      <c r="AB101" s="13">
        <f>AVERAGE(AB48,AB50,AB52)</f>
        <v>7.9658300000000963</v>
      </c>
      <c r="AC101" s="13">
        <f t="shared" ref="AC101:AJ101" si="63">AVERAGE(AC48,AC50,AC52)</f>
        <v>19.21201333333325</v>
      </c>
      <c r="AD101" s="13">
        <f t="shared" si="63"/>
        <v>0.3113106732935067</v>
      </c>
      <c r="AE101" s="13">
        <f t="shared" si="63"/>
        <v>0.68868932670649341</v>
      </c>
      <c r="AF101" s="13">
        <f t="shared" si="63"/>
        <v>0.12782470205492386</v>
      </c>
      <c r="AG101" s="13">
        <f t="shared" si="63"/>
        <v>3.8285453175381234E-2</v>
      </c>
      <c r="AH101" s="13">
        <f t="shared" si="63"/>
        <v>27.177843333333346</v>
      </c>
      <c r="AI101" s="13">
        <f t="shared" si="63"/>
        <v>99</v>
      </c>
      <c r="AJ101" s="13">
        <f t="shared" si="63"/>
        <v>12.402227955350952</v>
      </c>
    </row>
    <row r="102" spans="2:42" x14ac:dyDescent="0.35">
      <c r="B102" s="85"/>
      <c r="C102" s="85"/>
      <c r="D102" s="85"/>
      <c r="E102" s="172"/>
      <c r="F102" s="142">
        <v>636.81755999999996</v>
      </c>
      <c r="G102" s="142">
        <v>644.69745999999998</v>
      </c>
      <c r="H102" s="13">
        <f>G102-F102</f>
        <v>7.8799000000000206</v>
      </c>
      <c r="I102" s="13">
        <f>F103-G102</f>
        <v>11.575190000000021</v>
      </c>
      <c r="J102" s="13">
        <f>H102/N102</f>
        <v>0.40503025172332813</v>
      </c>
      <c r="K102" s="13">
        <f>I102/N102</f>
        <v>0.59496974827667182</v>
      </c>
      <c r="L102" s="13">
        <f>1/H102</f>
        <v>0.12690516377111352</v>
      </c>
      <c r="M102" s="13">
        <f>1/N102</f>
        <v>5.140043042720429E-2</v>
      </c>
      <c r="N102" s="13">
        <f>H102+I102</f>
        <v>19.455090000000041</v>
      </c>
      <c r="O102" s="85"/>
      <c r="P102" s="85"/>
      <c r="Q102" s="85"/>
      <c r="R102" s="85"/>
      <c r="S102" s="85"/>
      <c r="T102" s="85"/>
      <c r="Z102" s="13"/>
      <c r="AA102" s="49" t="s">
        <v>94</v>
      </c>
      <c r="AB102" s="2">
        <f>_xlfn.STDEV.S(AB48,AB50,AB52)</f>
        <v>1.2474804963605783</v>
      </c>
      <c r="AC102" s="2">
        <f t="shared" ref="AC102:AJ102" si="64">_xlfn.STDEV.S(AC48,AC50,AC52)</f>
        <v>7.4616850071369774</v>
      </c>
      <c r="AD102" s="2">
        <f t="shared" si="64"/>
        <v>0.11697908908006607</v>
      </c>
      <c r="AE102" s="2">
        <f t="shared" si="64"/>
        <v>0.11697908908006631</v>
      </c>
      <c r="AF102" s="2">
        <f t="shared" si="64"/>
        <v>2.1927121194182619E-2</v>
      </c>
      <c r="AG102" s="2">
        <f t="shared" si="64"/>
        <v>9.6224270174685676E-3</v>
      </c>
      <c r="AH102" s="2">
        <f t="shared" si="64"/>
        <v>6.3621980576631687</v>
      </c>
      <c r="AI102" s="2">
        <f t="shared" si="64"/>
        <v>17.320508075688775</v>
      </c>
      <c r="AJ102" s="2">
        <f t="shared" si="64"/>
        <v>0.32708258770377074</v>
      </c>
    </row>
    <row r="103" spans="2:42" x14ac:dyDescent="0.35">
      <c r="B103" s="85"/>
      <c r="C103" s="85"/>
      <c r="D103" s="85"/>
      <c r="E103" s="172"/>
      <c r="F103" s="142">
        <v>656.27265</v>
      </c>
      <c r="G103" s="142">
        <v>662.74829</v>
      </c>
      <c r="H103" s="13">
        <f t="shared" ref="H103:H114" si="65">G103-F103</f>
        <v>6.4756399999999985</v>
      </c>
      <c r="I103" s="13">
        <f t="shared" ref="I103:I114" si="66">F104-G103</f>
        <v>12.054970000000026</v>
      </c>
      <c r="J103" s="13">
        <f t="shared" ref="J103:J114" si="67">H103/N103</f>
        <v>0.34945638594735901</v>
      </c>
      <c r="K103" s="13">
        <f t="shared" ref="K103:K114" si="68">I103/N103</f>
        <v>0.65054361405264105</v>
      </c>
      <c r="L103" s="13">
        <f t="shared" ref="L103:L114" si="69">1/H103</f>
        <v>0.15442489082160221</v>
      </c>
      <c r="M103" s="13">
        <f t="shared" si="46"/>
        <v>5.3964764246832601E-2</v>
      </c>
      <c r="N103" s="13">
        <f t="shared" ref="N103:N114" si="70">H103+I103</f>
        <v>18.530610000000024</v>
      </c>
      <c r="O103" s="85"/>
      <c r="P103" s="85"/>
      <c r="Q103" s="85"/>
      <c r="R103" s="85"/>
      <c r="S103" s="85"/>
      <c r="T103" s="85"/>
      <c r="V103" s="13"/>
      <c r="W103" s="13"/>
      <c r="X103" s="13"/>
      <c r="Z103" s="13"/>
      <c r="AA103" s="49" t="s">
        <v>95</v>
      </c>
      <c r="AB103" s="2">
        <f>AB102/(SQRT(COUNT(AB48,AB50,AB52)))</f>
        <v>0.72023320038258787</v>
      </c>
      <c r="AC103" s="2">
        <f t="shared" ref="AC103:AJ103" si="71">AC102/(SQRT(COUNT(AC48,AC50,AC52)))</f>
        <v>4.3080058474787286</v>
      </c>
      <c r="AD103" s="2">
        <f t="shared" si="71"/>
        <v>6.7537908569933358E-2</v>
      </c>
      <c r="AE103" s="2">
        <f t="shared" si="71"/>
        <v>6.7537908569933497E-2</v>
      </c>
      <c r="AF103" s="2">
        <f t="shared" si="71"/>
        <v>1.2659629324014885E-2</v>
      </c>
      <c r="AG103" s="2">
        <f t="shared" si="71"/>
        <v>5.5555108287930052E-3</v>
      </c>
      <c r="AH103" s="2">
        <f t="shared" si="71"/>
        <v>3.6732167612295448</v>
      </c>
      <c r="AI103" s="2">
        <f t="shared" si="71"/>
        <v>10.000000000000002</v>
      </c>
      <c r="AJ103" s="2">
        <f t="shared" si="71"/>
        <v>0.18884122005801143</v>
      </c>
    </row>
    <row r="104" spans="2:42" x14ac:dyDescent="0.35">
      <c r="B104" s="85"/>
      <c r="C104" s="85"/>
      <c r="D104" s="85"/>
      <c r="E104" s="172"/>
      <c r="F104" s="45">
        <v>674.80326000000002</v>
      </c>
      <c r="G104" s="45">
        <v>681.43367000000001</v>
      </c>
      <c r="H104" s="13">
        <f t="shared" si="65"/>
        <v>6.6304099999999835</v>
      </c>
      <c r="I104" s="13">
        <f t="shared" si="66"/>
        <v>9.9488599999999678</v>
      </c>
      <c r="J104" s="13">
        <f t="shared" si="67"/>
        <v>0.39992170946006689</v>
      </c>
      <c r="K104" s="13">
        <f t="shared" si="68"/>
        <v>0.60007829053993311</v>
      </c>
      <c r="L104" s="13">
        <f t="shared" si="69"/>
        <v>0.1508202358526852</v>
      </c>
      <c r="M104" s="13">
        <f t="shared" si="46"/>
        <v>6.0316286543376334E-2</v>
      </c>
      <c r="N104" s="13">
        <f t="shared" si="70"/>
        <v>16.579269999999951</v>
      </c>
      <c r="O104" s="85"/>
      <c r="P104" s="85"/>
      <c r="Q104" s="85"/>
      <c r="R104" s="85"/>
      <c r="S104" s="85"/>
      <c r="T104" s="85"/>
      <c r="U104" s="13"/>
      <c r="V104" s="13"/>
      <c r="W104" s="13"/>
      <c r="X104" s="13"/>
      <c r="Z104" s="13"/>
      <c r="AA104" s="49"/>
      <c r="AB104" s="2"/>
      <c r="AC104" s="2"/>
      <c r="AD104" s="2"/>
      <c r="AE104" s="2"/>
      <c r="AF104" s="2"/>
      <c r="AG104" s="2"/>
      <c r="AH104" s="2"/>
      <c r="AI104" s="2"/>
      <c r="AJ104" s="2"/>
      <c r="AK104" s="13"/>
      <c r="AL104" s="13"/>
      <c r="AM104" s="13"/>
      <c r="AN104" s="13"/>
      <c r="AO104" s="13"/>
      <c r="AP104" s="13"/>
    </row>
    <row r="105" spans="2:42" x14ac:dyDescent="0.35">
      <c r="B105" s="85"/>
      <c r="C105" s="85"/>
      <c r="D105" s="85"/>
      <c r="E105" s="172"/>
      <c r="F105" s="46">
        <v>691.38252999999997</v>
      </c>
      <c r="G105" s="46">
        <v>698.93849</v>
      </c>
      <c r="H105" s="13">
        <f t="shared" si="65"/>
        <v>7.5559600000000273</v>
      </c>
      <c r="I105" s="13">
        <f t="shared" si="66"/>
        <v>5.6980099999999538</v>
      </c>
      <c r="J105" s="13">
        <f t="shared" si="67"/>
        <v>0.57009032010786487</v>
      </c>
      <c r="K105" s="13">
        <f t="shared" si="68"/>
        <v>0.42990967989213513</v>
      </c>
      <c r="L105" s="13">
        <f t="shared" si="69"/>
        <v>0.13234585678060715</v>
      </c>
      <c r="M105" s="13">
        <f t="shared" si="46"/>
        <v>7.5449091857005976E-2</v>
      </c>
      <c r="N105" s="13">
        <f t="shared" si="70"/>
        <v>13.253969999999981</v>
      </c>
      <c r="O105" s="13"/>
      <c r="P105" s="13"/>
      <c r="Q105" s="13"/>
      <c r="R105" s="85"/>
      <c r="S105" s="85"/>
      <c r="T105" s="85"/>
      <c r="U105" s="13"/>
      <c r="V105" s="13"/>
      <c r="W105" s="13"/>
      <c r="X105" s="13"/>
      <c r="Z105" s="13"/>
      <c r="AA105" s="49"/>
      <c r="AB105" s="2"/>
      <c r="AC105" s="2"/>
      <c r="AD105" s="2"/>
      <c r="AE105" s="2"/>
      <c r="AF105" s="2"/>
      <c r="AG105" s="2"/>
      <c r="AH105" s="2"/>
      <c r="AI105" s="2"/>
      <c r="AJ105" s="2"/>
      <c r="AK105" s="13"/>
      <c r="AL105" s="13"/>
      <c r="AM105" s="13"/>
      <c r="AN105" s="13"/>
      <c r="AO105" s="13"/>
      <c r="AP105" s="13"/>
    </row>
    <row r="106" spans="2:42" ht="15.75" customHeight="1" thickBot="1" x14ac:dyDescent="0.4">
      <c r="B106" s="85"/>
      <c r="C106" s="85"/>
      <c r="D106" s="85"/>
      <c r="E106" s="85"/>
      <c r="F106" s="4">
        <v>704.63649999999996</v>
      </c>
      <c r="G106" s="4">
        <v>712.85731999999996</v>
      </c>
      <c r="H106" s="13">
        <f t="shared" si="65"/>
        <v>8.2208200000000033</v>
      </c>
      <c r="I106" s="13">
        <f t="shared" si="66"/>
        <v>7.2010000000000218</v>
      </c>
      <c r="J106" s="13">
        <f t="shared" si="67"/>
        <v>0.53306419086722512</v>
      </c>
      <c r="K106" s="13">
        <f t="shared" si="68"/>
        <v>0.46693580913277488</v>
      </c>
      <c r="L106" s="13">
        <f t="shared" si="69"/>
        <v>0.12164236657657017</v>
      </c>
      <c r="M106" s="13">
        <f t="shared" si="46"/>
        <v>6.484318971431377E-2</v>
      </c>
      <c r="N106" s="13">
        <f t="shared" si="70"/>
        <v>15.421820000000025</v>
      </c>
      <c r="O106" s="3"/>
      <c r="P106" s="2"/>
      <c r="Q106" s="2"/>
      <c r="R106" s="85"/>
      <c r="S106" s="85"/>
      <c r="T106" s="85"/>
      <c r="U106" s="13"/>
      <c r="V106" s="13"/>
      <c r="W106" s="13"/>
      <c r="X106" s="13"/>
      <c r="Z106" s="13"/>
      <c r="AA106" s="13"/>
      <c r="AB106" s="9" t="s">
        <v>3</v>
      </c>
      <c r="AC106" s="9" t="s">
        <v>4</v>
      </c>
      <c r="AD106" s="9" t="s">
        <v>5</v>
      </c>
      <c r="AE106" s="9" t="s">
        <v>6</v>
      </c>
      <c r="AF106" s="9" t="s">
        <v>7</v>
      </c>
      <c r="AG106" s="9" t="s">
        <v>8</v>
      </c>
      <c r="AH106" s="9" t="s">
        <v>9</v>
      </c>
      <c r="AI106" s="9" t="s">
        <v>10</v>
      </c>
      <c r="AJ106" s="44" t="s">
        <v>139</v>
      </c>
      <c r="AK106" s="13"/>
      <c r="AL106" s="13"/>
      <c r="AM106" s="13"/>
      <c r="AN106" s="13"/>
      <c r="AO106" s="13"/>
      <c r="AP106" s="13"/>
    </row>
    <row r="107" spans="2:42" ht="15.5" x14ac:dyDescent="0.35">
      <c r="B107" s="85"/>
      <c r="C107" s="85"/>
      <c r="D107" s="85"/>
      <c r="E107" s="85"/>
      <c r="F107" s="46">
        <v>720.05831999999998</v>
      </c>
      <c r="G107" s="46">
        <v>725.96956999999998</v>
      </c>
      <c r="H107" s="13">
        <f t="shared" si="65"/>
        <v>5.9112499999999955</v>
      </c>
      <c r="I107" s="13">
        <f t="shared" si="66"/>
        <v>4.8034700000000612</v>
      </c>
      <c r="J107" s="13">
        <f t="shared" si="67"/>
        <v>0.55169430465751457</v>
      </c>
      <c r="K107" s="13">
        <f t="shared" si="68"/>
        <v>0.44830569534248543</v>
      </c>
      <c r="L107" s="13">
        <f t="shared" si="69"/>
        <v>0.16916895749629957</v>
      </c>
      <c r="M107" s="13">
        <f t="shared" si="46"/>
        <v>9.3329550375557624E-2</v>
      </c>
      <c r="N107" s="13">
        <f t="shared" si="70"/>
        <v>10.714720000000057</v>
      </c>
      <c r="O107" s="5"/>
      <c r="P107" s="14"/>
      <c r="Q107" s="2"/>
      <c r="R107" t="s">
        <v>335</v>
      </c>
      <c r="S107" s="85"/>
      <c r="T107" s="85"/>
      <c r="U107" s="13"/>
      <c r="V107" s="13"/>
      <c r="W107" s="13"/>
      <c r="X107" s="13"/>
      <c r="Y107" t="s">
        <v>300</v>
      </c>
      <c r="Z107" s="13"/>
      <c r="AA107" s="49" t="s">
        <v>77</v>
      </c>
      <c r="AB107" s="13">
        <f>AVERAGE(AB52,AB54,AB57,AB59)</f>
        <v>9.0304899999999861</v>
      </c>
      <c r="AC107" s="13">
        <f t="shared" ref="AC107:AJ107" si="72">AVERAGE(AC52,AC54,AC57,AC59)</f>
        <v>19.872859999999946</v>
      </c>
      <c r="AD107" s="13">
        <f t="shared" si="72"/>
        <v>0.31902813305934763</v>
      </c>
      <c r="AE107" s="13">
        <f t="shared" si="72"/>
        <v>0.68097186694065237</v>
      </c>
      <c r="AF107" s="13">
        <f t="shared" si="72"/>
        <v>0.11085182857834165</v>
      </c>
      <c r="AG107" s="13">
        <f t="shared" si="72"/>
        <v>3.5287589826200241E-2</v>
      </c>
      <c r="AH107" s="13">
        <f t="shared" si="72"/>
        <v>28.903349999999932</v>
      </c>
      <c r="AI107" s="13">
        <f t="shared" si="72"/>
        <v>110</v>
      </c>
      <c r="AJ107" s="13">
        <f t="shared" si="72"/>
        <v>12.190023124489286</v>
      </c>
      <c r="AK107" s="13"/>
      <c r="AL107" s="14"/>
      <c r="AM107" s="13"/>
      <c r="AN107" s="13"/>
      <c r="AO107" s="13"/>
      <c r="AP107" s="13"/>
    </row>
    <row r="108" spans="2:42" x14ac:dyDescent="0.35">
      <c r="B108" s="85"/>
      <c r="C108" s="85"/>
      <c r="D108" s="85"/>
      <c r="E108" s="85"/>
      <c r="F108" s="46">
        <v>730.77304000000004</v>
      </c>
      <c r="G108" s="46">
        <v>737.19287999999995</v>
      </c>
      <c r="H108" s="13">
        <f t="shared" si="65"/>
        <v>6.4198399999999083</v>
      </c>
      <c r="I108" s="13">
        <f t="shared" si="66"/>
        <v>6.6307400000000598</v>
      </c>
      <c r="J108" s="13">
        <f t="shared" si="67"/>
        <v>0.49191989934546387</v>
      </c>
      <c r="K108" s="13">
        <f t="shared" si="68"/>
        <v>0.50808010065453613</v>
      </c>
      <c r="L108" s="13">
        <f t="shared" si="69"/>
        <v>0.15576712192204389</v>
      </c>
      <c r="M108" s="13">
        <f t="shared" si="46"/>
        <v>7.6624946937224436E-2</v>
      </c>
      <c r="N108" s="13">
        <f t="shared" si="70"/>
        <v>13.050579999999968</v>
      </c>
      <c r="O108" s="2"/>
      <c r="P108" s="2"/>
      <c r="Q108" s="2"/>
      <c r="R108" s="85"/>
      <c r="S108" s="85"/>
      <c r="T108" s="85"/>
      <c r="U108" s="13"/>
      <c r="V108" s="13"/>
      <c r="W108" s="13"/>
      <c r="X108" s="13"/>
      <c r="Z108" s="13"/>
      <c r="AA108" s="49" t="s">
        <v>94</v>
      </c>
      <c r="AB108" s="2">
        <f>_xlfn.STDEV.S(AB52,AB54,AB57,AB59)</f>
        <v>0.33240539415989689</v>
      </c>
      <c r="AC108" s="2">
        <f t="shared" ref="AC108:AJ108" si="73">_xlfn.STDEV.S(AC52,AC54,AC57,AC59)</f>
        <v>4.5290570463176989</v>
      </c>
      <c r="AD108" s="2">
        <f t="shared" si="73"/>
        <v>5.933177855212609E-2</v>
      </c>
      <c r="AE108" s="2">
        <f t="shared" si="73"/>
        <v>5.933177855212636E-2</v>
      </c>
      <c r="AF108" s="2">
        <f t="shared" si="73"/>
        <v>4.1978939585284791E-3</v>
      </c>
      <c r="AG108" s="2">
        <f t="shared" si="73"/>
        <v>5.9750598989585877E-3</v>
      </c>
      <c r="AH108" s="2">
        <f t="shared" si="73"/>
        <v>4.4644741523498741</v>
      </c>
      <c r="AI108" s="2">
        <f t="shared" si="73"/>
        <v>2.1602468994692869</v>
      </c>
      <c r="AJ108" s="2">
        <f t="shared" si="73"/>
        <v>0.38565627094158239</v>
      </c>
      <c r="AK108" s="13"/>
      <c r="AL108" s="13"/>
      <c r="AM108" s="13"/>
      <c r="AN108" s="13"/>
      <c r="AO108" s="13"/>
      <c r="AP108" s="13"/>
    </row>
    <row r="109" spans="2:42" x14ac:dyDescent="0.35">
      <c r="B109" s="85"/>
      <c r="C109" s="85"/>
      <c r="D109" s="85"/>
      <c r="E109" s="85"/>
      <c r="F109" s="46">
        <v>743.82362000000001</v>
      </c>
      <c r="G109" s="46">
        <v>748.53998999999999</v>
      </c>
      <c r="H109" s="13">
        <f t="shared" si="65"/>
        <v>4.7163699999999835</v>
      </c>
      <c r="I109" s="13">
        <f t="shared" si="66"/>
        <v>6.9581100000000333</v>
      </c>
      <c r="J109" s="13">
        <f t="shared" si="67"/>
        <v>0.40398972802214544</v>
      </c>
      <c r="K109" s="13">
        <f t="shared" si="68"/>
        <v>0.5960102719778545</v>
      </c>
      <c r="L109" s="13">
        <f t="shared" si="69"/>
        <v>0.21202747027905008</v>
      </c>
      <c r="M109" s="13">
        <f t="shared" si="46"/>
        <v>8.5656920051256982E-2</v>
      </c>
      <c r="N109" s="13">
        <f t="shared" si="70"/>
        <v>11.674480000000017</v>
      </c>
      <c r="O109" s="2"/>
      <c r="P109" s="2"/>
      <c r="Q109" s="2"/>
      <c r="R109" s="85"/>
      <c r="S109" s="85"/>
      <c r="T109" s="85"/>
      <c r="U109" s="13"/>
      <c r="V109" s="13"/>
      <c r="W109" s="13"/>
      <c r="X109" s="13"/>
      <c r="Z109" s="13"/>
      <c r="AA109" s="49" t="s">
        <v>95</v>
      </c>
      <c r="AB109" s="2">
        <f>AB108/(SQRT(COUNT(AB52,AB54,AB57,AB59)))</f>
        <v>0.16620269707994845</v>
      </c>
      <c r="AC109" s="2">
        <f t="shared" ref="AC109:AJ109" si="74">AC108/(SQRT(COUNT(AC52,AC54,AC57,AC59)))</f>
        <v>2.2645285231588494</v>
      </c>
      <c r="AD109" s="2">
        <f t="shared" si="74"/>
        <v>2.9665889276063045E-2</v>
      </c>
      <c r="AE109" s="2">
        <f t="shared" si="74"/>
        <v>2.966588927606318E-2</v>
      </c>
      <c r="AF109" s="2">
        <f t="shared" si="74"/>
        <v>2.0989469792642395E-3</v>
      </c>
      <c r="AG109" s="2">
        <f t="shared" si="74"/>
        <v>2.9875299494792939E-3</v>
      </c>
      <c r="AH109" s="2">
        <f t="shared" si="74"/>
        <v>2.2322370761749371</v>
      </c>
      <c r="AI109" s="2">
        <f t="shared" si="74"/>
        <v>1.0801234497346435</v>
      </c>
      <c r="AJ109" s="2">
        <f t="shared" si="74"/>
        <v>0.1928281354707912</v>
      </c>
      <c r="AK109" s="13"/>
      <c r="AL109" s="13"/>
      <c r="AM109" s="13"/>
      <c r="AN109" s="13"/>
      <c r="AO109" s="13"/>
      <c r="AP109" s="13"/>
    </row>
    <row r="110" spans="2:42" x14ac:dyDescent="0.35">
      <c r="B110" s="85"/>
      <c r="C110" s="85"/>
      <c r="D110" s="85"/>
      <c r="E110" s="85"/>
      <c r="F110" s="45">
        <v>755.49810000000002</v>
      </c>
      <c r="G110" s="45">
        <v>763.09496999999999</v>
      </c>
      <c r="H110" s="13">
        <f t="shared" si="65"/>
        <v>7.5968699999999671</v>
      </c>
      <c r="I110" s="13">
        <f t="shared" si="66"/>
        <v>8.6325199999999995</v>
      </c>
      <c r="J110" s="13">
        <f t="shared" si="67"/>
        <v>0.46809337874066631</v>
      </c>
      <c r="K110" s="13">
        <f t="shared" si="68"/>
        <v>0.53190662125933363</v>
      </c>
      <c r="L110" s="13">
        <f t="shared" si="69"/>
        <v>0.13163315944593026</v>
      </c>
      <c r="M110" s="13">
        <f t="shared" si="46"/>
        <v>6.1616610359354361E-2</v>
      </c>
      <c r="N110" s="13">
        <f t="shared" si="70"/>
        <v>16.229389999999967</v>
      </c>
      <c r="O110" s="2"/>
      <c r="P110" s="2"/>
      <c r="Q110" s="2"/>
      <c r="R110" s="85"/>
      <c r="S110" s="85"/>
      <c r="T110" s="85"/>
      <c r="U110" s="13"/>
      <c r="V110" s="13"/>
      <c r="W110" s="13"/>
      <c r="X110" s="13"/>
      <c r="Z110" s="13"/>
      <c r="AA110" s="49"/>
      <c r="AB110" s="2"/>
      <c r="AC110" s="2"/>
      <c r="AD110" s="2"/>
      <c r="AE110" s="2"/>
      <c r="AF110" s="2"/>
      <c r="AG110" s="2"/>
      <c r="AH110" s="2"/>
      <c r="AI110" s="2"/>
      <c r="AJ110" s="2"/>
      <c r="AK110" s="13"/>
      <c r="AL110" s="13"/>
      <c r="AM110" s="13"/>
      <c r="AN110" s="13"/>
      <c r="AO110" s="13"/>
      <c r="AP110" s="13"/>
    </row>
    <row r="111" spans="2:42" ht="16" thickBot="1" x14ac:dyDescent="0.4">
      <c r="B111" s="85"/>
      <c r="C111" s="85"/>
      <c r="D111" s="85"/>
      <c r="E111" s="85"/>
      <c r="F111" s="45">
        <v>771.72748999999999</v>
      </c>
      <c r="G111" s="45">
        <v>778.35270000000003</v>
      </c>
      <c r="H111" s="13">
        <f t="shared" si="65"/>
        <v>6.6252100000000382</v>
      </c>
      <c r="I111" s="13">
        <f t="shared" si="66"/>
        <v>8.5069199999999228</v>
      </c>
      <c r="J111" s="13">
        <f t="shared" si="67"/>
        <v>0.43782402080870675</v>
      </c>
      <c r="K111" s="13">
        <f t="shared" si="68"/>
        <v>0.56217597919129325</v>
      </c>
      <c r="L111" s="13">
        <f t="shared" si="69"/>
        <v>0.15093861175721135</v>
      </c>
      <c r="M111" s="13">
        <f t="shared" si="46"/>
        <v>6.6084549894826608E-2</v>
      </c>
      <c r="N111" s="13">
        <f t="shared" si="70"/>
        <v>15.132129999999961</v>
      </c>
      <c r="O111" s="13"/>
      <c r="P111" s="2"/>
      <c r="Q111" s="2"/>
      <c r="R111" s="85"/>
      <c r="S111" s="85"/>
      <c r="T111" s="85"/>
      <c r="U111" s="13"/>
      <c r="V111" s="13"/>
      <c r="W111" s="13"/>
      <c r="X111" s="13"/>
      <c r="Z111" s="13"/>
      <c r="AA111" s="13"/>
      <c r="AB111" s="9" t="s">
        <v>3</v>
      </c>
      <c r="AC111" s="9" t="s">
        <v>4</v>
      </c>
      <c r="AD111" s="9" t="s">
        <v>5</v>
      </c>
      <c r="AE111" s="9" t="s">
        <v>6</v>
      </c>
      <c r="AF111" s="9" t="s">
        <v>7</v>
      </c>
      <c r="AG111" s="9" t="s">
        <v>8</v>
      </c>
      <c r="AH111" s="9" t="s">
        <v>9</v>
      </c>
      <c r="AI111" s="9" t="s">
        <v>10</v>
      </c>
      <c r="AJ111" s="44" t="s">
        <v>139</v>
      </c>
      <c r="AK111" s="13"/>
      <c r="AL111" s="13"/>
      <c r="AM111" s="13"/>
      <c r="AN111" s="13"/>
      <c r="AO111" s="13"/>
      <c r="AP111" s="13"/>
    </row>
    <row r="112" spans="2:42" x14ac:dyDescent="0.35">
      <c r="B112" s="85"/>
      <c r="C112" s="85"/>
      <c r="D112" s="85"/>
      <c r="E112" s="85"/>
      <c r="F112" s="45">
        <v>786.85961999999995</v>
      </c>
      <c r="G112" s="45">
        <v>792.60078999999996</v>
      </c>
      <c r="H112" s="13">
        <f t="shared" si="65"/>
        <v>5.741170000000011</v>
      </c>
      <c r="I112" s="13">
        <f t="shared" si="66"/>
        <v>10.032130000000052</v>
      </c>
      <c r="J112" s="13">
        <f t="shared" si="67"/>
        <v>0.3639802704570374</v>
      </c>
      <c r="K112" s="13">
        <f t="shared" si="68"/>
        <v>0.6360197295429626</v>
      </c>
      <c r="L112" s="13">
        <f t="shared" si="69"/>
        <v>0.17418052417886912</v>
      </c>
      <c r="M112" s="13">
        <f t="shared" si="46"/>
        <v>6.3398274298973323E-2</v>
      </c>
      <c r="N112" s="13">
        <f t="shared" si="70"/>
        <v>15.773300000000063</v>
      </c>
      <c r="O112" s="13"/>
      <c r="P112" s="2"/>
      <c r="Q112" s="2"/>
      <c r="R112" s="85"/>
      <c r="S112" s="85"/>
      <c r="T112" s="85"/>
      <c r="U112" s="13"/>
      <c r="V112" s="13"/>
      <c r="W112" s="13"/>
      <c r="X112" s="13"/>
      <c r="Y112" t="s">
        <v>301</v>
      </c>
      <c r="Z112" s="13"/>
      <c r="AA112" s="49" t="s">
        <v>77</v>
      </c>
      <c r="AB112" s="13">
        <f>AVERAGE(AB53,AB55,AB58,AB60)</f>
        <v>10.138545000000022</v>
      </c>
      <c r="AC112" s="13">
        <f t="shared" ref="AC112:AJ112" si="75">AVERAGE(AC53,AC55,AC58,AC60)</f>
        <v>10.519385</v>
      </c>
      <c r="AD112" s="13">
        <f t="shared" si="75"/>
        <v>0.49189222145149636</v>
      </c>
      <c r="AE112" s="13">
        <f t="shared" si="75"/>
        <v>0.50810777854850353</v>
      </c>
      <c r="AF112" s="13">
        <f t="shared" si="75"/>
        <v>9.8741955303087103E-2</v>
      </c>
      <c r="AG112" s="13">
        <f t="shared" si="75"/>
        <v>4.8557855462665965E-2</v>
      </c>
      <c r="AH112" s="13">
        <f t="shared" si="75"/>
        <v>20.657930000000022</v>
      </c>
      <c r="AI112" s="13">
        <f t="shared" si="75"/>
        <v>124.25</v>
      </c>
      <c r="AJ112" s="13">
        <f t="shared" si="75"/>
        <v>12.254093977558014</v>
      </c>
      <c r="AK112" s="13"/>
      <c r="AL112" s="13"/>
      <c r="AM112" s="13"/>
      <c r="AN112" s="13"/>
      <c r="AO112" s="13"/>
      <c r="AP112" s="13"/>
    </row>
    <row r="113" spans="2:42" x14ac:dyDescent="0.35">
      <c r="B113" s="85"/>
      <c r="C113" s="85"/>
      <c r="D113" s="85"/>
      <c r="E113" s="85"/>
      <c r="F113" s="45">
        <v>802.63292000000001</v>
      </c>
      <c r="G113" s="45">
        <v>808.41862000000003</v>
      </c>
      <c r="H113" s="13">
        <f t="shared" si="65"/>
        <v>5.7857000000000198</v>
      </c>
      <c r="I113" s="13">
        <f t="shared" si="66"/>
        <v>8.2866599999999835</v>
      </c>
      <c r="J113" s="13">
        <f t="shared" si="67"/>
        <v>0.41113928296320007</v>
      </c>
      <c r="K113" s="13">
        <f t="shared" si="68"/>
        <v>0.58886071703679987</v>
      </c>
      <c r="L113" s="13">
        <f t="shared" si="69"/>
        <v>0.17283993293810543</v>
      </c>
      <c r="M113" s="13">
        <f t="shared" si="46"/>
        <v>7.1061286095580253E-2</v>
      </c>
      <c r="N113" s="13">
        <f t="shared" si="70"/>
        <v>14.072360000000003</v>
      </c>
      <c r="O113" s="13"/>
      <c r="P113" s="2"/>
      <c r="Q113" s="2"/>
      <c r="R113" s="85"/>
      <c r="S113" s="85"/>
      <c r="T113" s="85"/>
      <c r="U113" s="13"/>
      <c r="V113" s="13"/>
      <c r="W113" s="13"/>
      <c r="X113" s="13"/>
      <c r="Z113" s="13"/>
      <c r="AA113" s="49" t="s">
        <v>94</v>
      </c>
      <c r="AB113" s="2">
        <f>_xlfn.STDEV.S(AB53,AB55,AB58,AB60)</f>
        <v>0.38232250352297065</v>
      </c>
      <c r="AC113" s="2">
        <f t="shared" ref="AC113:AJ113" si="76">_xlfn.STDEV.S(AC53,AC55,AC58,AC60)</f>
        <v>1.1864369159940682</v>
      </c>
      <c r="AD113" s="2">
        <f t="shared" si="76"/>
        <v>2.8915966342575403E-2</v>
      </c>
      <c r="AE113" s="2">
        <f t="shared" si="76"/>
        <v>2.8915966342575396E-2</v>
      </c>
      <c r="AF113" s="2">
        <f t="shared" si="76"/>
        <v>3.8361409918014227E-3</v>
      </c>
      <c r="AG113" s="2">
        <f t="shared" si="76"/>
        <v>3.1245240661688079E-3</v>
      </c>
      <c r="AH113" s="2">
        <f t="shared" si="76"/>
        <v>1.3262065751358962</v>
      </c>
      <c r="AI113" s="2">
        <f t="shared" si="76"/>
        <v>6.751543033509698</v>
      </c>
      <c r="AJ113" s="2">
        <f t="shared" si="76"/>
        <v>0.42618454672084194</v>
      </c>
      <c r="AK113" s="13"/>
      <c r="AL113" s="13"/>
      <c r="AM113" s="13"/>
      <c r="AN113" s="13"/>
      <c r="AO113" s="13"/>
      <c r="AP113" s="13"/>
    </row>
    <row r="114" spans="2:42" x14ac:dyDescent="0.35">
      <c r="B114" s="85"/>
      <c r="C114" s="85"/>
      <c r="D114" s="85"/>
      <c r="E114" s="85"/>
      <c r="F114" s="45">
        <v>816.70528000000002</v>
      </c>
      <c r="G114" s="45">
        <v>823.33335999999997</v>
      </c>
      <c r="H114" s="13">
        <f t="shared" si="65"/>
        <v>6.6280799999999545</v>
      </c>
      <c r="I114" s="13">
        <f t="shared" si="66"/>
        <v>10.066959999999995</v>
      </c>
      <c r="J114" s="13">
        <f t="shared" si="67"/>
        <v>0.39700893199417159</v>
      </c>
      <c r="K114" s="13">
        <f t="shared" si="68"/>
        <v>0.60299106800582836</v>
      </c>
      <c r="L114" s="13">
        <f t="shared" si="69"/>
        <v>0.15087325439644766</v>
      </c>
      <c r="M114" s="13">
        <f t="shared" si="46"/>
        <v>5.9898029594418645E-2</v>
      </c>
      <c r="N114" s="13">
        <f t="shared" si="70"/>
        <v>16.695039999999949</v>
      </c>
      <c r="O114" s="13"/>
      <c r="P114" s="2"/>
      <c r="Q114" s="2"/>
      <c r="R114" s="85"/>
      <c r="S114" s="85"/>
      <c r="T114" s="85"/>
      <c r="U114" s="13"/>
      <c r="V114" s="13"/>
      <c r="W114" s="13"/>
      <c r="X114" s="13"/>
      <c r="Z114" s="13"/>
      <c r="AA114" s="49" t="s">
        <v>95</v>
      </c>
      <c r="AB114" s="2">
        <f>AB113/(SQRT(COUNT(AB53,AB55,AB58,AB60)))</f>
        <v>0.19116125176148532</v>
      </c>
      <c r="AC114" s="2">
        <f t="shared" ref="AC114:AJ114" si="77">AC113/(SQRT(COUNT(AC53,AC55,AC58,AC60)))</f>
        <v>0.5932184579970341</v>
      </c>
      <c r="AD114" s="2">
        <f t="shared" si="77"/>
        <v>1.4457983171287702E-2</v>
      </c>
      <c r="AE114" s="2">
        <f t="shared" si="77"/>
        <v>1.4457983171287698E-2</v>
      </c>
      <c r="AF114" s="2">
        <f t="shared" si="77"/>
        <v>1.9180704959007114E-3</v>
      </c>
      <c r="AG114" s="2">
        <f t="shared" si="77"/>
        <v>1.5622620330844039E-3</v>
      </c>
      <c r="AH114" s="2">
        <f t="shared" si="77"/>
        <v>0.66310328756794812</v>
      </c>
      <c r="AI114" s="2">
        <f t="shared" si="77"/>
        <v>3.375771516754849</v>
      </c>
      <c r="AJ114" s="2">
        <f t="shared" si="77"/>
        <v>0.21309227336042097</v>
      </c>
      <c r="AK114" s="13"/>
      <c r="AL114" s="13"/>
      <c r="AM114" s="13"/>
      <c r="AN114" s="13"/>
      <c r="AO114" s="13"/>
      <c r="AP114" s="13"/>
    </row>
    <row r="115" spans="2:42" x14ac:dyDescent="0.35">
      <c r="B115" s="85"/>
      <c r="C115" s="85"/>
      <c r="D115" s="85"/>
      <c r="E115" s="85"/>
      <c r="F115" s="45">
        <v>833.40031999999997</v>
      </c>
      <c r="G115" s="45">
        <v>839.91263000000004</v>
      </c>
      <c r="H115" s="13"/>
      <c r="I115" s="13"/>
      <c r="J115" s="13"/>
      <c r="K115" s="13"/>
      <c r="L115" s="13"/>
      <c r="M115" s="13"/>
      <c r="N115" s="13"/>
      <c r="O115" s="13"/>
      <c r="P115" s="2"/>
      <c r="Q115" s="2"/>
      <c r="R115" s="85"/>
      <c r="S115" s="85"/>
      <c r="T115" s="85"/>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row>
    <row r="116" spans="2:42" x14ac:dyDescent="0.35">
      <c r="B116" s="85"/>
      <c r="C116" s="85"/>
      <c r="D116" s="85"/>
      <c r="E116" s="85"/>
      <c r="F116" s="45"/>
      <c r="G116" s="45"/>
      <c r="H116" s="13"/>
      <c r="I116" s="13"/>
      <c r="J116" s="13"/>
      <c r="K116" s="13"/>
      <c r="L116" s="13"/>
      <c r="M116" s="13"/>
      <c r="N116" s="13"/>
      <c r="O116" s="2"/>
      <c r="P116" s="2"/>
      <c r="Q116" s="2"/>
      <c r="R116" s="85"/>
      <c r="S116" s="85"/>
      <c r="T116" s="85"/>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row>
    <row r="117" spans="2:42" x14ac:dyDescent="0.35">
      <c r="B117" s="85"/>
      <c r="C117" s="85"/>
      <c r="D117" s="85"/>
      <c r="E117" s="85"/>
      <c r="F117" s="13"/>
      <c r="G117" s="13"/>
      <c r="H117" s="2"/>
      <c r="I117" s="2"/>
      <c r="J117" s="2"/>
      <c r="K117" s="2"/>
      <c r="L117" s="2"/>
      <c r="M117" s="2"/>
      <c r="N117" s="2"/>
      <c r="O117" s="2"/>
      <c r="R117" s="85"/>
      <c r="S117" s="85"/>
      <c r="T117" s="85"/>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row>
    <row r="118" spans="2:42" ht="16" thickBot="1" x14ac:dyDescent="0.4">
      <c r="B118" s="85"/>
      <c r="C118" s="85"/>
      <c r="D118" s="85"/>
      <c r="E118" s="137" t="s">
        <v>312</v>
      </c>
      <c r="F118" s="13"/>
      <c r="G118" s="13"/>
      <c r="H118" s="9" t="s">
        <v>3</v>
      </c>
      <c r="I118" s="9" t="s">
        <v>4</v>
      </c>
      <c r="J118" s="9" t="s">
        <v>5</v>
      </c>
      <c r="K118" s="9" t="s">
        <v>6</v>
      </c>
      <c r="L118" s="9" t="s">
        <v>7</v>
      </c>
      <c r="M118" s="9" t="s">
        <v>8</v>
      </c>
      <c r="N118" s="9" t="s">
        <v>9</v>
      </c>
      <c r="O118" s="9" t="s">
        <v>10</v>
      </c>
      <c r="P118" s="44" t="s">
        <v>139</v>
      </c>
      <c r="R118" s="85"/>
      <c r="S118" s="85"/>
      <c r="T118" s="85"/>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row>
    <row r="119" spans="2:42" x14ac:dyDescent="0.35">
      <c r="B119" s="85"/>
      <c r="C119" s="85"/>
      <c r="D119" s="85"/>
      <c r="E119" s="85"/>
      <c r="F119" s="13"/>
      <c r="G119" s="49" t="s">
        <v>77</v>
      </c>
      <c r="H119" s="13">
        <f>AVERAGE(H67:H68,H70,H72,H75,H77:H79,H81,H83,H86)</f>
        <v>4.4288081818181846</v>
      </c>
      <c r="I119" s="13">
        <f t="shared" ref="I119:N119" si="78">AVERAGE(I67:I68,I70,I72,I75,I77:I79,I81,I83,I86)</f>
        <v>12.091582727272721</v>
      </c>
      <c r="J119" s="13">
        <f t="shared" si="78"/>
        <v>0.2761888079849808</v>
      </c>
      <c r="K119" s="13">
        <f t="shared" si="78"/>
        <v>0.7238111920150192</v>
      </c>
      <c r="L119" s="13">
        <f t="shared" si="78"/>
        <v>0.23443122376130712</v>
      </c>
      <c r="M119" s="13">
        <f t="shared" si="78"/>
        <v>6.1971056327194546E-2</v>
      </c>
      <c r="N119" s="13">
        <f t="shared" si="78"/>
        <v>16.520390909090906</v>
      </c>
      <c r="O119" s="13" t="e">
        <f>AVERAGE(O108:O115)</f>
        <v>#DIV/0!</v>
      </c>
      <c r="P119" s="13" t="e">
        <f>AVERAGE(P108:P115)</f>
        <v>#DIV/0!</v>
      </c>
      <c r="R119" s="85"/>
      <c r="S119" s="85"/>
      <c r="T119" s="85"/>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row>
    <row r="120" spans="2:42" x14ac:dyDescent="0.35">
      <c r="F120" s="13"/>
      <c r="G120" s="49" t="s">
        <v>94</v>
      </c>
      <c r="H120" s="2">
        <f>_xlfn.STDEV.S(H67:H68,H70,H72,H75,H77:H79,H81,H83,H86)</f>
        <v>1.0078143934655679</v>
      </c>
      <c r="I120" s="2">
        <f t="shared" ref="I120:P120" si="79">_xlfn.STDEV.S(I67:I68,I70,I72,I75,I77:I79,I81,I83,I86)</f>
        <v>3.3568447318489141</v>
      </c>
      <c r="J120" s="2">
        <f t="shared" si="79"/>
        <v>8.3014108500038888E-2</v>
      </c>
      <c r="K120" s="2">
        <f t="shared" si="79"/>
        <v>8.3014108500039679E-2</v>
      </c>
      <c r="L120" s="2">
        <f t="shared" si="79"/>
        <v>4.341466011630065E-2</v>
      </c>
      <c r="M120" s="2">
        <f t="shared" si="79"/>
        <v>8.9043970926343512E-3</v>
      </c>
      <c r="N120" s="2">
        <f t="shared" si="79"/>
        <v>3.0226871026768602</v>
      </c>
      <c r="O120" s="2" t="e">
        <f t="shared" si="79"/>
        <v>#DIV/0!</v>
      </c>
      <c r="P120" s="2" t="e">
        <f t="shared" si="79"/>
        <v>#DIV/0!</v>
      </c>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row>
    <row r="121" spans="2:42" x14ac:dyDescent="0.35">
      <c r="F121" s="13"/>
      <c r="G121" s="49" t="s">
        <v>95</v>
      </c>
      <c r="H121" s="2">
        <f>H120/(SQRT(COUNT(H67:H68,H70,H72,H75,H77:H79,H81,H83,H86)))</f>
        <v>0.3038674728586267</v>
      </c>
      <c r="I121" s="2">
        <f t="shared" ref="I121:P121" si="80">I120/(SQRT(COUNT(I67:I68,I70,I72,I75,I77:I79,I81,I83,I86)))</f>
        <v>1.0121267686385484</v>
      </c>
      <c r="J121" s="2">
        <f t="shared" si="80"/>
        <v>2.502969547277108E-2</v>
      </c>
      <c r="K121" s="2">
        <f t="shared" si="80"/>
        <v>2.502969547277132E-2</v>
      </c>
      <c r="L121" s="2">
        <f t="shared" si="80"/>
        <v>1.3090012546052417E-2</v>
      </c>
      <c r="M121" s="2">
        <f t="shared" si="80"/>
        <v>2.6847767400545123E-3</v>
      </c>
      <c r="N121" s="2">
        <f t="shared" si="80"/>
        <v>0.91137445256596483</v>
      </c>
      <c r="O121" s="2" t="e">
        <f t="shared" si="80"/>
        <v>#DIV/0!</v>
      </c>
      <c r="P121" s="2" t="e">
        <f t="shared" si="80"/>
        <v>#DIV/0!</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row>
    <row r="122" spans="2:42" x14ac:dyDescent="0.35">
      <c r="F122" s="13"/>
      <c r="G122" s="49"/>
      <c r="H122" s="2"/>
      <c r="I122" s="2"/>
      <c r="J122" s="2"/>
      <c r="K122" s="2"/>
      <c r="L122" s="2"/>
      <c r="M122" s="2"/>
      <c r="N122" s="2"/>
      <c r="O122" s="2"/>
      <c r="P122" s="2"/>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row>
    <row r="123" spans="2:42" ht="16" thickBot="1" x14ac:dyDescent="0.4">
      <c r="E123" t="s">
        <v>301</v>
      </c>
      <c r="F123" s="13"/>
      <c r="G123" s="13"/>
      <c r="H123" s="9" t="s">
        <v>3</v>
      </c>
      <c r="I123" s="9" t="s">
        <v>4</v>
      </c>
      <c r="J123" s="9" t="s">
        <v>5</v>
      </c>
      <c r="K123" s="9" t="s">
        <v>6</v>
      </c>
      <c r="L123" s="9" t="s">
        <v>7</v>
      </c>
      <c r="M123" s="9" t="s">
        <v>8</v>
      </c>
      <c r="N123" s="9" t="s">
        <v>9</v>
      </c>
      <c r="O123" s="9" t="s">
        <v>10</v>
      </c>
      <c r="P123" s="44" t="s">
        <v>139</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row>
    <row r="124" spans="2:42" x14ac:dyDescent="0.35">
      <c r="F124" s="13"/>
      <c r="G124" s="49" t="s">
        <v>77</v>
      </c>
      <c r="H124" s="13">
        <f>AVERAGE(H69,H71,H73,H76,H80,H82,H84,H87)</f>
        <v>6.012892500000004</v>
      </c>
      <c r="I124" s="13">
        <f t="shared" ref="I124:P124" si="81">AVERAGE(I69,I71,I73,I76,I80,I82,I84,I87)</f>
        <v>10.052173749999998</v>
      </c>
      <c r="J124" s="13">
        <f t="shared" si="81"/>
        <v>0.37737791792138359</v>
      </c>
      <c r="K124" s="13">
        <f t="shared" si="81"/>
        <v>0.62262208207861647</v>
      </c>
      <c r="L124" s="13">
        <f t="shared" si="81"/>
        <v>0.16725977822971844</v>
      </c>
      <c r="M124" s="13">
        <f t="shared" si="81"/>
        <v>6.2830666957166076E-2</v>
      </c>
      <c r="N124" s="13">
        <f t="shared" si="81"/>
        <v>16.065066250000001</v>
      </c>
      <c r="O124" s="13" t="e">
        <f t="shared" si="81"/>
        <v>#DIV/0!</v>
      </c>
      <c r="P124" s="13" t="e">
        <f t="shared" si="81"/>
        <v>#DIV/0!</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row>
    <row r="125" spans="2:42" x14ac:dyDescent="0.35">
      <c r="F125" s="13"/>
      <c r="G125" s="49" t="s">
        <v>94</v>
      </c>
      <c r="H125" s="2">
        <f>_xlfn.STDEV.S(H69,H71,H73,H76,H80,H82,H84,H87)</f>
        <v>0.47837538585598627</v>
      </c>
      <c r="I125" s="2">
        <f t="shared" ref="I125:P125" si="82">_xlfn.STDEV.S(I69,I71,I73,I76,I80,I82,I84,I87)</f>
        <v>1.6488998165091571</v>
      </c>
      <c r="J125" s="2">
        <f t="shared" si="82"/>
        <v>4.5882627006787809E-2</v>
      </c>
      <c r="K125" s="2">
        <f t="shared" si="82"/>
        <v>4.5882627006788093E-2</v>
      </c>
      <c r="L125" s="2">
        <f t="shared" si="82"/>
        <v>1.3695579996301189E-2</v>
      </c>
      <c r="M125" s="2">
        <f t="shared" si="82"/>
        <v>6.5674490897775564E-3</v>
      </c>
      <c r="N125" s="2">
        <f t="shared" si="82"/>
        <v>1.6366447451499004</v>
      </c>
      <c r="O125" s="2" t="e">
        <f t="shared" si="82"/>
        <v>#DIV/0!</v>
      </c>
      <c r="P125" s="2" t="e">
        <f t="shared" si="82"/>
        <v>#DIV/0!</v>
      </c>
      <c r="U125" s="13"/>
      <c r="V125" s="13"/>
      <c r="W125" s="13"/>
      <c r="X125" s="13"/>
      <c r="Y125" s="13"/>
      <c r="Z125" s="85"/>
      <c r="AA125" s="85"/>
      <c r="AB125" s="13"/>
      <c r="AC125" s="13"/>
      <c r="AD125" s="13"/>
      <c r="AE125" s="13"/>
      <c r="AF125" s="13"/>
      <c r="AG125" s="13"/>
      <c r="AH125" s="13"/>
      <c r="AI125" s="13"/>
      <c r="AJ125" s="13"/>
      <c r="AK125" s="13"/>
      <c r="AL125" s="13"/>
      <c r="AM125" s="13"/>
      <c r="AN125" s="13"/>
      <c r="AO125" s="13"/>
      <c r="AP125" s="13"/>
    </row>
    <row r="126" spans="2:42" x14ac:dyDescent="0.35">
      <c r="F126" s="13"/>
      <c r="G126" s="49" t="s">
        <v>95</v>
      </c>
      <c r="H126" s="2">
        <f>H125/(SQRT(COUNT(H69,H71,H73,H76,H80,H82,H84,H87)))</f>
        <v>0.16913123964574955</v>
      </c>
      <c r="I126" s="2">
        <f t="shared" ref="I126:P126" si="83">I125/(SQRT(COUNT(I69,I71,I73,I76,I80,I82,I84,I87)))</f>
        <v>0.58297412087543943</v>
      </c>
      <c r="J126" s="2">
        <f t="shared" si="83"/>
        <v>1.6221958347576341E-2</v>
      </c>
      <c r="K126" s="2">
        <f t="shared" si="83"/>
        <v>1.6221958347576441E-2</v>
      </c>
      <c r="L126" s="2">
        <f t="shared" si="83"/>
        <v>4.8421187438337007E-3</v>
      </c>
      <c r="M126" s="2">
        <f t="shared" si="83"/>
        <v>2.3219438932395647E-3</v>
      </c>
      <c r="N126" s="2">
        <f t="shared" si="83"/>
        <v>0.57864129884441173</v>
      </c>
      <c r="O126" s="2" t="e">
        <f t="shared" si="83"/>
        <v>#DIV/0!</v>
      </c>
      <c r="P126" s="2" t="e">
        <f t="shared" si="83"/>
        <v>#DIV/0!</v>
      </c>
      <c r="U126" s="13"/>
      <c r="Y126" s="13"/>
      <c r="Z126" s="85"/>
      <c r="AA126" s="85"/>
      <c r="AB126" s="13"/>
      <c r="AC126" s="13"/>
      <c r="AD126" s="13"/>
      <c r="AE126" s="13"/>
      <c r="AF126" s="13"/>
      <c r="AG126" s="13"/>
      <c r="AH126" s="13"/>
      <c r="AI126" s="85"/>
      <c r="AJ126" s="13"/>
      <c r="AK126" s="13"/>
      <c r="AL126" s="13"/>
      <c r="AM126" s="13"/>
      <c r="AN126" s="13"/>
      <c r="AO126" s="13"/>
      <c r="AP126" s="13"/>
    </row>
    <row r="127" spans="2:42" x14ac:dyDescent="0.35">
      <c r="F127" s="13"/>
      <c r="G127" s="49"/>
      <c r="H127" s="2"/>
      <c r="I127" s="2"/>
      <c r="J127" s="2"/>
      <c r="K127" s="2"/>
      <c r="L127" s="2"/>
      <c r="M127" s="2"/>
      <c r="N127" s="2"/>
      <c r="O127" s="2"/>
      <c r="P127" s="2"/>
      <c r="Y127" s="13"/>
      <c r="Z127" s="85"/>
      <c r="AA127" s="85"/>
      <c r="AB127" s="13"/>
      <c r="AC127" s="13"/>
      <c r="AD127" s="13"/>
      <c r="AE127" s="13"/>
      <c r="AF127" s="13"/>
      <c r="AG127" s="13"/>
      <c r="AH127" s="13"/>
      <c r="AI127" s="85"/>
      <c r="AJ127" s="85"/>
    </row>
    <row r="128" spans="2:42" x14ac:dyDescent="0.35">
      <c r="F128" s="13"/>
      <c r="G128" s="49"/>
      <c r="H128" s="2"/>
      <c r="I128" s="2"/>
      <c r="J128" s="2"/>
      <c r="K128" s="2"/>
      <c r="L128" s="2"/>
      <c r="M128" s="2"/>
      <c r="N128" s="2"/>
      <c r="O128" s="2"/>
      <c r="P128" s="2"/>
      <c r="Y128" s="13"/>
      <c r="Z128" s="85"/>
      <c r="AA128" s="85"/>
      <c r="AB128" s="13"/>
      <c r="AC128" s="13"/>
      <c r="AD128" s="13"/>
      <c r="AE128" s="13"/>
      <c r="AF128" s="13"/>
      <c r="AG128" s="13"/>
      <c r="AH128" s="13"/>
      <c r="AI128" s="85"/>
      <c r="AJ128" s="85"/>
    </row>
    <row r="129" spans="5:38" ht="16" thickBot="1" x14ac:dyDescent="0.4">
      <c r="E129" t="s">
        <v>300</v>
      </c>
      <c r="F129" s="13"/>
      <c r="G129" s="13"/>
      <c r="H129" s="9" t="s">
        <v>3</v>
      </c>
      <c r="I129" s="9" t="s">
        <v>4</v>
      </c>
      <c r="J129" s="9" t="s">
        <v>5</v>
      </c>
      <c r="K129" s="9" t="s">
        <v>6</v>
      </c>
      <c r="L129" s="9" t="s">
        <v>7</v>
      </c>
      <c r="M129" s="9" t="s">
        <v>8</v>
      </c>
      <c r="N129" s="9" t="s">
        <v>9</v>
      </c>
      <c r="O129" s="9" t="s">
        <v>10</v>
      </c>
      <c r="P129" s="44" t="s">
        <v>139</v>
      </c>
      <c r="Y129" s="13"/>
      <c r="Z129" s="85"/>
      <c r="AA129" s="85"/>
      <c r="AB129" s="13"/>
      <c r="AC129" s="13"/>
      <c r="AD129" s="13"/>
      <c r="AE129" s="13"/>
      <c r="AF129" s="13"/>
      <c r="AG129" s="13"/>
      <c r="AH129" s="13"/>
      <c r="AI129" s="85"/>
      <c r="AJ129" s="85"/>
    </row>
    <row r="130" spans="5:38" x14ac:dyDescent="0.35">
      <c r="F130" s="13"/>
      <c r="G130" s="49" t="s">
        <v>77</v>
      </c>
      <c r="H130" s="13">
        <f>AVERAGE(H88,H90,H92,H94,H96,H98,H99)</f>
        <v>7.0632271428571425</v>
      </c>
      <c r="I130" s="13">
        <f t="shared" ref="I130:P130" si="84">AVERAGE(I88,I90,I92,I94,I96,I98,I99)</f>
        <v>13.315464285714281</v>
      </c>
      <c r="J130" s="13">
        <f t="shared" si="84"/>
        <v>0.35283928173381918</v>
      </c>
      <c r="K130" s="13">
        <f t="shared" si="84"/>
        <v>0.64716071826618093</v>
      </c>
      <c r="L130" s="13">
        <f t="shared" si="84"/>
        <v>0.14252783490043935</v>
      </c>
      <c r="M130" s="13">
        <f t="shared" si="84"/>
        <v>4.975172868428248E-2</v>
      </c>
      <c r="N130" s="13">
        <f t="shared" si="84"/>
        <v>20.378691428571422</v>
      </c>
      <c r="O130" s="13" t="e">
        <f t="shared" si="84"/>
        <v>#DIV/0!</v>
      </c>
      <c r="P130" s="13" t="e">
        <f t="shared" si="84"/>
        <v>#DIV/0!</v>
      </c>
      <c r="Y130" s="13"/>
      <c r="Z130" s="85"/>
      <c r="AA130" s="85"/>
      <c r="AB130" s="13"/>
      <c r="AC130" s="13"/>
      <c r="AD130" s="13"/>
      <c r="AE130" s="13"/>
      <c r="AF130" s="13"/>
      <c r="AG130" s="13"/>
      <c r="AH130" s="13"/>
      <c r="AI130" s="85"/>
      <c r="AJ130" s="85"/>
    </row>
    <row r="131" spans="5:38" x14ac:dyDescent="0.35">
      <c r="F131" s="13"/>
      <c r="G131" s="49" t="s">
        <v>94</v>
      </c>
      <c r="H131" s="2">
        <f>_xlfn.STDEV.S(H88,H90,H92,H94,H96,H98,H99)</f>
        <v>0.61188413709117084</v>
      </c>
      <c r="I131" s="2">
        <f t="shared" ref="I131:P131" si="85">_xlfn.STDEV.S(I88,I90,I92,I94,I96,I98,I99)</f>
        <v>2.6386800196996036</v>
      </c>
      <c r="J131" s="2">
        <f t="shared" si="85"/>
        <v>7.0001943643633227E-2</v>
      </c>
      <c r="K131" s="2">
        <f t="shared" si="85"/>
        <v>7.0001943643633602E-2</v>
      </c>
      <c r="L131" s="2">
        <f t="shared" si="85"/>
        <v>1.2827388270359848E-2</v>
      </c>
      <c r="M131" s="2">
        <f t="shared" si="85"/>
        <v>6.8815075997223354E-3</v>
      </c>
      <c r="N131" s="2">
        <f t="shared" si="85"/>
        <v>2.363366480964725</v>
      </c>
      <c r="O131" s="2" t="e">
        <f t="shared" si="85"/>
        <v>#DIV/0!</v>
      </c>
      <c r="P131" s="2" t="e">
        <f t="shared" si="85"/>
        <v>#DIV/0!</v>
      </c>
      <c r="Y131" s="13"/>
      <c r="Z131" s="85"/>
      <c r="AA131" s="85"/>
      <c r="AB131" s="13"/>
      <c r="AC131" s="13"/>
      <c r="AD131" s="13"/>
      <c r="AE131" s="13"/>
      <c r="AF131" s="13"/>
      <c r="AG131" s="13"/>
      <c r="AH131" s="13"/>
      <c r="AI131" s="85"/>
      <c r="AJ131" s="85"/>
    </row>
    <row r="132" spans="5:38" x14ac:dyDescent="0.35">
      <c r="F132" s="13"/>
      <c r="G132" s="49" t="s">
        <v>95</v>
      </c>
      <c r="H132" s="2">
        <f>H131/(SQRT(COUNT(H88,H90,H92,H94,H96,H98,H99)))</f>
        <v>0.23127046541837012</v>
      </c>
      <c r="I132" s="2">
        <f t="shared" ref="I132:P132" si="86">I131/(SQRT(COUNT(I88,I90,I92,I94,I96,I98,I99)))</f>
        <v>0.99732730308573792</v>
      </c>
      <c r="J132" s="2">
        <f t="shared" si="86"/>
        <v>2.6458247738887455E-2</v>
      </c>
      <c r="K132" s="2">
        <f t="shared" si="86"/>
        <v>2.6458247738887598E-2</v>
      </c>
      <c r="L132" s="2">
        <f t="shared" si="86"/>
        <v>4.848297047691302E-3</v>
      </c>
      <c r="M132" s="2">
        <f t="shared" si="86"/>
        <v>2.6009653934380445E-3</v>
      </c>
      <c r="N132" s="2">
        <f t="shared" si="86"/>
        <v>0.89326856650550412</v>
      </c>
      <c r="O132" s="2" t="e">
        <f t="shared" si="86"/>
        <v>#DIV/0!</v>
      </c>
      <c r="P132" s="2" t="e">
        <f t="shared" si="86"/>
        <v>#DIV/0!</v>
      </c>
      <c r="Y132" s="13"/>
      <c r="Z132" s="85"/>
      <c r="AA132" s="85"/>
      <c r="AB132" s="13"/>
      <c r="AC132" s="13"/>
      <c r="AD132" s="13"/>
      <c r="AE132" s="13"/>
      <c r="AF132" s="13"/>
      <c r="AG132" s="13"/>
      <c r="AH132" s="13"/>
      <c r="AI132" s="85"/>
      <c r="AJ132" s="85"/>
    </row>
    <row r="133" spans="5:38" x14ac:dyDescent="0.35">
      <c r="F133" s="13"/>
      <c r="G133" s="49"/>
      <c r="H133" s="2"/>
      <c r="I133" s="2"/>
      <c r="J133" s="2"/>
      <c r="K133" s="2"/>
      <c r="L133" s="2"/>
      <c r="M133" s="2"/>
      <c r="N133" s="2"/>
      <c r="O133" s="2"/>
      <c r="P133" s="2"/>
      <c r="Y133" s="13"/>
      <c r="Z133" s="85"/>
      <c r="AA133" s="85"/>
      <c r="AB133" s="13"/>
      <c r="AC133" s="85"/>
      <c r="AD133" s="85"/>
      <c r="AE133" s="85"/>
      <c r="AF133" s="85"/>
      <c r="AG133" s="85"/>
      <c r="AH133" s="85"/>
      <c r="AI133" s="85"/>
      <c r="AJ133" s="85"/>
    </row>
    <row r="134" spans="5:38" ht="16" thickBot="1" x14ac:dyDescent="0.4">
      <c r="E134" t="s">
        <v>301</v>
      </c>
      <c r="F134" s="13"/>
      <c r="G134" s="13"/>
      <c r="H134" s="9" t="s">
        <v>3</v>
      </c>
      <c r="I134" s="9" t="s">
        <v>4</v>
      </c>
      <c r="J134" s="9" t="s">
        <v>5</v>
      </c>
      <c r="K134" s="9" t="s">
        <v>6</v>
      </c>
      <c r="L134" s="9" t="s">
        <v>7</v>
      </c>
      <c r="M134" s="9" t="s">
        <v>8</v>
      </c>
      <c r="N134" s="9" t="s">
        <v>9</v>
      </c>
      <c r="O134" s="9" t="s">
        <v>10</v>
      </c>
      <c r="P134" s="44" t="s">
        <v>139</v>
      </c>
      <c r="Y134" s="85"/>
      <c r="AB134" s="2"/>
      <c r="AI134" s="85"/>
      <c r="AJ134" s="85"/>
    </row>
    <row r="135" spans="5:38" x14ac:dyDescent="0.35">
      <c r="F135" s="13"/>
      <c r="G135" s="49" t="s">
        <v>77</v>
      </c>
      <c r="H135" s="13">
        <f>AVERAGE(H89,H91,H93,H95,H97,H100)</f>
        <v>7.0602850000000119</v>
      </c>
      <c r="I135" s="13">
        <f t="shared" ref="I135:P135" si="87">AVERAGE(I89,I91,I93,I95,I97,I100)</f>
        <v>10.778040000000004</v>
      </c>
      <c r="J135" s="13">
        <f t="shared" si="87"/>
        <v>0.40055607379709762</v>
      </c>
      <c r="K135" s="13">
        <f t="shared" si="87"/>
        <v>0.59944392620290243</v>
      </c>
      <c r="L135" s="13">
        <f t="shared" si="87"/>
        <v>0.14217381661957573</v>
      </c>
      <c r="M135" s="13">
        <f t="shared" si="87"/>
        <v>5.6673916256128637E-2</v>
      </c>
      <c r="N135" s="13">
        <f t="shared" si="87"/>
        <v>17.838325000000015</v>
      </c>
      <c r="O135" s="13" t="e">
        <f t="shared" si="87"/>
        <v>#DIV/0!</v>
      </c>
      <c r="P135" s="13" t="e">
        <f t="shared" si="87"/>
        <v>#DIV/0!</v>
      </c>
      <c r="AB135" s="2"/>
      <c r="AJ135" s="85"/>
    </row>
    <row r="136" spans="5:38" x14ac:dyDescent="0.35">
      <c r="F136" s="13"/>
      <c r="G136" s="49" t="s">
        <v>94</v>
      </c>
      <c r="H136" s="2">
        <f>_xlfn.STDEV.S(H89,H91,H93,H95,H97,H100)</f>
        <v>0.4815898548661548</v>
      </c>
      <c r="I136" s="2">
        <f t="shared" ref="I136:P136" si="88">_xlfn.STDEV.S(I89,I91,I93,I95,I97,I100)</f>
        <v>2.2919945814683134</v>
      </c>
      <c r="J136" s="2">
        <f t="shared" si="88"/>
        <v>5.4406454327820222E-2</v>
      </c>
      <c r="K136" s="2">
        <f t="shared" si="88"/>
        <v>5.440645432782041E-2</v>
      </c>
      <c r="L136" s="2">
        <f t="shared" si="88"/>
        <v>9.4451558057126704E-3</v>
      </c>
      <c r="M136" s="2">
        <f t="shared" si="88"/>
        <v>6.1636502665266477E-3</v>
      </c>
      <c r="N136" s="2">
        <f t="shared" si="88"/>
        <v>2.1434799253060612</v>
      </c>
      <c r="O136" s="2" t="e">
        <f t="shared" si="88"/>
        <v>#DIV/0!</v>
      </c>
      <c r="P136" s="2" t="e">
        <f t="shared" si="88"/>
        <v>#DIV/0!</v>
      </c>
      <c r="AB136" s="2"/>
    </row>
    <row r="137" spans="5:38" x14ac:dyDescent="0.35">
      <c r="F137" s="13"/>
      <c r="G137" s="49" t="s">
        <v>95</v>
      </c>
      <c r="H137" s="2">
        <f>H136/(SQRT(COUNT(H89,H91,H93,H95,H97,H100)))</f>
        <v>0.1966082349538476</v>
      </c>
      <c r="I137" s="2">
        <f t="shared" ref="I137:P137" si="89">I136/(SQRT(COUNT(I89,I91,I93,I95,I97,I100)))</f>
        <v>0.93570286963687621</v>
      </c>
      <c r="J137" s="2">
        <f t="shared" si="89"/>
        <v>2.2211341969532849E-2</v>
      </c>
      <c r="K137" s="2">
        <f t="shared" si="89"/>
        <v>2.2211341969532925E-2</v>
      </c>
      <c r="L137" s="2">
        <f t="shared" si="89"/>
        <v>3.8559687108470288E-3</v>
      </c>
      <c r="M137" s="2">
        <f t="shared" si="89"/>
        <v>2.5162996843266379E-3</v>
      </c>
      <c r="N137" s="2">
        <f t="shared" si="89"/>
        <v>0.87507201514980837</v>
      </c>
      <c r="O137" s="2" t="e">
        <f t="shared" si="89"/>
        <v>#DIV/0!</v>
      </c>
      <c r="P137" s="2" t="e">
        <f t="shared" si="89"/>
        <v>#DIV/0!</v>
      </c>
      <c r="AB137" s="2"/>
    </row>
    <row r="138" spans="5:38" x14ac:dyDescent="0.35">
      <c r="F138" s="13"/>
      <c r="G138" s="49"/>
      <c r="H138" s="2"/>
      <c r="I138" s="2"/>
      <c r="J138" s="2"/>
      <c r="K138" s="2"/>
      <c r="L138" s="2"/>
      <c r="M138" s="2"/>
      <c r="N138" s="2"/>
      <c r="O138" s="2"/>
      <c r="P138" s="2"/>
      <c r="Z138" s="2"/>
      <c r="AA138" s="2"/>
      <c r="AB138" s="2"/>
      <c r="AC138" s="2"/>
      <c r="AD138" s="2"/>
      <c r="AE138" s="2"/>
      <c r="AF138" s="2"/>
      <c r="AG138" s="2"/>
      <c r="AH138" s="2"/>
    </row>
    <row r="139" spans="5:38" ht="16" thickBot="1" x14ac:dyDescent="0.4">
      <c r="E139" t="s">
        <v>250</v>
      </c>
      <c r="F139" s="13"/>
      <c r="G139" s="13"/>
      <c r="H139" s="9" t="s">
        <v>3</v>
      </c>
      <c r="I139" s="9" t="s">
        <v>4</v>
      </c>
      <c r="J139" s="9" t="s">
        <v>5</v>
      </c>
      <c r="K139" s="9" t="s">
        <v>6</v>
      </c>
      <c r="L139" s="9" t="s">
        <v>7</v>
      </c>
      <c r="M139" s="9" t="s">
        <v>8</v>
      </c>
      <c r="N139" s="9" t="s">
        <v>9</v>
      </c>
      <c r="O139" s="9" t="s">
        <v>10</v>
      </c>
      <c r="P139" s="44" t="s">
        <v>139</v>
      </c>
      <c r="V139" s="2"/>
      <c r="W139" s="2"/>
      <c r="X139" s="2"/>
      <c r="Y139" s="2"/>
      <c r="Z139" s="2"/>
      <c r="AA139" s="2"/>
      <c r="AB139" s="2"/>
      <c r="AC139" s="2"/>
      <c r="AD139" s="2"/>
      <c r="AE139" s="2"/>
      <c r="AF139" s="2"/>
      <c r="AG139" s="2"/>
      <c r="AH139" s="2"/>
      <c r="AI139" s="2"/>
    </row>
    <row r="140" spans="5:38" x14ac:dyDescent="0.35">
      <c r="F140" s="13"/>
      <c r="G140" s="49" t="s">
        <v>77</v>
      </c>
      <c r="H140" s="13">
        <f>AVERAGE(H66,H69,H71,H73:H74,H76,H80,H82,H84:H85,H87,H89,H91,H93,H95,H97,H100:H114)</f>
        <v>6.4763090322580625</v>
      </c>
      <c r="I140" s="13">
        <f t="shared" ref="I140:P140" si="90">AVERAGE(I66,I69,I71,I73:I74,I76,I80,I82,I84:I85,I87,I89,I91,I93,I95,I97,I100:I114)</f>
        <v>9.6442361290322616</v>
      </c>
      <c r="J140" s="13">
        <f t="shared" si="90"/>
        <v>0.40747554307154188</v>
      </c>
      <c r="K140" s="13">
        <f t="shared" si="90"/>
        <v>0.59252445692845823</v>
      </c>
      <c r="L140" s="13">
        <f t="shared" si="90"/>
        <v>0.15700178602389506</v>
      </c>
      <c r="M140" s="13">
        <f t="shared" si="90"/>
        <v>6.3412544235157575E-2</v>
      </c>
      <c r="N140" s="13">
        <f t="shared" si="90"/>
        <v>16.120545161290323</v>
      </c>
      <c r="O140" s="13" t="e">
        <f t="shared" si="90"/>
        <v>#DIV/0!</v>
      </c>
      <c r="P140" s="13" t="e">
        <f t="shared" si="90"/>
        <v>#DIV/0!</v>
      </c>
      <c r="U140" s="2"/>
      <c r="V140" s="2"/>
      <c r="W140" s="2"/>
      <c r="X140" s="2"/>
      <c r="Y140" s="2"/>
      <c r="Z140" s="2"/>
      <c r="AA140" s="2"/>
      <c r="AB140" s="2"/>
      <c r="AC140" s="2"/>
      <c r="AD140" s="2"/>
      <c r="AE140" s="2"/>
      <c r="AF140" s="2"/>
      <c r="AG140" s="2"/>
      <c r="AH140" s="2"/>
      <c r="AI140" s="2"/>
      <c r="AJ140" s="2"/>
      <c r="AK140" s="2"/>
      <c r="AL140" s="2"/>
    </row>
    <row r="141" spans="5:38" x14ac:dyDescent="0.35">
      <c r="F141" s="13"/>
      <c r="G141" s="49" t="s">
        <v>94</v>
      </c>
      <c r="H141" s="2">
        <f>_xlfn.STDEV.S(H66,H69,H71,H73:H74,H76,H80,H82,H84:H85,H87,H89,H91,H93,H95,H97,H100:H114)</f>
        <v>0.83957700551867553</v>
      </c>
      <c r="I141" s="2">
        <f t="shared" ref="I141:P141" si="91">_xlfn.STDEV.S(I66,I69,I71,I73:I74,I76,I80,I82,I84:I85,I87,I89,I91,I93,I95,I97,I100:I114)</f>
        <v>2.1698062560693856</v>
      </c>
      <c r="J141" s="2">
        <f t="shared" si="91"/>
        <v>6.5305265262189119E-2</v>
      </c>
      <c r="K141" s="2">
        <f t="shared" si="91"/>
        <v>6.5305265262189577E-2</v>
      </c>
      <c r="L141" s="2">
        <f t="shared" si="91"/>
        <v>2.0970176843889445E-2</v>
      </c>
      <c r="M141" s="2">
        <f t="shared" si="91"/>
        <v>1.0031435784727526E-2</v>
      </c>
      <c r="N141" s="2">
        <f t="shared" si="91"/>
        <v>2.3468203924457236</v>
      </c>
      <c r="O141" s="2" t="e">
        <f t="shared" si="91"/>
        <v>#DIV/0!</v>
      </c>
      <c r="P141" s="2" t="e">
        <f t="shared" si="91"/>
        <v>#DIV/0!</v>
      </c>
      <c r="U141" s="2"/>
      <c r="V141" s="2"/>
      <c r="W141" s="2"/>
      <c r="X141" s="2"/>
      <c r="Y141" s="2"/>
      <c r="Z141" s="2"/>
      <c r="AA141" s="2"/>
      <c r="AB141" s="2"/>
      <c r="AC141" s="2"/>
      <c r="AD141" s="2"/>
      <c r="AE141" s="2"/>
      <c r="AF141" s="2"/>
      <c r="AG141" s="2"/>
      <c r="AH141" s="2"/>
      <c r="AI141" s="2"/>
      <c r="AJ141" s="2"/>
      <c r="AK141" s="2"/>
      <c r="AL141" s="2"/>
    </row>
    <row r="142" spans="5:38" x14ac:dyDescent="0.35">
      <c r="F142" s="13"/>
      <c r="G142" s="49" t="s">
        <v>95</v>
      </c>
      <c r="H142" s="2">
        <f>H141/(SQRT(COUNT(H66,H69,H71,H73:H74,H76,H80,H82,H84:H85,H87,H89,H91,H93,H95,H97,H100:H114)))</f>
        <v>0.15079248165091699</v>
      </c>
      <c r="I142" s="2">
        <f t="shared" ref="I142:P142" si="92">I141/(SQRT(COUNT(I66,I69,I71,I73:I74,I76,I80,I82,I84:I85,I87,I89,I91,I93,I95,I97,I100:I114)))</f>
        <v>0.38970870796092771</v>
      </c>
      <c r="J142" s="2">
        <f t="shared" si="92"/>
        <v>1.1729171891354129E-2</v>
      </c>
      <c r="K142" s="2">
        <f t="shared" si="92"/>
        <v>1.1729171891354211E-2</v>
      </c>
      <c r="L142" s="2">
        <f t="shared" si="92"/>
        <v>3.7663549456016451E-3</v>
      </c>
      <c r="M142" s="2">
        <f t="shared" si="92"/>
        <v>1.801699053878185E-3</v>
      </c>
      <c r="N142" s="2">
        <f t="shared" si="92"/>
        <v>0.42150138538780862</v>
      </c>
      <c r="O142" s="2" t="e">
        <f t="shared" si="92"/>
        <v>#DIV/0!</v>
      </c>
      <c r="P142" s="2" t="e">
        <f t="shared" si="92"/>
        <v>#DIV/0!</v>
      </c>
      <c r="U142" s="2"/>
      <c r="V142" s="2"/>
      <c r="W142" s="2"/>
      <c r="X142" s="2"/>
      <c r="Y142" s="2"/>
      <c r="Z142" s="2"/>
      <c r="AA142" s="2"/>
      <c r="AB142" s="2"/>
      <c r="AC142" s="2"/>
      <c r="AD142" s="2"/>
      <c r="AE142" s="2"/>
      <c r="AF142" s="2"/>
      <c r="AG142" s="2"/>
      <c r="AH142" s="2"/>
      <c r="AI142" s="2"/>
      <c r="AJ142" s="2"/>
      <c r="AK142" s="2"/>
      <c r="AL142" s="2"/>
    </row>
    <row r="143" spans="5:38" x14ac:dyDescent="0.35">
      <c r="F143" s="13"/>
      <c r="G143" s="49"/>
      <c r="H143" s="2"/>
      <c r="I143" s="2"/>
      <c r="J143" s="2"/>
      <c r="K143" s="2"/>
      <c r="L143" s="2"/>
      <c r="M143" s="2"/>
      <c r="N143" s="2"/>
      <c r="O143" s="2"/>
      <c r="P143" s="2"/>
      <c r="U143" s="2"/>
      <c r="V143" s="2"/>
      <c r="W143" s="2"/>
      <c r="X143" s="2"/>
      <c r="Y143" s="2"/>
      <c r="Z143" s="2"/>
      <c r="AA143" s="2"/>
      <c r="AB143" s="2"/>
      <c r="AC143" s="2"/>
      <c r="AD143" s="2"/>
      <c r="AE143" s="2"/>
      <c r="AF143" s="2"/>
      <c r="AG143" s="2"/>
      <c r="AH143" s="2"/>
      <c r="AI143" s="2"/>
      <c r="AJ143" s="2"/>
      <c r="AK143" s="2"/>
      <c r="AL143" s="2"/>
    </row>
    <row r="144" spans="5:38" x14ac:dyDescent="0.35">
      <c r="F144" s="13"/>
      <c r="G144" s="49"/>
      <c r="H144" s="2"/>
      <c r="I144" s="2"/>
      <c r="J144" s="2"/>
      <c r="K144" s="2"/>
      <c r="L144" s="2"/>
      <c r="M144" s="2"/>
      <c r="N144" s="2"/>
      <c r="O144" s="2"/>
      <c r="P144" s="2"/>
      <c r="U144" s="2"/>
      <c r="V144" s="2"/>
      <c r="W144" s="2"/>
      <c r="X144" s="2"/>
      <c r="Y144" s="2"/>
      <c r="Z144" s="2"/>
      <c r="AA144" s="2"/>
      <c r="AB144" s="2"/>
      <c r="AC144" s="2"/>
      <c r="AD144" s="2"/>
      <c r="AE144" s="2"/>
      <c r="AF144" s="2"/>
      <c r="AG144" s="2"/>
      <c r="AH144" s="2"/>
      <c r="AI144" s="2"/>
      <c r="AJ144" s="2"/>
      <c r="AK144" s="2"/>
      <c r="AL144" s="2"/>
    </row>
    <row r="145" spans="3:38" ht="15.5" x14ac:dyDescent="0.35">
      <c r="C145" s="155"/>
      <c r="G145" s="2"/>
      <c r="H145" s="5"/>
      <c r="I145" s="5"/>
      <c r="J145" s="5"/>
      <c r="K145" s="5"/>
      <c r="L145" s="5"/>
      <c r="M145" s="5"/>
      <c r="N145" s="5"/>
      <c r="O145" s="5"/>
      <c r="P145" s="14"/>
      <c r="Q145" s="2"/>
      <c r="R145" s="2"/>
      <c r="S145" s="2"/>
      <c r="T145" s="2"/>
      <c r="U145" s="2"/>
      <c r="V145" s="2"/>
      <c r="W145" s="2"/>
      <c r="X145" s="2"/>
      <c r="Y145" s="2"/>
      <c r="Z145" s="2"/>
      <c r="AA145" s="13"/>
      <c r="AB145" s="5"/>
      <c r="AC145" s="5"/>
      <c r="AD145" s="5"/>
      <c r="AE145" s="5"/>
      <c r="AF145" s="5"/>
      <c r="AG145" s="5"/>
      <c r="AH145" s="5"/>
      <c r="AI145" s="2"/>
      <c r="AJ145" s="2"/>
      <c r="AK145" s="2"/>
      <c r="AL145" s="2"/>
    </row>
    <row r="146" spans="3:38" ht="18.5" x14ac:dyDescent="0.45">
      <c r="C146" s="249"/>
      <c r="E146" s="104"/>
      <c r="F146" s="1" t="s">
        <v>215</v>
      </c>
      <c r="G146" s="2"/>
      <c r="H146" s="2"/>
      <c r="I146" s="2"/>
      <c r="J146" s="2"/>
      <c r="K146" s="2"/>
      <c r="L146" s="2"/>
      <c r="M146" s="2"/>
      <c r="N146" s="2"/>
      <c r="O146" s="2"/>
      <c r="P146" s="2"/>
      <c r="Q146" s="2"/>
      <c r="R146" s="2"/>
      <c r="S146" s="2"/>
      <c r="T146" s="2"/>
      <c r="U146" s="2"/>
      <c r="V146" s="2"/>
      <c r="W146" s="2"/>
      <c r="X146" s="2"/>
      <c r="Y146" s="49"/>
      <c r="Z146" s="2"/>
      <c r="AA146" s="49"/>
      <c r="AB146" s="13"/>
      <c r="AC146" s="13"/>
      <c r="AD146" s="13"/>
      <c r="AE146" s="13"/>
      <c r="AF146" s="13"/>
      <c r="AG146" s="13"/>
      <c r="AH146" s="13"/>
      <c r="AI146" s="5"/>
      <c r="AJ146" s="2"/>
      <c r="AK146" s="2"/>
      <c r="AL146" s="2"/>
    </row>
    <row r="147" spans="3:38" ht="24" thickBot="1" x14ac:dyDescent="0.6">
      <c r="C147" s="248" t="s">
        <v>216</v>
      </c>
      <c r="D147" s="204" t="s">
        <v>122</v>
      </c>
      <c r="E147" s="104"/>
      <c r="F147" s="9" t="s">
        <v>1</v>
      </c>
      <c r="G147" s="9" t="s">
        <v>2</v>
      </c>
      <c r="H147" s="9" t="s">
        <v>3</v>
      </c>
      <c r="I147" s="9" t="s">
        <v>4</v>
      </c>
      <c r="J147" s="9" t="s">
        <v>5</v>
      </c>
      <c r="K147" s="9" t="s">
        <v>6</v>
      </c>
      <c r="L147" s="9" t="s">
        <v>7</v>
      </c>
      <c r="M147" s="9" t="s">
        <v>8</v>
      </c>
      <c r="N147" s="9" t="s">
        <v>9</v>
      </c>
      <c r="O147" s="9" t="s">
        <v>10</v>
      </c>
      <c r="P147" s="44" t="s">
        <v>139</v>
      </c>
      <c r="R147" s="44" t="s">
        <v>134</v>
      </c>
      <c r="S147" s="2"/>
      <c r="T147" s="2"/>
      <c r="U147" s="2"/>
      <c r="V147" s="2"/>
      <c r="W147" s="2"/>
      <c r="X147" s="2"/>
      <c r="Y147" s="49"/>
      <c r="Z147" s="2"/>
      <c r="AA147" s="49"/>
      <c r="AB147" s="2"/>
      <c r="AC147" s="2"/>
      <c r="AD147" s="2"/>
      <c r="AE147" s="2"/>
      <c r="AF147" s="2"/>
      <c r="AG147" s="2"/>
      <c r="AH147" s="2"/>
      <c r="AI147" s="13"/>
      <c r="AJ147" s="14"/>
      <c r="AK147" s="2"/>
      <c r="AL147" s="2"/>
    </row>
    <row r="148" spans="3:38" x14ac:dyDescent="0.35">
      <c r="C148" s="155">
        <v>4</v>
      </c>
      <c r="E148" s="104"/>
      <c r="F148" s="141">
        <v>6.3607800000000001</v>
      </c>
      <c r="G148" s="45">
        <v>11.36889</v>
      </c>
      <c r="H148" s="2">
        <f>G148-F148</f>
        <v>5.0081100000000003</v>
      </c>
      <c r="I148" s="2">
        <f>F149-G148</f>
        <v>8.379999999999999</v>
      </c>
      <c r="J148" s="2">
        <f>H148/N148</f>
        <v>0.37407147087975828</v>
      </c>
      <c r="K148" s="2">
        <f>I148/N148</f>
        <v>0.62592852912024177</v>
      </c>
      <c r="L148" s="2">
        <f>1/H148</f>
        <v>0.19967612532472329</v>
      </c>
      <c r="M148" s="2">
        <f>1/N148</f>
        <v>7.4693141899790191E-2</v>
      </c>
      <c r="N148" s="2">
        <f>H148+I148</f>
        <v>13.388109999999999</v>
      </c>
      <c r="O148" s="2">
        <v>31</v>
      </c>
      <c r="P148" s="2">
        <f>O148/H148</f>
        <v>6.1899598850664219</v>
      </c>
      <c r="Q148" s="2"/>
      <c r="R148" t="s">
        <v>338</v>
      </c>
      <c r="S148" s="2"/>
      <c r="T148" s="2"/>
      <c r="U148" s="2"/>
      <c r="V148" s="2"/>
      <c r="W148" s="2"/>
      <c r="X148" s="2"/>
      <c r="Y148" s="49"/>
      <c r="Z148" s="2"/>
      <c r="AA148" s="49"/>
      <c r="AB148" s="2"/>
      <c r="AC148" s="2"/>
      <c r="AD148" s="2"/>
      <c r="AE148" s="2"/>
      <c r="AF148" s="2"/>
      <c r="AG148" s="2"/>
      <c r="AH148" s="2"/>
      <c r="AI148" s="2"/>
      <c r="AJ148" s="13"/>
      <c r="AK148" s="2"/>
      <c r="AL148" s="2"/>
    </row>
    <row r="149" spans="3:38" x14ac:dyDescent="0.35">
      <c r="C149" s="155">
        <v>4</v>
      </c>
      <c r="D149" t="s">
        <v>541</v>
      </c>
      <c r="E149" s="104"/>
      <c r="F149" s="141">
        <v>19.748889999999999</v>
      </c>
      <c r="G149" s="46">
        <v>25.37359</v>
      </c>
      <c r="H149" s="2">
        <f t="shared" ref="H149:H155" si="93">G149-F149</f>
        <v>5.6247000000000007</v>
      </c>
      <c r="I149" s="2">
        <f t="shared" ref="I149:I154" si="94">F150-G149</f>
        <v>9.4278300000000002</v>
      </c>
      <c r="J149" s="2">
        <f t="shared" ref="J149:J154" si="95">H149/N149</f>
        <v>0.37367140274757799</v>
      </c>
      <c r="K149" s="2">
        <f t="shared" ref="K149:K154" si="96">I149/N149</f>
        <v>0.62632859725242196</v>
      </c>
      <c r="L149" s="2">
        <f t="shared" ref="L149:L154" si="97">1/H149</f>
        <v>0.17778725976496523</v>
      </c>
      <c r="M149" s="2">
        <f t="shared" ref="M149:M154" si="98">1/N149</f>
        <v>6.6434014747022596E-2</v>
      </c>
      <c r="N149" s="2">
        <f t="shared" ref="N149:N154" si="99">H149+I149</f>
        <v>15.052530000000001</v>
      </c>
      <c r="O149" s="2">
        <v>35</v>
      </c>
      <c r="P149" s="2">
        <f t="shared" ref="P149:P155" si="100">O149/H149</f>
        <v>6.2225540917737829</v>
      </c>
      <c r="Q149" s="2"/>
      <c r="R149" s="2"/>
      <c r="S149" s="2"/>
      <c r="T149" s="2"/>
      <c r="U149" s="2"/>
      <c r="V149" s="2"/>
      <c r="W149" s="2"/>
      <c r="X149" s="2"/>
      <c r="Y149" s="49"/>
      <c r="Z149" s="2"/>
      <c r="AA149" s="2"/>
      <c r="AB149" s="2"/>
      <c r="AC149" s="2"/>
      <c r="AD149" s="2"/>
      <c r="AE149" s="2"/>
      <c r="AF149" s="2"/>
      <c r="AG149" s="2"/>
      <c r="AH149" s="2"/>
      <c r="AI149" s="2"/>
      <c r="AJ149" s="2"/>
      <c r="AK149" s="2"/>
      <c r="AL149" s="2"/>
    </row>
    <row r="150" spans="3:38" ht="15.5" x14ac:dyDescent="0.35">
      <c r="C150" s="155">
        <v>4</v>
      </c>
      <c r="E150" s="104"/>
      <c r="F150" s="141">
        <v>34.80142</v>
      </c>
      <c r="G150" s="141">
        <v>39.641530000000003</v>
      </c>
      <c r="H150" s="2">
        <f t="shared" si="93"/>
        <v>4.8401100000000028</v>
      </c>
      <c r="I150" s="2">
        <f t="shared" si="94"/>
        <v>8.5858699999999999</v>
      </c>
      <c r="J150" s="2">
        <f t="shared" si="95"/>
        <v>0.36050329286949645</v>
      </c>
      <c r="K150" s="2">
        <f t="shared" si="96"/>
        <v>0.63949670713050355</v>
      </c>
      <c r="L150" s="2">
        <f t="shared" si="97"/>
        <v>0.20660687463714655</v>
      </c>
      <c r="M150" s="2">
        <f t="shared" si="98"/>
        <v>7.4482458636166579E-2</v>
      </c>
      <c r="N150" s="2">
        <f t="shared" si="99"/>
        <v>13.425980000000003</v>
      </c>
      <c r="O150" s="2">
        <v>30</v>
      </c>
      <c r="P150" s="2">
        <f t="shared" si="100"/>
        <v>6.1982062391143966</v>
      </c>
      <c r="U150" s="2"/>
      <c r="V150" s="2"/>
      <c r="W150" s="2"/>
      <c r="X150" s="2"/>
      <c r="Y150" s="49"/>
      <c r="Z150" s="2"/>
      <c r="AA150" s="13"/>
      <c r="AB150" s="5"/>
      <c r="AC150" s="5"/>
      <c r="AD150" s="5"/>
      <c r="AE150" s="5"/>
      <c r="AF150" s="5"/>
      <c r="AG150" s="5"/>
      <c r="AH150" s="5"/>
      <c r="AI150" s="2"/>
      <c r="AJ150" s="2"/>
      <c r="AK150" s="2"/>
      <c r="AL150" s="2"/>
    </row>
    <row r="151" spans="3:38" ht="15.5" x14ac:dyDescent="0.35">
      <c r="C151" s="155">
        <v>4</v>
      </c>
      <c r="D151" t="s">
        <v>541</v>
      </c>
      <c r="E151" s="104"/>
      <c r="F151" s="141">
        <v>48.227400000000003</v>
      </c>
      <c r="G151" s="45">
        <v>53.941189999999999</v>
      </c>
      <c r="H151" s="2">
        <f t="shared" si="93"/>
        <v>5.7137899999999959</v>
      </c>
      <c r="I151" s="2">
        <f t="shared" si="94"/>
        <v>10.330540000000006</v>
      </c>
      <c r="J151" s="2">
        <f t="shared" si="95"/>
        <v>0.35612518565748741</v>
      </c>
      <c r="K151" s="2">
        <f t="shared" si="96"/>
        <v>0.64387481434251259</v>
      </c>
      <c r="L151" s="2">
        <f t="shared" si="97"/>
        <v>0.17501518256708781</v>
      </c>
      <c r="M151" s="2">
        <f t="shared" si="98"/>
        <v>6.2327314384583207E-2</v>
      </c>
      <c r="N151" s="2">
        <f t="shared" si="99"/>
        <v>16.044330000000002</v>
      </c>
      <c r="O151" s="2">
        <v>36</v>
      </c>
      <c r="P151" s="2">
        <f t="shared" si="100"/>
        <v>6.3005465724151613</v>
      </c>
      <c r="U151" s="2"/>
      <c r="V151" s="2"/>
      <c r="W151" s="2"/>
      <c r="X151" s="2"/>
      <c r="Y151" s="49"/>
      <c r="Z151" s="2"/>
      <c r="AA151" s="49"/>
      <c r="AB151" s="13"/>
      <c r="AC151" s="13"/>
      <c r="AD151" s="13"/>
      <c r="AE151" s="13"/>
      <c r="AF151" s="13"/>
      <c r="AG151" s="13"/>
      <c r="AH151" s="13"/>
      <c r="AI151" s="5"/>
      <c r="AJ151" s="2"/>
      <c r="AK151" s="2"/>
      <c r="AL151" s="2"/>
    </row>
    <row r="152" spans="3:38" ht="15.5" x14ac:dyDescent="0.35">
      <c r="C152" s="155">
        <v>4</v>
      </c>
      <c r="D152" t="s">
        <v>541</v>
      </c>
      <c r="E152" s="104"/>
      <c r="F152" s="141">
        <v>64.271730000000005</v>
      </c>
      <c r="G152" s="45">
        <v>69.234110000000001</v>
      </c>
      <c r="H152" s="2">
        <f t="shared" si="93"/>
        <v>4.962379999999996</v>
      </c>
      <c r="I152" s="2">
        <f t="shared" si="94"/>
        <v>10.286339999999996</v>
      </c>
      <c r="J152" s="2">
        <f t="shared" si="95"/>
        <v>0.325429281933172</v>
      </c>
      <c r="K152" s="2">
        <f t="shared" si="96"/>
        <v>0.674570718066828</v>
      </c>
      <c r="L152" s="2">
        <f t="shared" si="97"/>
        <v>0.20151620794860547</v>
      </c>
      <c r="M152" s="2">
        <f t="shared" si="98"/>
        <v>6.557927485061045E-2</v>
      </c>
      <c r="N152" s="2">
        <f t="shared" si="99"/>
        <v>15.248719999999992</v>
      </c>
      <c r="O152" s="2">
        <v>32</v>
      </c>
      <c r="P152" s="2">
        <f t="shared" si="100"/>
        <v>6.4485186543553752</v>
      </c>
      <c r="U152" s="2"/>
      <c r="V152" s="2"/>
      <c r="W152" s="2"/>
      <c r="X152" s="2"/>
      <c r="Y152" s="49"/>
      <c r="Z152" s="2"/>
      <c r="AA152" s="49"/>
      <c r="AB152" s="2"/>
      <c r="AC152" s="2"/>
      <c r="AD152" s="2"/>
      <c r="AE152" s="2"/>
      <c r="AF152" s="2"/>
      <c r="AG152" s="2"/>
      <c r="AH152" s="2"/>
      <c r="AI152" s="13"/>
      <c r="AJ152" s="14"/>
      <c r="AK152" s="2"/>
      <c r="AL152" s="2"/>
    </row>
    <row r="153" spans="3:38" x14ac:dyDescent="0.35">
      <c r="C153" s="155">
        <v>4</v>
      </c>
      <c r="D153" t="s">
        <v>541</v>
      </c>
      <c r="E153" s="104"/>
      <c r="F153" s="141">
        <v>79.520449999999997</v>
      </c>
      <c r="G153" s="45">
        <v>85.001580000000004</v>
      </c>
      <c r="H153" s="2">
        <f t="shared" si="93"/>
        <v>5.4811300000000074</v>
      </c>
      <c r="I153" s="2">
        <f t="shared" si="94"/>
        <v>10.509029999999996</v>
      </c>
      <c r="J153" s="2">
        <f t="shared" si="95"/>
        <v>0.34278143558288388</v>
      </c>
      <c r="K153" s="2">
        <f t="shared" si="96"/>
        <v>0.65721856441711612</v>
      </c>
      <c r="L153" s="2">
        <f t="shared" si="97"/>
        <v>0.18244413104597021</v>
      </c>
      <c r="M153" s="2">
        <f t="shared" si="98"/>
        <v>6.2538461153609462E-2</v>
      </c>
      <c r="N153" s="2">
        <f t="shared" si="99"/>
        <v>15.990160000000003</v>
      </c>
      <c r="O153" s="2">
        <v>32</v>
      </c>
      <c r="P153" s="2">
        <f t="shared" si="100"/>
        <v>5.8382121934710467</v>
      </c>
      <c r="U153" s="2"/>
      <c r="V153" s="2"/>
      <c r="W153" s="2"/>
      <c r="X153" s="2"/>
      <c r="Y153" s="2"/>
      <c r="Z153" s="2"/>
      <c r="AA153" s="49"/>
      <c r="AB153" s="2"/>
      <c r="AC153" s="2"/>
      <c r="AD153" s="2"/>
      <c r="AE153" s="2"/>
      <c r="AF153" s="2"/>
      <c r="AG153" s="2"/>
      <c r="AH153" s="2"/>
      <c r="AI153" s="2"/>
      <c r="AJ153" s="13"/>
      <c r="AK153" s="2"/>
      <c r="AL153" s="2"/>
    </row>
    <row r="154" spans="3:38" x14ac:dyDescent="0.35">
      <c r="C154" s="155">
        <v>4</v>
      </c>
      <c r="F154" s="141">
        <v>95.51061</v>
      </c>
      <c r="G154" s="141">
        <v>100.46498</v>
      </c>
      <c r="H154" s="2">
        <f t="shared" si="93"/>
        <v>4.9543699999999973</v>
      </c>
      <c r="I154" s="2">
        <f t="shared" si="94"/>
        <v>10.262910000000005</v>
      </c>
      <c r="J154" s="2">
        <f t="shared" si="95"/>
        <v>0.32557526706481033</v>
      </c>
      <c r="K154" s="2">
        <f t="shared" si="96"/>
        <v>0.67442473293518967</v>
      </c>
      <c r="L154" s="2">
        <f t="shared" si="97"/>
        <v>0.20184201018494793</v>
      </c>
      <c r="M154" s="2">
        <f t="shared" si="98"/>
        <v>6.5714766370862585E-2</v>
      </c>
      <c r="N154" s="2">
        <f t="shared" si="99"/>
        <v>15.217280000000002</v>
      </c>
      <c r="O154" s="2">
        <v>31</v>
      </c>
      <c r="P154" s="2">
        <f t="shared" si="100"/>
        <v>6.2571023157333867</v>
      </c>
      <c r="U154" s="2"/>
      <c r="V154" s="2"/>
      <c r="W154" s="2"/>
      <c r="X154" s="2"/>
      <c r="Y154" s="2"/>
      <c r="Z154" s="2"/>
      <c r="AA154" s="2"/>
      <c r="AB154" s="2"/>
      <c r="AC154" s="2"/>
      <c r="AD154" s="2"/>
      <c r="AE154" s="2"/>
      <c r="AF154" s="2"/>
      <c r="AG154" s="2"/>
      <c r="AH154" s="2"/>
      <c r="AI154" s="2"/>
      <c r="AJ154" s="2"/>
      <c r="AK154" s="2"/>
      <c r="AL154" s="2"/>
    </row>
    <row r="155" spans="3:38" x14ac:dyDescent="0.35">
      <c r="C155" s="155"/>
      <c r="E155" s="104"/>
      <c r="F155" s="141">
        <v>110.72789</v>
      </c>
      <c r="G155" s="45">
        <v>115.55099</v>
      </c>
      <c r="H155" s="2">
        <f t="shared" si="93"/>
        <v>4.8230999999999966</v>
      </c>
      <c r="I155" s="2"/>
      <c r="J155" s="2"/>
      <c r="K155" s="2"/>
      <c r="L155" s="2"/>
      <c r="M155" s="2"/>
      <c r="N155" s="2"/>
      <c r="O155" s="2">
        <v>32</v>
      </c>
      <c r="P155" s="2">
        <f t="shared" si="100"/>
        <v>6.6347369948788169</v>
      </c>
      <c r="U155" s="2"/>
      <c r="V155" s="2"/>
      <c r="W155" s="2"/>
      <c r="X155" s="2"/>
      <c r="Y155" s="2"/>
      <c r="Z155" s="2"/>
      <c r="AA155" s="2"/>
      <c r="AB155" s="2"/>
      <c r="AC155" s="2"/>
      <c r="AD155" s="2"/>
      <c r="AE155" s="2"/>
      <c r="AF155" s="2"/>
      <c r="AG155" s="2"/>
      <c r="AH155" s="2"/>
      <c r="AI155" s="2"/>
      <c r="AJ155" s="2"/>
      <c r="AK155" s="2"/>
      <c r="AL155" s="2"/>
    </row>
    <row r="156" spans="3:38" x14ac:dyDescent="0.35">
      <c r="C156" s="155"/>
      <c r="E156" s="104"/>
      <c r="F156" s="141"/>
      <c r="G156" s="45"/>
      <c r="H156" s="2"/>
      <c r="I156" s="2"/>
      <c r="J156" s="2"/>
      <c r="K156" s="2"/>
      <c r="L156" s="2"/>
      <c r="M156" s="2"/>
      <c r="N156" s="2"/>
      <c r="P156" s="2"/>
      <c r="U156" s="2"/>
      <c r="V156" s="2"/>
      <c r="W156" s="2"/>
      <c r="X156" s="2"/>
      <c r="Y156" s="2"/>
      <c r="Z156" s="2"/>
      <c r="AA156" s="2"/>
      <c r="AB156" s="2"/>
      <c r="AC156" s="2"/>
      <c r="AD156" s="2"/>
      <c r="AE156" s="2"/>
      <c r="AF156" s="2"/>
      <c r="AG156" s="2"/>
      <c r="AH156" s="2"/>
      <c r="AI156" s="2"/>
      <c r="AJ156" s="2"/>
      <c r="AK156" s="2"/>
      <c r="AL156" s="2"/>
    </row>
    <row r="157" spans="3:38" x14ac:dyDescent="0.35">
      <c r="C157" s="155"/>
      <c r="E157" s="104"/>
      <c r="F157" s="141"/>
      <c r="G157" s="45"/>
      <c r="H157" s="2"/>
      <c r="I157" s="2"/>
      <c r="J157" s="2"/>
      <c r="K157" s="2"/>
      <c r="L157" s="2"/>
      <c r="M157" s="2"/>
      <c r="N157" s="2"/>
      <c r="U157" s="2"/>
      <c r="V157" s="2"/>
      <c r="W157" s="2"/>
      <c r="X157" s="2"/>
      <c r="Y157" s="2"/>
      <c r="Z157" s="2"/>
      <c r="AA157" s="2"/>
      <c r="AB157" s="2"/>
      <c r="AC157" s="2"/>
      <c r="AD157" s="2"/>
      <c r="AE157" s="2"/>
      <c r="AF157" s="2"/>
      <c r="AG157" s="2"/>
      <c r="AH157" s="2"/>
      <c r="AI157" s="2"/>
      <c r="AJ157" s="2"/>
      <c r="AK157" s="2"/>
      <c r="AL157" s="2"/>
    </row>
    <row r="158" spans="3:38" x14ac:dyDescent="0.35">
      <c r="C158" s="155"/>
      <c r="E158" s="104"/>
      <c r="F158" s="141"/>
      <c r="G158" s="45"/>
      <c r="U158" s="2"/>
      <c r="V158" s="2"/>
      <c r="W158" s="2"/>
      <c r="X158" s="2"/>
      <c r="Y158" s="2"/>
      <c r="AI158" s="2"/>
      <c r="AJ158" s="2"/>
      <c r="AK158" s="2"/>
      <c r="AL158" s="2"/>
    </row>
    <row r="159" spans="3:38" ht="16" thickBot="1" x14ac:dyDescent="0.4">
      <c r="C159" s="155"/>
      <c r="G159" s="13"/>
      <c r="H159" s="9" t="s">
        <v>3</v>
      </c>
      <c r="I159" s="9" t="s">
        <v>4</v>
      </c>
      <c r="J159" s="9" t="s">
        <v>5</v>
      </c>
      <c r="K159" s="9" t="s">
        <v>6</v>
      </c>
      <c r="L159" s="9" t="s">
        <v>7</v>
      </c>
      <c r="M159" s="9" t="s">
        <v>8</v>
      </c>
      <c r="N159" s="9" t="s">
        <v>9</v>
      </c>
      <c r="O159" s="9" t="s">
        <v>10</v>
      </c>
      <c r="P159" s="44" t="s">
        <v>139</v>
      </c>
      <c r="U159" s="2"/>
      <c r="AJ159" s="2"/>
      <c r="AK159" s="2"/>
      <c r="AL159" s="2"/>
    </row>
    <row r="160" spans="3:38" x14ac:dyDescent="0.35">
      <c r="C160" s="155"/>
      <c r="G160" s="49" t="s">
        <v>77</v>
      </c>
      <c r="H160" s="13">
        <f>AVERAGE(H148:H154)</f>
        <v>5.2263700000000002</v>
      </c>
      <c r="I160" s="13">
        <f t="shared" ref="I160:P160" si="101">AVERAGE(I148:I154)</f>
        <v>9.6832171428571439</v>
      </c>
      <c r="J160" s="13">
        <f t="shared" si="101"/>
        <v>0.35116533381931231</v>
      </c>
      <c r="K160" s="13">
        <f t="shared" si="101"/>
        <v>0.64883466618068764</v>
      </c>
      <c r="L160" s="13">
        <f t="shared" si="101"/>
        <v>0.19212682735334946</v>
      </c>
      <c r="M160" s="13">
        <f t="shared" si="101"/>
        <v>6.7395633148949294E-2</v>
      </c>
      <c r="N160" s="13">
        <f t="shared" si="101"/>
        <v>14.909587142857145</v>
      </c>
      <c r="O160" s="13">
        <f t="shared" si="101"/>
        <v>32.428571428571431</v>
      </c>
      <c r="P160" s="13">
        <f t="shared" si="101"/>
        <v>6.2078714217042243</v>
      </c>
    </row>
    <row r="161" spans="3:16" x14ac:dyDescent="0.35">
      <c r="C161" s="155"/>
      <c r="G161" s="49" t="s">
        <v>94</v>
      </c>
      <c r="H161" s="2">
        <f>_xlfn.STDEV.S(H148:H154)</f>
        <v>0.36552625035693437</v>
      </c>
      <c r="I161" s="2">
        <f t="shared" ref="I161:P161" si="102">_xlfn.STDEV.S(I148:I154)</f>
        <v>0.89149341107518953</v>
      </c>
      <c r="J161" s="2">
        <f t="shared" si="102"/>
        <v>2.0536542616922761E-2</v>
      </c>
      <c r="K161" s="2">
        <f t="shared" si="102"/>
        <v>2.0536542616922761E-2</v>
      </c>
      <c r="L161" s="2">
        <f t="shared" si="102"/>
        <v>1.3174439319565715E-2</v>
      </c>
      <c r="M161" s="2">
        <f t="shared" si="102"/>
        <v>5.1608443251234728E-3</v>
      </c>
      <c r="N161" s="2">
        <f t="shared" si="102"/>
        <v>1.095550132090636</v>
      </c>
      <c r="O161" s="2">
        <f t="shared" si="102"/>
        <v>2.2253945610567469</v>
      </c>
      <c r="P161" s="2">
        <f t="shared" si="102"/>
        <v>0.18538303580533139</v>
      </c>
    </row>
    <row r="162" spans="3:16" x14ac:dyDescent="0.35">
      <c r="C162" s="155"/>
      <c r="G162" s="49" t="s">
        <v>95</v>
      </c>
      <c r="H162" s="2">
        <f>H161/(SQRT(7))</f>
        <v>0.13815593658719755</v>
      </c>
      <c r="I162" s="2">
        <f t="shared" ref="I162:P162" si="103">I161/(SQRT(7))</f>
        <v>0.33695283730823239</v>
      </c>
      <c r="J162" s="2">
        <f t="shared" si="103"/>
        <v>7.7620835076367472E-3</v>
      </c>
      <c r="K162" s="2">
        <f t="shared" si="103"/>
        <v>7.7620835076367472E-3</v>
      </c>
      <c r="L162" s="2">
        <f t="shared" si="103"/>
        <v>4.9794700146116979E-3</v>
      </c>
      <c r="M162" s="2">
        <f t="shared" si="103"/>
        <v>1.9506158056279543E-3</v>
      </c>
      <c r="N162" s="2">
        <f t="shared" si="103"/>
        <v>0.41407902833082649</v>
      </c>
      <c r="O162" s="2">
        <f t="shared" si="103"/>
        <v>0.84112008250741388</v>
      </c>
      <c r="P162" s="2">
        <f t="shared" si="103"/>
        <v>7.0068201433012775E-2</v>
      </c>
    </row>
    <row r="163" spans="3:16" x14ac:dyDescent="0.35">
      <c r="C163" s="250"/>
      <c r="G163" s="49"/>
      <c r="H163" s="2"/>
      <c r="I163" s="2"/>
      <c r="J163" s="2"/>
      <c r="K163" s="2"/>
      <c r="L163" s="2"/>
      <c r="M163" s="2"/>
      <c r="N163" s="2"/>
      <c r="O163" s="2"/>
      <c r="P163" s="2"/>
    </row>
    <row r="164" spans="3:16" x14ac:dyDescent="0.35">
      <c r="C164" s="250"/>
      <c r="G164" s="49"/>
      <c r="H164" s="2"/>
      <c r="I164" s="2"/>
      <c r="J164" s="2"/>
      <c r="K164" s="2"/>
      <c r="L164" s="2"/>
      <c r="M164" s="2"/>
      <c r="N164" s="2"/>
      <c r="O164" s="2"/>
      <c r="P164" s="2"/>
    </row>
    <row r="165" spans="3:16" ht="16" thickBot="1" x14ac:dyDescent="0.4">
      <c r="C165" s="250"/>
      <c r="E165" s="104" t="s">
        <v>81</v>
      </c>
      <c r="G165" s="13"/>
      <c r="H165" s="9" t="s">
        <v>3</v>
      </c>
      <c r="I165" s="9" t="s">
        <v>4</v>
      </c>
      <c r="J165" s="9" t="s">
        <v>5</v>
      </c>
      <c r="K165" s="9" t="s">
        <v>6</v>
      </c>
      <c r="L165" s="9" t="s">
        <v>7</v>
      </c>
      <c r="M165" s="9" t="s">
        <v>8</v>
      </c>
      <c r="N165" s="9" t="s">
        <v>9</v>
      </c>
      <c r="O165" s="9" t="s">
        <v>10</v>
      </c>
      <c r="P165" s="44" t="s">
        <v>139</v>
      </c>
    </row>
    <row r="166" spans="3:16" x14ac:dyDescent="0.35">
      <c r="C166" s="250"/>
      <c r="G166" s="49" t="s">
        <v>77</v>
      </c>
      <c r="H166" s="2">
        <f>AVERAGE(H149,H151:H153)</f>
        <v>5.4455</v>
      </c>
      <c r="I166" s="2">
        <f t="shared" ref="I166:P166" si="104">AVERAGE(I149,I151:I153)</f>
        <v>10.138434999999999</v>
      </c>
      <c r="J166" s="2">
        <f t="shared" si="104"/>
        <v>0.34950182648028039</v>
      </c>
      <c r="K166" s="2">
        <f t="shared" si="104"/>
        <v>0.65049817351971961</v>
      </c>
      <c r="L166" s="2">
        <f t="shared" si="104"/>
        <v>0.18419069533165719</v>
      </c>
      <c r="M166" s="2">
        <f t="shared" si="104"/>
        <v>6.4219766283956425E-2</v>
      </c>
      <c r="N166" s="2">
        <f t="shared" si="104"/>
        <v>15.583935</v>
      </c>
      <c r="O166" s="2">
        <f t="shared" si="104"/>
        <v>33.75</v>
      </c>
      <c r="P166" s="2">
        <f t="shared" si="104"/>
        <v>6.202457878003842</v>
      </c>
    </row>
    <row r="167" spans="3:16" x14ac:dyDescent="0.35">
      <c r="C167" s="250"/>
      <c r="G167" s="49" t="s">
        <v>94</v>
      </c>
      <c r="H167" s="2">
        <f>_xlfn.STDEV.S(H149,H151:H153)</f>
        <v>0.33603898355200912</v>
      </c>
      <c r="I167" s="2">
        <f t="shared" ref="I167:P167" si="105">_xlfn.STDEV.S(I149,I151:I153)</f>
        <v>0.48341850057688029</v>
      </c>
      <c r="J167" s="2">
        <f t="shared" si="105"/>
        <v>2.0434353089159571E-2</v>
      </c>
      <c r="K167" s="2">
        <f t="shared" si="105"/>
        <v>2.0434353089159592E-2</v>
      </c>
      <c r="L167" s="2">
        <f t="shared" si="105"/>
        <v>1.1950144989268576E-2</v>
      </c>
      <c r="M167" s="2">
        <f t="shared" si="105"/>
        <v>2.0943830381736847E-3</v>
      </c>
      <c r="N167" s="2">
        <f t="shared" si="105"/>
        <v>0.50719577972087826</v>
      </c>
      <c r="O167" s="2">
        <f t="shared" si="105"/>
        <v>2.0615528128088303</v>
      </c>
      <c r="P167" s="2">
        <f t="shared" si="105"/>
        <v>0.26028578789392776</v>
      </c>
    </row>
    <row r="168" spans="3:16" x14ac:dyDescent="0.35">
      <c r="C168" s="250"/>
      <c r="G168" s="49" t="s">
        <v>95</v>
      </c>
      <c r="H168" s="2">
        <f>H167/SQRT(4)</f>
        <v>0.16801949177600456</v>
      </c>
      <c r="I168" s="2">
        <f t="shared" ref="I168:P168" si="106">I167/SQRT(4)</f>
        <v>0.24170925028844015</v>
      </c>
      <c r="J168" s="2">
        <f t="shared" si="106"/>
        <v>1.0217176544579785E-2</v>
      </c>
      <c r="K168" s="2">
        <f t="shared" si="106"/>
        <v>1.0217176544579796E-2</v>
      </c>
      <c r="L168" s="2">
        <f t="shared" si="106"/>
        <v>5.9750724946342881E-3</v>
      </c>
      <c r="M168" s="2">
        <f t="shared" si="106"/>
        <v>1.0471915190868424E-3</v>
      </c>
      <c r="N168" s="2">
        <f t="shared" si="106"/>
        <v>0.25359788986043913</v>
      </c>
      <c r="O168" s="2">
        <f t="shared" si="106"/>
        <v>1.0307764064044151</v>
      </c>
      <c r="P168" s="2">
        <f t="shared" si="106"/>
        <v>0.13014289394696388</v>
      </c>
    </row>
    <row r="169" spans="3:16" x14ac:dyDescent="0.35">
      <c r="C169" s="250"/>
      <c r="H169" s="2"/>
      <c r="I169" s="2"/>
      <c r="J169" s="2"/>
      <c r="K169" s="2"/>
      <c r="L169" s="2"/>
      <c r="M169" s="2"/>
      <c r="N169" s="2"/>
    </row>
    <row r="170" spans="3:16" x14ac:dyDescent="0.35">
      <c r="C170" s="250"/>
      <c r="H170" s="2"/>
      <c r="I170" s="2"/>
      <c r="J170" s="2"/>
      <c r="K170" s="2"/>
      <c r="L170" s="2"/>
      <c r="M170" s="2"/>
      <c r="N170" s="2"/>
    </row>
    <row r="171" spans="3:16" ht="16" thickBot="1" x14ac:dyDescent="0.4">
      <c r="C171" s="250"/>
      <c r="E171" s="104" t="s">
        <v>82</v>
      </c>
      <c r="G171" s="13"/>
      <c r="H171" s="9" t="s">
        <v>3</v>
      </c>
      <c r="I171" s="9" t="s">
        <v>4</v>
      </c>
      <c r="J171" s="9" t="s">
        <v>5</v>
      </c>
      <c r="K171" s="9" t="s">
        <v>6</v>
      </c>
      <c r="L171" s="9" t="s">
        <v>7</v>
      </c>
      <c r="M171" s="9" t="s">
        <v>8</v>
      </c>
      <c r="N171" s="9" t="s">
        <v>9</v>
      </c>
      <c r="O171" s="9" t="s">
        <v>10</v>
      </c>
      <c r="P171" s="44" t="s">
        <v>139</v>
      </c>
    </row>
    <row r="172" spans="3:16" x14ac:dyDescent="0.35">
      <c r="C172" s="250"/>
      <c r="G172" s="49" t="s">
        <v>77</v>
      </c>
      <c r="H172" s="2">
        <f>AVERAGE(H148,H150,H154)</f>
        <v>4.9341966666666668</v>
      </c>
      <c r="I172" s="2">
        <f t="shared" ref="I172:P172" si="107">AVERAGE(I148,I150,I154)</f>
        <v>9.0762600000000013</v>
      </c>
      <c r="J172" s="2">
        <f t="shared" si="107"/>
        <v>0.35338334360468843</v>
      </c>
      <c r="K172" s="2">
        <f t="shared" si="107"/>
        <v>0.64661665639531163</v>
      </c>
      <c r="L172" s="2">
        <f t="shared" si="107"/>
        <v>0.20270833671560592</v>
      </c>
      <c r="M172" s="2">
        <f t="shared" si="107"/>
        <v>7.1630122302273114E-2</v>
      </c>
      <c r="N172" s="2">
        <f t="shared" si="107"/>
        <v>14.010456666666668</v>
      </c>
      <c r="O172" s="2">
        <f t="shared" si="107"/>
        <v>30.666666666666668</v>
      </c>
      <c r="P172" s="2">
        <f t="shared" si="107"/>
        <v>6.2150894799714012</v>
      </c>
    </row>
    <row r="173" spans="3:16" x14ac:dyDescent="0.35">
      <c r="C173" s="250"/>
      <c r="G173" s="49" t="s">
        <v>94</v>
      </c>
      <c r="H173" s="2">
        <f>_xlfn.STDEV.S(H148,H150,H154)</f>
        <v>8.5797567176074618E-2</v>
      </c>
      <c r="I173" s="2">
        <f t="shared" ref="I173:P173" si="108">_xlfn.STDEV.S(I148,I150,I154)</f>
        <v>1.0328113482625985</v>
      </c>
      <c r="J173" s="2">
        <f t="shared" si="108"/>
        <v>2.5019806239563971E-2</v>
      </c>
      <c r="K173" s="2">
        <f t="shared" si="108"/>
        <v>2.5019806239563951E-2</v>
      </c>
      <c r="L173" s="2">
        <f t="shared" si="108"/>
        <v>3.5456611162384558E-3</v>
      </c>
      <c r="M173" s="2">
        <f t="shared" si="108"/>
        <v>5.1239314696674186E-3</v>
      </c>
      <c r="N173" s="2">
        <f t="shared" si="108"/>
        <v>1.0453111750255686</v>
      </c>
      <c r="O173" s="2">
        <f t="shared" si="108"/>
        <v>0.57735026918962584</v>
      </c>
      <c r="P173" s="2">
        <f t="shared" si="108"/>
        <v>3.6617063854762842E-2</v>
      </c>
    </row>
    <row r="174" spans="3:16" x14ac:dyDescent="0.35">
      <c r="C174" s="250"/>
      <c r="G174" s="49" t="s">
        <v>95</v>
      </c>
      <c r="H174" s="2">
        <f>H173/SQRT(3)</f>
        <v>4.9535248504921685E-2</v>
      </c>
      <c r="I174" s="2">
        <f t="shared" ref="I174:P174" si="109">I173/SQRT(3)</f>
        <v>0.59629390994151155</v>
      </c>
      <c r="J174" s="2">
        <f t="shared" si="109"/>
        <v>1.4445191867484539E-2</v>
      </c>
      <c r="K174" s="2">
        <f t="shared" si="109"/>
        <v>1.4445191867484527E-2</v>
      </c>
      <c r="L174" s="2">
        <f t="shared" si="109"/>
        <v>2.0470883999154617E-3</v>
      </c>
      <c r="M174" s="2">
        <f t="shared" si="109"/>
        <v>2.9583032133216791E-3</v>
      </c>
      <c r="N174" s="2">
        <f t="shared" si="109"/>
        <v>0.60351068828793608</v>
      </c>
      <c r="O174" s="2">
        <f t="shared" si="109"/>
        <v>0.33333333333333337</v>
      </c>
      <c r="P174" s="2">
        <f t="shared" si="109"/>
        <v>2.1140871673481044E-2</v>
      </c>
    </row>
    <row r="175" spans="3:16" x14ac:dyDescent="0.35">
      <c r="C175" s="250"/>
      <c r="G175" s="49"/>
      <c r="H175" s="2"/>
      <c r="I175" s="2"/>
      <c r="J175" s="2"/>
      <c r="K175" s="2"/>
      <c r="L175" s="2"/>
      <c r="M175" s="2"/>
      <c r="N175" s="2"/>
      <c r="O175" s="2"/>
      <c r="P175" s="2"/>
    </row>
    <row r="176" spans="3:16" x14ac:dyDescent="0.35">
      <c r="C176" s="250"/>
      <c r="G176" s="49"/>
      <c r="H176" s="2"/>
      <c r="I176" s="2"/>
      <c r="J176" s="2"/>
      <c r="K176" s="2"/>
      <c r="L176" s="2"/>
      <c r="M176" s="2"/>
      <c r="N176" s="2"/>
      <c r="O176" s="2"/>
      <c r="P176" s="2"/>
    </row>
    <row r="177" spans="3:18" x14ac:dyDescent="0.35">
      <c r="C177" s="250"/>
      <c r="G177" s="49"/>
      <c r="H177" s="2"/>
      <c r="I177" s="2"/>
      <c r="J177" s="2"/>
      <c r="K177" s="2"/>
      <c r="L177" s="2"/>
      <c r="M177" s="2"/>
      <c r="N177" s="2"/>
      <c r="O177" s="2"/>
      <c r="P177" s="2"/>
    </row>
    <row r="178" spans="3:18" x14ac:dyDescent="0.35">
      <c r="C178" s="155"/>
      <c r="G178" s="49"/>
      <c r="H178" s="2"/>
      <c r="I178" s="2"/>
      <c r="J178" s="2"/>
      <c r="K178" s="2"/>
      <c r="L178" s="2"/>
      <c r="M178" s="2"/>
      <c r="N178" s="2"/>
      <c r="O178" s="2"/>
      <c r="P178" s="2"/>
    </row>
    <row r="179" spans="3:18" ht="24" thickBot="1" x14ac:dyDescent="0.6">
      <c r="C179" s="155" t="s">
        <v>216</v>
      </c>
      <c r="D179" s="204" t="s">
        <v>122</v>
      </c>
      <c r="F179" s="9" t="s">
        <v>1</v>
      </c>
      <c r="G179" s="9" t="s">
        <v>2</v>
      </c>
      <c r="H179" s="9" t="s">
        <v>3</v>
      </c>
      <c r="I179" s="9" t="s">
        <v>4</v>
      </c>
      <c r="J179" s="9" t="s">
        <v>5</v>
      </c>
      <c r="K179" s="9" t="s">
        <v>6</v>
      </c>
      <c r="L179" s="9" t="s">
        <v>7</v>
      </c>
      <c r="M179" s="9" t="s">
        <v>8</v>
      </c>
      <c r="N179" s="9" t="s">
        <v>9</v>
      </c>
      <c r="O179" s="9" t="s">
        <v>10</v>
      </c>
      <c r="P179" s="44" t="s">
        <v>139</v>
      </c>
    </row>
    <row r="180" spans="3:18" x14ac:dyDescent="0.35">
      <c r="C180" s="155">
        <v>0</v>
      </c>
      <c r="D180" s="336" t="s">
        <v>699</v>
      </c>
      <c r="F180">
        <v>125.66656</v>
      </c>
      <c r="G180">
        <v>130.45908</v>
      </c>
      <c r="H180" s="2">
        <f>G180-F180</f>
        <v>4.7925199999999961</v>
      </c>
      <c r="I180" s="2">
        <f>F181-G180</f>
        <v>10.484960000000001</v>
      </c>
      <c r="J180" s="2">
        <f>H180/N180</f>
        <v>0.31369833244749767</v>
      </c>
      <c r="K180" s="2">
        <f>I180/N180</f>
        <v>0.68630166755250233</v>
      </c>
      <c r="L180" s="2">
        <f>1/H180</f>
        <v>0.20865849281797486</v>
      </c>
      <c r="M180" s="2">
        <f>1/N180</f>
        <v>6.5455821248006876E-2</v>
      </c>
      <c r="N180" s="2">
        <f>H180+I180</f>
        <v>15.277479999999997</v>
      </c>
      <c r="O180" s="2">
        <v>31</v>
      </c>
      <c r="P180" s="2">
        <f>O180/H180</f>
        <v>6.4684132773572198</v>
      </c>
      <c r="R180" t="s">
        <v>339</v>
      </c>
    </row>
    <row r="181" spans="3:18" x14ac:dyDescent="0.35">
      <c r="C181" s="155">
        <v>0</v>
      </c>
      <c r="D181" s="339"/>
      <c r="F181">
        <v>140.94404</v>
      </c>
      <c r="G181">
        <v>146.48992000000001</v>
      </c>
      <c r="H181" s="2">
        <f t="shared" ref="H181:H187" si="110">G181-F181</f>
        <v>5.545880000000011</v>
      </c>
      <c r="I181" s="2">
        <f t="shared" ref="I181:I186" si="111">F182-G181</f>
        <v>10.469719999999995</v>
      </c>
      <c r="J181" s="2">
        <f t="shared" ref="J181:J186" si="112">H181/N181</f>
        <v>0.34627987711980873</v>
      </c>
      <c r="K181" s="2">
        <f t="shared" ref="K181:K186" si="113">I181/N181</f>
        <v>0.65372012288019121</v>
      </c>
      <c r="L181" s="2">
        <f t="shared" ref="L181:L186" si="114">1/H181</f>
        <v>0.18031403492322193</v>
      </c>
      <c r="M181" s="2">
        <f t="shared" ref="M181:M186" si="115">1/N181</f>
        <v>6.2439121856190188E-2</v>
      </c>
      <c r="N181" s="2">
        <f t="shared" ref="N181:N186" si="116">H181+I181</f>
        <v>16.015600000000006</v>
      </c>
      <c r="O181" s="2">
        <v>31</v>
      </c>
      <c r="P181" s="2">
        <f t="shared" ref="P181:P186" si="117">O181/H181</f>
        <v>5.5897350826198799</v>
      </c>
    </row>
    <row r="182" spans="3:18" x14ac:dyDescent="0.35">
      <c r="C182" s="155">
        <v>0</v>
      </c>
      <c r="D182" s="339"/>
      <c r="E182" s="104"/>
      <c r="F182">
        <v>156.95964000000001</v>
      </c>
      <c r="G182">
        <v>161.61328</v>
      </c>
      <c r="H182" s="2">
        <f t="shared" si="110"/>
        <v>4.6536399999999958</v>
      </c>
      <c r="I182" s="2">
        <f t="shared" si="111"/>
        <v>10.506720000000001</v>
      </c>
      <c r="J182" s="2">
        <f t="shared" si="112"/>
        <v>0.30696104841837507</v>
      </c>
      <c r="K182" s="2">
        <f t="shared" si="113"/>
        <v>0.69303895158162498</v>
      </c>
      <c r="L182" s="2">
        <f t="shared" si="114"/>
        <v>0.21488555195502895</v>
      </c>
      <c r="M182" s="2">
        <f t="shared" si="115"/>
        <v>6.5961494318076894E-2</v>
      </c>
      <c r="N182" s="2">
        <f t="shared" si="116"/>
        <v>15.160359999999997</v>
      </c>
      <c r="O182" s="2">
        <v>31</v>
      </c>
      <c r="P182" s="2">
        <f t="shared" si="117"/>
        <v>6.6614521106058975</v>
      </c>
    </row>
    <row r="183" spans="3:18" x14ac:dyDescent="0.35">
      <c r="C183" s="155">
        <v>0</v>
      </c>
      <c r="F183">
        <v>172.12</v>
      </c>
      <c r="G183">
        <v>177.50979000000001</v>
      </c>
      <c r="H183" s="2">
        <f t="shared" si="110"/>
        <v>5.389790000000005</v>
      </c>
      <c r="I183" s="2">
        <f t="shared" si="111"/>
        <v>8.9816399999999987</v>
      </c>
      <c r="J183" s="2">
        <f t="shared" si="112"/>
        <v>0.37503505218339467</v>
      </c>
      <c r="K183" s="2">
        <f t="shared" si="113"/>
        <v>0.62496494781660539</v>
      </c>
      <c r="L183" s="2">
        <f t="shared" si="114"/>
        <v>0.18553598563209311</v>
      </c>
      <c r="M183" s="2">
        <f t="shared" si="115"/>
        <v>6.9582498053429601E-2</v>
      </c>
      <c r="N183" s="2">
        <f t="shared" si="116"/>
        <v>14.371430000000004</v>
      </c>
      <c r="O183" s="2">
        <v>36</v>
      </c>
      <c r="P183" s="2">
        <f t="shared" si="117"/>
        <v>6.6792954827553519</v>
      </c>
    </row>
    <row r="184" spans="3:18" x14ac:dyDescent="0.35">
      <c r="C184" s="155">
        <v>0</v>
      </c>
      <c r="F184">
        <v>186.49143000000001</v>
      </c>
      <c r="G184">
        <v>192.22828999999999</v>
      </c>
      <c r="H184" s="2">
        <f t="shared" si="110"/>
        <v>5.7368599999999788</v>
      </c>
      <c r="I184" s="2">
        <f t="shared" si="111"/>
        <v>8.5325300000000084</v>
      </c>
      <c r="J184" s="2">
        <f t="shared" si="112"/>
        <v>0.40203961066310362</v>
      </c>
      <c r="K184" s="2">
        <f t="shared" si="113"/>
        <v>0.59796038933689644</v>
      </c>
      <c r="L184" s="2">
        <f t="shared" si="114"/>
        <v>0.1743113828819256</v>
      </c>
      <c r="M184" s="2">
        <f t="shared" si="115"/>
        <v>7.0080080507996551E-2</v>
      </c>
      <c r="N184" s="2">
        <f t="shared" si="116"/>
        <v>14.269389999999987</v>
      </c>
      <c r="O184">
        <v>35</v>
      </c>
      <c r="P184" s="2">
        <f t="shared" si="117"/>
        <v>6.1008984008673961</v>
      </c>
    </row>
    <row r="185" spans="3:18" x14ac:dyDescent="0.35">
      <c r="C185" s="155">
        <v>0</v>
      </c>
      <c r="F185">
        <v>200.76082</v>
      </c>
      <c r="G185">
        <v>206.5866</v>
      </c>
      <c r="H185" s="2">
        <f t="shared" si="110"/>
        <v>5.8257800000000088</v>
      </c>
      <c r="I185" s="2">
        <f t="shared" si="111"/>
        <v>8.4039300000000026</v>
      </c>
      <c r="J185" s="2">
        <f t="shared" si="112"/>
        <v>0.40940960848815638</v>
      </c>
      <c r="K185" s="2">
        <f t="shared" si="113"/>
        <v>0.59059039151184356</v>
      </c>
      <c r="L185" s="2">
        <f t="shared" si="114"/>
        <v>0.17165083473800907</v>
      </c>
      <c r="M185" s="2">
        <f t="shared" si="115"/>
        <v>7.0275501046753536E-2</v>
      </c>
      <c r="N185" s="2">
        <f t="shared" si="116"/>
        <v>14.229710000000011</v>
      </c>
      <c r="O185">
        <v>36</v>
      </c>
      <c r="P185" s="2">
        <f t="shared" si="117"/>
        <v>6.1794300505683264</v>
      </c>
    </row>
    <row r="186" spans="3:18" x14ac:dyDescent="0.35">
      <c r="C186" s="155">
        <v>0</v>
      </c>
      <c r="E186" s="104"/>
      <c r="F186">
        <v>214.99053000000001</v>
      </c>
      <c r="G186">
        <v>219.86281</v>
      </c>
      <c r="H186" s="2">
        <f t="shared" si="110"/>
        <v>4.8722799999999893</v>
      </c>
      <c r="I186" s="2">
        <f t="shared" si="111"/>
        <v>10.251980000000003</v>
      </c>
      <c r="J186" s="2">
        <f t="shared" si="112"/>
        <v>0.32214997626330094</v>
      </c>
      <c r="K186" s="2">
        <f t="shared" si="113"/>
        <v>0.67785002373669911</v>
      </c>
      <c r="L186" s="2">
        <f t="shared" si="114"/>
        <v>0.20524272004072061</v>
      </c>
      <c r="M186" s="2">
        <f t="shared" si="115"/>
        <v>6.6118937389333457E-2</v>
      </c>
      <c r="N186" s="2">
        <f t="shared" si="116"/>
        <v>15.124259999999992</v>
      </c>
      <c r="O186">
        <v>31</v>
      </c>
      <c r="P186" s="2">
        <f t="shared" si="117"/>
        <v>6.362524321262339</v>
      </c>
    </row>
    <row r="187" spans="3:18" x14ac:dyDescent="0.35">
      <c r="C187" s="155">
        <v>0</v>
      </c>
      <c r="F187">
        <v>230.11479</v>
      </c>
      <c r="G187">
        <v>235.00011000000001</v>
      </c>
      <c r="H187" s="2">
        <f t="shared" si="110"/>
        <v>4.8853200000000072</v>
      </c>
      <c r="I187" s="2"/>
      <c r="J187" s="2"/>
      <c r="K187" s="2"/>
      <c r="L187" s="2"/>
      <c r="M187" s="2"/>
      <c r="N187" s="2"/>
      <c r="O187">
        <v>31</v>
      </c>
      <c r="P187" s="2"/>
    </row>
    <row r="188" spans="3:18" x14ac:dyDescent="0.35">
      <c r="C188" s="155"/>
    </row>
    <row r="189" spans="3:18" x14ac:dyDescent="0.35">
      <c r="C189" s="155"/>
    </row>
    <row r="190" spans="3:18" ht="16" thickBot="1" x14ac:dyDescent="0.4">
      <c r="C190" s="155"/>
      <c r="G190" s="13"/>
      <c r="H190" s="9" t="s">
        <v>3</v>
      </c>
      <c r="I190" s="9" t="s">
        <v>4</v>
      </c>
      <c r="J190" s="9" t="s">
        <v>5</v>
      </c>
      <c r="K190" s="9" t="s">
        <v>6</v>
      </c>
      <c r="L190" s="9" t="s">
        <v>7</v>
      </c>
      <c r="M190" s="9" t="s">
        <v>8</v>
      </c>
      <c r="N190" s="9" t="s">
        <v>9</v>
      </c>
      <c r="O190" s="9" t="s">
        <v>10</v>
      </c>
      <c r="P190" s="44" t="s">
        <v>139</v>
      </c>
    </row>
    <row r="191" spans="3:18" x14ac:dyDescent="0.35">
      <c r="C191" s="155"/>
      <c r="G191" s="49" t="s">
        <v>77</v>
      </c>
      <c r="H191" s="13">
        <f>AVERAGE(H180:H186)</f>
        <v>5.259535714285712</v>
      </c>
      <c r="I191" s="13">
        <f t="shared" ref="I191:P191" si="118">AVERAGE(I180:I186)</f>
        <v>9.661640000000002</v>
      </c>
      <c r="J191" s="13">
        <f t="shared" si="118"/>
        <v>0.35365335794051955</v>
      </c>
      <c r="K191" s="13">
        <f t="shared" si="118"/>
        <v>0.64634664205948056</v>
      </c>
      <c r="L191" s="13">
        <f t="shared" si="118"/>
        <v>0.19151414328413915</v>
      </c>
      <c r="M191" s="13">
        <f t="shared" si="118"/>
        <v>6.7130493488541013E-2</v>
      </c>
      <c r="N191" s="13">
        <f t="shared" si="118"/>
        <v>14.921175714285713</v>
      </c>
      <c r="O191" s="13">
        <f t="shared" si="118"/>
        <v>33</v>
      </c>
      <c r="P191" s="13">
        <f t="shared" si="118"/>
        <v>6.2916783894337724</v>
      </c>
    </row>
    <row r="192" spans="3:18" x14ac:dyDescent="0.35">
      <c r="C192" s="155"/>
      <c r="G192" s="49" t="s">
        <v>94</v>
      </c>
      <c r="H192" s="2">
        <f>_xlfn.STDEV.S(H180:H186)</f>
        <v>0.48003655693628217</v>
      </c>
      <c r="I192" s="2">
        <f t="shared" ref="I192:P192" si="119">_xlfn.STDEV.S(I180:I186)</f>
        <v>0.97575906068045093</v>
      </c>
      <c r="J192" s="2">
        <f t="shared" si="119"/>
        <v>4.2289819270390917E-2</v>
      </c>
      <c r="K192" s="2">
        <f t="shared" si="119"/>
        <v>4.2289819270391202E-2</v>
      </c>
      <c r="L192" s="2">
        <f t="shared" si="119"/>
        <v>1.770259901834172E-2</v>
      </c>
      <c r="M192" s="2">
        <f t="shared" si="119"/>
        <v>2.9384452300839992E-3</v>
      </c>
      <c r="N192" s="2">
        <f t="shared" si="119"/>
        <v>0.66185842048122767</v>
      </c>
      <c r="O192" s="2">
        <f t="shared" si="119"/>
        <v>2.5166114784235831</v>
      </c>
      <c r="P192" s="2">
        <f t="shared" si="119"/>
        <v>0.37968299983161019</v>
      </c>
    </row>
    <row r="193" spans="3:18" x14ac:dyDescent="0.35">
      <c r="C193" s="155"/>
      <c r="G193" s="49" t="s">
        <v>95</v>
      </c>
      <c r="H193" s="2">
        <f>H192/(SQRT(7))</f>
        <v>0.18143676426758579</v>
      </c>
      <c r="I193" s="2">
        <f t="shared" ref="I193:P193" si="120">I192/(SQRT(7))</f>
        <v>0.36880225915406517</v>
      </c>
      <c r="J193" s="2">
        <f t="shared" si="120"/>
        <v>1.5984049254188764E-2</v>
      </c>
      <c r="K193" s="2">
        <f t="shared" si="120"/>
        <v>1.5984049254188872E-2</v>
      </c>
      <c r="L193" s="2">
        <f t="shared" si="120"/>
        <v>6.6909535088611914E-3</v>
      </c>
      <c r="M193" s="2">
        <f t="shared" si="120"/>
        <v>1.1106279028551761E-3</v>
      </c>
      <c r="N193" s="2">
        <f t="shared" si="120"/>
        <v>0.25015896910390673</v>
      </c>
      <c r="O193" s="2">
        <f t="shared" si="120"/>
        <v>0.95118973121134176</v>
      </c>
      <c r="P193" s="2">
        <f t="shared" si="120"/>
        <v>0.14350668494191704</v>
      </c>
    </row>
    <row r="194" spans="3:18" x14ac:dyDescent="0.35">
      <c r="C194" s="155"/>
      <c r="G194" s="49"/>
      <c r="H194" s="2"/>
      <c r="I194" s="2"/>
      <c r="J194" s="2"/>
      <c r="K194" s="2"/>
      <c r="L194" s="2"/>
      <c r="M194" s="2"/>
      <c r="N194" s="2"/>
      <c r="O194" s="2"/>
      <c r="P194" s="2"/>
    </row>
    <row r="195" spans="3:18" x14ac:dyDescent="0.35">
      <c r="C195" s="155"/>
      <c r="G195" s="13"/>
      <c r="H195" s="2"/>
      <c r="I195" s="2"/>
      <c r="J195" s="2"/>
      <c r="K195" s="2"/>
      <c r="L195" s="2"/>
      <c r="M195" s="2"/>
      <c r="N195" s="2"/>
      <c r="O195" s="2"/>
    </row>
    <row r="196" spans="3:18" ht="24" thickBot="1" x14ac:dyDescent="0.6">
      <c r="C196" s="248" t="s">
        <v>216</v>
      </c>
      <c r="D196" s="204" t="s">
        <v>122</v>
      </c>
      <c r="F196" s="9" t="s">
        <v>1</v>
      </c>
      <c r="G196" s="9" t="s">
        <v>2</v>
      </c>
      <c r="H196" s="9" t="s">
        <v>3</v>
      </c>
      <c r="I196" s="9" t="s">
        <v>4</v>
      </c>
      <c r="J196" s="9" t="s">
        <v>5</v>
      </c>
      <c r="K196" s="9" t="s">
        <v>6</v>
      </c>
      <c r="L196" s="9" t="s">
        <v>7</v>
      </c>
      <c r="M196" s="9" t="s">
        <v>8</v>
      </c>
      <c r="N196" s="9" t="s">
        <v>9</v>
      </c>
      <c r="O196" s="9" t="s">
        <v>10</v>
      </c>
      <c r="P196" s="44" t="s">
        <v>139</v>
      </c>
    </row>
    <row r="197" spans="3:18" x14ac:dyDescent="0.35">
      <c r="C197" s="155">
        <v>6</v>
      </c>
      <c r="D197" s="336" t="s">
        <v>699</v>
      </c>
      <c r="F197">
        <v>4.8804100000000004</v>
      </c>
      <c r="G197">
        <v>9.9257799999999996</v>
      </c>
      <c r="H197" s="2">
        <f>G197-F197</f>
        <v>5.0453699999999992</v>
      </c>
      <c r="I197" s="2">
        <f>F198-G197</f>
        <v>10.286049999999999</v>
      </c>
      <c r="J197" s="2">
        <f>H197/N197</f>
        <v>0.32908693389131599</v>
      </c>
      <c r="K197" s="2">
        <f>I197/N197</f>
        <v>0.67091306610868406</v>
      </c>
      <c r="L197" s="2">
        <f>1/H197</f>
        <v>0.19820151941284786</v>
      </c>
      <c r="M197" s="2">
        <f>1/N197</f>
        <v>6.5225530316174243E-2</v>
      </c>
      <c r="N197" s="2">
        <f>H197+I197</f>
        <v>15.331419999999998</v>
      </c>
      <c r="O197">
        <v>35</v>
      </c>
      <c r="P197" s="2">
        <f>O197/H197</f>
        <v>6.9370531794496744</v>
      </c>
      <c r="R197" t="s">
        <v>340</v>
      </c>
    </row>
    <row r="198" spans="3:18" x14ac:dyDescent="0.35">
      <c r="C198" s="155">
        <v>6</v>
      </c>
      <c r="D198" s="339"/>
      <c r="E198" s="104"/>
      <c r="F198">
        <v>20.211829999999999</v>
      </c>
      <c r="G198">
        <v>25.080939999999998</v>
      </c>
      <c r="H198" s="2">
        <f t="shared" ref="H198:H204" si="121">G198-F198</f>
        <v>4.8691099999999992</v>
      </c>
      <c r="I198" s="2">
        <f t="shared" ref="I198:I203" si="122">F199-G198</f>
        <v>8.5476700000000037</v>
      </c>
      <c r="J198" s="2">
        <f t="shared" ref="J198:J203" si="123">H198/N198</f>
        <v>0.36291196546414251</v>
      </c>
      <c r="K198" s="2">
        <f t="shared" ref="K198:K203" si="124">I198/N198</f>
        <v>0.63708803453585749</v>
      </c>
      <c r="L198" s="2">
        <f t="shared" ref="L198:L203" si="125">1/H198</f>
        <v>0.20537634187767378</v>
      </c>
      <c r="M198" s="2">
        <f t="shared" ref="M198:M203" si="126">1/N198</f>
        <v>7.453353189066228E-2</v>
      </c>
      <c r="N198" s="2">
        <f t="shared" ref="N198:N203" si="127">H198+I198</f>
        <v>13.416780000000003</v>
      </c>
      <c r="O198">
        <v>32</v>
      </c>
      <c r="P198" s="2">
        <f t="shared" ref="P198:P203" si="128">O198/H198</f>
        <v>6.5720429400855611</v>
      </c>
    </row>
    <row r="199" spans="3:18" x14ac:dyDescent="0.35">
      <c r="C199" s="155">
        <v>6</v>
      </c>
      <c r="D199" s="339"/>
      <c r="F199">
        <v>33.628610000000002</v>
      </c>
      <c r="G199">
        <v>39.256860000000003</v>
      </c>
      <c r="H199" s="2">
        <f t="shared" si="121"/>
        <v>5.6282500000000013</v>
      </c>
      <c r="I199" s="2">
        <f t="shared" si="122"/>
        <v>7.8653399999999962</v>
      </c>
      <c r="J199" s="2">
        <f t="shared" si="123"/>
        <v>0.41710545525690362</v>
      </c>
      <c r="K199" s="2">
        <f t="shared" si="124"/>
        <v>0.58289454474309632</v>
      </c>
      <c r="L199" s="2">
        <f t="shared" si="125"/>
        <v>0.17767512104117617</v>
      </c>
      <c r="M199" s="2">
        <f t="shared" si="126"/>
        <v>7.4109262249705238E-2</v>
      </c>
      <c r="N199" s="2">
        <f t="shared" si="127"/>
        <v>13.493589999999998</v>
      </c>
      <c r="O199">
        <v>36</v>
      </c>
      <c r="P199" s="2">
        <f t="shared" si="128"/>
        <v>6.3963043574823422</v>
      </c>
    </row>
    <row r="200" spans="3:18" x14ac:dyDescent="0.35">
      <c r="C200" s="155">
        <v>6</v>
      </c>
      <c r="F200">
        <v>47.122199999999999</v>
      </c>
      <c r="G200">
        <v>52.033850000000001</v>
      </c>
      <c r="H200" s="2">
        <f t="shared" si="121"/>
        <v>4.9116500000000016</v>
      </c>
      <c r="I200" s="2">
        <f t="shared" si="122"/>
        <v>9.3410999999999973</v>
      </c>
      <c r="J200" s="2">
        <f t="shared" si="123"/>
        <v>0.34461068916524895</v>
      </c>
      <c r="K200" s="2">
        <f t="shared" si="124"/>
        <v>0.65538931083475105</v>
      </c>
      <c r="L200" s="2">
        <f t="shared" si="125"/>
        <v>0.20359756904502554</v>
      </c>
      <c r="M200" s="2">
        <f t="shared" si="126"/>
        <v>7.0161898580975601E-2</v>
      </c>
      <c r="N200" s="2">
        <f t="shared" si="127"/>
        <v>14.252749999999999</v>
      </c>
      <c r="O200">
        <v>35</v>
      </c>
      <c r="P200" s="2">
        <f t="shared" si="128"/>
        <v>7.1259149165758942</v>
      </c>
    </row>
    <row r="201" spans="3:18" x14ac:dyDescent="0.35">
      <c r="C201" s="155">
        <v>6</v>
      </c>
      <c r="F201">
        <v>61.374949999999998</v>
      </c>
      <c r="G201">
        <v>67.168430000000001</v>
      </c>
      <c r="H201" s="2">
        <f t="shared" si="121"/>
        <v>5.7934800000000024</v>
      </c>
      <c r="I201" s="2">
        <f t="shared" si="122"/>
        <v>9.4838299999999975</v>
      </c>
      <c r="J201" s="2">
        <f t="shared" si="123"/>
        <v>0.37922121106398982</v>
      </c>
      <c r="K201" s="2">
        <f t="shared" si="124"/>
        <v>0.62077878893601013</v>
      </c>
      <c r="L201" s="2">
        <f t="shared" si="125"/>
        <v>0.17260782811022038</v>
      </c>
      <c r="M201" s="2">
        <f t="shared" si="126"/>
        <v>6.5456549615082765E-2</v>
      </c>
      <c r="N201" s="2">
        <f t="shared" si="127"/>
        <v>15.27731</v>
      </c>
      <c r="O201">
        <v>39</v>
      </c>
      <c r="P201" s="2">
        <f t="shared" si="128"/>
        <v>6.7317052962985953</v>
      </c>
    </row>
    <row r="202" spans="3:18" x14ac:dyDescent="0.35">
      <c r="C202" s="155">
        <v>6</v>
      </c>
      <c r="E202" s="104"/>
      <c r="F202">
        <v>76.652259999999998</v>
      </c>
      <c r="G202">
        <v>82.428579999999997</v>
      </c>
      <c r="H202" s="2">
        <f t="shared" si="121"/>
        <v>5.7763199999999983</v>
      </c>
      <c r="I202" s="2">
        <f t="shared" si="122"/>
        <v>9.6115100000000098</v>
      </c>
      <c r="J202" s="2">
        <f t="shared" si="123"/>
        <v>0.37538236385507218</v>
      </c>
      <c r="K202" s="2">
        <f t="shared" si="124"/>
        <v>0.62461763614492782</v>
      </c>
      <c r="L202" s="2">
        <f t="shared" si="125"/>
        <v>0.17312060273669053</v>
      </c>
      <c r="M202" s="2">
        <f t="shared" si="126"/>
        <v>6.498642108731377E-2</v>
      </c>
      <c r="N202" s="2">
        <f t="shared" si="127"/>
        <v>15.387830000000008</v>
      </c>
      <c r="O202">
        <v>41</v>
      </c>
      <c r="P202" s="2">
        <f t="shared" si="128"/>
        <v>7.0979447122043124</v>
      </c>
    </row>
    <row r="203" spans="3:18" x14ac:dyDescent="0.35">
      <c r="C203" s="155">
        <v>6</v>
      </c>
      <c r="F203">
        <v>92.040090000000006</v>
      </c>
      <c r="G203">
        <v>97.658869999999993</v>
      </c>
      <c r="H203" s="2">
        <f t="shared" si="121"/>
        <v>5.6187799999999868</v>
      </c>
      <c r="I203" s="2">
        <f t="shared" si="122"/>
        <v>9.6671400000000034</v>
      </c>
      <c r="J203" s="2">
        <f t="shared" si="123"/>
        <v>0.36757879146299277</v>
      </c>
      <c r="K203" s="2">
        <f t="shared" si="124"/>
        <v>0.63242120853700723</v>
      </c>
      <c r="L203" s="2">
        <f t="shared" si="125"/>
        <v>0.17797457811126299</v>
      </c>
      <c r="M203" s="2">
        <f t="shared" si="126"/>
        <v>6.5419680333274055E-2</v>
      </c>
      <c r="N203" s="2">
        <f t="shared" si="127"/>
        <v>15.28591999999999</v>
      </c>
      <c r="O203">
        <v>38</v>
      </c>
      <c r="P203" s="2">
        <f t="shared" si="128"/>
        <v>6.7630339682279939</v>
      </c>
    </row>
    <row r="204" spans="3:18" x14ac:dyDescent="0.35">
      <c r="C204" s="155">
        <v>6</v>
      </c>
      <c r="F204">
        <v>107.32601</v>
      </c>
      <c r="G204">
        <v>113.23164</v>
      </c>
      <c r="H204" s="2">
        <f t="shared" si="121"/>
        <v>5.9056300000000022</v>
      </c>
      <c r="I204" s="2"/>
      <c r="J204" s="2"/>
      <c r="K204" s="2"/>
      <c r="L204" s="2"/>
      <c r="M204" s="2"/>
      <c r="N204" s="2"/>
      <c r="P204" s="2"/>
    </row>
    <row r="205" spans="3:18" x14ac:dyDescent="0.35">
      <c r="C205" s="155"/>
      <c r="H205" s="2"/>
      <c r="I205" s="2"/>
      <c r="J205" s="2"/>
      <c r="K205" s="2"/>
      <c r="L205" s="2"/>
      <c r="M205" s="2"/>
      <c r="N205" s="2"/>
      <c r="P205" s="2"/>
    </row>
    <row r="206" spans="3:18" x14ac:dyDescent="0.35">
      <c r="C206" s="155"/>
      <c r="H206" s="2"/>
      <c r="I206" s="2"/>
      <c r="J206" s="2"/>
      <c r="K206" s="2"/>
      <c r="L206" s="2"/>
      <c r="M206" s="2"/>
      <c r="N206" s="2"/>
      <c r="P206" s="2"/>
    </row>
    <row r="207" spans="3:18" x14ac:dyDescent="0.35">
      <c r="C207" s="155"/>
    </row>
    <row r="208" spans="3:18" x14ac:dyDescent="0.35">
      <c r="C208" s="155"/>
    </row>
    <row r="209" spans="3:18" ht="16" thickBot="1" x14ac:dyDescent="0.4">
      <c r="C209" s="155"/>
      <c r="G209" s="13"/>
      <c r="H209" s="9" t="s">
        <v>3</v>
      </c>
      <c r="I209" s="9" t="s">
        <v>4</v>
      </c>
      <c r="J209" s="9" t="s">
        <v>5</v>
      </c>
      <c r="K209" s="9" t="s">
        <v>6</v>
      </c>
      <c r="L209" s="9" t="s">
        <v>7</v>
      </c>
      <c r="M209" s="9" t="s">
        <v>8</v>
      </c>
      <c r="N209" s="9" t="s">
        <v>9</v>
      </c>
      <c r="O209" s="9" t="s">
        <v>10</v>
      </c>
      <c r="P209" s="44" t="s">
        <v>139</v>
      </c>
    </row>
    <row r="210" spans="3:18" x14ac:dyDescent="0.35">
      <c r="C210" s="155"/>
      <c r="G210" s="49" t="s">
        <v>77</v>
      </c>
      <c r="H210" s="13">
        <f>AVERAGE(H197:H203)</f>
        <v>5.377565714285713</v>
      </c>
      <c r="I210" s="13">
        <f t="shared" ref="I210:P210" si="129">AVERAGE(I197:I203)</f>
        <v>9.2575200000000013</v>
      </c>
      <c r="J210" s="13">
        <f t="shared" si="129"/>
        <v>0.36798534430852364</v>
      </c>
      <c r="K210" s="13">
        <f t="shared" si="129"/>
        <v>0.6320146556914763</v>
      </c>
      <c r="L210" s="13">
        <f t="shared" si="129"/>
        <v>0.18693622290498532</v>
      </c>
      <c r="M210" s="13">
        <f t="shared" si="129"/>
        <v>6.8556124867598281E-2</v>
      </c>
      <c r="N210" s="13">
        <f t="shared" si="129"/>
        <v>14.635085714285713</v>
      </c>
      <c r="O210" s="13">
        <f t="shared" si="129"/>
        <v>36.571428571428569</v>
      </c>
      <c r="P210" s="13">
        <f t="shared" si="129"/>
        <v>6.80342848147491</v>
      </c>
    </row>
    <row r="211" spans="3:18" x14ac:dyDescent="0.35">
      <c r="C211" s="155"/>
      <c r="G211" s="49" t="s">
        <v>94</v>
      </c>
      <c r="H211" s="2">
        <f>_xlfn.STDEV.S(H197:H203)</f>
        <v>0.41612804018543442</v>
      </c>
      <c r="I211" s="2">
        <f t="shared" ref="I211:P211" si="130">_xlfn.STDEV.S(I197:I203)</f>
        <v>0.80116846260113661</v>
      </c>
      <c r="J211" s="2">
        <f t="shared" si="130"/>
        <v>2.7925827930630635E-2</v>
      </c>
      <c r="K211" s="2">
        <f t="shared" si="130"/>
        <v>2.7925827930630667E-2</v>
      </c>
      <c r="L211" s="2">
        <f t="shared" si="130"/>
        <v>1.4758041262902175E-2</v>
      </c>
      <c r="M211" s="2">
        <f t="shared" si="130"/>
        <v>4.3286937007668965E-3</v>
      </c>
      <c r="N211" s="2">
        <f t="shared" si="130"/>
        <v>0.89638204051726966</v>
      </c>
      <c r="O211" s="2">
        <f t="shared" si="130"/>
        <v>2.9920529661723823</v>
      </c>
      <c r="P211" s="2">
        <f t="shared" si="130"/>
        <v>0.26915241159025244</v>
      </c>
    </row>
    <row r="212" spans="3:18" x14ac:dyDescent="0.35">
      <c r="C212" s="155"/>
      <c r="G212" s="49" t="s">
        <v>95</v>
      </c>
      <c r="H212" s="2">
        <f>H211/(SQRT(7))</f>
        <v>0.15728161541305025</v>
      </c>
      <c r="I212" s="2">
        <f t="shared" ref="I212:P212" si="131">I211/(SQRT(7))</f>
        <v>0.30281321575865133</v>
      </c>
      <c r="J212" s="2">
        <f t="shared" si="131"/>
        <v>1.0554970837147166E-2</v>
      </c>
      <c r="K212" s="2">
        <f t="shared" si="131"/>
        <v>1.0554970837147178E-2</v>
      </c>
      <c r="L212" s="2">
        <f t="shared" si="131"/>
        <v>5.5780152885812504E-3</v>
      </c>
      <c r="M212" s="2">
        <f t="shared" si="131"/>
        <v>1.6360924334287215E-3</v>
      </c>
      <c r="N212" s="2">
        <f t="shared" si="131"/>
        <v>0.33880056555904559</v>
      </c>
      <c r="O212" s="2">
        <f t="shared" si="131"/>
        <v>1.1308897225750396</v>
      </c>
      <c r="P212" s="2">
        <f t="shared" si="131"/>
        <v>0.10173004940587238</v>
      </c>
    </row>
    <row r="213" spans="3:18" x14ac:dyDescent="0.35">
      <c r="C213" s="155"/>
    </row>
    <row r="214" spans="3:18" ht="24" thickBot="1" x14ac:dyDescent="0.6">
      <c r="C214" s="155" t="s">
        <v>216</v>
      </c>
      <c r="D214" s="204" t="s">
        <v>122</v>
      </c>
      <c r="F214" s="9" t="s">
        <v>1</v>
      </c>
      <c r="G214" s="9" t="s">
        <v>2</v>
      </c>
      <c r="H214" s="9" t="s">
        <v>3</v>
      </c>
      <c r="I214" s="9" t="s">
        <v>4</v>
      </c>
      <c r="J214" s="9" t="s">
        <v>5</v>
      </c>
      <c r="K214" s="9" t="s">
        <v>6</v>
      </c>
      <c r="L214" s="9" t="s">
        <v>7</v>
      </c>
      <c r="M214" s="9" t="s">
        <v>8</v>
      </c>
      <c r="N214" s="9" t="s">
        <v>9</v>
      </c>
      <c r="O214" s="9" t="s">
        <v>10</v>
      </c>
      <c r="P214" s="44" t="s">
        <v>139</v>
      </c>
    </row>
    <row r="215" spans="3:18" x14ac:dyDescent="0.35">
      <c r="C215" s="155">
        <v>0</v>
      </c>
      <c r="D215" s="336" t="s">
        <v>699</v>
      </c>
      <c r="F215">
        <v>122.30920999999999</v>
      </c>
      <c r="G215">
        <v>127.94892</v>
      </c>
      <c r="H215" s="2">
        <f>G215-F215</f>
        <v>5.639710000000008</v>
      </c>
      <c r="I215" s="2">
        <f>F216-G215</f>
        <v>9.473409999999987</v>
      </c>
      <c r="J215" s="2">
        <f>H215/N215</f>
        <v>0.37316649374847882</v>
      </c>
      <c r="K215" s="2">
        <f>I215/N215</f>
        <v>0.62683350625152123</v>
      </c>
      <c r="L215" s="2">
        <f>1/H215</f>
        <v>0.17731408175243027</v>
      </c>
      <c r="M215" s="2">
        <f>1/N215</f>
        <v>6.6167674179785529E-2</v>
      </c>
      <c r="N215" s="2">
        <f>H215+I215</f>
        <v>15.113119999999995</v>
      </c>
      <c r="O215">
        <v>38</v>
      </c>
      <c r="P215" s="2">
        <f>O215/H215</f>
        <v>6.7379351065923503</v>
      </c>
      <c r="R215" t="s">
        <v>341</v>
      </c>
    </row>
    <row r="216" spans="3:18" x14ac:dyDescent="0.35">
      <c r="C216" s="155">
        <v>0</v>
      </c>
      <c r="D216" s="339"/>
      <c r="F216">
        <v>137.42232999999999</v>
      </c>
      <c r="G216">
        <v>143.08320000000001</v>
      </c>
      <c r="H216" s="2">
        <f t="shared" ref="H216:H222" si="132">G216-F216</f>
        <v>5.6608700000000169</v>
      </c>
      <c r="I216" s="2">
        <f t="shared" ref="I216:I222" si="133">F217-G216</f>
        <v>9.4845599999999877</v>
      </c>
      <c r="J216" s="2">
        <f t="shared" ref="J216:J222" si="134">H216/N216</f>
        <v>0.37376753251641026</v>
      </c>
      <c r="K216" s="2">
        <f t="shared" ref="K216:K222" si="135">I216/N216</f>
        <v>0.62623246748358974</v>
      </c>
      <c r="L216" s="2">
        <f t="shared" ref="L216:L222" si="136">1/H216</f>
        <v>0.17665129211587566</v>
      </c>
      <c r="M216" s="2">
        <f t="shared" ref="M216:M222" si="137">1/N216</f>
        <v>6.602651756998644E-2</v>
      </c>
      <c r="N216" s="2">
        <f t="shared" ref="N216:N222" si="138">H216+I216</f>
        <v>15.145430000000005</v>
      </c>
      <c r="O216">
        <v>41</v>
      </c>
      <c r="P216" s="2">
        <f t="shared" ref="P216:P222" si="139">O216/H216</f>
        <v>7.2427029767509019</v>
      </c>
    </row>
    <row r="217" spans="3:18" x14ac:dyDescent="0.35">
      <c r="C217" s="155">
        <v>0</v>
      </c>
      <c r="D217" s="339"/>
      <c r="E217" s="104"/>
      <c r="F217">
        <v>152.56775999999999</v>
      </c>
      <c r="G217">
        <v>158.25559000000001</v>
      </c>
      <c r="H217" s="2">
        <f t="shared" si="132"/>
        <v>5.6878300000000195</v>
      </c>
      <c r="I217" s="2">
        <f t="shared" si="133"/>
        <v>9.5980599999999754</v>
      </c>
      <c r="J217" s="2">
        <f t="shared" si="134"/>
        <v>0.37209675066352182</v>
      </c>
      <c r="K217" s="2">
        <f t="shared" si="135"/>
        <v>0.62790324933647823</v>
      </c>
      <c r="L217" s="2">
        <f t="shared" si="136"/>
        <v>0.17581397474959634</v>
      </c>
      <c r="M217" s="2">
        <f t="shared" si="137"/>
        <v>6.5419808725563272E-2</v>
      </c>
      <c r="N217" s="2">
        <f t="shared" si="138"/>
        <v>15.285889999999995</v>
      </c>
      <c r="O217">
        <v>34</v>
      </c>
      <c r="P217" s="2">
        <f t="shared" si="139"/>
        <v>5.9776751414862757</v>
      </c>
    </row>
    <row r="218" spans="3:18" x14ac:dyDescent="0.35">
      <c r="C218" s="155">
        <v>0</v>
      </c>
      <c r="F218">
        <v>167.85364999999999</v>
      </c>
      <c r="G218">
        <v>172.59071</v>
      </c>
      <c r="H218" s="2">
        <f t="shared" si="132"/>
        <v>4.7370600000000138</v>
      </c>
      <c r="I218" s="2">
        <f t="shared" si="133"/>
        <v>8.5972399999999993</v>
      </c>
      <c r="J218" s="2">
        <f t="shared" si="134"/>
        <v>0.3552537441035532</v>
      </c>
      <c r="K218" s="2">
        <f t="shared" si="135"/>
        <v>0.64474625589644685</v>
      </c>
      <c r="L218" s="2">
        <f t="shared" si="136"/>
        <v>0.21110140044668996</v>
      </c>
      <c r="M218" s="2">
        <f t="shared" si="137"/>
        <v>7.4994562894190098E-2</v>
      </c>
      <c r="N218" s="2">
        <f t="shared" si="138"/>
        <v>13.334300000000013</v>
      </c>
      <c r="O218">
        <v>34</v>
      </c>
      <c r="P218" s="2">
        <f t="shared" si="139"/>
        <v>7.1774476151874582</v>
      </c>
    </row>
    <row r="219" spans="3:18" x14ac:dyDescent="0.35">
      <c r="C219" s="155">
        <v>0</v>
      </c>
      <c r="F219">
        <v>181.18795</v>
      </c>
      <c r="G219">
        <v>186.83714000000001</v>
      </c>
      <c r="H219" s="2">
        <f t="shared" si="132"/>
        <v>5.6491900000000044</v>
      </c>
      <c r="I219" s="2">
        <f t="shared" si="133"/>
        <v>9.6939299999999946</v>
      </c>
      <c r="J219" s="2">
        <f t="shared" si="134"/>
        <v>0.36819043323652589</v>
      </c>
      <c r="K219" s="2">
        <f t="shared" si="135"/>
        <v>0.63180956676347411</v>
      </c>
      <c r="L219" s="2">
        <f t="shared" si="136"/>
        <v>0.17701652803322232</v>
      </c>
      <c r="M219" s="2">
        <f t="shared" si="137"/>
        <v>6.517579214657776E-2</v>
      </c>
      <c r="N219" s="2">
        <f t="shared" si="138"/>
        <v>15.343119999999999</v>
      </c>
      <c r="O219">
        <v>41</v>
      </c>
      <c r="P219" s="2">
        <f t="shared" si="139"/>
        <v>7.2576776493621153</v>
      </c>
    </row>
    <row r="220" spans="3:18" x14ac:dyDescent="0.35">
      <c r="C220" s="155">
        <v>0</v>
      </c>
      <c r="F220">
        <v>196.53107</v>
      </c>
      <c r="G220">
        <v>202.05880999999999</v>
      </c>
      <c r="H220" s="2">
        <f t="shared" si="132"/>
        <v>5.5277399999999943</v>
      </c>
      <c r="I220" s="2">
        <f t="shared" si="133"/>
        <v>8.7425000000000068</v>
      </c>
      <c r="J220" s="2">
        <f t="shared" si="134"/>
        <v>0.38736138985749319</v>
      </c>
      <c r="K220" s="2">
        <f t="shared" si="135"/>
        <v>0.61263861014250676</v>
      </c>
      <c r="L220" s="2">
        <f t="shared" si="136"/>
        <v>0.18090575895393071</v>
      </c>
      <c r="M220" s="2">
        <f t="shared" si="137"/>
        <v>7.0075906221619258E-2</v>
      </c>
      <c r="N220" s="2">
        <f t="shared" si="138"/>
        <v>14.270240000000001</v>
      </c>
      <c r="O220">
        <v>35</v>
      </c>
      <c r="P220" s="2">
        <f t="shared" si="139"/>
        <v>6.3317015633875755</v>
      </c>
    </row>
    <row r="221" spans="3:18" x14ac:dyDescent="0.35">
      <c r="C221" s="155">
        <v>0</v>
      </c>
      <c r="E221" s="104"/>
      <c r="F221">
        <v>210.80131</v>
      </c>
      <c r="G221">
        <v>215.70835</v>
      </c>
      <c r="H221" s="2">
        <f t="shared" si="132"/>
        <v>4.907039999999995</v>
      </c>
      <c r="I221" s="2">
        <f t="shared" si="133"/>
        <v>9.4669900000000098</v>
      </c>
      <c r="J221" s="2">
        <f t="shared" si="134"/>
        <v>0.3413823402344362</v>
      </c>
      <c r="K221" s="2">
        <f t="shared" si="135"/>
        <v>0.65861765976556375</v>
      </c>
      <c r="L221" s="2">
        <f t="shared" si="136"/>
        <v>0.20378884215331464</v>
      </c>
      <c r="M221" s="2">
        <f t="shared" si="137"/>
        <v>6.9569911847964669E-2</v>
      </c>
      <c r="N221" s="2">
        <f t="shared" si="138"/>
        <v>14.374030000000005</v>
      </c>
      <c r="O221">
        <v>33</v>
      </c>
      <c r="P221" s="2">
        <f t="shared" si="139"/>
        <v>6.7250317910593829</v>
      </c>
    </row>
    <row r="222" spans="3:18" x14ac:dyDescent="0.35">
      <c r="C222" s="155">
        <v>0</v>
      </c>
      <c r="F222">
        <v>225.17534000000001</v>
      </c>
      <c r="G222">
        <v>230.16022000000001</v>
      </c>
      <c r="H222" s="2">
        <f t="shared" si="132"/>
        <v>4.984880000000004</v>
      </c>
      <c r="I222" s="2">
        <f t="shared" si="133"/>
        <v>9.448459999999983</v>
      </c>
      <c r="J222" s="2">
        <f t="shared" si="134"/>
        <v>0.3453725887424538</v>
      </c>
      <c r="K222" s="2">
        <f t="shared" si="135"/>
        <v>0.6546274112575462</v>
      </c>
      <c r="L222" s="2">
        <f t="shared" si="136"/>
        <v>0.20060663446261479</v>
      </c>
      <c r="M222" s="2">
        <f t="shared" si="137"/>
        <v>6.9284032663264425E-2</v>
      </c>
      <c r="N222" s="2">
        <f t="shared" si="138"/>
        <v>14.433339999999987</v>
      </c>
      <c r="O222">
        <v>35</v>
      </c>
      <c r="P222" s="2">
        <f t="shared" si="139"/>
        <v>7.0212322061915176</v>
      </c>
    </row>
    <row r="223" spans="3:18" x14ac:dyDescent="0.35">
      <c r="C223" s="155">
        <v>0</v>
      </c>
      <c r="F223">
        <v>239.60867999999999</v>
      </c>
      <c r="G223">
        <v>239.97255999999999</v>
      </c>
      <c r="H223" s="2"/>
      <c r="I223" s="2"/>
      <c r="J223" s="2"/>
      <c r="K223" s="2"/>
      <c r="L223" s="2"/>
      <c r="M223" s="2"/>
      <c r="N223" s="2"/>
      <c r="P223" s="2"/>
    </row>
    <row r="224" spans="3:18" x14ac:dyDescent="0.35">
      <c r="C224" s="155"/>
      <c r="P224" s="2"/>
    </row>
    <row r="225" spans="3:18" ht="16" thickBot="1" x14ac:dyDescent="0.4">
      <c r="C225" s="155"/>
      <c r="G225" s="13"/>
      <c r="H225" s="9" t="s">
        <v>3</v>
      </c>
      <c r="I225" s="9" t="s">
        <v>4</v>
      </c>
      <c r="J225" s="9" t="s">
        <v>5</v>
      </c>
      <c r="K225" s="9" t="s">
        <v>6</v>
      </c>
      <c r="L225" s="9" t="s">
        <v>7</v>
      </c>
      <c r="M225" s="9" t="s">
        <v>8</v>
      </c>
      <c r="N225" s="9" t="s">
        <v>9</v>
      </c>
      <c r="O225" s="9" t="s">
        <v>10</v>
      </c>
      <c r="P225" s="44" t="s">
        <v>139</v>
      </c>
    </row>
    <row r="226" spans="3:18" x14ac:dyDescent="0.35">
      <c r="C226" s="155"/>
      <c r="G226" s="49" t="s">
        <v>77</v>
      </c>
      <c r="H226" s="13">
        <f>AVERAGE(H215:H222)</f>
        <v>5.349290000000007</v>
      </c>
      <c r="I226" s="13">
        <f t="shared" ref="I226:P226" si="140">AVERAGE(I215:I222)</f>
        <v>9.3131437499999929</v>
      </c>
      <c r="J226" s="13">
        <f t="shared" si="140"/>
        <v>0.36457390913785914</v>
      </c>
      <c r="K226" s="13">
        <f t="shared" si="140"/>
        <v>0.63542609086214086</v>
      </c>
      <c r="L226" s="13">
        <f t="shared" si="140"/>
        <v>0.18789981408345935</v>
      </c>
      <c r="M226" s="13">
        <f t="shared" si="140"/>
        <v>6.8339275781118924E-2</v>
      </c>
      <c r="N226" s="13">
        <f t="shared" si="140"/>
        <v>14.66243375</v>
      </c>
      <c r="O226" s="13">
        <f t="shared" si="140"/>
        <v>36.375</v>
      </c>
      <c r="P226" s="13">
        <f t="shared" si="140"/>
        <v>6.8089255062521969</v>
      </c>
    </row>
    <row r="227" spans="3:18" x14ac:dyDescent="0.35">
      <c r="C227" s="155"/>
      <c r="G227" s="49" t="s">
        <v>94</v>
      </c>
      <c r="H227" s="2">
        <f>_xlfn.STDEV.S(H215:H222)</f>
        <v>0.40018297607826731</v>
      </c>
      <c r="I227" s="2">
        <f t="shared" ref="I227:P227" si="141">_xlfn.STDEV.S(I215:I222)</f>
        <v>0.40732154097354889</v>
      </c>
      <c r="J227" s="2">
        <f t="shared" si="141"/>
        <v>1.5769328001070341E-2</v>
      </c>
      <c r="K227" s="2">
        <f t="shared" si="141"/>
        <v>1.5769328001070337E-2</v>
      </c>
      <c r="L227" s="2">
        <f t="shared" si="141"/>
        <v>1.4659250210667787E-2</v>
      </c>
      <c r="M227" s="2">
        <f t="shared" si="141"/>
        <v>3.3447481902278112E-3</v>
      </c>
      <c r="N227" s="2">
        <f t="shared" si="141"/>
        <v>0.69094663891416386</v>
      </c>
      <c r="O227" s="2">
        <f t="shared" si="141"/>
        <v>3.2043497223082786</v>
      </c>
      <c r="P227" s="2">
        <f t="shared" si="141"/>
        <v>0.46309852582216965</v>
      </c>
    </row>
    <row r="228" spans="3:18" x14ac:dyDescent="0.35">
      <c r="C228" s="155"/>
      <c r="G228" s="49" t="s">
        <v>95</v>
      </c>
      <c r="H228" s="2">
        <f>H227/(SQRT(8))</f>
        <v>0.14148604805017836</v>
      </c>
      <c r="I228" s="2">
        <f t="shared" ref="I228:P228" si="142">I227/(SQRT(8))</f>
        <v>0.14400991187287529</v>
      </c>
      <c r="J228" s="2">
        <f t="shared" si="142"/>
        <v>5.5752993821558709E-3</v>
      </c>
      <c r="K228" s="2">
        <f t="shared" si="142"/>
        <v>5.5752993821558692E-3</v>
      </c>
      <c r="L228" s="2">
        <f t="shared" si="142"/>
        <v>5.1828276155367588E-3</v>
      </c>
      <c r="M228" s="2">
        <f t="shared" si="142"/>
        <v>1.1825470633357589E-3</v>
      </c>
      <c r="N228" s="2">
        <f t="shared" si="142"/>
        <v>0.24428652690712904</v>
      </c>
      <c r="O228" s="2">
        <f t="shared" si="142"/>
        <v>1.1329087089687071</v>
      </c>
      <c r="P228" s="2">
        <f t="shared" si="142"/>
        <v>0.16373005398317481</v>
      </c>
    </row>
    <row r="229" spans="3:18" x14ac:dyDescent="0.35">
      <c r="C229" s="155"/>
    </row>
    <row r="230" spans="3:18" ht="24" thickBot="1" x14ac:dyDescent="0.6">
      <c r="C230" s="155" t="s">
        <v>216</v>
      </c>
      <c r="D230" s="204" t="s">
        <v>122</v>
      </c>
      <c r="F230" s="9" t="s">
        <v>1</v>
      </c>
      <c r="G230" s="9" t="s">
        <v>2</v>
      </c>
      <c r="H230" s="9" t="s">
        <v>3</v>
      </c>
      <c r="I230" s="9" t="s">
        <v>4</v>
      </c>
      <c r="J230" s="9" t="s">
        <v>5</v>
      </c>
      <c r="K230" s="9" t="s">
        <v>6</v>
      </c>
      <c r="L230" s="9" t="s">
        <v>7</v>
      </c>
      <c r="M230" s="9" t="s">
        <v>8</v>
      </c>
      <c r="N230" s="9" t="s">
        <v>9</v>
      </c>
      <c r="O230" s="9" t="s">
        <v>10</v>
      </c>
      <c r="P230" s="44" t="s">
        <v>139</v>
      </c>
    </row>
    <row r="231" spans="3:18" x14ac:dyDescent="0.35">
      <c r="C231" s="155">
        <v>8</v>
      </c>
      <c r="D231" s="336" t="s">
        <v>699</v>
      </c>
      <c r="F231">
        <v>14.483650000000001</v>
      </c>
      <c r="G231">
        <v>21.09928</v>
      </c>
      <c r="H231" s="2">
        <f>G231-F231</f>
        <v>6.6156299999999995</v>
      </c>
      <c r="I231" s="2">
        <f>F232-G231</f>
        <v>7.8231600000000014</v>
      </c>
      <c r="J231" s="2">
        <f>H231/N231</f>
        <v>0.45818451546147559</v>
      </c>
      <c r="K231" s="2">
        <f>I231/N231</f>
        <v>0.54181548453852446</v>
      </c>
      <c r="L231" s="2">
        <f>1/H231</f>
        <v>0.15115718382073967</v>
      </c>
      <c r="M231" s="2">
        <f>1/N231</f>
        <v>6.9257881027426804E-2</v>
      </c>
      <c r="N231" s="2">
        <f>H231+I231</f>
        <v>14.438790000000001</v>
      </c>
      <c r="O231">
        <v>43</v>
      </c>
      <c r="P231" s="2">
        <f>O231/H231</f>
        <v>6.4997589042918067</v>
      </c>
      <c r="R231" t="s">
        <v>342</v>
      </c>
    </row>
    <row r="232" spans="3:18" x14ac:dyDescent="0.35">
      <c r="C232" s="155">
        <v>8</v>
      </c>
      <c r="D232" s="339"/>
      <c r="F232">
        <v>28.922440000000002</v>
      </c>
      <c r="G232">
        <v>35.484839999999998</v>
      </c>
      <c r="H232" s="2">
        <f t="shared" ref="H232:H238" si="143">G232-F232</f>
        <v>6.5623999999999967</v>
      </c>
      <c r="I232" s="2">
        <f t="shared" ref="I232:I237" si="144">F233-G232</f>
        <v>6.1233300000000028</v>
      </c>
      <c r="J232" s="2">
        <f t="shared" ref="J232:J237" si="145">H232/N232</f>
        <v>0.51730566549973844</v>
      </c>
      <c r="K232" s="2">
        <f t="shared" ref="K232:K237" si="146">I232/N232</f>
        <v>0.48269433450026156</v>
      </c>
      <c r="L232" s="2">
        <f t="shared" ref="L232:L237" si="147">1/H232</f>
        <v>0.15238327441180063</v>
      </c>
      <c r="M232" s="2">
        <f t="shared" ref="M232:M237" si="148">1/N232</f>
        <v>7.8828731180625791E-2</v>
      </c>
      <c r="N232" s="2">
        <f t="shared" ref="N232:N237" si="149">H232+I232</f>
        <v>12.68573</v>
      </c>
      <c r="O232">
        <v>45</v>
      </c>
      <c r="P232" s="2">
        <f t="shared" ref="P232:P238" si="150">O232/H232</f>
        <v>6.857247348531029</v>
      </c>
    </row>
    <row r="233" spans="3:18" x14ac:dyDescent="0.35">
      <c r="C233" s="155">
        <v>8</v>
      </c>
      <c r="D233" s="339"/>
      <c r="E233" s="104"/>
      <c r="F233">
        <v>41.608170000000001</v>
      </c>
      <c r="G233">
        <v>47.397069999999999</v>
      </c>
      <c r="H233" s="2">
        <f t="shared" si="143"/>
        <v>5.7888999999999982</v>
      </c>
      <c r="I233" s="2">
        <f t="shared" si="144"/>
        <v>10.220190000000002</v>
      </c>
      <c r="J233" s="2">
        <f t="shared" si="145"/>
        <v>0.36160081553667311</v>
      </c>
      <c r="K233" s="2">
        <f t="shared" si="146"/>
        <v>0.63839918446332689</v>
      </c>
      <c r="L233" s="2">
        <f t="shared" si="147"/>
        <v>0.17274439012593071</v>
      </c>
      <c r="M233" s="2">
        <f t="shared" si="148"/>
        <v>6.2464512348921766E-2</v>
      </c>
      <c r="N233" s="2">
        <f t="shared" si="149"/>
        <v>16.00909</v>
      </c>
      <c r="O233">
        <v>44</v>
      </c>
      <c r="P233" s="2">
        <f t="shared" si="150"/>
        <v>7.6007531655409517</v>
      </c>
    </row>
    <row r="234" spans="3:18" x14ac:dyDescent="0.35">
      <c r="C234" s="155">
        <v>8</v>
      </c>
      <c r="F234">
        <v>57.617260000000002</v>
      </c>
      <c r="G234">
        <v>62.64866</v>
      </c>
      <c r="H234" s="2">
        <f t="shared" si="143"/>
        <v>5.0313999999999979</v>
      </c>
      <c r="I234" s="2">
        <f t="shared" si="144"/>
        <v>9.2576299999999989</v>
      </c>
      <c r="J234" s="2">
        <f t="shared" si="145"/>
        <v>0.35211627381284799</v>
      </c>
      <c r="K234" s="2">
        <f t="shared" si="146"/>
        <v>0.64788372618715206</v>
      </c>
      <c r="L234" s="2">
        <f t="shared" si="147"/>
        <v>0.19875183845450578</v>
      </c>
      <c r="M234" s="2">
        <f t="shared" si="148"/>
        <v>6.9983756770053682E-2</v>
      </c>
      <c r="N234" s="2">
        <f t="shared" si="149"/>
        <v>14.289029999999997</v>
      </c>
      <c r="O234">
        <v>37</v>
      </c>
      <c r="P234" s="2">
        <f t="shared" si="150"/>
        <v>7.3538180228167143</v>
      </c>
    </row>
    <row r="235" spans="3:18" x14ac:dyDescent="0.35">
      <c r="C235" s="155">
        <v>8</v>
      </c>
      <c r="F235">
        <v>71.906289999999998</v>
      </c>
      <c r="G235">
        <v>77.506119999999996</v>
      </c>
      <c r="H235" s="2">
        <f t="shared" si="143"/>
        <v>5.5998299999999972</v>
      </c>
      <c r="I235" s="2">
        <f t="shared" si="144"/>
        <v>9.5652800000000013</v>
      </c>
      <c r="J235" s="2">
        <f t="shared" si="145"/>
        <v>0.36925746005139415</v>
      </c>
      <c r="K235" s="2">
        <f t="shared" si="146"/>
        <v>0.63074253994860585</v>
      </c>
      <c r="L235" s="2">
        <f t="shared" si="147"/>
        <v>0.1785768496543646</v>
      </c>
      <c r="M235" s="2">
        <f t="shared" si="148"/>
        <v>6.5940833927350354E-2</v>
      </c>
      <c r="N235" s="2">
        <f t="shared" si="149"/>
        <v>15.165109999999999</v>
      </c>
      <c r="O235">
        <v>37</v>
      </c>
      <c r="P235" s="2">
        <f t="shared" si="150"/>
        <v>6.6073434372114903</v>
      </c>
    </row>
    <row r="236" spans="3:18" x14ac:dyDescent="0.35">
      <c r="C236" s="155">
        <v>8</v>
      </c>
      <c r="E236" s="104"/>
      <c r="F236">
        <v>87.071399999999997</v>
      </c>
      <c r="G236">
        <v>92.755499999999998</v>
      </c>
      <c r="H236" s="2">
        <f t="shared" si="143"/>
        <v>5.6841000000000008</v>
      </c>
      <c r="I236" s="2">
        <f t="shared" si="144"/>
        <v>9.4254099999999994</v>
      </c>
      <c r="J236" s="2">
        <f t="shared" si="145"/>
        <v>0.37619353638867181</v>
      </c>
      <c r="K236" s="2">
        <f t="shared" si="146"/>
        <v>0.62380646361132819</v>
      </c>
      <c r="L236" s="2">
        <f t="shared" si="147"/>
        <v>0.17592934677433539</v>
      </c>
      <c r="M236" s="2">
        <f t="shared" si="148"/>
        <v>6.6183483117586206E-2</v>
      </c>
      <c r="N236" s="2">
        <f t="shared" si="149"/>
        <v>15.10951</v>
      </c>
      <c r="O236">
        <v>42</v>
      </c>
      <c r="P236" s="2">
        <f t="shared" si="150"/>
        <v>7.3890325645220871</v>
      </c>
    </row>
    <row r="237" spans="3:18" x14ac:dyDescent="0.35">
      <c r="C237" s="155">
        <v>8</v>
      </c>
      <c r="E237" s="104"/>
      <c r="F237">
        <v>102.18091</v>
      </c>
      <c r="G237">
        <v>107.25745999999999</v>
      </c>
      <c r="H237" s="2">
        <f t="shared" si="143"/>
        <v>5.0765499999999975</v>
      </c>
      <c r="I237" s="2">
        <f t="shared" si="144"/>
        <v>7.5524300000000011</v>
      </c>
      <c r="J237" s="2">
        <f t="shared" si="145"/>
        <v>0.40197624827975009</v>
      </c>
      <c r="K237" s="2">
        <f t="shared" si="146"/>
        <v>0.59802375172024991</v>
      </c>
      <c r="L237" s="2">
        <f t="shared" si="147"/>
        <v>0.19698417232175405</v>
      </c>
      <c r="M237" s="2">
        <f t="shared" si="148"/>
        <v>7.9182958560390482E-2</v>
      </c>
      <c r="N237" s="2">
        <f t="shared" si="149"/>
        <v>12.628979999999999</v>
      </c>
      <c r="O237">
        <v>38</v>
      </c>
      <c r="P237" s="2">
        <f t="shared" si="150"/>
        <v>7.4853985482266534</v>
      </c>
    </row>
    <row r="238" spans="3:18" x14ac:dyDescent="0.35">
      <c r="C238" s="155">
        <v>8</v>
      </c>
      <c r="F238">
        <v>114.80989</v>
      </c>
      <c r="G238">
        <v>119.81582</v>
      </c>
      <c r="H238" s="2">
        <f t="shared" si="143"/>
        <v>5.0059300000000064</v>
      </c>
      <c r="I238" s="2"/>
      <c r="J238" s="2"/>
      <c r="K238" s="2"/>
      <c r="L238" s="2"/>
      <c r="M238" s="2"/>
      <c r="N238" s="2"/>
      <c r="O238">
        <v>43</v>
      </c>
      <c r="P238" s="2">
        <f t="shared" si="150"/>
        <v>8.5898124823958675</v>
      </c>
    </row>
    <row r="239" spans="3:18" x14ac:dyDescent="0.35">
      <c r="C239" s="155">
        <v>8</v>
      </c>
      <c r="H239" s="2"/>
      <c r="I239" s="2"/>
      <c r="J239" s="2"/>
      <c r="K239" s="2"/>
      <c r="L239" s="2"/>
      <c r="M239" s="2"/>
      <c r="N239" s="2"/>
      <c r="P239" s="2"/>
    </row>
    <row r="240" spans="3:18" x14ac:dyDescent="0.35">
      <c r="C240" s="155">
        <v>8</v>
      </c>
      <c r="H240" s="2"/>
      <c r="I240" s="2"/>
      <c r="J240" s="2"/>
      <c r="K240" s="2"/>
      <c r="L240" s="2"/>
      <c r="M240" s="2"/>
      <c r="N240" s="2"/>
      <c r="P240" s="2"/>
    </row>
    <row r="241" spans="3:18" x14ac:dyDescent="0.35">
      <c r="C241" s="155">
        <v>8</v>
      </c>
      <c r="H241" s="2"/>
      <c r="I241" s="2"/>
      <c r="J241" s="2"/>
      <c r="K241" s="2"/>
      <c r="L241" s="2"/>
      <c r="M241" s="2"/>
      <c r="N241" s="2"/>
    </row>
    <row r="242" spans="3:18" x14ac:dyDescent="0.35">
      <c r="C242" s="155"/>
    </row>
    <row r="243" spans="3:18" ht="16" thickBot="1" x14ac:dyDescent="0.4">
      <c r="C243" s="155"/>
      <c r="G243" s="13"/>
      <c r="H243" s="9" t="s">
        <v>3</v>
      </c>
      <c r="I243" s="9" t="s">
        <v>4</v>
      </c>
      <c r="J243" s="9" t="s">
        <v>5</v>
      </c>
      <c r="K243" s="9" t="s">
        <v>6</v>
      </c>
      <c r="L243" s="9" t="s">
        <v>7</v>
      </c>
      <c r="M243" s="9" t="s">
        <v>8</v>
      </c>
      <c r="N243" s="9" t="s">
        <v>9</v>
      </c>
      <c r="O243" s="9" t="s">
        <v>10</v>
      </c>
      <c r="P243" s="44" t="s">
        <v>139</v>
      </c>
    </row>
    <row r="244" spans="3:18" x14ac:dyDescent="0.35">
      <c r="C244" s="155"/>
      <c r="G244" s="49" t="s">
        <v>77</v>
      </c>
      <c r="H244" s="13">
        <f>AVERAGE(H231:H237)</f>
        <v>5.7655442857142845</v>
      </c>
      <c r="I244" s="13">
        <f t="shared" ref="I244:P244" si="151">AVERAGE(I231:I237)</f>
        <v>8.5667757142857148</v>
      </c>
      <c r="J244" s="13">
        <f t="shared" si="151"/>
        <v>0.40523350214722159</v>
      </c>
      <c r="K244" s="13">
        <f t="shared" si="151"/>
        <v>0.59476649785277835</v>
      </c>
      <c r="L244" s="13">
        <f t="shared" si="151"/>
        <v>0.17521815079477582</v>
      </c>
      <c r="M244" s="13">
        <f t="shared" si="151"/>
        <v>7.0263165276050726E-2</v>
      </c>
      <c r="N244" s="13">
        <f t="shared" si="151"/>
        <v>14.332319999999999</v>
      </c>
      <c r="O244" s="13">
        <f t="shared" si="151"/>
        <v>40.857142857142854</v>
      </c>
      <c r="P244" s="13">
        <f t="shared" si="151"/>
        <v>7.1133359987343905</v>
      </c>
    </row>
    <row r="245" spans="3:18" x14ac:dyDescent="0.35">
      <c r="C245" s="155"/>
      <c r="G245" s="49" t="s">
        <v>94</v>
      </c>
      <c r="H245" s="2">
        <f>_xlfn.STDEV.S(H231:H237)</f>
        <v>0.6332384483182939</v>
      </c>
      <c r="I245" s="2">
        <f t="shared" ref="I245:P245" si="152">_xlfn.STDEV.S(I231:I237)</f>
        <v>1.4432377146986475</v>
      </c>
      <c r="J245" s="2">
        <f t="shared" si="152"/>
        <v>6.0878890450899552E-2</v>
      </c>
      <c r="K245" s="2">
        <f t="shared" si="152"/>
        <v>6.087889045089917E-2</v>
      </c>
      <c r="L245" s="2">
        <f t="shared" si="152"/>
        <v>1.8911469221645594E-2</v>
      </c>
      <c r="M245" s="2">
        <f t="shared" si="152"/>
        <v>6.457110283950491E-3</v>
      </c>
      <c r="N245" s="2">
        <f t="shared" si="152"/>
        <v>1.2737710928446555</v>
      </c>
      <c r="O245" s="2">
        <f t="shared" si="152"/>
        <v>3.4364987719368982</v>
      </c>
      <c r="P245" s="2">
        <f t="shared" si="152"/>
        <v>0.44868937945798837</v>
      </c>
    </row>
    <row r="246" spans="3:18" x14ac:dyDescent="0.35">
      <c r="C246" s="155"/>
      <c r="G246" s="49" t="s">
        <v>95</v>
      </c>
      <c r="H246" s="2">
        <f>H245/(SQRT(7))</f>
        <v>0.2393416364078047</v>
      </c>
      <c r="I246" s="2">
        <f t="shared" ref="I246:P246" si="153">I245/(SQRT(7))</f>
        <v>0.5454925822631157</v>
      </c>
      <c r="J246" s="2">
        <f t="shared" si="153"/>
        <v>2.3010057746660723E-2</v>
      </c>
      <c r="K246" s="2">
        <f t="shared" si="153"/>
        <v>2.3010057746660581E-2</v>
      </c>
      <c r="L246" s="2">
        <f t="shared" si="153"/>
        <v>7.1478634981894974E-3</v>
      </c>
      <c r="M246" s="2">
        <f t="shared" si="153"/>
        <v>2.4405582856358086E-3</v>
      </c>
      <c r="N246" s="2">
        <f t="shared" si="153"/>
        <v>0.48144021984141766</v>
      </c>
      <c r="O246" s="2">
        <f t="shared" si="153"/>
        <v>1.2988744473319862</v>
      </c>
      <c r="P246" s="2">
        <f t="shared" si="153"/>
        <v>0.16958864485167574</v>
      </c>
    </row>
    <row r="247" spans="3:18" x14ac:dyDescent="0.35">
      <c r="C247" s="155"/>
    </row>
    <row r="248" spans="3:18" ht="24" thickBot="1" x14ac:dyDescent="0.6">
      <c r="C248" s="248" t="s">
        <v>216</v>
      </c>
      <c r="D248" s="204" t="s">
        <v>122</v>
      </c>
      <c r="F248" s="9" t="s">
        <v>1</v>
      </c>
      <c r="G248" s="9" t="s">
        <v>2</v>
      </c>
      <c r="H248" s="9" t="s">
        <v>3</v>
      </c>
      <c r="I248" s="9" t="s">
        <v>4</v>
      </c>
      <c r="J248" s="9" t="s">
        <v>5</v>
      </c>
      <c r="K248" s="9" t="s">
        <v>6</v>
      </c>
      <c r="L248" s="9" t="s">
        <v>7</v>
      </c>
      <c r="M248" s="9" t="s">
        <v>8</v>
      </c>
      <c r="N248" s="9" t="s">
        <v>9</v>
      </c>
      <c r="O248" s="9" t="s">
        <v>10</v>
      </c>
      <c r="P248" s="44" t="s">
        <v>139</v>
      </c>
    </row>
    <row r="249" spans="3:18" ht="14.5" customHeight="1" x14ac:dyDescent="0.35">
      <c r="C249" s="155">
        <v>0</v>
      </c>
      <c r="D249" s="255" t="s">
        <v>541</v>
      </c>
      <c r="E249" s="104"/>
      <c r="F249">
        <v>131.61458999999999</v>
      </c>
      <c r="G249">
        <v>137.32561000000001</v>
      </c>
      <c r="H249" s="2">
        <f>G249-F249</f>
        <v>5.7110200000000191</v>
      </c>
      <c r="I249" s="2">
        <f>F250-G249</f>
        <v>9.616029999999995</v>
      </c>
      <c r="J249" s="2">
        <f>H249/N249</f>
        <v>0.37261051539598383</v>
      </c>
      <c r="K249" s="2">
        <f>I249/N249</f>
        <v>0.62738948460401622</v>
      </c>
      <c r="L249" s="2">
        <f>1/H249</f>
        <v>0.17510006968982716</v>
      </c>
      <c r="M249" s="2">
        <f>1/N249</f>
        <v>6.5244127212999187E-2</v>
      </c>
      <c r="N249" s="2">
        <f>H249+I249</f>
        <v>15.327050000000014</v>
      </c>
      <c r="O249">
        <v>42</v>
      </c>
      <c r="P249" s="2">
        <f>O249/H249</f>
        <v>7.3542029269727403</v>
      </c>
      <c r="R249" t="s">
        <v>343</v>
      </c>
    </row>
    <row r="250" spans="3:18" x14ac:dyDescent="0.35">
      <c r="C250" s="155">
        <v>0</v>
      </c>
      <c r="D250" s="256" t="s">
        <v>541</v>
      </c>
      <c r="F250">
        <v>146.94164000000001</v>
      </c>
      <c r="G250">
        <v>152.54795999999999</v>
      </c>
      <c r="H250" s="2">
        <f t="shared" ref="H250:H256" si="154">G250-F250</f>
        <v>5.6063199999999824</v>
      </c>
      <c r="I250" s="2">
        <f t="shared" ref="I250:I255" si="155">F251-G250</f>
        <v>8.8220300000000123</v>
      </c>
      <c r="J250" s="2">
        <f t="shared" ref="J250:J255" si="156">H250/N250</f>
        <v>0.38856279477556233</v>
      </c>
      <c r="K250" s="2">
        <f t="shared" ref="K250:K255" si="157">I250/N250</f>
        <v>0.61143720522443767</v>
      </c>
      <c r="L250" s="2">
        <f t="shared" ref="L250:L255" si="158">1/H250</f>
        <v>0.17837012514448036</v>
      </c>
      <c r="M250" s="2">
        <f t="shared" ref="M250:M255" si="159">1/N250</f>
        <v>6.9307994330606096E-2</v>
      </c>
      <c r="N250" s="2">
        <f t="shared" ref="N250:N255" si="160">H250+I250</f>
        <v>14.428349999999995</v>
      </c>
      <c r="O250">
        <v>43</v>
      </c>
      <c r="P250" s="2">
        <f t="shared" ref="P250:P256" si="161">O250/H250</f>
        <v>7.6699153812126557</v>
      </c>
    </row>
    <row r="251" spans="3:18" x14ac:dyDescent="0.35">
      <c r="C251" s="155">
        <v>0</v>
      </c>
      <c r="D251" s="256"/>
      <c r="F251">
        <v>161.36999</v>
      </c>
      <c r="G251">
        <v>166.92649</v>
      </c>
      <c r="H251" s="2">
        <f t="shared" si="154"/>
        <v>5.5564999999999998</v>
      </c>
      <c r="I251" s="2">
        <f t="shared" si="155"/>
        <v>9.4735799999999983</v>
      </c>
      <c r="J251" s="2">
        <f t="shared" si="156"/>
        <v>0.36969197768741086</v>
      </c>
      <c r="K251" s="2">
        <f t="shared" si="157"/>
        <v>0.63030802231258909</v>
      </c>
      <c r="L251" s="2">
        <f t="shared" si="158"/>
        <v>0.17996940520111582</v>
      </c>
      <c r="M251" s="2">
        <f t="shared" si="159"/>
        <v>6.6533245332027521E-2</v>
      </c>
      <c r="N251" s="2">
        <f t="shared" si="160"/>
        <v>15.030079999999998</v>
      </c>
      <c r="O251">
        <v>38</v>
      </c>
      <c r="P251" s="2">
        <f t="shared" si="161"/>
        <v>6.8388373976424015</v>
      </c>
    </row>
    <row r="252" spans="3:18" x14ac:dyDescent="0.35">
      <c r="C252" s="155">
        <v>0</v>
      </c>
      <c r="D252" s="256" t="s">
        <v>541</v>
      </c>
      <c r="F252">
        <v>176.40007</v>
      </c>
      <c r="G252">
        <v>181.19902999999999</v>
      </c>
      <c r="H252" s="2">
        <f t="shared" si="154"/>
        <v>4.7989599999999939</v>
      </c>
      <c r="I252" s="2">
        <f t="shared" si="155"/>
        <v>8.5654200000000174</v>
      </c>
      <c r="J252" s="2">
        <f t="shared" si="156"/>
        <v>0.35908586855506874</v>
      </c>
      <c r="K252" s="2">
        <f t="shared" si="157"/>
        <v>0.64091413144493126</v>
      </c>
      <c r="L252" s="2">
        <f t="shared" si="158"/>
        <v>0.20837848200443457</v>
      </c>
      <c r="M252" s="2">
        <f t="shared" si="159"/>
        <v>7.4825768198749143E-2</v>
      </c>
      <c r="N252" s="2">
        <f t="shared" si="160"/>
        <v>13.364380000000011</v>
      </c>
      <c r="O252">
        <v>37</v>
      </c>
      <c r="P252" s="2">
        <f t="shared" si="161"/>
        <v>7.7100038341640786</v>
      </c>
    </row>
    <row r="253" spans="3:18" x14ac:dyDescent="0.35">
      <c r="C253" s="155">
        <v>0</v>
      </c>
      <c r="D253" s="256" t="s">
        <v>541</v>
      </c>
      <c r="F253">
        <v>189.76445000000001</v>
      </c>
      <c r="G253">
        <v>194.65093999999999</v>
      </c>
      <c r="H253" s="2">
        <f t="shared" si="154"/>
        <v>4.8864899999999807</v>
      </c>
      <c r="I253" s="2">
        <f t="shared" si="155"/>
        <v>9.3684900000000084</v>
      </c>
      <c r="J253" s="2">
        <f t="shared" si="156"/>
        <v>0.34279178224031071</v>
      </c>
      <c r="K253" s="2">
        <f t="shared" si="157"/>
        <v>0.65720821775968929</v>
      </c>
      <c r="L253" s="2">
        <f t="shared" si="158"/>
        <v>0.20464587055330186</v>
      </c>
      <c r="M253" s="2">
        <f t="shared" si="159"/>
        <v>7.0150922695086257E-2</v>
      </c>
      <c r="N253" s="2">
        <f t="shared" si="160"/>
        <v>14.254979999999989</v>
      </c>
      <c r="O253">
        <v>39</v>
      </c>
      <c r="P253" s="2">
        <f t="shared" si="161"/>
        <v>7.9811889515787717</v>
      </c>
    </row>
    <row r="254" spans="3:18" x14ac:dyDescent="0.35">
      <c r="C254" s="155">
        <v>0</v>
      </c>
      <c r="D254" s="256" t="s">
        <v>541</v>
      </c>
      <c r="E254" s="104"/>
      <c r="F254">
        <v>204.01943</v>
      </c>
      <c r="G254">
        <v>210.00975</v>
      </c>
      <c r="H254" s="2">
        <f t="shared" si="154"/>
        <v>5.990319999999997</v>
      </c>
      <c r="I254" s="2">
        <f t="shared" si="155"/>
        <v>10.463060000000013</v>
      </c>
      <c r="J254" s="2">
        <f t="shared" si="156"/>
        <v>0.36407838389437269</v>
      </c>
      <c r="K254" s="2">
        <f t="shared" si="157"/>
        <v>0.63592161610562736</v>
      </c>
      <c r="L254" s="2">
        <f t="shared" si="158"/>
        <v>0.16693599006396995</v>
      </c>
      <c r="M254" s="2">
        <f t="shared" si="159"/>
        <v>6.0777785476297232E-2</v>
      </c>
      <c r="N254" s="2">
        <f t="shared" si="160"/>
        <v>16.45338000000001</v>
      </c>
      <c r="O254">
        <v>42</v>
      </c>
      <c r="P254" s="2">
        <f t="shared" si="161"/>
        <v>7.011311582686738</v>
      </c>
    </row>
    <row r="255" spans="3:18" x14ac:dyDescent="0.35">
      <c r="C255" s="155">
        <v>0</v>
      </c>
      <c r="D255" s="256" t="s">
        <v>541</v>
      </c>
      <c r="F255">
        <v>220.47281000000001</v>
      </c>
      <c r="G255">
        <v>226.26374000000001</v>
      </c>
      <c r="H255" s="2">
        <f t="shared" si="154"/>
        <v>5.790930000000003</v>
      </c>
      <c r="I255" s="2">
        <f t="shared" si="155"/>
        <v>8.8747699999999838</v>
      </c>
      <c r="J255" s="2">
        <f t="shared" si="156"/>
        <v>0.39486216136972718</v>
      </c>
      <c r="K255" s="2">
        <f t="shared" si="157"/>
        <v>0.60513783863027282</v>
      </c>
      <c r="L255" s="2">
        <f t="shared" si="158"/>
        <v>0.1726838348935317</v>
      </c>
      <c r="M255" s="2">
        <f t="shared" si="159"/>
        <v>6.8186312279673034E-2</v>
      </c>
      <c r="N255" s="2">
        <f t="shared" si="160"/>
        <v>14.665699999999987</v>
      </c>
      <c r="O255">
        <v>39</v>
      </c>
      <c r="P255" s="2">
        <f t="shared" si="161"/>
        <v>6.7346695608477356</v>
      </c>
    </row>
    <row r="256" spans="3:18" x14ac:dyDescent="0.35">
      <c r="C256" s="155">
        <v>0</v>
      </c>
      <c r="E256" s="104"/>
      <c r="F256">
        <v>235.13851</v>
      </c>
      <c r="G256">
        <v>239.96816000000001</v>
      </c>
      <c r="H256" s="2">
        <f t="shared" si="154"/>
        <v>4.8296500000000151</v>
      </c>
      <c r="I256" s="2"/>
      <c r="J256" s="2"/>
      <c r="K256" s="2"/>
      <c r="L256" s="2"/>
      <c r="M256" s="2"/>
      <c r="N256" s="2"/>
      <c r="O256">
        <v>35</v>
      </c>
      <c r="P256" s="2">
        <f t="shared" si="161"/>
        <v>7.2469019494166016</v>
      </c>
    </row>
    <row r="257" spans="3:37" x14ac:dyDescent="0.35">
      <c r="C257" s="155">
        <v>0</v>
      </c>
      <c r="H257" s="2"/>
      <c r="I257" s="2"/>
      <c r="J257" s="2"/>
      <c r="K257" s="2"/>
      <c r="L257" s="2"/>
      <c r="M257" s="2"/>
      <c r="N257" s="2"/>
      <c r="P257" s="2"/>
    </row>
    <row r="258" spans="3:37" x14ac:dyDescent="0.35">
      <c r="C258" s="155">
        <v>0</v>
      </c>
      <c r="E258" s="104"/>
      <c r="H258" s="2"/>
      <c r="I258" s="2"/>
      <c r="J258" s="2"/>
      <c r="K258" s="2"/>
      <c r="L258" s="2"/>
      <c r="M258" s="2"/>
      <c r="N258" s="2"/>
      <c r="P258" s="2"/>
    </row>
    <row r="259" spans="3:37" x14ac:dyDescent="0.35">
      <c r="C259" s="155"/>
    </row>
    <row r="260" spans="3:37" ht="16" thickBot="1" x14ac:dyDescent="0.4">
      <c r="C260" s="155"/>
      <c r="G260" s="13"/>
      <c r="H260" s="9" t="s">
        <v>3</v>
      </c>
      <c r="I260" s="9" t="s">
        <v>4</v>
      </c>
      <c r="J260" s="9" t="s">
        <v>5</v>
      </c>
      <c r="K260" s="9" t="s">
        <v>6</v>
      </c>
      <c r="L260" s="9" t="s">
        <v>7</v>
      </c>
      <c r="M260" s="9" t="s">
        <v>8</v>
      </c>
      <c r="N260" s="9" t="s">
        <v>9</v>
      </c>
      <c r="O260" s="9" t="s">
        <v>10</v>
      </c>
      <c r="P260" s="44" t="s">
        <v>139</v>
      </c>
    </row>
    <row r="261" spans="3:37" x14ac:dyDescent="0.35">
      <c r="C261" s="155"/>
      <c r="G261" s="49" t="s">
        <v>77</v>
      </c>
      <c r="H261" s="13">
        <f>AVERAGE(H249:H255)</f>
        <v>5.4772199999999964</v>
      </c>
      <c r="I261" s="13">
        <f t="shared" ref="I261:P261" si="162">AVERAGE(I249:I255)</f>
        <v>9.3119114285714328</v>
      </c>
      <c r="J261" s="13">
        <f t="shared" si="162"/>
        <v>0.37024049770263379</v>
      </c>
      <c r="K261" s="13">
        <f t="shared" si="162"/>
        <v>0.62975950229736621</v>
      </c>
      <c r="L261" s="13">
        <f t="shared" si="162"/>
        <v>0.1837262539358088</v>
      </c>
      <c r="M261" s="13">
        <f t="shared" si="162"/>
        <v>6.7860879360776935E-2</v>
      </c>
      <c r="N261" s="13">
        <f t="shared" si="162"/>
        <v>14.789131428571428</v>
      </c>
      <c r="O261" s="13">
        <f t="shared" si="162"/>
        <v>40</v>
      </c>
      <c r="P261" s="13">
        <f t="shared" si="162"/>
        <v>7.3285899478721603</v>
      </c>
    </row>
    <row r="262" spans="3:37" x14ac:dyDescent="0.35">
      <c r="C262" s="155"/>
      <c r="G262" s="49" t="s">
        <v>94</v>
      </c>
      <c r="H262" s="2">
        <f>_xlfn.STDEV.S(H249:H255)</f>
        <v>0.45612474591205748</v>
      </c>
      <c r="I262" s="2">
        <f t="shared" ref="I262:P262" si="163">_xlfn.STDEV.S(I249:I255)</f>
        <v>0.63708906968671675</v>
      </c>
      <c r="J262" s="2">
        <f t="shared" si="163"/>
        <v>1.7624226358317355E-2</v>
      </c>
      <c r="K262" s="2">
        <f t="shared" si="163"/>
        <v>1.7624226358317355E-2</v>
      </c>
      <c r="L262" s="2">
        <f t="shared" si="163"/>
        <v>1.615768016585269E-2</v>
      </c>
      <c r="M262" s="2">
        <f t="shared" si="163"/>
        <v>4.3729137161332126E-3</v>
      </c>
      <c r="N262" s="2">
        <f t="shared" si="163"/>
        <v>0.96417225723119171</v>
      </c>
      <c r="O262" s="2">
        <f t="shared" si="163"/>
        <v>2.3094010767585029</v>
      </c>
      <c r="P262" s="2">
        <f t="shared" si="163"/>
        <v>0.4798933277359978</v>
      </c>
    </row>
    <row r="263" spans="3:37" x14ac:dyDescent="0.35">
      <c r="C263" s="155"/>
      <c r="G263" s="49" t="s">
        <v>95</v>
      </c>
      <c r="H263" s="2">
        <f>H262/(SQRT(7))</f>
        <v>0.17239894921511847</v>
      </c>
      <c r="I263" s="2">
        <f t="shared" ref="I263:P263" si="164">I262/(SQRT(7))</f>
        <v>0.24079703448407871</v>
      </c>
      <c r="J263" s="2">
        <f t="shared" si="164"/>
        <v>6.6613314277167504E-3</v>
      </c>
      <c r="K263" s="2">
        <f t="shared" si="164"/>
        <v>6.6613314277167504E-3</v>
      </c>
      <c r="L263" s="2">
        <f t="shared" si="164"/>
        <v>6.1070290689381546E-3</v>
      </c>
      <c r="M263" s="2">
        <f t="shared" si="164"/>
        <v>1.6528060282331111E-3</v>
      </c>
      <c r="N263" s="2">
        <f t="shared" si="164"/>
        <v>0.36442285909450445</v>
      </c>
      <c r="O263" s="2">
        <f t="shared" si="164"/>
        <v>0.87287156094396945</v>
      </c>
      <c r="P263" s="2">
        <f t="shared" si="164"/>
        <v>0.18138262871838076</v>
      </c>
      <c r="Q263" s="2"/>
    </row>
    <row r="264" spans="3:37" ht="16" thickBot="1" x14ac:dyDescent="0.4">
      <c r="C264" s="250"/>
      <c r="G264" s="49"/>
      <c r="H264" s="2"/>
      <c r="I264" s="2"/>
      <c r="J264" s="2"/>
      <c r="K264" s="2"/>
      <c r="L264" s="2"/>
      <c r="M264" s="2"/>
      <c r="N264" s="2"/>
      <c r="O264" s="2"/>
      <c r="P264" s="2"/>
      <c r="Q264" s="2"/>
      <c r="Z264" s="9" t="s">
        <v>2</v>
      </c>
      <c r="AA264" s="9" t="s">
        <v>3</v>
      </c>
      <c r="AB264" s="9" t="s">
        <v>4</v>
      </c>
      <c r="AC264" s="9" t="s">
        <v>5</v>
      </c>
      <c r="AD264" s="9" t="s">
        <v>6</v>
      </c>
      <c r="AE264" s="9" t="s">
        <v>7</v>
      </c>
      <c r="AF264" s="9" t="s">
        <v>8</v>
      </c>
      <c r="AG264" s="9" t="s">
        <v>9</v>
      </c>
      <c r="AH264" s="9" t="s">
        <v>10</v>
      </c>
    </row>
    <row r="265" spans="3:37" ht="24" thickBot="1" x14ac:dyDescent="0.6">
      <c r="C265" s="250"/>
      <c r="E265" s="104" t="s">
        <v>81</v>
      </c>
      <c r="G265" s="13"/>
      <c r="H265" s="9" t="s">
        <v>3</v>
      </c>
      <c r="I265" s="9" t="s">
        <v>4</v>
      </c>
      <c r="J265" s="9" t="s">
        <v>5</v>
      </c>
      <c r="K265" s="9" t="s">
        <v>6</v>
      </c>
      <c r="L265" s="9" t="s">
        <v>7</v>
      </c>
      <c r="M265" s="9" t="s">
        <v>8</v>
      </c>
      <c r="N265" s="9" t="s">
        <v>9</v>
      </c>
      <c r="O265" s="9" t="s">
        <v>10</v>
      </c>
      <c r="P265" s="44" t="s">
        <v>139</v>
      </c>
      <c r="Q265" s="2"/>
      <c r="V265" s="179" t="s">
        <v>346</v>
      </c>
      <c r="Y265" s="9" t="s">
        <v>1</v>
      </c>
      <c r="Z265">
        <v>20.515840000000001</v>
      </c>
      <c r="AA265" s="2">
        <f t="shared" ref="AA265:AA272" si="165">Z265-Y266</f>
        <v>6.0893800000000002</v>
      </c>
      <c r="AB265" s="2">
        <f t="shared" ref="AB265:AB271" si="166">Y267-Z265</f>
        <v>9.2721499999999999</v>
      </c>
      <c r="AC265" s="2">
        <f t="shared" ref="AC265:AC271" si="167">AA265/AG265</f>
        <v>0.39640452480970323</v>
      </c>
      <c r="AD265" s="2">
        <f t="shared" ref="AD265:AD271" si="168">AB265/AG265</f>
        <v>0.60359547519029677</v>
      </c>
      <c r="AE265" s="2">
        <f t="shared" ref="AE265:AE271" si="169">1/AA265</f>
        <v>0.16422033113387569</v>
      </c>
      <c r="AF265" s="2">
        <f t="shared" ref="AF265:AF271" si="170">1/AG265</f>
        <v>6.5097682327216105E-2</v>
      </c>
      <c r="AG265" s="2">
        <f t="shared" ref="AG265:AG271" si="171">AA265+AB265</f>
        <v>15.36153</v>
      </c>
      <c r="AI265" s="44" t="s">
        <v>139</v>
      </c>
    </row>
    <row r="266" spans="3:37" x14ac:dyDescent="0.35">
      <c r="C266" s="250"/>
      <c r="G266" s="49" t="s">
        <v>77</v>
      </c>
      <c r="H266" s="2">
        <f>AVERAGE(H249:H250,H252:H255)</f>
        <v>5.4640066666666627</v>
      </c>
      <c r="I266" s="2">
        <f t="shared" ref="I266:P266" si="172">AVERAGE(I249:I250,I252:I255)</f>
        <v>9.284966666666671</v>
      </c>
      <c r="J266" s="2">
        <f t="shared" si="172"/>
        <v>0.37033191770517088</v>
      </c>
      <c r="K266" s="2">
        <f t="shared" si="172"/>
        <v>0.62966808229482918</v>
      </c>
      <c r="L266" s="2">
        <f t="shared" si="172"/>
        <v>0.18435239539159096</v>
      </c>
      <c r="M266" s="2">
        <f t="shared" si="172"/>
        <v>6.8082151698901833E-2</v>
      </c>
      <c r="N266" s="2">
        <f t="shared" si="172"/>
        <v>14.748973333333334</v>
      </c>
      <c r="O266" s="2">
        <f t="shared" si="172"/>
        <v>40.333333333333336</v>
      </c>
      <c r="P266" s="2">
        <f t="shared" si="172"/>
        <v>7.4102153729104536</v>
      </c>
      <c r="Q266" s="2"/>
      <c r="V266" s="155">
        <v>1</v>
      </c>
      <c r="Y266">
        <v>14.426460000000001</v>
      </c>
      <c r="Z266">
        <v>36.814399999999999</v>
      </c>
      <c r="AA266" s="2">
        <f t="shared" si="165"/>
        <v>7.0264099999999985</v>
      </c>
      <c r="AB266" s="2">
        <f t="shared" si="166"/>
        <v>8.0641299999999987</v>
      </c>
      <c r="AC266" s="2">
        <f t="shared" si="167"/>
        <v>0.46561686990657725</v>
      </c>
      <c r="AD266" s="2">
        <f t="shared" si="168"/>
        <v>0.53438313009342275</v>
      </c>
      <c r="AE266" s="2">
        <f t="shared" si="169"/>
        <v>0.14232018911506733</v>
      </c>
      <c r="AF266" s="2">
        <f t="shared" si="170"/>
        <v>6.6266680980269776E-2</v>
      </c>
      <c r="AG266" s="2">
        <f t="shared" si="171"/>
        <v>15.090539999999997</v>
      </c>
      <c r="AI266" s="2">
        <f t="shared" ref="AI266:AI272" si="173">AH265/AA265</f>
        <v>0</v>
      </c>
    </row>
    <row r="267" spans="3:37" x14ac:dyDescent="0.35">
      <c r="C267" s="250"/>
      <c r="G267" s="49" t="s">
        <v>94</v>
      </c>
      <c r="H267" s="2">
        <f>_xlfn.STDEV.S(H249:H250,H252:H255)</f>
        <v>0.49818988980776535</v>
      </c>
      <c r="I267" s="2">
        <f t="shared" ref="I267:P267" si="174">_xlfn.STDEV.S(I249:I250,I252:I255)</f>
        <v>0.6935130926137355</v>
      </c>
      <c r="J267" s="2">
        <f t="shared" si="174"/>
        <v>1.9304554428771287E-2</v>
      </c>
      <c r="K267" s="2">
        <f t="shared" si="174"/>
        <v>1.9304554428771291E-2</v>
      </c>
      <c r="L267" s="2">
        <f t="shared" si="174"/>
        <v>1.7606575697168819E-2</v>
      </c>
      <c r="M267" s="2">
        <f t="shared" si="174"/>
        <v>4.7471647414528808E-3</v>
      </c>
      <c r="N267" s="2">
        <f t="shared" si="174"/>
        <v>1.0497653642536857</v>
      </c>
      <c r="O267" s="2">
        <f t="shared" si="174"/>
        <v>2.3380903889000244</v>
      </c>
      <c r="P267" s="2">
        <f t="shared" si="174"/>
        <v>0.46945752001656865</v>
      </c>
      <c r="Q267" s="2"/>
      <c r="V267" s="155">
        <v>1</v>
      </c>
      <c r="X267" s="104"/>
      <c r="Y267">
        <v>29.787990000000001</v>
      </c>
      <c r="Z267">
        <v>50.809049999999999</v>
      </c>
      <c r="AA267" s="2">
        <f t="shared" si="165"/>
        <v>5.9305200000000013</v>
      </c>
      <c r="AB267" s="2">
        <f t="shared" si="166"/>
        <v>9.9417200000000037</v>
      </c>
      <c r="AC267" s="2">
        <f t="shared" si="167"/>
        <v>0.3736410235732322</v>
      </c>
      <c r="AD267" s="2">
        <f t="shared" si="168"/>
        <v>0.62635897642676774</v>
      </c>
      <c r="AE267" s="2">
        <f t="shared" si="169"/>
        <v>0.16861927790480427</v>
      </c>
      <c r="AF267" s="2">
        <f t="shared" si="170"/>
        <v>6.3003079590530364E-2</v>
      </c>
      <c r="AG267" s="2">
        <f t="shared" si="171"/>
        <v>15.872240000000005</v>
      </c>
      <c r="AI267" s="2">
        <f t="shared" si="173"/>
        <v>0</v>
      </c>
      <c r="AK267" t="s">
        <v>347</v>
      </c>
    </row>
    <row r="268" spans="3:37" x14ac:dyDescent="0.35">
      <c r="C268" s="250"/>
      <c r="G268" s="49" t="s">
        <v>95</v>
      </c>
      <c r="H268" s="2">
        <f>H267/SQRT(6)</f>
        <v>0.2033851708404005</v>
      </c>
      <c r="I268" s="2">
        <f t="shared" ref="I268:P268" si="175">I267/SQRT(6)</f>
        <v>0.28312553447386424</v>
      </c>
      <c r="J268" s="2">
        <f t="shared" si="175"/>
        <v>7.8810513437124752E-3</v>
      </c>
      <c r="K268" s="2">
        <f t="shared" si="175"/>
        <v>7.8810513437124752E-3</v>
      </c>
      <c r="L268" s="2">
        <f t="shared" si="175"/>
        <v>7.1878544292917675E-3</v>
      </c>
      <c r="M268" s="2">
        <f t="shared" si="175"/>
        <v>1.9380218902484651E-3</v>
      </c>
      <c r="N268" s="2">
        <f t="shared" si="175"/>
        <v>0.42856491534474167</v>
      </c>
      <c r="O268" s="2">
        <f t="shared" si="175"/>
        <v>0.95452140421842369</v>
      </c>
      <c r="P268" s="2">
        <f t="shared" si="175"/>
        <v>0.19165522999216891</v>
      </c>
      <c r="Q268" s="2"/>
      <c r="V268" s="155">
        <v>1</v>
      </c>
      <c r="Y268">
        <v>44.878529999999998</v>
      </c>
      <c r="Z268">
        <v>67.089780000000005</v>
      </c>
      <c r="AA268" s="2">
        <f t="shared" si="165"/>
        <v>6.3390100000000018</v>
      </c>
      <c r="AB268" s="2">
        <f t="shared" si="166"/>
        <v>7.7622300000000024</v>
      </c>
      <c r="AC268" s="2">
        <f t="shared" si="167"/>
        <v>0.44953564367388965</v>
      </c>
      <c r="AD268" s="2">
        <f t="shared" si="168"/>
        <v>0.55046435632611035</v>
      </c>
      <c r="AE268" s="2">
        <f t="shared" si="169"/>
        <v>0.15775334003259178</v>
      </c>
      <c r="AF268" s="2">
        <f t="shared" si="170"/>
        <v>7.0915749253257138E-2</v>
      </c>
      <c r="AG268" s="2">
        <f t="shared" si="171"/>
        <v>14.101240000000004</v>
      </c>
      <c r="AI268" s="2">
        <f t="shared" si="173"/>
        <v>0</v>
      </c>
    </row>
    <row r="269" spans="3:37" x14ac:dyDescent="0.35">
      <c r="C269" s="250"/>
      <c r="H269" s="2"/>
      <c r="I269" s="2"/>
      <c r="J269" s="2"/>
      <c r="K269" s="2"/>
      <c r="L269" s="2"/>
      <c r="M269" s="2"/>
      <c r="N269" s="2"/>
      <c r="Q269" s="2"/>
      <c r="V269" s="155">
        <v>1</v>
      </c>
      <c r="Y269">
        <v>60.750770000000003</v>
      </c>
      <c r="Z269">
        <v>81.119380000000007</v>
      </c>
      <c r="AA269" s="2">
        <f t="shared" si="165"/>
        <v>6.2673699999999997</v>
      </c>
      <c r="AB269" s="2">
        <f t="shared" si="166"/>
        <v>8.6273299999999864</v>
      </c>
      <c r="AC269" s="2">
        <f t="shared" si="167"/>
        <v>0.42077853196103349</v>
      </c>
      <c r="AD269" s="2">
        <f t="shared" si="168"/>
        <v>0.57922146803896646</v>
      </c>
      <c r="AE269" s="2">
        <f t="shared" si="169"/>
        <v>0.159556560407316</v>
      </c>
      <c r="AF269" s="2">
        <f t="shared" si="170"/>
        <v>6.7137975252942378E-2</v>
      </c>
      <c r="AG269" s="2">
        <f t="shared" si="171"/>
        <v>14.894699999999986</v>
      </c>
      <c r="AI269" s="2">
        <f t="shared" si="173"/>
        <v>0</v>
      </c>
    </row>
    <row r="270" spans="3:37" x14ac:dyDescent="0.35">
      <c r="C270" s="250"/>
      <c r="H270" s="2"/>
      <c r="I270" s="2"/>
      <c r="J270" s="2"/>
      <c r="K270" s="2"/>
      <c r="L270" s="2"/>
      <c r="M270" s="2"/>
      <c r="N270" s="2"/>
      <c r="Q270" s="2"/>
      <c r="V270" s="155">
        <v>1</v>
      </c>
      <c r="X270" s="104"/>
      <c r="Y270">
        <v>74.852010000000007</v>
      </c>
      <c r="Z270">
        <v>95.586619999999996</v>
      </c>
      <c r="AA270" s="2">
        <f t="shared" si="165"/>
        <v>5.8399100000000033</v>
      </c>
      <c r="AB270" s="2">
        <f t="shared" si="166"/>
        <v>8.0796600000000041</v>
      </c>
      <c r="AC270" s="2">
        <f t="shared" si="167"/>
        <v>0.41954672450370234</v>
      </c>
      <c r="AD270" s="2">
        <f t="shared" si="168"/>
        <v>0.58045327549629766</v>
      </c>
      <c r="AE270" s="2">
        <f t="shared" si="169"/>
        <v>0.17123551561582276</v>
      </c>
      <c r="AF270" s="2">
        <f t="shared" si="170"/>
        <v>7.1841299695321006E-2</v>
      </c>
      <c r="AG270" s="2">
        <f t="shared" si="171"/>
        <v>13.919570000000007</v>
      </c>
      <c r="AI270" s="2">
        <f t="shared" si="173"/>
        <v>0</v>
      </c>
    </row>
    <row r="271" spans="3:37" ht="16" thickBot="1" x14ac:dyDescent="0.4">
      <c r="C271" s="250"/>
      <c r="E271" s="104" t="s">
        <v>82</v>
      </c>
      <c r="G271" s="13"/>
      <c r="H271" s="9" t="s">
        <v>3</v>
      </c>
      <c r="I271" s="9" t="s">
        <v>4</v>
      </c>
      <c r="J271" s="9" t="s">
        <v>5</v>
      </c>
      <c r="K271" s="9" t="s">
        <v>6</v>
      </c>
      <c r="L271" s="9" t="s">
        <v>7</v>
      </c>
      <c r="M271" s="9" t="s">
        <v>8</v>
      </c>
      <c r="N271" s="9" t="s">
        <v>9</v>
      </c>
      <c r="O271" s="9" t="s">
        <v>10</v>
      </c>
      <c r="P271" s="44" t="s">
        <v>139</v>
      </c>
      <c r="Q271" s="2"/>
      <c r="V271" s="155">
        <v>1</v>
      </c>
      <c r="X271" s="104"/>
      <c r="Y271">
        <v>89.746709999999993</v>
      </c>
      <c r="Z271">
        <v>109.46339999999999</v>
      </c>
      <c r="AA271" s="2">
        <f t="shared" si="165"/>
        <v>5.7971199999999925</v>
      </c>
      <c r="AB271" s="2">
        <f t="shared" si="166"/>
        <v>7.0812900000000099</v>
      </c>
      <c r="AC271" s="2">
        <f t="shared" si="167"/>
        <v>0.4501425253583316</v>
      </c>
      <c r="AD271" s="2">
        <f t="shared" si="168"/>
        <v>0.54985747464166834</v>
      </c>
      <c r="AE271" s="2">
        <f t="shared" si="169"/>
        <v>0.17249944800176661</v>
      </c>
      <c r="AF271" s="2">
        <f t="shared" si="170"/>
        <v>7.7649337146433434E-2</v>
      </c>
      <c r="AG271" s="2">
        <f t="shared" si="171"/>
        <v>12.878410000000002</v>
      </c>
      <c r="AI271" s="2">
        <f t="shared" si="173"/>
        <v>0</v>
      </c>
    </row>
    <row r="272" spans="3:37" x14ac:dyDescent="0.35">
      <c r="C272" s="250"/>
      <c r="G272" s="49" t="s">
        <v>77</v>
      </c>
      <c r="H272" s="2">
        <f>AVERAGE(H251)</f>
        <v>5.5564999999999998</v>
      </c>
      <c r="I272" s="2">
        <f t="shared" ref="I272:P272" si="176">AVERAGE(I251)</f>
        <v>9.4735799999999983</v>
      </c>
      <c r="J272" s="2">
        <f t="shared" si="176"/>
        <v>0.36969197768741086</v>
      </c>
      <c r="K272" s="2">
        <f t="shared" si="176"/>
        <v>0.63030802231258909</v>
      </c>
      <c r="L272" s="2">
        <f t="shared" si="176"/>
        <v>0.17996940520111582</v>
      </c>
      <c r="M272" s="2">
        <f t="shared" si="176"/>
        <v>6.6533245332027521E-2</v>
      </c>
      <c r="N272" s="2">
        <f t="shared" si="176"/>
        <v>15.030079999999998</v>
      </c>
      <c r="O272" s="2">
        <f t="shared" si="176"/>
        <v>38</v>
      </c>
      <c r="P272" s="2">
        <f t="shared" si="176"/>
        <v>6.8388373976424015</v>
      </c>
      <c r="Q272" s="2"/>
      <c r="V272" s="155">
        <v>1</v>
      </c>
      <c r="Y272">
        <v>103.66628</v>
      </c>
      <c r="Z272">
        <v>119.90445</v>
      </c>
      <c r="AA272" s="2">
        <f t="shared" si="165"/>
        <v>3.3597599999999943</v>
      </c>
      <c r="AB272" s="2"/>
      <c r="AC272" s="2"/>
      <c r="AD272" s="2"/>
      <c r="AE272" s="2"/>
      <c r="AF272" s="2"/>
      <c r="AG272" s="2"/>
      <c r="AI272" s="2">
        <f t="shared" si="173"/>
        <v>0</v>
      </c>
    </row>
    <row r="273" spans="3:37" x14ac:dyDescent="0.35">
      <c r="C273" s="250"/>
      <c r="G273" s="49" t="s">
        <v>94</v>
      </c>
      <c r="H273" s="2" t="e">
        <f>_xlfn.STDEV.S(H251)</f>
        <v>#DIV/0!</v>
      </c>
      <c r="I273" s="2" t="e">
        <f t="shared" ref="I273:P273" si="177">_xlfn.STDEV.S(I251)</f>
        <v>#DIV/0!</v>
      </c>
      <c r="J273" s="2" t="e">
        <f t="shared" si="177"/>
        <v>#DIV/0!</v>
      </c>
      <c r="K273" s="2" t="e">
        <f t="shared" si="177"/>
        <v>#DIV/0!</v>
      </c>
      <c r="L273" s="2" t="e">
        <f t="shared" si="177"/>
        <v>#DIV/0!</v>
      </c>
      <c r="M273" s="2" t="e">
        <f t="shared" si="177"/>
        <v>#DIV/0!</v>
      </c>
      <c r="N273" s="2" t="e">
        <f t="shared" si="177"/>
        <v>#DIV/0!</v>
      </c>
      <c r="O273" s="2" t="e">
        <f t="shared" si="177"/>
        <v>#DIV/0!</v>
      </c>
      <c r="P273" s="2" t="e">
        <f t="shared" si="177"/>
        <v>#DIV/0!</v>
      </c>
      <c r="Q273" s="2"/>
      <c r="V273" s="155">
        <v>1</v>
      </c>
      <c r="Y273">
        <v>116.54469</v>
      </c>
      <c r="AA273" s="2"/>
      <c r="AB273" s="2"/>
      <c r="AC273" s="2"/>
      <c r="AD273" s="2"/>
      <c r="AE273" s="2"/>
      <c r="AF273" s="2"/>
      <c r="AG273" s="2"/>
      <c r="AI273" s="2"/>
    </row>
    <row r="274" spans="3:37" x14ac:dyDescent="0.35">
      <c r="C274" s="250"/>
      <c r="G274" s="49" t="s">
        <v>95</v>
      </c>
      <c r="H274" s="2" t="e">
        <f>H273/SQRT(1)</f>
        <v>#DIV/0!</v>
      </c>
      <c r="I274" s="2" t="e">
        <f t="shared" ref="I274:P274" si="178">I273/SQRT(1)</f>
        <v>#DIV/0!</v>
      </c>
      <c r="J274" s="2" t="e">
        <f t="shared" si="178"/>
        <v>#DIV/0!</v>
      </c>
      <c r="K274" s="2" t="e">
        <f t="shared" si="178"/>
        <v>#DIV/0!</v>
      </c>
      <c r="L274" s="2" t="e">
        <f t="shared" si="178"/>
        <v>#DIV/0!</v>
      </c>
      <c r="M274" s="2" t="e">
        <f t="shared" si="178"/>
        <v>#DIV/0!</v>
      </c>
      <c r="N274" s="2" t="e">
        <f t="shared" si="178"/>
        <v>#DIV/0!</v>
      </c>
      <c r="O274" s="2" t="e">
        <f t="shared" si="178"/>
        <v>#DIV/0!</v>
      </c>
      <c r="P274" s="2" t="e">
        <f t="shared" si="178"/>
        <v>#DIV/0!</v>
      </c>
      <c r="Q274" s="2"/>
      <c r="V274" s="155"/>
      <c r="AA274" s="2"/>
      <c r="AB274" s="2"/>
      <c r="AC274" s="2"/>
      <c r="AD274" s="2"/>
      <c r="AE274" s="2"/>
      <c r="AF274" s="2"/>
      <c r="AG274" s="2"/>
      <c r="AI274" s="2"/>
    </row>
    <row r="275" spans="3:37" x14ac:dyDescent="0.35">
      <c r="C275" s="250"/>
      <c r="G275" s="49"/>
      <c r="H275" s="2"/>
      <c r="I275" s="2"/>
      <c r="J275" s="2"/>
      <c r="K275" s="2"/>
      <c r="L275" s="2"/>
      <c r="M275" s="2"/>
      <c r="N275" s="2"/>
      <c r="O275" s="2"/>
      <c r="P275" s="2"/>
      <c r="Q275" s="2"/>
      <c r="V275" s="155"/>
      <c r="AI275" s="2"/>
    </row>
    <row r="276" spans="3:37" x14ac:dyDescent="0.35">
      <c r="C276" s="250"/>
      <c r="G276" s="49"/>
      <c r="H276" s="2"/>
      <c r="I276" s="2"/>
      <c r="J276" s="2"/>
      <c r="K276" s="2"/>
      <c r="L276" s="2"/>
      <c r="M276" s="2"/>
      <c r="N276" s="2"/>
      <c r="O276" s="2"/>
      <c r="P276" s="2"/>
      <c r="Q276" s="2"/>
      <c r="V276" s="155"/>
    </row>
    <row r="277" spans="3:37" ht="16" thickBot="1" x14ac:dyDescent="0.4">
      <c r="C277" s="250"/>
      <c r="G277" s="49"/>
      <c r="H277" s="2"/>
      <c r="I277" s="2"/>
      <c r="J277" s="2"/>
      <c r="K277" s="2"/>
      <c r="L277" s="2"/>
      <c r="M277" s="2"/>
      <c r="N277" s="2"/>
      <c r="O277" s="2"/>
      <c r="P277" s="2"/>
      <c r="Q277" s="2"/>
      <c r="V277" s="155"/>
      <c r="Z277" s="13"/>
      <c r="AA277" s="9" t="s">
        <v>3</v>
      </c>
      <c r="AB277" s="9" t="s">
        <v>4</v>
      </c>
      <c r="AC277" s="9" t="s">
        <v>5</v>
      </c>
      <c r="AD277" s="9" t="s">
        <v>6</v>
      </c>
      <c r="AE277" s="9" t="s">
        <v>7</v>
      </c>
      <c r="AF277" s="9" t="s">
        <v>8</v>
      </c>
      <c r="AG277" s="9" t="s">
        <v>9</v>
      </c>
      <c r="AH277" s="9" t="s">
        <v>10</v>
      </c>
    </row>
    <row r="278" spans="3:37" ht="16" thickBot="1" x14ac:dyDescent="0.4">
      <c r="C278" s="155"/>
      <c r="V278" s="155"/>
      <c r="Z278" s="49" t="s">
        <v>77</v>
      </c>
      <c r="AA278" s="13">
        <f>AVERAGE(AA265:AA271)</f>
        <v>6.1842457142857139</v>
      </c>
      <c r="AB278" s="13">
        <f t="shared" ref="AB278:AI279" si="179">AVERAGE(AB265:AB271)</f>
        <v>8.4040728571428591</v>
      </c>
      <c r="AC278" s="13">
        <f t="shared" si="179"/>
        <v>0.42509512054092419</v>
      </c>
      <c r="AD278" s="13">
        <f t="shared" si="179"/>
        <v>0.57490487945907565</v>
      </c>
      <c r="AE278" s="13">
        <f t="shared" si="179"/>
        <v>0.1623149517444635</v>
      </c>
      <c r="AF278" s="13">
        <f t="shared" si="179"/>
        <v>6.8844543463710037E-2</v>
      </c>
      <c r="AG278" s="13">
        <f t="shared" si="179"/>
        <v>14.588318571428571</v>
      </c>
      <c r="AH278" s="13" t="e">
        <f t="shared" si="179"/>
        <v>#DIV/0!</v>
      </c>
      <c r="AI278" s="44" t="s">
        <v>139</v>
      </c>
    </row>
    <row r="279" spans="3:37" x14ac:dyDescent="0.35">
      <c r="C279" s="155"/>
      <c r="V279" s="155"/>
      <c r="Z279" s="49" t="s">
        <v>94</v>
      </c>
      <c r="AA279" s="2">
        <f>_xlfn.STDEV.S(AA265:AA271)</f>
        <v>0.42463944701582412</v>
      </c>
      <c r="AB279" s="2">
        <f t="shared" ref="AB279:AI280" si="180">_xlfn.STDEV.S(AB265:AB271)</f>
        <v>0.96179363709536703</v>
      </c>
      <c r="AC279" s="2">
        <f t="shared" si="180"/>
        <v>3.2626205838456025E-2</v>
      </c>
      <c r="AD279" s="2">
        <f t="shared" si="180"/>
        <v>3.2626205838456025E-2</v>
      </c>
      <c r="AE279" s="2">
        <f t="shared" si="180"/>
        <v>1.0447351973396642E-2</v>
      </c>
      <c r="AF279" s="2">
        <f t="shared" si="180"/>
        <v>4.9751759052493443E-3</v>
      </c>
      <c r="AG279" s="2">
        <f t="shared" si="180"/>
        <v>1.0165844447860437</v>
      </c>
      <c r="AH279" s="2" t="e">
        <f t="shared" si="180"/>
        <v>#DIV/0!</v>
      </c>
      <c r="AI279" s="13">
        <f t="shared" si="179"/>
        <v>0</v>
      </c>
    </row>
    <row r="280" spans="3:37" ht="24" thickBot="1" x14ac:dyDescent="0.6">
      <c r="C280" s="248" t="s">
        <v>216</v>
      </c>
      <c r="D280" s="204" t="s">
        <v>122</v>
      </c>
      <c r="F280" s="9" t="s">
        <v>1</v>
      </c>
      <c r="G280" s="9" t="s">
        <v>2</v>
      </c>
      <c r="H280" s="9" t="s">
        <v>3</v>
      </c>
      <c r="I280" s="9" t="s">
        <v>4</v>
      </c>
      <c r="J280" s="9" t="s">
        <v>5</v>
      </c>
      <c r="K280" s="9" t="s">
        <v>6</v>
      </c>
      <c r="L280" s="9" t="s">
        <v>7</v>
      </c>
      <c r="M280" s="9" t="s">
        <v>8</v>
      </c>
      <c r="N280" s="9" t="s">
        <v>9</v>
      </c>
      <c r="O280" s="9" t="s">
        <v>10</v>
      </c>
      <c r="P280" s="44" t="s">
        <v>139</v>
      </c>
      <c r="V280" s="155"/>
      <c r="Z280" s="49" t="s">
        <v>95</v>
      </c>
      <c r="AA280" s="2">
        <f t="shared" ref="AA280:AH280" si="181">AA279/(SQRT(7))</f>
        <v>0.16049862481026561</v>
      </c>
      <c r="AB280" s="2">
        <f t="shared" si="181"/>
        <v>0.36352382518837834</v>
      </c>
      <c r="AC280" s="2">
        <f t="shared" si="181"/>
        <v>1.2331546696022603E-2</v>
      </c>
      <c r="AD280" s="2">
        <f t="shared" si="181"/>
        <v>1.2331546696022603E-2</v>
      </c>
      <c r="AE280" s="2">
        <f t="shared" si="181"/>
        <v>3.9487278829667717E-3</v>
      </c>
      <c r="AF280" s="2">
        <f t="shared" si="181"/>
        <v>1.8804397391557733E-3</v>
      </c>
      <c r="AG280" s="2">
        <f t="shared" si="181"/>
        <v>0.38423280394293485</v>
      </c>
      <c r="AH280" s="2" t="e">
        <f t="shared" si="181"/>
        <v>#DIV/0!</v>
      </c>
      <c r="AI280" s="2">
        <f t="shared" si="180"/>
        <v>0</v>
      </c>
    </row>
    <row r="281" spans="3:37" x14ac:dyDescent="0.35">
      <c r="C281" s="155">
        <v>10</v>
      </c>
      <c r="D281" t="s">
        <v>541</v>
      </c>
      <c r="F281">
        <v>7.6171699999999998</v>
      </c>
      <c r="G281">
        <v>14.44581</v>
      </c>
      <c r="H281" s="2">
        <f t="shared" ref="H281:H288" si="182">G281-F281</f>
        <v>6.82864</v>
      </c>
      <c r="I281" s="2">
        <f t="shared" ref="I281:I287" si="183">F282-G281</f>
        <v>7.9464300000000012</v>
      </c>
      <c r="J281" s="2">
        <f t="shared" ref="J281:J287" si="184">H281/N281</f>
        <v>0.46217310645567156</v>
      </c>
      <c r="K281" s="2">
        <f t="shared" ref="K281:K287" si="185">I281/N281</f>
        <v>0.53782689354432844</v>
      </c>
      <c r="L281" s="2">
        <f t="shared" ref="L281:L287" si="186">1/H281</f>
        <v>0.14644204409662831</v>
      </c>
      <c r="M281" s="2">
        <f t="shared" ref="M281:M287" si="187">1/N281</f>
        <v>6.768157443585715E-2</v>
      </c>
      <c r="N281" s="2">
        <f t="shared" ref="N281:N287" si="188">H281+I281</f>
        <v>14.775070000000001</v>
      </c>
      <c r="O281">
        <v>49</v>
      </c>
      <c r="P281" s="2">
        <f t="shared" ref="P281:P287" si="189">O281/H281</f>
        <v>7.1756601607347879</v>
      </c>
      <c r="R281" t="s">
        <v>344</v>
      </c>
      <c r="V281" s="155"/>
      <c r="AI281" s="2">
        <f>AI280/(SQRT(7))</f>
        <v>0</v>
      </c>
    </row>
    <row r="282" spans="3:37" x14ac:dyDescent="0.35">
      <c r="C282" s="155">
        <v>10</v>
      </c>
      <c r="E282" s="104"/>
      <c r="F282">
        <v>22.392240000000001</v>
      </c>
      <c r="G282">
        <v>28.31907</v>
      </c>
      <c r="H282" s="2">
        <f t="shared" si="182"/>
        <v>5.9268299999999989</v>
      </c>
      <c r="I282" s="2">
        <f t="shared" si="183"/>
        <v>7.6526099999999992</v>
      </c>
      <c r="J282" s="2">
        <f t="shared" si="184"/>
        <v>0.43645614252134107</v>
      </c>
      <c r="K282" s="2">
        <f t="shared" si="185"/>
        <v>0.56354385747865898</v>
      </c>
      <c r="L282" s="2">
        <f t="shared" si="186"/>
        <v>0.16872425900523555</v>
      </c>
      <c r="M282" s="2">
        <f t="shared" si="187"/>
        <v>7.3640739235196748E-2</v>
      </c>
      <c r="N282" s="2">
        <f t="shared" si="188"/>
        <v>13.579439999999998</v>
      </c>
      <c r="O282">
        <v>44</v>
      </c>
      <c r="P282" s="2">
        <f t="shared" si="189"/>
        <v>7.4238673962303636</v>
      </c>
      <c r="V282" s="155"/>
    </row>
    <row r="283" spans="3:37" ht="16" thickBot="1" x14ac:dyDescent="0.4">
      <c r="C283" s="155">
        <v>10</v>
      </c>
      <c r="D283" t="s">
        <v>541</v>
      </c>
      <c r="F283">
        <v>35.971679999999999</v>
      </c>
      <c r="G283">
        <v>41.71181</v>
      </c>
      <c r="H283" s="2">
        <f t="shared" si="182"/>
        <v>5.7401300000000006</v>
      </c>
      <c r="I283" s="2">
        <f t="shared" si="183"/>
        <v>8.5648100000000014</v>
      </c>
      <c r="J283" s="2">
        <f t="shared" si="184"/>
        <v>0.40126907208279095</v>
      </c>
      <c r="K283" s="2">
        <f t="shared" si="185"/>
        <v>0.59873092791720905</v>
      </c>
      <c r="L283" s="2">
        <f t="shared" si="186"/>
        <v>0.17421208230475616</v>
      </c>
      <c r="M283" s="2">
        <f t="shared" si="187"/>
        <v>6.9905920612040304E-2</v>
      </c>
      <c r="N283" s="2">
        <f t="shared" si="188"/>
        <v>14.304940000000002</v>
      </c>
      <c r="O283">
        <v>39</v>
      </c>
      <c r="P283" s="2">
        <f t="shared" si="189"/>
        <v>6.7942712098854896</v>
      </c>
      <c r="V283" s="155"/>
      <c r="Z283" s="9" t="s">
        <v>2</v>
      </c>
      <c r="AA283" s="9" t="s">
        <v>3</v>
      </c>
      <c r="AB283" s="9" t="s">
        <v>4</v>
      </c>
      <c r="AC283" s="9" t="s">
        <v>5</v>
      </c>
      <c r="AD283" s="9" t="s">
        <v>6</v>
      </c>
      <c r="AE283" s="9" t="s">
        <v>7</v>
      </c>
      <c r="AF283" s="9" t="s">
        <v>8</v>
      </c>
      <c r="AG283" s="9" t="s">
        <v>9</v>
      </c>
      <c r="AH283" s="9" t="s">
        <v>10</v>
      </c>
    </row>
    <row r="284" spans="3:37" ht="24" thickBot="1" x14ac:dyDescent="0.6">
      <c r="C284" s="155">
        <v>10</v>
      </c>
      <c r="F284">
        <v>50.276620000000001</v>
      </c>
      <c r="G284">
        <v>56.795859999999998</v>
      </c>
      <c r="H284" s="2">
        <f t="shared" si="182"/>
        <v>6.5192399999999964</v>
      </c>
      <c r="I284" s="2">
        <f t="shared" si="183"/>
        <v>7.1702399999999997</v>
      </c>
      <c r="J284" s="2">
        <f t="shared" si="184"/>
        <v>0.47622261765969182</v>
      </c>
      <c r="K284" s="2">
        <f t="shared" si="185"/>
        <v>0.52377738234030813</v>
      </c>
      <c r="L284" s="2">
        <f t="shared" si="186"/>
        <v>0.15339211319110826</v>
      </c>
      <c r="M284" s="2">
        <f t="shared" si="187"/>
        <v>7.3048793672221321E-2</v>
      </c>
      <c r="N284" s="2">
        <f t="shared" si="188"/>
        <v>13.689479999999996</v>
      </c>
      <c r="O284">
        <v>45</v>
      </c>
      <c r="P284" s="2">
        <f t="shared" si="189"/>
        <v>6.9026450935998716</v>
      </c>
      <c r="V284" s="179" t="s">
        <v>346</v>
      </c>
      <c r="Y284" s="9" t="s">
        <v>1</v>
      </c>
      <c r="Z284">
        <v>134.47608</v>
      </c>
      <c r="AA284" s="2">
        <f t="shared" ref="AA284:AA291" si="190">Z284-Y285</f>
        <v>6.0943299999999851</v>
      </c>
      <c r="AB284" s="2">
        <f t="shared" ref="AB284:AB290" si="191">Y286-Z284</f>
        <v>7.6638900000000092</v>
      </c>
      <c r="AC284" s="2">
        <f t="shared" ref="AC284:AC290" si="192">AA284/AG284</f>
        <v>0.4429591909418506</v>
      </c>
      <c r="AD284" s="2">
        <f t="shared" ref="AD284:AD290" si="193">AB284/AG284</f>
        <v>0.55704080905814946</v>
      </c>
      <c r="AE284" s="2">
        <f t="shared" ref="AE284:AE290" si="194">1/AA284</f>
        <v>0.16408694639115415</v>
      </c>
      <c r="AF284" s="2">
        <f t="shared" ref="AF284:AF290" si="195">1/AG284</f>
        <v>7.2683821017544448E-2</v>
      </c>
      <c r="AG284" s="2">
        <f t="shared" ref="AG284:AG290" si="196">AA284+AB284</f>
        <v>13.758219999999994</v>
      </c>
      <c r="AH284">
        <v>24</v>
      </c>
      <c r="AI284" s="44" t="s">
        <v>139</v>
      </c>
    </row>
    <row r="285" spans="3:37" x14ac:dyDescent="0.35">
      <c r="C285" s="155">
        <v>10</v>
      </c>
      <c r="D285" t="s">
        <v>541</v>
      </c>
      <c r="E285" s="104"/>
      <c r="F285">
        <v>63.966099999999997</v>
      </c>
      <c r="G285">
        <v>70.552459999999996</v>
      </c>
      <c r="H285" s="2">
        <f t="shared" si="182"/>
        <v>6.5863599999999991</v>
      </c>
      <c r="I285" s="2">
        <f t="shared" si="183"/>
        <v>7.8017899999999969</v>
      </c>
      <c r="J285" s="2">
        <f t="shared" si="184"/>
        <v>0.45776281175828726</v>
      </c>
      <c r="K285" s="2">
        <f t="shared" si="185"/>
        <v>0.54223718824171274</v>
      </c>
      <c r="L285" s="2">
        <f t="shared" si="186"/>
        <v>0.15182893130651834</v>
      </c>
      <c r="M285" s="2">
        <f t="shared" si="187"/>
        <v>6.9501638501127685E-2</v>
      </c>
      <c r="N285" s="2">
        <f t="shared" si="188"/>
        <v>14.388149999999996</v>
      </c>
      <c r="O285">
        <v>47</v>
      </c>
      <c r="P285" s="2">
        <f t="shared" si="189"/>
        <v>7.1359597714063616</v>
      </c>
      <c r="V285" s="155">
        <v>1.5</v>
      </c>
      <c r="Y285">
        <v>128.38175000000001</v>
      </c>
      <c r="Z285">
        <v>148.17321999999999</v>
      </c>
      <c r="AA285" s="2">
        <f t="shared" si="190"/>
        <v>6.0332499999999811</v>
      </c>
      <c r="AB285" s="2">
        <f t="shared" si="191"/>
        <v>8.8755100000000198</v>
      </c>
      <c r="AC285" s="2">
        <f t="shared" si="192"/>
        <v>0.40467818919883214</v>
      </c>
      <c r="AD285" s="2">
        <f t="shared" si="193"/>
        <v>0.59532181080116786</v>
      </c>
      <c r="AE285" s="2">
        <f t="shared" si="194"/>
        <v>0.16574814569262059</v>
      </c>
      <c r="AF285" s="2">
        <f t="shared" si="195"/>
        <v>6.7074659461953914E-2</v>
      </c>
      <c r="AG285" s="2">
        <f t="shared" si="196"/>
        <v>14.908760000000001</v>
      </c>
      <c r="AH285">
        <v>22</v>
      </c>
      <c r="AI285" s="2">
        <f t="shared" ref="AI285:AI291" si="197">AH284/AA284</f>
        <v>3.9380867133876993</v>
      </c>
    </row>
    <row r="286" spans="3:37" x14ac:dyDescent="0.35">
      <c r="C286" s="155">
        <v>10</v>
      </c>
      <c r="E286" s="104"/>
      <c r="F286">
        <v>78.354249999999993</v>
      </c>
      <c r="G286">
        <v>84.086340000000007</v>
      </c>
      <c r="H286" s="2">
        <f t="shared" si="182"/>
        <v>5.7320900000000137</v>
      </c>
      <c r="I286" s="2">
        <f t="shared" si="183"/>
        <v>8.7304999999999922</v>
      </c>
      <c r="J286" s="2">
        <f t="shared" si="184"/>
        <v>0.39633910661921629</v>
      </c>
      <c r="K286" s="2">
        <f t="shared" si="185"/>
        <v>0.60366089338078366</v>
      </c>
      <c r="L286" s="2">
        <f t="shared" si="186"/>
        <v>0.17445643735530977</v>
      </c>
      <c r="M286" s="2">
        <f t="shared" si="187"/>
        <v>6.9143908525374748E-2</v>
      </c>
      <c r="N286" s="2">
        <f t="shared" si="188"/>
        <v>14.462590000000006</v>
      </c>
      <c r="O286">
        <v>41</v>
      </c>
      <c r="P286" s="2">
        <f t="shared" si="189"/>
        <v>7.1527139315677006</v>
      </c>
      <c r="V286" s="155">
        <v>1.5</v>
      </c>
      <c r="X286" s="104"/>
      <c r="Y286">
        <v>142.13997000000001</v>
      </c>
      <c r="Z286">
        <v>162.98642000000001</v>
      </c>
      <c r="AA286" s="2">
        <f t="shared" si="190"/>
        <v>5.9376900000000035</v>
      </c>
      <c r="AB286" s="2">
        <f t="shared" si="191"/>
        <v>9.9347499999999798</v>
      </c>
      <c r="AC286" s="2">
        <f t="shared" si="192"/>
        <v>0.37408804191416128</v>
      </c>
      <c r="AD286" s="2">
        <f t="shared" si="193"/>
        <v>0.62591195808583877</v>
      </c>
      <c r="AE286" s="2">
        <f t="shared" si="194"/>
        <v>0.16841566333035227</v>
      </c>
      <c r="AF286" s="2">
        <f t="shared" si="195"/>
        <v>6.3002285722926099E-2</v>
      </c>
      <c r="AG286" s="2">
        <f t="shared" si="196"/>
        <v>15.872439999999983</v>
      </c>
      <c r="AH286">
        <v>23</v>
      </c>
      <c r="AI286" s="2">
        <f t="shared" si="197"/>
        <v>3.6464592052376528</v>
      </c>
      <c r="AK286" t="s">
        <v>348</v>
      </c>
    </row>
    <row r="287" spans="3:37" x14ac:dyDescent="0.35">
      <c r="C287" s="155">
        <v>10</v>
      </c>
      <c r="F287">
        <v>92.816839999999999</v>
      </c>
      <c r="G287">
        <v>98.590130000000002</v>
      </c>
      <c r="H287" s="2">
        <f t="shared" si="182"/>
        <v>5.7732900000000029</v>
      </c>
      <c r="I287" s="2">
        <f t="shared" si="183"/>
        <v>8.8491499999999945</v>
      </c>
      <c r="J287" s="2">
        <f t="shared" si="184"/>
        <v>0.39482398286469317</v>
      </c>
      <c r="K287" s="2">
        <f t="shared" si="185"/>
        <v>0.60517601713530689</v>
      </c>
      <c r="L287" s="2">
        <f t="shared" si="186"/>
        <v>0.17321146174884675</v>
      </c>
      <c r="M287" s="2">
        <f t="shared" si="187"/>
        <v>6.8388039205495132E-2</v>
      </c>
      <c r="N287" s="2">
        <f t="shared" si="188"/>
        <v>14.622439999999997</v>
      </c>
      <c r="O287">
        <v>43</v>
      </c>
      <c r="P287" s="2">
        <f t="shared" si="189"/>
        <v>7.4480928552004109</v>
      </c>
      <c r="V287" s="155">
        <v>1.5</v>
      </c>
      <c r="Y287">
        <v>157.04873000000001</v>
      </c>
      <c r="Z287">
        <v>178.88283000000001</v>
      </c>
      <c r="AA287" s="2">
        <f t="shared" si="190"/>
        <v>5.9616600000000233</v>
      </c>
      <c r="AB287" s="2">
        <f t="shared" si="191"/>
        <v>8.900999999999982</v>
      </c>
      <c r="AC287" s="2">
        <f t="shared" si="192"/>
        <v>0.40111662380758367</v>
      </c>
      <c r="AD287" s="2">
        <f t="shared" si="193"/>
        <v>0.59888337619241638</v>
      </c>
      <c r="AE287" s="2">
        <f t="shared" si="194"/>
        <v>0.16773851578251631</v>
      </c>
      <c r="AF287" s="2">
        <f t="shared" si="195"/>
        <v>6.7282707133178021E-2</v>
      </c>
      <c r="AG287" s="2">
        <f t="shared" si="196"/>
        <v>14.862660000000005</v>
      </c>
      <c r="AH287">
        <v>23</v>
      </c>
      <c r="AI287" s="2">
        <f t="shared" si="197"/>
        <v>3.8735602565981022</v>
      </c>
    </row>
    <row r="288" spans="3:37" x14ac:dyDescent="0.35">
      <c r="C288" s="155">
        <v>10</v>
      </c>
      <c r="F288">
        <v>107.43928</v>
      </c>
      <c r="G288">
        <v>113.53887</v>
      </c>
      <c r="H288" s="2">
        <f t="shared" si="182"/>
        <v>6.0995900000000063</v>
      </c>
      <c r="I288" s="2"/>
      <c r="J288" s="2"/>
      <c r="K288" s="2"/>
      <c r="L288" s="2"/>
      <c r="M288" s="2"/>
      <c r="N288" s="2"/>
      <c r="O288">
        <v>47</v>
      </c>
      <c r="P288" s="2"/>
      <c r="V288" s="155">
        <v>1.5</v>
      </c>
      <c r="Y288">
        <v>172.92116999999999</v>
      </c>
      <c r="Z288">
        <v>194.10086999999999</v>
      </c>
      <c r="AA288" s="2">
        <f t="shared" si="190"/>
        <v>6.3170399999999916</v>
      </c>
      <c r="AB288" s="2">
        <f t="shared" si="191"/>
        <v>7.7556900000000155</v>
      </c>
      <c r="AC288" s="2">
        <f t="shared" si="192"/>
        <v>0.44888518432457586</v>
      </c>
      <c r="AD288" s="2">
        <f t="shared" si="193"/>
        <v>0.5511148156754242</v>
      </c>
      <c r="AE288" s="2">
        <f t="shared" si="194"/>
        <v>0.15830198953940475</v>
      </c>
      <c r="AF288" s="2">
        <f t="shared" si="195"/>
        <v>7.1059417753342777E-2</v>
      </c>
      <c r="AG288" s="2">
        <f t="shared" si="196"/>
        <v>14.072730000000007</v>
      </c>
      <c r="AH288">
        <v>32</v>
      </c>
      <c r="AI288" s="2">
        <f t="shared" si="197"/>
        <v>3.8579858629978747</v>
      </c>
    </row>
    <row r="289" spans="3:35" x14ac:dyDescent="0.35">
      <c r="C289" s="155"/>
      <c r="H289" s="2"/>
      <c r="I289" s="2"/>
      <c r="J289" s="2"/>
      <c r="K289" s="2"/>
      <c r="L289" s="2"/>
      <c r="M289" s="2"/>
      <c r="N289" s="2"/>
      <c r="P289" s="2"/>
      <c r="V289" s="155">
        <v>1.5</v>
      </c>
      <c r="X289" s="104"/>
      <c r="Y289">
        <v>187.78382999999999</v>
      </c>
      <c r="Z289">
        <v>208.02823000000001</v>
      </c>
      <c r="AA289" s="2">
        <f t="shared" si="190"/>
        <v>6.171670000000006</v>
      </c>
      <c r="AB289" s="2">
        <f t="shared" si="191"/>
        <v>6.9749599999999816</v>
      </c>
      <c r="AC289" s="2">
        <f t="shared" si="192"/>
        <v>0.46944882452765552</v>
      </c>
      <c r="AD289" s="2">
        <f t="shared" si="193"/>
        <v>0.53055117547234454</v>
      </c>
      <c r="AE289" s="2">
        <f t="shared" si="194"/>
        <v>0.16203069833610662</v>
      </c>
      <c r="AF289" s="2">
        <f t="shared" si="195"/>
        <v>7.6065120871280395E-2</v>
      </c>
      <c r="AG289" s="2">
        <f t="shared" si="196"/>
        <v>13.146629999999988</v>
      </c>
      <c r="AH289">
        <v>23</v>
      </c>
      <c r="AI289" s="2">
        <f t="shared" si="197"/>
        <v>5.0656636652609519</v>
      </c>
    </row>
    <row r="290" spans="3:35" x14ac:dyDescent="0.35">
      <c r="C290" s="155"/>
      <c r="H290" s="2"/>
      <c r="I290" s="2"/>
      <c r="J290" s="2"/>
      <c r="K290" s="2"/>
      <c r="L290" s="2"/>
      <c r="M290" s="2"/>
      <c r="N290" s="2"/>
      <c r="P290" s="2"/>
      <c r="V290" s="155">
        <v>1.5</v>
      </c>
      <c r="X290" s="104"/>
      <c r="Y290">
        <v>201.85656</v>
      </c>
      <c r="Z290">
        <v>221.30737999999999</v>
      </c>
      <c r="AA290" s="2">
        <f t="shared" si="190"/>
        <v>6.3041900000000055</v>
      </c>
      <c r="AB290" s="2">
        <f t="shared" si="191"/>
        <v>8.544460000000015</v>
      </c>
      <c r="AC290" s="2">
        <f t="shared" si="192"/>
        <v>0.42456317577692226</v>
      </c>
      <c r="AD290" s="2">
        <f t="shared" si="193"/>
        <v>0.57543682422307774</v>
      </c>
      <c r="AE290" s="2">
        <f t="shared" si="194"/>
        <v>0.15862466074150669</v>
      </c>
      <c r="AF290" s="2">
        <f t="shared" si="195"/>
        <v>6.7346189720950966E-2</v>
      </c>
      <c r="AG290" s="2">
        <f t="shared" si="196"/>
        <v>14.848650000000021</v>
      </c>
      <c r="AH290">
        <v>19</v>
      </c>
      <c r="AI290" s="2">
        <f t="shared" si="197"/>
        <v>3.7267060617304519</v>
      </c>
    </row>
    <row r="291" spans="3:35" x14ac:dyDescent="0.35">
      <c r="C291" s="155"/>
      <c r="V291" s="155">
        <v>1.5</v>
      </c>
      <c r="Y291">
        <v>215.00318999999999</v>
      </c>
      <c r="Z291">
        <v>236.10151999999999</v>
      </c>
      <c r="AA291" s="2">
        <f t="shared" si="190"/>
        <v>6.2496799999999837</v>
      </c>
      <c r="AB291" s="2"/>
      <c r="AC291" s="2"/>
      <c r="AD291" s="2"/>
      <c r="AE291" s="2"/>
      <c r="AF291" s="2"/>
      <c r="AG291" s="2"/>
      <c r="AI291" s="2">
        <f t="shared" si="197"/>
        <v>3.0138685540886274</v>
      </c>
    </row>
    <row r="292" spans="3:35" x14ac:dyDescent="0.35">
      <c r="C292" s="155"/>
      <c r="V292" s="155">
        <v>1.5</v>
      </c>
      <c r="Y292">
        <v>229.85184000000001</v>
      </c>
      <c r="AA292" s="2"/>
      <c r="AB292" s="2"/>
      <c r="AC292" s="2"/>
      <c r="AD292" s="2"/>
      <c r="AE292" s="2"/>
      <c r="AF292" s="2"/>
      <c r="AG292" s="2"/>
      <c r="AI292" s="2"/>
    </row>
    <row r="293" spans="3:35" ht="16" thickBot="1" x14ac:dyDescent="0.4">
      <c r="C293" s="155"/>
      <c r="G293" s="13"/>
      <c r="H293" s="9" t="s">
        <v>3</v>
      </c>
      <c r="I293" s="9" t="s">
        <v>4</v>
      </c>
      <c r="J293" s="9" t="s">
        <v>5</v>
      </c>
      <c r="K293" s="9" t="s">
        <v>6</v>
      </c>
      <c r="L293" s="9" t="s">
        <v>7</v>
      </c>
      <c r="M293" s="9" t="s">
        <v>8</v>
      </c>
      <c r="N293" s="9" t="s">
        <v>9</v>
      </c>
      <c r="O293" s="9" t="s">
        <v>10</v>
      </c>
      <c r="P293" s="44" t="s">
        <v>139</v>
      </c>
      <c r="V293" s="155"/>
      <c r="AA293" s="2"/>
      <c r="AB293" s="2"/>
      <c r="AC293" s="2"/>
      <c r="AD293" s="2"/>
      <c r="AE293" s="2"/>
      <c r="AF293" s="2"/>
      <c r="AG293" s="2"/>
      <c r="AI293" s="2"/>
    </row>
    <row r="294" spans="3:35" x14ac:dyDescent="0.35">
      <c r="C294" s="155"/>
      <c r="G294" s="49" t="s">
        <v>77</v>
      </c>
      <c r="H294" s="13">
        <f>AVERAGE(H281:H287)</f>
        <v>6.1580828571428583</v>
      </c>
      <c r="I294" s="13">
        <f t="shared" ref="I294:P294" si="198">AVERAGE(I281:I287)</f>
        <v>8.102218571428569</v>
      </c>
      <c r="J294" s="13">
        <f t="shared" si="198"/>
        <v>0.43214954856595605</v>
      </c>
      <c r="K294" s="13">
        <f t="shared" si="198"/>
        <v>0.567850451434044</v>
      </c>
      <c r="L294" s="13">
        <f t="shared" si="198"/>
        <v>0.16318104700120045</v>
      </c>
      <c r="M294" s="13">
        <f t="shared" si="198"/>
        <v>7.0187230598187586E-2</v>
      </c>
      <c r="N294" s="13">
        <f t="shared" si="198"/>
        <v>14.260301428571427</v>
      </c>
      <c r="O294" s="13">
        <f t="shared" si="198"/>
        <v>44</v>
      </c>
      <c r="P294" s="13">
        <f t="shared" si="198"/>
        <v>7.1476014883749981</v>
      </c>
      <c r="V294" s="155"/>
      <c r="AI294" s="2"/>
    </row>
    <row r="295" spans="3:35" x14ac:dyDescent="0.35">
      <c r="C295" s="155"/>
      <c r="G295" s="49" t="s">
        <v>94</v>
      </c>
      <c r="H295" s="2">
        <f>_xlfn.STDEV.S(H281:H287)</f>
        <v>0.4692548360153645</v>
      </c>
      <c r="I295" s="2">
        <f t="shared" ref="I295:P295" si="199">_xlfn.STDEV.S(I281:I287)</f>
        <v>0.62608496133854175</v>
      </c>
      <c r="J295" s="2">
        <f t="shared" si="199"/>
        <v>3.4514791239220702E-2</v>
      </c>
      <c r="K295" s="2">
        <f t="shared" si="199"/>
        <v>3.4514791239220716E-2</v>
      </c>
      <c r="L295" s="2">
        <f t="shared" si="199"/>
        <v>1.2145249832481842E-2</v>
      </c>
      <c r="M295" s="2">
        <f t="shared" si="199"/>
        <v>2.2828476509033266E-3</v>
      </c>
      <c r="N295" s="2">
        <f t="shared" si="199"/>
        <v>0.45548489559401095</v>
      </c>
      <c r="O295" s="2">
        <f t="shared" si="199"/>
        <v>3.415650255319866</v>
      </c>
      <c r="P295" s="2">
        <f t="shared" si="199"/>
        <v>0.24235400765630216</v>
      </c>
      <c r="V295" s="155"/>
    </row>
    <row r="296" spans="3:35" ht="16" thickBot="1" x14ac:dyDescent="0.4">
      <c r="C296" s="155"/>
      <c r="G296" s="49" t="s">
        <v>95</v>
      </c>
      <c r="H296" s="2">
        <f>H295/(SQRT(7))</f>
        <v>0.17736165680157859</v>
      </c>
      <c r="I296" s="2">
        <f t="shared" ref="I296:P296" si="200">I295/(SQRT(7))</f>
        <v>0.23663787247132431</v>
      </c>
      <c r="J296" s="2">
        <f t="shared" si="200"/>
        <v>1.3045364881755544E-2</v>
      </c>
      <c r="K296" s="2">
        <f t="shared" si="200"/>
        <v>1.3045364881755551E-2</v>
      </c>
      <c r="L296" s="2">
        <f t="shared" si="200"/>
        <v>4.5904729524994048E-3</v>
      </c>
      <c r="M296" s="2">
        <f t="shared" si="200"/>
        <v>8.6283530933402817E-4</v>
      </c>
      <c r="N296" s="2">
        <f t="shared" si="200"/>
        <v>0.17215710852685323</v>
      </c>
      <c r="O296" s="2">
        <f t="shared" si="200"/>
        <v>1.2909944487358056</v>
      </c>
      <c r="P296" s="2">
        <f t="shared" si="200"/>
        <v>9.1601204785488458E-2</v>
      </c>
      <c r="V296" s="155"/>
      <c r="Z296" s="13"/>
      <c r="AA296" s="9" t="s">
        <v>3</v>
      </c>
      <c r="AB296" s="9" t="s">
        <v>4</v>
      </c>
      <c r="AC296" s="9" t="s">
        <v>5</v>
      </c>
      <c r="AD296" s="9" t="s">
        <v>6</v>
      </c>
      <c r="AE296" s="9" t="s">
        <v>7</v>
      </c>
      <c r="AF296" s="9" t="s">
        <v>8</v>
      </c>
      <c r="AG296" s="9" t="s">
        <v>9</v>
      </c>
      <c r="AH296" s="9" t="s">
        <v>10</v>
      </c>
    </row>
    <row r="297" spans="3:35" ht="16" thickBot="1" x14ac:dyDescent="0.4">
      <c r="C297" s="250"/>
      <c r="G297" s="49"/>
      <c r="H297" s="2"/>
      <c r="I297" s="2"/>
      <c r="J297" s="2"/>
      <c r="K297" s="2"/>
      <c r="L297" s="2"/>
      <c r="M297" s="2"/>
      <c r="N297" s="2"/>
      <c r="O297" s="2"/>
      <c r="P297" s="2"/>
      <c r="V297" s="155"/>
      <c r="Z297" s="49" t="s">
        <v>77</v>
      </c>
      <c r="AA297" s="13">
        <f>AVERAGE(AA284:AA290)</f>
        <v>6.1171185714285707</v>
      </c>
      <c r="AB297" s="13">
        <f>AVERAGE(AB284:AB290)</f>
        <v>8.3786085714285718</v>
      </c>
      <c r="AC297" s="13">
        <f t="shared" ref="AC297:AI298" si="201">AVERAGE(AC284:AC290)</f>
        <v>0.42367703292736875</v>
      </c>
      <c r="AD297" s="13">
        <f t="shared" si="201"/>
        <v>0.57632296707263131</v>
      </c>
      <c r="AE297" s="13">
        <f t="shared" si="201"/>
        <v>0.16356380283052305</v>
      </c>
      <c r="AF297" s="13">
        <f t="shared" si="201"/>
        <v>6.921631452588238E-2</v>
      </c>
      <c r="AG297" s="13">
        <f t="shared" si="201"/>
        <v>14.495727142857143</v>
      </c>
      <c r="AH297" s="13">
        <f t="shared" si="201"/>
        <v>23.714285714285715</v>
      </c>
      <c r="AI297" s="44" t="s">
        <v>139</v>
      </c>
    </row>
    <row r="298" spans="3:35" ht="16" thickBot="1" x14ac:dyDescent="0.4">
      <c r="C298" s="250"/>
      <c r="E298" s="104" t="s">
        <v>81</v>
      </c>
      <c r="G298" s="13"/>
      <c r="H298" s="9" t="s">
        <v>3</v>
      </c>
      <c r="I298" s="9" t="s">
        <v>4</v>
      </c>
      <c r="J298" s="9" t="s">
        <v>5</v>
      </c>
      <c r="K298" s="9" t="s">
        <v>6</v>
      </c>
      <c r="L298" s="9" t="s">
        <v>7</v>
      </c>
      <c r="M298" s="9" t="s">
        <v>8</v>
      </c>
      <c r="N298" s="9" t="s">
        <v>9</v>
      </c>
      <c r="O298" s="9" t="s">
        <v>10</v>
      </c>
      <c r="P298" s="44" t="s">
        <v>139</v>
      </c>
      <c r="V298" s="155"/>
      <c r="Z298" s="49" t="s">
        <v>94</v>
      </c>
      <c r="AA298" s="2">
        <f>_xlfn.STDEV.S(AA284:AA290)</f>
        <v>0.15376139051883222</v>
      </c>
      <c r="AB298" s="2">
        <f t="shared" ref="AB298:AI299" si="202">_xlfn.STDEV.S(AB284:AB290)</f>
        <v>0.98640476576012581</v>
      </c>
      <c r="AC298" s="2">
        <f t="shared" si="202"/>
        <v>3.2741642247529533E-2</v>
      </c>
      <c r="AD298" s="2">
        <f t="shared" si="202"/>
        <v>3.2741642247529533E-2</v>
      </c>
      <c r="AE298" s="2">
        <f t="shared" si="202"/>
        <v>4.0915772130571586E-3</v>
      </c>
      <c r="AF298" s="2">
        <f t="shared" si="202"/>
        <v>4.3352013379911016E-3</v>
      </c>
      <c r="AG298" s="2">
        <f t="shared" si="202"/>
        <v>0.90074368962012585</v>
      </c>
      <c r="AH298" s="2">
        <f t="shared" si="202"/>
        <v>3.9880774697543084</v>
      </c>
      <c r="AI298" s="13">
        <f t="shared" si="201"/>
        <v>3.8746186170430512</v>
      </c>
    </row>
    <row r="299" spans="3:35" x14ac:dyDescent="0.35">
      <c r="C299" s="250"/>
      <c r="G299" s="49" t="s">
        <v>77</v>
      </c>
      <c r="H299" s="2">
        <f>AVERAGE(H281,H285,H283)</f>
        <v>6.385043333333333</v>
      </c>
      <c r="I299" s="2">
        <f t="shared" ref="I299:P299" si="203">AVERAGE(I281,I285,I283)</f>
        <v>8.1043433333333326</v>
      </c>
      <c r="J299" s="2">
        <f t="shared" si="203"/>
        <v>0.4404016634322499</v>
      </c>
      <c r="K299" s="2">
        <f t="shared" si="203"/>
        <v>0.55959833656775004</v>
      </c>
      <c r="L299" s="2">
        <f t="shared" si="203"/>
        <v>0.15749435256930092</v>
      </c>
      <c r="M299" s="2">
        <f t="shared" si="203"/>
        <v>6.902971118300838E-2</v>
      </c>
      <c r="N299" s="2">
        <f t="shared" si="203"/>
        <v>14.489386666666666</v>
      </c>
      <c r="O299" s="2">
        <f t="shared" si="203"/>
        <v>45</v>
      </c>
      <c r="P299" s="2">
        <f t="shared" si="203"/>
        <v>7.0352970473422127</v>
      </c>
      <c r="V299" s="155"/>
      <c r="Z299" s="49" t="s">
        <v>95</v>
      </c>
      <c r="AA299" s="2">
        <f t="shared" ref="AA299:AH299" si="204">AA298/(SQRT(7))</f>
        <v>5.8116342936616404E-2</v>
      </c>
      <c r="AB299" s="2">
        <f t="shared" si="204"/>
        <v>0.37282595746431618</v>
      </c>
      <c r="AC299" s="2">
        <f t="shared" si="204"/>
        <v>1.2375177557544149E-2</v>
      </c>
      <c r="AD299" s="2">
        <f t="shared" si="204"/>
        <v>1.2375177557544149E-2</v>
      </c>
      <c r="AE299" s="2">
        <f t="shared" si="204"/>
        <v>1.5464708251097116E-3</v>
      </c>
      <c r="AF299" s="2">
        <f t="shared" si="204"/>
        <v>1.6385520891027034E-3</v>
      </c>
      <c r="AG299" s="2">
        <f t="shared" si="204"/>
        <v>0.34044911396365779</v>
      </c>
      <c r="AH299" s="2">
        <f t="shared" si="204"/>
        <v>1.5073515991756594</v>
      </c>
      <c r="AI299" s="2">
        <f t="shared" si="202"/>
        <v>0.61069902391473829</v>
      </c>
    </row>
    <row r="300" spans="3:35" x14ac:dyDescent="0.35">
      <c r="C300" s="250"/>
      <c r="G300" s="49" t="s">
        <v>94</v>
      </c>
      <c r="H300" s="2">
        <f>_xlfn.STDEV.S(H281,H285,H283)</f>
        <v>0.57149786109252654</v>
      </c>
      <c r="I300" s="2">
        <f t="shared" ref="I300:P300" si="205">_xlfn.STDEV.S(I281,I285,I283)</f>
        <v>0.40528057655571736</v>
      </c>
      <c r="J300" s="2">
        <f t="shared" si="205"/>
        <v>3.3961484863330955E-2</v>
      </c>
      <c r="K300" s="2">
        <f t="shared" si="205"/>
        <v>3.3961484863330955E-2</v>
      </c>
      <c r="L300" s="2">
        <f t="shared" si="205"/>
        <v>1.4726388018920728E-2</v>
      </c>
      <c r="M300" s="2">
        <f t="shared" si="205"/>
        <v>1.1848905110032801E-3</v>
      </c>
      <c r="N300" s="2">
        <f t="shared" si="205"/>
        <v>0.25088284364087898</v>
      </c>
      <c r="O300" s="2">
        <f t="shared" si="205"/>
        <v>5.2915026221291814</v>
      </c>
      <c r="P300" s="2">
        <f t="shared" si="205"/>
        <v>0.20967622890898555</v>
      </c>
      <c r="V300" s="155"/>
      <c r="AI300" s="2">
        <f>AI299/(SQRT(7))</f>
        <v>0.2308225347411835</v>
      </c>
    </row>
    <row r="301" spans="3:35" x14ac:dyDescent="0.35">
      <c r="C301" s="250"/>
      <c r="G301" s="49" t="s">
        <v>95</v>
      </c>
      <c r="H301" s="2">
        <f>H300/SQRT(3)</f>
        <v>0.32995444394306556</v>
      </c>
      <c r="I301" s="2">
        <f t="shared" ref="I301:P301" si="206">I300/SQRT(3)</f>
        <v>0.23398884997177016</v>
      </c>
      <c r="J301" s="2">
        <f t="shared" si="206"/>
        <v>1.960767242792353E-2</v>
      </c>
      <c r="K301" s="2">
        <f t="shared" si="206"/>
        <v>1.960767242792353E-2</v>
      </c>
      <c r="L301" s="2">
        <f t="shared" si="206"/>
        <v>8.5022840869147624E-3</v>
      </c>
      <c r="M301" s="2">
        <f t="shared" si="206"/>
        <v>6.8409685548797704E-4</v>
      </c>
      <c r="N301" s="2">
        <f t="shared" si="206"/>
        <v>0.14484727731112029</v>
      </c>
      <c r="O301" s="2">
        <f t="shared" si="206"/>
        <v>3.0550504633038935</v>
      </c>
      <c r="P301" s="2">
        <f t="shared" si="206"/>
        <v>0.1210566272032684</v>
      </c>
    </row>
    <row r="302" spans="3:35" ht="16" thickBot="1" x14ac:dyDescent="0.4">
      <c r="C302" s="250"/>
      <c r="H302" s="2"/>
      <c r="I302" s="2"/>
      <c r="J302" s="2"/>
      <c r="K302" s="2"/>
      <c r="L302" s="2"/>
      <c r="M302" s="2"/>
      <c r="N302" s="2"/>
      <c r="Z302" s="9" t="s">
        <v>2</v>
      </c>
      <c r="AA302" s="9" t="s">
        <v>3</v>
      </c>
      <c r="AB302" s="9" t="s">
        <v>4</v>
      </c>
      <c r="AC302" s="9" t="s">
        <v>5</v>
      </c>
      <c r="AD302" s="9" t="s">
        <v>6</v>
      </c>
      <c r="AE302" s="9" t="s">
        <v>7</v>
      </c>
      <c r="AF302" s="9" t="s">
        <v>8</v>
      </c>
      <c r="AG302" s="9" t="s">
        <v>9</v>
      </c>
      <c r="AH302" s="9" t="s">
        <v>10</v>
      </c>
    </row>
    <row r="303" spans="3:35" ht="24" thickBot="1" x14ac:dyDescent="0.6">
      <c r="C303" s="250"/>
      <c r="H303" s="2"/>
      <c r="I303" s="2"/>
      <c r="J303" s="2"/>
      <c r="K303" s="2"/>
      <c r="L303" s="2"/>
      <c r="M303" s="2"/>
      <c r="N303" s="2"/>
      <c r="V303" s="179" t="s">
        <v>346</v>
      </c>
      <c r="Y303" s="9" t="s">
        <v>1</v>
      </c>
      <c r="Z303">
        <v>250.70257000000001</v>
      </c>
      <c r="AA303" s="2">
        <f t="shared" ref="AA303:AA311" si="207">Z303-Y304</f>
        <v>6.1831500000000119</v>
      </c>
      <c r="AB303" s="2">
        <f t="shared" ref="AB303:AB310" si="208">Y305-Z303</f>
        <v>10.479889999999983</v>
      </c>
      <c r="AC303" s="2">
        <f t="shared" ref="AC303:AC309" si="209">AA303/AG303</f>
        <v>0.37106974477646421</v>
      </c>
      <c r="AD303" s="2">
        <f t="shared" ref="AD303:AD309" si="210">AB303/AG303</f>
        <v>0.62893025522353585</v>
      </c>
      <c r="AE303" s="2">
        <f t="shared" ref="AE303:AE309" si="211">1/AA303</f>
        <v>0.16172986261048139</v>
      </c>
      <c r="AF303" s="2">
        <f t="shared" ref="AF303:AF309" si="212">1/AG303</f>
        <v>6.0013058841603947E-2</v>
      </c>
      <c r="AG303" s="2">
        <f t="shared" ref="AG303:AG309" si="213">AA303+AB303</f>
        <v>16.663039999999995</v>
      </c>
      <c r="AH303">
        <v>24</v>
      </c>
      <c r="AI303" s="44" t="s">
        <v>139</v>
      </c>
    </row>
    <row r="304" spans="3:35" ht="16" thickBot="1" x14ac:dyDescent="0.4">
      <c r="C304" s="250"/>
      <c r="E304" s="104" t="s">
        <v>82</v>
      </c>
      <c r="G304" s="13"/>
      <c r="H304" s="9" t="s">
        <v>3</v>
      </c>
      <c r="I304" s="9" t="s">
        <v>4</v>
      </c>
      <c r="J304" s="9" t="s">
        <v>5</v>
      </c>
      <c r="K304" s="9" t="s">
        <v>6</v>
      </c>
      <c r="L304" s="9" t="s">
        <v>7</v>
      </c>
      <c r="M304" s="9" t="s">
        <v>8</v>
      </c>
      <c r="N304" s="9" t="s">
        <v>9</v>
      </c>
      <c r="O304" s="9" t="s">
        <v>10</v>
      </c>
      <c r="P304" s="44" t="s">
        <v>139</v>
      </c>
      <c r="V304" s="155">
        <v>0</v>
      </c>
      <c r="Y304">
        <v>244.51942</v>
      </c>
      <c r="Z304">
        <v>266.82524999999998</v>
      </c>
      <c r="AA304" s="2">
        <f t="shared" si="207"/>
        <v>5.6427899999999909</v>
      </c>
      <c r="AB304" s="2">
        <f t="shared" si="208"/>
        <v>7.3018600000000333</v>
      </c>
      <c r="AC304" s="2">
        <f t="shared" si="209"/>
        <v>0.43591676870367141</v>
      </c>
      <c r="AD304" s="2">
        <f t="shared" si="210"/>
        <v>0.56408323129632854</v>
      </c>
      <c r="AE304" s="2">
        <f t="shared" si="211"/>
        <v>0.17721729853494489</v>
      </c>
      <c r="AF304" s="2">
        <f t="shared" si="212"/>
        <v>7.7251992135747058E-2</v>
      </c>
      <c r="AG304" s="2">
        <f t="shared" si="213"/>
        <v>12.944650000000024</v>
      </c>
      <c r="AH304">
        <v>22</v>
      </c>
      <c r="AI304" s="2">
        <f t="shared" ref="AI304:AI310" si="214">AH303/AA303</f>
        <v>3.8815167026515538</v>
      </c>
    </row>
    <row r="305" spans="3:37" x14ac:dyDescent="0.35">
      <c r="C305" s="250"/>
      <c r="G305" s="49" t="s">
        <v>77</v>
      </c>
      <c r="H305" s="2">
        <f>AVERAGE(H284,H282,H286,H287)</f>
        <v>5.987862500000003</v>
      </c>
      <c r="I305" s="2">
        <f t="shared" ref="I305:P305" si="215">AVERAGE(I284,I282,I286,I287)</f>
        <v>8.1006249999999973</v>
      </c>
      <c r="J305" s="2">
        <f t="shared" si="215"/>
        <v>0.42596046241623559</v>
      </c>
      <c r="K305" s="2">
        <f t="shared" si="215"/>
        <v>0.57403953758376436</v>
      </c>
      <c r="L305" s="2">
        <f t="shared" si="215"/>
        <v>0.16744606782512508</v>
      </c>
      <c r="M305" s="2">
        <f t="shared" si="215"/>
        <v>7.1055370159571987E-2</v>
      </c>
      <c r="N305" s="2">
        <f t="shared" si="215"/>
        <v>14.088487499999999</v>
      </c>
      <c r="O305" s="2">
        <f t="shared" si="215"/>
        <v>43.25</v>
      </c>
      <c r="P305" s="2">
        <f t="shared" si="215"/>
        <v>7.2318298191495867</v>
      </c>
      <c r="V305" s="155">
        <v>0</v>
      </c>
      <c r="X305" s="104"/>
      <c r="Y305">
        <v>261.18245999999999</v>
      </c>
      <c r="Z305">
        <v>279.75484999999998</v>
      </c>
      <c r="AA305" s="2">
        <f t="shared" si="207"/>
        <v>5.6277399999999602</v>
      </c>
      <c r="AB305" s="2">
        <f t="shared" si="208"/>
        <v>8.6409000000000447</v>
      </c>
      <c r="AC305" s="2">
        <f t="shared" si="209"/>
        <v>0.39441320265981611</v>
      </c>
      <c r="AD305" s="2">
        <f t="shared" si="210"/>
        <v>0.60558679734018395</v>
      </c>
      <c r="AE305" s="2">
        <f t="shared" si="211"/>
        <v>0.17769122240899671</v>
      </c>
      <c r="AF305" s="2">
        <f t="shared" si="212"/>
        <v>7.0083764114870065E-2</v>
      </c>
      <c r="AG305" s="2">
        <f t="shared" si="213"/>
        <v>14.268640000000005</v>
      </c>
      <c r="AH305">
        <v>23</v>
      </c>
      <c r="AI305" s="2">
        <f t="shared" si="214"/>
        <v>3.8987805677687875</v>
      </c>
      <c r="AK305" t="s">
        <v>348</v>
      </c>
    </row>
    <row r="306" spans="3:37" x14ac:dyDescent="0.35">
      <c r="C306" s="250"/>
      <c r="G306" s="49" t="s">
        <v>94</v>
      </c>
      <c r="H306" s="2">
        <f>_xlfn.STDEV.S(H284,H282,H286,H287)</f>
        <v>0.36402744542822046</v>
      </c>
      <c r="I306" s="2">
        <f t="shared" ref="I306:P306" si="216">_xlfn.STDEV.S(I284,I282,I286,I287)</f>
        <v>0.82125227137179213</v>
      </c>
      <c r="J306" s="2">
        <f t="shared" si="216"/>
        <v>3.8658110958776512E-2</v>
      </c>
      <c r="K306" s="2">
        <f t="shared" si="216"/>
        <v>3.8658110958776533E-2</v>
      </c>
      <c r="L306" s="2">
        <f t="shared" si="216"/>
        <v>9.6873192300268429E-3</v>
      </c>
      <c r="M306" s="2">
        <f t="shared" si="216"/>
        <v>2.6724651887701338E-3</v>
      </c>
      <c r="N306" s="2">
        <f t="shared" si="216"/>
        <v>0.53021828683257322</v>
      </c>
      <c r="O306" s="2">
        <f t="shared" si="216"/>
        <v>1.707825127659933</v>
      </c>
      <c r="P306" s="2">
        <f t="shared" si="216"/>
        <v>0.25707977943048882</v>
      </c>
      <c r="V306" s="155">
        <v>0</v>
      </c>
      <c r="Y306">
        <v>274.12711000000002</v>
      </c>
      <c r="Z306">
        <v>294.15492</v>
      </c>
      <c r="AA306" s="2">
        <f t="shared" si="207"/>
        <v>5.7591699999999832</v>
      </c>
      <c r="AB306" s="2">
        <f t="shared" si="208"/>
        <v>7.8380399999999781</v>
      </c>
      <c r="AC306" s="2">
        <f t="shared" si="209"/>
        <v>0.42355527347154304</v>
      </c>
      <c r="AD306" s="2">
        <f t="shared" si="210"/>
        <v>0.57644472652845702</v>
      </c>
      <c r="AE306" s="2">
        <f t="shared" si="211"/>
        <v>0.17363613159535191</v>
      </c>
      <c r="AF306" s="2">
        <f t="shared" si="212"/>
        <v>7.3544499202410116E-2</v>
      </c>
      <c r="AG306" s="2">
        <f t="shared" si="213"/>
        <v>13.597209999999961</v>
      </c>
      <c r="AH306">
        <v>23</v>
      </c>
      <c r="AI306" s="2">
        <f t="shared" si="214"/>
        <v>4.0868981154069237</v>
      </c>
    </row>
    <row r="307" spans="3:37" x14ac:dyDescent="0.35">
      <c r="C307" s="250"/>
      <c r="G307" s="49" t="s">
        <v>95</v>
      </c>
      <c r="H307" s="2">
        <f>H306/SQRT(4)</f>
        <v>0.18201372271411023</v>
      </c>
      <c r="I307" s="2">
        <f t="shared" ref="I307:P307" si="217">I306/SQRT(4)</f>
        <v>0.41062613568589607</v>
      </c>
      <c r="J307" s="2">
        <f t="shared" si="217"/>
        <v>1.9329055479388256E-2</v>
      </c>
      <c r="K307" s="2">
        <f t="shared" si="217"/>
        <v>1.9329055479388266E-2</v>
      </c>
      <c r="L307" s="2">
        <f t="shared" si="217"/>
        <v>4.8436596150134214E-3</v>
      </c>
      <c r="M307" s="2">
        <f t="shared" si="217"/>
        <v>1.3362325943850669E-3</v>
      </c>
      <c r="N307" s="2">
        <f t="shared" si="217"/>
        <v>0.26510914341628661</v>
      </c>
      <c r="O307" s="2">
        <f t="shared" si="217"/>
        <v>0.8539125638299665</v>
      </c>
      <c r="P307" s="2">
        <f t="shared" si="217"/>
        <v>0.12853988971524441</v>
      </c>
      <c r="V307" s="155">
        <v>0</v>
      </c>
      <c r="Y307">
        <v>288.39575000000002</v>
      </c>
      <c r="Z307">
        <v>307.96078</v>
      </c>
      <c r="AA307" s="2">
        <f t="shared" si="207"/>
        <v>5.9678200000000174</v>
      </c>
      <c r="AB307" s="2">
        <f t="shared" si="208"/>
        <v>8.4067299999999818</v>
      </c>
      <c r="AC307" s="2">
        <f t="shared" si="209"/>
        <v>0.41516569214340748</v>
      </c>
      <c r="AD307" s="2">
        <f t="shared" si="210"/>
        <v>0.58483430785659252</v>
      </c>
      <c r="AE307" s="2">
        <f t="shared" si="211"/>
        <v>0.16756537563130205</v>
      </c>
      <c r="AF307" s="2">
        <f t="shared" si="212"/>
        <v>6.9567395153239578E-2</v>
      </c>
      <c r="AG307" s="2">
        <f t="shared" si="213"/>
        <v>14.374549999999999</v>
      </c>
      <c r="AH307">
        <v>32</v>
      </c>
      <c r="AI307" s="2">
        <f t="shared" si="214"/>
        <v>3.9936310266930941</v>
      </c>
    </row>
    <row r="308" spans="3:37" x14ac:dyDescent="0.35">
      <c r="C308" s="250"/>
      <c r="G308" s="49"/>
      <c r="H308" s="2"/>
      <c r="I308" s="2"/>
      <c r="J308" s="2"/>
      <c r="K308" s="2"/>
      <c r="L308" s="2"/>
      <c r="M308" s="2"/>
      <c r="N308" s="2"/>
      <c r="O308" s="2"/>
      <c r="P308" s="2"/>
      <c r="V308" s="155">
        <v>0</v>
      </c>
      <c r="X308" s="104"/>
      <c r="Y308">
        <v>301.99295999999998</v>
      </c>
      <c r="Z308">
        <v>321.36930999999998</v>
      </c>
      <c r="AA308" s="2">
        <f t="shared" si="207"/>
        <v>5.0018000000000029</v>
      </c>
      <c r="AB308" s="2">
        <f t="shared" si="208"/>
        <v>7.5264600000000428</v>
      </c>
      <c r="AC308" s="2">
        <f t="shared" si="209"/>
        <v>0.39924139505406053</v>
      </c>
      <c r="AD308" s="2">
        <f t="shared" si="210"/>
        <v>0.60075860494593947</v>
      </c>
      <c r="AE308" s="2">
        <f t="shared" si="211"/>
        <v>0.19992802591067205</v>
      </c>
      <c r="AF308" s="2">
        <f t="shared" si="212"/>
        <v>7.9819543974981075E-2</v>
      </c>
      <c r="AG308" s="2">
        <f t="shared" si="213"/>
        <v>12.528260000000046</v>
      </c>
      <c r="AH308">
        <v>23</v>
      </c>
      <c r="AI308" s="2">
        <f t="shared" si="214"/>
        <v>5.3620920202016658</v>
      </c>
    </row>
    <row r="309" spans="3:37" x14ac:dyDescent="0.35">
      <c r="C309" s="250"/>
      <c r="G309" s="49"/>
      <c r="H309" s="2"/>
      <c r="I309" s="2"/>
      <c r="J309" s="2"/>
      <c r="K309" s="2"/>
      <c r="L309" s="2"/>
      <c r="M309" s="2"/>
      <c r="N309" s="2"/>
      <c r="O309" s="2"/>
      <c r="P309" s="2"/>
      <c r="V309" s="155">
        <v>0</v>
      </c>
      <c r="X309" s="104"/>
      <c r="Y309">
        <v>316.36750999999998</v>
      </c>
      <c r="Z309">
        <v>334.75859000000003</v>
      </c>
      <c r="AA309" s="2">
        <f t="shared" si="207"/>
        <v>5.8628199999999993</v>
      </c>
      <c r="AB309" s="2">
        <f t="shared" si="208"/>
        <v>8.5090599999999768</v>
      </c>
      <c r="AC309" s="2">
        <f t="shared" si="209"/>
        <v>0.40793688786714116</v>
      </c>
      <c r="AD309" s="2">
        <f t="shared" si="210"/>
        <v>0.59206311213285878</v>
      </c>
      <c r="AE309" s="2">
        <f t="shared" si="211"/>
        <v>0.1705663827304949</v>
      </c>
      <c r="AF309" s="2">
        <f t="shared" si="212"/>
        <v>6.958031934583378E-2</v>
      </c>
      <c r="AG309" s="2">
        <f t="shared" si="213"/>
        <v>14.371879999999976</v>
      </c>
      <c r="AH309">
        <v>19</v>
      </c>
      <c r="AI309" s="2">
        <f t="shared" si="214"/>
        <v>4.5983445959454565</v>
      </c>
    </row>
    <row r="310" spans="3:37" x14ac:dyDescent="0.35">
      <c r="C310" s="155"/>
      <c r="V310" s="155">
        <v>0</v>
      </c>
      <c r="Y310">
        <v>328.89577000000003</v>
      </c>
      <c r="Z310">
        <v>348.92626000000001</v>
      </c>
      <c r="AA310" s="2">
        <f t="shared" si="207"/>
        <v>5.6586100000000101</v>
      </c>
      <c r="AB310" s="2">
        <f t="shared" si="208"/>
        <v>7.0865400000000136</v>
      </c>
      <c r="AC310" s="2">
        <f>AA310/AG310</f>
        <v>0.44398143607568363</v>
      </c>
      <c r="AD310" s="2">
        <f>AB310/AG310</f>
        <v>0.55601856392431637</v>
      </c>
      <c r="AE310" s="2">
        <f>1/AA310</f>
        <v>0.17672184511744018</v>
      </c>
      <c r="AF310" s="2">
        <f>1/AG310</f>
        <v>7.8461218581185641E-2</v>
      </c>
      <c r="AG310" s="2">
        <f>AA310+AB310</f>
        <v>12.745150000000024</v>
      </c>
      <c r="AI310" s="2">
        <f t="shared" si="214"/>
        <v>3.240761271879403</v>
      </c>
    </row>
    <row r="311" spans="3:37" x14ac:dyDescent="0.35">
      <c r="C311" s="155"/>
      <c r="V311" s="155">
        <v>0</v>
      </c>
      <c r="Y311">
        <v>343.26765</v>
      </c>
      <c r="Z311">
        <v>359.88416999999998</v>
      </c>
      <c r="AA311" s="2">
        <f t="shared" si="207"/>
        <v>3.8713699999999562</v>
      </c>
      <c r="AB311" s="2"/>
      <c r="AC311" s="2"/>
      <c r="AD311" s="2"/>
      <c r="AE311" s="2"/>
      <c r="AF311" s="2"/>
      <c r="AG311" s="2"/>
      <c r="AI311" s="2"/>
    </row>
    <row r="312" spans="3:37" ht="24" thickBot="1" x14ac:dyDescent="0.6">
      <c r="C312" s="155" t="s">
        <v>216</v>
      </c>
      <c r="D312" s="204" t="s">
        <v>122</v>
      </c>
      <c r="F312" s="9" t="s">
        <v>1</v>
      </c>
      <c r="G312" s="9" t="s">
        <v>2</v>
      </c>
      <c r="H312" s="9" t="s">
        <v>3</v>
      </c>
      <c r="I312" s="9" t="s">
        <v>4</v>
      </c>
      <c r="J312" s="9" t="s">
        <v>5</v>
      </c>
      <c r="K312" s="9" t="s">
        <v>6</v>
      </c>
      <c r="L312" s="9" t="s">
        <v>7</v>
      </c>
      <c r="M312" s="9" t="s">
        <v>8</v>
      </c>
      <c r="N312" s="9" t="s">
        <v>9</v>
      </c>
      <c r="O312" s="9" t="s">
        <v>10</v>
      </c>
      <c r="P312" s="44" t="s">
        <v>139</v>
      </c>
      <c r="V312" s="155"/>
      <c r="Y312">
        <v>356.01280000000003</v>
      </c>
      <c r="AA312" s="2"/>
      <c r="AB312" s="2"/>
      <c r="AC312" s="2"/>
      <c r="AD312" s="2"/>
      <c r="AE312" s="2"/>
      <c r="AF312" s="2"/>
      <c r="AG312" s="2"/>
      <c r="AI312" s="2"/>
    </row>
    <row r="313" spans="3:37" x14ac:dyDescent="0.35">
      <c r="C313" s="155">
        <v>0</v>
      </c>
      <c r="F313">
        <v>122.87067</v>
      </c>
      <c r="G313">
        <v>128.74856</v>
      </c>
      <c r="H313" s="2">
        <f t="shared" ref="H313:H320" si="218">G313-F313</f>
        <v>5.8778899999999936</v>
      </c>
      <c r="I313" s="2">
        <f t="shared" ref="I313:I319" si="219">F314-G313</f>
        <v>8.0339899999999886</v>
      </c>
      <c r="J313" s="2">
        <f t="shared" ref="J313:J319" si="220">H313/N313</f>
        <v>0.42250867603803377</v>
      </c>
      <c r="K313" s="2">
        <f t="shared" ref="K313:K319" si="221">I313/N313</f>
        <v>0.57749132396196623</v>
      </c>
      <c r="L313" s="2">
        <f t="shared" ref="L313:L319" si="222">1/H313</f>
        <v>0.17012907693066748</v>
      </c>
      <c r="M313" s="2">
        <f t="shared" ref="M313:M319" si="223">1/N313</f>
        <v>7.1881011049549109E-2</v>
      </c>
      <c r="N313" s="2">
        <f t="shared" ref="N313:N319" si="224">H313+I313</f>
        <v>13.911879999999982</v>
      </c>
      <c r="O313">
        <v>41</v>
      </c>
      <c r="P313" s="2">
        <f t="shared" ref="P313:P320" si="225">O313/H313</f>
        <v>6.9752921541573665</v>
      </c>
      <c r="R313" t="s">
        <v>345</v>
      </c>
      <c r="V313" s="155"/>
      <c r="AI313" s="2"/>
    </row>
    <row r="314" spans="3:37" x14ac:dyDescent="0.35">
      <c r="C314" s="155">
        <v>0</v>
      </c>
      <c r="D314" t="s">
        <v>541</v>
      </c>
      <c r="E314" s="104"/>
      <c r="F314">
        <v>136.78254999999999</v>
      </c>
      <c r="G314">
        <v>141.58403000000001</v>
      </c>
      <c r="H314" s="2">
        <f t="shared" si="218"/>
        <v>4.8014800000000264</v>
      </c>
      <c r="I314" s="2">
        <f t="shared" si="219"/>
        <v>10.577649999999977</v>
      </c>
      <c r="J314" s="2">
        <f t="shared" si="220"/>
        <v>0.3122075175903985</v>
      </c>
      <c r="K314" s="2">
        <f t="shared" si="221"/>
        <v>0.68779248240960145</v>
      </c>
      <c r="L314" s="2">
        <f t="shared" si="222"/>
        <v>0.20826911702225032</v>
      </c>
      <c r="M314" s="2">
        <f t="shared" si="223"/>
        <v>6.5023184016260976E-2</v>
      </c>
      <c r="N314" s="2">
        <f t="shared" si="224"/>
        <v>15.379130000000004</v>
      </c>
      <c r="O314">
        <v>36</v>
      </c>
      <c r="P314" s="2">
        <f t="shared" si="225"/>
        <v>7.4976882128010116</v>
      </c>
      <c r="V314" s="155"/>
    </row>
    <row r="315" spans="3:37" ht="16" thickBot="1" x14ac:dyDescent="0.4">
      <c r="C315" s="155">
        <v>0</v>
      </c>
      <c r="F315">
        <v>152.16167999999999</v>
      </c>
      <c r="G315">
        <v>159.07704000000001</v>
      </c>
      <c r="H315" s="2">
        <f t="shared" si="218"/>
        <v>6.915360000000021</v>
      </c>
      <c r="I315" s="2">
        <f t="shared" si="219"/>
        <v>9.7460099999999841</v>
      </c>
      <c r="J315" s="2">
        <f t="shared" si="220"/>
        <v>0.41505350400357349</v>
      </c>
      <c r="K315" s="2">
        <f t="shared" si="221"/>
        <v>0.58494649599642656</v>
      </c>
      <c r="L315" s="2">
        <f t="shared" si="222"/>
        <v>0.14460563152171355</v>
      </c>
      <c r="M315" s="2">
        <f t="shared" si="223"/>
        <v>6.0019074061736802E-2</v>
      </c>
      <c r="N315" s="2">
        <f t="shared" si="224"/>
        <v>16.661370000000005</v>
      </c>
      <c r="O315">
        <v>50</v>
      </c>
      <c r="P315" s="2">
        <f t="shared" si="225"/>
        <v>7.2302815760856767</v>
      </c>
      <c r="V315" s="155"/>
      <c r="Z315" s="13"/>
      <c r="AA315" s="9" t="s">
        <v>3</v>
      </c>
      <c r="AB315" s="9" t="s">
        <v>4</v>
      </c>
      <c r="AC315" s="9" t="s">
        <v>5</v>
      </c>
      <c r="AD315" s="9" t="s">
        <v>6</v>
      </c>
      <c r="AE315" s="9" t="s">
        <v>7</v>
      </c>
      <c r="AF315" s="9" t="s">
        <v>8</v>
      </c>
      <c r="AG315" s="9" t="s">
        <v>9</v>
      </c>
      <c r="AH315" s="9" t="s">
        <v>10</v>
      </c>
    </row>
    <row r="316" spans="3:37" ht="16" thickBot="1" x14ac:dyDescent="0.4">
      <c r="C316" s="155">
        <v>0</v>
      </c>
      <c r="D316" t="s">
        <v>541</v>
      </c>
      <c r="F316">
        <v>168.82304999999999</v>
      </c>
      <c r="G316">
        <v>173.65770000000001</v>
      </c>
      <c r="H316" s="2">
        <f t="shared" si="218"/>
        <v>4.8346500000000106</v>
      </c>
      <c r="I316" s="2">
        <f t="shared" si="219"/>
        <v>8.6686300000000074</v>
      </c>
      <c r="J316" s="2">
        <f t="shared" si="220"/>
        <v>0.35803523292118689</v>
      </c>
      <c r="K316" s="2">
        <f t="shared" si="221"/>
        <v>0.64196476707881311</v>
      </c>
      <c r="L316" s="2">
        <f t="shared" si="222"/>
        <v>0.20684020559916391</v>
      </c>
      <c r="M316" s="2">
        <f t="shared" si="223"/>
        <v>7.4056081189162834E-2</v>
      </c>
      <c r="N316" s="2">
        <f t="shared" si="224"/>
        <v>13.503280000000018</v>
      </c>
      <c r="O316">
        <v>36</v>
      </c>
      <c r="P316" s="2">
        <f t="shared" si="225"/>
        <v>7.4462474015699005</v>
      </c>
      <c r="V316" s="155"/>
      <c r="Z316" s="49" t="s">
        <v>77</v>
      </c>
      <c r="AA316" s="13">
        <f>AVERAGE(AA303:AA310)</f>
        <v>5.712987499999997</v>
      </c>
      <c r="AB316" s="13">
        <f t="shared" ref="AB316:AI317" si="226">AVERAGE(AB303:AB310)</f>
        <v>8.2236850000000068</v>
      </c>
      <c r="AC316" s="13">
        <f t="shared" si="226"/>
        <v>0.41141005009397341</v>
      </c>
      <c r="AD316" s="13">
        <f t="shared" si="226"/>
        <v>0.58858994990602653</v>
      </c>
      <c r="AE316" s="13">
        <f t="shared" si="226"/>
        <v>0.17563201806746048</v>
      </c>
      <c r="AF316" s="13">
        <f t="shared" si="226"/>
        <v>7.2290223918733909E-2</v>
      </c>
      <c r="AG316" s="13">
        <f t="shared" si="226"/>
        <v>13.936672500000004</v>
      </c>
      <c r="AH316" s="13">
        <f t="shared" si="226"/>
        <v>23.714285714285715</v>
      </c>
      <c r="AI316" s="44" t="s">
        <v>139</v>
      </c>
    </row>
    <row r="317" spans="3:37" x14ac:dyDescent="0.35">
      <c r="C317" s="155">
        <v>0</v>
      </c>
      <c r="E317" s="104"/>
      <c r="F317">
        <v>182.32633000000001</v>
      </c>
      <c r="G317">
        <v>187.48349999999999</v>
      </c>
      <c r="H317" s="2">
        <f t="shared" si="218"/>
        <v>5.1571699999999794</v>
      </c>
      <c r="I317" s="2">
        <f t="shared" si="219"/>
        <v>8.6412300000000073</v>
      </c>
      <c r="J317" s="2">
        <f t="shared" si="220"/>
        <v>0.37375130449907124</v>
      </c>
      <c r="K317" s="2">
        <f t="shared" si="221"/>
        <v>0.62624869550092876</v>
      </c>
      <c r="L317" s="2">
        <f t="shared" si="222"/>
        <v>0.19390479662295484</v>
      </c>
      <c r="M317" s="2">
        <f t="shared" si="223"/>
        <v>7.2472170686456477E-2</v>
      </c>
      <c r="N317" s="2">
        <f t="shared" si="224"/>
        <v>13.798399999999987</v>
      </c>
      <c r="O317">
        <v>39</v>
      </c>
      <c r="P317" s="2">
        <f t="shared" si="225"/>
        <v>7.5622870682952383</v>
      </c>
      <c r="V317" s="155"/>
      <c r="Z317" s="49" t="s">
        <v>94</v>
      </c>
      <c r="AA317" s="2">
        <f>_xlfn.STDEV.S(AA303:AA310)</f>
        <v>0.34465601458970674</v>
      </c>
      <c r="AB317" s="2">
        <f t="shared" ref="AB317:AI318" si="227">_xlfn.STDEV.S(AB303:AB310)</f>
        <v>1.0794958194321089</v>
      </c>
      <c r="AC317" s="2">
        <f t="shared" si="227"/>
        <v>2.3602232996728995E-2</v>
      </c>
      <c r="AD317" s="2">
        <f t="shared" si="227"/>
        <v>2.3602232996729016E-2</v>
      </c>
      <c r="AE317" s="2">
        <f t="shared" si="227"/>
        <v>1.1251806378892238E-2</v>
      </c>
      <c r="AF317" s="2">
        <f t="shared" si="227"/>
        <v>6.4511218563419685E-3</v>
      </c>
      <c r="AG317" s="2">
        <f t="shared" si="227"/>
        <v>1.3324048884173816</v>
      </c>
      <c r="AH317" s="2">
        <f t="shared" si="227"/>
        <v>3.9880774697543084</v>
      </c>
      <c r="AI317" s="13">
        <f t="shared" si="226"/>
        <v>4.1517177572209834</v>
      </c>
    </row>
    <row r="318" spans="3:37" x14ac:dyDescent="0.35">
      <c r="C318" s="155">
        <v>0</v>
      </c>
      <c r="D318" t="s">
        <v>541</v>
      </c>
      <c r="E318" s="104"/>
      <c r="F318">
        <v>196.12473</v>
      </c>
      <c r="G318">
        <v>201.31180000000001</v>
      </c>
      <c r="H318" s="2">
        <f t="shared" si="218"/>
        <v>5.1870700000000056</v>
      </c>
      <c r="I318" s="2">
        <f t="shared" si="219"/>
        <v>10.519639999999981</v>
      </c>
      <c r="J318" s="2">
        <f t="shared" si="220"/>
        <v>0.33024548107146628</v>
      </c>
      <c r="K318" s="2">
        <f t="shared" si="221"/>
        <v>0.66975451892853377</v>
      </c>
      <c r="L318" s="2">
        <f t="shared" si="222"/>
        <v>0.19278706475910271</v>
      </c>
      <c r="M318" s="2">
        <f t="shared" si="223"/>
        <v>6.3667056945725803E-2</v>
      </c>
      <c r="N318" s="2">
        <f t="shared" si="224"/>
        <v>15.706709999999987</v>
      </c>
      <c r="O318">
        <v>41</v>
      </c>
      <c r="P318" s="2">
        <f t="shared" si="225"/>
        <v>7.904269655123211</v>
      </c>
      <c r="V318" s="155"/>
      <c r="Z318" s="49" t="s">
        <v>95</v>
      </c>
      <c r="AA318" s="2">
        <f>AA317/(SQRT(8))</f>
        <v>0.12185430254655563</v>
      </c>
      <c r="AB318" s="2">
        <f t="shared" ref="AB318:AI319" si="228">AB317/(SQRT(8))</f>
        <v>0.38165940709148649</v>
      </c>
      <c r="AC318" s="2">
        <f t="shared" si="228"/>
        <v>8.3446495015659806E-3</v>
      </c>
      <c r="AD318" s="2">
        <f t="shared" si="228"/>
        <v>8.3446495015659875E-3</v>
      </c>
      <c r="AE318" s="2">
        <f t="shared" si="228"/>
        <v>3.9781142955563767E-3</v>
      </c>
      <c r="AF318" s="2">
        <f t="shared" si="228"/>
        <v>2.280816005440077E-3</v>
      </c>
      <c r="AG318" s="2">
        <f t="shared" si="228"/>
        <v>0.47107626594301782</v>
      </c>
      <c r="AH318" s="2">
        <f t="shared" si="228"/>
        <v>1.4099983113802799</v>
      </c>
      <c r="AI318" s="2">
        <f t="shared" si="227"/>
        <v>0.66589562993175166</v>
      </c>
    </row>
    <row r="319" spans="3:37" x14ac:dyDescent="0.35">
      <c r="C319" s="155">
        <v>0</v>
      </c>
      <c r="D319" t="s">
        <v>541</v>
      </c>
      <c r="F319">
        <v>211.83143999999999</v>
      </c>
      <c r="G319">
        <v>217.01635999999999</v>
      </c>
      <c r="H319" s="2">
        <f t="shared" si="218"/>
        <v>5.1849200000000053</v>
      </c>
      <c r="I319" s="2">
        <f t="shared" si="219"/>
        <v>9.1940000000000168</v>
      </c>
      <c r="J319" s="2">
        <f t="shared" si="220"/>
        <v>0.36059175515268166</v>
      </c>
      <c r="K319" s="2">
        <f t="shared" si="221"/>
        <v>0.6394082448473184</v>
      </c>
      <c r="L319" s="2">
        <f t="shared" si="222"/>
        <v>0.19286700662691014</v>
      </c>
      <c r="M319" s="2">
        <f t="shared" si="223"/>
        <v>6.9546252430641414E-2</v>
      </c>
      <c r="N319" s="2">
        <f t="shared" si="224"/>
        <v>14.378920000000022</v>
      </c>
      <c r="O319">
        <v>39</v>
      </c>
      <c r="P319" s="2">
        <f t="shared" si="225"/>
        <v>7.5218132584494954</v>
      </c>
      <c r="V319" s="155"/>
      <c r="AI319" s="2">
        <f t="shared" si="228"/>
        <v>0.23542965774361466</v>
      </c>
    </row>
    <row r="320" spans="3:37" x14ac:dyDescent="0.35">
      <c r="C320" s="155">
        <v>0</v>
      </c>
      <c r="F320">
        <v>226.21036000000001</v>
      </c>
      <c r="G320">
        <v>233.13290000000001</v>
      </c>
      <c r="H320" s="2">
        <f t="shared" si="218"/>
        <v>6.9225399999999979</v>
      </c>
      <c r="I320" s="2"/>
      <c r="J320" s="2"/>
      <c r="K320" s="2"/>
      <c r="L320" s="2"/>
      <c r="M320" s="2"/>
      <c r="N320" s="2"/>
      <c r="O320">
        <v>52</v>
      </c>
      <c r="P320" s="2">
        <f t="shared" si="225"/>
        <v>7.5116936846879927</v>
      </c>
    </row>
    <row r="321" spans="3:16" x14ac:dyDescent="0.35">
      <c r="C321" s="155"/>
      <c r="H321" s="2"/>
      <c r="I321" s="2"/>
      <c r="J321" s="2"/>
      <c r="K321" s="2"/>
      <c r="L321" s="2"/>
      <c r="M321" s="2"/>
      <c r="N321" s="2"/>
      <c r="P321" s="2"/>
    </row>
    <row r="322" spans="3:16" x14ac:dyDescent="0.35">
      <c r="C322" s="155"/>
      <c r="H322" s="2"/>
      <c r="I322" s="2"/>
      <c r="J322" s="2"/>
      <c r="K322" s="2"/>
      <c r="L322" s="2"/>
      <c r="M322" s="2"/>
      <c r="N322" s="2"/>
      <c r="P322" s="2"/>
    </row>
    <row r="323" spans="3:16" x14ac:dyDescent="0.35">
      <c r="C323" s="155"/>
    </row>
    <row r="324" spans="3:16" x14ac:dyDescent="0.35">
      <c r="C324" s="155"/>
    </row>
    <row r="325" spans="3:16" ht="16" thickBot="1" x14ac:dyDescent="0.4">
      <c r="C325" s="155"/>
      <c r="G325" s="13"/>
      <c r="H325" s="9" t="s">
        <v>3</v>
      </c>
      <c r="I325" s="9" t="s">
        <v>4</v>
      </c>
      <c r="J325" s="9" t="s">
        <v>5</v>
      </c>
      <c r="K325" s="9" t="s">
        <v>6</v>
      </c>
      <c r="L325" s="9" t="s">
        <v>7</v>
      </c>
      <c r="M325" s="9" t="s">
        <v>8</v>
      </c>
      <c r="N325" s="9" t="s">
        <v>9</v>
      </c>
      <c r="O325" s="9" t="s">
        <v>10</v>
      </c>
      <c r="P325" s="44" t="s">
        <v>139</v>
      </c>
    </row>
    <row r="326" spans="3:16" x14ac:dyDescent="0.35">
      <c r="C326" s="155"/>
      <c r="G326" s="49" t="s">
        <v>77</v>
      </c>
      <c r="H326" s="13">
        <f>AVERAGE(H313:H319)</f>
        <v>5.422648571428577</v>
      </c>
      <c r="I326" s="13">
        <f>AVERAGE(I313:I319)</f>
        <v>9.3401642857142804</v>
      </c>
      <c r="J326" s="13">
        <f t="shared" ref="J326:P326" si="229">AVERAGE(J313:J319)</f>
        <v>0.36748478161091597</v>
      </c>
      <c r="K326" s="13">
        <f t="shared" si="229"/>
        <v>0.63251521838908409</v>
      </c>
      <c r="L326" s="13">
        <f t="shared" si="229"/>
        <v>0.18705755701182328</v>
      </c>
      <c r="M326" s="13">
        <f t="shared" si="229"/>
        <v>6.8094975768504776E-2</v>
      </c>
      <c r="N326" s="13">
        <f t="shared" si="229"/>
        <v>14.762812857142858</v>
      </c>
      <c r="O326" s="13">
        <f t="shared" si="229"/>
        <v>40.285714285714285</v>
      </c>
      <c r="P326" s="13">
        <f t="shared" si="229"/>
        <v>7.4482684752116999</v>
      </c>
    </row>
    <row r="327" spans="3:16" x14ac:dyDescent="0.35">
      <c r="C327" s="155"/>
      <c r="G327" s="49" t="s">
        <v>94</v>
      </c>
      <c r="H327" s="2">
        <f>_xlfn.STDEV.S(H313:H319)</f>
        <v>0.74716306679396116</v>
      </c>
      <c r="I327" s="2">
        <f t="shared" ref="I327:P327" si="230">_xlfn.STDEV.S(I313:I319)</f>
        <v>0.97929968967380965</v>
      </c>
      <c r="J327" s="2">
        <f t="shared" si="230"/>
        <v>4.0638304638930887E-2</v>
      </c>
      <c r="K327" s="2">
        <f t="shared" si="230"/>
        <v>4.0638304638930291E-2</v>
      </c>
      <c r="L327" s="2">
        <f t="shared" si="230"/>
        <v>2.2522154030460349E-2</v>
      </c>
      <c r="M327" s="2">
        <f t="shared" si="230"/>
        <v>5.2503561519349536E-3</v>
      </c>
      <c r="N327" s="2">
        <f t="shared" si="230"/>
        <v>1.1735475769323578</v>
      </c>
      <c r="O327" s="2">
        <f t="shared" si="230"/>
        <v>4.7509397566616691</v>
      </c>
      <c r="P327" s="2">
        <f t="shared" si="230"/>
        <v>0.28868016744650909</v>
      </c>
    </row>
    <row r="328" spans="3:16" x14ac:dyDescent="0.35">
      <c r="C328" s="155"/>
      <c r="G328" s="49" t="s">
        <v>95</v>
      </c>
      <c r="H328" s="2">
        <f>H327/(SQRT(7))</f>
        <v>0.28240109479273756</v>
      </c>
      <c r="I328" s="2">
        <f t="shared" ref="I328:P328" si="231">I327/(SQRT(7))</f>
        <v>0.37014049112566122</v>
      </c>
      <c r="J328" s="2">
        <f t="shared" si="231"/>
        <v>1.5359835396841947E-2</v>
      </c>
      <c r="K328" s="2">
        <f t="shared" si="231"/>
        <v>1.5359835396841721E-2</v>
      </c>
      <c r="L328" s="2">
        <f t="shared" si="231"/>
        <v>8.5125740791555885E-3</v>
      </c>
      <c r="M328" s="2">
        <f t="shared" si="231"/>
        <v>1.9844480960768489E-3</v>
      </c>
      <c r="N328" s="2">
        <f t="shared" si="231"/>
        <v>0.44355929146649414</v>
      </c>
      <c r="O328" s="2">
        <f t="shared" si="231"/>
        <v>1.7956864414252138</v>
      </c>
      <c r="P328" s="2">
        <f t="shared" si="231"/>
        <v>0.10911084735713528</v>
      </c>
    </row>
    <row r="329" spans="3:16" x14ac:dyDescent="0.35">
      <c r="C329" s="250"/>
      <c r="G329" s="49"/>
      <c r="H329" s="2"/>
      <c r="I329" s="2"/>
      <c r="J329" s="2"/>
      <c r="K329" s="2"/>
      <c r="L329" s="2"/>
      <c r="M329" s="2"/>
      <c r="N329" s="2"/>
      <c r="O329" s="2"/>
      <c r="P329" s="2"/>
    </row>
    <row r="330" spans="3:16" x14ac:dyDescent="0.35">
      <c r="C330" s="250"/>
      <c r="G330" s="49"/>
      <c r="H330" s="2"/>
      <c r="I330" s="2"/>
      <c r="J330" s="2"/>
      <c r="K330" s="2"/>
      <c r="L330" s="2"/>
      <c r="M330" s="2"/>
      <c r="N330" s="2"/>
      <c r="O330" s="2"/>
      <c r="P330" s="2"/>
    </row>
    <row r="331" spans="3:16" ht="16" thickBot="1" x14ac:dyDescent="0.4">
      <c r="C331" s="250"/>
      <c r="E331" s="104" t="s">
        <v>81</v>
      </c>
      <c r="G331" s="13"/>
      <c r="H331" s="9" t="s">
        <v>3</v>
      </c>
      <c r="I331" s="9" t="s">
        <v>4</v>
      </c>
      <c r="J331" s="9" t="s">
        <v>5</v>
      </c>
      <c r="K331" s="9" t="s">
        <v>6</v>
      </c>
      <c r="L331" s="9" t="s">
        <v>7</v>
      </c>
      <c r="M331" s="9" t="s">
        <v>8</v>
      </c>
      <c r="N331" s="9" t="s">
        <v>9</v>
      </c>
      <c r="O331" s="9" t="s">
        <v>10</v>
      </c>
      <c r="P331" s="44" t="s">
        <v>139</v>
      </c>
    </row>
    <row r="332" spans="3:16" x14ac:dyDescent="0.35">
      <c r="C332" s="250"/>
      <c r="G332" s="49" t="s">
        <v>77</v>
      </c>
      <c r="H332" s="2">
        <f>AVERAGE(H314,H318:H319,H316)</f>
        <v>5.002030000000012</v>
      </c>
      <c r="I332" s="2">
        <f t="shared" ref="I332:P332" si="232">AVERAGE(I314,I318:I319,I316)</f>
        <v>9.7399799999999956</v>
      </c>
      <c r="J332" s="2">
        <f t="shared" si="232"/>
        <v>0.34026999668393332</v>
      </c>
      <c r="K332" s="2">
        <f t="shared" si="232"/>
        <v>0.65973000331606668</v>
      </c>
      <c r="L332" s="2">
        <f t="shared" si="232"/>
        <v>0.20019084850185678</v>
      </c>
      <c r="M332" s="2">
        <f t="shared" si="232"/>
        <v>6.8073143645447753E-2</v>
      </c>
      <c r="N332" s="2">
        <f t="shared" si="232"/>
        <v>14.742010000000008</v>
      </c>
      <c r="O332" s="2">
        <f t="shared" si="232"/>
        <v>38</v>
      </c>
      <c r="P332" s="2">
        <f t="shared" si="232"/>
        <v>7.5925046319859053</v>
      </c>
    </row>
    <row r="333" spans="3:16" x14ac:dyDescent="0.35">
      <c r="C333" s="250"/>
      <c r="G333" s="49" t="s">
        <v>94</v>
      </c>
      <c r="H333" s="2">
        <f>_xlfn.STDEV.S(H314,H318:H319,H316)</f>
        <v>0.21285748017549982</v>
      </c>
      <c r="I333" s="2">
        <f t="shared" ref="I333:P333" si="233">_xlfn.STDEV.S(I314,I318:I319,I316)</f>
        <v>0.95837461836867299</v>
      </c>
      <c r="J333" s="2">
        <f t="shared" si="233"/>
        <v>2.3213294552671366E-2</v>
      </c>
      <c r="K333" s="2">
        <f t="shared" si="233"/>
        <v>2.3213294552671335E-2</v>
      </c>
      <c r="L333" s="2">
        <f t="shared" si="233"/>
        <v>8.5230480778842911E-3</v>
      </c>
      <c r="M333" s="2">
        <f t="shared" si="233"/>
        <v>4.7145676680598542E-3</v>
      </c>
      <c r="N333" s="2">
        <f t="shared" si="233"/>
        <v>1.0004756111303461</v>
      </c>
      <c r="O333" s="2">
        <f t="shared" si="233"/>
        <v>2.4494897427831779</v>
      </c>
      <c r="P333" s="2">
        <f t="shared" si="233"/>
        <v>0.21021895786716824</v>
      </c>
    </row>
    <row r="334" spans="3:16" x14ac:dyDescent="0.35">
      <c r="C334" s="250"/>
      <c r="G334" s="49" t="s">
        <v>95</v>
      </c>
      <c r="H334" s="2">
        <f>H333/SQRT(4)</f>
        <v>0.10642874008774991</v>
      </c>
      <c r="I334" s="2">
        <f t="shared" ref="I334:P334" si="234">I333/SQRT(4)</f>
        <v>0.4791873091843365</v>
      </c>
      <c r="J334" s="2">
        <f t="shared" si="234"/>
        <v>1.1606647276335683E-2</v>
      </c>
      <c r="K334" s="2">
        <f t="shared" si="234"/>
        <v>1.1606647276335667E-2</v>
      </c>
      <c r="L334" s="2">
        <f t="shared" si="234"/>
        <v>4.2615240389421456E-3</v>
      </c>
      <c r="M334" s="2">
        <f t="shared" si="234"/>
        <v>2.3572838340299271E-3</v>
      </c>
      <c r="N334" s="2">
        <f t="shared" si="234"/>
        <v>0.50023780556517305</v>
      </c>
      <c r="O334" s="2">
        <f t="shared" si="234"/>
        <v>1.2247448713915889</v>
      </c>
      <c r="P334" s="2">
        <f t="shared" si="234"/>
        <v>0.10510947893358412</v>
      </c>
    </row>
    <row r="335" spans="3:16" x14ac:dyDescent="0.35">
      <c r="C335" s="250"/>
      <c r="H335" s="2"/>
      <c r="I335" s="2"/>
      <c r="J335" s="2"/>
      <c r="K335" s="2"/>
      <c r="L335" s="2"/>
      <c r="M335" s="2"/>
      <c r="N335" s="2"/>
    </row>
    <row r="336" spans="3:16" x14ac:dyDescent="0.35">
      <c r="C336" s="250"/>
      <c r="H336" s="2"/>
      <c r="I336" s="2"/>
      <c r="J336" s="2"/>
      <c r="K336" s="2"/>
      <c r="L336" s="2"/>
      <c r="M336" s="2"/>
      <c r="N336" s="2"/>
    </row>
    <row r="337" spans="3:18" ht="16" thickBot="1" x14ac:dyDescent="0.4">
      <c r="C337" s="250"/>
      <c r="E337" s="104" t="s">
        <v>82</v>
      </c>
      <c r="G337" s="13"/>
      <c r="H337" s="9" t="s">
        <v>3</v>
      </c>
      <c r="I337" s="9" t="s">
        <v>4</v>
      </c>
      <c r="J337" s="9" t="s">
        <v>5</v>
      </c>
      <c r="K337" s="9" t="s">
        <v>6</v>
      </c>
      <c r="L337" s="9" t="s">
        <v>7</v>
      </c>
      <c r="M337" s="9" t="s">
        <v>8</v>
      </c>
      <c r="N337" s="9" t="s">
        <v>9</v>
      </c>
      <c r="O337" s="9" t="s">
        <v>10</v>
      </c>
      <c r="P337" s="44" t="s">
        <v>139</v>
      </c>
    </row>
    <row r="338" spans="3:18" x14ac:dyDescent="0.35">
      <c r="C338" s="250"/>
      <c r="G338" s="49" t="s">
        <v>77</v>
      </c>
      <c r="H338" s="2">
        <f>AVERAGE(H317,H315,H313)</f>
        <v>5.9834733333333316</v>
      </c>
      <c r="I338" s="2">
        <f t="shared" ref="I338:P338" si="235">AVERAGE(I317,I315,I313)</f>
        <v>8.80707666666666</v>
      </c>
      <c r="J338" s="2">
        <f t="shared" si="235"/>
        <v>0.40377116151355946</v>
      </c>
      <c r="K338" s="2">
        <f t="shared" si="235"/>
        <v>0.59622883848644059</v>
      </c>
      <c r="L338" s="2">
        <f t="shared" si="235"/>
        <v>0.16954650169177862</v>
      </c>
      <c r="M338" s="2">
        <f t="shared" si="235"/>
        <v>6.8124085265914139E-2</v>
      </c>
      <c r="N338" s="2">
        <f t="shared" si="235"/>
        <v>14.790549999999991</v>
      </c>
      <c r="O338" s="2">
        <f t="shared" si="235"/>
        <v>43.333333333333336</v>
      </c>
      <c r="P338" s="2">
        <f t="shared" si="235"/>
        <v>7.2559535995127602</v>
      </c>
    </row>
    <row r="339" spans="3:18" x14ac:dyDescent="0.35">
      <c r="C339" s="250"/>
      <c r="G339" s="49" t="s">
        <v>94</v>
      </c>
      <c r="H339" s="2">
        <f>_xlfn.STDEV.S(H317,H315,H313)</f>
        <v>0.8838375977708639</v>
      </c>
      <c r="I339" s="2">
        <f t="shared" ref="I339:P339" si="236">_xlfn.STDEV.S(I317,I315,I313)</f>
        <v>0.86797578176659163</v>
      </c>
      <c r="J339" s="2">
        <f t="shared" si="236"/>
        <v>2.6263829859591876E-2</v>
      </c>
      <c r="K339" s="2">
        <f t="shared" si="236"/>
        <v>2.6263829859591865E-2</v>
      </c>
      <c r="L339" s="2">
        <f t="shared" si="236"/>
        <v>2.4654745290746658E-2</v>
      </c>
      <c r="M339" s="2">
        <f t="shared" si="236"/>
        <v>7.0253663530065909E-3</v>
      </c>
      <c r="N339" s="2">
        <f t="shared" si="236"/>
        <v>1.6211708830040215</v>
      </c>
      <c r="O339" s="2">
        <f t="shared" si="236"/>
        <v>5.8594652770823279</v>
      </c>
      <c r="P339" s="2">
        <f t="shared" si="236"/>
        <v>0.29433832046823677</v>
      </c>
    </row>
    <row r="340" spans="3:18" x14ac:dyDescent="0.35">
      <c r="C340" s="250"/>
      <c r="G340" s="49" t="s">
        <v>95</v>
      </c>
      <c r="H340" s="2">
        <f>H339/SQRT(3)</f>
        <v>0.51028387499292049</v>
      </c>
      <c r="I340" s="2">
        <f t="shared" ref="I340:P340" si="237">I339/SQRT(3)</f>
        <v>0.50112605125301757</v>
      </c>
      <c r="J340" s="2">
        <f t="shared" si="237"/>
        <v>1.5163429239385901E-2</v>
      </c>
      <c r="K340" s="2">
        <f t="shared" si="237"/>
        <v>1.5163429239385896E-2</v>
      </c>
      <c r="L340" s="2">
        <f t="shared" si="237"/>
        <v>1.4234423830414242E-2</v>
      </c>
      <c r="M340" s="2">
        <f t="shared" si="237"/>
        <v>4.0560971550640951E-3</v>
      </c>
      <c r="N340" s="2">
        <f t="shared" si="237"/>
        <v>0.93598344570475511</v>
      </c>
      <c r="O340" s="2">
        <f t="shared" si="237"/>
        <v>3.3829638550307473</v>
      </c>
      <c r="P340" s="2">
        <f t="shared" si="237"/>
        <v>0.16993630855515884</v>
      </c>
    </row>
    <row r="341" spans="3:18" x14ac:dyDescent="0.35">
      <c r="C341" s="250"/>
      <c r="G341" s="49"/>
      <c r="H341" s="2"/>
      <c r="I341" s="2"/>
      <c r="J341" s="2"/>
      <c r="K341" s="2"/>
      <c r="L341" s="2"/>
      <c r="M341" s="2"/>
      <c r="N341" s="2"/>
      <c r="O341" s="2"/>
      <c r="P341" s="2"/>
    </row>
    <row r="342" spans="3:18" x14ac:dyDescent="0.35">
      <c r="C342" s="250"/>
      <c r="G342" s="49"/>
      <c r="H342" s="2"/>
      <c r="I342" s="2"/>
      <c r="J342" s="2"/>
      <c r="K342" s="2"/>
      <c r="L342" s="2"/>
      <c r="M342" s="2"/>
      <c r="N342" s="2"/>
      <c r="O342" s="2"/>
      <c r="P342" s="2"/>
    </row>
    <row r="343" spans="3:18" x14ac:dyDescent="0.35">
      <c r="C343" s="155"/>
    </row>
    <row r="344" spans="3:18" x14ac:dyDescent="0.35">
      <c r="C344" s="155"/>
    </row>
    <row r="345" spans="3:18" ht="18.5" x14ac:dyDescent="0.45">
      <c r="C345" s="155"/>
      <c r="F345" s="1" t="s">
        <v>52</v>
      </c>
      <c r="G345" s="2"/>
      <c r="H345" s="2"/>
      <c r="I345" s="2"/>
      <c r="J345" s="2"/>
      <c r="K345" s="2"/>
    </row>
    <row r="346" spans="3:18" ht="16" thickBot="1" x14ac:dyDescent="0.4">
      <c r="C346" s="155"/>
      <c r="D346" s="204" t="s">
        <v>122</v>
      </c>
      <c r="F346" s="9" t="s">
        <v>1</v>
      </c>
      <c r="G346" s="9" t="s">
        <v>2</v>
      </c>
      <c r="H346" s="9" t="s">
        <v>3</v>
      </c>
      <c r="I346" s="9" t="s">
        <v>4</v>
      </c>
      <c r="J346" s="9" t="s">
        <v>5</v>
      </c>
      <c r="K346" s="9" t="s">
        <v>6</v>
      </c>
      <c r="L346" s="9" t="s">
        <v>7</v>
      </c>
      <c r="M346" s="9" t="s">
        <v>8</v>
      </c>
      <c r="N346" s="9" t="s">
        <v>9</v>
      </c>
      <c r="O346" s="9" t="s">
        <v>10</v>
      </c>
      <c r="P346" s="44" t="s">
        <v>139</v>
      </c>
      <c r="R346" s="44" t="s">
        <v>134</v>
      </c>
    </row>
    <row r="347" spans="3:18" x14ac:dyDescent="0.35">
      <c r="C347" s="155"/>
      <c r="D347" t="s">
        <v>541</v>
      </c>
      <c r="F347">
        <v>17.201930000000001</v>
      </c>
      <c r="G347">
        <v>24.951560000000001</v>
      </c>
      <c r="H347" s="2">
        <f>G347-F347</f>
        <v>7.7496299999999998</v>
      </c>
      <c r="I347" s="2">
        <f>F348-G347</f>
        <v>11.832439999999998</v>
      </c>
      <c r="J347" s="2">
        <f>H347/N347</f>
        <v>0.39575131740413555</v>
      </c>
      <c r="K347" s="2">
        <f>I347/N347</f>
        <v>0.60424868259586451</v>
      </c>
      <c r="L347" s="2">
        <f>1/H347</f>
        <v>0.12903841860837229</v>
      </c>
      <c r="M347" s="2">
        <f>1/N347</f>
        <v>5.106712416000965E-2</v>
      </c>
      <c r="N347" s="2">
        <f>H347+I347</f>
        <v>19.582069999999998</v>
      </c>
      <c r="O347">
        <v>61</v>
      </c>
      <c r="P347" s="2">
        <f t="shared" ref="P347:P353" si="238">O347/H347</f>
        <v>7.8713435351107091</v>
      </c>
      <c r="R347" t="s">
        <v>349</v>
      </c>
    </row>
    <row r="348" spans="3:18" x14ac:dyDescent="0.35">
      <c r="C348" s="155"/>
      <c r="F348">
        <v>36.783999999999999</v>
      </c>
      <c r="G348">
        <v>46.328389999999999</v>
      </c>
      <c r="H348" s="2">
        <f t="shared" ref="H348:H357" si="239">G348-F348</f>
        <v>9.5443899999999999</v>
      </c>
      <c r="I348" s="2">
        <f t="shared" ref="I348:I357" si="240">F349-G348</f>
        <v>7.2966600000000028</v>
      </c>
      <c r="J348" s="2">
        <f t="shared" ref="J348:J357" si="241">H348/N348</f>
        <v>0.56673366565623873</v>
      </c>
      <c r="K348" s="2">
        <f t="shared" ref="K348:K357" si="242">I348/N348</f>
        <v>0.43326633434376133</v>
      </c>
      <c r="L348" s="2">
        <f t="shared" ref="L348:L357" si="243">1/H348</f>
        <v>0.10477358951174459</v>
      </c>
      <c r="M348" s="2">
        <f t="shared" ref="M348:M357" si="244">1/N348</f>
        <v>5.9378720447953059E-2</v>
      </c>
      <c r="N348" s="2">
        <f t="shared" ref="N348:N357" si="245">H348+I348</f>
        <v>16.841050000000003</v>
      </c>
      <c r="O348">
        <v>68</v>
      </c>
      <c r="P348" s="2">
        <f t="shared" si="238"/>
        <v>7.1246040867986329</v>
      </c>
    </row>
    <row r="349" spans="3:18" x14ac:dyDescent="0.35">
      <c r="C349" s="155"/>
      <c r="D349" t="s">
        <v>541</v>
      </c>
      <c r="F349">
        <v>53.625050000000002</v>
      </c>
      <c r="G349">
        <v>61.211120000000001</v>
      </c>
      <c r="H349" s="2">
        <f t="shared" si="239"/>
        <v>7.5860699999999994</v>
      </c>
      <c r="I349" s="2">
        <f t="shared" si="240"/>
        <v>10.296609999999994</v>
      </c>
      <c r="J349" s="2">
        <f t="shared" si="241"/>
        <v>0.42421326109956686</v>
      </c>
      <c r="K349" s="2">
        <f t="shared" si="242"/>
        <v>0.57578673890043319</v>
      </c>
      <c r="L349" s="2">
        <f t="shared" si="243"/>
        <v>0.13182056058011593</v>
      </c>
      <c r="M349" s="2">
        <f t="shared" si="244"/>
        <v>5.5920029883663992E-2</v>
      </c>
      <c r="N349" s="2">
        <f t="shared" si="245"/>
        <v>17.882679999999993</v>
      </c>
      <c r="O349">
        <v>59</v>
      </c>
      <c r="P349" s="2">
        <f t="shared" si="238"/>
        <v>7.7774130742268399</v>
      </c>
    </row>
    <row r="350" spans="3:18" x14ac:dyDescent="0.35">
      <c r="C350" s="155"/>
      <c r="F350">
        <v>71.507729999999995</v>
      </c>
      <c r="G350">
        <v>80.302520000000001</v>
      </c>
      <c r="H350" s="2">
        <f t="shared" si="239"/>
        <v>8.7947900000000061</v>
      </c>
      <c r="I350" s="2">
        <f t="shared" si="240"/>
        <v>7.4723400000000026</v>
      </c>
      <c r="J350" s="2">
        <f t="shared" si="241"/>
        <v>0.54064792006948992</v>
      </c>
      <c r="K350" s="2">
        <f t="shared" si="242"/>
        <v>0.45935207993051008</v>
      </c>
      <c r="L350" s="2">
        <f t="shared" si="243"/>
        <v>0.11370368138409209</v>
      </c>
      <c r="M350" s="2">
        <f t="shared" si="244"/>
        <v>6.1473658844553372E-2</v>
      </c>
      <c r="N350" s="2">
        <f t="shared" si="245"/>
        <v>16.267130000000009</v>
      </c>
      <c r="O350">
        <v>65</v>
      </c>
      <c r="P350" s="2">
        <f t="shared" si="238"/>
        <v>7.3907392899659863</v>
      </c>
    </row>
    <row r="351" spans="3:18" x14ac:dyDescent="0.35">
      <c r="C351" s="155"/>
      <c r="D351" t="s">
        <v>541</v>
      </c>
      <c r="F351">
        <v>87.774860000000004</v>
      </c>
      <c r="G351">
        <v>96.402600000000007</v>
      </c>
      <c r="H351" s="2">
        <f t="shared" si="239"/>
        <v>8.6277400000000029</v>
      </c>
      <c r="I351" s="2">
        <f t="shared" si="240"/>
        <v>11.139099999999999</v>
      </c>
      <c r="J351" s="2">
        <f t="shared" si="241"/>
        <v>0.43647543056958027</v>
      </c>
      <c r="K351" s="2">
        <f t="shared" si="242"/>
        <v>0.56352456943041973</v>
      </c>
      <c r="L351" s="2">
        <f t="shared" si="243"/>
        <v>0.11590520808462004</v>
      </c>
      <c r="M351" s="2">
        <f t="shared" si="244"/>
        <v>5.0589775603991326E-2</v>
      </c>
      <c r="N351" s="2">
        <f t="shared" si="245"/>
        <v>19.766840000000002</v>
      </c>
      <c r="O351">
        <v>66</v>
      </c>
      <c r="P351" s="2">
        <f t="shared" si="238"/>
        <v>7.6497437335849225</v>
      </c>
    </row>
    <row r="352" spans="3:18" x14ac:dyDescent="0.35">
      <c r="C352" s="155"/>
      <c r="F352">
        <v>107.54170000000001</v>
      </c>
      <c r="G352">
        <v>116.11436999999999</v>
      </c>
      <c r="H352" s="2">
        <f t="shared" si="239"/>
        <v>8.572669999999988</v>
      </c>
      <c r="I352" s="2">
        <f t="shared" si="240"/>
        <v>7.5681200000000075</v>
      </c>
      <c r="J352" s="2">
        <f t="shared" si="241"/>
        <v>0.53111836533403822</v>
      </c>
      <c r="K352" s="2">
        <f t="shared" si="242"/>
        <v>0.46888163466596178</v>
      </c>
      <c r="L352" s="2">
        <f t="shared" si="243"/>
        <v>0.11664977189137123</v>
      </c>
      <c r="M352" s="2">
        <f t="shared" si="244"/>
        <v>6.1954836163533526E-2</v>
      </c>
      <c r="N352" s="2">
        <f t="shared" si="245"/>
        <v>16.140789999999996</v>
      </c>
      <c r="O352">
        <v>63</v>
      </c>
      <c r="P352" s="2">
        <f t="shared" si="238"/>
        <v>7.3489356291563874</v>
      </c>
    </row>
    <row r="353" spans="3:18" x14ac:dyDescent="0.35">
      <c r="C353" s="155"/>
      <c r="D353" t="s">
        <v>541</v>
      </c>
      <c r="F353">
        <v>123.68249</v>
      </c>
      <c r="G353">
        <v>130.84618</v>
      </c>
      <c r="H353" s="2">
        <f t="shared" si="239"/>
        <v>7.1636900000000026</v>
      </c>
      <c r="I353" s="2">
        <f t="shared" si="240"/>
        <v>10.68768</v>
      </c>
      <c r="J353" s="2">
        <f t="shared" si="241"/>
        <v>0.40129637109084632</v>
      </c>
      <c r="K353" s="2">
        <f t="shared" si="242"/>
        <v>0.59870362890915363</v>
      </c>
      <c r="L353" s="2">
        <f t="shared" si="243"/>
        <v>0.13959286345444871</v>
      </c>
      <c r="M353" s="2">
        <f t="shared" si="244"/>
        <v>5.6018109534450286E-2</v>
      </c>
      <c r="N353" s="2">
        <f t="shared" si="245"/>
        <v>17.851370000000003</v>
      </c>
      <c r="O353">
        <v>58</v>
      </c>
      <c r="P353" s="2">
        <f t="shared" si="238"/>
        <v>8.096386080358025</v>
      </c>
      <c r="R353" t="s">
        <v>350</v>
      </c>
    </row>
    <row r="354" spans="3:18" x14ac:dyDescent="0.35">
      <c r="C354" s="155"/>
      <c r="F354">
        <v>141.53386</v>
      </c>
      <c r="G354">
        <v>151.30115000000001</v>
      </c>
      <c r="H354" s="2">
        <f t="shared" si="239"/>
        <v>9.7672900000000027</v>
      </c>
      <c r="I354" s="2">
        <f t="shared" si="240"/>
        <v>7.574939999999998</v>
      </c>
      <c r="J354" s="2">
        <f t="shared" si="241"/>
        <v>0.56320842244624836</v>
      </c>
      <c r="K354" s="2">
        <f t="shared" si="242"/>
        <v>0.43679157755375159</v>
      </c>
      <c r="L354" s="2">
        <f t="shared" si="243"/>
        <v>0.10238254418574648</v>
      </c>
      <c r="M354" s="2">
        <f t="shared" si="244"/>
        <v>5.7662711196887595E-2</v>
      </c>
      <c r="N354" s="2">
        <f t="shared" si="245"/>
        <v>17.342230000000001</v>
      </c>
      <c r="O354">
        <v>73</v>
      </c>
      <c r="P354" s="2">
        <f t="shared" ref="P354:P359" si="246">O354/H354</f>
        <v>7.4739257255594929</v>
      </c>
    </row>
    <row r="355" spans="3:18" x14ac:dyDescent="0.35">
      <c r="C355" s="155"/>
      <c r="D355" t="s">
        <v>541</v>
      </c>
      <c r="F355">
        <v>158.87609</v>
      </c>
      <c r="G355">
        <v>167.67330000000001</v>
      </c>
      <c r="H355" s="2">
        <f t="shared" si="239"/>
        <v>8.7972100000000069</v>
      </c>
      <c r="I355" s="2">
        <f t="shared" si="240"/>
        <v>10.393939999999986</v>
      </c>
      <c r="J355" s="2">
        <f t="shared" si="241"/>
        <v>0.45839931426725389</v>
      </c>
      <c r="K355" s="2">
        <f t="shared" si="242"/>
        <v>0.54160068573274611</v>
      </c>
      <c r="L355" s="2">
        <f t="shared" si="243"/>
        <v>0.1136724029550277</v>
      </c>
      <c r="M355" s="2">
        <f t="shared" si="244"/>
        <v>5.2107351565695667E-2</v>
      </c>
      <c r="N355" s="2">
        <f t="shared" si="245"/>
        <v>19.191149999999993</v>
      </c>
      <c r="O355">
        <v>65</v>
      </c>
      <c r="P355" s="2">
        <f t="shared" si="246"/>
        <v>7.3887061920768007</v>
      </c>
    </row>
    <row r="356" spans="3:18" x14ac:dyDescent="0.35">
      <c r="C356" s="155"/>
      <c r="F356">
        <v>178.06724</v>
      </c>
      <c r="G356">
        <v>186.77494999999999</v>
      </c>
      <c r="H356" s="2">
        <f t="shared" si="239"/>
        <v>8.7077099999999916</v>
      </c>
      <c r="I356" s="2">
        <f t="shared" si="240"/>
        <v>6.9505900000000054</v>
      </c>
      <c r="J356" s="2">
        <f t="shared" si="241"/>
        <v>0.55610826207187203</v>
      </c>
      <c r="K356" s="2">
        <f t="shared" si="242"/>
        <v>0.44389173792812803</v>
      </c>
      <c r="L356" s="2">
        <f t="shared" si="243"/>
        <v>0.11484075606560175</v>
      </c>
      <c r="M356" s="2">
        <f t="shared" si="244"/>
        <v>6.3863893270661581E-2</v>
      </c>
      <c r="N356" s="2">
        <f t="shared" si="245"/>
        <v>15.658299999999997</v>
      </c>
      <c r="O356">
        <v>66</v>
      </c>
      <c r="P356" s="2">
        <f t="shared" si="246"/>
        <v>7.5794899003297154</v>
      </c>
    </row>
    <row r="357" spans="3:18" x14ac:dyDescent="0.35">
      <c r="C357" s="155"/>
      <c r="F357">
        <v>193.72554</v>
      </c>
      <c r="G357">
        <v>201.43717000000001</v>
      </c>
      <c r="H357" s="2">
        <f t="shared" si="239"/>
        <v>7.7116300000000138</v>
      </c>
      <c r="I357" s="2">
        <f t="shared" si="240"/>
        <v>7.7765599999999893</v>
      </c>
      <c r="J357" s="2">
        <f t="shared" si="241"/>
        <v>0.4979038867679188</v>
      </c>
      <c r="K357" s="2">
        <f t="shared" si="242"/>
        <v>0.50209611323208125</v>
      </c>
      <c r="L357" s="2">
        <f t="shared" si="243"/>
        <v>0.12967427119817707</v>
      </c>
      <c r="M357" s="2">
        <f t="shared" si="244"/>
        <v>6.4565323643369546E-2</v>
      </c>
      <c r="N357" s="2">
        <f t="shared" si="245"/>
        <v>15.488190000000003</v>
      </c>
      <c r="O357">
        <v>57</v>
      </c>
      <c r="P357" s="2">
        <f t="shared" si="246"/>
        <v>7.3914334582960928</v>
      </c>
    </row>
    <row r="358" spans="3:18" x14ac:dyDescent="0.35">
      <c r="C358" s="155"/>
      <c r="D358" t="s">
        <v>541</v>
      </c>
      <c r="F358">
        <v>209.21373</v>
      </c>
      <c r="G358">
        <v>210.66972000000001</v>
      </c>
      <c r="H358" s="2">
        <f>G358-F358</f>
        <v>1.4559900000000141</v>
      </c>
      <c r="I358" s="2">
        <f>F359-G358</f>
        <v>7.7271499999999946</v>
      </c>
      <c r="J358" s="2">
        <f>H358/N358</f>
        <v>0.15855034334661267</v>
      </c>
      <c r="K358" s="2">
        <f>I358/N358</f>
        <v>0.84144965665338733</v>
      </c>
      <c r="L358" s="2">
        <f>1/H358</f>
        <v>0.68681790396911402</v>
      </c>
      <c r="M358" s="2">
        <f>1/N358</f>
        <v>0.10889521449090388</v>
      </c>
      <c r="N358" s="2">
        <f>H358+I358</f>
        <v>9.1831400000000087</v>
      </c>
      <c r="O358">
        <v>14</v>
      </c>
      <c r="P358" s="2">
        <f t="shared" si="246"/>
        <v>9.6154506555675958</v>
      </c>
    </row>
    <row r="359" spans="3:18" x14ac:dyDescent="0.35">
      <c r="C359" s="155"/>
      <c r="F359">
        <v>218.39687000000001</v>
      </c>
      <c r="G359">
        <v>224.47712000000001</v>
      </c>
      <c r="H359" s="2">
        <f>G359-F359</f>
        <v>6.0802500000000066</v>
      </c>
      <c r="I359" s="2">
        <f>F360-G359</f>
        <v>7.5556599999999889</v>
      </c>
      <c r="J359" s="2">
        <f>H359/N359</f>
        <v>0.44589983360113178</v>
      </c>
      <c r="K359" s="2">
        <f>I359/N359</f>
        <v>0.55410016639886828</v>
      </c>
      <c r="L359" s="2">
        <f>1/H359</f>
        <v>0.16446692159039494</v>
      </c>
      <c r="M359" s="2">
        <f>1/N359</f>
        <v>7.3335772970047494E-2</v>
      </c>
      <c r="N359" s="2">
        <f>H359+I359</f>
        <v>13.635909999999996</v>
      </c>
      <c r="O359">
        <v>53</v>
      </c>
      <c r="P359" s="2">
        <f t="shared" si="246"/>
        <v>8.7167468442909328</v>
      </c>
    </row>
    <row r="360" spans="3:18" x14ac:dyDescent="0.35">
      <c r="C360" s="155"/>
      <c r="F360">
        <v>232.03278</v>
      </c>
      <c r="G360">
        <v>239.85449</v>
      </c>
    </row>
    <row r="361" spans="3:18" ht="16" thickBot="1" x14ac:dyDescent="0.4">
      <c r="C361" s="155"/>
      <c r="G361" s="13"/>
      <c r="H361" s="9" t="s">
        <v>3</v>
      </c>
      <c r="I361" s="9" t="s">
        <v>4</v>
      </c>
      <c r="J361" s="9" t="s">
        <v>5</v>
      </c>
      <c r="K361" s="9" t="s">
        <v>6</v>
      </c>
      <c r="L361" s="9" t="s">
        <v>7</v>
      </c>
      <c r="M361" s="9" t="s">
        <v>8</v>
      </c>
      <c r="N361" s="9" t="s">
        <v>9</v>
      </c>
      <c r="O361" s="9" t="s">
        <v>10</v>
      </c>
      <c r="P361" s="44" t="s">
        <v>139</v>
      </c>
    </row>
    <row r="362" spans="3:18" x14ac:dyDescent="0.35">
      <c r="C362" s="155"/>
      <c r="G362" s="49" t="s">
        <v>77</v>
      </c>
      <c r="H362" s="13">
        <f>AVERAGE(H347:H359)</f>
        <v>7.7353123076923103</v>
      </c>
      <c r="I362" s="13">
        <f t="shared" ref="I362:P362" si="247">AVERAGE(I347:I359)</f>
        <v>8.7901376923076899</v>
      </c>
      <c r="J362" s="13">
        <f t="shared" si="247"/>
        <v>0.45971587644037942</v>
      </c>
      <c r="K362" s="13">
        <f t="shared" si="247"/>
        <v>0.54028412355962052</v>
      </c>
      <c r="L362" s="13">
        <f t="shared" si="247"/>
        <v>0.16641068411375592</v>
      </c>
      <c r="M362" s="13">
        <f t="shared" si="247"/>
        <v>6.2833270905824676E-2</v>
      </c>
      <c r="N362" s="13">
        <f t="shared" si="247"/>
        <v>16.525449999999999</v>
      </c>
      <c r="O362" s="13">
        <f>AVERAGE(O347:O359)</f>
        <v>59.07692307692308</v>
      </c>
      <c r="P362" s="13">
        <f t="shared" si="247"/>
        <v>7.8019167850247788</v>
      </c>
    </row>
    <row r="363" spans="3:18" x14ac:dyDescent="0.35">
      <c r="C363" s="155"/>
      <c r="G363" s="49" t="s">
        <v>94</v>
      </c>
      <c r="H363" s="2">
        <f>_xlfn.STDEV.S(H347:H359)</f>
        <v>2.1333439821563136</v>
      </c>
      <c r="I363" s="2">
        <f t="shared" ref="I363:P363" si="248">_xlfn.STDEV.S(I347:I359)</f>
        <v>1.7611025718810061</v>
      </c>
      <c r="J363" s="2">
        <f t="shared" si="248"/>
        <v>0.10983312860568997</v>
      </c>
      <c r="K363" s="2">
        <f t="shared" si="248"/>
        <v>0.10983312860568946</v>
      </c>
      <c r="L363" s="2">
        <f t="shared" si="248"/>
        <v>0.1572243282296539</v>
      </c>
      <c r="M363" s="2">
        <f t="shared" si="248"/>
        <v>1.5206868631206438E-2</v>
      </c>
      <c r="N363" s="2">
        <f t="shared" si="248"/>
        <v>2.8228807539166949</v>
      </c>
      <c r="O363" s="2">
        <f t="shared" si="248"/>
        <v>14.528486606557587</v>
      </c>
      <c r="P363" s="2">
        <f t="shared" si="248"/>
        <v>0.68132292923742088</v>
      </c>
    </row>
    <row r="364" spans="3:18" x14ac:dyDescent="0.35">
      <c r="C364" s="155"/>
      <c r="G364" s="49" t="s">
        <v>95</v>
      </c>
      <c r="H364" s="2">
        <f>H363/(SQRT(COUNT(H347:H359)))</f>
        <v>0.59168316275900945</v>
      </c>
      <c r="I364" s="2">
        <f t="shared" ref="I364:P364" si="249">I363/(SQRT(COUNT(I347:I359)))</f>
        <v>0.48844197109757487</v>
      </c>
      <c r="J364" s="2">
        <f t="shared" si="249"/>
        <v>3.0462228994803529E-2</v>
      </c>
      <c r="K364" s="2">
        <f t="shared" si="249"/>
        <v>3.0462228994803386E-2</v>
      </c>
      <c r="L364" s="2">
        <f t="shared" si="249"/>
        <v>4.3606182860184424E-2</v>
      </c>
      <c r="M364" s="2">
        <f t="shared" si="249"/>
        <v>4.2176265068507466E-3</v>
      </c>
      <c r="N364" s="2">
        <f t="shared" si="249"/>
        <v>0.78292625405900673</v>
      </c>
      <c r="O364" s="2">
        <f t="shared" si="249"/>
        <v>4.0294771857565532</v>
      </c>
      <c r="P364" s="2">
        <f t="shared" si="249"/>
        <v>0.18896498127037265</v>
      </c>
    </row>
    <row r="365" spans="3:18" x14ac:dyDescent="0.35">
      <c r="C365" s="250"/>
      <c r="G365" s="49"/>
      <c r="H365" s="2"/>
      <c r="I365" s="2"/>
      <c r="J365" s="2"/>
      <c r="K365" s="2"/>
      <c r="L365" s="2"/>
      <c r="M365" s="2"/>
      <c r="N365" s="2"/>
      <c r="O365" s="2"/>
      <c r="P365" s="2"/>
    </row>
    <row r="366" spans="3:18" x14ac:dyDescent="0.35">
      <c r="C366" s="250"/>
      <c r="G366" s="49"/>
      <c r="H366" s="2"/>
      <c r="I366" s="2"/>
      <c r="J366" s="2"/>
      <c r="K366" s="2"/>
      <c r="L366" s="2"/>
      <c r="M366" s="2"/>
      <c r="N366" s="2"/>
      <c r="O366" s="2"/>
      <c r="P366" s="2"/>
    </row>
    <row r="367" spans="3:18" ht="16" thickBot="1" x14ac:dyDescent="0.4">
      <c r="C367" s="250"/>
      <c r="E367" s="104" t="s">
        <v>81</v>
      </c>
      <c r="G367" s="13"/>
      <c r="H367" s="9" t="s">
        <v>3</v>
      </c>
      <c r="I367" s="9" t="s">
        <v>4</v>
      </c>
      <c r="J367" s="9" t="s">
        <v>5</v>
      </c>
      <c r="K367" s="9" t="s">
        <v>6</v>
      </c>
      <c r="L367" s="9" t="s">
        <v>7</v>
      </c>
      <c r="M367" s="9" t="s">
        <v>8</v>
      </c>
      <c r="N367" s="9" t="s">
        <v>9</v>
      </c>
      <c r="O367" s="9" t="s">
        <v>10</v>
      </c>
      <c r="P367" s="44" t="s">
        <v>139</v>
      </c>
    </row>
    <row r="368" spans="3:18" x14ac:dyDescent="0.35">
      <c r="C368" s="250"/>
      <c r="G368" s="49" t="s">
        <v>77</v>
      </c>
      <c r="H368" s="2">
        <f>AVERAGE(H347,H349,H351,H353,H355,H358)</f>
        <v>6.8967216666666715</v>
      </c>
      <c r="I368" s="2">
        <f t="shared" ref="I368:P368" si="250">AVERAGE(I347,I349,I351,I353,I355,I358)</f>
        <v>10.346153333333328</v>
      </c>
      <c r="J368" s="2">
        <f t="shared" si="250"/>
        <v>0.37911433962966595</v>
      </c>
      <c r="K368" s="2">
        <f t="shared" si="250"/>
        <v>0.62088566037033399</v>
      </c>
      <c r="L368" s="2">
        <f t="shared" si="250"/>
        <v>0.21947455960861642</v>
      </c>
      <c r="M368" s="2">
        <f t="shared" si="250"/>
        <v>6.2432934206452469E-2</v>
      </c>
      <c r="N368" s="2">
        <f t="shared" si="250"/>
        <v>17.242875000000002</v>
      </c>
      <c r="O368" s="2">
        <f t="shared" si="250"/>
        <v>53.833333333333336</v>
      </c>
      <c r="P368" s="2">
        <f t="shared" si="250"/>
        <v>8.0665072118208148</v>
      </c>
    </row>
    <row r="369" spans="3:16" x14ac:dyDescent="0.35">
      <c r="C369" s="250"/>
      <c r="G369" s="49" t="s">
        <v>94</v>
      </c>
      <c r="H369" s="2">
        <f>_xlfn.STDEV.S(H347,H349,H351,H353,H355,H358)</f>
        <v>2.7380199884180221</v>
      </c>
      <c r="I369" s="2">
        <f t="shared" ref="I369:P369" si="251">_xlfn.STDEV.S(I347,I349,I351,I353,I355,I358)</f>
        <v>1.4013114930759294</v>
      </c>
      <c r="J369" s="2">
        <f t="shared" si="251"/>
        <v>0.11047861574115765</v>
      </c>
      <c r="K369" s="2">
        <f t="shared" si="251"/>
        <v>0.11047861574115805</v>
      </c>
      <c r="L369" s="2">
        <f t="shared" si="251"/>
        <v>0.22916086619267151</v>
      </c>
      <c r="M369" s="2">
        <f t="shared" si="251"/>
        <v>2.2883929243411046E-2</v>
      </c>
      <c r="N369" s="2">
        <f t="shared" si="251"/>
        <v>4.0342769592121455</v>
      </c>
      <c r="O369" s="2">
        <f t="shared" si="251"/>
        <v>19.772877045758072</v>
      </c>
      <c r="P369" s="2">
        <f t="shared" si="251"/>
        <v>0.79434109033421108</v>
      </c>
    </row>
    <row r="370" spans="3:16" x14ac:dyDescent="0.35">
      <c r="C370" s="250"/>
      <c r="G370" s="49" t="s">
        <v>95</v>
      </c>
      <c r="H370" s="2">
        <f>H369/SQRT(6)</f>
        <v>1.1177919795275437</v>
      </c>
      <c r="I370" s="2">
        <f t="shared" ref="I370:P370" si="252">I369/SQRT(6)</f>
        <v>0.57208302145561163</v>
      </c>
      <c r="J370" s="2">
        <f t="shared" si="252"/>
        <v>4.5102706009141645E-2</v>
      </c>
      <c r="K370" s="2">
        <f t="shared" si="252"/>
        <v>4.5102706009141805E-2</v>
      </c>
      <c r="L370" s="2">
        <f t="shared" si="252"/>
        <v>9.355453186437622E-2</v>
      </c>
      <c r="M370" s="2">
        <f t="shared" si="252"/>
        <v>9.3423249927185627E-3</v>
      </c>
      <c r="N370" s="2">
        <f t="shared" si="252"/>
        <v>1.6469866718561101</v>
      </c>
      <c r="O370" s="2">
        <f t="shared" si="252"/>
        <v>8.0722432514828917</v>
      </c>
      <c r="P370" s="2">
        <f t="shared" si="252"/>
        <v>0.32428839217414268</v>
      </c>
    </row>
    <row r="371" spans="3:16" x14ac:dyDescent="0.35">
      <c r="C371" s="250"/>
      <c r="H371" s="2"/>
      <c r="I371" s="2"/>
      <c r="J371" s="2"/>
      <c r="K371" s="2"/>
      <c r="L371" s="2"/>
      <c r="M371" s="2"/>
      <c r="N371" s="2"/>
    </row>
    <row r="372" spans="3:16" x14ac:dyDescent="0.35">
      <c r="C372" s="250"/>
      <c r="H372" s="2"/>
      <c r="I372" s="2"/>
      <c r="J372" s="2"/>
      <c r="K372" s="2"/>
      <c r="L372" s="2"/>
      <c r="M372" s="2"/>
      <c r="N372" s="2"/>
    </row>
    <row r="373" spans="3:16" ht="16" thickBot="1" x14ac:dyDescent="0.4">
      <c r="C373" s="250"/>
      <c r="E373" s="104" t="s">
        <v>82</v>
      </c>
      <c r="G373" s="13"/>
      <c r="H373" s="9" t="s">
        <v>3</v>
      </c>
      <c r="I373" s="9" t="s">
        <v>4</v>
      </c>
      <c r="J373" s="9" t="s">
        <v>5</v>
      </c>
      <c r="K373" s="9" t="s">
        <v>6</v>
      </c>
      <c r="L373" s="9" t="s">
        <v>7</v>
      </c>
      <c r="M373" s="9" t="s">
        <v>8</v>
      </c>
      <c r="N373" s="9" t="s">
        <v>9</v>
      </c>
      <c r="O373" s="9" t="s">
        <v>10</v>
      </c>
      <c r="P373" s="44" t="s">
        <v>139</v>
      </c>
    </row>
    <row r="374" spans="3:16" x14ac:dyDescent="0.35">
      <c r="C374" s="250"/>
      <c r="G374" s="49" t="s">
        <v>77</v>
      </c>
      <c r="H374" s="2">
        <f>AVERAGE(H348,H350,H352,H354,H356,H357,H359)</f>
        <v>8.454104285714287</v>
      </c>
      <c r="I374" s="2">
        <f t="shared" ref="I374:P374" si="253">AVERAGE(I348,I350,I352,I354,I356,I357,I359)</f>
        <v>7.4564099999999991</v>
      </c>
      <c r="J374" s="2">
        <f t="shared" si="253"/>
        <v>0.52880290799241969</v>
      </c>
      <c r="K374" s="2">
        <f t="shared" si="253"/>
        <v>0.47119709200758031</v>
      </c>
      <c r="L374" s="2">
        <f t="shared" si="253"/>
        <v>0.1209273622610183</v>
      </c>
      <c r="M374" s="2">
        <f t="shared" si="253"/>
        <v>6.3176416648143732E-2</v>
      </c>
      <c r="N374" s="2">
        <f t="shared" si="253"/>
        <v>15.910514285714287</v>
      </c>
      <c r="O374" s="2">
        <f t="shared" si="253"/>
        <v>63.571428571428569</v>
      </c>
      <c r="P374" s="2">
        <f t="shared" si="253"/>
        <v>7.5751249906281766</v>
      </c>
    </row>
    <row r="375" spans="3:16" x14ac:dyDescent="0.35">
      <c r="C375" s="250"/>
      <c r="G375" s="49" t="s">
        <v>94</v>
      </c>
      <c r="H375" s="2">
        <f>_xlfn.STDEV.S(H348,H350,H352,H354,H356,H357,H359)</f>
        <v>1.2445931287353436</v>
      </c>
      <c r="I375" s="2">
        <f t="shared" ref="I375:P375" si="254">_xlfn.STDEV.S(I348,I350,I352,I354,I356,I357,I359)</f>
        <v>0.26473344134556237</v>
      </c>
      <c r="J375" s="2">
        <f t="shared" si="254"/>
        <v>4.3476811967520138E-2</v>
      </c>
      <c r="K375" s="2">
        <f t="shared" si="254"/>
        <v>4.3476811967520158E-2</v>
      </c>
      <c r="L375" s="2">
        <f t="shared" si="254"/>
        <v>2.1152550727952475E-2</v>
      </c>
      <c r="M375" s="2">
        <f t="shared" si="254"/>
        <v>5.0798506354932061E-3</v>
      </c>
      <c r="N375" s="2">
        <f t="shared" si="254"/>
        <v>1.1910571480251944</v>
      </c>
      <c r="O375" s="2">
        <f t="shared" si="254"/>
        <v>6.729466121893644</v>
      </c>
      <c r="P375" s="2">
        <f t="shared" si="254"/>
        <v>0.52208431281692624</v>
      </c>
    </row>
    <row r="376" spans="3:16" x14ac:dyDescent="0.35">
      <c r="C376" s="250"/>
      <c r="G376" s="49" t="s">
        <v>95</v>
      </c>
      <c r="H376" s="2">
        <f>H375/SQRT(7)</f>
        <v>0.47041198601335943</v>
      </c>
      <c r="I376" s="2">
        <f t="shared" ref="I376:P376" si="255">I375/SQRT(7)</f>
        <v>0.10005983564609465</v>
      </c>
      <c r="J376" s="2">
        <f t="shared" si="255"/>
        <v>1.6432690323425012E-2</v>
      </c>
      <c r="K376" s="2">
        <f t="shared" si="255"/>
        <v>1.6432690323425019E-2</v>
      </c>
      <c r="L376" s="2">
        <f t="shared" si="255"/>
        <v>7.994912688691503E-3</v>
      </c>
      <c r="M376" s="2">
        <f t="shared" si="255"/>
        <v>1.9200030684097776E-3</v>
      </c>
      <c r="N376" s="2">
        <f t="shared" si="255"/>
        <v>0.45017728727721573</v>
      </c>
      <c r="O376" s="2">
        <f t="shared" si="255"/>
        <v>2.5434991163949792</v>
      </c>
      <c r="P376" s="2">
        <f t="shared" si="255"/>
        <v>0.19732932216023405</v>
      </c>
    </row>
    <row r="377" spans="3:16" x14ac:dyDescent="0.35">
      <c r="C377" s="250"/>
      <c r="G377" s="49"/>
      <c r="H377" s="2"/>
      <c r="I377" s="2"/>
      <c r="J377" s="2"/>
      <c r="K377" s="2"/>
      <c r="L377" s="2"/>
      <c r="M377" s="2"/>
      <c r="N377" s="2"/>
      <c r="O377" s="2"/>
      <c r="P377" s="2"/>
    </row>
    <row r="378" spans="3:16" x14ac:dyDescent="0.35">
      <c r="C378" s="250"/>
      <c r="G378" s="49"/>
      <c r="H378" s="2"/>
      <c r="I378" s="2"/>
      <c r="J378" s="2"/>
      <c r="K378" s="2"/>
      <c r="L378" s="2"/>
      <c r="M378" s="2"/>
      <c r="N378" s="2"/>
      <c r="O378" s="2"/>
      <c r="P378" s="2"/>
    </row>
    <row r="379" spans="3:16" x14ac:dyDescent="0.35">
      <c r="C379" s="250"/>
      <c r="G379" s="49"/>
      <c r="H379" s="2"/>
      <c r="I379" s="2"/>
      <c r="J379" s="2"/>
      <c r="K379" s="2"/>
      <c r="L379" s="2"/>
      <c r="M379" s="2"/>
      <c r="N379" s="2"/>
      <c r="O379" s="2"/>
      <c r="P379" s="2"/>
    </row>
    <row r="380" spans="3:16" x14ac:dyDescent="0.35">
      <c r="C380" s="155"/>
    </row>
    <row r="381" spans="3:16" x14ac:dyDescent="0.35">
      <c r="C381" s="155"/>
    </row>
    <row r="382" spans="3:16" x14ac:dyDescent="0.35">
      <c r="C382" s="155"/>
    </row>
    <row r="383" spans="3:16" x14ac:dyDescent="0.35">
      <c r="C383" s="155"/>
    </row>
    <row r="384" spans="3:16" x14ac:dyDescent="0.35">
      <c r="C384" s="155"/>
    </row>
    <row r="385" spans="3:18" ht="18.5" x14ac:dyDescent="0.45">
      <c r="C385" s="155"/>
      <c r="F385" s="1" t="s">
        <v>224</v>
      </c>
      <c r="G385" s="2"/>
      <c r="H385" s="2"/>
      <c r="I385" s="2"/>
      <c r="J385" s="2"/>
      <c r="K385" s="2"/>
      <c r="L385" s="2"/>
      <c r="M385" s="2"/>
      <c r="N385" s="2"/>
      <c r="O385" s="2"/>
      <c r="P385" s="2"/>
    </row>
    <row r="386" spans="3:18" ht="24" thickBot="1" x14ac:dyDescent="0.6">
      <c r="C386" s="248" t="s">
        <v>216</v>
      </c>
      <c r="D386" s="204" t="s">
        <v>122</v>
      </c>
      <c r="F386" s="9" t="s">
        <v>1</v>
      </c>
      <c r="G386" s="9" t="s">
        <v>2</v>
      </c>
      <c r="H386" s="9" t="s">
        <v>3</v>
      </c>
      <c r="I386" s="9" t="s">
        <v>4</v>
      </c>
      <c r="J386" s="9" t="s">
        <v>5</v>
      </c>
      <c r="K386" s="9" t="s">
        <v>6</v>
      </c>
      <c r="L386" s="9" t="s">
        <v>7</v>
      </c>
      <c r="M386" s="9" t="s">
        <v>8</v>
      </c>
      <c r="N386" s="9" t="s">
        <v>9</v>
      </c>
      <c r="O386" s="9" t="s">
        <v>10</v>
      </c>
      <c r="P386" s="44" t="s">
        <v>139</v>
      </c>
    </row>
    <row r="387" spans="3:18" x14ac:dyDescent="0.35">
      <c r="C387" s="155">
        <v>-4</v>
      </c>
      <c r="D387" t="s">
        <v>541</v>
      </c>
      <c r="F387">
        <v>9.2611899999999991</v>
      </c>
      <c r="G387">
        <v>13.128740000000001</v>
      </c>
      <c r="H387" s="2">
        <f>G387-F387</f>
        <v>3.8675500000000014</v>
      </c>
      <c r="I387" s="2">
        <f t="shared" ref="I387:I392" si="256">F388-G387</f>
        <v>8.5120499999999986</v>
      </c>
      <c r="J387" s="2">
        <f t="shared" ref="J387:J392" si="257">H387/N387</f>
        <v>0.3124131635917155</v>
      </c>
      <c r="K387" s="2">
        <f t="shared" ref="K387:K392" si="258">I387/N387</f>
        <v>0.68758683640828444</v>
      </c>
      <c r="L387" s="2">
        <f t="shared" ref="L387:L392" si="259">1/H387</f>
        <v>0.25856162169849123</v>
      </c>
      <c r="M387" s="2">
        <f t="shared" ref="M387:M392" si="260">1/N387</f>
        <v>8.0778054218229992E-2</v>
      </c>
      <c r="N387" s="2">
        <f t="shared" ref="N387:N392" si="261">H387+I387</f>
        <v>12.3796</v>
      </c>
      <c r="O387">
        <v>38</v>
      </c>
      <c r="P387" s="2">
        <f t="shared" ref="P387:P392" si="262">O387/H387</f>
        <v>9.8253416245426664</v>
      </c>
      <c r="R387" t="s">
        <v>351</v>
      </c>
    </row>
    <row r="388" spans="3:18" x14ac:dyDescent="0.35">
      <c r="C388" s="155">
        <v>-4</v>
      </c>
      <c r="F388">
        <v>21.640789999999999</v>
      </c>
      <c r="G388">
        <v>30.144870000000001</v>
      </c>
      <c r="H388" s="2">
        <f t="shared" ref="H388:H393" si="263">G388-F388</f>
        <v>8.5040800000000019</v>
      </c>
      <c r="I388" s="2">
        <f t="shared" si="256"/>
        <v>6.9920999999999971</v>
      </c>
      <c r="J388" s="2">
        <f t="shared" si="257"/>
        <v>0.54878557166992137</v>
      </c>
      <c r="K388" s="2">
        <f t="shared" si="258"/>
        <v>0.45121442833007863</v>
      </c>
      <c r="L388" s="2">
        <f t="shared" si="259"/>
        <v>0.11759061532817186</v>
      </c>
      <c r="M388" s="2">
        <f t="shared" si="260"/>
        <v>6.4532033055888616E-2</v>
      </c>
      <c r="N388" s="2">
        <f t="shared" si="261"/>
        <v>15.496179999999999</v>
      </c>
      <c r="O388">
        <v>69</v>
      </c>
      <c r="P388" s="2">
        <f t="shared" si="262"/>
        <v>8.1137524576438587</v>
      </c>
    </row>
    <row r="389" spans="3:18" x14ac:dyDescent="0.35">
      <c r="C389" s="155">
        <v>-4</v>
      </c>
      <c r="D389" t="s">
        <v>541</v>
      </c>
      <c r="F389">
        <v>37.136969999999998</v>
      </c>
      <c r="G389">
        <v>46.460450000000002</v>
      </c>
      <c r="H389" s="2">
        <f t="shared" si="263"/>
        <v>9.3234800000000035</v>
      </c>
      <c r="I389" s="2">
        <f t="shared" si="256"/>
        <v>11.214759999999998</v>
      </c>
      <c r="J389" s="2">
        <f t="shared" si="257"/>
        <v>0.45395710635380648</v>
      </c>
      <c r="K389" s="2">
        <f t="shared" si="258"/>
        <v>0.54604289364619352</v>
      </c>
      <c r="L389" s="2">
        <f t="shared" si="259"/>
        <v>0.10725608892816842</v>
      </c>
      <c r="M389" s="2">
        <f t="shared" si="260"/>
        <v>4.8689663768657875E-2</v>
      </c>
      <c r="N389" s="2">
        <f t="shared" si="261"/>
        <v>20.538240000000002</v>
      </c>
      <c r="O389">
        <v>73</v>
      </c>
      <c r="P389" s="2">
        <f t="shared" si="262"/>
        <v>7.8296944917562943</v>
      </c>
    </row>
    <row r="390" spans="3:18" x14ac:dyDescent="0.35">
      <c r="C390" s="155">
        <v>-4</v>
      </c>
      <c r="F390">
        <v>57.67521</v>
      </c>
      <c r="G390">
        <v>67.680980000000005</v>
      </c>
      <c r="H390" s="2">
        <f t="shared" si="263"/>
        <v>10.005770000000005</v>
      </c>
      <c r="I390" s="2">
        <f t="shared" si="256"/>
        <v>7.0273099999999999</v>
      </c>
      <c r="J390" s="2">
        <f t="shared" si="257"/>
        <v>0.58743163303407264</v>
      </c>
      <c r="K390" s="2">
        <f t="shared" si="258"/>
        <v>0.41256836696592736</v>
      </c>
      <c r="L390" s="2">
        <f t="shared" si="259"/>
        <v>9.9942333273701014E-2</v>
      </c>
      <c r="M390" s="2">
        <f t="shared" si="260"/>
        <v>5.8709288044205728E-2</v>
      </c>
      <c r="N390" s="2">
        <f t="shared" si="261"/>
        <v>17.033080000000005</v>
      </c>
      <c r="O390">
        <v>76</v>
      </c>
      <c r="P390" s="2">
        <f t="shared" si="262"/>
        <v>7.5956173288012776</v>
      </c>
    </row>
    <row r="391" spans="3:18" x14ac:dyDescent="0.35">
      <c r="C391" s="155">
        <v>-4</v>
      </c>
      <c r="D391" t="s">
        <v>541</v>
      </c>
      <c r="F391">
        <v>74.708290000000005</v>
      </c>
      <c r="G391">
        <v>82.112610000000004</v>
      </c>
      <c r="H391" s="2">
        <f t="shared" si="263"/>
        <v>7.4043199999999985</v>
      </c>
      <c r="I391" s="2">
        <f t="shared" si="256"/>
        <v>10.43871</v>
      </c>
      <c r="J391" s="2">
        <f t="shared" si="257"/>
        <v>0.41496987899476706</v>
      </c>
      <c r="K391" s="2">
        <f t="shared" si="258"/>
        <v>0.58503012100523288</v>
      </c>
      <c r="L391" s="2">
        <f t="shared" si="259"/>
        <v>0.13505629146228151</v>
      </c>
      <c r="M391" s="2">
        <f t="shared" si="260"/>
        <v>5.6044292925584951E-2</v>
      </c>
      <c r="N391" s="2">
        <f t="shared" si="261"/>
        <v>17.843029999999999</v>
      </c>
      <c r="O391">
        <v>60</v>
      </c>
      <c r="P391" s="2">
        <f t="shared" si="262"/>
        <v>8.1033774877368909</v>
      </c>
    </row>
    <row r="392" spans="3:18" x14ac:dyDescent="0.35">
      <c r="C392" s="155">
        <v>-4</v>
      </c>
      <c r="F392">
        <v>92.551320000000004</v>
      </c>
      <c r="G392">
        <v>99.024690000000007</v>
      </c>
      <c r="H392" s="2">
        <f t="shared" si="263"/>
        <v>6.4733700000000027</v>
      </c>
      <c r="I392" s="2">
        <f t="shared" si="256"/>
        <v>6.5792000000000002</v>
      </c>
      <c r="J392" s="2">
        <f t="shared" si="257"/>
        <v>0.49594600910012365</v>
      </c>
      <c r="K392" s="2">
        <f t="shared" si="258"/>
        <v>0.50405399089987635</v>
      </c>
      <c r="L392" s="2">
        <f t="shared" si="259"/>
        <v>0.15447904260068551</v>
      </c>
      <c r="M392" s="2">
        <f t="shared" si="260"/>
        <v>7.6613264667417968E-2</v>
      </c>
      <c r="N392" s="2">
        <f t="shared" si="261"/>
        <v>13.052570000000003</v>
      </c>
      <c r="O392">
        <v>52</v>
      </c>
      <c r="P392" s="2">
        <f t="shared" si="262"/>
        <v>8.0329102152356473</v>
      </c>
    </row>
    <row r="393" spans="3:18" x14ac:dyDescent="0.35">
      <c r="C393" s="155">
        <v>-4</v>
      </c>
      <c r="F393">
        <v>105.60389000000001</v>
      </c>
      <c r="G393">
        <v>113.16061999999999</v>
      </c>
      <c r="H393" s="2">
        <f t="shared" si="263"/>
        <v>7.5567299999999875</v>
      </c>
      <c r="I393" s="2"/>
      <c r="J393" s="2"/>
      <c r="K393" s="2"/>
      <c r="L393" s="2"/>
      <c r="M393" s="2"/>
      <c r="N393" s="2"/>
    </row>
    <row r="394" spans="3:18" x14ac:dyDescent="0.35">
      <c r="C394" s="155">
        <v>-4</v>
      </c>
      <c r="H394" s="2"/>
      <c r="I394" s="2"/>
      <c r="J394" s="2"/>
      <c r="K394" s="2"/>
      <c r="L394" s="2"/>
      <c r="M394" s="2"/>
      <c r="N394" s="2"/>
    </row>
    <row r="395" spans="3:18" x14ac:dyDescent="0.35">
      <c r="C395" s="155"/>
      <c r="H395" s="2"/>
      <c r="I395" s="2"/>
      <c r="J395" s="2"/>
      <c r="K395" s="2"/>
      <c r="L395" s="2"/>
      <c r="M395" s="2"/>
      <c r="N395" s="2"/>
    </row>
    <row r="396" spans="3:18" x14ac:dyDescent="0.35">
      <c r="C396" s="155"/>
    </row>
    <row r="397" spans="3:18" ht="16" thickBot="1" x14ac:dyDescent="0.4">
      <c r="C397" s="155"/>
      <c r="G397" s="13"/>
      <c r="H397" s="9" t="s">
        <v>3</v>
      </c>
      <c r="I397" s="9" t="s">
        <v>4</v>
      </c>
      <c r="J397" s="9" t="s">
        <v>5</v>
      </c>
      <c r="K397" s="9" t="s">
        <v>6</v>
      </c>
      <c r="L397" s="9" t="s">
        <v>7</v>
      </c>
      <c r="M397" s="9" t="s">
        <v>8</v>
      </c>
      <c r="N397" s="9" t="s">
        <v>9</v>
      </c>
      <c r="O397" s="9" t="s">
        <v>10</v>
      </c>
      <c r="P397" s="44" t="s">
        <v>139</v>
      </c>
    </row>
    <row r="398" spans="3:18" x14ac:dyDescent="0.35">
      <c r="C398" s="155"/>
      <c r="G398" s="49" t="s">
        <v>77</v>
      </c>
      <c r="H398" s="13">
        <f t="shared" ref="H398:P398" si="264">AVERAGE(H387:H392)</f>
        <v>7.5964283333333356</v>
      </c>
      <c r="I398" s="13">
        <f t="shared" si="264"/>
        <v>8.4606883333333318</v>
      </c>
      <c r="J398" s="13">
        <f t="shared" si="264"/>
        <v>0.4689172271240678</v>
      </c>
      <c r="K398" s="13">
        <f t="shared" si="264"/>
        <v>0.53108277287593209</v>
      </c>
      <c r="L398" s="13">
        <f t="shared" si="264"/>
        <v>0.1454809988819166</v>
      </c>
      <c r="M398" s="13">
        <f t="shared" si="264"/>
        <v>6.422776611333085E-2</v>
      </c>
      <c r="N398" s="13">
        <f t="shared" si="264"/>
        <v>16.057116666666669</v>
      </c>
      <c r="O398" s="13">
        <f t="shared" si="264"/>
        <v>61.333333333333336</v>
      </c>
      <c r="P398" s="13">
        <f t="shared" si="264"/>
        <v>8.250115600952773</v>
      </c>
    </row>
    <row r="399" spans="3:18" x14ac:dyDescent="0.35">
      <c r="C399" s="155"/>
      <c r="G399" s="49" t="s">
        <v>94</v>
      </c>
      <c r="H399" s="2">
        <f t="shared" ref="H399:O399" si="265">_xlfn.STDEV.S(H387:H392)</f>
        <v>2.2277417054354998</v>
      </c>
      <c r="I399" s="2">
        <f t="shared" si="265"/>
        <v>1.9622151751264867</v>
      </c>
      <c r="J399" s="2">
        <f t="shared" si="265"/>
        <v>9.8775316157012696E-2</v>
      </c>
      <c r="K399" s="2">
        <f t="shared" si="265"/>
        <v>9.877531615701314E-2</v>
      </c>
      <c r="L399" s="2">
        <f t="shared" si="265"/>
        <v>5.8804173105755496E-2</v>
      </c>
      <c r="M399" s="2">
        <f t="shared" si="265"/>
        <v>1.2379504410502853E-2</v>
      </c>
      <c r="N399" s="2">
        <f t="shared" si="265"/>
        <v>3.068828331482008</v>
      </c>
      <c r="O399" s="2">
        <f t="shared" si="265"/>
        <v>14.445299120013626</v>
      </c>
      <c r="P399" s="2">
        <f>_xlfn.STDEV.S(P383:P388)</f>
        <v>1.2102763065195803</v>
      </c>
    </row>
    <row r="400" spans="3:18" x14ac:dyDescent="0.35">
      <c r="C400" s="155"/>
      <c r="G400" s="49" t="s">
        <v>95</v>
      </c>
      <c r="H400" s="2">
        <f t="shared" ref="H400:P400" si="266">H399/(SQRT(COUNT(H387:H392)))</f>
        <v>0.9094717428390936</v>
      </c>
      <c r="I400" s="2">
        <f t="shared" si="266"/>
        <v>0.80107099076763788</v>
      </c>
      <c r="J400" s="2">
        <f t="shared" si="266"/>
        <v>4.0324853961128025E-2</v>
      </c>
      <c r="K400" s="2">
        <f t="shared" si="266"/>
        <v>4.0324853961128206E-2</v>
      </c>
      <c r="L400" s="2">
        <f t="shared" si="266"/>
        <v>2.4006703142565755E-2</v>
      </c>
      <c r="M400" s="2">
        <f t="shared" si="266"/>
        <v>5.0539115123776424E-3</v>
      </c>
      <c r="N400" s="2">
        <f t="shared" si="266"/>
        <v>1.2528439200545989</v>
      </c>
      <c r="O400" s="2">
        <f t="shared" si="266"/>
        <v>5.8972686709847082</v>
      </c>
      <c r="P400" s="2">
        <f t="shared" si="266"/>
        <v>0.49409323312553699</v>
      </c>
    </row>
    <row r="401" spans="3:16" x14ac:dyDescent="0.35">
      <c r="C401" s="250"/>
      <c r="G401" s="49"/>
      <c r="H401" s="2"/>
      <c r="I401" s="2"/>
      <c r="J401" s="2"/>
      <c r="K401" s="2"/>
      <c r="L401" s="2"/>
      <c r="M401" s="2"/>
      <c r="N401" s="2"/>
      <c r="O401" s="2"/>
      <c r="P401" s="2"/>
    </row>
    <row r="402" spans="3:16" ht="16" thickBot="1" x14ac:dyDescent="0.4">
      <c r="C402" s="250"/>
      <c r="E402" s="104" t="s">
        <v>81</v>
      </c>
      <c r="G402" s="13"/>
      <c r="H402" s="9" t="s">
        <v>3</v>
      </c>
      <c r="I402" s="9" t="s">
        <v>4</v>
      </c>
      <c r="J402" s="9" t="s">
        <v>5</v>
      </c>
      <c r="K402" s="9" t="s">
        <v>6</v>
      </c>
      <c r="L402" s="9" t="s">
        <v>7</v>
      </c>
      <c r="M402" s="9" t="s">
        <v>8</v>
      </c>
      <c r="N402" s="9" t="s">
        <v>9</v>
      </c>
      <c r="O402" s="9" t="s">
        <v>10</v>
      </c>
      <c r="P402" s="44" t="s">
        <v>139</v>
      </c>
    </row>
    <row r="403" spans="3:16" x14ac:dyDescent="0.35">
      <c r="C403" s="250"/>
      <c r="G403" s="49" t="s">
        <v>77</v>
      </c>
      <c r="H403" s="2">
        <f>AVERAGE(H387,H389,H391)</f>
        <v>6.8651166666666681</v>
      </c>
      <c r="I403" s="2">
        <f t="shared" ref="I403:P403" si="267">AVERAGE(I387,I389,I391)</f>
        <v>10.055173333333332</v>
      </c>
      <c r="J403" s="2">
        <f t="shared" si="267"/>
        <v>0.393780049646763</v>
      </c>
      <c r="K403" s="2">
        <f t="shared" si="267"/>
        <v>0.60621995035323695</v>
      </c>
      <c r="L403" s="2">
        <f t="shared" si="267"/>
        <v>0.16695800069631372</v>
      </c>
      <c r="M403" s="2">
        <f t="shared" si="267"/>
        <v>6.1837336970824275E-2</v>
      </c>
      <c r="N403" s="2">
        <f t="shared" si="267"/>
        <v>16.920289999999998</v>
      </c>
      <c r="O403" s="2">
        <f t="shared" si="267"/>
        <v>57</v>
      </c>
      <c r="P403" s="2">
        <f t="shared" si="267"/>
        <v>8.5861378680119511</v>
      </c>
    </row>
    <row r="404" spans="3:16" x14ac:dyDescent="0.35">
      <c r="C404" s="250"/>
      <c r="G404" s="49" t="s">
        <v>94</v>
      </c>
      <c r="H404" s="2">
        <f>_xlfn.STDEV.S(H387,H389,H391)</f>
        <v>2.7676430798123781</v>
      </c>
      <c r="I404" s="2">
        <f t="shared" ref="I404:P404" si="268">_xlfn.STDEV.S(I387,I389,I391)</f>
        <v>1.3915766658841786</v>
      </c>
      <c r="J404" s="2">
        <f t="shared" si="268"/>
        <v>7.3112437956941972E-2</v>
      </c>
      <c r="K404" s="2">
        <f t="shared" si="268"/>
        <v>7.3112437956941834E-2</v>
      </c>
      <c r="L404" s="2">
        <f t="shared" si="268"/>
        <v>8.0539619758025635E-2</v>
      </c>
      <c r="M404" s="2">
        <f t="shared" si="268"/>
        <v>1.6810286133603143E-2</v>
      </c>
      <c r="N404" s="2">
        <f t="shared" si="268"/>
        <v>4.1568543988333326</v>
      </c>
      <c r="O404" s="2">
        <f t="shared" si="268"/>
        <v>17.691806012954132</v>
      </c>
      <c r="P404" s="2">
        <f t="shared" si="268"/>
        <v>1.0818710913145402</v>
      </c>
    </row>
    <row r="405" spans="3:16" x14ac:dyDescent="0.35">
      <c r="C405" s="250"/>
      <c r="G405" s="49" t="s">
        <v>95</v>
      </c>
      <c r="H405" s="2">
        <f>H404/SQRT(3)</f>
        <v>1.5978994771504815</v>
      </c>
      <c r="I405" s="2">
        <f t="shared" ref="I405:P405" si="269">I404/SQRT(3)</f>
        <v>0.80342716264623248</v>
      </c>
      <c r="J405" s="2">
        <f t="shared" si="269"/>
        <v>4.221148573555026E-2</v>
      </c>
      <c r="K405" s="2">
        <f t="shared" si="269"/>
        <v>4.2211485735550183E-2</v>
      </c>
      <c r="L405" s="2">
        <f t="shared" si="269"/>
        <v>4.6499571147726203E-2</v>
      </c>
      <c r="M405" s="2">
        <f t="shared" si="269"/>
        <v>9.7054232243904085E-3</v>
      </c>
      <c r="N405" s="2">
        <f t="shared" si="269"/>
        <v>2.3999610061485046</v>
      </c>
      <c r="O405" s="2">
        <f t="shared" si="269"/>
        <v>10.214368964029708</v>
      </c>
      <c r="P405" s="2">
        <f t="shared" si="269"/>
        <v>0.62461856579892405</v>
      </c>
    </row>
    <row r="406" spans="3:16" x14ac:dyDescent="0.35">
      <c r="C406" s="250"/>
      <c r="H406" s="2"/>
      <c r="I406" s="2"/>
      <c r="J406" s="2"/>
      <c r="K406" s="2"/>
      <c r="L406" s="2"/>
      <c r="M406" s="2"/>
      <c r="N406" s="2"/>
    </row>
    <row r="407" spans="3:16" x14ac:dyDescent="0.35">
      <c r="C407" s="250"/>
      <c r="H407" s="2"/>
      <c r="I407" s="2"/>
      <c r="J407" s="2"/>
      <c r="K407" s="2"/>
      <c r="L407" s="2"/>
      <c r="M407" s="2"/>
      <c r="N407" s="2"/>
    </row>
    <row r="408" spans="3:16" ht="16" thickBot="1" x14ac:dyDescent="0.4">
      <c r="C408" s="250"/>
      <c r="E408" s="104" t="s">
        <v>82</v>
      </c>
      <c r="G408" s="13"/>
      <c r="H408" s="9" t="s">
        <v>3</v>
      </c>
      <c r="I408" s="9" t="s">
        <v>4</v>
      </c>
      <c r="J408" s="9" t="s">
        <v>5</v>
      </c>
      <c r="K408" s="9" t="s">
        <v>6</v>
      </c>
      <c r="L408" s="9" t="s">
        <v>7</v>
      </c>
      <c r="M408" s="9" t="s">
        <v>8</v>
      </c>
      <c r="N408" s="9" t="s">
        <v>9</v>
      </c>
      <c r="O408" s="9" t="s">
        <v>10</v>
      </c>
      <c r="P408" s="44" t="s">
        <v>139</v>
      </c>
    </row>
    <row r="409" spans="3:16" x14ac:dyDescent="0.35">
      <c r="C409" s="250"/>
      <c r="G409" s="49" t="s">
        <v>77</v>
      </c>
      <c r="H409" s="2">
        <f>AVERAGE(H388,H390,H392)</f>
        <v>8.3277400000000039</v>
      </c>
      <c r="I409" s="2">
        <f t="shared" ref="I409:P409" si="270">AVERAGE(I388,I390,I392)</f>
        <v>6.8662033333333321</v>
      </c>
      <c r="J409" s="2">
        <f t="shared" si="270"/>
        <v>0.54405440460137255</v>
      </c>
      <c r="K409" s="2">
        <f t="shared" si="270"/>
        <v>0.45594559539862739</v>
      </c>
      <c r="L409" s="2">
        <f t="shared" si="270"/>
        <v>0.12400399706751947</v>
      </c>
      <c r="M409" s="2">
        <f t="shared" si="270"/>
        <v>6.661819525583744E-2</v>
      </c>
      <c r="N409" s="2">
        <f t="shared" si="270"/>
        <v>15.193943333333337</v>
      </c>
      <c r="O409" s="2">
        <f t="shared" si="270"/>
        <v>65.666666666666671</v>
      </c>
      <c r="P409" s="2">
        <f t="shared" si="270"/>
        <v>7.9140933338935939</v>
      </c>
    </row>
    <row r="410" spans="3:16" x14ac:dyDescent="0.35">
      <c r="C410" s="250"/>
      <c r="G410" s="49" t="s">
        <v>94</v>
      </c>
      <c r="H410" s="2">
        <f>_xlfn.STDEV.S(H388,H390,H392)</f>
        <v>1.7727899725291789</v>
      </c>
      <c r="I410" s="2">
        <f t="shared" ref="I410:P410" si="271">_xlfn.STDEV.S(I388,I390,I392)</f>
        <v>0.24917488042202993</v>
      </c>
      <c r="J410" s="2">
        <f t="shared" si="271"/>
        <v>4.5925949124856154E-2</v>
      </c>
      <c r="K410" s="2">
        <f t="shared" si="271"/>
        <v>4.5925949124856154E-2</v>
      </c>
      <c r="L410" s="2">
        <f t="shared" si="271"/>
        <v>2.7828254797147192E-2</v>
      </c>
      <c r="M410" s="2">
        <f t="shared" si="271"/>
        <v>9.1324777182594241E-3</v>
      </c>
      <c r="N410" s="2">
        <f t="shared" si="271"/>
        <v>2.0073926414713297</v>
      </c>
      <c r="O410" s="2">
        <f t="shared" si="271"/>
        <v>12.3423390543824</v>
      </c>
      <c r="P410" s="2">
        <f t="shared" si="271"/>
        <v>0.27875453611388662</v>
      </c>
    </row>
    <row r="411" spans="3:16" x14ac:dyDescent="0.35">
      <c r="C411" s="250"/>
      <c r="G411" s="49" t="s">
        <v>95</v>
      </c>
      <c r="H411" s="2">
        <f>H410/SQRT(3)</f>
        <v>1.0235207678563907</v>
      </c>
      <c r="I411" s="2">
        <f t="shared" ref="I411:P411" si="272">I410/SQRT(3)</f>
        <v>0.1438611842869518</v>
      </c>
      <c r="J411" s="2">
        <f t="shared" si="272"/>
        <v>2.6515359090024761E-2</v>
      </c>
      <c r="K411" s="2">
        <f t="shared" si="272"/>
        <v>2.6515359090024761E-2</v>
      </c>
      <c r="L411" s="2">
        <f t="shared" si="272"/>
        <v>1.6066650398210428E-2</v>
      </c>
      <c r="M411" s="2">
        <f t="shared" si="272"/>
        <v>5.2726384690053377E-3</v>
      </c>
      <c r="N411" s="2">
        <f t="shared" si="272"/>
        <v>1.1589686819227463</v>
      </c>
      <c r="O411" s="2">
        <f t="shared" si="272"/>
        <v>7.12585277547731</v>
      </c>
      <c r="P411" s="2">
        <f t="shared" si="272"/>
        <v>0.16093900646318171</v>
      </c>
    </row>
    <row r="412" spans="3:16" x14ac:dyDescent="0.35">
      <c r="C412" s="250"/>
      <c r="G412" s="49"/>
      <c r="H412" s="2"/>
      <c r="I412" s="2"/>
      <c r="J412" s="2"/>
      <c r="K412" s="2"/>
      <c r="L412" s="2"/>
      <c r="M412" s="2"/>
      <c r="N412" s="2"/>
      <c r="O412" s="2"/>
      <c r="P412" s="2"/>
    </row>
    <row r="413" spans="3:16" x14ac:dyDescent="0.35">
      <c r="C413" s="250"/>
      <c r="G413" s="49"/>
      <c r="H413" s="2"/>
      <c r="I413" s="2"/>
      <c r="J413" s="2"/>
      <c r="K413" s="2"/>
      <c r="L413" s="2"/>
      <c r="M413" s="2"/>
      <c r="N413" s="2"/>
      <c r="O413" s="2"/>
      <c r="P413" s="2"/>
    </row>
    <row r="414" spans="3:16" x14ac:dyDescent="0.35">
      <c r="C414" s="250"/>
      <c r="G414" s="49"/>
      <c r="H414" s="2"/>
      <c r="I414" s="2"/>
      <c r="J414" s="2"/>
      <c r="K414" s="2"/>
      <c r="L414" s="2"/>
      <c r="M414" s="2"/>
      <c r="N414" s="2"/>
      <c r="O414" s="2"/>
      <c r="P414" s="2"/>
    </row>
    <row r="415" spans="3:16" x14ac:dyDescent="0.35">
      <c r="C415" s="250"/>
      <c r="G415" s="49"/>
      <c r="H415" s="2"/>
      <c r="I415" s="2"/>
      <c r="J415" s="2"/>
      <c r="K415" s="2"/>
      <c r="L415" s="2"/>
      <c r="M415" s="2"/>
      <c r="N415" s="2"/>
      <c r="O415" s="2"/>
      <c r="P415" s="2"/>
    </row>
    <row r="416" spans="3:16" x14ac:dyDescent="0.35">
      <c r="C416" s="155"/>
    </row>
    <row r="417" spans="3:18" ht="24" thickBot="1" x14ac:dyDescent="0.6">
      <c r="C417" s="155" t="s">
        <v>216</v>
      </c>
      <c r="D417" s="204" t="s">
        <v>122</v>
      </c>
      <c r="F417" s="9" t="s">
        <v>1</v>
      </c>
      <c r="G417" s="9" t="s">
        <v>2</v>
      </c>
      <c r="H417" s="9" t="s">
        <v>3</v>
      </c>
      <c r="I417" s="9" t="s">
        <v>4</v>
      </c>
      <c r="J417" s="9" t="s">
        <v>5</v>
      </c>
      <c r="K417" s="9" t="s">
        <v>6</v>
      </c>
      <c r="L417" s="9" t="s">
        <v>7</v>
      </c>
      <c r="M417" s="9" t="s">
        <v>8</v>
      </c>
      <c r="N417" s="9" t="s">
        <v>9</v>
      </c>
      <c r="O417" s="9" t="s">
        <v>10</v>
      </c>
      <c r="P417" s="44" t="s">
        <v>139</v>
      </c>
    </row>
    <row r="418" spans="3:18" x14ac:dyDescent="0.35">
      <c r="C418" s="155">
        <v>0</v>
      </c>
      <c r="F418">
        <v>124.30959</v>
      </c>
      <c r="G418">
        <v>133.83768000000001</v>
      </c>
      <c r="H418" s="2">
        <f>G418-F418</f>
        <v>9.5280900000000059</v>
      </c>
      <c r="I418" s="2">
        <f t="shared" ref="I418:I423" si="273">F419-G418</f>
        <v>6.7389100000000042</v>
      </c>
      <c r="J418" s="2">
        <f t="shared" ref="J418:J423" si="274">H418/N418</f>
        <v>0.58573123501567592</v>
      </c>
      <c r="K418" s="2">
        <f t="shared" ref="K418:K423" si="275">I418/N418</f>
        <v>0.41426876498432408</v>
      </c>
      <c r="L418" s="2">
        <f t="shared" ref="L418:L423" si="276">1/H418</f>
        <v>0.10495282895102789</v>
      </c>
      <c r="M418" s="2">
        <f t="shared" ref="M418:M423" si="277">1/N418</f>
        <v>6.1474150119874553E-2</v>
      </c>
      <c r="N418" s="2">
        <f t="shared" ref="N418:N423" si="278">H418+I418</f>
        <v>16.26700000000001</v>
      </c>
      <c r="O418">
        <v>96</v>
      </c>
      <c r="P418" s="2">
        <f t="shared" ref="P418:P423" si="279">O418/H418</f>
        <v>10.075471579298679</v>
      </c>
      <c r="R418" t="s">
        <v>352</v>
      </c>
    </row>
    <row r="419" spans="3:18" x14ac:dyDescent="0.35">
      <c r="C419" s="155">
        <v>0</v>
      </c>
      <c r="D419" t="s">
        <v>541</v>
      </c>
      <c r="F419">
        <v>140.57659000000001</v>
      </c>
      <c r="G419">
        <v>147.94565</v>
      </c>
      <c r="H419" s="2">
        <f t="shared" ref="H419:H424" si="280">G419-F419</f>
        <v>7.3690599999999904</v>
      </c>
      <c r="I419" s="2">
        <f t="shared" si="273"/>
        <v>10.662149999999997</v>
      </c>
      <c r="J419" s="2">
        <f t="shared" si="274"/>
        <v>0.4086836102513362</v>
      </c>
      <c r="K419" s="2">
        <f t="shared" si="275"/>
        <v>0.59131638974866385</v>
      </c>
      <c r="L419" s="2">
        <f t="shared" si="276"/>
        <v>0.13570251836733604</v>
      </c>
      <c r="M419" s="2">
        <f t="shared" si="277"/>
        <v>5.5459395126561152E-2</v>
      </c>
      <c r="N419" s="2">
        <f t="shared" si="278"/>
        <v>18.031209999999987</v>
      </c>
      <c r="O419">
        <v>77</v>
      </c>
      <c r="P419" s="2">
        <f t="shared" si="279"/>
        <v>10.449093914284875</v>
      </c>
    </row>
    <row r="420" spans="3:18" x14ac:dyDescent="0.35">
      <c r="C420" s="155">
        <v>0</v>
      </c>
      <c r="F420">
        <v>158.6078</v>
      </c>
      <c r="G420">
        <v>169.34628000000001</v>
      </c>
      <c r="H420" s="2">
        <f t="shared" si="280"/>
        <v>10.73848000000001</v>
      </c>
      <c r="I420" s="2">
        <f t="shared" si="273"/>
        <v>7.9588999999999999</v>
      </c>
      <c r="J420" s="2">
        <f t="shared" si="274"/>
        <v>0.57433073510834165</v>
      </c>
      <c r="K420" s="2">
        <f t="shared" si="275"/>
        <v>0.42566926489165841</v>
      </c>
      <c r="L420" s="2">
        <f t="shared" si="276"/>
        <v>9.312304907212185E-2</v>
      </c>
      <c r="M420" s="2">
        <f t="shared" si="277"/>
        <v>5.3483429229121915E-2</v>
      </c>
      <c r="N420" s="2">
        <f t="shared" si="278"/>
        <v>18.69738000000001</v>
      </c>
      <c r="O420">
        <v>95</v>
      </c>
      <c r="P420" s="2">
        <f t="shared" si="279"/>
        <v>8.8466896618515758</v>
      </c>
    </row>
    <row r="421" spans="3:18" x14ac:dyDescent="0.35">
      <c r="C421" s="155">
        <v>0</v>
      </c>
      <c r="D421" t="s">
        <v>541</v>
      </c>
      <c r="F421">
        <v>177.30518000000001</v>
      </c>
      <c r="G421">
        <v>184.70339999999999</v>
      </c>
      <c r="H421" s="2">
        <f t="shared" si="280"/>
        <v>7.3982199999999807</v>
      </c>
      <c r="I421" s="2">
        <f t="shared" si="273"/>
        <v>10.677580000000006</v>
      </c>
      <c r="J421" s="2">
        <f t="shared" si="274"/>
        <v>0.40928866218922461</v>
      </c>
      <c r="K421" s="2">
        <f t="shared" si="275"/>
        <v>0.59071133781077545</v>
      </c>
      <c r="L421" s="2">
        <f t="shared" si="276"/>
        <v>0.13516764843435347</v>
      </c>
      <c r="M421" s="2">
        <f t="shared" si="277"/>
        <v>5.5322585998959978E-2</v>
      </c>
      <c r="N421" s="2">
        <f t="shared" si="278"/>
        <v>18.075799999999987</v>
      </c>
      <c r="O421">
        <v>81</v>
      </c>
      <c r="P421" s="2">
        <f t="shared" si="279"/>
        <v>10.948579523182632</v>
      </c>
    </row>
    <row r="422" spans="3:18" x14ac:dyDescent="0.35">
      <c r="C422" s="155">
        <v>0</v>
      </c>
      <c r="F422">
        <v>195.38097999999999</v>
      </c>
      <c r="G422">
        <v>204.68975</v>
      </c>
      <c r="H422" s="2">
        <f t="shared" si="280"/>
        <v>9.3087700000000098</v>
      </c>
      <c r="I422" s="2">
        <f t="shared" si="273"/>
        <v>7.7794199999999876</v>
      </c>
      <c r="J422" s="2">
        <f t="shared" si="274"/>
        <v>0.54474874167480647</v>
      </c>
      <c r="K422" s="2">
        <f t="shared" si="275"/>
        <v>0.45525125832519353</v>
      </c>
      <c r="L422" s="2">
        <f t="shared" si="276"/>
        <v>0.10742557824503118</v>
      </c>
      <c r="M422" s="2">
        <f t="shared" si="277"/>
        <v>5.8519948572669206E-2</v>
      </c>
      <c r="N422" s="2">
        <f t="shared" si="278"/>
        <v>17.088189999999997</v>
      </c>
      <c r="O422">
        <v>89</v>
      </c>
      <c r="P422" s="2">
        <f t="shared" si="279"/>
        <v>9.5608764638077748</v>
      </c>
    </row>
    <row r="423" spans="3:18" x14ac:dyDescent="0.35">
      <c r="C423" s="155">
        <v>0</v>
      </c>
      <c r="D423" t="s">
        <v>541</v>
      </c>
      <c r="F423">
        <v>212.46916999999999</v>
      </c>
      <c r="G423">
        <v>220.56496999999999</v>
      </c>
      <c r="H423" s="2">
        <f t="shared" si="280"/>
        <v>8.095799999999997</v>
      </c>
      <c r="I423" s="2">
        <f t="shared" si="273"/>
        <v>8.9362300000000232</v>
      </c>
      <c r="J423" s="2">
        <f t="shared" si="274"/>
        <v>0.47532795562243535</v>
      </c>
      <c r="K423" s="2">
        <f t="shared" si="275"/>
        <v>0.52467204437756465</v>
      </c>
      <c r="L423" s="2">
        <f t="shared" si="276"/>
        <v>0.1235208379653648</v>
      </c>
      <c r="M423" s="2">
        <f t="shared" si="277"/>
        <v>5.8712907386846945E-2</v>
      </c>
      <c r="N423" s="2">
        <f t="shared" si="278"/>
        <v>17.03203000000002</v>
      </c>
      <c r="O423">
        <v>103</v>
      </c>
      <c r="P423" s="2">
        <f t="shared" si="279"/>
        <v>12.722646310432575</v>
      </c>
    </row>
    <row r="424" spans="3:18" x14ac:dyDescent="0.35">
      <c r="C424" s="155">
        <v>0</v>
      </c>
      <c r="F424">
        <v>229.50120000000001</v>
      </c>
      <c r="G424">
        <v>239.84952999999999</v>
      </c>
      <c r="H424" s="2">
        <f t="shared" si="280"/>
        <v>10.348329999999976</v>
      </c>
      <c r="I424" s="2"/>
      <c r="J424" s="2"/>
      <c r="K424" s="2"/>
      <c r="L424" s="2"/>
      <c r="M424" s="2"/>
      <c r="N424" s="2"/>
    </row>
    <row r="425" spans="3:18" x14ac:dyDescent="0.35">
      <c r="C425" s="155"/>
    </row>
    <row r="426" spans="3:18" ht="16" thickBot="1" x14ac:dyDescent="0.4">
      <c r="C426" s="155"/>
      <c r="G426" s="13"/>
      <c r="H426" s="9" t="s">
        <v>3</v>
      </c>
      <c r="I426" s="9" t="s">
        <v>4</v>
      </c>
      <c r="J426" s="9" t="s">
        <v>5</v>
      </c>
      <c r="K426" s="9" t="s">
        <v>6</v>
      </c>
      <c r="L426" s="9" t="s">
        <v>7</v>
      </c>
      <c r="M426" s="9" t="s">
        <v>8</v>
      </c>
      <c r="N426" s="9" t="s">
        <v>9</v>
      </c>
      <c r="O426" s="9" t="s">
        <v>10</v>
      </c>
      <c r="P426" s="44" t="s">
        <v>139</v>
      </c>
    </row>
    <row r="427" spans="3:18" x14ac:dyDescent="0.35">
      <c r="C427" s="155"/>
      <c r="G427" s="49" t="s">
        <v>77</v>
      </c>
      <c r="H427" s="13">
        <f t="shared" ref="H427:P427" si="281">AVERAGE(H418:H423)</f>
        <v>8.7397366666666656</v>
      </c>
      <c r="I427" s="13">
        <f t="shared" si="281"/>
        <v>8.7921983333333369</v>
      </c>
      <c r="J427" s="13">
        <f t="shared" si="281"/>
        <v>0.49968515664363672</v>
      </c>
      <c r="K427" s="13">
        <f t="shared" si="281"/>
        <v>0.50031484335636334</v>
      </c>
      <c r="L427" s="13">
        <f t="shared" si="281"/>
        <v>0.11664874350587255</v>
      </c>
      <c r="M427" s="13">
        <f t="shared" si="281"/>
        <v>5.7162069405672283E-2</v>
      </c>
      <c r="N427" s="13">
        <f t="shared" si="281"/>
        <v>17.531935000000001</v>
      </c>
      <c r="O427" s="13">
        <f t="shared" si="281"/>
        <v>90.166666666666671</v>
      </c>
      <c r="P427" s="13">
        <f t="shared" si="281"/>
        <v>10.433892908809684</v>
      </c>
    </row>
    <row r="428" spans="3:18" x14ac:dyDescent="0.35">
      <c r="C428" s="155"/>
      <c r="G428" s="49" t="s">
        <v>94</v>
      </c>
      <c r="H428" s="2">
        <f t="shared" ref="H428:P428" si="282">_xlfn.STDEV.S(H418:H423)</f>
        <v>1.3441243058090637</v>
      </c>
      <c r="I428" s="2">
        <f t="shared" si="282"/>
        <v>1.6129617125203772</v>
      </c>
      <c r="J428" s="2">
        <f t="shared" si="282"/>
        <v>8.0065844878353096E-2</v>
      </c>
      <c r="K428" s="2">
        <f t="shared" si="282"/>
        <v>8.0065844878353651E-2</v>
      </c>
      <c r="L428" s="2">
        <f t="shared" si="282"/>
        <v>1.7484515159276529E-2</v>
      </c>
      <c r="M428" s="2">
        <f t="shared" si="282"/>
        <v>2.9208959863254412E-3</v>
      </c>
      <c r="N428" s="2">
        <f t="shared" si="282"/>
        <v>0.8888421569828866</v>
      </c>
      <c r="O428" s="2">
        <f t="shared" si="282"/>
        <v>9.8064604555704342</v>
      </c>
      <c r="P428" s="2">
        <f t="shared" si="282"/>
        <v>1.3351676467671885</v>
      </c>
    </row>
    <row r="429" spans="3:18" x14ac:dyDescent="0.35">
      <c r="C429" s="155"/>
      <c r="G429" s="49" t="s">
        <v>95</v>
      </c>
      <c r="H429" s="2">
        <f t="shared" ref="H429:P429" si="283">H428/(SQRT(COUNT(H418:H423)))</f>
        <v>0.54873645001747695</v>
      </c>
      <c r="I429" s="2">
        <f t="shared" si="283"/>
        <v>0.6584888617201089</v>
      </c>
      <c r="J429" s="2">
        <f t="shared" si="283"/>
        <v>3.2686744296132497E-2</v>
      </c>
      <c r="K429" s="2">
        <f t="shared" si="283"/>
        <v>3.2686744296132726E-2</v>
      </c>
      <c r="L429" s="2">
        <f t="shared" si="283"/>
        <v>7.1380234233641409E-3</v>
      </c>
      <c r="M429" s="2">
        <f t="shared" si="283"/>
        <v>1.1924507930401204E-3</v>
      </c>
      <c r="N429" s="2">
        <f t="shared" si="283"/>
        <v>0.36286829108047602</v>
      </c>
      <c r="O429" s="2">
        <f t="shared" si="283"/>
        <v>4.0034707164881054</v>
      </c>
      <c r="P429" s="2">
        <f t="shared" si="283"/>
        <v>0.54507990927536365</v>
      </c>
    </row>
    <row r="430" spans="3:18" x14ac:dyDescent="0.35">
      <c r="C430" s="250"/>
      <c r="G430" s="49"/>
      <c r="H430" s="2"/>
      <c r="I430" s="2"/>
      <c r="J430" s="2"/>
      <c r="K430" s="2"/>
      <c r="L430" s="2"/>
      <c r="M430" s="2"/>
      <c r="N430" s="2"/>
      <c r="O430" s="2"/>
      <c r="P430" s="2"/>
    </row>
    <row r="431" spans="3:18" ht="16" thickBot="1" x14ac:dyDescent="0.4">
      <c r="C431" s="250"/>
      <c r="E431" s="104" t="s">
        <v>81</v>
      </c>
      <c r="G431" s="13"/>
      <c r="H431" s="9" t="s">
        <v>3</v>
      </c>
      <c r="I431" s="9" t="s">
        <v>4</v>
      </c>
      <c r="J431" s="9" t="s">
        <v>5</v>
      </c>
      <c r="K431" s="9" t="s">
        <v>6</v>
      </c>
      <c r="L431" s="9" t="s">
        <v>7</v>
      </c>
      <c r="M431" s="9" t="s">
        <v>8</v>
      </c>
      <c r="N431" s="9" t="s">
        <v>9</v>
      </c>
      <c r="O431" s="9" t="s">
        <v>10</v>
      </c>
      <c r="P431" s="44" t="s">
        <v>139</v>
      </c>
    </row>
    <row r="432" spans="3:18" x14ac:dyDescent="0.35">
      <c r="C432" s="250"/>
      <c r="G432" s="49" t="s">
        <v>77</v>
      </c>
      <c r="H432" s="2">
        <f>AVERAGE(H419,H421,H423)</f>
        <v>7.6210266666666557</v>
      </c>
      <c r="I432" s="2">
        <f t="shared" ref="I432:P432" si="284">AVERAGE(I419,I421,I423)</f>
        <v>10.091986666666676</v>
      </c>
      <c r="J432" s="2">
        <f t="shared" si="284"/>
        <v>0.4311000760209987</v>
      </c>
      <c r="K432" s="2">
        <f t="shared" si="284"/>
        <v>0.56889992397900135</v>
      </c>
      <c r="L432" s="2">
        <f t="shared" si="284"/>
        <v>0.13146366825568476</v>
      </c>
      <c r="M432" s="2">
        <f t="shared" si="284"/>
        <v>5.6498296170789358E-2</v>
      </c>
      <c r="N432" s="2">
        <f t="shared" si="284"/>
        <v>17.713013333333333</v>
      </c>
      <c r="O432" s="2">
        <f t="shared" si="284"/>
        <v>87</v>
      </c>
      <c r="P432" s="2">
        <f t="shared" si="284"/>
        <v>11.373439915966694</v>
      </c>
    </row>
    <row r="433" spans="3:18" x14ac:dyDescent="0.35">
      <c r="C433" s="250"/>
      <c r="G433" s="49" t="s">
        <v>94</v>
      </c>
      <c r="H433" s="2">
        <f>_xlfn.STDEV.S(H419,H421,H423)</f>
        <v>0.41142419099189903</v>
      </c>
      <c r="I433" s="2">
        <f t="shared" ref="I433:P433" si="285">_xlfn.STDEV.S(I419,I421,I423)</f>
        <v>1.0009443669022311</v>
      </c>
      <c r="J433" s="2">
        <f t="shared" si="285"/>
        <v>3.8303661998446918E-2</v>
      </c>
      <c r="K433" s="2">
        <f t="shared" si="285"/>
        <v>3.8303661998446946E-2</v>
      </c>
      <c r="L433" s="2">
        <f t="shared" si="285"/>
        <v>6.883889614667028E-3</v>
      </c>
      <c r="M433" s="2">
        <f t="shared" si="285"/>
        <v>1.9191290506541752E-3</v>
      </c>
      <c r="N433" s="2">
        <f t="shared" si="285"/>
        <v>0.590170138378172</v>
      </c>
      <c r="O433" s="2">
        <f t="shared" si="285"/>
        <v>14</v>
      </c>
      <c r="P433" s="2">
        <f t="shared" si="285"/>
        <v>1.1948388550447746</v>
      </c>
    </row>
    <row r="434" spans="3:18" x14ac:dyDescent="0.35">
      <c r="C434" s="250"/>
      <c r="G434" s="49" t="s">
        <v>95</v>
      </c>
      <c r="H434" s="2">
        <f>H433/SQRT(3)</f>
        <v>0.23753586742029692</v>
      </c>
      <c r="I434" s="2">
        <f t="shared" ref="I434:P434" si="286">I433/SQRT(3)</f>
        <v>0.57789549967484266</v>
      </c>
      <c r="J434" s="2">
        <f t="shared" si="286"/>
        <v>2.2114629565751769E-2</v>
      </c>
      <c r="K434" s="2">
        <f t="shared" si="286"/>
        <v>2.2114629565751786E-2</v>
      </c>
      <c r="L434" s="2">
        <f t="shared" si="286"/>
        <v>3.974415522099678E-3</v>
      </c>
      <c r="M434" s="2">
        <f t="shared" si="286"/>
        <v>1.108009674004819E-3</v>
      </c>
      <c r="N434" s="2">
        <f t="shared" si="286"/>
        <v>0.34073488826031634</v>
      </c>
      <c r="O434" s="2">
        <f t="shared" si="286"/>
        <v>8.0829037686547611</v>
      </c>
      <c r="P434" s="2">
        <f t="shared" si="286"/>
        <v>0.68984053459832495</v>
      </c>
    </row>
    <row r="435" spans="3:18" x14ac:dyDescent="0.35">
      <c r="C435" s="250"/>
      <c r="H435" s="2"/>
      <c r="I435" s="2"/>
      <c r="J435" s="2"/>
      <c r="K435" s="2"/>
      <c r="L435" s="2"/>
      <c r="M435" s="2"/>
      <c r="N435" s="2"/>
    </row>
    <row r="436" spans="3:18" x14ac:dyDescent="0.35">
      <c r="C436" s="250"/>
      <c r="H436" s="2"/>
      <c r="I436" s="2"/>
      <c r="J436" s="2"/>
      <c r="K436" s="2"/>
      <c r="L436" s="2"/>
      <c r="M436" s="2"/>
      <c r="N436" s="2"/>
    </row>
    <row r="437" spans="3:18" ht="16" thickBot="1" x14ac:dyDescent="0.4">
      <c r="C437" s="250"/>
      <c r="E437" s="104" t="s">
        <v>82</v>
      </c>
      <c r="G437" s="13"/>
      <c r="H437" s="9" t="s">
        <v>3</v>
      </c>
      <c r="I437" s="9" t="s">
        <v>4</v>
      </c>
      <c r="J437" s="9" t="s">
        <v>5</v>
      </c>
      <c r="K437" s="9" t="s">
        <v>6</v>
      </c>
      <c r="L437" s="9" t="s">
        <v>7</v>
      </c>
      <c r="M437" s="9" t="s">
        <v>8</v>
      </c>
      <c r="N437" s="9" t="s">
        <v>9</v>
      </c>
      <c r="O437" s="9" t="s">
        <v>10</v>
      </c>
      <c r="P437" s="44" t="s">
        <v>139</v>
      </c>
    </row>
    <row r="438" spans="3:18" x14ac:dyDescent="0.35">
      <c r="C438" s="250"/>
      <c r="G438" s="49" t="s">
        <v>77</v>
      </c>
      <c r="H438" s="2">
        <f>AVERAGE(H418,H420,H422)</f>
        <v>9.8584466666666746</v>
      </c>
      <c r="I438" s="2">
        <f t="shared" ref="I438:P438" si="287">AVERAGE(I418,I420,I422)</f>
        <v>7.4924099999999969</v>
      </c>
      <c r="J438" s="2">
        <f t="shared" si="287"/>
        <v>0.56827023726627468</v>
      </c>
      <c r="K438" s="2">
        <f t="shared" si="287"/>
        <v>0.43172976273372532</v>
      </c>
      <c r="L438" s="2">
        <f t="shared" si="287"/>
        <v>0.1018338187560603</v>
      </c>
      <c r="M438" s="2">
        <f t="shared" si="287"/>
        <v>5.7825842640555229E-2</v>
      </c>
      <c r="N438" s="2">
        <f t="shared" si="287"/>
        <v>17.350856666666672</v>
      </c>
      <c r="O438" s="2">
        <f t="shared" si="287"/>
        <v>93.333333333333329</v>
      </c>
      <c r="P438" s="2">
        <f t="shared" si="287"/>
        <v>9.494345901652677</v>
      </c>
    </row>
    <row r="439" spans="3:18" x14ac:dyDescent="0.35">
      <c r="C439" s="250"/>
      <c r="G439" s="49" t="s">
        <v>94</v>
      </c>
      <c r="H439" s="2">
        <f>_xlfn.STDEV.S(H418,H420,H422)</f>
        <v>0.76998007534827462</v>
      </c>
      <c r="I439" s="2">
        <f t="shared" ref="I439:P439" si="288">_xlfn.STDEV.S(I418,I420,I422)</f>
        <v>0.65869185139941822</v>
      </c>
      <c r="J439" s="2">
        <f t="shared" si="288"/>
        <v>2.1152740145874153E-2</v>
      </c>
      <c r="K439" s="2">
        <f t="shared" si="288"/>
        <v>2.1152740145874142E-2</v>
      </c>
      <c r="L439" s="2">
        <f t="shared" si="288"/>
        <v>7.6443936079138705E-3</v>
      </c>
      <c r="M439" s="2">
        <f t="shared" si="288"/>
        <v>4.0403270130305695E-3</v>
      </c>
      <c r="N439" s="2">
        <f t="shared" si="288"/>
        <v>1.2362977268576272</v>
      </c>
      <c r="O439" s="2">
        <f t="shared" si="288"/>
        <v>3.7859388972001824</v>
      </c>
      <c r="P439" s="2">
        <f t="shared" si="288"/>
        <v>0.6170866932099166</v>
      </c>
    </row>
    <row r="440" spans="3:18" x14ac:dyDescent="0.35">
      <c r="C440" s="250"/>
      <c r="G440" s="49" t="s">
        <v>95</v>
      </c>
      <c r="H440" s="2">
        <f>H439/SQRT(3)</f>
        <v>0.44454820377297471</v>
      </c>
      <c r="I440" s="2">
        <f t="shared" ref="I440:P440" si="289">I439/SQRT(3)</f>
        <v>0.3802959177184671</v>
      </c>
      <c r="J440" s="2">
        <f t="shared" si="289"/>
        <v>1.2212540217318647E-2</v>
      </c>
      <c r="K440" s="2">
        <f t="shared" si="289"/>
        <v>1.2212540217318641E-2</v>
      </c>
      <c r="L440" s="2">
        <f t="shared" si="289"/>
        <v>4.4134927073205283E-3</v>
      </c>
      <c r="M440" s="2">
        <f t="shared" si="289"/>
        <v>2.332683888587316E-3</v>
      </c>
      <c r="N440" s="2">
        <f t="shared" si="289"/>
        <v>0.7137768253997735</v>
      </c>
      <c r="O440" s="2">
        <f t="shared" si="289"/>
        <v>2.1858128414340001</v>
      </c>
      <c r="P440" s="2">
        <f t="shared" si="289"/>
        <v>0.35627516843808138</v>
      </c>
    </row>
    <row r="441" spans="3:18" x14ac:dyDescent="0.35">
      <c r="C441" s="250"/>
      <c r="G441" s="49"/>
      <c r="H441" s="2"/>
      <c r="I441" s="2"/>
      <c r="J441" s="2"/>
      <c r="K441" s="2"/>
      <c r="L441" s="2"/>
      <c r="M441" s="2"/>
      <c r="N441" s="2"/>
      <c r="O441" s="2"/>
      <c r="P441" s="2"/>
    </row>
    <row r="442" spans="3:18" x14ac:dyDescent="0.35">
      <c r="C442" s="250"/>
      <c r="G442" s="49"/>
      <c r="H442" s="2"/>
      <c r="I442" s="2"/>
      <c r="J442" s="2"/>
      <c r="K442" s="2"/>
      <c r="L442" s="2"/>
      <c r="M442" s="2"/>
      <c r="N442" s="2"/>
      <c r="O442" s="2"/>
      <c r="P442" s="2"/>
    </row>
    <row r="443" spans="3:18" x14ac:dyDescent="0.35">
      <c r="C443" s="155"/>
    </row>
    <row r="444" spans="3:18" ht="24" thickBot="1" x14ac:dyDescent="0.6">
      <c r="C444" s="155" t="s">
        <v>216</v>
      </c>
      <c r="D444" s="204" t="s">
        <v>122</v>
      </c>
      <c r="F444" s="9" t="s">
        <v>1</v>
      </c>
      <c r="G444" s="9" t="s">
        <v>2</v>
      </c>
      <c r="H444" s="9" t="s">
        <v>3</v>
      </c>
      <c r="I444" s="9" t="s">
        <v>4</v>
      </c>
      <c r="J444" s="9" t="s">
        <v>5</v>
      </c>
      <c r="K444" s="9" t="s">
        <v>6</v>
      </c>
      <c r="L444" s="9" t="s">
        <v>7</v>
      </c>
      <c r="M444" s="9" t="s">
        <v>8</v>
      </c>
      <c r="N444" s="9" t="s">
        <v>9</v>
      </c>
      <c r="O444" s="9" t="s">
        <v>10</v>
      </c>
      <c r="P444" s="44" t="s">
        <v>139</v>
      </c>
    </row>
    <row r="445" spans="3:18" x14ac:dyDescent="0.35">
      <c r="C445" s="155">
        <v>-6</v>
      </c>
      <c r="F445">
        <v>249.05345</v>
      </c>
      <c r="G445">
        <v>257.23309999999998</v>
      </c>
      <c r="H445" s="2">
        <f>G445-F445</f>
        <v>8.179649999999981</v>
      </c>
      <c r="I445" s="2">
        <f t="shared" ref="I445:I450" si="290">F446-G445</f>
        <v>9.7329500000000166</v>
      </c>
      <c r="J445" s="2">
        <f t="shared" ref="J445:J450" si="291">H445/N445</f>
        <v>0.45664225182273832</v>
      </c>
      <c r="K445" s="2">
        <f t="shared" ref="K445:K450" si="292">I445/N445</f>
        <v>0.54335774817726168</v>
      </c>
      <c r="L445" s="2">
        <f t="shared" ref="L445:L450" si="293">1/H445</f>
        <v>0.12225461969644207</v>
      </c>
      <c r="M445" s="2">
        <f t="shared" ref="M445:M450" si="294">1/N445</f>
        <v>5.5826624833915796E-2</v>
      </c>
      <c r="N445" s="2">
        <f t="shared" ref="N445:N450" si="295">H445+I445</f>
        <v>17.912599999999998</v>
      </c>
      <c r="O445">
        <v>70</v>
      </c>
      <c r="P445" s="2">
        <f t="shared" ref="P445:P450" si="296">O445/H445</f>
        <v>8.5578233787509443</v>
      </c>
      <c r="R445" t="s">
        <v>353</v>
      </c>
    </row>
    <row r="446" spans="3:18" x14ac:dyDescent="0.35">
      <c r="C446" s="155">
        <v>-6</v>
      </c>
      <c r="D446" t="s">
        <v>541</v>
      </c>
      <c r="F446">
        <v>266.96605</v>
      </c>
      <c r="G446">
        <v>275.77629000000002</v>
      </c>
      <c r="H446" s="2">
        <f t="shared" ref="H446:H451" si="297">G446-F446</f>
        <v>8.8102400000000216</v>
      </c>
      <c r="I446" s="2">
        <f t="shared" si="290"/>
        <v>11.087780000000009</v>
      </c>
      <c r="J446" s="2">
        <f t="shared" si="291"/>
        <v>0.44276968261163713</v>
      </c>
      <c r="K446" s="2">
        <f t="shared" si="292"/>
        <v>0.55723031738836282</v>
      </c>
      <c r="L446" s="2">
        <f t="shared" si="293"/>
        <v>0.11350428592183613</v>
      </c>
      <c r="M446" s="2">
        <f t="shared" si="294"/>
        <v>5.0256256652671895E-2</v>
      </c>
      <c r="N446" s="2">
        <f t="shared" si="295"/>
        <v>19.898020000000031</v>
      </c>
      <c r="O446">
        <v>65</v>
      </c>
      <c r="P446" s="2">
        <f t="shared" si="296"/>
        <v>7.3777785849193487</v>
      </c>
    </row>
    <row r="447" spans="3:18" x14ac:dyDescent="0.35">
      <c r="C447" s="155">
        <v>-6</v>
      </c>
      <c r="F447">
        <v>286.86407000000003</v>
      </c>
      <c r="G447">
        <v>294.86002999999999</v>
      </c>
      <c r="H447" s="2">
        <f t="shared" si="297"/>
        <v>7.9959599999999682</v>
      </c>
      <c r="I447" s="2">
        <f t="shared" si="290"/>
        <v>7.8447100000000205</v>
      </c>
      <c r="J447" s="2">
        <f t="shared" si="291"/>
        <v>0.50477410362061537</v>
      </c>
      <c r="K447" s="2">
        <f t="shared" si="292"/>
        <v>0.49522589637938458</v>
      </c>
      <c r="L447" s="2">
        <f t="shared" si="293"/>
        <v>0.12506315689423209</v>
      </c>
      <c r="M447" s="2">
        <f t="shared" si="294"/>
        <v>6.3128642917250385E-2</v>
      </c>
      <c r="N447" s="2">
        <f t="shared" si="295"/>
        <v>15.840669999999989</v>
      </c>
      <c r="O447">
        <v>70</v>
      </c>
      <c r="P447" s="2">
        <f t="shared" si="296"/>
        <v>8.7544209825962458</v>
      </c>
    </row>
    <row r="448" spans="3:18" x14ac:dyDescent="0.35">
      <c r="C448" s="155">
        <v>-6</v>
      </c>
      <c r="D448" t="s">
        <v>541</v>
      </c>
      <c r="F448">
        <v>302.70474000000002</v>
      </c>
      <c r="G448">
        <v>309.94173000000001</v>
      </c>
      <c r="H448" s="2">
        <f t="shared" si="297"/>
        <v>7.2369899999999916</v>
      </c>
      <c r="I448" s="2">
        <f t="shared" si="290"/>
        <v>11.706209999999999</v>
      </c>
      <c r="J448" s="2">
        <f t="shared" si="291"/>
        <v>0.38203629798555655</v>
      </c>
      <c r="K448" s="2">
        <f t="shared" si="292"/>
        <v>0.61796370201444339</v>
      </c>
      <c r="L448" s="2">
        <f t="shared" si="293"/>
        <v>0.13817899430564382</v>
      </c>
      <c r="M448" s="2">
        <f t="shared" si="294"/>
        <v>5.278939144389546E-2</v>
      </c>
      <c r="N448" s="2">
        <f t="shared" si="295"/>
        <v>18.94319999999999</v>
      </c>
      <c r="O448">
        <v>66</v>
      </c>
      <c r="P448" s="2">
        <f t="shared" si="296"/>
        <v>9.1198136241724903</v>
      </c>
    </row>
    <row r="449" spans="3:16" x14ac:dyDescent="0.35">
      <c r="C449" s="155">
        <v>-6</v>
      </c>
      <c r="F449">
        <v>321.64794000000001</v>
      </c>
      <c r="G449">
        <v>329.60914000000002</v>
      </c>
      <c r="H449" s="2">
        <f t="shared" si="297"/>
        <v>7.9612000000000194</v>
      </c>
      <c r="I449" s="2">
        <f t="shared" si="290"/>
        <v>10.574289999999962</v>
      </c>
      <c r="J449" s="2">
        <f t="shared" si="291"/>
        <v>0.42951117019296642</v>
      </c>
      <c r="K449" s="2">
        <f t="shared" si="292"/>
        <v>0.57048882980703353</v>
      </c>
      <c r="L449" s="2">
        <f t="shared" si="293"/>
        <v>0.1256092046425159</v>
      </c>
      <c r="M449" s="2">
        <f t="shared" si="294"/>
        <v>5.3950556473014798E-2</v>
      </c>
      <c r="N449" s="2">
        <f t="shared" si="295"/>
        <v>18.535489999999982</v>
      </c>
      <c r="O449">
        <v>68</v>
      </c>
      <c r="P449" s="2">
        <f t="shared" si="296"/>
        <v>8.5414259156910806</v>
      </c>
    </row>
    <row r="450" spans="3:16" x14ac:dyDescent="0.35">
      <c r="C450" s="155">
        <v>-6</v>
      </c>
      <c r="D450" t="s">
        <v>541</v>
      </c>
      <c r="F450">
        <v>340.18342999999999</v>
      </c>
      <c r="G450">
        <v>344.69470999999999</v>
      </c>
      <c r="H450" s="2">
        <f t="shared" si="297"/>
        <v>4.5112799999999993</v>
      </c>
      <c r="I450" s="2">
        <f t="shared" si="290"/>
        <v>9.9014200000000301</v>
      </c>
      <c r="J450" s="2">
        <f t="shared" si="291"/>
        <v>0.3130072783031625</v>
      </c>
      <c r="K450" s="2">
        <f t="shared" si="292"/>
        <v>0.68699272169683745</v>
      </c>
      <c r="L450" s="2">
        <f t="shared" si="293"/>
        <v>0.2216665780000355</v>
      </c>
      <c r="M450" s="2">
        <f t="shared" si="294"/>
        <v>6.9383252270566784E-2</v>
      </c>
      <c r="N450" s="2">
        <f t="shared" si="295"/>
        <v>14.412700000000029</v>
      </c>
      <c r="O450">
        <v>47</v>
      </c>
      <c r="P450" s="2">
        <f t="shared" si="296"/>
        <v>10.418329166001669</v>
      </c>
    </row>
    <row r="451" spans="3:16" x14ac:dyDescent="0.35">
      <c r="C451" s="155">
        <v>-6</v>
      </c>
      <c r="F451">
        <v>354.59613000000002</v>
      </c>
      <c r="G451">
        <v>359.86435</v>
      </c>
      <c r="H451" s="2">
        <f t="shared" si="297"/>
        <v>5.2682199999999852</v>
      </c>
      <c r="I451" s="2"/>
      <c r="J451" s="2"/>
      <c r="K451" s="2"/>
      <c r="L451" s="2"/>
      <c r="M451" s="2"/>
      <c r="N451" s="2"/>
    </row>
    <row r="452" spans="3:16" x14ac:dyDescent="0.35">
      <c r="C452" s="155"/>
    </row>
    <row r="453" spans="3:16" ht="16" thickBot="1" x14ac:dyDescent="0.4">
      <c r="C453" s="155"/>
      <c r="G453" s="13"/>
      <c r="H453" s="9" t="s">
        <v>3</v>
      </c>
      <c r="I453" s="9" t="s">
        <v>4</v>
      </c>
      <c r="J453" s="9" t="s">
        <v>5</v>
      </c>
      <c r="K453" s="9" t="s">
        <v>6</v>
      </c>
      <c r="L453" s="9" t="s">
        <v>7</v>
      </c>
      <c r="M453" s="9" t="s">
        <v>8</v>
      </c>
      <c r="N453" s="9" t="s">
        <v>9</v>
      </c>
      <c r="O453" s="9" t="s">
        <v>10</v>
      </c>
      <c r="P453" s="44" t="s">
        <v>139</v>
      </c>
    </row>
    <row r="454" spans="3:16" x14ac:dyDescent="0.35">
      <c r="C454" s="155"/>
      <c r="G454" s="49" t="s">
        <v>77</v>
      </c>
      <c r="H454" s="13">
        <f t="shared" ref="H454:P454" si="298">AVERAGE(H445:H450)</f>
        <v>7.4492199999999968</v>
      </c>
      <c r="I454" s="13">
        <f t="shared" si="298"/>
        <v>10.141226666666673</v>
      </c>
      <c r="J454" s="13">
        <f t="shared" si="298"/>
        <v>0.42145679742277942</v>
      </c>
      <c r="K454" s="13">
        <f t="shared" si="298"/>
        <v>0.57854320257722058</v>
      </c>
      <c r="L454" s="13">
        <f t="shared" si="298"/>
        <v>0.14104613991011758</v>
      </c>
      <c r="M454" s="13">
        <f t="shared" si="298"/>
        <v>5.7555787431885858E-2</v>
      </c>
      <c r="N454" s="13">
        <f t="shared" si="298"/>
        <v>17.590446666666669</v>
      </c>
      <c r="O454" s="13">
        <f t="shared" si="298"/>
        <v>64.333333333333329</v>
      </c>
      <c r="P454" s="13">
        <f t="shared" si="298"/>
        <v>8.7949319420219627</v>
      </c>
    </row>
    <row r="455" spans="3:16" x14ac:dyDescent="0.35">
      <c r="C455" s="155"/>
      <c r="G455" s="49" t="s">
        <v>94</v>
      </c>
      <c r="H455" s="2">
        <f t="shared" ref="H455:P455" si="299">_xlfn.STDEV.S(H445:H450)</f>
        <v>1.5246956804424978</v>
      </c>
      <c r="I455" s="2">
        <f t="shared" si="299"/>
        <v>1.3439394161444329</v>
      </c>
      <c r="J455" s="2">
        <f t="shared" si="299"/>
        <v>6.635386301089935E-2</v>
      </c>
      <c r="K455" s="2">
        <f t="shared" si="299"/>
        <v>6.635386301089935E-2</v>
      </c>
      <c r="L455" s="2">
        <f t="shared" si="299"/>
        <v>4.0282267144048679E-2</v>
      </c>
      <c r="M455" s="2">
        <f t="shared" si="299"/>
        <v>7.2516896877767049E-3</v>
      </c>
      <c r="N455" s="2">
        <f t="shared" si="299"/>
        <v>2.0645347273578722</v>
      </c>
      <c r="O455" s="2">
        <f t="shared" si="299"/>
        <v>8.7330788767001533</v>
      </c>
      <c r="P455" s="2">
        <f t="shared" si="299"/>
        <v>0.98705797253913508</v>
      </c>
    </row>
    <row r="456" spans="3:16" x14ac:dyDescent="0.35">
      <c r="C456" s="155"/>
      <c r="G456" s="49" t="s">
        <v>95</v>
      </c>
      <c r="H456" s="2">
        <f t="shared" ref="H456:P456" si="300">H455/(SQRT(COUNT(H445:H450)))</f>
        <v>0.62245440501828619</v>
      </c>
      <c r="I456" s="2">
        <f t="shared" si="300"/>
        <v>0.54866096912796691</v>
      </c>
      <c r="J456" s="2">
        <f t="shared" si="300"/>
        <v>2.7088851139873017E-2</v>
      </c>
      <c r="K456" s="2">
        <f t="shared" si="300"/>
        <v>2.7088851139873017E-2</v>
      </c>
      <c r="L456" s="2">
        <f t="shared" si="300"/>
        <v>1.6445166697566512E-2</v>
      </c>
      <c r="M456" s="2">
        <f t="shared" si="300"/>
        <v>2.9604899180092647E-3</v>
      </c>
      <c r="N456" s="2">
        <f t="shared" si="300"/>
        <v>0.84284277304712896</v>
      </c>
      <c r="O456" s="2">
        <f t="shared" si="300"/>
        <v>3.5652645218989112</v>
      </c>
      <c r="P456" s="2">
        <f t="shared" si="300"/>
        <v>0.40296472987782855</v>
      </c>
    </row>
    <row r="457" spans="3:16" x14ac:dyDescent="0.35">
      <c r="C457" s="250"/>
      <c r="G457" s="49"/>
      <c r="H457" s="2"/>
      <c r="I457" s="2"/>
      <c r="J457" s="2"/>
      <c r="K457" s="2"/>
      <c r="L457" s="2"/>
      <c r="M457" s="2"/>
      <c r="N457" s="2"/>
      <c r="O457" s="2"/>
      <c r="P457" s="2"/>
    </row>
    <row r="458" spans="3:16" ht="16" thickBot="1" x14ac:dyDescent="0.4">
      <c r="C458" s="250"/>
      <c r="E458" s="104" t="s">
        <v>81</v>
      </c>
      <c r="G458" s="13"/>
      <c r="H458" s="9" t="s">
        <v>3</v>
      </c>
      <c r="I458" s="9" t="s">
        <v>4</v>
      </c>
      <c r="J458" s="9" t="s">
        <v>5</v>
      </c>
      <c r="K458" s="9" t="s">
        <v>6</v>
      </c>
      <c r="L458" s="9" t="s">
        <v>7</v>
      </c>
      <c r="M458" s="9" t="s">
        <v>8</v>
      </c>
      <c r="N458" s="9" t="s">
        <v>9</v>
      </c>
      <c r="O458" s="9" t="s">
        <v>10</v>
      </c>
      <c r="P458" s="44" t="s">
        <v>139</v>
      </c>
    </row>
    <row r="459" spans="3:16" x14ac:dyDescent="0.35">
      <c r="C459" s="250"/>
      <c r="G459" s="49" t="s">
        <v>77</v>
      </c>
      <c r="H459" s="2">
        <f>AVERAGE(H446,H448,H450)</f>
        <v>6.8528366666666711</v>
      </c>
      <c r="I459" s="2">
        <f t="shared" ref="I459:P459" si="301">AVERAGE(I446,I448,I450)</f>
        <v>10.898470000000012</v>
      </c>
      <c r="J459" s="2">
        <f t="shared" si="301"/>
        <v>0.37927108630011874</v>
      </c>
      <c r="K459" s="2">
        <f t="shared" si="301"/>
        <v>0.62072891369988126</v>
      </c>
      <c r="L459" s="2">
        <f t="shared" si="301"/>
        <v>0.15778328607583847</v>
      </c>
      <c r="M459" s="2">
        <f t="shared" si="301"/>
        <v>5.7476300122378053E-2</v>
      </c>
      <c r="N459" s="2">
        <f t="shared" si="301"/>
        <v>17.751306666666682</v>
      </c>
      <c r="O459" s="2">
        <f t="shared" si="301"/>
        <v>59.333333333333336</v>
      </c>
      <c r="P459" s="2">
        <f t="shared" si="301"/>
        <v>8.9719737916978364</v>
      </c>
    </row>
    <row r="460" spans="3:16" x14ac:dyDescent="0.35">
      <c r="C460" s="250"/>
      <c r="G460" s="49" t="s">
        <v>94</v>
      </c>
      <c r="H460" s="2">
        <f>_xlfn.STDEV.S(H446,H448,H450)</f>
        <v>2.1750734718701765</v>
      </c>
      <c r="I460" s="2">
        <f t="shared" ref="I460:P460" si="302">_xlfn.STDEV.S(I446,I448,I450)</f>
        <v>0.91716707480151649</v>
      </c>
      <c r="J460" s="2">
        <f t="shared" si="302"/>
        <v>6.4925381706448099E-2</v>
      </c>
      <c r="K460" s="2">
        <f t="shared" si="302"/>
        <v>6.4925381706447988E-2</v>
      </c>
      <c r="L460" s="2">
        <f t="shared" si="302"/>
        <v>5.6683476858434029E-2</v>
      </c>
      <c r="M460" s="2">
        <f t="shared" si="302"/>
        <v>1.038921676846085E-2</v>
      </c>
      <c r="N460" s="2">
        <f t="shared" si="302"/>
        <v>2.9304677381150759</v>
      </c>
      <c r="O460" s="2">
        <f t="shared" si="302"/>
        <v>10.692676621563612</v>
      </c>
      <c r="P460" s="2">
        <f t="shared" si="302"/>
        <v>1.5256570456952705</v>
      </c>
    </row>
    <row r="461" spans="3:16" x14ac:dyDescent="0.35">
      <c r="C461" s="250"/>
      <c r="G461" s="49" t="s">
        <v>95</v>
      </c>
      <c r="H461" s="2">
        <f t="shared" ref="H461:P461" si="303">H460/SQRT(3)</f>
        <v>1.2557792544914603</v>
      </c>
      <c r="I461" s="2">
        <f t="shared" si="303"/>
        <v>0.52952665752851724</v>
      </c>
      <c r="J461" s="2">
        <f t="shared" si="303"/>
        <v>3.7484686605457014E-2</v>
      </c>
      <c r="K461" s="2">
        <f t="shared" si="303"/>
        <v>3.7484686605456952E-2</v>
      </c>
      <c r="L461" s="2">
        <f t="shared" si="303"/>
        <v>3.2726220622820809E-2</v>
      </c>
      <c r="M461" s="2">
        <f t="shared" si="303"/>
        <v>5.9982170979402463E-3</v>
      </c>
      <c r="N461" s="2">
        <f t="shared" si="303"/>
        <v>1.6919063374522529</v>
      </c>
      <c r="O461" s="2">
        <f t="shared" si="303"/>
        <v>6.1734197258173698</v>
      </c>
      <c r="P461" s="2">
        <f t="shared" si="303"/>
        <v>0.88083850602321367</v>
      </c>
    </row>
    <row r="462" spans="3:16" x14ac:dyDescent="0.35">
      <c r="C462" s="250"/>
      <c r="H462" s="2"/>
      <c r="I462" s="2"/>
      <c r="J462" s="2"/>
      <c r="K462" s="2"/>
      <c r="L462" s="2"/>
      <c r="M462" s="2"/>
      <c r="N462" s="2"/>
    </row>
    <row r="463" spans="3:16" x14ac:dyDescent="0.35">
      <c r="C463" s="250"/>
      <c r="H463" s="2"/>
      <c r="I463" s="2"/>
      <c r="J463" s="2"/>
      <c r="K463" s="2"/>
      <c r="L463" s="2"/>
      <c r="M463" s="2"/>
      <c r="N463" s="2"/>
    </row>
    <row r="464" spans="3:16" ht="16" thickBot="1" x14ac:dyDescent="0.4">
      <c r="C464" s="250"/>
      <c r="E464" s="104" t="s">
        <v>82</v>
      </c>
      <c r="G464" s="13"/>
      <c r="H464" s="9" t="s">
        <v>3</v>
      </c>
      <c r="I464" s="9" t="s">
        <v>4</v>
      </c>
      <c r="J464" s="9" t="s">
        <v>5</v>
      </c>
      <c r="K464" s="9" t="s">
        <v>6</v>
      </c>
      <c r="L464" s="9" t="s">
        <v>7</v>
      </c>
      <c r="M464" s="9" t="s">
        <v>8</v>
      </c>
      <c r="N464" s="9" t="s">
        <v>9</v>
      </c>
      <c r="O464" s="9" t="s">
        <v>10</v>
      </c>
      <c r="P464" s="44" t="s">
        <v>139</v>
      </c>
    </row>
    <row r="465" spans="3:18" x14ac:dyDescent="0.35">
      <c r="C465" s="250"/>
      <c r="G465" s="49" t="s">
        <v>77</v>
      </c>
      <c r="H465" s="2">
        <f>AVERAGE(H445,H447,H449)</f>
        <v>8.0456033333333234</v>
      </c>
      <c r="I465" s="2">
        <f t="shared" ref="I465:P465" si="304">AVERAGE(I445,I447,I449)</f>
        <v>9.3839833333333331</v>
      </c>
      <c r="J465" s="2">
        <f t="shared" si="304"/>
        <v>0.46364250854544004</v>
      </c>
      <c r="K465" s="2">
        <f t="shared" si="304"/>
        <v>0.53635749145455991</v>
      </c>
      <c r="L465" s="2">
        <f t="shared" si="304"/>
        <v>0.12430899374439669</v>
      </c>
      <c r="M465" s="2">
        <f t="shared" si="304"/>
        <v>5.7635274741393662E-2</v>
      </c>
      <c r="N465" s="2">
        <f t="shared" si="304"/>
        <v>17.429586666666655</v>
      </c>
      <c r="O465" s="2">
        <f t="shared" si="304"/>
        <v>69.333333333333329</v>
      </c>
      <c r="P465" s="2">
        <f t="shared" si="304"/>
        <v>8.617890092346089</v>
      </c>
    </row>
    <row r="466" spans="3:18" x14ac:dyDescent="0.35">
      <c r="C466" s="250"/>
      <c r="G466" s="49" t="s">
        <v>94</v>
      </c>
      <c r="H466" s="2">
        <f>_xlfn.STDEV.S(H445,H447,H449)</f>
        <v>0.1173816256205831</v>
      </c>
      <c r="I466" s="2">
        <f t="shared" ref="I466:P466" si="305">_xlfn.STDEV.S(I445,I447,I449)</f>
        <v>1.3978501511010619</v>
      </c>
      <c r="J466" s="2">
        <f t="shared" si="305"/>
        <v>3.8116662795573769E-2</v>
      </c>
      <c r="K466" s="2">
        <f t="shared" si="305"/>
        <v>3.8116662795573769E-2</v>
      </c>
      <c r="L466" s="2">
        <f t="shared" si="305"/>
        <v>1.7999671059587571E-3</v>
      </c>
      <c r="M466" s="2">
        <f t="shared" si="305"/>
        <v>4.8489925304469206E-3</v>
      </c>
      <c r="N466" s="2">
        <f t="shared" si="305"/>
        <v>1.410847305073561</v>
      </c>
      <c r="O466" s="2">
        <f t="shared" si="305"/>
        <v>1.1547005383792517</v>
      </c>
      <c r="P466" s="2">
        <f t="shared" si="305"/>
        <v>0.11852312935910407</v>
      </c>
    </row>
    <row r="467" spans="3:18" x14ac:dyDescent="0.35">
      <c r="C467" s="250"/>
      <c r="G467" s="49" t="s">
        <v>95</v>
      </c>
      <c r="H467" s="2">
        <f t="shared" ref="H467:P467" si="306">H466/SQRT(3)</f>
        <v>6.777031314995953E-2</v>
      </c>
      <c r="I467" s="2">
        <f t="shared" si="306"/>
        <v>0.80704916102495716</v>
      </c>
      <c r="J467" s="2">
        <f t="shared" si="306"/>
        <v>2.2006665525634711E-2</v>
      </c>
      <c r="K467" s="2">
        <f t="shared" si="306"/>
        <v>2.2006665525634711E-2</v>
      </c>
      <c r="L467" s="2">
        <f t="shared" si="306"/>
        <v>1.0392114931577602E-3</v>
      </c>
      <c r="M467" s="2">
        <f t="shared" si="306"/>
        <v>2.7995671427520144E-3</v>
      </c>
      <c r="N467" s="2">
        <f t="shared" si="306"/>
        <v>0.81455307136967858</v>
      </c>
      <c r="O467" s="2">
        <f t="shared" si="306"/>
        <v>0.66666666666666674</v>
      </c>
      <c r="P467" s="2">
        <f t="shared" si="306"/>
        <v>6.8429360640675577E-2</v>
      </c>
    </row>
    <row r="468" spans="3:18" x14ac:dyDescent="0.35">
      <c r="C468" s="250"/>
      <c r="G468" s="49"/>
      <c r="H468" s="2"/>
      <c r="I468" s="2"/>
      <c r="J468" s="2"/>
      <c r="K468" s="2"/>
      <c r="L468" s="2"/>
      <c r="M468" s="2"/>
      <c r="N468" s="2"/>
      <c r="O468" s="2"/>
      <c r="P468" s="2"/>
    </row>
    <row r="469" spans="3:18" x14ac:dyDescent="0.35">
      <c r="C469" s="250"/>
      <c r="G469" s="49"/>
      <c r="H469" s="2"/>
      <c r="I469" s="2"/>
      <c r="J469" s="2"/>
      <c r="K469" s="2"/>
      <c r="L469" s="2"/>
      <c r="M469" s="2"/>
      <c r="N469" s="2"/>
      <c r="O469" s="2"/>
      <c r="P469" s="2"/>
    </row>
    <row r="470" spans="3:18" x14ac:dyDescent="0.35">
      <c r="C470" s="155"/>
    </row>
    <row r="471" spans="3:18" ht="24" thickBot="1" x14ac:dyDescent="0.6">
      <c r="C471" s="155" t="s">
        <v>216</v>
      </c>
      <c r="D471" s="204" t="s">
        <v>122</v>
      </c>
      <c r="F471" s="9" t="s">
        <v>1</v>
      </c>
      <c r="G471" s="9" t="s">
        <v>2</v>
      </c>
      <c r="H471" s="9" t="s">
        <v>3</v>
      </c>
      <c r="I471" s="9" t="s">
        <v>4</v>
      </c>
      <c r="J471" s="9" t="s">
        <v>5</v>
      </c>
      <c r="K471" s="9" t="s">
        <v>6</v>
      </c>
      <c r="L471" s="9" t="s">
        <v>7</v>
      </c>
      <c r="M471" s="9" t="s">
        <v>8</v>
      </c>
      <c r="N471" s="9" t="s">
        <v>9</v>
      </c>
      <c r="O471" s="9" t="s">
        <v>10</v>
      </c>
      <c r="P471" s="44" t="s">
        <v>139</v>
      </c>
    </row>
    <row r="472" spans="3:18" x14ac:dyDescent="0.35">
      <c r="C472" s="155">
        <v>0</v>
      </c>
      <c r="D472" t="s">
        <v>541</v>
      </c>
      <c r="F472">
        <v>370.38630999999998</v>
      </c>
      <c r="G472">
        <v>379.48662999999999</v>
      </c>
      <c r="H472" s="2">
        <f t="shared" ref="H472:H478" si="307">G472-F472</f>
        <v>9.1003200000000106</v>
      </c>
      <c r="I472" s="2">
        <f t="shared" ref="I472:I477" si="308">F473-G472</f>
        <v>9.7003200000000334</v>
      </c>
      <c r="J472" s="2">
        <f t="shared" ref="J472:J477" si="309">H472/N472</f>
        <v>0.48404309640522819</v>
      </c>
      <c r="K472" s="2">
        <f t="shared" ref="K472:K477" si="310">I472/N472</f>
        <v>0.51595690359477175</v>
      </c>
      <c r="L472" s="2">
        <f t="shared" ref="L472:L477" si="311">1/H472</f>
        <v>0.10988624575839079</v>
      </c>
      <c r="M472" s="2">
        <f t="shared" ref="M472:M477" si="312">1/N472</f>
        <v>5.3189678649237349E-2</v>
      </c>
      <c r="N472" s="2">
        <f t="shared" ref="N472:N477" si="313">H472+I472</f>
        <v>18.800640000000044</v>
      </c>
      <c r="O472">
        <v>90</v>
      </c>
      <c r="P472" s="2">
        <f t="shared" ref="P472:P477" si="314">O472/H472</f>
        <v>9.8897621182551703</v>
      </c>
      <c r="R472" t="s">
        <v>354</v>
      </c>
    </row>
    <row r="473" spans="3:18" x14ac:dyDescent="0.35">
      <c r="C473" s="155">
        <v>0</v>
      </c>
      <c r="F473">
        <v>389.18695000000002</v>
      </c>
      <c r="G473">
        <v>399.01279</v>
      </c>
      <c r="H473" s="2">
        <f t="shared" si="307"/>
        <v>9.825839999999971</v>
      </c>
      <c r="I473" s="2">
        <f t="shared" si="308"/>
        <v>7.8794900000000325</v>
      </c>
      <c r="J473" s="2">
        <f t="shared" si="309"/>
        <v>0.55496508678459933</v>
      </c>
      <c r="K473" s="2">
        <f t="shared" si="310"/>
        <v>0.44503491321540073</v>
      </c>
      <c r="L473" s="2">
        <f t="shared" si="311"/>
        <v>0.10177246932577805</v>
      </c>
      <c r="M473" s="2">
        <f t="shared" si="312"/>
        <v>5.6480167271663377E-2</v>
      </c>
      <c r="N473" s="2">
        <f t="shared" si="313"/>
        <v>17.705330000000004</v>
      </c>
      <c r="O473">
        <v>96</v>
      </c>
      <c r="P473" s="2">
        <f t="shared" si="314"/>
        <v>9.7701570552746926</v>
      </c>
    </row>
    <row r="474" spans="3:18" x14ac:dyDescent="0.35">
      <c r="C474" s="155">
        <v>0</v>
      </c>
      <c r="D474" t="s">
        <v>541</v>
      </c>
      <c r="F474">
        <v>406.89228000000003</v>
      </c>
      <c r="G474">
        <v>415.62439000000001</v>
      </c>
      <c r="H474" s="2">
        <f t="shared" si="307"/>
        <v>8.7321099999999774</v>
      </c>
      <c r="I474" s="2">
        <f t="shared" si="308"/>
        <v>10.549440000000004</v>
      </c>
      <c r="J474" s="2">
        <f t="shared" si="309"/>
        <v>0.45287386128189827</v>
      </c>
      <c r="K474" s="2">
        <f t="shared" si="310"/>
        <v>0.54712613871810167</v>
      </c>
      <c r="L474" s="2">
        <f t="shared" si="311"/>
        <v>0.11451985831603159</v>
      </c>
      <c r="M474" s="2">
        <f t="shared" si="312"/>
        <v>5.1863050429037133E-2</v>
      </c>
      <c r="N474" s="2">
        <f t="shared" si="313"/>
        <v>19.281549999999982</v>
      </c>
      <c r="O474">
        <v>87</v>
      </c>
      <c r="P474" s="2">
        <f t="shared" si="314"/>
        <v>9.9632276734947478</v>
      </c>
    </row>
    <row r="475" spans="3:18" x14ac:dyDescent="0.35">
      <c r="C475" s="155">
        <v>0</v>
      </c>
      <c r="F475">
        <v>426.17383000000001</v>
      </c>
      <c r="G475">
        <v>435.05999000000003</v>
      </c>
      <c r="H475" s="2">
        <f t="shared" si="307"/>
        <v>8.886160000000018</v>
      </c>
      <c r="I475" s="2">
        <f t="shared" si="308"/>
        <v>7.3067199999999843</v>
      </c>
      <c r="J475" s="2">
        <f t="shared" si="309"/>
        <v>0.54876958268078424</v>
      </c>
      <c r="K475" s="2">
        <f t="shared" si="310"/>
        <v>0.45123041731921582</v>
      </c>
      <c r="L475" s="2">
        <f t="shared" si="311"/>
        <v>0.11253454810626839</v>
      </c>
      <c r="M475" s="2">
        <f t="shared" si="312"/>
        <v>6.1755537001447543E-2</v>
      </c>
      <c r="N475" s="2">
        <f t="shared" si="313"/>
        <v>16.192880000000002</v>
      </c>
      <c r="O475">
        <v>85</v>
      </c>
      <c r="P475" s="2">
        <f t="shared" si="314"/>
        <v>9.5654365890328137</v>
      </c>
    </row>
    <row r="476" spans="3:18" x14ac:dyDescent="0.35">
      <c r="C476" s="155">
        <v>0</v>
      </c>
      <c r="D476" t="s">
        <v>541</v>
      </c>
      <c r="F476">
        <v>442.36671000000001</v>
      </c>
      <c r="G476">
        <v>450.84352999999999</v>
      </c>
      <c r="H476" s="2">
        <f t="shared" si="307"/>
        <v>8.4768199999999752</v>
      </c>
      <c r="I476" s="2">
        <f t="shared" si="308"/>
        <v>10.556100000000015</v>
      </c>
      <c r="J476" s="2">
        <f t="shared" si="309"/>
        <v>0.44537674723584081</v>
      </c>
      <c r="K476" s="2">
        <f t="shared" si="310"/>
        <v>0.55462325276415914</v>
      </c>
      <c r="L476" s="2">
        <f t="shared" si="311"/>
        <v>0.11796876658935815</v>
      </c>
      <c r="M476" s="2">
        <f t="shared" si="312"/>
        <v>5.254054553899247E-2</v>
      </c>
      <c r="N476" s="2">
        <f t="shared" si="313"/>
        <v>19.03291999999999</v>
      </c>
      <c r="O476">
        <v>77</v>
      </c>
      <c r="P476" s="2">
        <f t="shared" si="314"/>
        <v>9.0835950273805768</v>
      </c>
    </row>
    <row r="477" spans="3:18" x14ac:dyDescent="0.35">
      <c r="C477" s="155">
        <v>0</v>
      </c>
      <c r="F477">
        <v>461.39963</v>
      </c>
      <c r="G477">
        <v>470.01837</v>
      </c>
      <c r="H477" s="2">
        <f t="shared" si="307"/>
        <v>8.6187400000000025</v>
      </c>
      <c r="I477" s="2">
        <f t="shared" si="308"/>
        <v>7.6550700000000234</v>
      </c>
      <c r="J477" s="2">
        <f t="shared" si="309"/>
        <v>0.52960800205975056</v>
      </c>
      <c r="K477" s="2">
        <f t="shared" si="310"/>
        <v>0.47039199794024944</v>
      </c>
      <c r="L477" s="2">
        <f t="shared" si="311"/>
        <v>0.11602624049455021</v>
      </c>
      <c r="M477" s="2">
        <f t="shared" si="312"/>
        <v>6.1448425414822858E-2</v>
      </c>
      <c r="N477" s="2">
        <f t="shared" si="313"/>
        <v>16.273810000000026</v>
      </c>
      <c r="O477">
        <v>80</v>
      </c>
      <c r="P477" s="2">
        <f t="shared" si="314"/>
        <v>9.2820992395640172</v>
      </c>
    </row>
    <row r="478" spans="3:18" x14ac:dyDescent="0.35">
      <c r="C478" s="155">
        <v>0</v>
      </c>
      <c r="F478">
        <v>477.67344000000003</v>
      </c>
      <c r="G478">
        <v>479.93274000000002</v>
      </c>
      <c r="H478" s="2">
        <f t="shared" si="307"/>
        <v>2.2592999999999961</v>
      </c>
      <c r="I478" s="2"/>
      <c r="J478" s="2"/>
      <c r="K478" s="2"/>
      <c r="L478" s="2"/>
      <c r="M478" s="2"/>
      <c r="N478" s="2"/>
    </row>
    <row r="479" spans="3:18" x14ac:dyDescent="0.35">
      <c r="C479" s="155"/>
      <c r="H479" s="2"/>
      <c r="I479" s="2"/>
      <c r="J479" s="2"/>
      <c r="K479" s="2"/>
      <c r="L479" s="2"/>
      <c r="M479" s="2"/>
      <c r="N479" s="2"/>
    </row>
    <row r="480" spans="3:18" ht="16" thickBot="1" x14ac:dyDescent="0.4">
      <c r="C480" s="155"/>
      <c r="G480" s="13"/>
      <c r="H480" s="9" t="s">
        <v>3</v>
      </c>
      <c r="I480" s="9" t="s">
        <v>4</v>
      </c>
      <c r="J480" s="9" t="s">
        <v>5</v>
      </c>
      <c r="K480" s="9" t="s">
        <v>6</v>
      </c>
      <c r="L480" s="9" t="s">
        <v>7</v>
      </c>
      <c r="M480" s="9" t="s">
        <v>8</v>
      </c>
      <c r="N480" s="9" t="s">
        <v>9</v>
      </c>
      <c r="O480" s="9" t="s">
        <v>10</v>
      </c>
      <c r="P480" s="44" t="s">
        <v>139</v>
      </c>
    </row>
    <row r="481" spans="3:16" x14ac:dyDescent="0.35">
      <c r="C481" s="155"/>
      <c r="G481" s="49" t="s">
        <v>77</v>
      </c>
      <c r="H481" s="13">
        <f t="shared" ref="H481:P481" si="315">AVERAGE(H472:H477)</f>
        <v>8.9399983333333264</v>
      </c>
      <c r="I481" s="13">
        <f t="shared" si="315"/>
        <v>8.9411900000000148</v>
      </c>
      <c r="J481" s="13">
        <f t="shared" si="315"/>
        <v>0.50260606274135022</v>
      </c>
      <c r="K481" s="13">
        <f t="shared" si="315"/>
        <v>0.49739393725864978</v>
      </c>
      <c r="L481" s="13">
        <f t="shared" si="315"/>
        <v>0.11211802143172954</v>
      </c>
      <c r="M481" s="13">
        <f t="shared" si="315"/>
        <v>5.6212900717533459E-2</v>
      </c>
      <c r="N481" s="13">
        <f t="shared" si="315"/>
        <v>17.881188333333341</v>
      </c>
      <c r="O481" s="13">
        <f t="shared" si="315"/>
        <v>85.833333333333329</v>
      </c>
      <c r="P481" s="13">
        <f t="shared" si="315"/>
        <v>9.592379617167003</v>
      </c>
    </row>
    <row r="482" spans="3:16" x14ac:dyDescent="0.35">
      <c r="C482" s="155"/>
      <c r="G482" s="49" t="s">
        <v>94</v>
      </c>
      <c r="H482" s="2">
        <f t="shared" ref="H482:P482" si="316">_xlfn.STDEV.S(H472:H477)</f>
        <v>0.4846185522002463</v>
      </c>
      <c r="I482" s="2">
        <f t="shared" si="316"/>
        <v>1.4982312540325708</v>
      </c>
      <c r="J482" s="2">
        <f t="shared" si="316"/>
        <v>4.8362615382841506E-2</v>
      </c>
      <c r="K482" s="2">
        <f t="shared" si="316"/>
        <v>4.8362615382841451E-2</v>
      </c>
      <c r="L482" s="2">
        <f t="shared" si="316"/>
        <v>5.7872097087451335E-3</v>
      </c>
      <c r="M482" s="2">
        <f t="shared" si="316"/>
        <v>4.4665474139779521E-3</v>
      </c>
      <c r="N482" s="2">
        <f t="shared" si="316"/>
        <v>1.3854866498875582</v>
      </c>
      <c r="O482" s="2">
        <f t="shared" si="316"/>
        <v>6.853223086013374</v>
      </c>
      <c r="P482" s="2">
        <f t="shared" si="316"/>
        <v>0.35026591288056752</v>
      </c>
    </row>
    <row r="483" spans="3:16" x14ac:dyDescent="0.35">
      <c r="C483" s="155"/>
      <c r="G483" s="49" t="s">
        <v>95</v>
      </c>
      <c r="H483" s="2">
        <f t="shared" ref="H483:P483" si="317">H482/(SQRT(COUNT(H472:H477)))</f>
        <v>0.19784469546282293</v>
      </c>
      <c r="I483" s="2">
        <f t="shared" si="317"/>
        <v>0.61165034817832675</v>
      </c>
      <c r="J483" s="2">
        <f t="shared" si="317"/>
        <v>1.9743955052406371E-2</v>
      </c>
      <c r="K483" s="2">
        <f t="shared" si="317"/>
        <v>1.9743955052406347E-2</v>
      </c>
      <c r="L483" s="2">
        <f t="shared" si="317"/>
        <v>2.3626184701510716E-3</v>
      </c>
      <c r="M483" s="2">
        <f t="shared" si="317"/>
        <v>1.8234603460322873E-3</v>
      </c>
      <c r="N483" s="2">
        <f t="shared" si="317"/>
        <v>0.56562255627710045</v>
      </c>
      <c r="O483" s="2">
        <f t="shared" si="317"/>
        <v>2.7978166090324397</v>
      </c>
      <c r="P483" s="2">
        <f t="shared" si="317"/>
        <v>0.14299546014125608</v>
      </c>
    </row>
    <row r="484" spans="3:16" x14ac:dyDescent="0.35">
      <c r="C484" s="250"/>
      <c r="G484" s="49"/>
      <c r="H484" s="2"/>
      <c r="I484" s="2"/>
      <c r="J484" s="2"/>
      <c r="K484" s="2"/>
      <c r="L484" s="2"/>
      <c r="M484" s="2"/>
      <c r="N484" s="2"/>
      <c r="O484" s="2"/>
      <c r="P484" s="2"/>
    </row>
    <row r="485" spans="3:16" x14ac:dyDescent="0.35">
      <c r="C485" s="250"/>
      <c r="G485" s="49"/>
      <c r="H485" s="2"/>
      <c r="I485" s="2"/>
      <c r="J485" s="2"/>
      <c r="K485" s="2"/>
      <c r="L485" s="2"/>
      <c r="M485" s="2"/>
      <c r="N485" s="2"/>
      <c r="O485" s="2"/>
      <c r="P485" s="2"/>
    </row>
    <row r="486" spans="3:16" ht="16" thickBot="1" x14ac:dyDescent="0.4">
      <c r="C486" s="250"/>
      <c r="E486" s="104" t="s">
        <v>81</v>
      </c>
      <c r="G486" s="13"/>
      <c r="H486" s="9" t="s">
        <v>3</v>
      </c>
      <c r="I486" s="9" t="s">
        <v>4</v>
      </c>
      <c r="J486" s="9" t="s">
        <v>5</v>
      </c>
      <c r="K486" s="9" t="s">
        <v>6</v>
      </c>
      <c r="L486" s="9" t="s">
        <v>7</v>
      </c>
      <c r="M486" s="9" t="s">
        <v>8</v>
      </c>
      <c r="N486" s="9" t="s">
        <v>9</v>
      </c>
      <c r="O486" s="9" t="s">
        <v>10</v>
      </c>
      <c r="P486" s="44" t="s">
        <v>139</v>
      </c>
    </row>
    <row r="487" spans="3:16" x14ac:dyDescent="0.35">
      <c r="C487" s="250"/>
      <c r="G487" s="49" t="s">
        <v>77</v>
      </c>
      <c r="H487" s="2">
        <f>AVERAGE(H474,H476,H472)</f>
        <v>8.7697499999999877</v>
      </c>
      <c r="I487" s="2">
        <f t="shared" ref="I487:P487" si="318">AVERAGE(I474,I476,I472)</f>
        <v>10.268620000000018</v>
      </c>
      <c r="J487" s="2">
        <f t="shared" si="318"/>
        <v>0.46076456830765578</v>
      </c>
      <c r="K487" s="2">
        <f t="shared" si="318"/>
        <v>0.53923543169234411</v>
      </c>
      <c r="L487" s="2">
        <f t="shared" si="318"/>
        <v>0.11412495688792684</v>
      </c>
      <c r="M487" s="2">
        <f t="shared" si="318"/>
        <v>5.2531091539088991E-2</v>
      </c>
      <c r="N487" s="2">
        <f t="shared" si="318"/>
        <v>19.038370000000004</v>
      </c>
      <c r="O487" s="2">
        <f t="shared" si="318"/>
        <v>84.666666666666671</v>
      </c>
      <c r="P487" s="2">
        <f t="shared" si="318"/>
        <v>9.6455282730434977</v>
      </c>
    </row>
    <row r="488" spans="3:16" x14ac:dyDescent="0.35">
      <c r="C488" s="250"/>
      <c r="G488" s="49" t="s">
        <v>94</v>
      </c>
      <c r="H488" s="2">
        <f>_xlfn.STDEV.S(H474,H476,H472)</f>
        <v>0.31344958079412333</v>
      </c>
      <c r="I488" s="2">
        <f t="shared" ref="I488:P488" si="319">_xlfn.STDEV.S(I474,I476,I472)</f>
        <v>0.49217350233427487</v>
      </c>
      <c r="J488" s="2">
        <f t="shared" si="319"/>
        <v>2.0505342780529175E-2</v>
      </c>
      <c r="K488" s="2">
        <f t="shared" si="319"/>
        <v>2.0505342780529175E-2</v>
      </c>
      <c r="L488" s="2">
        <f t="shared" si="319"/>
        <v>4.0557053762810122E-3</v>
      </c>
      <c r="M488" s="2">
        <f t="shared" si="319"/>
        <v>6.6336463746836038E-4</v>
      </c>
      <c r="N488" s="2">
        <f t="shared" si="319"/>
        <v>0.24050131787577611</v>
      </c>
      <c r="O488" s="2">
        <f t="shared" si="319"/>
        <v>6.8068592855540455</v>
      </c>
      <c r="P488" s="2">
        <f t="shared" si="319"/>
        <v>0.48803281281857869</v>
      </c>
    </row>
    <row r="489" spans="3:16" x14ac:dyDescent="0.35">
      <c r="C489" s="250"/>
      <c r="G489" s="49" t="s">
        <v>95</v>
      </c>
      <c r="H489" s="2">
        <f>H488/SQRT(3)</f>
        <v>0.18097019984886245</v>
      </c>
      <c r="I489" s="2">
        <f t="shared" ref="I489:P489" si="320">I488/SQRT(3)</f>
        <v>0.28415650406069454</v>
      </c>
      <c r="J489" s="2">
        <f t="shared" si="320"/>
        <v>1.183876517416407E-2</v>
      </c>
      <c r="K489" s="2">
        <f t="shared" si="320"/>
        <v>1.183876517416407E-2</v>
      </c>
      <c r="L489" s="2">
        <f t="shared" si="320"/>
        <v>2.3415625907496551E-3</v>
      </c>
      <c r="M489" s="2">
        <f t="shared" si="320"/>
        <v>3.8299375201323639E-4</v>
      </c>
      <c r="N489" s="2">
        <f t="shared" si="320"/>
        <v>0.1388535006160391</v>
      </c>
      <c r="O489" s="2">
        <f t="shared" si="320"/>
        <v>3.9299420408505323</v>
      </c>
      <c r="P489" s="2">
        <f t="shared" si="320"/>
        <v>0.28176587585417667</v>
      </c>
    </row>
    <row r="490" spans="3:16" x14ac:dyDescent="0.35">
      <c r="C490" s="250"/>
      <c r="H490" s="2"/>
      <c r="I490" s="2"/>
      <c r="J490" s="2"/>
      <c r="K490" s="2"/>
      <c r="L490" s="2"/>
      <c r="M490" s="2"/>
      <c r="N490" s="2"/>
    </row>
    <row r="491" spans="3:16" x14ac:dyDescent="0.35">
      <c r="C491" s="250"/>
      <c r="H491" s="2"/>
      <c r="I491" s="2"/>
      <c r="J491" s="2"/>
      <c r="K491" s="2"/>
      <c r="L491" s="2"/>
      <c r="M491" s="2"/>
      <c r="N491" s="2"/>
    </row>
    <row r="492" spans="3:16" ht="16" thickBot="1" x14ac:dyDescent="0.4">
      <c r="C492" s="250"/>
      <c r="E492" s="104" t="s">
        <v>82</v>
      </c>
      <c r="G492" s="13"/>
      <c r="H492" s="9" t="s">
        <v>3</v>
      </c>
      <c r="I492" s="9" t="s">
        <v>4</v>
      </c>
      <c r="J492" s="9" t="s">
        <v>5</v>
      </c>
      <c r="K492" s="9" t="s">
        <v>6</v>
      </c>
      <c r="L492" s="9" t="s">
        <v>7</v>
      </c>
      <c r="M492" s="9" t="s">
        <v>8</v>
      </c>
      <c r="N492" s="9" t="s">
        <v>9</v>
      </c>
      <c r="O492" s="9" t="s">
        <v>10</v>
      </c>
      <c r="P492" s="44" t="s">
        <v>139</v>
      </c>
    </row>
    <row r="493" spans="3:16" x14ac:dyDescent="0.35">
      <c r="C493" s="250"/>
      <c r="G493" s="49" t="s">
        <v>77</v>
      </c>
      <c r="H493" s="2">
        <f>AVERAGE(H473,H475,H477)</f>
        <v>9.1102466666666633</v>
      </c>
      <c r="I493" s="2">
        <f t="shared" ref="I493:P493" si="321">AVERAGE(I473,I475,I477)</f>
        <v>7.6137600000000134</v>
      </c>
      <c r="J493" s="2">
        <f t="shared" si="321"/>
        <v>0.54444755717504467</v>
      </c>
      <c r="K493" s="2">
        <f t="shared" si="321"/>
        <v>0.45555244282495533</v>
      </c>
      <c r="L493" s="2">
        <f t="shared" si="321"/>
        <v>0.11011108597553221</v>
      </c>
      <c r="M493" s="2">
        <f t="shared" si="321"/>
        <v>5.9894709895977928E-2</v>
      </c>
      <c r="N493" s="2">
        <f t="shared" si="321"/>
        <v>16.724006666666678</v>
      </c>
      <c r="O493" s="2">
        <f t="shared" si="321"/>
        <v>87</v>
      </c>
      <c r="P493" s="2">
        <f t="shared" si="321"/>
        <v>9.5392309612905084</v>
      </c>
    </row>
    <row r="494" spans="3:16" x14ac:dyDescent="0.35">
      <c r="C494" s="250"/>
      <c r="G494" s="49" t="s">
        <v>94</v>
      </c>
      <c r="H494" s="2">
        <f>_xlfn.STDEV.S(H473,H475,H477)</f>
        <v>0.63398243519304798</v>
      </c>
      <c r="I494" s="2">
        <f t="shared" ref="I494:P494" si="322">_xlfn.STDEV.S(I473,I475,I477)</f>
        <v>0.2886109064121008</v>
      </c>
      <c r="J494" s="2">
        <f t="shared" si="322"/>
        <v>1.3219506979838052E-2</v>
      </c>
      <c r="K494" s="2">
        <f t="shared" si="322"/>
        <v>1.3219506979838019E-2</v>
      </c>
      <c r="L494" s="2">
        <f t="shared" si="322"/>
        <v>7.4294935666749436E-3</v>
      </c>
      <c r="M494" s="2">
        <f t="shared" si="322"/>
        <v>2.9610649066856751E-3</v>
      </c>
      <c r="N494" s="2">
        <f t="shared" si="322"/>
        <v>0.85081374555969891</v>
      </c>
      <c r="O494" s="2">
        <f t="shared" si="322"/>
        <v>8.1853527718724504</v>
      </c>
      <c r="P494" s="2">
        <f t="shared" si="322"/>
        <v>0.24508194356805468</v>
      </c>
    </row>
    <row r="495" spans="3:16" x14ac:dyDescent="0.35">
      <c r="C495" s="250"/>
      <c r="G495" s="49" t="s">
        <v>95</v>
      </c>
      <c r="H495" s="2">
        <f t="shared" ref="H495:P495" si="323">H494/SQRT(3)</f>
        <v>0.36602992962020076</v>
      </c>
      <c r="I495" s="2">
        <f t="shared" si="323"/>
        <v>0.16662958450808829</v>
      </c>
      <c r="J495" s="2">
        <f t="shared" si="323"/>
        <v>7.6322859133636364E-3</v>
      </c>
      <c r="K495" s="2">
        <f t="shared" si="323"/>
        <v>7.6322859133636173E-3</v>
      </c>
      <c r="L495" s="2">
        <f t="shared" si="323"/>
        <v>4.289420110662372E-3</v>
      </c>
      <c r="M495" s="2">
        <f t="shared" si="323"/>
        <v>1.7095716209629287E-3</v>
      </c>
      <c r="N495" s="2">
        <f t="shared" si="323"/>
        <v>0.49121754502912596</v>
      </c>
      <c r="O495" s="2">
        <f t="shared" si="323"/>
        <v>4.7258156262526088</v>
      </c>
      <c r="P495" s="2">
        <f t="shared" si="323"/>
        <v>0.14149812609253304</v>
      </c>
    </row>
    <row r="496" spans="3:16" x14ac:dyDescent="0.35">
      <c r="C496" s="250"/>
      <c r="G496" s="49"/>
      <c r="H496" s="2"/>
      <c r="I496" s="2"/>
      <c r="J496" s="2"/>
      <c r="K496" s="2"/>
      <c r="L496" s="2"/>
      <c r="M496" s="2"/>
      <c r="N496" s="2"/>
      <c r="O496" s="2"/>
      <c r="P496" s="2"/>
    </row>
    <row r="497" spans="3:18" x14ac:dyDescent="0.35">
      <c r="C497" s="250"/>
      <c r="G497" s="49"/>
      <c r="H497" s="2"/>
      <c r="I497" s="2"/>
      <c r="J497" s="2"/>
      <c r="K497" s="2"/>
      <c r="L497" s="2"/>
      <c r="M497" s="2"/>
      <c r="N497" s="2"/>
      <c r="O497" s="2"/>
      <c r="P497" s="2"/>
    </row>
    <row r="498" spans="3:18" x14ac:dyDescent="0.35">
      <c r="C498" s="250"/>
      <c r="G498" s="49"/>
      <c r="H498" s="2"/>
      <c r="I498" s="2"/>
      <c r="J498" s="2"/>
      <c r="K498" s="2"/>
      <c r="L498" s="2"/>
      <c r="M498" s="2"/>
      <c r="N498" s="2"/>
      <c r="O498" s="2"/>
      <c r="P498" s="2"/>
    </row>
    <row r="499" spans="3:18" x14ac:dyDescent="0.35">
      <c r="C499" s="155"/>
    </row>
    <row r="500" spans="3:18" ht="24" thickBot="1" x14ac:dyDescent="0.6">
      <c r="C500" s="155" t="s">
        <v>216</v>
      </c>
      <c r="D500" s="204" t="s">
        <v>122</v>
      </c>
      <c r="F500" s="9" t="s">
        <v>1</v>
      </c>
      <c r="G500" s="9" t="s">
        <v>2</v>
      </c>
      <c r="H500" s="9" t="s">
        <v>3</v>
      </c>
      <c r="I500" s="9" t="s">
        <v>4</v>
      </c>
      <c r="J500" s="9" t="s">
        <v>5</v>
      </c>
      <c r="K500" s="9" t="s">
        <v>6</v>
      </c>
      <c r="L500" s="9" t="s">
        <v>7</v>
      </c>
      <c r="M500" s="9" t="s">
        <v>8</v>
      </c>
      <c r="N500" s="9" t="s">
        <v>9</v>
      </c>
      <c r="O500" s="9" t="s">
        <v>10</v>
      </c>
      <c r="P500" s="44" t="s">
        <v>139</v>
      </c>
    </row>
    <row r="501" spans="3:18" x14ac:dyDescent="0.35">
      <c r="C501" s="155">
        <v>-8</v>
      </c>
      <c r="F501">
        <v>20.045259999999999</v>
      </c>
      <c r="G501">
        <v>28.082409999999999</v>
      </c>
      <c r="H501" s="2">
        <f t="shared" ref="H501:H506" si="324">G501-F501</f>
        <v>8.0371500000000005</v>
      </c>
      <c r="I501" s="2">
        <f>F502-G501</f>
        <v>8.4122799999999991</v>
      </c>
      <c r="J501" s="2">
        <f>H501/N501</f>
        <v>0.48859747723781316</v>
      </c>
      <c r="K501" s="2">
        <f>I501/N501</f>
        <v>0.5114025227621869</v>
      </c>
      <c r="L501" s="2">
        <f>1/H501</f>
        <v>0.12442221434214865</v>
      </c>
      <c r="M501" s="2">
        <f>1/N501</f>
        <v>6.0792380039916279E-2</v>
      </c>
      <c r="N501" s="2">
        <f>H501+I501</f>
        <v>16.44943</v>
      </c>
      <c r="O501">
        <v>67</v>
      </c>
      <c r="P501" s="2">
        <f>O501/H501</f>
        <v>8.3362883609239589</v>
      </c>
      <c r="R501" t="s">
        <v>355</v>
      </c>
    </row>
    <row r="502" spans="3:18" x14ac:dyDescent="0.35">
      <c r="C502" s="155">
        <v>-8</v>
      </c>
      <c r="D502" t="s">
        <v>541</v>
      </c>
      <c r="F502">
        <v>36.494689999999999</v>
      </c>
      <c r="G502">
        <v>45.382559999999998</v>
      </c>
      <c r="H502" s="2">
        <f t="shared" si="324"/>
        <v>8.8878699999999995</v>
      </c>
      <c r="I502" s="2">
        <f>F503-G502</f>
        <v>11.52411</v>
      </c>
      <c r="J502" s="2">
        <f>H502/N502</f>
        <v>0.43542419696668327</v>
      </c>
      <c r="K502" s="2">
        <f>I502/N502</f>
        <v>0.56457580303331678</v>
      </c>
      <c r="L502" s="2">
        <f>1/H502</f>
        <v>0.11251289679079465</v>
      </c>
      <c r="M502" s="2">
        <f>1/N502</f>
        <v>4.8990837733527075E-2</v>
      </c>
      <c r="N502" s="2">
        <f>H502+I502</f>
        <v>20.41198</v>
      </c>
      <c r="O502">
        <v>69</v>
      </c>
      <c r="P502" s="2">
        <f>O502/H502</f>
        <v>7.7633898785648308</v>
      </c>
    </row>
    <row r="503" spans="3:18" x14ac:dyDescent="0.35">
      <c r="C503" s="155">
        <v>-8</v>
      </c>
      <c r="F503">
        <v>56.906669999999998</v>
      </c>
      <c r="G503">
        <v>65.493729999999999</v>
      </c>
      <c r="H503" s="2">
        <f t="shared" si="324"/>
        <v>8.587060000000001</v>
      </c>
      <c r="I503" s="2">
        <f>F504-G503</f>
        <v>7.7615100000000012</v>
      </c>
      <c r="J503" s="2">
        <f>H503/N503</f>
        <v>0.52524838563862164</v>
      </c>
      <c r="K503" s="2">
        <f>I503/N503</f>
        <v>0.47475161436137842</v>
      </c>
      <c r="L503" s="2">
        <f>1/H503</f>
        <v>0.11645429285459749</v>
      </c>
      <c r="M503" s="2">
        <f>1/N503</f>
        <v>6.1167429322564595E-2</v>
      </c>
      <c r="N503" s="2">
        <f>H503+I503</f>
        <v>16.348570000000002</v>
      </c>
      <c r="O503">
        <v>71</v>
      </c>
      <c r="P503" s="2">
        <f>O503/H503</f>
        <v>8.2682547926764212</v>
      </c>
    </row>
    <row r="504" spans="3:18" x14ac:dyDescent="0.35">
      <c r="C504" s="155">
        <v>-8</v>
      </c>
      <c r="D504" t="s">
        <v>541</v>
      </c>
      <c r="F504">
        <v>73.255240000000001</v>
      </c>
      <c r="G504">
        <v>81.941159999999996</v>
      </c>
      <c r="H504" s="2">
        <f t="shared" si="324"/>
        <v>8.6859199999999959</v>
      </c>
      <c r="I504" s="2">
        <f>F505-G504</f>
        <v>10.664450000000002</v>
      </c>
      <c r="J504" s="2">
        <f>H504/N504</f>
        <v>0.44887617136003066</v>
      </c>
      <c r="K504" s="2">
        <f>I504/N504</f>
        <v>0.55112382863996934</v>
      </c>
      <c r="L504" s="2">
        <f>1/H504</f>
        <v>0.11512885221139504</v>
      </c>
      <c r="M504" s="2">
        <f>1/N504</f>
        <v>5.1678598393725808E-2</v>
      </c>
      <c r="N504" s="2">
        <f>H504+I504</f>
        <v>19.350369999999998</v>
      </c>
      <c r="O504">
        <v>66</v>
      </c>
      <c r="P504" s="2">
        <f>O504/H504</f>
        <v>7.5985042459520731</v>
      </c>
    </row>
    <row r="505" spans="3:18" x14ac:dyDescent="0.35">
      <c r="C505" s="155">
        <v>-8</v>
      </c>
      <c r="F505">
        <v>92.605609999999999</v>
      </c>
      <c r="G505">
        <v>101.45959000000001</v>
      </c>
      <c r="H505" s="2">
        <f t="shared" si="324"/>
        <v>8.8539800000000071</v>
      </c>
      <c r="I505" s="2">
        <f>F506-G505</f>
        <v>10.480549999999994</v>
      </c>
      <c r="J505" s="2">
        <f>H505/N505</f>
        <v>0.45793613809076333</v>
      </c>
      <c r="K505" s="2">
        <f>I505/N505</f>
        <v>0.54206386190923661</v>
      </c>
      <c r="L505" s="2">
        <f>1/H505</f>
        <v>0.11294355758653161</v>
      </c>
      <c r="M505" s="2">
        <f>1/N505</f>
        <v>5.1720936583408025E-2</v>
      </c>
      <c r="N505" s="2">
        <f>H505+I505</f>
        <v>19.334530000000001</v>
      </c>
      <c r="O505">
        <v>74</v>
      </c>
      <c r="P505" s="2">
        <f>O505/H505</f>
        <v>8.3578232614033396</v>
      </c>
    </row>
    <row r="506" spans="3:18" x14ac:dyDescent="0.35">
      <c r="C506" s="155">
        <v>-8</v>
      </c>
      <c r="F506">
        <v>111.94014</v>
      </c>
      <c r="G506">
        <v>119.68313000000001</v>
      </c>
      <c r="H506" s="2">
        <f t="shared" si="324"/>
        <v>7.742990000000006</v>
      </c>
      <c r="I506" s="2"/>
      <c r="J506" s="2"/>
      <c r="K506" s="2"/>
      <c r="L506" s="2"/>
      <c r="M506" s="2"/>
      <c r="N506" s="2"/>
    </row>
    <row r="507" spans="3:18" x14ac:dyDescent="0.35">
      <c r="C507" s="155"/>
      <c r="H507" s="2"/>
      <c r="I507" s="2"/>
      <c r="J507" s="2"/>
      <c r="K507" s="2"/>
      <c r="L507" s="2"/>
      <c r="M507" s="2"/>
      <c r="N507" s="2"/>
    </row>
    <row r="508" spans="3:18" ht="16" thickBot="1" x14ac:dyDescent="0.4">
      <c r="C508" s="155"/>
      <c r="G508" s="13"/>
      <c r="H508" s="9" t="s">
        <v>3</v>
      </c>
      <c r="I508" s="9" t="s">
        <v>4</v>
      </c>
      <c r="J508" s="9" t="s">
        <v>5</v>
      </c>
      <c r="K508" s="9" t="s">
        <v>6</v>
      </c>
      <c r="L508" s="9" t="s">
        <v>7</v>
      </c>
      <c r="M508" s="9" t="s">
        <v>8</v>
      </c>
      <c r="N508" s="9" t="s">
        <v>9</v>
      </c>
      <c r="O508" s="9" t="s">
        <v>10</v>
      </c>
      <c r="P508" s="44" t="s">
        <v>139</v>
      </c>
    </row>
    <row r="509" spans="3:18" x14ac:dyDescent="0.35">
      <c r="C509" s="155"/>
      <c r="G509" s="49" t="s">
        <v>77</v>
      </c>
      <c r="H509" s="13">
        <f>AVERAGE(H501:H505)</f>
        <v>8.6103959999999997</v>
      </c>
      <c r="I509" s="13">
        <f t="shared" ref="I509:P509" si="325">AVERAGE(I501:I505)</f>
        <v>9.76858</v>
      </c>
      <c r="J509" s="13">
        <f t="shared" si="325"/>
        <v>0.4712164738587824</v>
      </c>
      <c r="K509" s="13">
        <f t="shared" si="325"/>
        <v>0.5287835261412176</v>
      </c>
      <c r="L509" s="13">
        <f t="shared" si="325"/>
        <v>0.1162923627570935</v>
      </c>
      <c r="M509" s="13">
        <f t="shared" si="325"/>
        <v>5.4870036414628356E-2</v>
      </c>
      <c r="N509" s="13">
        <f t="shared" si="325"/>
        <v>18.378976000000002</v>
      </c>
      <c r="O509" s="13">
        <f t="shared" si="325"/>
        <v>69.400000000000006</v>
      </c>
      <c r="P509" s="13">
        <f t="shared" si="325"/>
        <v>8.0648521079041249</v>
      </c>
    </row>
    <row r="510" spans="3:18" x14ac:dyDescent="0.35">
      <c r="C510" s="155"/>
      <c r="G510" s="49" t="s">
        <v>94</v>
      </c>
      <c r="H510" s="2">
        <f>_xlfn.STDEV.S(H501:H505)</f>
        <v>0.34321436658450138</v>
      </c>
      <c r="I510" s="2">
        <f t="shared" ref="I510:P510" si="326">_xlfn.STDEV.S(I501:I505)</f>
        <v>1.6015031684014802</v>
      </c>
      <c r="J510" s="2">
        <f t="shared" si="326"/>
        <v>3.5979474315274401E-2</v>
      </c>
      <c r="K510" s="2">
        <f t="shared" si="326"/>
        <v>3.597947431527438E-2</v>
      </c>
      <c r="L510" s="2">
        <f t="shared" si="326"/>
        <v>4.8211337878720532E-3</v>
      </c>
      <c r="M510" s="2">
        <f t="shared" si="326"/>
        <v>5.6876707660744449E-3</v>
      </c>
      <c r="N510" s="2">
        <f t="shared" si="326"/>
        <v>1.8598045129206451</v>
      </c>
      <c r="O510" s="2">
        <f t="shared" si="326"/>
        <v>3.2093613071762426</v>
      </c>
      <c r="P510" s="2">
        <f t="shared" si="326"/>
        <v>0.35680603711055431</v>
      </c>
    </row>
    <row r="511" spans="3:18" x14ac:dyDescent="0.35">
      <c r="C511" s="155"/>
      <c r="G511" s="49" t="s">
        <v>95</v>
      </c>
      <c r="H511" s="2">
        <f>H510/(SQRT(COUNT(H501:H505)))</f>
        <v>0.15349013090749547</v>
      </c>
      <c r="I511" s="2">
        <f t="shared" ref="I511:P511" si="327">I510/(SQRT(COUNT(I501:I505)))</f>
        <v>0.71621399014540055</v>
      </c>
      <c r="J511" s="2">
        <f t="shared" si="327"/>
        <v>1.6090510072732253E-2</v>
      </c>
      <c r="K511" s="2">
        <f t="shared" si="327"/>
        <v>1.6090510072732243E-2</v>
      </c>
      <c r="L511" s="2">
        <f t="shared" si="327"/>
        <v>2.1560765756605924E-3</v>
      </c>
      <c r="M511" s="2">
        <f t="shared" si="327"/>
        <v>2.5436036933161525E-3</v>
      </c>
      <c r="N511" s="2">
        <f t="shared" si="327"/>
        <v>0.83172986315028963</v>
      </c>
      <c r="O511" s="2">
        <f t="shared" si="327"/>
        <v>1.4352700094407322</v>
      </c>
      <c r="P511" s="2">
        <f t="shared" si="327"/>
        <v>0.15956851075230241</v>
      </c>
    </row>
    <row r="512" spans="3:18" x14ac:dyDescent="0.35">
      <c r="C512" s="250"/>
      <c r="G512" s="49"/>
      <c r="H512" s="2"/>
      <c r="I512" s="2"/>
      <c r="J512" s="2"/>
      <c r="K512" s="2"/>
      <c r="L512" s="2"/>
      <c r="M512" s="2"/>
      <c r="N512" s="2"/>
      <c r="O512" s="2"/>
      <c r="P512" s="2"/>
    </row>
    <row r="513" spans="3:18" ht="16" thickBot="1" x14ac:dyDescent="0.4">
      <c r="C513" s="250"/>
      <c r="E513" s="104" t="s">
        <v>81</v>
      </c>
      <c r="G513" s="13"/>
      <c r="H513" s="9" t="s">
        <v>3</v>
      </c>
      <c r="I513" s="9" t="s">
        <v>4</v>
      </c>
      <c r="J513" s="9" t="s">
        <v>5</v>
      </c>
      <c r="K513" s="9" t="s">
        <v>6</v>
      </c>
      <c r="L513" s="9" t="s">
        <v>7</v>
      </c>
      <c r="M513" s="9" t="s">
        <v>8</v>
      </c>
      <c r="N513" s="9" t="s">
        <v>9</v>
      </c>
      <c r="O513" s="9" t="s">
        <v>10</v>
      </c>
      <c r="P513" s="44" t="s">
        <v>139</v>
      </c>
    </row>
    <row r="514" spans="3:18" x14ac:dyDescent="0.35">
      <c r="C514" s="250"/>
      <c r="G514" s="49" t="s">
        <v>77</v>
      </c>
      <c r="H514" s="2">
        <f>AVERAGE(H502,H504)</f>
        <v>8.7868949999999977</v>
      </c>
      <c r="I514" s="2">
        <f t="shared" ref="I514:P514" si="328">AVERAGE(I502,I504)</f>
        <v>11.094280000000001</v>
      </c>
      <c r="J514" s="2">
        <f t="shared" si="328"/>
        <v>0.44215018416335694</v>
      </c>
      <c r="K514" s="2">
        <f t="shared" si="328"/>
        <v>0.55784981583664306</v>
      </c>
      <c r="L514" s="2">
        <f t="shared" si="328"/>
        <v>0.11382087450109485</v>
      </c>
      <c r="M514" s="2">
        <f t="shared" si="328"/>
        <v>5.0334718063626438E-2</v>
      </c>
      <c r="N514" s="2">
        <f t="shared" si="328"/>
        <v>19.881174999999999</v>
      </c>
      <c r="O514" s="2">
        <f t="shared" si="328"/>
        <v>67.5</v>
      </c>
      <c r="P514" s="2">
        <f t="shared" si="328"/>
        <v>7.6809470622584524</v>
      </c>
    </row>
    <row r="515" spans="3:18" x14ac:dyDescent="0.35">
      <c r="C515" s="250"/>
      <c r="G515" s="49" t="s">
        <v>94</v>
      </c>
      <c r="H515" s="2">
        <f>_xlfn.STDEV.S(H502,H504)</f>
        <v>0.14280021446062582</v>
      </c>
      <c r="I515" s="2">
        <f t="shared" ref="I515:P515" si="329">_xlfn.STDEV.S(I502,I504)</f>
        <v>0.60787141551482604</v>
      </c>
      <c r="J515" s="2">
        <f t="shared" si="329"/>
        <v>9.5119823138837319E-3</v>
      </c>
      <c r="K515" s="2">
        <f t="shared" si="329"/>
        <v>9.5119823138837701E-3</v>
      </c>
      <c r="L515" s="2">
        <f t="shared" si="329"/>
        <v>1.8497598171882436E-3</v>
      </c>
      <c r="M515" s="2">
        <f t="shared" si="329"/>
        <v>1.9005337890329562E-3</v>
      </c>
      <c r="N515" s="2">
        <f t="shared" si="329"/>
        <v>0.75067162997545189</v>
      </c>
      <c r="O515" s="2">
        <f t="shared" si="329"/>
        <v>2.1213203435596424</v>
      </c>
      <c r="P515" s="2">
        <f t="shared" si="329"/>
        <v>0.11659174894071471</v>
      </c>
    </row>
    <row r="516" spans="3:18" x14ac:dyDescent="0.35">
      <c r="C516" s="250"/>
      <c r="G516" s="49" t="s">
        <v>95</v>
      </c>
      <c r="H516" s="2">
        <f>H515/SQRT(2)</f>
        <v>0.1009750000000018</v>
      </c>
      <c r="I516" s="2">
        <f t="shared" ref="I516:P516" si="330">I515/SQRT(2)</f>
        <v>0.42982999999999899</v>
      </c>
      <c r="J516" s="2">
        <f t="shared" si="330"/>
        <v>6.7259871966736939E-3</v>
      </c>
      <c r="K516" s="2">
        <f t="shared" si="330"/>
        <v>6.7259871966737208E-3</v>
      </c>
      <c r="L516" s="2">
        <f t="shared" si="330"/>
        <v>1.3079777103001955E-3</v>
      </c>
      <c r="M516" s="2">
        <f t="shared" si="330"/>
        <v>1.3438803300993664E-3</v>
      </c>
      <c r="N516" s="2">
        <f t="shared" si="330"/>
        <v>0.53080500000000075</v>
      </c>
      <c r="O516" s="2">
        <f t="shared" si="330"/>
        <v>1.4999999999999998</v>
      </c>
      <c r="P516" s="2">
        <f t="shared" si="330"/>
        <v>8.2442816306378841E-2</v>
      </c>
    </row>
    <row r="517" spans="3:18" x14ac:dyDescent="0.35">
      <c r="C517" s="250"/>
      <c r="H517" s="2"/>
      <c r="I517" s="2"/>
      <c r="J517" s="2"/>
      <c r="K517" s="2"/>
      <c r="L517" s="2"/>
      <c r="M517" s="2"/>
      <c r="N517" s="2"/>
    </row>
    <row r="518" spans="3:18" x14ac:dyDescent="0.35">
      <c r="C518" s="250"/>
      <c r="H518" s="2"/>
      <c r="I518" s="2"/>
      <c r="J518" s="2"/>
      <c r="K518" s="2"/>
      <c r="L518" s="2"/>
      <c r="M518" s="2"/>
      <c r="N518" s="2"/>
    </row>
    <row r="519" spans="3:18" ht="16" thickBot="1" x14ac:dyDescent="0.4">
      <c r="C519" s="250"/>
      <c r="E519" s="104" t="s">
        <v>82</v>
      </c>
      <c r="G519" s="13"/>
      <c r="H519" s="9" t="s">
        <v>3</v>
      </c>
      <c r="I519" s="9" t="s">
        <v>4</v>
      </c>
      <c r="J519" s="9" t="s">
        <v>5</v>
      </c>
      <c r="K519" s="9" t="s">
        <v>6</v>
      </c>
      <c r="L519" s="9" t="s">
        <v>7</v>
      </c>
      <c r="M519" s="9" t="s">
        <v>8</v>
      </c>
      <c r="N519" s="9" t="s">
        <v>9</v>
      </c>
      <c r="O519" s="9" t="s">
        <v>10</v>
      </c>
      <c r="P519" s="44" t="s">
        <v>139</v>
      </c>
    </row>
    <row r="520" spans="3:18" x14ac:dyDescent="0.35">
      <c r="C520" s="250"/>
      <c r="G520" s="49" t="s">
        <v>77</v>
      </c>
      <c r="H520" s="2">
        <f>AVERAGE(H501,H503,H505)</f>
        <v>8.4927300000000034</v>
      </c>
      <c r="I520" s="2">
        <f t="shared" ref="I520:P520" si="331">AVERAGE(I501,I503,I505)</f>
        <v>8.8847799999999975</v>
      </c>
      <c r="J520" s="2">
        <f t="shared" si="331"/>
        <v>0.49059400032239942</v>
      </c>
      <c r="K520" s="2">
        <f t="shared" si="331"/>
        <v>0.5094059996776007</v>
      </c>
      <c r="L520" s="2">
        <f t="shared" si="331"/>
        <v>0.11794002159442592</v>
      </c>
      <c r="M520" s="2">
        <f t="shared" si="331"/>
        <v>5.7893581981962962E-2</v>
      </c>
      <c r="N520" s="2">
        <f t="shared" si="331"/>
        <v>17.377510000000001</v>
      </c>
      <c r="O520" s="2">
        <f t="shared" si="331"/>
        <v>70.666666666666671</v>
      </c>
      <c r="P520" s="2">
        <f t="shared" si="331"/>
        <v>8.3207888050012411</v>
      </c>
    </row>
    <row r="521" spans="3:18" x14ac:dyDescent="0.35">
      <c r="C521" s="250"/>
      <c r="G521" s="49" t="s">
        <v>94</v>
      </c>
      <c r="H521" s="2">
        <f>_xlfn.STDEV.S(H501,H503,H505)</f>
        <v>0.41650501065413659</v>
      </c>
      <c r="I521" s="2">
        <f t="shared" ref="I521:P521" si="332">_xlfn.STDEV.S(I501,I503,I505)</f>
        <v>1.4197664659724873</v>
      </c>
      <c r="J521" s="2">
        <f t="shared" si="332"/>
        <v>3.3700508094189077E-2</v>
      </c>
      <c r="K521" s="2">
        <f t="shared" si="332"/>
        <v>3.3700508094189022E-2</v>
      </c>
      <c r="L521" s="2">
        <f t="shared" si="332"/>
        <v>5.8817882182702098E-3</v>
      </c>
      <c r="M521" s="2">
        <f t="shared" si="332"/>
        <v>5.348955870385347E-3</v>
      </c>
      <c r="N521" s="2">
        <f t="shared" si="332"/>
        <v>1.6955791474301634</v>
      </c>
      <c r="O521" s="2">
        <f t="shared" si="332"/>
        <v>3.5118845842842461</v>
      </c>
      <c r="P521" s="2">
        <f t="shared" si="332"/>
        <v>4.6752591616640492E-2</v>
      </c>
    </row>
    <row r="522" spans="3:18" x14ac:dyDescent="0.35">
      <c r="C522" s="250"/>
      <c r="G522" s="49" t="s">
        <v>95</v>
      </c>
      <c r="H522" s="2">
        <f>H521/SQRT(3)</f>
        <v>0.24046928001999371</v>
      </c>
      <c r="I522" s="2">
        <f t="shared" ref="I522:P522" si="333">I521/SQRT(3)</f>
        <v>0.81970255131561931</v>
      </c>
      <c r="J522" s="2">
        <f t="shared" si="333"/>
        <v>1.9456997420007227E-2</v>
      </c>
      <c r="K522" s="2">
        <f t="shared" si="333"/>
        <v>1.9456997420007196E-2</v>
      </c>
      <c r="L522" s="2">
        <f t="shared" si="333"/>
        <v>3.3958520111346752E-3</v>
      </c>
      <c r="M522" s="2">
        <f t="shared" si="333"/>
        <v>3.0882211116504093E-3</v>
      </c>
      <c r="N522" s="2">
        <f t="shared" si="333"/>
        <v>0.97894307720112106</v>
      </c>
      <c r="O522" s="2">
        <f t="shared" si="333"/>
        <v>2.0275875100994067</v>
      </c>
      <c r="P522" s="2">
        <f t="shared" si="333"/>
        <v>2.6992621355180029E-2</v>
      </c>
    </row>
    <row r="523" spans="3:18" x14ac:dyDescent="0.35">
      <c r="C523" s="250"/>
      <c r="G523" s="49"/>
      <c r="H523" s="2"/>
      <c r="I523" s="2"/>
      <c r="J523" s="2"/>
      <c r="K523" s="2"/>
      <c r="L523" s="2"/>
      <c r="M523" s="2"/>
      <c r="N523" s="2"/>
      <c r="O523" s="2"/>
      <c r="P523" s="2"/>
    </row>
    <row r="524" spans="3:18" x14ac:dyDescent="0.35">
      <c r="C524" s="155"/>
      <c r="H524" s="2"/>
      <c r="I524" s="2"/>
      <c r="J524" s="2"/>
      <c r="K524" s="2"/>
      <c r="L524" s="2"/>
      <c r="M524" s="2"/>
      <c r="N524" s="2"/>
    </row>
    <row r="525" spans="3:18" x14ac:dyDescent="0.35">
      <c r="C525" s="155"/>
      <c r="H525" s="2"/>
      <c r="I525" s="2"/>
      <c r="J525" s="2"/>
      <c r="K525" s="2"/>
      <c r="L525" s="2"/>
      <c r="M525" s="2"/>
      <c r="N525" s="2"/>
    </row>
    <row r="526" spans="3:18" ht="24" thickBot="1" x14ac:dyDescent="0.6">
      <c r="C526" s="155" t="s">
        <v>216</v>
      </c>
      <c r="D526" s="204" t="s">
        <v>122</v>
      </c>
      <c r="F526" s="9" t="s">
        <v>1</v>
      </c>
      <c r="G526" s="9" t="s">
        <v>2</v>
      </c>
      <c r="H526" s="9" t="s">
        <v>3</v>
      </c>
      <c r="I526" s="9" t="s">
        <v>4</v>
      </c>
      <c r="J526" s="9" t="s">
        <v>5</v>
      </c>
      <c r="K526" s="9" t="s">
        <v>6</v>
      </c>
      <c r="L526" s="9" t="s">
        <v>7</v>
      </c>
      <c r="M526" s="9" t="s">
        <v>8</v>
      </c>
      <c r="N526" s="9" t="s">
        <v>9</v>
      </c>
      <c r="O526" s="9" t="s">
        <v>10</v>
      </c>
      <c r="P526" s="44" t="s">
        <v>139</v>
      </c>
    </row>
    <row r="527" spans="3:18" x14ac:dyDescent="0.35">
      <c r="C527" s="155">
        <v>0</v>
      </c>
      <c r="D527" t="s">
        <v>541</v>
      </c>
      <c r="F527">
        <v>148.73845</v>
      </c>
      <c r="G527">
        <v>155.90348</v>
      </c>
      <c r="H527" s="2">
        <f>G527-F527</f>
        <v>7.1650300000000016</v>
      </c>
      <c r="I527" s="2">
        <f>F528-G527</f>
        <v>11.555080000000004</v>
      </c>
      <c r="J527" s="2">
        <f>H527/N527</f>
        <v>0.38274508002356822</v>
      </c>
      <c r="K527" s="2">
        <f>I527/N527</f>
        <v>0.61725491997643178</v>
      </c>
      <c r="L527" s="2">
        <f>1/H527</f>
        <v>0.13956675687331382</v>
      </c>
      <c r="M527" s="2">
        <f>1/N527</f>
        <v>5.3418489528106392E-2</v>
      </c>
      <c r="N527" s="2">
        <f>H527+I527</f>
        <v>18.720110000000005</v>
      </c>
      <c r="O527">
        <v>62</v>
      </c>
      <c r="P527" s="2">
        <f t="shared" ref="P527:P543" si="334">O527/H527</f>
        <v>8.6531389261454574</v>
      </c>
      <c r="R527" t="s">
        <v>356</v>
      </c>
    </row>
    <row r="528" spans="3:18" x14ac:dyDescent="0.35">
      <c r="C528" s="155">
        <v>0</v>
      </c>
      <c r="F528">
        <v>167.45856000000001</v>
      </c>
      <c r="G528">
        <v>176.35535999999999</v>
      </c>
      <c r="H528" s="2">
        <f>G528-F528</f>
        <v>8.8967999999999847</v>
      </c>
      <c r="I528" s="2">
        <f>F529-G528</f>
        <v>7.5826300000000231</v>
      </c>
      <c r="J528" s="2">
        <f>H528/N528</f>
        <v>0.53987304172534978</v>
      </c>
      <c r="K528" s="2">
        <f>I528/N528</f>
        <v>0.46012695827465022</v>
      </c>
      <c r="L528" s="2">
        <f>1/H528</f>
        <v>0.1123999640320117</v>
      </c>
      <c r="M528" s="2">
        <f>1/N528</f>
        <v>6.0681710471782065E-2</v>
      </c>
      <c r="N528" s="2">
        <f>H528+I528</f>
        <v>16.479430000000008</v>
      </c>
      <c r="O528">
        <v>70</v>
      </c>
      <c r="P528" s="2">
        <f t="shared" si="334"/>
        <v>7.8679974822408196</v>
      </c>
    </row>
    <row r="529" spans="3:18" x14ac:dyDescent="0.35">
      <c r="C529" s="155">
        <v>0</v>
      </c>
      <c r="D529" t="s">
        <v>541</v>
      </c>
      <c r="F529">
        <v>183.93799000000001</v>
      </c>
      <c r="G529">
        <v>190.91783000000001</v>
      </c>
      <c r="H529" s="2">
        <f>G529-F529</f>
        <v>6.9798399999999958</v>
      </c>
      <c r="I529" s="2">
        <f>F530-G529</f>
        <v>12.757449999999977</v>
      </c>
      <c r="J529" s="2">
        <f>H529/N529</f>
        <v>0.35363720145977512</v>
      </c>
      <c r="K529" s="2">
        <f>I529/N529</f>
        <v>0.64636279854022483</v>
      </c>
      <c r="L529" s="2">
        <f>1/H529</f>
        <v>0.1432697597652669</v>
      </c>
      <c r="M529" s="2">
        <f>1/N529</f>
        <v>5.0665516897203285E-2</v>
      </c>
      <c r="N529" s="2">
        <f>H529+I529</f>
        <v>19.737289999999973</v>
      </c>
      <c r="O529">
        <v>59</v>
      </c>
      <c r="P529" s="2">
        <f t="shared" si="334"/>
        <v>8.4529158261507469</v>
      </c>
    </row>
    <row r="530" spans="3:18" x14ac:dyDescent="0.35">
      <c r="C530" s="155">
        <v>0</v>
      </c>
      <c r="F530">
        <v>203.67527999999999</v>
      </c>
      <c r="G530">
        <v>212.71204</v>
      </c>
      <c r="H530" s="2">
        <f>G530-F530</f>
        <v>9.0367600000000152</v>
      </c>
      <c r="I530" s="2">
        <f>F531-G530</f>
        <v>8.5999999999999943</v>
      </c>
      <c r="J530" s="2">
        <f>H530/N530</f>
        <v>0.51238209285605807</v>
      </c>
      <c r="K530" s="2">
        <f>I530/N530</f>
        <v>0.48761790714394193</v>
      </c>
      <c r="L530" s="2">
        <f>1/H530</f>
        <v>0.11065913004218307</v>
      </c>
      <c r="M530" s="2">
        <f>1/N530</f>
        <v>5.6699756644644453E-2</v>
      </c>
      <c r="N530" s="2">
        <f>H530+I530</f>
        <v>17.63676000000001</v>
      </c>
      <c r="O530">
        <v>68</v>
      </c>
      <c r="P530" s="2">
        <f t="shared" si="334"/>
        <v>7.5248208428684489</v>
      </c>
    </row>
    <row r="531" spans="3:18" x14ac:dyDescent="0.35">
      <c r="C531" s="155">
        <v>0</v>
      </c>
      <c r="D531" t="s">
        <v>541</v>
      </c>
      <c r="F531">
        <v>221.31204</v>
      </c>
      <c r="G531">
        <v>229.05044000000001</v>
      </c>
      <c r="H531" s="2">
        <f>G531-F531</f>
        <v>7.7384000000000128</v>
      </c>
      <c r="I531" s="2">
        <f>F532-G531</f>
        <v>12.232159999999993</v>
      </c>
      <c r="J531" s="2">
        <f>H531/N531</f>
        <v>0.38749038584796874</v>
      </c>
      <c r="K531" s="2">
        <f>I531/N531</f>
        <v>0.61250961415203131</v>
      </c>
      <c r="L531" s="2">
        <f>1/H531</f>
        <v>0.12922567972707516</v>
      </c>
      <c r="M531" s="2">
        <f>1/N531</f>
        <v>5.007370849891038E-2</v>
      </c>
      <c r="N531" s="2">
        <f>H531+I531</f>
        <v>19.970560000000006</v>
      </c>
      <c r="O531">
        <v>57</v>
      </c>
      <c r="P531" s="2">
        <f t="shared" si="334"/>
        <v>7.365863744443284</v>
      </c>
    </row>
    <row r="532" spans="3:18" x14ac:dyDescent="0.35">
      <c r="C532" s="155">
        <v>0</v>
      </c>
      <c r="F532">
        <v>241.2826</v>
      </c>
      <c r="G532">
        <v>251.22426999999999</v>
      </c>
      <c r="H532" s="2">
        <f t="shared" ref="H532:H544" si="335">G532-F532</f>
        <v>9.9416699999999878</v>
      </c>
      <c r="I532" s="2">
        <f t="shared" ref="I532:I543" si="336">F533-G532</f>
        <v>8.821140000000014</v>
      </c>
      <c r="J532" s="2">
        <f t="shared" ref="J532:J543" si="337">H532/N532</f>
        <v>0.52986039937514617</v>
      </c>
      <c r="K532" s="2">
        <f t="shared" ref="K532:K543" si="338">I532/N532</f>
        <v>0.47013960062485383</v>
      </c>
      <c r="L532" s="2">
        <f t="shared" ref="L532:L543" si="339">1/H532</f>
        <v>0.10058672235147628</v>
      </c>
      <c r="M532" s="2">
        <f t="shared" ref="M532:M543" si="340">1/N532</f>
        <v>5.3296920876990166E-2</v>
      </c>
      <c r="N532" s="2">
        <f t="shared" ref="N532:N543" si="341">H532+I532</f>
        <v>18.762810000000002</v>
      </c>
      <c r="O532">
        <v>69</v>
      </c>
      <c r="P532" s="2">
        <f t="shared" si="334"/>
        <v>6.9404838422518633</v>
      </c>
      <c r="R532" t="s">
        <v>357</v>
      </c>
    </row>
    <row r="533" spans="3:18" x14ac:dyDescent="0.35">
      <c r="C533" s="155">
        <v>0</v>
      </c>
      <c r="D533" t="s">
        <v>541</v>
      </c>
      <c r="F533">
        <v>260.04541</v>
      </c>
      <c r="G533">
        <v>267.71373</v>
      </c>
      <c r="H533" s="2">
        <f t="shared" si="335"/>
        <v>7.6683199999999943</v>
      </c>
      <c r="I533" s="2">
        <f t="shared" si="336"/>
        <v>10.872140000000002</v>
      </c>
      <c r="J533" s="2">
        <f t="shared" si="337"/>
        <v>0.41359923108703861</v>
      </c>
      <c r="K533" s="2">
        <f t="shared" si="338"/>
        <v>0.58640076891296133</v>
      </c>
      <c r="L533" s="2">
        <f t="shared" si="339"/>
        <v>0.13040666012894619</v>
      </c>
      <c r="M533" s="2">
        <f t="shared" si="340"/>
        <v>5.3936094357960929E-2</v>
      </c>
      <c r="N533" s="2">
        <f t="shared" si="341"/>
        <v>18.540459999999996</v>
      </c>
      <c r="O533">
        <v>53</v>
      </c>
      <c r="P533" s="2">
        <f t="shared" si="334"/>
        <v>6.911552986834149</v>
      </c>
    </row>
    <row r="534" spans="3:18" x14ac:dyDescent="0.35">
      <c r="C534" s="155">
        <v>0</v>
      </c>
      <c r="F534">
        <v>278.58587</v>
      </c>
      <c r="G534">
        <v>287.08305000000001</v>
      </c>
      <c r="H534" s="2">
        <f t="shared" si="335"/>
        <v>8.4971800000000144</v>
      </c>
      <c r="I534" s="2">
        <f t="shared" si="336"/>
        <v>8.0158799999999815</v>
      </c>
      <c r="J534" s="2">
        <f t="shared" si="337"/>
        <v>0.51457331348641722</v>
      </c>
      <c r="K534" s="2">
        <f t="shared" si="338"/>
        <v>0.48542668651358278</v>
      </c>
      <c r="L534" s="2">
        <f t="shared" si="339"/>
        <v>0.11768610291885052</v>
      </c>
      <c r="M534" s="2">
        <f t="shared" si="340"/>
        <v>6.0558127930256431E-2</v>
      </c>
      <c r="N534" s="2">
        <f t="shared" si="341"/>
        <v>16.513059999999996</v>
      </c>
      <c r="O534">
        <v>72</v>
      </c>
      <c r="P534" s="2">
        <f t="shared" si="334"/>
        <v>8.4733994101572385</v>
      </c>
    </row>
    <row r="535" spans="3:18" x14ac:dyDescent="0.35">
      <c r="C535" s="155">
        <v>0</v>
      </c>
      <c r="D535" t="s">
        <v>541</v>
      </c>
      <c r="F535">
        <v>295.09893</v>
      </c>
      <c r="G535">
        <v>302.35536999999999</v>
      </c>
      <c r="H535" s="2">
        <f t="shared" si="335"/>
        <v>7.2564399999999978</v>
      </c>
      <c r="I535" s="2">
        <f t="shared" si="336"/>
        <v>12.673069999999996</v>
      </c>
      <c r="J535" s="2">
        <f t="shared" si="337"/>
        <v>0.36410528909140266</v>
      </c>
      <c r="K535" s="2">
        <f t="shared" si="338"/>
        <v>0.63589471090859739</v>
      </c>
      <c r="L535" s="2">
        <f t="shared" si="339"/>
        <v>0.13780862240988698</v>
      </c>
      <c r="M535" s="2">
        <f t="shared" si="340"/>
        <v>5.0176848301839848E-2</v>
      </c>
      <c r="N535" s="2">
        <f t="shared" si="341"/>
        <v>19.929509999999993</v>
      </c>
      <c r="O535">
        <v>58</v>
      </c>
      <c r="P535" s="2">
        <f t="shared" si="334"/>
        <v>7.9929000997734452</v>
      </c>
    </row>
    <row r="536" spans="3:18" x14ac:dyDescent="0.35">
      <c r="C536" s="155">
        <v>0</v>
      </c>
      <c r="F536">
        <v>315.02843999999999</v>
      </c>
      <c r="G536">
        <v>324.21832000000001</v>
      </c>
      <c r="H536" s="2">
        <f t="shared" si="335"/>
        <v>9.1898800000000165</v>
      </c>
      <c r="I536" s="2">
        <f t="shared" si="336"/>
        <v>8.1332199999999943</v>
      </c>
      <c r="J536" s="2">
        <f t="shared" si="337"/>
        <v>0.53049858281716378</v>
      </c>
      <c r="K536" s="2">
        <f t="shared" si="338"/>
        <v>0.46950141718283617</v>
      </c>
      <c r="L536" s="2">
        <f t="shared" si="339"/>
        <v>0.10881534905787651</v>
      </c>
      <c r="M536" s="2">
        <f t="shared" si="340"/>
        <v>5.7726388463958493E-2</v>
      </c>
      <c r="N536" s="2">
        <f t="shared" si="341"/>
        <v>17.323100000000011</v>
      </c>
      <c r="O536">
        <v>61</v>
      </c>
      <c r="P536" s="2">
        <f t="shared" si="334"/>
        <v>6.6377362925304677</v>
      </c>
    </row>
    <row r="537" spans="3:18" x14ac:dyDescent="0.35">
      <c r="C537" s="155">
        <v>0</v>
      </c>
      <c r="D537" t="s">
        <v>541</v>
      </c>
      <c r="F537">
        <v>332.35154</v>
      </c>
      <c r="G537">
        <v>340.68378000000001</v>
      </c>
      <c r="H537" s="2">
        <f t="shared" si="335"/>
        <v>8.332240000000013</v>
      </c>
      <c r="I537" s="2">
        <f t="shared" si="336"/>
        <v>11.732799999999997</v>
      </c>
      <c r="J537" s="2">
        <f t="shared" si="337"/>
        <v>0.41526156937638842</v>
      </c>
      <c r="K537" s="2">
        <f t="shared" si="338"/>
        <v>0.58473843062361164</v>
      </c>
      <c r="L537" s="2">
        <f t="shared" si="339"/>
        <v>0.12001574606588365</v>
      </c>
      <c r="M537" s="2">
        <f t="shared" si="340"/>
        <v>4.9837927061196961E-2</v>
      </c>
      <c r="N537" s="2">
        <f t="shared" si="341"/>
        <v>20.06504000000001</v>
      </c>
      <c r="O537">
        <v>54</v>
      </c>
      <c r="P537" s="2">
        <f t="shared" si="334"/>
        <v>6.4808502875577174</v>
      </c>
    </row>
    <row r="538" spans="3:18" x14ac:dyDescent="0.35">
      <c r="C538" s="155">
        <v>0</v>
      </c>
      <c r="F538">
        <v>352.41658000000001</v>
      </c>
      <c r="G538">
        <v>359.93788999999998</v>
      </c>
      <c r="H538" s="2">
        <f t="shared" si="335"/>
        <v>7.5213099999999713</v>
      </c>
      <c r="I538" s="2">
        <f t="shared" si="336"/>
        <v>11.350889999999993</v>
      </c>
      <c r="J538" s="2">
        <f t="shared" si="337"/>
        <v>0.39853912103517269</v>
      </c>
      <c r="K538" s="2">
        <f t="shared" si="338"/>
        <v>0.60146087896482736</v>
      </c>
      <c r="L538" s="2">
        <f t="shared" si="339"/>
        <v>0.13295556226242553</v>
      </c>
      <c r="M538" s="2">
        <f t="shared" si="340"/>
        <v>5.298799292080425E-2</v>
      </c>
      <c r="N538" s="2">
        <f t="shared" si="341"/>
        <v>18.872199999999964</v>
      </c>
      <c r="O538">
        <v>65</v>
      </c>
      <c r="P538" s="2">
        <f t="shared" si="334"/>
        <v>8.6421115470576595</v>
      </c>
    </row>
    <row r="539" spans="3:18" x14ac:dyDescent="0.35">
      <c r="C539" s="155">
        <v>0</v>
      </c>
      <c r="D539" t="s">
        <v>541</v>
      </c>
      <c r="F539">
        <v>371.28877999999997</v>
      </c>
      <c r="G539">
        <v>378.76636999999999</v>
      </c>
      <c r="H539" s="2">
        <f t="shared" si="335"/>
        <v>7.4775900000000206</v>
      </c>
      <c r="I539" s="2">
        <f t="shared" si="336"/>
        <v>15.501910000000009</v>
      </c>
      <c r="J539" s="2">
        <f t="shared" si="337"/>
        <v>0.32540264148480214</v>
      </c>
      <c r="K539" s="2">
        <f t="shared" si="338"/>
        <v>0.67459735851519786</v>
      </c>
      <c r="L539" s="2">
        <f t="shared" si="339"/>
        <v>0.13373292732016562</v>
      </c>
      <c r="M539" s="2">
        <f t="shared" si="340"/>
        <v>4.3517047803476955E-2</v>
      </c>
      <c r="N539" s="2">
        <f t="shared" si="341"/>
        <v>22.97950000000003</v>
      </c>
      <c r="O539">
        <v>62</v>
      </c>
      <c r="P539" s="2">
        <f t="shared" si="334"/>
        <v>8.2914414938502681</v>
      </c>
      <c r="R539" t="s">
        <v>358</v>
      </c>
    </row>
    <row r="540" spans="3:18" x14ac:dyDescent="0.35">
      <c r="C540" s="155">
        <v>0</v>
      </c>
      <c r="F540">
        <v>394.26828</v>
      </c>
      <c r="G540">
        <v>404.24907000000002</v>
      </c>
      <c r="H540" s="2">
        <f t="shared" si="335"/>
        <v>9.9807900000000132</v>
      </c>
      <c r="I540" s="2">
        <f>F541-G540</f>
        <v>9.0991699999999582</v>
      </c>
      <c r="J540" s="2">
        <f t="shared" si="337"/>
        <v>0.52310329791047927</v>
      </c>
      <c r="K540" s="2">
        <f t="shared" si="338"/>
        <v>0.47689670208952073</v>
      </c>
      <c r="L540" s="2">
        <f t="shared" si="339"/>
        <v>0.10019246973435958</v>
      </c>
      <c r="M540" s="2">
        <f t="shared" si="340"/>
        <v>5.2411011343839374E-2</v>
      </c>
      <c r="N540" s="2">
        <f t="shared" si="341"/>
        <v>19.079959999999971</v>
      </c>
      <c r="O540">
        <v>57</v>
      </c>
      <c r="P540" s="2">
        <f t="shared" si="334"/>
        <v>5.7109707748584952</v>
      </c>
    </row>
    <row r="541" spans="3:18" x14ac:dyDescent="0.35">
      <c r="C541" s="155">
        <v>0</v>
      </c>
      <c r="D541" t="s">
        <v>541</v>
      </c>
      <c r="F541">
        <v>413.34823999999998</v>
      </c>
      <c r="G541">
        <v>421.52708000000001</v>
      </c>
      <c r="H541" s="2">
        <f t="shared" si="335"/>
        <v>8.1788400000000365</v>
      </c>
      <c r="I541" s="2">
        <f t="shared" si="336"/>
        <v>12.070479999999975</v>
      </c>
      <c r="J541" s="2">
        <f t="shared" si="337"/>
        <v>0.40390689662665374</v>
      </c>
      <c r="K541" s="2">
        <f t="shared" si="338"/>
        <v>0.59609310337334631</v>
      </c>
      <c r="L541" s="2">
        <f t="shared" si="339"/>
        <v>0.12226672731096287</v>
      </c>
      <c r="M541" s="2">
        <f t="shared" si="340"/>
        <v>4.9384374388868342E-2</v>
      </c>
      <c r="N541" s="2">
        <f t="shared" si="341"/>
        <v>20.249320000000012</v>
      </c>
      <c r="O541">
        <v>74</v>
      </c>
      <c r="P541" s="2">
        <f t="shared" si="334"/>
        <v>9.0477378210112516</v>
      </c>
    </row>
    <row r="542" spans="3:18" x14ac:dyDescent="0.35">
      <c r="C542" s="155">
        <v>0</v>
      </c>
      <c r="F542">
        <v>433.59755999999999</v>
      </c>
      <c r="G542">
        <v>442.11820999999998</v>
      </c>
      <c r="H542" s="2">
        <f t="shared" si="335"/>
        <v>8.5206499999999892</v>
      </c>
      <c r="I542" s="2">
        <f t="shared" si="336"/>
        <v>8.8940100000000371</v>
      </c>
      <c r="J542" s="2">
        <f t="shared" si="337"/>
        <v>0.4892802960264499</v>
      </c>
      <c r="K542" s="2">
        <f t="shared" si="338"/>
        <v>0.51071970397355004</v>
      </c>
      <c r="L542" s="2">
        <f t="shared" si="339"/>
        <v>0.11736193834977393</v>
      </c>
      <c r="M542" s="2">
        <f t="shared" si="340"/>
        <v>5.7422883938015354E-2</v>
      </c>
      <c r="N542" s="2">
        <f t="shared" si="341"/>
        <v>17.414660000000026</v>
      </c>
      <c r="O542">
        <v>61</v>
      </c>
      <c r="P542" s="2">
        <f t="shared" si="334"/>
        <v>7.1590782393362096</v>
      </c>
    </row>
    <row r="543" spans="3:18" x14ac:dyDescent="0.35">
      <c r="C543" s="155">
        <v>0</v>
      </c>
      <c r="D543" t="s">
        <v>541</v>
      </c>
      <c r="F543">
        <v>451.01222000000001</v>
      </c>
      <c r="G543">
        <v>458.48919000000001</v>
      </c>
      <c r="H543" s="2">
        <f t="shared" si="335"/>
        <v>7.4769699999999943</v>
      </c>
      <c r="I543" s="2">
        <f t="shared" si="336"/>
        <v>12.834639999999979</v>
      </c>
      <c r="J543" s="2">
        <f t="shared" si="337"/>
        <v>0.36811311363304061</v>
      </c>
      <c r="K543" s="2">
        <f t="shared" si="338"/>
        <v>0.63188688636695933</v>
      </c>
      <c r="L543" s="2">
        <f t="shared" si="339"/>
        <v>0.13374401662705626</v>
      </c>
      <c r="M543" s="2">
        <f t="shared" si="340"/>
        <v>4.9232926390374833E-2</v>
      </c>
      <c r="N543" s="2">
        <f t="shared" si="341"/>
        <v>20.311609999999973</v>
      </c>
      <c r="O543">
        <v>65</v>
      </c>
      <c r="P543" s="2">
        <f t="shared" si="334"/>
        <v>8.6933610807586561</v>
      </c>
    </row>
    <row r="544" spans="3:18" x14ac:dyDescent="0.35">
      <c r="C544" s="155">
        <v>0</v>
      </c>
      <c r="F544">
        <v>471.32382999999999</v>
      </c>
      <c r="G544">
        <v>479.90386000000001</v>
      </c>
      <c r="H544" s="2">
        <f t="shared" si="335"/>
        <v>8.580030000000022</v>
      </c>
      <c r="I544" s="2"/>
      <c r="J544" s="2"/>
      <c r="K544" s="2"/>
      <c r="L544" s="2"/>
      <c r="M544" s="2"/>
      <c r="N544" s="2"/>
    </row>
    <row r="545" spans="3:16" x14ac:dyDescent="0.35">
      <c r="C545" s="155"/>
      <c r="H545" s="2"/>
      <c r="I545" s="2"/>
      <c r="J545" s="2"/>
      <c r="K545" s="2"/>
      <c r="L545" s="2"/>
      <c r="M545" s="2"/>
      <c r="N545" s="2"/>
    </row>
    <row r="546" spans="3:16" x14ac:dyDescent="0.35">
      <c r="C546" s="155"/>
      <c r="H546" s="2"/>
      <c r="I546" s="2"/>
      <c r="J546" s="2"/>
      <c r="K546" s="2"/>
      <c r="L546" s="2"/>
      <c r="M546" s="2"/>
      <c r="N546" s="2"/>
    </row>
    <row r="547" spans="3:16" x14ac:dyDescent="0.35">
      <c r="C547" s="155"/>
    </row>
    <row r="548" spans="3:16" ht="16" thickBot="1" x14ac:dyDescent="0.4">
      <c r="C548" s="155"/>
      <c r="G548" s="13"/>
      <c r="H548" s="9" t="s">
        <v>3</v>
      </c>
      <c r="I548" s="9" t="s">
        <v>4</v>
      </c>
      <c r="J548" s="9" t="s">
        <v>5</v>
      </c>
      <c r="K548" s="9" t="s">
        <v>6</v>
      </c>
      <c r="L548" s="9" t="s">
        <v>7</v>
      </c>
      <c r="M548" s="9" t="s">
        <v>8</v>
      </c>
      <c r="N548" s="9" t="s">
        <v>9</v>
      </c>
      <c r="O548" s="9" t="s">
        <v>10</v>
      </c>
      <c r="P548" s="44" t="s">
        <v>139</v>
      </c>
    </row>
    <row r="549" spans="3:16" x14ac:dyDescent="0.35">
      <c r="C549" s="155"/>
      <c r="G549" s="49" t="s">
        <v>77</v>
      </c>
      <c r="H549" s="13">
        <f>AVERAGE(H527:H543)</f>
        <v>8.2269829411764732</v>
      </c>
      <c r="I549" s="13">
        <f t="shared" ref="I549:P549" si="342">AVERAGE(I527:I543)</f>
        <v>10.74862764705882</v>
      </c>
      <c r="J549" s="13">
        <f t="shared" si="342"/>
        <v>0.4383747972860515</v>
      </c>
      <c r="K549" s="13">
        <f t="shared" si="342"/>
        <v>0.56162520271394856</v>
      </c>
      <c r="L549" s="13">
        <f t="shared" si="342"/>
        <v>0.1229820079398538</v>
      </c>
      <c r="M549" s="13">
        <f t="shared" si="342"/>
        <v>5.3060454459895788E-2</v>
      </c>
      <c r="N549" s="13">
        <f t="shared" si="342"/>
        <v>18.975610588235295</v>
      </c>
      <c r="O549" s="13">
        <f t="shared" si="342"/>
        <v>62.764705882352942</v>
      </c>
      <c r="P549" s="13">
        <f t="shared" si="342"/>
        <v>7.6968447469309522</v>
      </c>
    </row>
    <row r="550" spans="3:16" x14ac:dyDescent="0.35">
      <c r="C550" s="155"/>
      <c r="G550" s="49" t="s">
        <v>94</v>
      </c>
      <c r="H550" s="2">
        <f>_xlfn.STDEV.S(H527:H543)</f>
        <v>0.93602094146423165</v>
      </c>
      <c r="I550" s="2">
        <f t="shared" ref="I550:P550" si="343">_xlfn.STDEV.S(I527:I543)</f>
        <v>2.228410567681947</v>
      </c>
      <c r="J550" s="2">
        <f t="shared" si="343"/>
        <v>7.4252344814192628E-2</v>
      </c>
      <c r="K550" s="2">
        <f t="shared" si="343"/>
        <v>7.4252344814192434E-2</v>
      </c>
      <c r="L550" s="2">
        <f t="shared" si="343"/>
        <v>1.3430004288225172E-2</v>
      </c>
      <c r="M550" s="2">
        <f t="shared" si="343"/>
        <v>4.4883123984687757E-3</v>
      </c>
      <c r="N550" s="2">
        <f t="shared" si="343"/>
        <v>1.6332803636220525</v>
      </c>
      <c r="O550" s="2">
        <f t="shared" si="343"/>
        <v>6.2402865695886307</v>
      </c>
      <c r="P550" s="2">
        <f t="shared" si="343"/>
        <v>0.94974667125790824</v>
      </c>
    </row>
    <row r="551" spans="3:16" x14ac:dyDescent="0.35">
      <c r="C551" s="155"/>
      <c r="G551" s="49" t="s">
        <v>95</v>
      </c>
      <c r="H551" s="2">
        <f>H550/(SQRT(COUNT(H527:H543)))</f>
        <v>0.22701842408512427</v>
      </c>
      <c r="I551" s="2">
        <f t="shared" ref="I551:P551" si="344">I550/(SQRT(COUNT(I527:I543)))</f>
        <v>0.54046894987031058</v>
      </c>
      <c r="J551" s="2">
        <f t="shared" si="344"/>
        <v>1.8008838859923527E-2</v>
      </c>
      <c r="K551" s="2">
        <f t="shared" si="344"/>
        <v>1.8008838859923479E-2</v>
      </c>
      <c r="L551" s="2">
        <f t="shared" si="344"/>
        <v>3.2572544842853243E-3</v>
      </c>
      <c r="M551" s="2">
        <f t="shared" si="344"/>
        <v>1.0885756529209474E-3</v>
      </c>
      <c r="N551" s="2">
        <f t="shared" si="344"/>
        <v>0.39612867385064371</v>
      </c>
      <c r="O551" s="2">
        <f t="shared" si="344"/>
        <v>1.5134918035610128</v>
      </c>
      <c r="P551" s="2">
        <f t="shared" si="344"/>
        <v>0.23034740253971342</v>
      </c>
    </row>
    <row r="552" spans="3:16" x14ac:dyDescent="0.35">
      <c r="C552" s="155"/>
    </row>
    <row r="553" spans="3:16" x14ac:dyDescent="0.35">
      <c r="C553" s="155"/>
    </row>
    <row r="554" spans="3:16" ht="16" thickBot="1" x14ac:dyDescent="0.4">
      <c r="C554" s="155"/>
      <c r="E554" s="104" t="s">
        <v>81</v>
      </c>
      <c r="G554" s="13"/>
      <c r="H554" s="9" t="s">
        <v>3</v>
      </c>
      <c r="I554" s="9" t="s">
        <v>4</v>
      </c>
      <c r="J554" s="9" t="s">
        <v>5</v>
      </c>
      <c r="K554" s="9" t="s">
        <v>6</v>
      </c>
      <c r="L554" s="9" t="s">
        <v>7</v>
      </c>
      <c r="M554" s="9" t="s">
        <v>8</v>
      </c>
      <c r="N554" s="9" t="s">
        <v>9</v>
      </c>
      <c r="O554" s="9" t="s">
        <v>10</v>
      </c>
      <c r="P554" s="44" t="s">
        <v>139</v>
      </c>
    </row>
    <row r="555" spans="3:16" x14ac:dyDescent="0.35">
      <c r="C555" s="155"/>
      <c r="G555" s="49" t="s">
        <v>77</v>
      </c>
      <c r="H555" s="2">
        <f>AVERAGE(H527,H529,H531,H533,H535,H537,H539,H541,H543)</f>
        <v>7.5859633333333409</v>
      </c>
      <c r="I555" s="2">
        <f t="shared" ref="I555:P555" si="345">AVERAGE(I527,I529,I531,I533,I535,I537,I539,I541,I543)</f>
        <v>12.469969999999993</v>
      </c>
      <c r="J555" s="2">
        <f t="shared" si="345"/>
        <v>0.37936237873673762</v>
      </c>
      <c r="K555" s="2">
        <f t="shared" si="345"/>
        <v>0.62063762126326238</v>
      </c>
      <c r="L555" s="2">
        <f t="shared" si="345"/>
        <v>0.13222632180317306</v>
      </c>
      <c r="M555" s="2">
        <f t="shared" si="345"/>
        <v>5.0026992580881988E-2</v>
      </c>
      <c r="N555" s="2">
        <f t="shared" si="345"/>
        <v>20.055933333333332</v>
      </c>
      <c r="O555" s="2">
        <f t="shared" si="345"/>
        <v>60.444444444444443</v>
      </c>
      <c r="P555" s="2">
        <f t="shared" si="345"/>
        <v>7.9877513629472183</v>
      </c>
    </row>
    <row r="556" spans="3:16" x14ac:dyDescent="0.35">
      <c r="C556" s="155"/>
      <c r="G556" s="49" t="s">
        <v>94</v>
      </c>
      <c r="H556" s="2">
        <f>_xlfn.STDEV.S(H527,H529,H531,H533,H535,H537,H539,H541,H543)</f>
        <v>0.44933721782755592</v>
      </c>
      <c r="I556" s="2">
        <f t="shared" ref="I556:P556" si="346">_xlfn.STDEV.S(I527,I529,I531,I533,I535,I537,I539,I541,I543)</f>
        <v>1.3038015866591839</v>
      </c>
      <c r="J556" s="2">
        <f t="shared" si="346"/>
        <v>2.9735536848884549E-2</v>
      </c>
      <c r="K556" s="2">
        <f t="shared" si="346"/>
        <v>2.9735536848884539E-2</v>
      </c>
      <c r="L556" s="2">
        <f t="shared" si="346"/>
        <v>7.6826228482726215E-3</v>
      </c>
      <c r="M556" s="2">
        <f t="shared" si="346"/>
        <v>2.9722530741518099E-3</v>
      </c>
      <c r="N556" s="2">
        <f t="shared" si="346"/>
        <v>1.267674168881745</v>
      </c>
      <c r="O556" s="2">
        <f t="shared" si="346"/>
        <v>6.385748020222672</v>
      </c>
      <c r="P556" s="2">
        <f t="shared" si="346"/>
        <v>0.87952594924349137</v>
      </c>
    </row>
    <row r="557" spans="3:16" x14ac:dyDescent="0.35">
      <c r="C557" s="155"/>
      <c r="G557" s="49" t="s">
        <v>95</v>
      </c>
      <c r="H557" s="2">
        <f>H556/SQRT(9)</f>
        <v>0.1497790726091853</v>
      </c>
      <c r="I557" s="2">
        <f t="shared" ref="I557:P557" si="347">I556/SQRT(9)</f>
        <v>0.43460052888639461</v>
      </c>
      <c r="J557" s="2">
        <f t="shared" si="347"/>
        <v>9.9118456162948492E-3</v>
      </c>
      <c r="K557" s="2">
        <f t="shared" si="347"/>
        <v>9.9118456162948457E-3</v>
      </c>
      <c r="L557" s="2">
        <f t="shared" si="347"/>
        <v>2.5608742827575403E-3</v>
      </c>
      <c r="M557" s="2">
        <f t="shared" si="347"/>
        <v>9.907510247172699E-4</v>
      </c>
      <c r="N557" s="2">
        <f t="shared" si="347"/>
        <v>0.42255805629391502</v>
      </c>
      <c r="O557" s="2">
        <f t="shared" si="347"/>
        <v>2.1285826734075575</v>
      </c>
      <c r="P557" s="2">
        <f t="shared" si="347"/>
        <v>0.29317531641449712</v>
      </c>
    </row>
    <row r="558" spans="3:16" x14ac:dyDescent="0.35">
      <c r="C558" s="155"/>
      <c r="H558" s="2"/>
      <c r="I558" s="2"/>
      <c r="J558" s="2"/>
      <c r="K558" s="2"/>
      <c r="L558" s="2"/>
      <c r="M558" s="2"/>
      <c r="N558" s="2"/>
    </row>
    <row r="559" spans="3:16" x14ac:dyDescent="0.35">
      <c r="C559" s="155"/>
      <c r="H559" s="2"/>
      <c r="I559" s="2"/>
      <c r="J559" s="2"/>
      <c r="K559" s="2"/>
      <c r="L559" s="2"/>
      <c r="M559" s="2"/>
      <c r="N559" s="2"/>
    </row>
    <row r="560" spans="3:16" ht="16" thickBot="1" x14ac:dyDescent="0.4">
      <c r="C560" s="155"/>
      <c r="E560" s="104" t="s">
        <v>82</v>
      </c>
      <c r="G560" s="13"/>
      <c r="H560" s="9" t="s">
        <v>3</v>
      </c>
      <c r="I560" s="9" t="s">
        <v>4</v>
      </c>
      <c r="J560" s="9" t="s">
        <v>5</v>
      </c>
      <c r="K560" s="9" t="s">
        <v>6</v>
      </c>
      <c r="L560" s="9" t="s">
        <v>7</v>
      </c>
      <c r="M560" s="9" t="s">
        <v>8</v>
      </c>
      <c r="N560" s="9" t="s">
        <v>9</v>
      </c>
      <c r="O560" s="9" t="s">
        <v>10</v>
      </c>
      <c r="P560" s="44" t="s">
        <v>139</v>
      </c>
    </row>
    <row r="561" spans="3:16" x14ac:dyDescent="0.35">
      <c r="C561" s="155"/>
      <c r="G561" s="49" t="s">
        <v>77</v>
      </c>
      <c r="H561" s="2">
        <f>AVERAGE(H528,H530,H532,H534,H536,H538,H540,H542)</f>
        <v>8.948129999999999</v>
      </c>
      <c r="I561" s="2">
        <f t="shared" ref="I561:P561" si="348">AVERAGE(I528,I530,I532,I534,I536,I538,I540,I542)</f>
        <v>8.8121174999999994</v>
      </c>
      <c r="J561" s="2">
        <f t="shared" si="348"/>
        <v>0.50476376815402957</v>
      </c>
      <c r="K561" s="2">
        <f t="shared" si="348"/>
        <v>0.49523623184597038</v>
      </c>
      <c r="L561" s="2">
        <f t="shared" si="348"/>
        <v>0.11258215484361964</v>
      </c>
      <c r="M561" s="2">
        <f t="shared" si="348"/>
        <v>5.6473099073786323E-2</v>
      </c>
      <c r="N561" s="2">
        <f t="shared" si="348"/>
        <v>17.760247499999998</v>
      </c>
      <c r="O561" s="2">
        <f t="shared" si="348"/>
        <v>65.375</v>
      </c>
      <c r="P561" s="2">
        <f t="shared" si="348"/>
        <v>7.3695748039126503</v>
      </c>
    </row>
    <row r="562" spans="3:16" x14ac:dyDescent="0.35">
      <c r="C562" s="155"/>
      <c r="G562" s="49" t="s">
        <v>94</v>
      </c>
      <c r="H562" s="2">
        <f>_xlfn.STDEV.S(H528,H530,H532,H534,H536,H538,H540,H542)</f>
        <v>0.80572521732200031</v>
      </c>
      <c r="I562" s="2">
        <f t="shared" ref="I562:P562" si="349">_xlfn.STDEV.S(I528,I530,I532,I534,I536,I538,I540,I542)</f>
        <v>1.1455555140224052</v>
      </c>
      <c r="J562" s="2">
        <f t="shared" si="349"/>
        <v>4.5573803004942293E-2</v>
      </c>
      <c r="K562" s="2">
        <f t="shared" si="349"/>
        <v>4.5573803004942307E-2</v>
      </c>
      <c r="L562" s="2">
        <f t="shared" si="349"/>
        <v>1.0551148127502413E-2</v>
      </c>
      <c r="M562" s="2">
        <f t="shared" si="349"/>
        <v>3.2876109314676581E-3</v>
      </c>
      <c r="N562" s="2">
        <f t="shared" si="349"/>
        <v>1.0354404831726591</v>
      </c>
      <c r="O562" s="2">
        <f t="shared" si="349"/>
        <v>5.2627396450355182</v>
      </c>
      <c r="P562" s="2">
        <f t="shared" si="349"/>
        <v>0.97286673671920276</v>
      </c>
    </row>
    <row r="563" spans="3:16" x14ac:dyDescent="0.35">
      <c r="C563" s="155"/>
      <c r="G563" s="49" t="s">
        <v>95</v>
      </c>
      <c r="H563" s="2">
        <f>H562/SQRT(8)</f>
        <v>0.28486688247069553</v>
      </c>
      <c r="I563" s="2">
        <f t="shared" ref="I563:P563" si="350">I562/SQRT(8)</f>
        <v>0.40501503609544187</v>
      </c>
      <c r="J563" s="2">
        <f t="shared" si="350"/>
        <v>1.6112772574627274E-2</v>
      </c>
      <c r="K563" s="2">
        <f t="shared" si="350"/>
        <v>1.6112772574627281E-2</v>
      </c>
      <c r="L563" s="2">
        <f t="shared" si="350"/>
        <v>3.7303941951303495E-3</v>
      </c>
      <c r="M563" s="2">
        <f t="shared" si="350"/>
        <v>1.1623459917719013E-3</v>
      </c>
      <c r="N563" s="2">
        <f t="shared" si="350"/>
        <v>0.36608349358323122</v>
      </c>
      <c r="O563" s="2">
        <f t="shared" si="350"/>
        <v>1.8606594453119494</v>
      </c>
      <c r="P563" s="2">
        <f t="shared" si="350"/>
        <v>0.34396033336248788</v>
      </c>
    </row>
    <row r="564" spans="3:16" x14ac:dyDescent="0.35">
      <c r="C564" s="155"/>
    </row>
    <row r="565" spans="3:16" x14ac:dyDescent="0.35">
      <c r="C565" s="155"/>
    </row>
    <row r="566" spans="3:16" x14ac:dyDescent="0.35">
      <c r="C566" s="155"/>
    </row>
    <row r="567" spans="3:16" x14ac:dyDescent="0.35">
      <c r="C567" s="155"/>
    </row>
    <row r="568" spans="3:16" x14ac:dyDescent="0.35">
      <c r="C568" s="155"/>
    </row>
    <row r="569" spans="3:16" x14ac:dyDescent="0.35">
      <c r="C569" s="155"/>
    </row>
    <row r="570" spans="3:16" x14ac:dyDescent="0.35">
      <c r="C570" s="155"/>
    </row>
    <row r="571" spans="3:16" x14ac:dyDescent="0.35">
      <c r="C571" s="155"/>
    </row>
    <row r="572" spans="3:16" x14ac:dyDescent="0.35">
      <c r="C572" s="155"/>
    </row>
    <row r="573" spans="3:16" x14ac:dyDescent="0.35">
      <c r="C573" s="155"/>
    </row>
    <row r="574" spans="3:16" x14ac:dyDescent="0.35">
      <c r="C574" s="155"/>
    </row>
    <row r="575" spans="3:16" x14ac:dyDescent="0.35">
      <c r="C575" s="155"/>
    </row>
    <row r="576" spans="3:16" x14ac:dyDescent="0.35">
      <c r="C576" s="155"/>
    </row>
    <row r="577" spans="3:3" x14ac:dyDescent="0.35">
      <c r="C577" s="155"/>
    </row>
    <row r="578" spans="3:3" x14ac:dyDescent="0.35">
      <c r="C578" s="155"/>
    </row>
    <row r="579" spans="3:3" x14ac:dyDescent="0.35">
      <c r="C579" s="155"/>
    </row>
    <row r="580" spans="3:3" x14ac:dyDescent="0.35">
      <c r="C580" s="155"/>
    </row>
    <row r="581" spans="3:3" x14ac:dyDescent="0.35">
      <c r="C581" s="155"/>
    </row>
    <row r="582" spans="3:3" x14ac:dyDescent="0.35">
      <c r="C582" s="155"/>
    </row>
    <row r="583" spans="3:3" x14ac:dyDescent="0.35">
      <c r="C583" s="155"/>
    </row>
    <row r="584" spans="3:3" x14ac:dyDescent="0.35">
      <c r="C584" s="155"/>
    </row>
    <row r="585" spans="3:3" x14ac:dyDescent="0.35">
      <c r="C585" s="155"/>
    </row>
    <row r="586" spans="3:3" x14ac:dyDescent="0.35">
      <c r="C586" s="155"/>
    </row>
    <row r="587" spans="3:3" x14ac:dyDescent="0.35">
      <c r="C587" s="155"/>
    </row>
    <row r="588" spans="3:3" x14ac:dyDescent="0.35">
      <c r="C588" s="155"/>
    </row>
    <row r="589" spans="3:3" x14ac:dyDescent="0.35">
      <c r="C589" s="155"/>
    </row>
    <row r="590" spans="3:3" x14ac:dyDescent="0.35">
      <c r="C590" s="155"/>
    </row>
    <row r="591" spans="3:3" x14ac:dyDescent="0.35">
      <c r="C591" s="155"/>
    </row>
    <row r="592" spans="3:3" x14ac:dyDescent="0.35">
      <c r="C592" s="155"/>
    </row>
    <row r="593" spans="3:3" x14ac:dyDescent="0.35">
      <c r="C593" s="155"/>
    </row>
    <row r="594" spans="3:3" x14ac:dyDescent="0.35">
      <c r="C594" s="155"/>
    </row>
    <row r="595" spans="3:3" x14ac:dyDescent="0.35">
      <c r="C595" s="155"/>
    </row>
    <row r="596" spans="3:3" x14ac:dyDescent="0.35">
      <c r="C596" s="155"/>
    </row>
    <row r="597" spans="3:3" x14ac:dyDescent="0.35">
      <c r="C597" s="155"/>
    </row>
    <row r="598" spans="3:3" x14ac:dyDescent="0.35">
      <c r="C598" s="155"/>
    </row>
    <row r="599" spans="3:3" x14ac:dyDescent="0.35">
      <c r="C599" s="155"/>
    </row>
    <row r="600" spans="3:3" x14ac:dyDescent="0.35">
      <c r="C600" s="155"/>
    </row>
  </sheetData>
  <mergeCells count="5">
    <mergeCell ref="C38:C46"/>
    <mergeCell ref="D180:D182"/>
    <mergeCell ref="D197:D199"/>
    <mergeCell ref="D215:D217"/>
    <mergeCell ref="D231:D233"/>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K312"/>
  <sheetViews>
    <sheetView topLeftCell="Q169" workbookViewId="0">
      <selection activeCell="AG198" sqref="AG198"/>
    </sheetView>
  </sheetViews>
  <sheetFormatPr defaultRowHeight="14.5" x14ac:dyDescent="0.35"/>
  <sheetData>
    <row r="4" spans="2:37" ht="18.5" x14ac:dyDescent="0.45">
      <c r="B4" s="2"/>
      <c r="C4" s="1" t="s">
        <v>402</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91</v>
      </c>
      <c r="Z5" s="3"/>
      <c r="AA5" s="3"/>
      <c r="AB5" s="3"/>
      <c r="AC5" s="3"/>
      <c r="AD5" s="3"/>
      <c r="AE5" s="3"/>
      <c r="AF5" s="3"/>
      <c r="AG5" s="3"/>
      <c r="AH5" s="3"/>
    </row>
    <row r="6" spans="2:37"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
      <c r="D7" s="2"/>
      <c r="E7" s="2"/>
      <c r="F7" s="2">
        <v>8.3974399999999996</v>
      </c>
      <c r="G7" s="2">
        <v>11.91098</v>
      </c>
      <c r="H7" s="2">
        <f>G7-F7</f>
        <v>3.5135400000000008</v>
      </c>
      <c r="I7" s="2">
        <f>F8-G7</f>
        <v>7.3136500000000009</v>
      </c>
      <c r="J7" s="2">
        <f>H7/N7</f>
        <v>0.3245107918120953</v>
      </c>
      <c r="K7" s="2">
        <f>I7/N7</f>
        <v>0.6754892081879047</v>
      </c>
      <c r="L7" s="2">
        <f>1/H7</f>
        <v>0.28461323906942848</v>
      </c>
      <c r="M7" s="2">
        <f>1/N7</f>
        <v>9.2360067570625426E-2</v>
      </c>
      <c r="N7" s="2">
        <f>H7+I7</f>
        <v>10.827190000000002</v>
      </c>
      <c r="O7" s="2">
        <v>17</v>
      </c>
      <c r="P7">
        <f>O7/H7</f>
        <v>4.8384250641802842</v>
      </c>
      <c r="R7" t="s">
        <v>403</v>
      </c>
      <c r="Y7" s="2">
        <v>4.6934300000000002</v>
      </c>
      <c r="Z7" s="2">
        <v>9.2589299999999994</v>
      </c>
      <c r="AA7" s="2">
        <f>Z7-Y7</f>
        <v>4.5654999999999992</v>
      </c>
      <c r="AB7" s="2">
        <f>Y8-Z7</f>
        <v>7.2130200000000002</v>
      </c>
      <c r="AC7" s="2">
        <f>AA7/AG7</f>
        <v>0.38761236556035894</v>
      </c>
      <c r="AD7" s="2">
        <f>AB7/AG7</f>
        <v>0.61238763443964095</v>
      </c>
      <c r="AE7" s="2">
        <f>1/AA7</f>
        <v>0.21903405979629836</v>
      </c>
      <c r="AF7" s="2">
        <f>1/AG7</f>
        <v>8.4900310055932321E-2</v>
      </c>
      <c r="AG7" s="2">
        <f>AA7+AB7</f>
        <v>11.77852</v>
      </c>
      <c r="AH7" s="2">
        <v>29</v>
      </c>
      <c r="AI7">
        <f>AH7/AA7</f>
        <v>6.3519877340926527</v>
      </c>
      <c r="AK7" t="s">
        <v>422</v>
      </c>
    </row>
    <row r="8" spans="2:37" x14ac:dyDescent="0.35">
      <c r="B8" s="2"/>
      <c r="C8" s="2"/>
      <c r="D8" s="2"/>
      <c r="E8" s="2"/>
      <c r="F8" s="2">
        <v>19.224630000000001</v>
      </c>
      <c r="G8" s="2">
        <v>21.865290000000002</v>
      </c>
      <c r="H8" s="2">
        <f t="shared" ref="H8:H24" si="0">G8-F8</f>
        <v>2.6406600000000005</v>
      </c>
      <c r="I8" s="2">
        <f t="shared" ref="I8:I23" si="1">F9-G8</f>
        <v>6.7840399999999974</v>
      </c>
      <c r="J8" s="2">
        <f t="shared" ref="J8:J23" si="2">H8/N8</f>
        <v>0.28018504567784663</v>
      </c>
      <c r="K8" s="2">
        <f t="shared" ref="K8:K23" si="3">I8/N8</f>
        <v>0.71981495432215337</v>
      </c>
      <c r="L8" s="2">
        <f t="shared" ref="L8:L23" si="4">1/H8</f>
        <v>0.37869320548650709</v>
      </c>
      <c r="M8" s="2">
        <f t="shared" ref="M8:M23" si="5">1/N8</f>
        <v>0.10610417307712715</v>
      </c>
      <c r="N8" s="2">
        <f t="shared" ref="N8:N23" si="6">H8+I8</f>
        <v>9.4246999999999979</v>
      </c>
      <c r="O8" s="2">
        <v>13</v>
      </c>
      <c r="P8">
        <f t="shared" ref="P8:P23" si="7">O8/H8</f>
        <v>4.9230116713245922</v>
      </c>
      <c r="Y8" s="2">
        <v>16.47195</v>
      </c>
      <c r="Z8" s="2">
        <v>21.2727</v>
      </c>
      <c r="AA8" s="2">
        <f t="shared" ref="AA8:AA29" si="8">Z8-Y8</f>
        <v>4.8007500000000007</v>
      </c>
      <c r="AB8" s="2">
        <f t="shared" ref="AB8:AB28" si="9">Y9-Z8</f>
        <v>6.5365499999999983</v>
      </c>
      <c r="AC8" s="2">
        <f t="shared" ref="AC8:AC28" si="10">AA8/AG8</f>
        <v>0.42344738165171614</v>
      </c>
      <c r="AD8" s="2">
        <f t="shared" ref="AD8:AD28" si="11">AB8/AG8</f>
        <v>0.57655261834828386</v>
      </c>
      <c r="AE8" s="2">
        <f t="shared" ref="AE8:AE28" si="12">1/AA8</f>
        <v>0.20830078633546839</v>
      </c>
      <c r="AF8" s="2">
        <f t="shared" ref="AF8:AF28" si="13">1/AG8</f>
        <v>8.8204422569747656E-2</v>
      </c>
      <c r="AG8" s="2">
        <f t="shared" ref="AG8:AG28" si="14">AA8+AB8</f>
        <v>11.337299999999999</v>
      </c>
      <c r="AH8" s="2">
        <v>31</v>
      </c>
      <c r="AI8">
        <f t="shared" ref="AI8:AI28" si="15">AH8/AA8</f>
        <v>6.4573243763995203</v>
      </c>
    </row>
    <row r="9" spans="2:37" x14ac:dyDescent="0.35">
      <c r="B9" s="2"/>
      <c r="C9" s="2"/>
      <c r="D9" s="2"/>
      <c r="E9" s="2"/>
      <c r="F9" s="13">
        <v>28.649329999999999</v>
      </c>
      <c r="G9" s="2">
        <v>32.817129999999999</v>
      </c>
      <c r="H9" s="2">
        <f t="shared" si="0"/>
        <v>4.1677999999999997</v>
      </c>
      <c r="I9" s="2">
        <f t="shared" si="1"/>
        <v>15.417369999999998</v>
      </c>
      <c r="J9" s="2">
        <f t="shared" si="2"/>
        <v>0.21280387150073246</v>
      </c>
      <c r="K9" s="2">
        <f t="shared" si="3"/>
        <v>0.78719612849926757</v>
      </c>
      <c r="L9" s="2">
        <f t="shared" si="4"/>
        <v>0.23993473775133164</v>
      </c>
      <c r="M9" s="2">
        <f t="shared" si="5"/>
        <v>5.1059041100996322E-2</v>
      </c>
      <c r="N9" s="2">
        <f t="shared" si="6"/>
        <v>19.585169999999998</v>
      </c>
      <c r="O9" s="2">
        <v>21</v>
      </c>
      <c r="P9">
        <f t="shared" si="7"/>
        <v>5.0386294927779645</v>
      </c>
      <c r="Y9" s="13">
        <v>27.809249999999999</v>
      </c>
      <c r="Z9" s="2">
        <v>32.330759999999998</v>
      </c>
      <c r="AA9" s="2">
        <f t="shared" si="8"/>
        <v>4.5215099999999993</v>
      </c>
      <c r="AB9" s="2">
        <f t="shared" si="9"/>
        <v>7.644919999999999</v>
      </c>
      <c r="AC9" s="2">
        <f t="shared" si="10"/>
        <v>0.37163818803050691</v>
      </c>
      <c r="AD9" s="2">
        <f t="shared" si="11"/>
        <v>0.62836181196949314</v>
      </c>
      <c r="AE9" s="2">
        <f t="shared" si="12"/>
        <v>0.22116505326760311</v>
      </c>
      <c r="AF9" s="2">
        <f t="shared" si="13"/>
        <v>8.2193379652042556E-2</v>
      </c>
      <c r="AG9" s="2">
        <f t="shared" si="14"/>
        <v>12.166429999999998</v>
      </c>
      <c r="AH9" s="2">
        <v>30</v>
      </c>
      <c r="AI9">
        <f t="shared" si="15"/>
        <v>6.6349515980280938</v>
      </c>
    </row>
    <row r="10" spans="2:37" x14ac:dyDescent="0.35">
      <c r="B10" s="3" t="s">
        <v>676</v>
      </c>
      <c r="C10" s="2"/>
      <c r="D10" s="2"/>
      <c r="E10" s="2"/>
      <c r="F10" s="13">
        <v>48.234499999999997</v>
      </c>
      <c r="G10" s="2">
        <v>52.083309999999997</v>
      </c>
      <c r="H10" s="2">
        <f t="shared" si="0"/>
        <v>3.8488100000000003</v>
      </c>
      <c r="I10" s="2">
        <f t="shared" si="1"/>
        <v>8.077920000000006</v>
      </c>
      <c r="J10" s="2">
        <f t="shared" si="2"/>
        <v>0.32270454684561473</v>
      </c>
      <c r="K10" s="2">
        <f t="shared" si="3"/>
        <v>0.67729545315438533</v>
      </c>
      <c r="L10" s="2">
        <f t="shared" si="4"/>
        <v>0.25982056791579733</v>
      </c>
      <c r="M10" s="2">
        <f t="shared" si="5"/>
        <v>8.3845278630437642E-2</v>
      </c>
      <c r="N10" s="2">
        <f t="shared" si="6"/>
        <v>11.926730000000006</v>
      </c>
      <c r="O10" s="13">
        <v>20</v>
      </c>
      <c r="P10">
        <f t="shared" si="7"/>
        <v>5.196411358315947</v>
      </c>
      <c r="Y10" s="13">
        <v>39.975679999999997</v>
      </c>
      <c r="Z10" s="2">
        <v>43.642470000000003</v>
      </c>
      <c r="AA10" s="2">
        <f t="shared" si="8"/>
        <v>3.666790000000006</v>
      </c>
      <c r="AB10" s="2">
        <f t="shared" si="9"/>
        <v>4.3742499999999964</v>
      </c>
      <c r="AC10" s="2">
        <f t="shared" si="10"/>
        <v>0.45600942166684966</v>
      </c>
      <c r="AD10" s="2">
        <f t="shared" si="11"/>
        <v>0.54399057833315034</v>
      </c>
      <c r="AE10" s="2">
        <f t="shared" si="12"/>
        <v>0.2727180994821079</v>
      </c>
      <c r="AF10" s="2">
        <f t="shared" si="13"/>
        <v>0.12436202282291839</v>
      </c>
      <c r="AG10" s="2">
        <f t="shared" si="14"/>
        <v>8.0410400000000024</v>
      </c>
      <c r="AH10" s="2">
        <v>24</v>
      </c>
      <c r="AI10">
        <f t="shared" si="15"/>
        <v>6.5452343875705896</v>
      </c>
    </row>
    <row r="11" spans="2:37" x14ac:dyDescent="0.35">
      <c r="B11" s="2"/>
      <c r="C11" s="2"/>
      <c r="D11" s="2"/>
      <c r="E11" s="2"/>
      <c r="F11" s="13">
        <v>60.161230000000003</v>
      </c>
      <c r="G11" s="2">
        <v>63.258940000000003</v>
      </c>
      <c r="H11" s="2">
        <f t="shared" si="0"/>
        <v>3.0977099999999993</v>
      </c>
      <c r="I11" s="2">
        <f t="shared" si="1"/>
        <v>8.0050500000000042</v>
      </c>
      <c r="J11" s="2">
        <f t="shared" si="2"/>
        <v>0.27900359910508721</v>
      </c>
      <c r="K11" s="2">
        <f t="shared" si="3"/>
        <v>0.72099640089491279</v>
      </c>
      <c r="L11" s="2">
        <f t="shared" si="4"/>
        <v>0.32281911476542358</v>
      </c>
      <c r="M11" s="2">
        <f t="shared" si="5"/>
        <v>9.0067694879471388E-2</v>
      </c>
      <c r="N11" s="2">
        <f t="shared" si="6"/>
        <v>11.102760000000004</v>
      </c>
      <c r="O11" s="13">
        <v>17</v>
      </c>
      <c r="P11">
        <f t="shared" si="7"/>
        <v>5.487924951012201</v>
      </c>
      <c r="Y11" s="13">
        <v>48.016719999999999</v>
      </c>
      <c r="Z11" s="2">
        <v>53.137320000000003</v>
      </c>
      <c r="AA11" s="2">
        <f t="shared" si="8"/>
        <v>5.1206000000000031</v>
      </c>
      <c r="AB11" s="2">
        <f t="shared" si="9"/>
        <v>5.5193200000000004</v>
      </c>
      <c r="AC11" s="2">
        <f t="shared" si="10"/>
        <v>0.48126301701516566</v>
      </c>
      <c r="AD11" s="2">
        <f t="shared" si="11"/>
        <v>0.51873698298483439</v>
      </c>
      <c r="AE11" s="2">
        <f t="shared" si="12"/>
        <v>0.19528961449830087</v>
      </c>
      <c r="AF11" s="2">
        <f t="shared" si="13"/>
        <v>9.398566906518091E-2</v>
      </c>
      <c r="AG11" s="2">
        <f t="shared" si="14"/>
        <v>10.639920000000004</v>
      </c>
      <c r="AH11" s="2">
        <v>28</v>
      </c>
      <c r="AI11">
        <f t="shared" si="15"/>
        <v>5.4681092059524241</v>
      </c>
    </row>
    <row r="12" spans="2:37" x14ac:dyDescent="0.35">
      <c r="B12" s="2"/>
      <c r="C12" s="2"/>
      <c r="D12" s="2"/>
      <c r="E12" s="2"/>
      <c r="F12" s="13">
        <v>71.263990000000007</v>
      </c>
      <c r="G12" s="2">
        <v>74.718739999999997</v>
      </c>
      <c r="H12" s="2">
        <f t="shared" si="0"/>
        <v>3.45474999999999</v>
      </c>
      <c r="I12" s="2">
        <f t="shared" si="1"/>
        <v>6.9830000000000041</v>
      </c>
      <c r="J12" s="2">
        <f t="shared" si="2"/>
        <v>0.33098608416564795</v>
      </c>
      <c r="K12" s="2">
        <f t="shared" si="3"/>
        <v>0.66901391583435199</v>
      </c>
      <c r="L12" s="2">
        <f t="shared" si="4"/>
        <v>0.28945654533613224</v>
      </c>
      <c r="M12" s="2">
        <f t="shared" si="5"/>
        <v>9.5806088476922763E-2</v>
      </c>
      <c r="N12" s="2">
        <f t="shared" si="6"/>
        <v>10.437749999999994</v>
      </c>
      <c r="O12" s="13">
        <v>19</v>
      </c>
      <c r="P12">
        <f t="shared" si="7"/>
        <v>5.4996743613865124</v>
      </c>
      <c r="Y12" s="13">
        <v>58.656640000000003</v>
      </c>
      <c r="Z12" s="2">
        <v>63.260950000000001</v>
      </c>
      <c r="AA12" s="2">
        <f t="shared" si="8"/>
        <v>4.6043099999999981</v>
      </c>
      <c r="AB12" s="2">
        <f t="shared" si="9"/>
        <v>5.2304700000000039</v>
      </c>
      <c r="AC12" s="2">
        <f t="shared" si="10"/>
        <v>0.46816603930133638</v>
      </c>
      <c r="AD12" s="2">
        <f t="shared" si="11"/>
        <v>0.53183396069866362</v>
      </c>
      <c r="AE12" s="2">
        <f t="shared" si="12"/>
        <v>0.21718780881391575</v>
      </c>
      <c r="AF12" s="2">
        <f t="shared" si="13"/>
        <v>0.10167995623694681</v>
      </c>
      <c r="AG12" s="2">
        <f t="shared" si="14"/>
        <v>9.8347800000000021</v>
      </c>
      <c r="AH12" s="2">
        <v>28</v>
      </c>
      <c r="AI12">
        <f t="shared" si="15"/>
        <v>6.0812586467896406</v>
      </c>
    </row>
    <row r="13" spans="2:37" x14ac:dyDescent="0.35">
      <c r="B13" s="2"/>
      <c r="C13" s="2"/>
      <c r="D13" s="2"/>
      <c r="E13" s="2"/>
      <c r="F13" s="13">
        <v>81.701740000000001</v>
      </c>
      <c r="G13" s="2">
        <v>85.823449999999994</v>
      </c>
      <c r="H13" s="2">
        <f t="shared" si="0"/>
        <v>4.1217099999999931</v>
      </c>
      <c r="I13" s="2">
        <f t="shared" si="1"/>
        <v>12.24512</v>
      </c>
      <c r="J13" s="2">
        <f t="shared" si="2"/>
        <v>0.25183312834556204</v>
      </c>
      <c r="K13" s="2">
        <f t="shared" si="3"/>
        <v>0.74816687165443796</v>
      </c>
      <c r="L13" s="2">
        <f t="shared" si="4"/>
        <v>0.24261774845877115</v>
      </c>
      <c r="M13" s="2">
        <f t="shared" si="5"/>
        <v>6.1099186586528999E-2</v>
      </c>
      <c r="N13" s="2">
        <f t="shared" si="6"/>
        <v>16.366829999999993</v>
      </c>
      <c r="O13" s="13">
        <v>23</v>
      </c>
      <c r="P13">
        <f t="shared" si="7"/>
        <v>5.5802082145517371</v>
      </c>
      <c r="Y13" s="13">
        <v>68.491420000000005</v>
      </c>
      <c r="Z13" s="2">
        <v>73.412450000000007</v>
      </c>
      <c r="AA13" s="2">
        <f t="shared" si="8"/>
        <v>4.9210300000000018</v>
      </c>
      <c r="AB13" s="2">
        <f t="shared" si="9"/>
        <v>5.5292499999999905</v>
      </c>
      <c r="AC13" s="2">
        <f t="shared" si="10"/>
        <v>0.47089934432378899</v>
      </c>
      <c r="AD13" s="2">
        <f t="shared" si="11"/>
        <v>0.52910065567621101</v>
      </c>
      <c r="AE13" s="2">
        <f t="shared" si="12"/>
        <v>0.2032094906960534</v>
      </c>
      <c r="AF13" s="2">
        <f t="shared" si="13"/>
        <v>9.5691215929142634E-2</v>
      </c>
      <c r="AG13" s="2">
        <f t="shared" si="14"/>
        <v>10.450279999999992</v>
      </c>
      <c r="AH13" s="2">
        <v>31</v>
      </c>
      <c r="AI13">
        <f t="shared" si="15"/>
        <v>6.2994942115776551</v>
      </c>
    </row>
    <row r="14" spans="2:37" x14ac:dyDescent="0.35">
      <c r="B14" s="2"/>
      <c r="C14" s="2"/>
      <c r="D14" s="2"/>
      <c r="E14" s="2"/>
      <c r="F14" s="13">
        <v>98.068569999999994</v>
      </c>
      <c r="G14" s="2">
        <v>101.80025999999999</v>
      </c>
      <c r="H14" s="2">
        <f t="shared" si="0"/>
        <v>3.7316900000000004</v>
      </c>
      <c r="I14" s="2">
        <f t="shared" si="1"/>
        <v>7.8762300000000067</v>
      </c>
      <c r="J14" s="2">
        <f t="shared" si="2"/>
        <v>0.3214779219705165</v>
      </c>
      <c r="K14" s="2">
        <f t="shared" si="3"/>
        <v>0.6785220780294835</v>
      </c>
      <c r="L14" s="2">
        <f t="shared" si="4"/>
        <v>0.26797509975373085</v>
      </c>
      <c r="M14" s="2">
        <f t="shared" si="5"/>
        <v>8.6148078208671264E-2</v>
      </c>
      <c r="N14" s="2">
        <f t="shared" si="6"/>
        <v>11.607920000000007</v>
      </c>
      <c r="O14" s="13">
        <v>20</v>
      </c>
      <c r="P14">
        <f t="shared" si="7"/>
        <v>5.3595019950746172</v>
      </c>
      <c r="Y14" s="13">
        <v>78.941699999999997</v>
      </c>
      <c r="Z14" s="2">
        <v>84.370630000000006</v>
      </c>
      <c r="AA14" s="2">
        <f t="shared" si="8"/>
        <v>5.4289300000000082</v>
      </c>
      <c r="AB14" s="2">
        <f t="shared" si="9"/>
        <v>5.2482399999999956</v>
      </c>
      <c r="AC14" s="2">
        <f t="shared" si="10"/>
        <v>0.50846151180509502</v>
      </c>
      <c r="AD14" s="2">
        <f t="shared" si="11"/>
        <v>0.49153848819490498</v>
      </c>
      <c r="AE14" s="2">
        <f t="shared" si="12"/>
        <v>0.18419835952940974</v>
      </c>
      <c r="AF14" s="2">
        <f t="shared" si="13"/>
        <v>9.3657776358342118E-2</v>
      </c>
      <c r="AG14" s="2">
        <f t="shared" si="14"/>
        <v>10.677170000000004</v>
      </c>
      <c r="AH14" s="2">
        <v>36</v>
      </c>
      <c r="AI14">
        <f t="shared" si="15"/>
        <v>6.6311409430587513</v>
      </c>
    </row>
    <row r="15" spans="2:37" x14ac:dyDescent="0.35">
      <c r="B15" s="2"/>
      <c r="C15" s="2"/>
      <c r="D15" s="2"/>
      <c r="E15" s="2"/>
      <c r="F15" s="13">
        <v>109.67649</v>
      </c>
      <c r="G15" s="2">
        <v>113.16719999999999</v>
      </c>
      <c r="H15" s="2">
        <f t="shared" si="0"/>
        <v>3.4907099999999929</v>
      </c>
      <c r="I15" s="2">
        <f t="shared" si="1"/>
        <v>8.1891200000000026</v>
      </c>
      <c r="J15" s="2">
        <f t="shared" si="2"/>
        <v>0.29886650747485144</v>
      </c>
      <c r="K15" s="2">
        <f t="shared" si="3"/>
        <v>0.70113349252514856</v>
      </c>
      <c r="L15" s="2">
        <f t="shared" si="4"/>
        <v>0.28647467134193388</v>
      </c>
      <c r="M15" s="2">
        <f t="shared" si="5"/>
        <v>8.5617684503969699E-2</v>
      </c>
      <c r="N15" s="2">
        <f t="shared" si="6"/>
        <v>11.679829999999995</v>
      </c>
      <c r="O15" s="13">
        <v>19</v>
      </c>
      <c r="P15">
        <f t="shared" si="7"/>
        <v>5.4430187554967437</v>
      </c>
      <c r="Y15" s="13">
        <v>89.618870000000001</v>
      </c>
      <c r="Z15" s="2">
        <v>94.873469999999998</v>
      </c>
      <c r="AA15" s="2">
        <f t="shared" si="8"/>
        <v>5.2545999999999964</v>
      </c>
      <c r="AB15" s="2">
        <f t="shared" si="9"/>
        <v>5.5990400000000022</v>
      </c>
      <c r="AC15" s="2">
        <f t="shared" si="10"/>
        <v>0.48413251222631276</v>
      </c>
      <c r="AD15" s="2">
        <f t="shared" si="11"/>
        <v>0.51586748777368729</v>
      </c>
      <c r="AE15" s="2">
        <f t="shared" si="12"/>
        <v>0.19030944315456946</v>
      </c>
      <c r="AF15" s="2">
        <f t="shared" si="13"/>
        <v>9.2134988814812371E-2</v>
      </c>
      <c r="AG15" s="2">
        <f t="shared" si="14"/>
        <v>10.853639999999999</v>
      </c>
      <c r="AH15" s="2">
        <v>35</v>
      </c>
      <c r="AI15">
        <f t="shared" si="15"/>
        <v>6.660830510409931</v>
      </c>
    </row>
    <row r="16" spans="2:37" x14ac:dyDescent="0.35">
      <c r="B16" s="2"/>
      <c r="C16" s="2"/>
      <c r="D16" s="2"/>
      <c r="E16" s="2"/>
      <c r="F16" s="13">
        <v>121.35632</v>
      </c>
      <c r="G16" s="2">
        <v>125.38164</v>
      </c>
      <c r="H16" s="2">
        <f t="shared" si="0"/>
        <v>4.0253200000000078</v>
      </c>
      <c r="I16" s="2">
        <f t="shared" si="1"/>
        <v>9.8262200000000064</v>
      </c>
      <c r="J16" s="2">
        <f t="shared" si="2"/>
        <v>0.29060451040100982</v>
      </c>
      <c r="K16" s="2">
        <f t="shared" si="3"/>
        <v>0.70939548959899013</v>
      </c>
      <c r="L16" s="2">
        <f t="shared" si="4"/>
        <v>0.24842745421481971</v>
      </c>
      <c r="M16" s="2">
        <f t="shared" si="5"/>
        <v>7.2194138702266972E-2</v>
      </c>
      <c r="N16" s="2">
        <f t="shared" si="6"/>
        <v>13.851540000000014</v>
      </c>
      <c r="O16" s="13">
        <v>21</v>
      </c>
      <c r="P16">
        <f t="shared" si="7"/>
        <v>5.2169765385112141</v>
      </c>
      <c r="R16" t="s">
        <v>404</v>
      </c>
      <c r="Y16" s="13">
        <v>100.47251</v>
      </c>
      <c r="Z16" s="2">
        <v>104.44466</v>
      </c>
      <c r="AA16" s="2">
        <f t="shared" si="8"/>
        <v>3.9721499999999992</v>
      </c>
      <c r="AB16" s="2">
        <f t="shared" si="9"/>
        <v>4.044169999999994</v>
      </c>
      <c r="AC16" s="2">
        <f t="shared" si="10"/>
        <v>0.49550791385573462</v>
      </c>
      <c r="AD16" s="2">
        <f t="shared" si="11"/>
        <v>0.50449208614426533</v>
      </c>
      <c r="AE16" s="2">
        <f t="shared" si="12"/>
        <v>0.25175282907241675</v>
      </c>
      <c r="AF16" s="2">
        <f t="shared" si="13"/>
        <v>0.12474551914095257</v>
      </c>
      <c r="AG16" s="2">
        <f t="shared" si="14"/>
        <v>8.0163199999999932</v>
      </c>
      <c r="AH16" s="2">
        <v>27</v>
      </c>
      <c r="AI16">
        <f t="shared" si="15"/>
        <v>6.7973263849552525</v>
      </c>
    </row>
    <row r="17" spans="2:37" x14ac:dyDescent="0.35">
      <c r="B17" s="2"/>
      <c r="C17" s="2"/>
      <c r="D17" s="2"/>
      <c r="E17" s="2"/>
      <c r="F17" s="13">
        <v>135.20786000000001</v>
      </c>
      <c r="G17" s="2">
        <v>139.25575000000001</v>
      </c>
      <c r="H17" s="2">
        <f t="shared" si="0"/>
        <v>4.0478899999999953</v>
      </c>
      <c r="I17" s="2">
        <f t="shared" si="1"/>
        <v>8.6240799999999922</v>
      </c>
      <c r="J17" s="2">
        <f t="shared" si="2"/>
        <v>0.31943652013065049</v>
      </c>
      <c r="K17" s="2">
        <f t="shared" si="3"/>
        <v>0.68056347986934951</v>
      </c>
      <c r="L17" s="2">
        <f t="shared" si="4"/>
        <v>0.24704228622813396</v>
      </c>
      <c r="M17" s="2">
        <f t="shared" si="5"/>
        <v>7.8914328237835243E-2</v>
      </c>
      <c r="N17" s="2">
        <f t="shared" si="6"/>
        <v>12.671969999999988</v>
      </c>
      <c r="O17" s="13">
        <v>22</v>
      </c>
      <c r="P17">
        <f t="shared" si="7"/>
        <v>5.4349302970189468</v>
      </c>
      <c r="Y17" s="13">
        <v>108.48882999999999</v>
      </c>
      <c r="Z17" s="2">
        <v>112.61286</v>
      </c>
      <c r="AA17" s="2">
        <f t="shared" si="8"/>
        <v>4.1240300000000047</v>
      </c>
      <c r="AB17" s="2">
        <f t="shared" si="9"/>
        <v>4.0378100000000074</v>
      </c>
      <c r="AC17" s="2">
        <f t="shared" si="10"/>
        <v>0.50528189721925432</v>
      </c>
      <c r="AD17" s="2">
        <f t="shared" si="11"/>
        <v>0.49471810278074568</v>
      </c>
      <c r="AE17" s="2">
        <f t="shared" si="12"/>
        <v>0.24248126226045855</v>
      </c>
      <c r="AF17" s="2">
        <f t="shared" si="13"/>
        <v>0.12252139223508406</v>
      </c>
      <c r="AG17" s="2">
        <f t="shared" si="14"/>
        <v>8.1618400000000122</v>
      </c>
      <c r="AH17" s="2">
        <v>26</v>
      </c>
      <c r="AI17">
        <f t="shared" si="15"/>
        <v>6.3045128187719222</v>
      </c>
    </row>
    <row r="18" spans="2:37" x14ac:dyDescent="0.35">
      <c r="B18" s="2"/>
      <c r="C18" s="2"/>
      <c r="D18" s="2"/>
      <c r="E18" s="2"/>
      <c r="F18" s="13">
        <v>147.87983</v>
      </c>
      <c r="G18" s="2">
        <v>150.73429999999999</v>
      </c>
      <c r="H18" s="2">
        <f t="shared" si="0"/>
        <v>2.8544699999999921</v>
      </c>
      <c r="I18" s="2">
        <f t="shared" si="1"/>
        <v>11.956180000000018</v>
      </c>
      <c r="J18" s="2">
        <f t="shared" si="2"/>
        <v>0.19273090647608243</v>
      </c>
      <c r="K18" s="2">
        <f t="shared" si="3"/>
        <v>0.80726909352391762</v>
      </c>
      <c r="L18" s="2">
        <f t="shared" si="4"/>
        <v>0.35032773159290614</v>
      </c>
      <c r="M18" s="2">
        <f t="shared" si="5"/>
        <v>6.7518981273610501E-2</v>
      </c>
      <c r="N18" s="2">
        <f t="shared" si="6"/>
        <v>14.81065000000001</v>
      </c>
      <c r="O18" s="13">
        <v>17</v>
      </c>
      <c r="P18">
        <f t="shared" si="7"/>
        <v>5.9555714370794046</v>
      </c>
      <c r="Y18" s="13">
        <v>116.65067000000001</v>
      </c>
      <c r="Z18" s="2">
        <v>119.91295</v>
      </c>
      <c r="AA18" s="2">
        <f t="shared" si="8"/>
        <v>3.2622799999999899</v>
      </c>
      <c r="AB18" s="2">
        <f t="shared" si="9"/>
        <v>5.6383200000000073</v>
      </c>
      <c r="AC18" s="2">
        <f t="shared" si="10"/>
        <v>0.36652360515021359</v>
      </c>
      <c r="AD18" s="2">
        <f t="shared" si="11"/>
        <v>0.63347639484978646</v>
      </c>
      <c r="AE18" s="2">
        <f t="shared" si="12"/>
        <v>0.30653408045906638</v>
      </c>
      <c r="AF18" s="2">
        <f t="shared" si="13"/>
        <v>0.11235197627126264</v>
      </c>
      <c r="AG18" s="2">
        <f t="shared" si="14"/>
        <v>8.9005999999999972</v>
      </c>
      <c r="AH18" s="2">
        <v>24</v>
      </c>
      <c r="AI18">
        <f t="shared" si="15"/>
        <v>7.3568179310175932</v>
      </c>
    </row>
    <row r="19" spans="2:37" x14ac:dyDescent="0.35">
      <c r="B19" s="2"/>
      <c r="C19" s="2"/>
      <c r="D19" s="2"/>
      <c r="E19" s="2"/>
      <c r="F19" s="13">
        <v>162.69048000000001</v>
      </c>
      <c r="G19" s="2">
        <v>166.20886999999999</v>
      </c>
      <c r="H19" s="2">
        <f t="shared" si="0"/>
        <v>3.5183899999999824</v>
      </c>
      <c r="I19" s="2">
        <f t="shared" si="1"/>
        <v>9.2219100000000083</v>
      </c>
      <c r="J19" s="2">
        <f t="shared" si="2"/>
        <v>0.27616225677574191</v>
      </c>
      <c r="K19" s="2">
        <f t="shared" si="3"/>
        <v>0.72383774322425809</v>
      </c>
      <c r="L19" s="2">
        <f t="shared" si="4"/>
        <v>0.2842209078584253</v>
      </c>
      <c r="M19" s="2">
        <f t="shared" si="5"/>
        <v>7.8491087337032944E-2</v>
      </c>
      <c r="N19" s="2">
        <f t="shared" si="6"/>
        <v>12.740299999999991</v>
      </c>
      <c r="O19" s="13">
        <v>19</v>
      </c>
      <c r="P19">
        <f t="shared" si="7"/>
        <v>5.4001972493100805</v>
      </c>
      <c r="Y19" s="13">
        <v>125.55127</v>
      </c>
      <c r="Z19" s="2">
        <v>131.21054000000001</v>
      </c>
      <c r="AA19" s="2">
        <f t="shared" si="8"/>
        <v>5.6592700000000065</v>
      </c>
      <c r="AB19" s="2">
        <f t="shared" si="9"/>
        <v>4.889269999999982</v>
      </c>
      <c r="AC19" s="2">
        <f t="shared" si="10"/>
        <v>0.53649794189527766</v>
      </c>
      <c r="AD19" s="2">
        <f t="shared" si="11"/>
        <v>0.46350205810472228</v>
      </c>
      <c r="AE19" s="2">
        <f t="shared" si="12"/>
        <v>0.1767012353183359</v>
      </c>
      <c r="AF19" s="2">
        <f t="shared" si="13"/>
        <v>9.4799849078640364E-2</v>
      </c>
      <c r="AG19" s="2">
        <f t="shared" si="14"/>
        <v>10.548539999999988</v>
      </c>
      <c r="AH19" s="2">
        <v>39</v>
      </c>
      <c r="AI19">
        <f t="shared" si="15"/>
        <v>6.8913481774151002</v>
      </c>
      <c r="AK19" t="s">
        <v>423</v>
      </c>
    </row>
    <row r="20" spans="2:37" x14ac:dyDescent="0.35">
      <c r="B20" s="2"/>
      <c r="C20" s="2"/>
      <c r="D20" s="2"/>
      <c r="E20" s="2"/>
      <c r="F20" s="13">
        <v>175.43078</v>
      </c>
      <c r="G20" s="2">
        <v>178.38168999999999</v>
      </c>
      <c r="H20" s="2">
        <f t="shared" si="0"/>
        <v>2.9509099999999933</v>
      </c>
      <c r="I20" s="2">
        <f t="shared" si="1"/>
        <v>10.078480000000013</v>
      </c>
      <c r="J20" s="2">
        <f t="shared" si="2"/>
        <v>0.22648105552140138</v>
      </c>
      <c r="K20" s="2">
        <f t="shared" si="3"/>
        <v>0.77351894447859859</v>
      </c>
      <c r="L20" s="2">
        <f t="shared" si="4"/>
        <v>0.33887851544100034</v>
      </c>
      <c r="M20" s="2">
        <f t="shared" si="5"/>
        <v>7.6749563870603263E-2</v>
      </c>
      <c r="N20" s="2">
        <f t="shared" si="6"/>
        <v>13.029390000000006</v>
      </c>
      <c r="O20" s="13">
        <v>17</v>
      </c>
      <c r="P20">
        <f t="shared" si="7"/>
        <v>5.7609347624970058</v>
      </c>
      <c r="Y20" s="13">
        <v>136.09980999999999</v>
      </c>
      <c r="Z20" s="2">
        <v>141.47211999999999</v>
      </c>
      <c r="AA20" s="2">
        <f t="shared" si="8"/>
        <v>5.3723099999999988</v>
      </c>
      <c r="AB20" s="2">
        <f t="shared" si="9"/>
        <v>5.2553000000000054</v>
      </c>
      <c r="AC20" s="2">
        <f t="shared" si="10"/>
        <v>0.50550500065395665</v>
      </c>
      <c r="AD20" s="2">
        <f t="shared" si="11"/>
        <v>0.4944949993460433</v>
      </c>
      <c r="AE20" s="2">
        <f t="shared" si="12"/>
        <v>0.18613966803851606</v>
      </c>
      <c r="AF20" s="2">
        <f t="shared" si="13"/>
        <v>9.4094533013537346E-2</v>
      </c>
      <c r="AG20" s="2">
        <f t="shared" si="14"/>
        <v>10.627610000000004</v>
      </c>
      <c r="AH20" s="2">
        <v>37</v>
      </c>
      <c r="AI20">
        <f t="shared" si="15"/>
        <v>6.8871677174250943</v>
      </c>
    </row>
    <row r="21" spans="2:37" x14ac:dyDescent="0.35">
      <c r="B21" s="2"/>
      <c r="C21" s="2"/>
      <c r="D21" s="2"/>
      <c r="E21" s="2"/>
      <c r="F21" s="13">
        <v>188.46017000000001</v>
      </c>
      <c r="G21" s="2">
        <v>192.07149999999999</v>
      </c>
      <c r="H21" s="2">
        <f t="shared" si="0"/>
        <v>3.6113299999999811</v>
      </c>
      <c r="I21" s="2">
        <f t="shared" si="1"/>
        <v>16.87321</v>
      </c>
      <c r="J21" s="2">
        <f t="shared" si="2"/>
        <v>0.17629539154894297</v>
      </c>
      <c r="K21" s="2">
        <f t="shared" si="3"/>
        <v>0.82370460845105697</v>
      </c>
      <c r="L21" s="2">
        <f t="shared" si="4"/>
        <v>0.27690629214167778</v>
      </c>
      <c r="M21" s="2">
        <f t="shared" si="5"/>
        <v>4.8817303195483081E-2</v>
      </c>
      <c r="N21" s="2">
        <f t="shared" si="6"/>
        <v>20.484539999999981</v>
      </c>
      <c r="O21" s="13">
        <v>19</v>
      </c>
      <c r="P21">
        <f t="shared" si="7"/>
        <v>5.2612195506918784</v>
      </c>
      <c r="Y21" s="13">
        <v>146.72742</v>
      </c>
      <c r="Z21" s="2">
        <v>152.54685000000001</v>
      </c>
      <c r="AA21" s="2">
        <f t="shared" si="8"/>
        <v>5.8194300000000112</v>
      </c>
      <c r="AB21" s="2">
        <f t="shared" si="9"/>
        <v>5.1906599999999798</v>
      </c>
      <c r="AC21" s="2">
        <f t="shared" si="10"/>
        <v>0.52855426249921811</v>
      </c>
      <c r="AD21" s="2">
        <f t="shared" si="11"/>
        <v>0.47144573750078195</v>
      </c>
      <c r="AE21" s="2">
        <f t="shared" si="12"/>
        <v>0.17183813535002537</v>
      </c>
      <c r="AF21" s="2">
        <f t="shared" si="13"/>
        <v>9.0825778899173468E-2</v>
      </c>
      <c r="AG21" s="2">
        <f t="shared" si="14"/>
        <v>11.010089999999991</v>
      </c>
      <c r="AH21" s="2">
        <v>38</v>
      </c>
      <c r="AI21">
        <f t="shared" si="15"/>
        <v>6.5298491433009636</v>
      </c>
    </row>
    <row r="22" spans="2:37" x14ac:dyDescent="0.35">
      <c r="B22" s="2"/>
      <c r="C22" s="2"/>
      <c r="D22" s="2"/>
      <c r="E22" s="2"/>
      <c r="F22" s="13">
        <v>208.94470999999999</v>
      </c>
      <c r="G22" s="2">
        <v>212.49732</v>
      </c>
      <c r="H22" s="2">
        <f t="shared" si="0"/>
        <v>3.5526100000000156</v>
      </c>
      <c r="I22" s="2">
        <f t="shared" si="1"/>
        <v>8.5182900000000075</v>
      </c>
      <c r="J22" s="2">
        <f t="shared" si="2"/>
        <v>0.29431194028614344</v>
      </c>
      <c r="K22" s="2">
        <f t="shared" si="3"/>
        <v>0.70568805971385662</v>
      </c>
      <c r="L22" s="2">
        <f t="shared" si="4"/>
        <v>0.28148319123123439</v>
      </c>
      <c r="M22" s="2">
        <f t="shared" si="5"/>
        <v>8.2843864169200143E-2</v>
      </c>
      <c r="N22" s="2">
        <f t="shared" si="6"/>
        <v>12.070900000000023</v>
      </c>
      <c r="O22" s="13">
        <v>19</v>
      </c>
      <c r="P22">
        <f t="shared" si="7"/>
        <v>5.3481806333934534</v>
      </c>
      <c r="Y22" s="13">
        <v>157.73750999999999</v>
      </c>
      <c r="Z22" s="2">
        <v>163.11749</v>
      </c>
      <c r="AA22" s="2">
        <f t="shared" si="8"/>
        <v>5.3799800000000175</v>
      </c>
      <c r="AB22" s="2">
        <f t="shared" si="9"/>
        <v>5.6428899999999942</v>
      </c>
      <c r="AC22" s="2">
        <f t="shared" si="10"/>
        <v>0.4880743399858668</v>
      </c>
      <c r="AD22" s="2">
        <f t="shared" si="11"/>
        <v>0.5119256600141332</v>
      </c>
      <c r="AE22" s="2">
        <f t="shared" si="12"/>
        <v>0.18587429693047125</v>
      </c>
      <c r="AF22" s="2">
        <f t="shared" si="13"/>
        <v>9.0720474794676792E-2</v>
      </c>
      <c r="AG22" s="2">
        <f t="shared" si="14"/>
        <v>11.022870000000012</v>
      </c>
      <c r="AH22" s="2">
        <v>36</v>
      </c>
      <c r="AI22">
        <f t="shared" si="15"/>
        <v>6.6914746894969648</v>
      </c>
    </row>
    <row r="23" spans="2:37" x14ac:dyDescent="0.35">
      <c r="B23" s="2"/>
      <c r="C23" s="2"/>
      <c r="D23" s="2"/>
      <c r="E23" s="2"/>
      <c r="F23" s="13">
        <v>221.01561000000001</v>
      </c>
      <c r="G23" s="13">
        <v>224.96426</v>
      </c>
      <c r="H23" s="2">
        <f t="shared" si="0"/>
        <v>3.9486499999999864</v>
      </c>
      <c r="I23" s="2">
        <f t="shared" si="1"/>
        <v>12.626599999999996</v>
      </c>
      <c r="J23" s="2">
        <f t="shared" si="2"/>
        <v>0.23822566778781559</v>
      </c>
      <c r="K23" s="2">
        <f t="shared" si="3"/>
        <v>0.76177433221218438</v>
      </c>
      <c r="L23" s="2">
        <f t="shared" si="4"/>
        <v>0.25325111113925097</v>
      </c>
      <c r="M23" s="2">
        <f t="shared" si="5"/>
        <v>6.0330915069154376E-2</v>
      </c>
      <c r="N23" s="2">
        <f t="shared" si="6"/>
        <v>16.575249999999983</v>
      </c>
      <c r="O23" s="2">
        <v>20</v>
      </c>
      <c r="P23">
        <f t="shared" si="7"/>
        <v>5.0650222227850197</v>
      </c>
      <c r="Y23" s="13">
        <v>168.76038</v>
      </c>
      <c r="Z23" s="13">
        <v>174.46896000000001</v>
      </c>
      <c r="AA23" s="2">
        <f t="shared" si="8"/>
        <v>5.708580000000012</v>
      </c>
      <c r="AB23" s="2">
        <f t="shared" si="9"/>
        <v>5.1267699999999934</v>
      </c>
      <c r="AC23" s="2">
        <f t="shared" si="10"/>
        <v>0.5268477714148605</v>
      </c>
      <c r="AD23" s="2">
        <f t="shared" si="11"/>
        <v>0.47315222858513944</v>
      </c>
      <c r="AE23" s="2">
        <f t="shared" si="12"/>
        <v>0.17517491214978118</v>
      </c>
      <c r="AF23" s="2">
        <f t="shared" si="13"/>
        <v>9.2290512073906192E-2</v>
      </c>
      <c r="AG23" s="2">
        <f t="shared" si="14"/>
        <v>10.835350000000005</v>
      </c>
      <c r="AH23" s="2">
        <v>38</v>
      </c>
      <c r="AI23">
        <f t="shared" si="15"/>
        <v>6.6566466616916848</v>
      </c>
    </row>
    <row r="24" spans="2:37" x14ac:dyDescent="0.35">
      <c r="B24" s="2"/>
      <c r="C24" s="2"/>
      <c r="D24" s="2"/>
      <c r="E24" s="2"/>
      <c r="F24" s="13">
        <v>237.59085999999999</v>
      </c>
      <c r="G24" s="13">
        <v>239.99207999999999</v>
      </c>
      <c r="H24" s="2">
        <f t="shared" si="0"/>
        <v>2.401219999999995</v>
      </c>
      <c r="I24" s="2"/>
      <c r="J24" s="2"/>
      <c r="K24" s="2"/>
      <c r="L24" s="2"/>
      <c r="M24" s="2"/>
      <c r="N24" s="2"/>
      <c r="O24" s="2"/>
      <c r="Y24" s="13">
        <v>179.59573</v>
      </c>
      <c r="Z24" s="13">
        <v>183.89080000000001</v>
      </c>
      <c r="AA24" s="2">
        <f t="shared" si="8"/>
        <v>4.2950700000000097</v>
      </c>
      <c r="AB24" s="2">
        <f t="shared" si="9"/>
        <v>5.140059999999977</v>
      </c>
      <c r="AC24" s="2">
        <f t="shared" si="10"/>
        <v>0.45522107273561846</v>
      </c>
      <c r="AD24" s="2">
        <f t="shared" si="11"/>
        <v>0.5447789272643816</v>
      </c>
      <c r="AE24" s="2">
        <f t="shared" si="12"/>
        <v>0.23282507619200565</v>
      </c>
      <c r="AF24" s="2">
        <f t="shared" si="13"/>
        <v>0.10598688094387691</v>
      </c>
      <c r="AG24" s="2">
        <f t="shared" si="14"/>
        <v>9.4351299999999867</v>
      </c>
      <c r="AH24" s="2">
        <v>29</v>
      </c>
      <c r="AI24">
        <f t="shared" si="15"/>
        <v>6.7519272095681639</v>
      </c>
    </row>
    <row r="25" spans="2:37" x14ac:dyDescent="0.35">
      <c r="B25" s="2"/>
      <c r="C25" s="2"/>
      <c r="D25" s="2"/>
      <c r="E25" s="2"/>
      <c r="F25" s="13"/>
      <c r="Y25" s="13">
        <v>189.03085999999999</v>
      </c>
      <c r="Z25">
        <v>194.65588</v>
      </c>
      <c r="AA25" s="2">
        <f t="shared" si="8"/>
        <v>5.6250200000000063</v>
      </c>
      <c r="AB25" s="2">
        <f t="shared" si="9"/>
        <v>3.7591700000000117</v>
      </c>
      <c r="AC25" s="2">
        <f t="shared" si="10"/>
        <v>0.59941454723316512</v>
      </c>
      <c r="AD25" s="2">
        <f t="shared" si="11"/>
        <v>0.40058545276683488</v>
      </c>
      <c r="AE25" s="2">
        <f t="shared" si="12"/>
        <v>0.1777771456812596</v>
      </c>
      <c r="AF25" s="2">
        <f t="shared" si="13"/>
        <v>0.10656220728693666</v>
      </c>
      <c r="AG25" s="2">
        <f t="shared" si="14"/>
        <v>9.384190000000018</v>
      </c>
      <c r="AH25" s="2">
        <v>39</v>
      </c>
      <c r="AI25">
        <f t="shared" si="15"/>
        <v>6.9333086815691241</v>
      </c>
    </row>
    <row r="26" spans="2:37" ht="16" thickBot="1" x14ac:dyDescent="0.4">
      <c r="B26" s="2"/>
      <c r="C26" s="2"/>
      <c r="D26" s="2"/>
      <c r="E26" s="2"/>
      <c r="F26" s="13"/>
      <c r="G26" s="13"/>
      <c r="H26" s="9" t="s">
        <v>3</v>
      </c>
      <c r="I26" s="9" t="s">
        <v>4</v>
      </c>
      <c r="J26" s="9" t="s">
        <v>5</v>
      </c>
      <c r="K26" s="9" t="s">
        <v>6</v>
      </c>
      <c r="L26" s="9" t="s">
        <v>7</v>
      </c>
      <c r="M26" s="9" t="s">
        <v>8</v>
      </c>
      <c r="N26" s="9" t="s">
        <v>9</v>
      </c>
      <c r="O26" s="9" t="s">
        <v>10</v>
      </c>
      <c r="P26" s="44" t="s">
        <v>139</v>
      </c>
      <c r="Y26" s="13">
        <v>198.41505000000001</v>
      </c>
      <c r="Z26">
        <v>203.57570000000001</v>
      </c>
      <c r="AA26" s="2">
        <f t="shared" si="8"/>
        <v>5.160650000000004</v>
      </c>
      <c r="AB26" s="2">
        <f t="shared" si="9"/>
        <v>4.3097999999999956</v>
      </c>
      <c r="AC26" s="2">
        <f t="shared" si="10"/>
        <v>0.54492130785759962</v>
      </c>
      <c r="AD26" s="2">
        <f t="shared" si="11"/>
        <v>0.45507869214240038</v>
      </c>
      <c r="AE26" s="2">
        <f t="shared" si="12"/>
        <v>0.19377404009184876</v>
      </c>
      <c r="AF26" s="2">
        <f t="shared" si="13"/>
        <v>0.10559160335570116</v>
      </c>
      <c r="AG26" s="2">
        <f t="shared" si="14"/>
        <v>9.4704499999999996</v>
      </c>
      <c r="AH26" s="2">
        <v>33</v>
      </c>
      <c r="AI26">
        <f t="shared" si="15"/>
        <v>6.3945433230310087</v>
      </c>
    </row>
    <row r="27" spans="2:37" x14ac:dyDescent="0.35">
      <c r="B27" s="2"/>
      <c r="C27" s="2"/>
      <c r="D27" s="2"/>
      <c r="E27" s="2"/>
      <c r="F27" s="13"/>
      <c r="G27" s="49" t="s">
        <v>77</v>
      </c>
      <c r="H27" s="13">
        <f>AVERAGE(H7:H23)</f>
        <v>3.5633499999999962</v>
      </c>
      <c r="I27" s="13">
        <f t="shared" ref="I27:P27" si="16">AVERAGE(I7:I23)</f>
        <v>9.9186158823529436</v>
      </c>
      <c r="J27" s="13">
        <f t="shared" si="16"/>
        <v>0.27274233798974956</v>
      </c>
      <c r="K27" s="13">
        <f t="shared" si="16"/>
        <v>0.72725766201025044</v>
      </c>
      <c r="L27" s="13">
        <f t="shared" si="16"/>
        <v>0.28546720116038266</v>
      </c>
      <c r="M27" s="13">
        <f t="shared" si="16"/>
        <v>7.7527498522937499E-2</v>
      </c>
      <c r="N27" s="13">
        <f t="shared" si="16"/>
        <v>13.481965882352942</v>
      </c>
      <c r="O27" s="13">
        <f t="shared" si="16"/>
        <v>19</v>
      </c>
      <c r="P27" s="13">
        <f t="shared" si="16"/>
        <v>5.3417552091416232</v>
      </c>
      <c r="Y27" s="13">
        <v>207.88550000000001</v>
      </c>
      <c r="Z27">
        <v>213.75217000000001</v>
      </c>
      <c r="AA27" s="2">
        <f t="shared" si="8"/>
        <v>5.8666699999999992</v>
      </c>
      <c r="AB27" s="2">
        <f t="shared" si="9"/>
        <v>4.8299599999999998</v>
      </c>
      <c r="AC27" s="2">
        <f t="shared" si="10"/>
        <v>0.54845965505023542</v>
      </c>
      <c r="AD27" s="2">
        <f t="shared" si="11"/>
        <v>0.45154034494976458</v>
      </c>
      <c r="AE27" s="2">
        <f t="shared" si="12"/>
        <v>0.17045444860542694</v>
      </c>
      <c r="AF27" s="2">
        <f t="shared" si="13"/>
        <v>9.348738808391055E-2</v>
      </c>
      <c r="AG27" s="2">
        <f t="shared" si="14"/>
        <v>10.696629999999999</v>
      </c>
      <c r="AH27" s="2">
        <v>41</v>
      </c>
      <c r="AI27">
        <f t="shared" si="15"/>
        <v>6.9886323928225051</v>
      </c>
    </row>
    <row r="28" spans="2:37" x14ac:dyDescent="0.35">
      <c r="B28" s="2"/>
      <c r="C28" s="2"/>
      <c r="D28" s="2"/>
      <c r="E28" s="2"/>
      <c r="F28" s="13"/>
      <c r="G28" s="49" t="s">
        <v>94</v>
      </c>
      <c r="H28" s="2">
        <f>_xlfn.STDEV.S(H7:H23)</f>
        <v>0.45780483633858571</v>
      </c>
      <c r="I28" s="2">
        <f t="shared" ref="I28:P28" si="17">_xlfn.STDEV.S(I7:I23)</f>
        <v>2.9484955602096004</v>
      </c>
      <c r="J28" s="2">
        <f t="shared" si="17"/>
        <v>4.8581289760748693E-2</v>
      </c>
      <c r="K28" s="2">
        <f t="shared" si="17"/>
        <v>4.8581289760748665E-2</v>
      </c>
      <c r="L28" s="2">
        <f t="shared" si="17"/>
        <v>4.032181614862148E-2</v>
      </c>
      <c r="M28" s="2">
        <f t="shared" si="17"/>
        <v>1.5729107169284738E-2</v>
      </c>
      <c r="N28" s="2">
        <f t="shared" si="17"/>
        <v>3.1334454390655542</v>
      </c>
      <c r="O28" s="2">
        <f t="shared" si="17"/>
        <v>2.3452078799117149</v>
      </c>
      <c r="P28" s="2">
        <f t="shared" si="17"/>
        <v>0.28708531307356522</v>
      </c>
      <c r="Y28" s="13">
        <v>218.58213000000001</v>
      </c>
      <c r="Z28">
        <v>224.14309</v>
      </c>
      <c r="AA28" s="2">
        <f t="shared" si="8"/>
        <v>5.5609599999999944</v>
      </c>
      <c r="AB28" s="2">
        <f t="shared" si="9"/>
        <v>5.2110600000000034</v>
      </c>
      <c r="AC28" s="2">
        <f t="shared" si="10"/>
        <v>0.51624115068482934</v>
      </c>
      <c r="AD28" s="2">
        <f t="shared" si="11"/>
        <v>0.48375884931517066</v>
      </c>
      <c r="AE28" s="2">
        <f t="shared" si="12"/>
        <v>0.17982506617562455</v>
      </c>
      <c r="AF28" s="2">
        <f t="shared" si="13"/>
        <v>9.2833099084479995E-2</v>
      </c>
      <c r="AG28" s="2">
        <f t="shared" si="14"/>
        <v>10.772019999999998</v>
      </c>
      <c r="AH28" s="2">
        <v>38</v>
      </c>
      <c r="AI28">
        <f t="shared" si="15"/>
        <v>6.8333525146737326</v>
      </c>
    </row>
    <row r="29" spans="2:37" x14ac:dyDescent="0.35">
      <c r="B29" s="2"/>
      <c r="C29" s="2"/>
      <c r="D29" s="2"/>
      <c r="E29" s="2"/>
      <c r="F29" s="13"/>
      <c r="G29" s="49" t="s">
        <v>95</v>
      </c>
      <c r="H29" s="2">
        <f>H28/(SQRT(COUNT(H7:H23)))</f>
        <v>0.11103398212603501</v>
      </c>
      <c r="I29" s="2">
        <f t="shared" ref="I29:P29" si="18">I28/(SQRT(COUNT(I7:I23)))</f>
        <v>0.71511521361228814</v>
      </c>
      <c r="J29" s="2">
        <f t="shared" si="18"/>
        <v>1.1782693477194387E-2</v>
      </c>
      <c r="K29" s="2">
        <f t="shared" si="18"/>
        <v>1.178269347719438E-2</v>
      </c>
      <c r="L29" s="2">
        <f t="shared" si="18"/>
        <v>9.7794768822060153E-3</v>
      </c>
      <c r="M29" s="2">
        <f t="shared" si="18"/>
        <v>3.8148688385659401E-3</v>
      </c>
      <c r="N29" s="2">
        <f t="shared" si="18"/>
        <v>0.75997214808101099</v>
      </c>
      <c r="O29" s="2">
        <f t="shared" si="18"/>
        <v>0.56879645899452103</v>
      </c>
      <c r="P29" s="2">
        <f t="shared" si="18"/>
        <v>6.9628415845048475E-2</v>
      </c>
      <c r="Y29" s="13">
        <v>229.35415</v>
      </c>
      <c r="Z29">
        <v>235.15878000000001</v>
      </c>
      <c r="AA29" s="2">
        <f t="shared" si="8"/>
        <v>5.8046300000000031</v>
      </c>
      <c r="AB29" s="2"/>
      <c r="AC29" s="2"/>
      <c r="AD29" s="2"/>
      <c r="AE29" s="2"/>
      <c r="AF29" s="2"/>
      <c r="AG29" s="2"/>
      <c r="AH29" s="2"/>
    </row>
    <row r="30" spans="2:37" x14ac:dyDescent="0.35">
      <c r="B30" s="2"/>
      <c r="C30" s="2"/>
      <c r="D30" s="2"/>
      <c r="E30" s="2"/>
      <c r="F30" s="13"/>
      <c r="G30" s="13"/>
      <c r="H30" s="2"/>
      <c r="I30" s="2"/>
      <c r="J30" s="2"/>
      <c r="K30" s="2"/>
      <c r="L30" s="2"/>
      <c r="M30" s="2"/>
      <c r="N30" s="2"/>
      <c r="O30" s="2"/>
    </row>
    <row r="31" spans="2:37" ht="16" thickBot="1" x14ac:dyDescent="0.4">
      <c r="Z31" s="13"/>
      <c r="AA31" s="9" t="s">
        <v>3</v>
      </c>
      <c r="AB31" s="9" t="s">
        <v>4</v>
      </c>
      <c r="AC31" s="9" t="s">
        <v>5</v>
      </c>
      <c r="AD31" s="9" t="s">
        <v>6</v>
      </c>
      <c r="AE31" s="9" t="s">
        <v>7</v>
      </c>
      <c r="AF31" s="9" t="s">
        <v>8</v>
      </c>
      <c r="AG31" s="9" t="s">
        <v>9</v>
      </c>
      <c r="AH31" s="9" t="s">
        <v>10</v>
      </c>
      <c r="AI31" s="44" t="s">
        <v>139</v>
      </c>
    </row>
    <row r="32" spans="2:37" x14ac:dyDescent="0.35">
      <c r="Z32" s="49" t="s">
        <v>77</v>
      </c>
      <c r="AA32" s="13">
        <f>AVERAGE(AA7:AA28)</f>
        <v>4.9404736363636399</v>
      </c>
      <c r="AB32" s="13">
        <f t="shared" ref="AB32:AI32" si="19">AVERAGE(AB7:AB28)</f>
        <v>5.2713772727272703</v>
      </c>
      <c r="AC32" s="13">
        <f t="shared" si="19"/>
        <v>0.48494001126440728</v>
      </c>
      <c r="AD32" s="13">
        <f t="shared" si="19"/>
        <v>0.51505998873559278</v>
      </c>
      <c r="AE32" s="13">
        <f t="shared" si="19"/>
        <v>0.20738931417722559</v>
      </c>
      <c r="AF32" s="13">
        <f t="shared" si="19"/>
        <v>9.9255497989418379E-2</v>
      </c>
      <c r="AG32" s="13">
        <f t="shared" si="19"/>
        <v>10.211850909090909</v>
      </c>
      <c r="AH32" s="13">
        <f t="shared" si="19"/>
        <v>32.590909090909093</v>
      </c>
      <c r="AI32" s="13">
        <f t="shared" si="19"/>
        <v>6.5976017845281065</v>
      </c>
    </row>
    <row r="33" spans="4:37" x14ac:dyDescent="0.35">
      <c r="Z33" s="49" t="s">
        <v>94</v>
      </c>
      <c r="AA33" s="2">
        <f>_xlfn.STDEV.S(AA7:AA28)</f>
        <v>0.73344998122406313</v>
      </c>
      <c r="AB33" s="2">
        <f t="shared" ref="AB33:AI33" si="20">_xlfn.STDEV.S(AB7:AB28)</f>
        <v>0.94988584111175378</v>
      </c>
      <c r="AC33" s="2">
        <f t="shared" si="20"/>
        <v>5.8501720606969503E-2</v>
      </c>
      <c r="AD33" s="2">
        <f t="shared" si="20"/>
        <v>5.8501720606969142E-2</v>
      </c>
      <c r="AE33" s="2">
        <f t="shared" si="20"/>
        <v>3.5659628653075578E-2</v>
      </c>
      <c r="AF33" s="2">
        <f t="shared" si="20"/>
        <v>1.2330510908798668E-2</v>
      </c>
      <c r="AG33" s="2">
        <f t="shared" si="20"/>
        <v>1.1621727033691269</v>
      </c>
      <c r="AH33" s="2">
        <f t="shared" si="20"/>
        <v>5.306412032438546</v>
      </c>
      <c r="AI33" s="2">
        <f t="shared" si="20"/>
        <v>0.37770938226394674</v>
      </c>
    </row>
    <row r="34" spans="4:37" x14ac:dyDescent="0.35">
      <c r="Z34" s="49" t="s">
        <v>95</v>
      </c>
      <c r="AA34" s="2">
        <f>AA33/(SQRT(COUNT(AA7:AA28)))</f>
        <v>0.15637206140797927</v>
      </c>
      <c r="AB34" s="2">
        <f t="shared" ref="AB34:AI34" si="21">AB33/(SQRT(COUNT(AB7:AB28)))</f>
        <v>0.20251634178107744</v>
      </c>
      <c r="AC34" s="2">
        <f t="shared" si="21"/>
        <v>1.2472608741441675E-2</v>
      </c>
      <c r="AD34" s="2">
        <f t="shared" si="21"/>
        <v>1.2472608741441597E-2</v>
      </c>
      <c r="AE34" s="2">
        <f t="shared" si="21"/>
        <v>7.6026583738107644E-3</v>
      </c>
      <c r="AF34" s="2">
        <f t="shared" si="21"/>
        <v>2.6288737587865448E-3</v>
      </c>
      <c r="AG34" s="2">
        <f t="shared" si="21"/>
        <v>0.2477760528872342</v>
      </c>
      <c r="AH34" s="2">
        <f t="shared" si="21"/>
        <v>1.1313308465939287</v>
      </c>
      <c r="AI34" s="2">
        <f t="shared" si="21"/>
        <v>8.0527910872908545E-2</v>
      </c>
    </row>
    <row r="36" spans="4:37" ht="18.5" x14ac:dyDescent="0.45">
      <c r="F36" s="1" t="s">
        <v>405</v>
      </c>
      <c r="G36" s="3"/>
      <c r="H36" s="3"/>
      <c r="I36" s="3"/>
      <c r="J36" s="3"/>
      <c r="K36" s="3"/>
      <c r="L36" s="3"/>
      <c r="M36" s="3"/>
      <c r="N36" s="3"/>
      <c r="O36" s="3"/>
      <c r="Y36" s="1" t="s">
        <v>405</v>
      </c>
      <c r="Z36" s="3"/>
      <c r="AA36" s="3"/>
      <c r="AB36" s="3"/>
      <c r="AC36" s="3"/>
      <c r="AD36" s="3"/>
      <c r="AE36" s="3"/>
      <c r="AF36" s="3"/>
      <c r="AG36" s="3"/>
      <c r="AH36" s="3"/>
    </row>
    <row r="37" spans="4:37" ht="16" thickBot="1" x14ac:dyDescent="0.4">
      <c r="D37" s="204" t="s">
        <v>406</v>
      </c>
      <c r="F37" s="9" t="s">
        <v>1</v>
      </c>
      <c r="G37" s="9" t="s">
        <v>2</v>
      </c>
      <c r="H37" s="9" t="s">
        <v>3</v>
      </c>
      <c r="I37" s="9" t="s">
        <v>4</v>
      </c>
      <c r="J37" s="9" t="s">
        <v>5</v>
      </c>
      <c r="K37" s="9" t="s">
        <v>6</v>
      </c>
      <c r="L37" s="9" t="s">
        <v>7</v>
      </c>
      <c r="M37" s="9" t="s">
        <v>8</v>
      </c>
      <c r="N37" s="9" t="s">
        <v>9</v>
      </c>
      <c r="O37" s="9" t="s">
        <v>10</v>
      </c>
      <c r="P37" s="44" t="s">
        <v>139</v>
      </c>
      <c r="R37" s="44" t="s">
        <v>138</v>
      </c>
      <c r="W37" s="204" t="s">
        <v>406</v>
      </c>
      <c r="Y37" s="9" t="s">
        <v>1</v>
      </c>
      <c r="Z37" s="9" t="s">
        <v>2</v>
      </c>
      <c r="AA37" s="9" t="s">
        <v>3</v>
      </c>
      <c r="AB37" s="9" t="s">
        <v>4</v>
      </c>
      <c r="AC37" s="9" t="s">
        <v>5</v>
      </c>
      <c r="AD37" s="9" t="s">
        <v>6</v>
      </c>
      <c r="AE37" s="9" t="s">
        <v>7</v>
      </c>
      <c r="AF37" s="9" t="s">
        <v>8</v>
      </c>
      <c r="AG37" s="9" t="s">
        <v>9</v>
      </c>
      <c r="AH37" s="9" t="s">
        <v>10</v>
      </c>
      <c r="AI37" s="44" t="s">
        <v>139</v>
      </c>
      <c r="AK37" s="44" t="s">
        <v>138</v>
      </c>
    </row>
    <row r="38" spans="4:37" x14ac:dyDescent="0.35">
      <c r="D38" s="155">
        <v>6</v>
      </c>
      <c r="F38" s="2">
        <v>8.5207200000000007</v>
      </c>
      <c r="G38" s="2">
        <v>11.55756</v>
      </c>
      <c r="H38" s="2">
        <f t="shared" ref="H38:H54" si="22">G38-F38</f>
        <v>3.0368399999999998</v>
      </c>
      <c r="I38" s="2">
        <f t="shared" ref="I38:I53" si="23">F39-G38</f>
        <v>12.331770000000001</v>
      </c>
      <c r="J38" s="2">
        <f>H38/N38</f>
        <v>0.19760017334033458</v>
      </c>
      <c r="K38" s="2">
        <f>I38/N38</f>
        <v>0.80239982665966536</v>
      </c>
      <c r="L38" s="2">
        <f>1/H38</f>
        <v>0.32928965635331464</v>
      </c>
      <c r="M38" s="2">
        <f>1/N38</f>
        <v>6.5067693174594182E-2</v>
      </c>
      <c r="N38" s="2">
        <f>H38+I38</f>
        <v>15.36861</v>
      </c>
      <c r="O38" s="2">
        <v>16</v>
      </c>
      <c r="P38">
        <f>O38/H38</f>
        <v>5.2686345016530343</v>
      </c>
      <c r="R38" t="s">
        <v>407</v>
      </c>
      <c r="W38" s="155">
        <v>-2</v>
      </c>
      <c r="Y38" s="2">
        <v>0.84860000000000002</v>
      </c>
      <c r="Z38" s="2">
        <v>6.4384199999999998</v>
      </c>
      <c r="AA38" s="2">
        <f t="shared" ref="AA38:AA61" si="24">Z38-Y38</f>
        <v>5.5898199999999996</v>
      </c>
      <c r="AB38" s="2">
        <f t="shared" ref="AB38:AB60" si="25">Y39-Z38</f>
        <v>7.0378499999999997</v>
      </c>
      <c r="AC38" s="2">
        <f t="shared" ref="AC38:AC60" si="26">AA38/AG38</f>
        <v>0.44266440285500019</v>
      </c>
      <c r="AD38" s="2">
        <f t="shared" ref="AD38:AD60" si="27">AB38/AG38</f>
        <v>0.55733559714499992</v>
      </c>
      <c r="AE38" s="2">
        <f t="shared" ref="AE38:AE60" si="28">1/AA38</f>
        <v>0.17889663710101578</v>
      </c>
      <c r="AF38" s="2">
        <f t="shared" ref="AF38:AF60" si="29">1/AG38</f>
        <v>7.9191173035088824E-2</v>
      </c>
      <c r="AG38" s="2">
        <f t="shared" ref="AG38:AG60" si="30">AA38+AB38</f>
        <v>12.627669999999998</v>
      </c>
      <c r="AH38" s="2">
        <v>37</v>
      </c>
      <c r="AI38">
        <f t="shared" ref="AI38:AI60" si="31">AH38/AA38</f>
        <v>6.6191755727375838</v>
      </c>
      <c r="AK38" t="s">
        <v>424</v>
      </c>
    </row>
    <row r="39" spans="4:37" x14ac:dyDescent="0.35">
      <c r="D39" s="155">
        <v>6</v>
      </c>
      <c r="F39" s="2">
        <v>23.889330000000001</v>
      </c>
      <c r="G39" s="2">
        <v>27.590319999999998</v>
      </c>
      <c r="H39" s="2">
        <f t="shared" si="22"/>
        <v>3.7009899999999973</v>
      </c>
      <c r="I39" s="2">
        <f t="shared" si="23"/>
        <v>17.419980000000002</v>
      </c>
      <c r="J39" s="2">
        <f t="shared" ref="J39:J53" si="32">H39/N39</f>
        <v>0.17522822105234737</v>
      </c>
      <c r="K39" s="2">
        <f t="shared" ref="K39:K53" si="33">I39/N39</f>
        <v>0.82477177894765263</v>
      </c>
      <c r="L39" s="2">
        <f t="shared" ref="L39:L53" si="34">1/H39</f>
        <v>0.27019797405559071</v>
      </c>
      <c r="M39" s="2">
        <f t="shared" ref="M39:M53" si="35">1/N39</f>
        <v>4.7346310325709476E-2</v>
      </c>
      <c r="N39" s="2">
        <f t="shared" ref="N39:N53" si="36">H39+I39</f>
        <v>21.12097</v>
      </c>
      <c r="O39" s="2">
        <v>19</v>
      </c>
      <c r="P39">
        <f t="shared" ref="P39:P53" si="37">O39/H39</f>
        <v>5.1337615070562235</v>
      </c>
      <c r="W39" s="155">
        <v>-2</v>
      </c>
      <c r="Y39" s="2">
        <v>13.47627</v>
      </c>
      <c r="Z39" s="2">
        <v>19.448820000000001</v>
      </c>
      <c r="AA39" s="2">
        <f t="shared" si="24"/>
        <v>5.9725500000000018</v>
      </c>
      <c r="AB39" s="2">
        <f t="shared" si="25"/>
        <v>5.4303699999999999</v>
      </c>
      <c r="AC39" s="2">
        <f t="shared" si="26"/>
        <v>0.52377373514854098</v>
      </c>
      <c r="AD39" s="2">
        <f t="shared" si="27"/>
        <v>0.47622626485145902</v>
      </c>
      <c r="AE39" s="2">
        <f t="shared" si="28"/>
        <v>0.16743267113711893</v>
      </c>
      <c r="AF39" s="2">
        <f t="shared" si="29"/>
        <v>8.7696835547386096E-2</v>
      </c>
      <c r="AG39" s="2">
        <f t="shared" si="30"/>
        <v>11.402920000000002</v>
      </c>
      <c r="AH39" s="2">
        <v>38</v>
      </c>
      <c r="AI39">
        <f t="shared" si="31"/>
        <v>6.3624415032105199</v>
      </c>
    </row>
    <row r="40" spans="4:37" x14ac:dyDescent="0.35">
      <c r="D40" s="155">
        <v>6</v>
      </c>
      <c r="F40" s="13">
        <v>45.010300000000001</v>
      </c>
      <c r="G40" s="2">
        <v>48.824280000000002</v>
      </c>
      <c r="H40" s="2">
        <f t="shared" si="22"/>
        <v>3.8139800000000008</v>
      </c>
      <c r="I40" s="2">
        <f t="shared" si="23"/>
        <v>6.4756</v>
      </c>
      <c r="J40" s="2">
        <f t="shared" si="32"/>
        <v>0.37066430311052545</v>
      </c>
      <c r="K40" s="2">
        <f t="shared" si="33"/>
        <v>0.62933569688947455</v>
      </c>
      <c r="L40" s="2">
        <f t="shared" si="34"/>
        <v>0.26219329938804076</v>
      </c>
      <c r="M40" s="2">
        <f t="shared" si="35"/>
        <v>9.7185696597917495E-2</v>
      </c>
      <c r="N40" s="2">
        <f t="shared" si="36"/>
        <v>10.289580000000001</v>
      </c>
      <c r="O40" s="2">
        <v>20</v>
      </c>
      <c r="P40">
        <f t="shared" si="37"/>
        <v>5.2438659877608158</v>
      </c>
      <c r="W40" s="155">
        <v>-2</v>
      </c>
      <c r="Y40" s="13">
        <v>24.879190000000001</v>
      </c>
      <c r="Z40" s="2">
        <v>28.956160000000001</v>
      </c>
      <c r="AA40" s="2">
        <f t="shared" si="24"/>
        <v>4.0769699999999993</v>
      </c>
      <c r="AB40" s="2">
        <f t="shared" si="25"/>
        <v>6.8557900000000025</v>
      </c>
      <c r="AC40" s="2">
        <f t="shared" si="26"/>
        <v>0.37291315276288867</v>
      </c>
      <c r="AD40" s="2">
        <f t="shared" si="27"/>
        <v>0.62708684723711139</v>
      </c>
      <c r="AE40" s="2">
        <f t="shared" si="28"/>
        <v>0.2452801958317084</v>
      </c>
      <c r="AF40" s="2">
        <f t="shared" si="29"/>
        <v>9.1468211137901115E-2</v>
      </c>
      <c r="AG40" s="2">
        <f t="shared" si="30"/>
        <v>10.932760000000002</v>
      </c>
      <c r="AH40" s="2">
        <v>39</v>
      </c>
      <c r="AI40">
        <f t="shared" si="31"/>
        <v>9.5659276374366282</v>
      </c>
    </row>
    <row r="41" spans="4:37" x14ac:dyDescent="0.35">
      <c r="D41" s="155">
        <v>6</v>
      </c>
      <c r="F41" s="13">
        <v>55.299880000000002</v>
      </c>
      <c r="G41" s="2">
        <v>59.389380000000003</v>
      </c>
      <c r="H41" s="2">
        <f t="shared" si="22"/>
        <v>4.089500000000001</v>
      </c>
      <c r="I41" s="2">
        <f t="shared" si="23"/>
        <v>11.158909999999992</v>
      </c>
      <c r="J41" s="2">
        <f t="shared" si="32"/>
        <v>0.26819189672890503</v>
      </c>
      <c r="K41" s="2">
        <f t="shared" si="33"/>
        <v>0.73180810327109491</v>
      </c>
      <c r="L41" s="2">
        <f t="shared" si="34"/>
        <v>0.24452867098667314</v>
      </c>
      <c r="M41" s="2">
        <f t="shared" si="35"/>
        <v>6.5580608076514238E-2</v>
      </c>
      <c r="N41" s="2">
        <f t="shared" si="36"/>
        <v>15.248409999999993</v>
      </c>
      <c r="O41" s="13">
        <v>20</v>
      </c>
      <c r="P41">
        <f t="shared" si="37"/>
        <v>4.8905734197334629</v>
      </c>
      <c r="W41" s="155">
        <v>-2</v>
      </c>
      <c r="Y41" s="13">
        <v>35.811950000000003</v>
      </c>
      <c r="Z41" s="2">
        <v>40.796250000000001</v>
      </c>
      <c r="AA41" s="2">
        <f t="shared" si="24"/>
        <v>4.9842999999999975</v>
      </c>
      <c r="AB41" s="2">
        <f t="shared" si="25"/>
        <v>4.8930799999999977</v>
      </c>
      <c r="AC41" s="2">
        <f t="shared" si="26"/>
        <v>0.50461762127203769</v>
      </c>
      <c r="AD41" s="2">
        <f t="shared" si="27"/>
        <v>0.49538237872796226</v>
      </c>
      <c r="AE41" s="2">
        <f t="shared" si="28"/>
        <v>0.20062997813133249</v>
      </c>
      <c r="AF41" s="2">
        <f t="shared" si="29"/>
        <v>0.10124142232049395</v>
      </c>
      <c r="AG41" s="2">
        <f t="shared" si="30"/>
        <v>9.8773799999999952</v>
      </c>
      <c r="AH41" s="2">
        <v>40</v>
      </c>
      <c r="AI41">
        <f t="shared" si="31"/>
        <v>8.0251991252532999</v>
      </c>
    </row>
    <row r="42" spans="4:37" x14ac:dyDescent="0.35">
      <c r="D42" s="155">
        <v>6</v>
      </c>
      <c r="F42" s="13">
        <v>70.548289999999994</v>
      </c>
      <c r="G42" s="2">
        <v>73.877279999999999</v>
      </c>
      <c r="H42" s="2">
        <f t="shared" si="22"/>
        <v>3.3289900000000046</v>
      </c>
      <c r="I42" s="2">
        <f t="shared" si="23"/>
        <v>8.8525900000000064</v>
      </c>
      <c r="J42" s="2">
        <f t="shared" si="32"/>
        <v>0.2732806417558315</v>
      </c>
      <c r="K42" s="2">
        <f t="shared" si="33"/>
        <v>0.72671935824416856</v>
      </c>
      <c r="L42" s="2">
        <f t="shared" si="34"/>
        <v>0.30039141000723901</v>
      </c>
      <c r="M42" s="2">
        <f t="shared" si="35"/>
        <v>8.2091157304717374E-2</v>
      </c>
      <c r="N42" s="2">
        <f t="shared" si="36"/>
        <v>12.181580000000011</v>
      </c>
      <c r="O42" s="13">
        <v>19</v>
      </c>
      <c r="P42">
        <f t="shared" si="37"/>
        <v>5.7074367901375416</v>
      </c>
      <c r="W42" s="155">
        <v>-2</v>
      </c>
      <c r="Y42" s="13">
        <v>45.689329999999998</v>
      </c>
      <c r="Z42" s="2">
        <v>50.424750000000003</v>
      </c>
      <c r="AA42" s="2">
        <f t="shared" si="24"/>
        <v>4.7354200000000048</v>
      </c>
      <c r="AB42" s="2">
        <f t="shared" si="25"/>
        <v>4.2995699999999957</v>
      </c>
      <c r="AC42" s="2">
        <f t="shared" si="26"/>
        <v>0.52412011524085855</v>
      </c>
      <c r="AD42" s="2">
        <f t="shared" si="27"/>
        <v>0.47587988475914145</v>
      </c>
      <c r="AE42" s="2">
        <f t="shared" si="28"/>
        <v>0.21117451039189744</v>
      </c>
      <c r="AF42" s="2">
        <f t="shared" si="29"/>
        <v>0.11068080872253316</v>
      </c>
      <c r="AG42" s="2">
        <f t="shared" si="30"/>
        <v>9.0349900000000005</v>
      </c>
      <c r="AH42" s="2">
        <v>41</v>
      </c>
      <c r="AI42">
        <f t="shared" si="31"/>
        <v>8.6581549260677946</v>
      </c>
    </row>
    <row r="43" spans="4:37" x14ac:dyDescent="0.35">
      <c r="D43" s="155">
        <v>6</v>
      </c>
      <c r="F43" s="13">
        <v>82.729870000000005</v>
      </c>
      <c r="G43" s="2">
        <v>86.149780000000007</v>
      </c>
      <c r="H43" s="2">
        <f t="shared" si="22"/>
        <v>3.4199100000000016</v>
      </c>
      <c r="I43" s="2">
        <f t="shared" si="23"/>
        <v>9.470249999999993</v>
      </c>
      <c r="J43" s="2">
        <f t="shared" si="32"/>
        <v>0.26531167960677005</v>
      </c>
      <c r="K43" s="2">
        <f t="shared" si="33"/>
        <v>0.73468832039322995</v>
      </c>
      <c r="L43" s="2">
        <f t="shared" si="34"/>
        <v>0.29240535569649478</v>
      </c>
      <c r="M43" s="2">
        <f t="shared" si="35"/>
        <v>7.7578556045852065E-2</v>
      </c>
      <c r="N43" s="2">
        <f t="shared" si="36"/>
        <v>12.890159999999995</v>
      </c>
      <c r="O43" s="13">
        <v>19</v>
      </c>
      <c r="P43">
        <f t="shared" si="37"/>
        <v>5.5557017582334014</v>
      </c>
      <c r="W43" s="155">
        <v>-2</v>
      </c>
      <c r="Y43" s="13">
        <v>54.724319999999999</v>
      </c>
      <c r="Z43" s="2">
        <v>60.726649999999999</v>
      </c>
      <c r="AA43" s="2">
        <f t="shared" si="24"/>
        <v>6.0023300000000006</v>
      </c>
      <c r="AB43" s="2">
        <f t="shared" si="25"/>
        <v>4.9525999999999968</v>
      </c>
      <c r="AC43" s="2">
        <f t="shared" si="26"/>
        <v>0.5479113056861159</v>
      </c>
      <c r="AD43" s="2">
        <f t="shared" si="27"/>
        <v>0.45208869431388404</v>
      </c>
      <c r="AE43" s="2">
        <f t="shared" si="28"/>
        <v>0.16660196956848422</v>
      </c>
      <c r="AF43" s="2">
        <f t="shared" si="29"/>
        <v>9.1283102676146741E-2</v>
      </c>
      <c r="AG43" s="2">
        <f t="shared" si="30"/>
        <v>10.954929999999997</v>
      </c>
      <c r="AH43" s="2">
        <v>42</v>
      </c>
      <c r="AI43">
        <f t="shared" si="31"/>
        <v>6.9972827218763376</v>
      </c>
    </row>
    <row r="44" spans="4:37" x14ac:dyDescent="0.35">
      <c r="D44" s="155">
        <v>6</v>
      </c>
      <c r="F44" s="13">
        <v>95.62003</v>
      </c>
      <c r="G44" s="2">
        <v>99.311769999999996</v>
      </c>
      <c r="H44" s="2">
        <f t="shared" si="22"/>
        <v>3.6917399999999958</v>
      </c>
      <c r="I44" s="2">
        <f t="shared" si="23"/>
        <v>14.371340000000004</v>
      </c>
      <c r="J44" s="2">
        <f t="shared" si="32"/>
        <v>0.20438042681536017</v>
      </c>
      <c r="K44" s="2">
        <f t="shared" si="33"/>
        <v>0.79561957318463983</v>
      </c>
      <c r="L44" s="2">
        <f t="shared" si="34"/>
        <v>0.27087498036156421</v>
      </c>
      <c r="M44" s="2">
        <f t="shared" si="35"/>
        <v>5.5361544099898803E-2</v>
      </c>
      <c r="N44" s="2">
        <f t="shared" si="36"/>
        <v>18.063079999999999</v>
      </c>
      <c r="O44" s="13">
        <v>22</v>
      </c>
      <c r="P44">
        <f t="shared" si="37"/>
        <v>5.9592495679544131</v>
      </c>
      <c r="W44" s="155">
        <v>-2</v>
      </c>
      <c r="Y44" s="13">
        <v>65.679249999999996</v>
      </c>
      <c r="Z44" s="2">
        <v>71.261880000000005</v>
      </c>
      <c r="AA44" s="2">
        <f t="shared" si="24"/>
        <v>5.5826300000000089</v>
      </c>
      <c r="AB44" s="2">
        <f t="shared" si="25"/>
        <v>5.4940099999999887</v>
      </c>
      <c r="AC44" s="2">
        <f t="shared" si="26"/>
        <v>0.50400031056349304</v>
      </c>
      <c r="AD44" s="2">
        <f t="shared" si="27"/>
        <v>0.49599968943650691</v>
      </c>
      <c r="AE44" s="2">
        <f t="shared" si="28"/>
        <v>0.17912704227219042</v>
      </c>
      <c r="AF44" s="2">
        <f t="shared" si="29"/>
        <v>9.0280084935503921E-2</v>
      </c>
      <c r="AG44" s="2">
        <f t="shared" si="30"/>
        <v>11.076639999999998</v>
      </c>
      <c r="AH44" s="2">
        <v>43</v>
      </c>
      <c r="AI44">
        <f t="shared" si="31"/>
        <v>7.7024628177041885</v>
      </c>
    </row>
    <row r="45" spans="4:37" x14ac:dyDescent="0.35">
      <c r="D45" s="155">
        <v>6</v>
      </c>
      <c r="F45" s="13">
        <v>113.68311</v>
      </c>
      <c r="G45" s="2">
        <v>117.28613</v>
      </c>
      <c r="H45" s="2">
        <f t="shared" si="22"/>
        <v>3.6030200000000008</v>
      </c>
      <c r="I45" s="2">
        <f t="shared" si="23"/>
        <v>9.7099500000000063</v>
      </c>
      <c r="J45" s="2">
        <f t="shared" si="32"/>
        <v>0.27063983468752645</v>
      </c>
      <c r="K45" s="2">
        <f t="shared" si="33"/>
        <v>0.72936016531247361</v>
      </c>
      <c r="L45" s="2">
        <f t="shared" si="34"/>
        <v>0.27754494840439403</v>
      </c>
      <c r="M45" s="2">
        <f t="shared" si="35"/>
        <v>7.5114718954523249E-2</v>
      </c>
      <c r="N45" s="2">
        <f t="shared" si="36"/>
        <v>13.312970000000007</v>
      </c>
      <c r="O45" s="13">
        <v>20</v>
      </c>
      <c r="P45">
        <f t="shared" si="37"/>
        <v>5.5508989680878802</v>
      </c>
      <c r="W45" s="155">
        <v>-2</v>
      </c>
      <c r="Y45" s="13">
        <v>76.755889999999994</v>
      </c>
      <c r="Z45" s="2">
        <v>82.264589999999998</v>
      </c>
      <c r="AA45" s="2">
        <f t="shared" si="24"/>
        <v>5.5087000000000046</v>
      </c>
      <c r="AB45" s="2">
        <f t="shared" si="25"/>
        <v>5.1433399999999949</v>
      </c>
      <c r="AC45" s="2">
        <f t="shared" si="26"/>
        <v>0.51714976661747469</v>
      </c>
      <c r="AD45" s="2">
        <f t="shared" si="27"/>
        <v>0.48285023338252531</v>
      </c>
      <c r="AE45" s="2">
        <f t="shared" si="28"/>
        <v>0.18153103273004506</v>
      </c>
      <c r="AF45" s="2">
        <f t="shared" si="29"/>
        <v>9.3878731210171956E-2</v>
      </c>
      <c r="AG45" s="2">
        <f t="shared" si="30"/>
        <v>10.65204</v>
      </c>
      <c r="AH45" s="2">
        <v>44</v>
      </c>
      <c r="AI45">
        <f t="shared" si="31"/>
        <v>7.987365440121982</v>
      </c>
    </row>
    <row r="46" spans="4:37" x14ac:dyDescent="0.35">
      <c r="D46" s="155">
        <v>0</v>
      </c>
      <c r="F46" s="13">
        <v>126.99608000000001</v>
      </c>
      <c r="G46" s="2">
        <v>130.09173999999999</v>
      </c>
      <c r="H46" s="2">
        <f t="shared" si="22"/>
        <v>3.095659999999981</v>
      </c>
      <c r="I46" s="2">
        <f t="shared" si="23"/>
        <v>8.8343300000000227</v>
      </c>
      <c r="J46" s="2">
        <f t="shared" si="32"/>
        <v>0.25948554860481693</v>
      </c>
      <c r="K46" s="2">
        <f t="shared" si="33"/>
        <v>0.74051445139518302</v>
      </c>
      <c r="L46" s="2">
        <f t="shared" si="34"/>
        <v>0.32303289120898487</v>
      </c>
      <c r="M46" s="2">
        <f t="shared" si="35"/>
        <v>8.3822366992763589E-2</v>
      </c>
      <c r="N46" s="2">
        <f t="shared" si="36"/>
        <v>11.929990000000004</v>
      </c>
      <c r="O46" s="13">
        <v>18</v>
      </c>
      <c r="P46">
        <f t="shared" si="37"/>
        <v>5.8145920417617276</v>
      </c>
      <c r="R46" t="s">
        <v>408</v>
      </c>
      <c r="W46" s="155">
        <v>-2</v>
      </c>
      <c r="Y46" s="13">
        <v>87.407929999999993</v>
      </c>
      <c r="Z46" s="2">
        <v>92.837329999999994</v>
      </c>
      <c r="AA46" s="2">
        <f t="shared" si="24"/>
        <v>5.4294000000000011</v>
      </c>
      <c r="AB46" s="2">
        <f t="shared" si="25"/>
        <v>5.1734000000000009</v>
      </c>
      <c r="AC46" s="2">
        <f t="shared" si="26"/>
        <v>0.51207228279322448</v>
      </c>
      <c r="AD46" s="2">
        <f t="shared" si="27"/>
        <v>0.48792771720677558</v>
      </c>
      <c r="AE46" s="2">
        <f t="shared" si="28"/>
        <v>0.18418241426308612</v>
      </c>
      <c r="AF46" s="2">
        <f t="shared" si="29"/>
        <v>9.4314709322065857E-2</v>
      </c>
      <c r="AG46" s="2">
        <f t="shared" si="30"/>
        <v>10.602800000000002</v>
      </c>
      <c r="AH46" s="2">
        <v>45</v>
      </c>
      <c r="AI46">
        <f t="shared" si="31"/>
        <v>8.2882086418388763</v>
      </c>
    </row>
    <row r="47" spans="4:37" x14ac:dyDescent="0.35">
      <c r="D47" s="155">
        <v>0</v>
      </c>
      <c r="F47" s="13">
        <v>138.92607000000001</v>
      </c>
      <c r="G47" s="2">
        <v>142.18682999999999</v>
      </c>
      <c r="H47" s="2">
        <f t="shared" si="22"/>
        <v>3.2607599999999763</v>
      </c>
      <c r="I47" s="2">
        <f t="shared" si="23"/>
        <v>10.626810000000006</v>
      </c>
      <c r="J47" s="2">
        <f t="shared" si="32"/>
        <v>0.23479701632466879</v>
      </c>
      <c r="K47" s="2">
        <f t="shared" si="33"/>
        <v>0.76520298367533124</v>
      </c>
      <c r="L47" s="2">
        <f t="shared" si="34"/>
        <v>0.30667697101289493</v>
      </c>
      <c r="M47" s="2">
        <f t="shared" si="35"/>
        <v>7.2006837769314672E-2</v>
      </c>
      <c r="N47" s="2">
        <f t="shared" si="36"/>
        <v>13.887569999999982</v>
      </c>
      <c r="O47" s="13">
        <v>21</v>
      </c>
      <c r="P47">
        <f t="shared" si="37"/>
        <v>6.440216391270793</v>
      </c>
      <c r="W47" s="155">
        <v>-2</v>
      </c>
      <c r="Y47" s="13">
        <v>98.010729999999995</v>
      </c>
      <c r="Z47" s="2">
        <v>102.251</v>
      </c>
      <c r="AA47" s="2">
        <f t="shared" si="24"/>
        <v>4.2402700000000095</v>
      </c>
      <c r="AB47" s="2">
        <f t="shared" si="25"/>
        <v>5.2650599999999912</v>
      </c>
      <c r="AC47" s="2">
        <f t="shared" si="26"/>
        <v>0.4460939283538824</v>
      </c>
      <c r="AD47" s="2">
        <f t="shared" si="27"/>
        <v>0.5539060716461176</v>
      </c>
      <c r="AE47" s="2">
        <f t="shared" si="28"/>
        <v>0.23583403887016577</v>
      </c>
      <c r="AF47" s="2">
        <f t="shared" si="29"/>
        <v>0.10520413283915445</v>
      </c>
      <c r="AG47" s="2">
        <f t="shared" si="30"/>
        <v>9.5053300000000007</v>
      </c>
      <c r="AH47" s="2">
        <v>46</v>
      </c>
      <c r="AI47">
        <f t="shared" si="31"/>
        <v>10.848365788027625</v>
      </c>
    </row>
    <row r="48" spans="4:37" x14ac:dyDescent="0.35">
      <c r="D48" s="155">
        <v>0</v>
      </c>
      <c r="F48" s="13">
        <v>152.81363999999999</v>
      </c>
      <c r="G48" s="2">
        <v>156.89402999999999</v>
      </c>
      <c r="H48" s="2">
        <f t="shared" si="22"/>
        <v>4.0803899999999942</v>
      </c>
      <c r="I48" s="2">
        <f t="shared" si="23"/>
        <v>11.074390000000022</v>
      </c>
      <c r="J48" s="2">
        <f t="shared" si="32"/>
        <v>0.26924772250075485</v>
      </c>
      <c r="K48" s="2">
        <f t="shared" si="33"/>
        <v>0.7307522774992451</v>
      </c>
      <c r="L48" s="2">
        <f t="shared" si="34"/>
        <v>0.24507461296591782</v>
      </c>
      <c r="M48" s="2">
        <f t="shared" si="35"/>
        <v>6.5985781383827338E-2</v>
      </c>
      <c r="N48" s="2">
        <f t="shared" si="36"/>
        <v>15.154780000000017</v>
      </c>
      <c r="O48" s="13">
        <v>25</v>
      </c>
      <c r="P48">
        <f t="shared" si="37"/>
        <v>6.1268653241479454</v>
      </c>
      <c r="W48" s="155">
        <v>-2</v>
      </c>
      <c r="Y48" s="13">
        <v>107.51606</v>
      </c>
      <c r="Z48" s="2">
        <v>113.05757</v>
      </c>
      <c r="AA48" s="2">
        <f t="shared" si="24"/>
        <v>5.5415100000000024</v>
      </c>
      <c r="AB48" s="2">
        <f t="shared" si="25"/>
        <v>5.2338400000000007</v>
      </c>
      <c r="AC48" s="2">
        <f t="shared" si="26"/>
        <v>0.51427656642243647</v>
      </c>
      <c r="AD48" s="2">
        <f t="shared" si="27"/>
        <v>0.48572343357756353</v>
      </c>
      <c r="AE48" s="2">
        <f t="shared" si="28"/>
        <v>0.18045622943926828</v>
      </c>
      <c r="AF48" s="2">
        <f t="shared" si="29"/>
        <v>9.2804410065566292E-2</v>
      </c>
      <c r="AG48" s="2">
        <f t="shared" si="30"/>
        <v>10.775350000000003</v>
      </c>
      <c r="AH48" s="2">
        <v>47</v>
      </c>
      <c r="AI48">
        <f t="shared" si="31"/>
        <v>8.4814427836456083</v>
      </c>
    </row>
    <row r="49" spans="4:37" x14ac:dyDescent="0.35">
      <c r="D49" s="155">
        <v>0</v>
      </c>
      <c r="F49" s="13">
        <v>167.96842000000001</v>
      </c>
      <c r="G49" s="2">
        <v>171.39463000000001</v>
      </c>
      <c r="H49" s="2">
        <f t="shared" si="22"/>
        <v>3.4262099999999975</v>
      </c>
      <c r="I49" s="2">
        <f t="shared" si="23"/>
        <v>10.731689999999986</v>
      </c>
      <c r="J49" s="2">
        <f t="shared" si="32"/>
        <v>0.24199987286250091</v>
      </c>
      <c r="K49" s="2">
        <f t="shared" si="33"/>
        <v>0.75800012713749909</v>
      </c>
      <c r="L49" s="2">
        <f t="shared" si="34"/>
        <v>0.29186769053852529</v>
      </c>
      <c r="M49" s="2">
        <f t="shared" si="35"/>
        <v>7.063194400299487E-2</v>
      </c>
      <c r="N49" s="2">
        <f t="shared" si="36"/>
        <v>14.157899999999984</v>
      </c>
      <c r="O49" s="13">
        <v>20</v>
      </c>
      <c r="P49">
        <f t="shared" si="37"/>
        <v>5.8373538107705061</v>
      </c>
      <c r="W49" s="155">
        <v>-2</v>
      </c>
      <c r="Y49" s="13">
        <v>118.29141</v>
      </c>
      <c r="Z49" s="2">
        <v>123.48209</v>
      </c>
      <c r="AA49" s="2">
        <f t="shared" si="24"/>
        <v>5.1906800000000004</v>
      </c>
      <c r="AB49" s="2">
        <f t="shared" si="25"/>
        <v>4.9084499999999878</v>
      </c>
      <c r="AC49" s="2">
        <f t="shared" si="26"/>
        <v>0.51397298579184603</v>
      </c>
      <c r="AD49" s="2">
        <f t="shared" si="27"/>
        <v>0.48602701420815392</v>
      </c>
      <c r="AE49" s="2">
        <f t="shared" si="28"/>
        <v>0.19265298573597292</v>
      </c>
      <c r="AF49" s="2">
        <f t="shared" si="29"/>
        <v>9.9018430300431934E-2</v>
      </c>
      <c r="AG49" s="2">
        <f t="shared" si="30"/>
        <v>10.099129999999988</v>
      </c>
      <c r="AH49" s="2">
        <v>49</v>
      </c>
      <c r="AI49">
        <f t="shared" si="31"/>
        <v>9.4399963010626724</v>
      </c>
    </row>
    <row r="50" spans="4:37" x14ac:dyDescent="0.35">
      <c r="D50" s="155">
        <v>0</v>
      </c>
      <c r="F50" s="13">
        <v>182.12631999999999</v>
      </c>
      <c r="G50" s="2">
        <v>185.66723999999999</v>
      </c>
      <c r="H50" s="2">
        <f t="shared" si="22"/>
        <v>3.5409199999999998</v>
      </c>
      <c r="I50" s="2">
        <f t="shared" si="23"/>
        <v>15.128230000000002</v>
      </c>
      <c r="J50" s="2">
        <f t="shared" si="32"/>
        <v>0.18966691038424349</v>
      </c>
      <c r="K50" s="2">
        <f t="shared" si="33"/>
        <v>0.81033308961575645</v>
      </c>
      <c r="L50" s="2">
        <f t="shared" si="34"/>
        <v>0.28241248037233263</v>
      </c>
      <c r="M50" s="2">
        <f t="shared" si="35"/>
        <v>5.3564302606171135E-2</v>
      </c>
      <c r="N50" s="2">
        <f t="shared" si="36"/>
        <v>18.669150000000002</v>
      </c>
      <c r="O50" s="13">
        <v>21</v>
      </c>
      <c r="P50">
        <f t="shared" si="37"/>
        <v>5.9306620878189849</v>
      </c>
      <c r="W50" s="155">
        <v>0</v>
      </c>
      <c r="Y50" s="13">
        <v>128.39053999999999</v>
      </c>
      <c r="Z50" s="2">
        <v>133.12553</v>
      </c>
      <c r="AA50" s="2">
        <f t="shared" si="24"/>
        <v>4.7349900000000105</v>
      </c>
      <c r="AB50" s="2">
        <f t="shared" si="25"/>
        <v>4.1053100000000029</v>
      </c>
      <c r="AC50" s="2">
        <f t="shared" si="26"/>
        <v>0.53561417598950301</v>
      </c>
      <c r="AD50" s="2">
        <f t="shared" si="27"/>
        <v>0.46438582401049699</v>
      </c>
      <c r="AE50" s="2">
        <f t="shared" si="28"/>
        <v>0.21119368784305728</v>
      </c>
      <c r="AF50" s="2">
        <f t="shared" si="29"/>
        <v>0.11311833308824344</v>
      </c>
      <c r="AG50" s="2">
        <f t="shared" si="30"/>
        <v>8.8403000000000134</v>
      </c>
      <c r="AH50" s="2">
        <v>50</v>
      </c>
      <c r="AI50">
        <f t="shared" si="31"/>
        <v>10.559684392152864</v>
      </c>
      <c r="AK50" t="s">
        <v>425</v>
      </c>
    </row>
    <row r="51" spans="4:37" x14ac:dyDescent="0.35">
      <c r="D51" s="155">
        <v>0</v>
      </c>
      <c r="F51" s="13">
        <v>200.79546999999999</v>
      </c>
      <c r="G51" s="2">
        <v>203.46977000000001</v>
      </c>
      <c r="H51" s="2">
        <f t="shared" si="22"/>
        <v>2.6743000000000166</v>
      </c>
      <c r="I51" s="2">
        <f t="shared" si="23"/>
        <v>9.3576499999999783</v>
      </c>
      <c r="J51" s="2">
        <f t="shared" si="32"/>
        <v>0.22226654864756068</v>
      </c>
      <c r="K51" s="2">
        <f t="shared" si="33"/>
        <v>0.77773345135243932</v>
      </c>
      <c r="L51" s="2">
        <f t="shared" si="34"/>
        <v>0.37392962644430089</v>
      </c>
      <c r="M51" s="2">
        <f t="shared" si="35"/>
        <v>8.3112047506846393E-2</v>
      </c>
      <c r="N51" s="2">
        <f t="shared" si="36"/>
        <v>12.031949999999995</v>
      </c>
      <c r="O51" s="13">
        <v>15</v>
      </c>
      <c r="P51">
        <f t="shared" si="37"/>
        <v>5.6089443966645129</v>
      </c>
      <c r="W51" s="155">
        <v>0</v>
      </c>
      <c r="Y51" s="13">
        <v>137.23084</v>
      </c>
      <c r="Z51" s="2">
        <v>141.55763999999999</v>
      </c>
      <c r="AA51" s="2">
        <f t="shared" si="24"/>
        <v>4.3267999999999915</v>
      </c>
      <c r="AB51" s="2">
        <f t="shared" si="25"/>
        <v>4.5408900000000187</v>
      </c>
      <c r="AC51" s="2">
        <f t="shared" si="26"/>
        <v>0.4879286488363922</v>
      </c>
      <c r="AD51" s="2">
        <f t="shared" si="27"/>
        <v>0.5120713511636078</v>
      </c>
      <c r="AE51" s="2">
        <f t="shared" si="28"/>
        <v>0.23111768512526623</v>
      </c>
      <c r="AF51" s="2">
        <f t="shared" si="29"/>
        <v>0.11276893982536589</v>
      </c>
      <c r="AG51" s="2">
        <f t="shared" si="30"/>
        <v>8.8676900000000103</v>
      </c>
      <c r="AH51" s="2">
        <v>51</v>
      </c>
      <c r="AI51">
        <f t="shared" si="31"/>
        <v>11.787001941388578</v>
      </c>
    </row>
    <row r="52" spans="4:37" x14ac:dyDescent="0.35">
      <c r="D52" s="155">
        <v>0</v>
      </c>
      <c r="F52" s="13">
        <v>212.82741999999999</v>
      </c>
      <c r="G52" s="2">
        <v>216.67797999999999</v>
      </c>
      <c r="H52" s="2">
        <f t="shared" si="22"/>
        <v>3.8505600000000015</v>
      </c>
      <c r="I52" s="2">
        <f t="shared" si="23"/>
        <v>7.9586700000000121</v>
      </c>
      <c r="J52" s="2">
        <f t="shared" si="32"/>
        <v>0.32606359601769103</v>
      </c>
      <c r="K52" s="2">
        <f t="shared" si="33"/>
        <v>0.67393640398230903</v>
      </c>
      <c r="L52" s="2">
        <f t="shared" si="34"/>
        <v>0.25970248483337477</v>
      </c>
      <c r="M52" s="2">
        <f t="shared" si="35"/>
        <v>8.4679526099500038E-2</v>
      </c>
      <c r="N52" s="2">
        <f t="shared" si="36"/>
        <v>11.809230000000014</v>
      </c>
      <c r="O52" s="13">
        <v>22</v>
      </c>
      <c r="P52">
        <f t="shared" si="37"/>
        <v>5.7134546663342451</v>
      </c>
      <c r="W52" s="155">
        <v>0</v>
      </c>
      <c r="Y52" s="13">
        <v>146.09853000000001</v>
      </c>
      <c r="Z52" s="2">
        <v>151.67537999999999</v>
      </c>
      <c r="AA52" s="2">
        <f t="shared" si="24"/>
        <v>5.576849999999979</v>
      </c>
      <c r="AB52" s="2">
        <f t="shared" si="25"/>
        <v>4.7388899999999978</v>
      </c>
      <c r="AC52" s="2">
        <f t="shared" si="26"/>
        <v>0.54061560295238065</v>
      </c>
      <c r="AD52" s="2">
        <f t="shared" si="27"/>
        <v>0.4593843970476193</v>
      </c>
      <c r="AE52" s="2">
        <f t="shared" si="28"/>
        <v>0.17931269444220371</v>
      </c>
      <c r="AF52" s="2">
        <f t="shared" si="29"/>
        <v>9.6939240422887957E-2</v>
      </c>
      <c r="AG52" s="2">
        <f t="shared" si="30"/>
        <v>10.315739999999977</v>
      </c>
      <c r="AH52" s="2">
        <v>52</v>
      </c>
      <c r="AI52">
        <f t="shared" si="31"/>
        <v>9.3242601109945937</v>
      </c>
    </row>
    <row r="53" spans="4:37" x14ac:dyDescent="0.35">
      <c r="D53" s="155">
        <v>0</v>
      </c>
      <c r="F53" s="13">
        <v>224.63665</v>
      </c>
      <c r="G53" s="2">
        <v>228.25262000000001</v>
      </c>
      <c r="H53" s="2">
        <f t="shared" si="22"/>
        <v>3.6159700000000043</v>
      </c>
      <c r="I53" s="2">
        <f t="shared" si="23"/>
        <v>8.3816099999999949</v>
      </c>
      <c r="J53" s="2">
        <f t="shared" si="32"/>
        <v>0.30139161397548542</v>
      </c>
      <c r="K53" s="2">
        <f t="shared" si="33"/>
        <v>0.69860838602451458</v>
      </c>
      <c r="L53" s="2">
        <f t="shared" si="34"/>
        <v>0.27655096696045567</v>
      </c>
      <c r="M53" s="2">
        <f t="shared" si="35"/>
        <v>8.3350142278692876E-2</v>
      </c>
      <c r="N53" s="2">
        <f t="shared" si="36"/>
        <v>11.997579999999999</v>
      </c>
      <c r="O53" s="13">
        <v>20</v>
      </c>
      <c r="P53">
        <f t="shared" si="37"/>
        <v>5.5310193392091129</v>
      </c>
      <c r="W53" s="155">
        <v>0</v>
      </c>
      <c r="Y53" s="13">
        <v>156.41426999999999</v>
      </c>
      <c r="Z53" s="13">
        <v>161.71423999999999</v>
      </c>
      <c r="AA53" s="2">
        <f t="shared" si="24"/>
        <v>5.2999700000000018</v>
      </c>
      <c r="AB53" s="2">
        <f t="shared" si="25"/>
        <v>4.7850999999999999</v>
      </c>
      <c r="AC53" s="2">
        <f t="shared" si="26"/>
        <v>0.5255263473629832</v>
      </c>
      <c r="AD53" s="2">
        <f t="shared" si="27"/>
        <v>0.4744736526370168</v>
      </c>
      <c r="AE53" s="2">
        <f t="shared" si="28"/>
        <v>0.18868031328479212</v>
      </c>
      <c r="AF53" s="2">
        <f t="shared" si="29"/>
        <v>9.9156475859860149E-2</v>
      </c>
      <c r="AG53" s="2">
        <f t="shared" si="30"/>
        <v>10.085070000000002</v>
      </c>
      <c r="AH53" s="2">
        <v>53</v>
      </c>
      <c r="AI53">
        <f t="shared" si="31"/>
        <v>10.000056604093983</v>
      </c>
    </row>
    <row r="54" spans="4:37" x14ac:dyDescent="0.35">
      <c r="D54" s="155">
        <v>0</v>
      </c>
      <c r="F54" s="13">
        <v>236.63423</v>
      </c>
      <c r="G54" s="13">
        <v>239.8349</v>
      </c>
      <c r="H54" s="2">
        <f t="shared" si="22"/>
        <v>3.2006700000000023</v>
      </c>
      <c r="I54" s="2"/>
      <c r="J54" s="2"/>
      <c r="K54" s="2"/>
      <c r="L54" s="2"/>
      <c r="M54" s="2"/>
      <c r="N54" s="2"/>
      <c r="O54" s="2"/>
      <c r="W54" s="155">
        <v>0</v>
      </c>
      <c r="Y54" s="13">
        <v>166.49933999999999</v>
      </c>
      <c r="Z54" s="13">
        <v>172.34226000000001</v>
      </c>
      <c r="AA54" s="2">
        <f t="shared" si="24"/>
        <v>5.8429200000000208</v>
      </c>
      <c r="AB54" s="2">
        <f t="shared" si="25"/>
        <v>5.5491799999999785</v>
      </c>
      <c r="AC54" s="2">
        <f t="shared" si="26"/>
        <v>0.51289226744849692</v>
      </c>
      <c r="AD54" s="2">
        <f t="shared" si="27"/>
        <v>0.48710773255150314</v>
      </c>
      <c r="AE54" s="2">
        <f t="shared" si="28"/>
        <v>0.17114730306079776</v>
      </c>
      <c r="AF54" s="2">
        <f t="shared" si="29"/>
        <v>8.7780128334547625E-2</v>
      </c>
      <c r="AG54" s="2">
        <f t="shared" si="30"/>
        <v>11.392099999999999</v>
      </c>
      <c r="AH54" s="2">
        <v>54</v>
      </c>
      <c r="AI54">
        <f t="shared" si="31"/>
        <v>9.2419543652830782</v>
      </c>
    </row>
    <row r="55" spans="4:37" x14ac:dyDescent="0.35">
      <c r="F55" s="13"/>
      <c r="G55" s="13"/>
      <c r="H55" s="2"/>
      <c r="I55" s="2"/>
      <c r="J55" s="2"/>
      <c r="K55" s="2"/>
      <c r="L55" s="2"/>
      <c r="M55" s="2"/>
      <c r="N55" s="2"/>
      <c r="O55" s="2"/>
      <c r="W55" s="155">
        <v>0</v>
      </c>
      <c r="Y55" s="13">
        <v>177.89143999999999</v>
      </c>
      <c r="Z55">
        <v>183.14330000000001</v>
      </c>
      <c r="AA55" s="2">
        <f t="shared" si="24"/>
        <v>5.251860000000022</v>
      </c>
      <c r="AB55" s="2">
        <f t="shared" si="25"/>
        <v>4.3507899999999893</v>
      </c>
      <c r="AC55" s="2">
        <f t="shared" si="26"/>
        <v>0.54691777790505913</v>
      </c>
      <c r="AD55" s="2">
        <f t="shared" si="27"/>
        <v>0.45308222209494092</v>
      </c>
      <c r="AE55" s="2">
        <f t="shared" si="28"/>
        <v>0.1904087313827855</v>
      </c>
      <c r="AF55" s="2">
        <f t="shared" si="29"/>
        <v>0.10413792026159434</v>
      </c>
      <c r="AG55" s="2">
        <f t="shared" si="30"/>
        <v>9.6026500000000112</v>
      </c>
      <c r="AH55" s="2">
        <v>55</v>
      </c>
      <c r="AI55">
        <f t="shared" si="31"/>
        <v>10.472480226053202</v>
      </c>
    </row>
    <row r="56" spans="4:37" x14ac:dyDescent="0.35">
      <c r="F56" s="13"/>
      <c r="W56" s="155">
        <v>0</v>
      </c>
      <c r="Y56">
        <v>187.49409</v>
      </c>
      <c r="Z56">
        <v>192.44683000000001</v>
      </c>
      <c r="AA56" s="2">
        <f t="shared" si="24"/>
        <v>4.9527400000000057</v>
      </c>
      <c r="AB56" s="2">
        <f t="shared" si="25"/>
        <v>4.3005599999999902</v>
      </c>
      <c r="AC56" s="2">
        <f t="shared" si="26"/>
        <v>0.53524040072190548</v>
      </c>
      <c r="AD56" s="2">
        <f t="shared" si="27"/>
        <v>0.46475959927809452</v>
      </c>
      <c r="AE56" s="2">
        <f t="shared" si="28"/>
        <v>0.20190843856128099</v>
      </c>
      <c r="AF56" s="2">
        <f t="shared" si="29"/>
        <v>0.10806955356467428</v>
      </c>
      <c r="AG56" s="2">
        <f t="shared" si="30"/>
        <v>9.2532999999999959</v>
      </c>
      <c r="AH56" s="2">
        <v>56</v>
      </c>
      <c r="AI56">
        <f t="shared" si="31"/>
        <v>11.306872559431737</v>
      </c>
    </row>
    <row r="57" spans="4:37" ht="16" thickBot="1" x14ac:dyDescent="0.4">
      <c r="F57" s="13"/>
      <c r="G57" s="13"/>
      <c r="H57" s="9" t="s">
        <v>3</v>
      </c>
      <c r="I57" s="9" t="s">
        <v>4</v>
      </c>
      <c r="J57" s="9" t="s">
        <v>5</v>
      </c>
      <c r="K57" s="9" t="s">
        <v>6</v>
      </c>
      <c r="L57" s="9" t="s">
        <v>7</v>
      </c>
      <c r="M57" s="9" t="s">
        <v>8</v>
      </c>
      <c r="N57" s="9" t="s">
        <v>9</v>
      </c>
      <c r="O57" s="9" t="s">
        <v>10</v>
      </c>
      <c r="P57" s="44" t="s">
        <v>139</v>
      </c>
      <c r="W57" s="155">
        <v>0</v>
      </c>
      <c r="Y57">
        <v>196.74739</v>
      </c>
      <c r="Z57">
        <v>200.71822</v>
      </c>
      <c r="AA57" s="2">
        <f t="shared" si="24"/>
        <v>3.9708300000000065</v>
      </c>
      <c r="AB57" s="2">
        <f t="shared" si="25"/>
        <v>4.7143299999999897</v>
      </c>
      <c r="AC57" s="2">
        <f t="shared" si="26"/>
        <v>0.45719710402571839</v>
      </c>
      <c r="AD57" s="2">
        <f t="shared" si="27"/>
        <v>0.54280289597428166</v>
      </c>
      <c r="AE57" s="2">
        <f t="shared" si="28"/>
        <v>0.25183651780610056</v>
      </c>
      <c r="AF57" s="2">
        <f t="shared" si="29"/>
        <v>0.11513892662887044</v>
      </c>
      <c r="AG57" s="2">
        <f t="shared" si="30"/>
        <v>8.6851599999999962</v>
      </c>
      <c r="AH57" s="2">
        <v>57</v>
      </c>
      <c r="AI57">
        <f t="shared" si="31"/>
        <v>14.354681514947734</v>
      </c>
    </row>
    <row r="58" spans="4:37" x14ac:dyDescent="0.35">
      <c r="E58" s="104" t="s">
        <v>409</v>
      </c>
      <c r="F58" s="13"/>
      <c r="G58" s="49" t="s">
        <v>77</v>
      </c>
      <c r="H58" s="13">
        <f>AVERAGE(H38:H45)</f>
        <v>3.58562125</v>
      </c>
      <c r="I58" s="13">
        <f t="shared" ref="I58:P58" si="38">AVERAGE(I38:I45)</f>
        <v>11.22379875</v>
      </c>
      <c r="J58" s="13">
        <f t="shared" si="38"/>
        <v>0.25316214713720009</v>
      </c>
      <c r="K58" s="13">
        <f t="shared" si="38"/>
        <v>0.74683785286279991</v>
      </c>
      <c r="L58" s="13">
        <f t="shared" si="38"/>
        <v>0.28092828690666388</v>
      </c>
      <c r="M58" s="13">
        <f t="shared" si="38"/>
        <v>7.0665785572465861E-2</v>
      </c>
      <c r="N58" s="13">
        <f t="shared" si="38"/>
        <v>14.809420000000001</v>
      </c>
      <c r="O58" s="13">
        <f>AVERAGE(O38:O45)</f>
        <v>19.375</v>
      </c>
      <c r="P58" s="13">
        <f t="shared" si="38"/>
        <v>5.4137653125770964</v>
      </c>
      <c r="W58" s="155">
        <v>0</v>
      </c>
      <c r="Y58">
        <v>205.43254999999999</v>
      </c>
      <c r="Z58">
        <v>210.48785000000001</v>
      </c>
      <c r="AA58" s="2">
        <f t="shared" si="24"/>
        <v>5.0553000000000168</v>
      </c>
      <c r="AB58" s="2">
        <f t="shared" si="25"/>
        <v>5.0488399999999842</v>
      </c>
      <c r="AC58" s="2">
        <f t="shared" si="26"/>
        <v>0.500319670946762</v>
      </c>
      <c r="AD58" s="2">
        <f t="shared" si="27"/>
        <v>0.49968032905323795</v>
      </c>
      <c r="AE58" s="2">
        <f t="shared" si="28"/>
        <v>0.19781219710007253</v>
      </c>
      <c r="AF58" s="2">
        <f t="shared" si="29"/>
        <v>9.8969333362364326E-2</v>
      </c>
      <c r="AG58" s="2">
        <f t="shared" si="30"/>
        <v>10.104140000000001</v>
      </c>
      <c r="AH58" s="2">
        <v>58</v>
      </c>
      <c r="AI58">
        <f t="shared" si="31"/>
        <v>11.473107431804207</v>
      </c>
    </row>
    <row r="59" spans="4:37" x14ac:dyDescent="0.35">
      <c r="E59" s="104"/>
      <c r="F59" s="13"/>
      <c r="G59" s="49" t="s">
        <v>94</v>
      </c>
      <c r="H59" s="2">
        <f>_xlfn.STDEV.S(H38:H45)</f>
        <v>0.32191304164933765</v>
      </c>
      <c r="I59" s="2">
        <f t="shared" ref="I59:P59" si="39">_xlfn.STDEV.S(I38:I45)</f>
        <v>3.4447928074971275</v>
      </c>
      <c r="J59" s="2">
        <f t="shared" si="39"/>
        <v>6.1447969352692353E-2</v>
      </c>
      <c r="K59" s="2">
        <f t="shared" si="39"/>
        <v>6.1447969352692394E-2</v>
      </c>
      <c r="L59" s="2">
        <f t="shared" si="39"/>
        <v>2.6057479556408417E-2</v>
      </c>
      <c r="M59" s="2">
        <f t="shared" si="39"/>
        <v>1.5750916550967883E-2</v>
      </c>
      <c r="N59" s="2">
        <f t="shared" si="39"/>
        <v>3.4679098422042554</v>
      </c>
      <c r="O59" s="2">
        <f t="shared" si="39"/>
        <v>1.685018016012207</v>
      </c>
      <c r="P59" s="2">
        <f t="shared" si="39"/>
        <v>0.34326337750903146</v>
      </c>
      <c r="W59" s="155">
        <v>0</v>
      </c>
      <c r="Y59">
        <v>215.53668999999999</v>
      </c>
      <c r="Z59">
        <v>220.64793</v>
      </c>
      <c r="AA59" s="2">
        <f t="shared" si="24"/>
        <v>5.1112400000000093</v>
      </c>
      <c r="AB59" s="2">
        <f t="shared" si="25"/>
        <v>5.2331299999999885</v>
      </c>
      <c r="AC59" s="2">
        <f t="shared" si="26"/>
        <v>0.4941083893944252</v>
      </c>
      <c r="AD59" s="2">
        <f t="shared" si="27"/>
        <v>0.50589161060557475</v>
      </c>
      <c r="AE59" s="2">
        <f t="shared" si="28"/>
        <v>0.19564724020002938</v>
      </c>
      <c r="AF59" s="2">
        <f t="shared" si="29"/>
        <v>9.6670942744700755E-2</v>
      </c>
      <c r="AG59" s="2">
        <f t="shared" si="30"/>
        <v>10.344369999999998</v>
      </c>
      <c r="AH59" s="2">
        <v>59</v>
      </c>
      <c r="AI59">
        <f t="shared" si="31"/>
        <v>11.543187171801733</v>
      </c>
    </row>
    <row r="60" spans="4:37" x14ac:dyDescent="0.35">
      <c r="E60" s="104"/>
      <c r="F60" s="13"/>
      <c r="G60" s="49" t="s">
        <v>95</v>
      </c>
      <c r="H60" s="2">
        <f>H59/(SQRT(COUNT(H38:H45)))</f>
        <v>0.11381344735131707</v>
      </c>
      <c r="I60" s="2">
        <f t="shared" ref="I60:P60" si="40">I59/(SQRT(COUNT(I38:I45)))</f>
        <v>1.2179181769819318</v>
      </c>
      <c r="J60" s="2">
        <f t="shared" si="40"/>
        <v>2.1725137909715954E-2</v>
      </c>
      <c r="K60" s="2">
        <f t="shared" si="40"/>
        <v>2.1725137909715968E-2</v>
      </c>
      <c r="L60" s="2">
        <f t="shared" si="40"/>
        <v>9.2127102474831111E-3</v>
      </c>
      <c r="M60" s="2">
        <f t="shared" si="40"/>
        <v>5.5687899515464078E-3</v>
      </c>
      <c r="N60" s="2">
        <f t="shared" si="40"/>
        <v>1.2260912829830994</v>
      </c>
      <c r="O60" s="2">
        <f t="shared" si="40"/>
        <v>0.59574383277186704</v>
      </c>
      <c r="P60" s="2">
        <f t="shared" si="40"/>
        <v>0.12136193098481697</v>
      </c>
      <c r="W60" s="155">
        <v>0</v>
      </c>
      <c r="Y60">
        <v>225.88105999999999</v>
      </c>
      <c r="Z60">
        <v>230.04198</v>
      </c>
      <c r="AA60" s="2">
        <f t="shared" si="24"/>
        <v>4.1609200000000044</v>
      </c>
      <c r="AB60" s="2">
        <f t="shared" si="25"/>
        <v>4.7432100000000048</v>
      </c>
      <c r="AC60" s="2">
        <f t="shared" si="26"/>
        <v>0.46730225187637647</v>
      </c>
      <c r="AD60" s="2">
        <f t="shared" si="27"/>
        <v>0.53269774812362347</v>
      </c>
      <c r="AE60" s="2">
        <f t="shared" si="28"/>
        <v>0.24033146515674392</v>
      </c>
      <c r="AF60" s="2">
        <f t="shared" si="29"/>
        <v>0.11230743486449535</v>
      </c>
      <c r="AG60" s="2">
        <f t="shared" si="30"/>
        <v>8.9041300000000092</v>
      </c>
      <c r="AH60" s="2">
        <v>60</v>
      </c>
      <c r="AI60">
        <f t="shared" si="31"/>
        <v>14.419887909404636</v>
      </c>
    </row>
    <row r="61" spans="4:37" x14ac:dyDescent="0.35">
      <c r="E61" s="104"/>
      <c r="W61" s="155">
        <v>0</v>
      </c>
      <c r="Y61">
        <v>234.78519</v>
      </c>
      <c r="Z61">
        <v>239.78694999999999</v>
      </c>
      <c r="AA61" s="2">
        <f t="shared" si="24"/>
        <v>5.0017599999999902</v>
      </c>
      <c r="AB61" s="2"/>
      <c r="AC61" s="2"/>
      <c r="AD61" s="2"/>
      <c r="AE61" s="2"/>
      <c r="AF61" s="2"/>
      <c r="AG61" s="2"/>
      <c r="AH61" s="2"/>
    </row>
    <row r="62" spans="4:37" x14ac:dyDescent="0.35">
      <c r="E62" s="104"/>
      <c r="W62" s="155"/>
      <c r="AA62" s="2"/>
      <c r="AB62" s="2"/>
      <c r="AC62" s="2"/>
      <c r="AD62" s="2"/>
      <c r="AE62" s="2"/>
      <c r="AF62" s="2"/>
      <c r="AG62" s="2"/>
      <c r="AH62" s="2"/>
    </row>
    <row r="63" spans="4:37" ht="16" thickBot="1" x14ac:dyDescent="0.4">
      <c r="E63" s="104"/>
      <c r="G63" s="13"/>
      <c r="H63" s="9" t="s">
        <v>3</v>
      </c>
      <c r="I63" s="9" t="s">
        <v>4</v>
      </c>
      <c r="J63" s="9" t="s">
        <v>5</v>
      </c>
      <c r="K63" s="9" t="s">
        <v>6</v>
      </c>
      <c r="L63" s="9" t="s">
        <v>7</v>
      </c>
      <c r="M63" s="9" t="s">
        <v>8</v>
      </c>
      <c r="N63" s="9" t="s">
        <v>9</v>
      </c>
      <c r="O63" s="9" t="s">
        <v>10</v>
      </c>
      <c r="P63" s="44" t="s">
        <v>139</v>
      </c>
    </row>
    <row r="64" spans="4:37" x14ac:dyDescent="0.35">
      <c r="E64" s="104" t="s">
        <v>410</v>
      </c>
      <c r="G64" s="49" t="s">
        <v>77</v>
      </c>
      <c r="H64" s="13">
        <f>AVERAGE(H46:H53)</f>
        <v>3.4430962499999964</v>
      </c>
      <c r="I64" s="13">
        <f t="shared" ref="I64:P64" si="41">AVERAGE(I46:I53)</f>
        <v>10.261672500000003</v>
      </c>
      <c r="J64" s="13">
        <f t="shared" si="41"/>
        <v>0.25561485366471526</v>
      </c>
      <c r="K64" s="13">
        <f t="shared" si="41"/>
        <v>0.74438514633528474</v>
      </c>
      <c r="L64" s="13">
        <f t="shared" si="41"/>
        <v>0.29490596554209836</v>
      </c>
      <c r="M64" s="13">
        <f t="shared" si="41"/>
        <v>7.4644118580013866E-2</v>
      </c>
      <c r="N64" s="13">
        <f t="shared" si="41"/>
        <v>13.704768749999999</v>
      </c>
      <c r="O64" s="13">
        <f t="shared" si="41"/>
        <v>20.25</v>
      </c>
      <c r="P64" s="13">
        <f t="shared" si="41"/>
        <v>5.8753885072472283</v>
      </c>
    </row>
    <row r="65" spans="4:37" x14ac:dyDescent="0.35">
      <c r="G65" s="49" t="s">
        <v>94</v>
      </c>
      <c r="H65" s="2">
        <f>_xlfn.STDEV.S(H46:H53)</f>
        <v>0.44027850377224698</v>
      </c>
      <c r="I65" s="2">
        <f t="shared" ref="I65:P65" si="42">_xlfn.STDEV.S(I46:I53)</f>
        <v>2.2800736921533895</v>
      </c>
      <c r="J65" s="2">
        <f t="shared" si="42"/>
        <v>4.3653448889910879E-2</v>
      </c>
      <c r="K65" s="2">
        <f t="shared" si="42"/>
        <v>4.3653448889910892E-2</v>
      </c>
      <c r="L65" s="2">
        <f t="shared" si="42"/>
        <v>4.0353956281258374E-2</v>
      </c>
      <c r="M65" s="2">
        <f t="shared" si="42"/>
        <v>1.117924452063512E-2</v>
      </c>
      <c r="N65" s="2">
        <f t="shared" si="42"/>
        <v>2.3737276534685083</v>
      </c>
      <c r="O65" s="2">
        <f t="shared" si="42"/>
        <v>2.9154759474226504</v>
      </c>
      <c r="P65" s="2">
        <f t="shared" si="42"/>
        <v>0.29429681369620997</v>
      </c>
    </row>
    <row r="66" spans="4:37" ht="16" thickBot="1" x14ac:dyDescent="0.4">
      <c r="G66" s="49" t="s">
        <v>95</v>
      </c>
      <c r="H66" s="2">
        <f>H65/(SQRT(COUNT(H46:H53)))</f>
        <v>0.15566195781401138</v>
      </c>
      <c r="I66" s="2">
        <f t="shared" ref="I66:P66" si="43">I65/(SQRT(COUNT(I46:I53)))</f>
        <v>0.80612778466335511</v>
      </c>
      <c r="J66" s="2">
        <f t="shared" si="43"/>
        <v>1.5433824866118172E-2</v>
      </c>
      <c r="K66" s="2">
        <f t="shared" si="43"/>
        <v>1.5433824866118178E-2</v>
      </c>
      <c r="L66" s="2">
        <f t="shared" si="43"/>
        <v>1.4267278067091634E-2</v>
      </c>
      <c r="M66" s="2">
        <f t="shared" si="43"/>
        <v>3.952459804541824E-3</v>
      </c>
      <c r="N66" s="2">
        <f t="shared" si="43"/>
        <v>0.83923946022880669</v>
      </c>
      <c r="O66" s="2">
        <f t="shared" si="43"/>
        <v>1.0307764064044151</v>
      </c>
      <c r="P66" s="2">
        <f t="shared" si="43"/>
        <v>0.10404963632309204</v>
      </c>
      <c r="Y66" s="13"/>
      <c r="Z66" s="13"/>
      <c r="AA66" s="9" t="s">
        <v>3</v>
      </c>
      <c r="AB66" s="9" t="s">
        <v>4</v>
      </c>
      <c r="AC66" s="9" t="s">
        <v>5</v>
      </c>
      <c r="AD66" s="9" t="s">
        <v>6</v>
      </c>
      <c r="AE66" s="9" t="s">
        <v>7</v>
      </c>
      <c r="AF66" s="9" t="s">
        <v>8</v>
      </c>
      <c r="AG66" s="9" t="s">
        <v>9</v>
      </c>
      <c r="AH66" s="9" t="s">
        <v>10</v>
      </c>
      <c r="AI66" s="44" t="s">
        <v>139</v>
      </c>
    </row>
    <row r="67" spans="4:37" x14ac:dyDescent="0.35">
      <c r="X67" s="104" t="s">
        <v>426</v>
      </c>
      <c r="Y67" s="13"/>
      <c r="Z67" s="49" t="s">
        <v>77</v>
      </c>
      <c r="AA67" s="13">
        <f t="shared" ref="AA67:AI67" si="44">AVERAGE(AA38:AA49)</f>
        <v>5.2378816666666692</v>
      </c>
      <c r="AB67" s="13">
        <f t="shared" si="44"/>
        <v>5.3906133333333299</v>
      </c>
      <c r="AC67" s="13">
        <f t="shared" si="44"/>
        <v>0.49363051445898326</v>
      </c>
      <c r="AD67" s="13">
        <f t="shared" si="44"/>
        <v>0.50636948554101668</v>
      </c>
      <c r="AE67" s="13">
        <f t="shared" si="44"/>
        <v>0.19364997545602383</v>
      </c>
      <c r="AF67" s="13">
        <f t="shared" si="44"/>
        <v>9.4755171009370365E-2</v>
      </c>
      <c r="AG67" s="13">
        <f t="shared" si="44"/>
        <v>10.628494999999999</v>
      </c>
      <c r="AH67" s="13">
        <f t="shared" si="44"/>
        <v>42.583333333333336</v>
      </c>
      <c r="AI67" s="13">
        <f t="shared" si="44"/>
        <v>8.2480019382485938</v>
      </c>
    </row>
    <row r="68" spans="4:37" x14ac:dyDescent="0.35">
      <c r="X68" s="104"/>
      <c r="Y68" s="13"/>
      <c r="Z68" s="49" t="s">
        <v>94</v>
      </c>
      <c r="AA68" s="2">
        <f t="shared" ref="AA68:AI68" si="45">_xlfn.STDEV.S(AA38:AA49)</f>
        <v>0.62018964440994462</v>
      </c>
      <c r="AB68" s="2">
        <f t="shared" si="45"/>
        <v>0.79104776019855894</v>
      </c>
      <c r="AC68" s="2">
        <f t="shared" si="45"/>
        <v>4.8781670925768066E-2</v>
      </c>
      <c r="AD68" s="2">
        <f t="shared" si="45"/>
        <v>4.8781670925768093E-2</v>
      </c>
      <c r="AE68" s="2">
        <f t="shared" si="45"/>
        <v>2.53343017263012E-2</v>
      </c>
      <c r="AF68" s="2">
        <f t="shared" si="45"/>
        <v>8.3272012581857187E-3</v>
      </c>
      <c r="AG68" s="2">
        <f t="shared" si="45"/>
        <v>0.93732431282299089</v>
      </c>
      <c r="AH68" s="2">
        <f t="shared" si="45"/>
        <v>3.7527767497325679</v>
      </c>
      <c r="AI68" s="2">
        <f t="shared" si="45"/>
        <v>1.2909441573928861</v>
      </c>
    </row>
    <row r="69" spans="4:37" x14ac:dyDescent="0.35">
      <c r="X69" s="104"/>
      <c r="Y69" s="13"/>
      <c r="Z69" s="49" t="s">
        <v>95</v>
      </c>
      <c r="AA69" s="2">
        <f t="shared" ref="AA69:AI69" si="46">AA68/(SQRT(COUNT(AA38:AA49)))</f>
        <v>0.17903332907434991</v>
      </c>
      <c r="AB69" s="2">
        <f t="shared" si="46"/>
        <v>0.22835581864624427</v>
      </c>
      <c r="AC69" s="2">
        <f t="shared" si="46"/>
        <v>1.4082055420255967E-2</v>
      </c>
      <c r="AD69" s="2">
        <f t="shared" si="46"/>
        <v>1.4082055420255975E-2</v>
      </c>
      <c r="AE69" s="2">
        <f t="shared" si="46"/>
        <v>7.3133829607055995E-3</v>
      </c>
      <c r="AF69" s="2">
        <f t="shared" si="46"/>
        <v>2.4038559440048577E-3</v>
      </c>
      <c r="AG69" s="2">
        <f t="shared" si="46"/>
        <v>0.27058222216316741</v>
      </c>
      <c r="AH69" s="2">
        <f t="shared" si="46"/>
        <v>1.0833333333333335</v>
      </c>
      <c r="AI69" s="2">
        <f t="shared" si="46"/>
        <v>0.37266347838977876</v>
      </c>
    </row>
    <row r="70" spans="4:37" x14ac:dyDescent="0.35">
      <c r="X70" s="104"/>
    </row>
    <row r="71" spans="4:37" ht="18.5" x14ac:dyDescent="0.45">
      <c r="F71" s="1" t="s">
        <v>405</v>
      </c>
      <c r="G71" s="3"/>
      <c r="H71" s="3"/>
      <c r="I71" s="3"/>
      <c r="J71" s="3"/>
      <c r="K71" s="3"/>
      <c r="L71" s="3"/>
      <c r="M71" s="3"/>
      <c r="N71" s="3"/>
      <c r="O71" s="3"/>
      <c r="X71" s="104"/>
    </row>
    <row r="72" spans="4:37" ht="16" thickBot="1" x14ac:dyDescent="0.4">
      <c r="D72" s="204" t="s">
        <v>406</v>
      </c>
      <c r="F72" s="9" t="s">
        <v>1</v>
      </c>
      <c r="G72" s="9" t="s">
        <v>2</v>
      </c>
      <c r="H72" s="9" t="s">
        <v>3</v>
      </c>
      <c r="I72" s="9" t="s">
        <v>4</v>
      </c>
      <c r="J72" s="9" t="s">
        <v>5</v>
      </c>
      <c r="K72" s="9" t="s">
        <v>6</v>
      </c>
      <c r="L72" s="9" t="s">
        <v>7</v>
      </c>
      <c r="M72" s="9" t="s">
        <v>8</v>
      </c>
      <c r="N72" s="9" t="s">
        <v>9</v>
      </c>
      <c r="O72" s="9" t="s">
        <v>10</v>
      </c>
      <c r="P72" s="44" t="s">
        <v>139</v>
      </c>
      <c r="R72" s="44" t="s">
        <v>138</v>
      </c>
      <c r="X72" s="104"/>
      <c r="Z72" s="13"/>
      <c r="AA72" s="9" t="s">
        <v>3</v>
      </c>
      <c r="AB72" s="9" t="s">
        <v>4</v>
      </c>
      <c r="AC72" s="9" t="s">
        <v>5</v>
      </c>
      <c r="AD72" s="9" t="s">
        <v>6</v>
      </c>
      <c r="AE72" s="9" t="s">
        <v>7</v>
      </c>
      <c r="AF72" s="9" t="s">
        <v>8</v>
      </c>
      <c r="AG72" s="9" t="s">
        <v>9</v>
      </c>
      <c r="AH72" s="9" t="s">
        <v>10</v>
      </c>
      <c r="AI72" s="44" t="s">
        <v>139</v>
      </c>
    </row>
    <row r="73" spans="4:37" x14ac:dyDescent="0.35">
      <c r="D73" s="155">
        <v>8</v>
      </c>
      <c r="F73" s="2">
        <v>7.4892799999999999</v>
      </c>
      <c r="G73" s="2">
        <v>11.005559999999999</v>
      </c>
      <c r="H73" s="2">
        <f t="shared" ref="H73:H88" si="47">G73-F73</f>
        <v>3.5162799999999992</v>
      </c>
      <c r="I73" s="2">
        <f t="shared" ref="I73:I87" si="48">F74-G73</f>
        <v>8.5116300000000003</v>
      </c>
      <c r="J73" s="2">
        <f>H73/N73</f>
        <v>0.29234339132900061</v>
      </c>
      <c r="K73" s="2">
        <f>I73/N73</f>
        <v>0.70765660867099944</v>
      </c>
      <c r="L73" s="2">
        <f>1/H73</f>
        <v>0.28439145915569869</v>
      </c>
      <c r="M73" s="2">
        <f>1/N73</f>
        <v>8.3139963634579914E-2</v>
      </c>
      <c r="N73" s="2">
        <f>H73+I73</f>
        <v>12.027909999999999</v>
      </c>
      <c r="O73" s="2">
        <v>19</v>
      </c>
      <c r="P73">
        <f>O73/H73</f>
        <v>5.4034377239582749</v>
      </c>
      <c r="R73" t="s">
        <v>411</v>
      </c>
      <c r="X73" s="104" t="s">
        <v>410</v>
      </c>
      <c r="Z73" s="49" t="s">
        <v>77</v>
      </c>
      <c r="AA73" s="13">
        <f t="shared" ref="AA73:AI73" si="49">AVERAGE(AA50:AA60)</f>
        <v>4.9349472727272792</v>
      </c>
      <c r="AB73" s="13">
        <f t="shared" si="49"/>
        <v>4.7372936363636313</v>
      </c>
      <c r="AC73" s="13">
        <f t="shared" si="49"/>
        <v>0.50942387613272755</v>
      </c>
      <c r="AD73" s="13">
        <f t="shared" si="49"/>
        <v>0.49057612386727245</v>
      </c>
      <c r="AE73" s="13">
        <f t="shared" si="49"/>
        <v>0.20539966126937551</v>
      </c>
      <c r="AF73" s="13">
        <f t="shared" si="49"/>
        <v>0.10409611172341858</v>
      </c>
      <c r="AG73" s="13">
        <f t="shared" si="49"/>
        <v>9.6722409090909096</v>
      </c>
      <c r="AH73" s="13">
        <f t="shared" si="49"/>
        <v>55</v>
      </c>
      <c r="AI73" s="13">
        <f t="shared" si="49"/>
        <v>11.31665220248694</v>
      </c>
    </row>
    <row r="74" spans="4:37" x14ac:dyDescent="0.35">
      <c r="D74" s="155">
        <v>8</v>
      </c>
      <c r="F74" s="2">
        <v>19.517189999999999</v>
      </c>
      <c r="G74" s="2">
        <v>23.258400000000002</v>
      </c>
      <c r="H74" s="2">
        <f t="shared" si="47"/>
        <v>3.7412100000000024</v>
      </c>
      <c r="I74" s="2">
        <f t="shared" si="48"/>
        <v>10.12923</v>
      </c>
      <c r="J74" s="2">
        <f t="shared" ref="J74:J87" si="50">H74/N74</f>
        <v>0.2697254016455139</v>
      </c>
      <c r="K74" s="2">
        <f t="shared" ref="K74:K87" si="51">I74/N74</f>
        <v>0.73027459835448605</v>
      </c>
      <c r="L74" s="2">
        <f t="shared" ref="L74:L87" si="52">1/H74</f>
        <v>0.26729320193199507</v>
      </c>
      <c r="M74" s="2">
        <f t="shared" ref="M74:M87" si="53">1/N74</f>
        <v>7.2095766248222823E-2</v>
      </c>
      <c r="N74" s="2">
        <f t="shared" ref="N74:N87" si="54">H74+I74</f>
        <v>13.870440000000002</v>
      </c>
      <c r="O74" s="2">
        <v>20</v>
      </c>
      <c r="P74">
        <f t="shared" ref="P74:P87" si="55">O74/H74</f>
        <v>5.3458640386399017</v>
      </c>
      <c r="Z74" s="49" t="s">
        <v>94</v>
      </c>
      <c r="AA74" s="2">
        <f t="shared" ref="AA74:AI74" si="56">_xlfn.STDEV.S(AA50:AA60)</f>
        <v>0.58774787872166656</v>
      </c>
      <c r="AB74" s="2">
        <f t="shared" si="56"/>
        <v>0.42225864910674071</v>
      </c>
      <c r="AC74" s="2">
        <f t="shared" si="56"/>
        <v>3.0469366576822962E-2</v>
      </c>
      <c r="AD74" s="2">
        <f t="shared" si="56"/>
        <v>3.0469366576822962E-2</v>
      </c>
      <c r="AE74" s="2">
        <f t="shared" si="56"/>
        <v>2.5679732251414008E-2</v>
      </c>
      <c r="AF74" s="2">
        <f t="shared" si="56"/>
        <v>8.8601755985618022E-3</v>
      </c>
      <c r="AG74" s="2">
        <f t="shared" si="56"/>
        <v>0.85233994871124241</v>
      </c>
      <c r="AH74" s="2">
        <f t="shared" si="56"/>
        <v>3.3166247903553998</v>
      </c>
      <c r="AI74" s="2">
        <f t="shared" si="56"/>
        <v>1.7449889033684844</v>
      </c>
    </row>
    <row r="75" spans="4:37" x14ac:dyDescent="0.35">
      <c r="D75" s="155">
        <v>8</v>
      </c>
      <c r="F75" s="13">
        <v>33.387630000000001</v>
      </c>
      <c r="G75" s="2">
        <v>36.610109999999999</v>
      </c>
      <c r="H75" s="2">
        <f t="shared" si="47"/>
        <v>3.2224799999999973</v>
      </c>
      <c r="I75" s="2">
        <f t="shared" si="48"/>
        <v>11.231630000000003</v>
      </c>
      <c r="J75" s="2">
        <f t="shared" si="50"/>
        <v>0.22294558433552791</v>
      </c>
      <c r="K75" s="2">
        <f t="shared" si="51"/>
        <v>0.77705441566447209</v>
      </c>
      <c r="L75" s="2">
        <f t="shared" si="52"/>
        <v>0.31032000198604826</v>
      </c>
      <c r="M75" s="2">
        <f t="shared" si="53"/>
        <v>6.9184474173781707E-2</v>
      </c>
      <c r="N75" s="2">
        <f t="shared" si="54"/>
        <v>14.45411</v>
      </c>
      <c r="O75" s="2">
        <v>17</v>
      </c>
      <c r="P75">
        <f t="shared" si="55"/>
        <v>5.2754400337628207</v>
      </c>
      <c r="Z75" s="49" t="s">
        <v>95</v>
      </c>
      <c r="AA75" s="2">
        <f t="shared" ref="AA75:AI75" si="57">AA74/(SQRT(COUNT(AA50:AA60)))</f>
        <v>0.17721265318609802</v>
      </c>
      <c r="AB75" s="2">
        <f t="shared" si="57"/>
        <v>0.12731577305176348</v>
      </c>
      <c r="AC75" s="2">
        <f t="shared" si="57"/>
        <v>9.1868596850106631E-3</v>
      </c>
      <c r="AD75" s="2">
        <f t="shared" si="57"/>
        <v>9.1868596850106631E-3</v>
      </c>
      <c r="AE75" s="2">
        <f t="shared" si="57"/>
        <v>7.7427305995207991E-3</v>
      </c>
      <c r="AF75" s="2">
        <f t="shared" si="57"/>
        <v>2.6714434579174608E-3</v>
      </c>
      <c r="AG75" s="2">
        <f t="shared" si="57"/>
        <v>0.25699016397326879</v>
      </c>
      <c r="AH75" s="2">
        <f t="shared" si="57"/>
        <v>1</v>
      </c>
      <c r="AI75" s="2">
        <f t="shared" si="57"/>
        <v>0.52613395052790901</v>
      </c>
    </row>
    <row r="76" spans="4:37" x14ac:dyDescent="0.35">
      <c r="D76" s="155">
        <v>8</v>
      </c>
      <c r="F76" s="13">
        <v>47.841740000000001</v>
      </c>
      <c r="G76" s="2">
        <v>51.159230000000001</v>
      </c>
      <c r="H76" s="2">
        <f t="shared" si="47"/>
        <v>3.3174899999999994</v>
      </c>
      <c r="I76" s="2">
        <f t="shared" si="48"/>
        <v>22.127339999999997</v>
      </c>
      <c r="J76" s="2">
        <f t="shared" si="50"/>
        <v>0.13037972743382448</v>
      </c>
      <c r="K76" s="2">
        <f t="shared" si="51"/>
        <v>0.86962027256617558</v>
      </c>
      <c r="L76" s="2">
        <f t="shared" si="52"/>
        <v>0.30143270966905711</v>
      </c>
      <c r="M76" s="2">
        <f t="shared" si="53"/>
        <v>3.930071452629081E-2</v>
      </c>
      <c r="N76" s="2">
        <f t="shared" si="54"/>
        <v>25.444829999999996</v>
      </c>
      <c r="O76" s="13">
        <v>19</v>
      </c>
      <c r="P76">
        <f t="shared" si="55"/>
        <v>5.7272214837120847</v>
      </c>
    </row>
    <row r="77" spans="4:37" x14ac:dyDescent="0.35">
      <c r="D77" s="155">
        <v>8</v>
      </c>
      <c r="F77" s="13">
        <v>73.286569999999998</v>
      </c>
      <c r="G77" s="2">
        <v>77.216560000000001</v>
      </c>
      <c r="H77" s="2">
        <f t="shared" si="47"/>
        <v>3.9299900000000036</v>
      </c>
      <c r="I77" s="2">
        <f t="shared" si="48"/>
        <v>17.207859999999997</v>
      </c>
      <c r="J77" s="2">
        <f t="shared" si="50"/>
        <v>0.18592193624233325</v>
      </c>
      <c r="K77" s="2">
        <f t="shared" si="51"/>
        <v>0.81407806375766678</v>
      </c>
      <c r="L77" s="2">
        <f t="shared" si="52"/>
        <v>0.25445357367321519</v>
      </c>
      <c r="M77" s="2">
        <f t="shared" si="53"/>
        <v>4.7308501101105363E-2</v>
      </c>
      <c r="N77" s="2">
        <f t="shared" si="54"/>
        <v>21.13785</v>
      </c>
      <c r="O77" s="13">
        <v>20</v>
      </c>
      <c r="P77">
        <f t="shared" si="55"/>
        <v>5.0890714734643048</v>
      </c>
    </row>
    <row r="78" spans="4:37" x14ac:dyDescent="0.35">
      <c r="D78" s="155">
        <v>8</v>
      </c>
      <c r="F78" s="13">
        <v>94.424419999999998</v>
      </c>
      <c r="G78" s="2">
        <v>97.731790000000004</v>
      </c>
      <c r="H78" s="2">
        <f t="shared" si="47"/>
        <v>3.3073700000000059</v>
      </c>
      <c r="I78" s="2">
        <f t="shared" si="48"/>
        <v>7.7171000000000021</v>
      </c>
      <c r="J78" s="2">
        <f t="shared" si="50"/>
        <v>0.30000263051194331</v>
      </c>
      <c r="K78" s="2">
        <f t="shared" si="51"/>
        <v>0.69999736948805669</v>
      </c>
      <c r="L78" s="2">
        <f t="shared" si="52"/>
        <v>0.30235504343330144</v>
      </c>
      <c r="M78" s="2">
        <f t="shared" si="53"/>
        <v>9.0707308378543308E-2</v>
      </c>
      <c r="N78" s="2">
        <f t="shared" si="54"/>
        <v>11.024470000000008</v>
      </c>
      <c r="O78" s="13">
        <v>18</v>
      </c>
      <c r="P78">
        <f t="shared" si="55"/>
        <v>5.4423907817994257</v>
      </c>
    </row>
    <row r="79" spans="4:37" ht="18.5" x14ac:dyDescent="0.45">
      <c r="D79" s="155">
        <v>8</v>
      </c>
      <c r="F79" s="13">
        <v>105.44889000000001</v>
      </c>
      <c r="G79" s="2">
        <v>110.5915</v>
      </c>
      <c r="H79" s="2">
        <f t="shared" si="47"/>
        <v>5.1426099999999906</v>
      </c>
      <c r="I79" s="2">
        <f t="shared" si="48"/>
        <v>9.4174900000000008</v>
      </c>
      <c r="J79" s="2">
        <f t="shared" si="50"/>
        <v>0.35319881044772999</v>
      </c>
      <c r="K79" s="2">
        <f t="shared" si="51"/>
        <v>0.64680118955226995</v>
      </c>
      <c r="L79" s="2">
        <f t="shared" si="52"/>
        <v>0.19445378902930649</v>
      </c>
      <c r="M79" s="2">
        <f t="shared" si="53"/>
        <v>6.8680846972204904E-2</v>
      </c>
      <c r="N79" s="2">
        <f t="shared" si="54"/>
        <v>14.560099999999991</v>
      </c>
      <c r="O79" s="13">
        <v>27</v>
      </c>
      <c r="P79">
        <f t="shared" si="55"/>
        <v>5.2502523037912754</v>
      </c>
      <c r="Y79" s="1" t="s">
        <v>405</v>
      </c>
      <c r="Z79" s="3"/>
      <c r="AA79" s="3"/>
      <c r="AB79" s="3"/>
      <c r="AC79" s="3"/>
      <c r="AD79" s="3"/>
      <c r="AE79" s="3"/>
      <c r="AF79" s="3"/>
      <c r="AG79" s="3"/>
      <c r="AH79" s="3"/>
    </row>
    <row r="80" spans="4:37" ht="16" thickBot="1" x14ac:dyDescent="0.4">
      <c r="D80" s="155">
        <v>0</v>
      </c>
      <c r="F80" s="13">
        <v>120.00899</v>
      </c>
      <c r="G80" s="2">
        <v>122.03736000000001</v>
      </c>
      <c r="H80" s="2">
        <f t="shared" si="47"/>
        <v>2.0283700000000096</v>
      </c>
      <c r="I80" s="2">
        <f t="shared" si="48"/>
        <v>11.531309999999991</v>
      </c>
      <c r="J80" s="2">
        <f t="shared" si="50"/>
        <v>0.14958833836786778</v>
      </c>
      <c r="K80" s="2">
        <f t="shared" si="51"/>
        <v>0.85041166163213222</v>
      </c>
      <c r="L80" s="2">
        <f t="shared" si="52"/>
        <v>0.49300669996105012</v>
      </c>
      <c r="M80" s="2">
        <f t="shared" si="53"/>
        <v>7.3748053051399448E-2</v>
      </c>
      <c r="N80" s="2">
        <f t="shared" si="54"/>
        <v>13.55968</v>
      </c>
      <c r="O80" s="13">
        <v>11</v>
      </c>
      <c r="P80">
        <f t="shared" si="55"/>
        <v>5.4230736995715514</v>
      </c>
      <c r="R80" t="s">
        <v>412</v>
      </c>
      <c r="W80" s="204" t="s">
        <v>406</v>
      </c>
      <c r="Y80" s="9" t="s">
        <v>1</v>
      </c>
      <c r="Z80" s="9" t="s">
        <v>2</v>
      </c>
      <c r="AA80" s="9" t="s">
        <v>3</v>
      </c>
      <c r="AB80" s="9" t="s">
        <v>4</v>
      </c>
      <c r="AC80" s="9" t="s">
        <v>5</v>
      </c>
      <c r="AD80" s="9" t="s">
        <v>6</v>
      </c>
      <c r="AE80" s="9" t="s">
        <v>7</v>
      </c>
      <c r="AF80" s="9" t="s">
        <v>8</v>
      </c>
      <c r="AG80" s="9" t="s">
        <v>9</v>
      </c>
      <c r="AH80" s="9" t="s">
        <v>10</v>
      </c>
      <c r="AI80" s="44" t="s">
        <v>139</v>
      </c>
      <c r="AK80" s="44" t="s">
        <v>138</v>
      </c>
    </row>
    <row r="81" spans="4:37" x14ac:dyDescent="0.35">
      <c r="D81" s="155">
        <v>0</v>
      </c>
      <c r="F81" s="13">
        <v>133.56867</v>
      </c>
      <c r="G81" s="2">
        <v>137.37457000000001</v>
      </c>
      <c r="H81" s="2">
        <f t="shared" si="47"/>
        <v>3.8059000000000083</v>
      </c>
      <c r="I81" s="2">
        <f t="shared" si="48"/>
        <v>14.142939999999982</v>
      </c>
      <c r="J81" s="2">
        <f t="shared" si="50"/>
        <v>0.21204155811740538</v>
      </c>
      <c r="K81" s="2">
        <f t="shared" si="51"/>
        <v>0.78795844188259467</v>
      </c>
      <c r="L81" s="2">
        <f t="shared" si="52"/>
        <v>0.26274994088126274</v>
      </c>
      <c r="M81" s="2">
        <f t="shared" si="53"/>
        <v>5.5713906859719102E-2</v>
      </c>
      <c r="N81" s="2">
        <f t="shared" si="54"/>
        <v>17.94883999999999</v>
      </c>
      <c r="O81" s="13">
        <v>19</v>
      </c>
      <c r="P81">
        <f t="shared" si="55"/>
        <v>4.9922488767439921</v>
      </c>
      <c r="W81" s="155">
        <v>-4</v>
      </c>
      <c r="Y81" s="2">
        <v>4.8953499999999996</v>
      </c>
      <c r="Z81" s="2">
        <v>10.68431</v>
      </c>
      <c r="AA81" s="2">
        <f t="shared" ref="AA81:AA104" si="58">Z81-Y81</f>
        <v>5.7889600000000003</v>
      </c>
      <c r="AB81" s="2">
        <f t="shared" ref="AB81:AB103" si="59">Y82-Z81</f>
        <v>4.4739599999999999</v>
      </c>
      <c r="AC81" s="2">
        <f t="shared" ref="AC81:AC103" si="60">AA81/AG81</f>
        <v>0.56406558757156833</v>
      </c>
      <c r="AD81" s="2">
        <f t="shared" ref="AD81:AD103" si="61">AB81/AG81</f>
        <v>0.43593441242843162</v>
      </c>
      <c r="AE81" s="2">
        <f t="shared" ref="AE81:AE103" si="62">1/AA81</f>
        <v>0.17274259970702854</v>
      </c>
      <c r="AF81" s="2">
        <f t="shared" ref="AF81:AF103" si="63">1/AG81</f>
        <v>9.7438156002385271E-2</v>
      </c>
      <c r="AG81" s="2">
        <f t="shared" ref="AG81:AG103" si="64">AA81+AB81</f>
        <v>10.262920000000001</v>
      </c>
      <c r="AH81" s="2">
        <v>43</v>
      </c>
      <c r="AI81">
        <f t="shared" ref="AI81:AI103" si="65">AH81/AA81</f>
        <v>7.427931787402227</v>
      </c>
      <c r="AK81" t="s">
        <v>428</v>
      </c>
    </row>
    <row r="82" spans="4:37" x14ac:dyDescent="0.35">
      <c r="D82" s="155">
        <v>0</v>
      </c>
      <c r="F82" s="13">
        <v>151.51750999999999</v>
      </c>
      <c r="G82" s="2">
        <v>155.91937999999999</v>
      </c>
      <c r="H82" s="2">
        <f t="shared" si="47"/>
        <v>4.4018700000000024</v>
      </c>
      <c r="I82" s="2">
        <f t="shared" si="48"/>
        <v>8.4917800000000057</v>
      </c>
      <c r="J82" s="2">
        <f t="shared" si="50"/>
        <v>0.34139828520240578</v>
      </c>
      <c r="K82" s="2">
        <f t="shared" si="51"/>
        <v>0.65860171479759422</v>
      </c>
      <c r="L82" s="2">
        <f t="shared" si="52"/>
        <v>0.22717617739733328</v>
      </c>
      <c r="M82" s="2">
        <f t="shared" si="53"/>
        <v>7.7557557402287119E-2</v>
      </c>
      <c r="N82" s="2">
        <f t="shared" si="54"/>
        <v>12.893650000000008</v>
      </c>
      <c r="O82" s="13">
        <v>25</v>
      </c>
      <c r="P82">
        <f t="shared" si="55"/>
        <v>5.6794044349333319</v>
      </c>
      <c r="W82" s="155">
        <v>-4</v>
      </c>
      <c r="Y82" s="2">
        <v>15.15827</v>
      </c>
      <c r="Z82" s="2">
        <v>19.112469999999998</v>
      </c>
      <c r="AA82" s="2">
        <f t="shared" si="58"/>
        <v>3.9541999999999984</v>
      </c>
      <c r="AB82" s="2">
        <f t="shared" si="59"/>
        <v>5.022630000000003</v>
      </c>
      <c r="AC82" s="2">
        <f t="shared" si="60"/>
        <v>0.44048957148570239</v>
      </c>
      <c r="AD82" s="2">
        <f t="shared" si="61"/>
        <v>0.55951042851429766</v>
      </c>
      <c r="AE82" s="2">
        <f t="shared" si="62"/>
        <v>0.25289565525264285</v>
      </c>
      <c r="AF82" s="2">
        <f t="shared" si="63"/>
        <v>0.11139789881283257</v>
      </c>
      <c r="AG82" s="2">
        <f t="shared" si="64"/>
        <v>8.9768300000000014</v>
      </c>
      <c r="AH82" s="2">
        <v>30</v>
      </c>
      <c r="AI82">
        <f t="shared" si="65"/>
        <v>7.5868696575792862</v>
      </c>
    </row>
    <row r="83" spans="4:37" x14ac:dyDescent="0.35">
      <c r="D83" s="155">
        <v>0</v>
      </c>
      <c r="F83" s="13">
        <v>164.41116</v>
      </c>
      <c r="G83" s="2">
        <v>168.58108999999999</v>
      </c>
      <c r="H83" s="2">
        <f t="shared" si="47"/>
        <v>4.1699299999999937</v>
      </c>
      <c r="I83" s="2">
        <f t="shared" si="48"/>
        <v>9.015420000000006</v>
      </c>
      <c r="J83" s="2">
        <f t="shared" si="50"/>
        <v>0.31625478277027108</v>
      </c>
      <c r="K83" s="2">
        <f t="shared" si="51"/>
        <v>0.68374521722972892</v>
      </c>
      <c r="L83" s="2">
        <f t="shared" si="52"/>
        <v>0.23981217910132821</v>
      </c>
      <c r="M83" s="2">
        <f t="shared" si="53"/>
        <v>7.5841748607355888E-2</v>
      </c>
      <c r="N83" s="2">
        <f t="shared" si="54"/>
        <v>13.18535</v>
      </c>
      <c r="O83" s="13">
        <v>22</v>
      </c>
      <c r="P83">
        <f t="shared" si="55"/>
        <v>5.2758679402292206</v>
      </c>
      <c r="W83" s="155">
        <v>-4</v>
      </c>
      <c r="Y83" s="13">
        <v>24.135100000000001</v>
      </c>
      <c r="Z83" s="2">
        <v>29.76784</v>
      </c>
      <c r="AA83" s="2">
        <f t="shared" si="58"/>
        <v>5.6327399999999983</v>
      </c>
      <c r="AB83" s="2">
        <f t="shared" si="59"/>
        <v>5.0050999999999988</v>
      </c>
      <c r="AC83" s="2">
        <f t="shared" si="60"/>
        <v>0.52950034969505089</v>
      </c>
      <c r="AD83" s="2">
        <f t="shared" si="61"/>
        <v>0.47049965030494911</v>
      </c>
      <c r="AE83" s="2">
        <f t="shared" si="62"/>
        <v>0.17753349169320798</v>
      </c>
      <c r="AF83" s="2">
        <f t="shared" si="63"/>
        <v>9.4004045934137026E-2</v>
      </c>
      <c r="AG83" s="2">
        <f t="shared" si="64"/>
        <v>10.637839999999997</v>
      </c>
      <c r="AH83" s="2">
        <v>41</v>
      </c>
      <c r="AI83">
        <f t="shared" si="65"/>
        <v>7.2788731594215275</v>
      </c>
    </row>
    <row r="84" spans="4:37" x14ac:dyDescent="0.35">
      <c r="D84" s="155">
        <v>0</v>
      </c>
      <c r="F84" s="13">
        <v>177.59650999999999</v>
      </c>
      <c r="G84" s="2">
        <v>181.17001999999999</v>
      </c>
      <c r="H84" s="2">
        <f t="shared" si="47"/>
        <v>3.5735099999999989</v>
      </c>
      <c r="I84" s="2">
        <f t="shared" si="48"/>
        <v>8.721429999999998</v>
      </c>
      <c r="J84" s="2">
        <f t="shared" si="50"/>
        <v>0.29064883602522662</v>
      </c>
      <c r="K84" s="2">
        <f t="shared" si="51"/>
        <v>0.70935116397477338</v>
      </c>
      <c r="L84" s="2">
        <f t="shared" si="52"/>
        <v>0.27983691104824115</v>
      </c>
      <c r="M84" s="2">
        <f t="shared" si="53"/>
        <v>8.1334272473066183E-2</v>
      </c>
      <c r="N84" s="2">
        <f t="shared" si="54"/>
        <v>12.294939999999997</v>
      </c>
      <c r="O84" s="13">
        <v>20</v>
      </c>
      <c r="P84">
        <f t="shared" si="55"/>
        <v>5.5967382209648235</v>
      </c>
      <c r="W84" s="155">
        <v>-4</v>
      </c>
      <c r="Y84" s="13">
        <v>34.772939999999998</v>
      </c>
      <c r="Z84" s="2">
        <v>39.763129999999997</v>
      </c>
      <c r="AA84" s="2">
        <f t="shared" si="58"/>
        <v>4.9901899999999983</v>
      </c>
      <c r="AB84" s="2">
        <f t="shared" si="59"/>
        <v>5.3581300000000027</v>
      </c>
      <c r="AC84" s="2">
        <f t="shared" si="60"/>
        <v>0.4822222351067611</v>
      </c>
      <c r="AD84" s="2">
        <f t="shared" si="61"/>
        <v>0.5177777648932389</v>
      </c>
      <c r="AE84" s="2">
        <f t="shared" si="62"/>
        <v>0.20039317140229135</v>
      </c>
      <c r="AF84" s="2">
        <f t="shared" si="63"/>
        <v>9.6634043013745216E-2</v>
      </c>
      <c r="AG84" s="2">
        <f t="shared" si="64"/>
        <v>10.348320000000001</v>
      </c>
      <c r="AH84" s="2">
        <v>33</v>
      </c>
      <c r="AI84">
        <f t="shared" si="65"/>
        <v>6.6129746562756146</v>
      </c>
    </row>
    <row r="85" spans="4:37" x14ac:dyDescent="0.35">
      <c r="D85" s="155">
        <v>0</v>
      </c>
      <c r="F85" s="13">
        <v>189.89144999999999</v>
      </c>
      <c r="G85" s="2">
        <v>192.61648</v>
      </c>
      <c r="H85" s="2">
        <f t="shared" si="47"/>
        <v>2.7250300000000038</v>
      </c>
      <c r="I85" s="2">
        <f t="shared" si="48"/>
        <v>10.393130000000014</v>
      </c>
      <c r="J85" s="2">
        <f t="shared" si="50"/>
        <v>0.20772959012544445</v>
      </c>
      <c r="K85" s="2">
        <f t="shared" si="51"/>
        <v>0.79227040987455555</v>
      </c>
      <c r="L85" s="2">
        <f t="shared" si="52"/>
        <v>0.36696843704472926</v>
      </c>
      <c r="M85" s="2">
        <f t="shared" si="53"/>
        <v>7.6230203016276574E-2</v>
      </c>
      <c r="N85" s="2">
        <f t="shared" si="54"/>
        <v>13.118160000000017</v>
      </c>
      <c r="O85" s="13">
        <v>16</v>
      </c>
      <c r="P85">
        <f t="shared" si="55"/>
        <v>5.8714949927156681</v>
      </c>
      <c r="W85" s="155">
        <v>-4</v>
      </c>
      <c r="Y85" s="13">
        <v>45.121259999999999</v>
      </c>
      <c r="Z85" s="2">
        <v>49.302480000000003</v>
      </c>
      <c r="AA85" s="2">
        <f t="shared" si="58"/>
        <v>4.1812200000000033</v>
      </c>
      <c r="AB85" s="2">
        <f t="shared" si="59"/>
        <v>5.1506799999999942</v>
      </c>
      <c r="AC85" s="2">
        <f t="shared" si="60"/>
        <v>0.44805666584511239</v>
      </c>
      <c r="AD85" s="2">
        <f t="shared" si="61"/>
        <v>0.55194333415488761</v>
      </c>
      <c r="AE85" s="2">
        <f t="shared" si="62"/>
        <v>0.2391646457254101</v>
      </c>
      <c r="AF85" s="2">
        <f t="shared" si="63"/>
        <v>0.10715931375175476</v>
      </c>
      <c r="AG85" s="2">
        <f t="shared" si="64"/>
        <v>9.3318999999999974</v>
      </c>
      <c r="AH85" s="2">
        <v>31</v>
      </c>
      <c r="AI85">
        <f t="shared" si="65"/>
        <v>7.4141040174877135</v>
      </c>
    </row>
    <row r="86" spans="4:37" x14ac:dyDescent="0.35">
      <c r="D86" s="155">
        <v>0</v>
      </c>
      <c r="F86" s="13">
        <v>203.00961000000001</v>
      </c>
      <c r="G86" s="2">
        <v>207.05206000000001</v>
      </c>
      <c r="H86" s="2">
        <f t="shared" si="47"/>
        <v>4.0424500000000023</v>
      </c>
      <c r="I86" s="2">
        <f t="shared" si="48"/>
        <v>7.9737599999999986</v>
      </c>
      <c r="J86" s="2">
        <f t="shared" si="50"/>
        <v>0.33641639085868191</v>
      </c>
      <c r="K86" s="2">
        <f t="shared" si="51"/>
        <v>0.66358360914131809</v>
      </c>
      <c r="L86" s="2">
        <f t="shared" si="52"/>
        <v>0.24737473561825116</v>
      </c>
      <c r="M86" s="2">
        <f t="shared" si="53"/>
        <v>8.3220915746312685E-2</v>
      </c>
      <c r="N86" s="2">
        <f t="shared" si="54"/>
        <v>12.016210000000001</v>
      </c>
      <c r="O86" s="13">
        <v>25</v>
      </c>
      <c r="P86">
        <f t="shared" si="55"/>
        <v>6.184368390456279</v>
      </c>
      <c r="W86" s="155">
        <v>-4</v>
      </c>
      <c r="Y86" s="13">
        <v>54.453159999999997</v>
      </c>
      <c r="Z86" s="2">
        <v>58.314230000000002</v>
      </c>
      <c r="AA86" s="2">
        <f t="shared" si="58"/>
        <v>3.8610700000000051</v>
      </c>
      <c r="AB86" s="2">
        <f t="shared" si="59"/>
        <v>5.1760999999999981</v>
      </c>
      <c r="AC86" s="2">
        <f t="shared" si="60"/>
        <v>0.42724326310117033</v>
      </c>
      <c r="AD86" s="2">
        <f t="shared" si="61"/>
        <v>0.57275673689882967</v>
      </c>
      <c r="AE86" s="2">
        <f t="shared" si="62"/>
        <v>0.2589955634059985</v>
      </c>
      <c r="AF86" s="2">
        <f t="shared" si="63"/>
        <v>0.11065410963830487</v>
      </c>
      <c r="AG86" s="2">
        <f t="shared" si="64"/>
        <v>9.0371700000000033</v>
      </c>
      <c r="AH86" s="2">
        <v>29</v>
      </c>
      <c r="AI86">
        <f t="shared" si="65"/>
        <v>7.5108713387739572</v>
      </c>
    </row>
    <row r="87" spans="4:37" x14ac:dyDescent="0.35">
      <c r="D87" s="155">
        <v>0</v>
      </c>
      <c r="F87" s="13">
        <v>215.02582000000001</v>
      </c>
      <c r="G87" s="2">
        <v>218.3663</v>
      </c>
      <c r="H87" s="2">
        <f t="shared" si="47"/>
        <v>3.3404799999999852</v>
      </c>
      <c r="I87" s="2">
        <f t="shared" si="48"/>
        <v>10.665490000000005</v>
      </c>
      <c r="J87" s="2">
        <f t="shared" si="50"/>
        <v>0.23850400936172128</v>
      </c>
      <c r="K87" s="2">
        <f t="shared" si="51"/>
        <v>0.76149599063827866</v>
      </c>
      <c r="L87" s="2">
        <f t="shared" si="52"/>
        <v>0.29935817607050619</v>
      </c>
      <c r="M87" s="2">
        <f t="shared" si="53"/>
        <v>7.1398125228027812E-2</v>
      </c>
      <c r="N87" s="2">
        <f t="shared" si="54"/>
        <v>14.005969999999991</v>
      </c>
      <c r="O87" s="13">
        <v>19</v>
      </c>
      <c r="P87">
        <f t="shared" si="55"/>
        <v>5.6878053453396173</v>
      </c>
      <c r="W87" s="155">
        <v>-4</v>
      </c>
      <c r="Y87" s="13">
        <v>63.49033</v>
      </c>
      <c r="Z87" s="2">
        <v>66.715469999999996</v>
      </c>
      <c r="AA87" s="2">
        <f t="shared" si="58"/>
        <v>3.2251399999999961</v>
      </c>
      <c r="AB87" s="2">
        <f t="shared" si="59"/>
        <v>5.2950000000000017</v>
      </c>
      <c r="AC87" s="2">
        <f t="shared" si="60"/>
        <v>0.37853133868692262</v>
      </c>
      <c r="AD87" s="2">
        <f t="shared" si="61"/>
        <v>0.62146866131307732</v>
      </c>
      <c r="AE87" s="2">
        <f t="shared" si="62"/>
        <v>0.31006405923463826</v>
      </c>
      <c r="AF87" s="2">
        <f t="shared" si="63"/>
        <v>0.1173689634207889</v>
      </c>
      <c r="AG87" s="2">
        <f t="shared" si="64"/>
        <v>8.5201399999999978</v>
      </c>
      <c r="AH87" s="2">
        <v>22</v>
      </c>
      <c r="AI87">
        <f t="shared" si="65"/>
        <v>6.8214093031620413</v>
      </c>
    </row>
    <row r="88" spans="4:37" x14ac:dyDescent="0.35">
      <c r="D88" s="155">
        <v>0</v>
      </c>
      <c r="F88" s="13">
        <v>229.03179</v>
      </c>
      <c r="G88" s="2">
        <v>233.13748000000001</v>
      </c>
      <c r="H88" s="2">
        <f t="shared" si="47"/>
        <v>4.1056900000000098</v>
      </c>
      <c r="I88" s="2"/>
      <c r="J88" s="2"/>
      <c r="K88" s="2"/>
      <c r="L88" s="2"/>
      <c r="M88" s="2"/>
      <c r="N88" s="2"/>
      <c r="O88" s="13"/>
      <c r="W88" s="155">
        <v>-4</v>
      </c>
      <c r="Y88" s="13">
        <v>72.010469999999998</v>
      </c>
      <c r="Z88" s="2">
        <v>76.128900000000002</v>
      </c>
      <c r="AA88" s="2">
        <f t="shared" si="58"/>
        <v>4.1184300000000036</v>
      </c>
      <c r="AB88" s="2">
        <f t="shared" si="59"/>
        <v>5.2633799999999979</v>
      </c>
      <c r="AC88" s="2">
        <f t="shared" si="60"/>
        <v>0.43898032469214393</v>
      </c>
      <c r="AD88" s="2">
        <f t="shared" si="61"/>
        <v>0.56101967530785601</v>
      </c>
      <c r="AE88" s="2">
        <f t="shared" si="62"/>
        <v>0.24281097408478453</v>
      </c>
      <c r="AF88" s="2">
        <f t="shared" si="63"/>
        <v>0.10658924024255446</v>
      </c>
      <c r="AG88" s="2">
        <f t="shared" si="64"/>
        <v>9.3818100000000015</v>
      </c>
      <c r="AH88" s="2">
        <v>31</v>
      </c>
      <c r="AI88">
        <f t="shared" si="65"/>
        <v>7.52714019662832</v>
      </c>
    </row>
    <row r="89" spans="4:37" x14ac:dyDescent="0.35">
      <c r="D89" s="155">
        <v>0</v>
      </c>
      <c r="F89" s="13"/>
      <c r="G89" s="13"/>
      <c r="H89" s="2"/>
      <c r="I89" s="2"/>
      <c r="J89" s="2"/>
      <c r="K89" s="2"/>
      <c r="L89" s="2"/>
      <c r="M89" s="2"/>
      <c r="N89" s="2"/>
      <c r="O89" s="2"/>
      <c r="W89" s="155">
        <v>-4</v>
      </c>
      <c r="Y89" s="13">
        <v>81.39228</v>
      </c>
      <c r="Z89" s="2">
        <v>85.571889999999996</v>
      </c>
      <c r="AA89" s="2">
        <f t="shared" si="58"/>
        <v>4.1796099999999967</v>
      </c>
      <c r="AB89" s="2">
        <f t="shared" si="59"/>
        <v>4.879170000000002</v>
      </c>
      <c r="AC89" s="2">
        <f t="shared" si="60"/>
        <v>0.46138773653847398</v>
      </c>
      <c r="AD89" s="2">
        <f t="shared" si="61"/>
        <v>0.53861226346152602</v>
      </c>
      <c r="AE89" s="2">
        <f t="shared" si="62"/>
        <v>0.23925677276109511</v>
      </c>
      <c r="AF89" s="2">
        <f t="shared" si="63"/>
        <v>0.1103901408357417</v>
      </c>
      <c r="AG89" s="2">
        <f t="shared" si="64"/>
        <v>9.0587799999999987</v>
      </c>
      <c r="AH89" s="2">
        <v>33</v>
      </c>
      <c r="AI89">
        <f t="shared" si="65"/>
        <v>7.8954735011161388</v>
      </c>
    </row>
    <row r="90" spans="4:37" x14ac:dyDescent="0.35">
      <c r="F90" s="13"/>
      <c r="G90" s="13"/>
      <c r="H90" s="2"/>
      <c r="I90" s="2"/>
      <c r="J90" s="2"/>
      <c r="K90" s="2"/>
      <c r="L90" s="2"/>
      <c r="M90" s="2"/>
      <c r="N90" s="2"/>
      <c r="O90" s="2"/>
      <c r="W90" s="155">
        <v>-4</v>
      </c>
      <c r="Y90" s="13">
        <v>90.451059999999998</v>
      </c>
      <c r="Z90" s="2">
        <v>94.729219999999998</v>
      </c>
      <c r="AA90" s="2">
        <f t="shared" si="58"/>
        <v>4.2781599999999997</v>
      </c>
      <c r="AB90" s="2">
        <f t="shared" si="59"/>
        <v>4.7815400000000068</v>
      </c>
      <c r="AC90" s="2">
        <f t="shared" si="60"/>
        <v>0.47221872688941097</v>
      </c>
      <c r="AD90" s="2">
        <f t="shared" si="61"/>
        <v>0.52778127311058898</v>
      </c>
      <c r="AE90" s="2">
        <f t="shared" si="62"/>
        <v>0.23374534846756551</v>
      </c>
      <c r="AF90" s="2">
        <f t="shared" si="63"/>
        <v>0.11037893086967551</v>
      </c>
      <c r="AG90" s="2">
        <f t="shared" si="64"/>
        <v>9.0597000000000065</v>
      </c>
      <c r="AH90" s="2">
        <v>31</v>
      </c>
      <c r="AI90">
        <f t="shared" si="65"/>
        <v>7.2461058024945304</v>
      </c>
    </row>
    <row r="91" spans="4:37" x14ac:dyDescent="0.35">
      <c r="F91" s="13"/>
      <c r="W91" s="155">
        <v>-4</v>
      </c>
      <c r="Y91" s="13">
        <v>99.510760000000005</v>
      </c>
      <c r="Z91" s="2">
        <v>103.84206</v>
      </c>
      <c r="AA91" s="2">
        <f t="shared" si="58"/>
        <v>4.3312999999999988</v>
      </c>
      <c r="AB91" s="2">
        <f t="shared" si="59"/>
        <v>5.7915500000000009</v>
      </c>
      <c r="AC91" s="2">
        <f t="shared" si="60"/>
        <v>0.42787357315380542</v>
      </c>
      <c r="AD91" s="2">
        <f t="shared" si="61"/>
        <v>0.57212642684619464</v>
      </c>
      <c r="AE91" s="2">
        <f t="shared" si="62"/>
        <v>0.23087756562694808</v>
      </c>
      <c r="AF91" s="2">
        <f t="shared" si="63"/>
        <v>9.8786408965854486E-2</v>
      </c>
      <c r="AG91" s="2">
        <f t="shared" si="64"/>
        <v>10.12285</v>
      </c>
      <c r="AH91" s="2">
        <v>33</v>
      </c>
      <c r="AI91">
        <f t="shared" si="65"/>
        <v>7.6189596656892871</v>
      </c>
    </row>
    <row r="92" spans="4:37" ht="16" thickBot="1" x14ac:dyDescent="0.4">
      <c r="F92" s="13"/>
      <c r="G92" s="13"/>
      <c r="H92" s="9" t="s">
        <v>3</v>
      </c>
      <c r="I92" s="9" t="s">
        <v>4</v>
      </c>
      <c r="J92" s="9" t="s">
        <v>5</v>
      </c>
      <c r="K92" s="9" t="s">
        <v>6</v>
      </c>
      <c r="L92" s="9" t="s">
        <v>7</v>
      </c>
      <c r="M92" s="9" t="s">
        <v>8</v>
      </c>
      <c r="N92" s="9" t="s">
        <v>9</v>
      </c>
      <c r="O92" s="9" t="s">
        <v>10</v>
      </c>
      <c r="P92" s="44" t="s">
        <v>139</v>
      </c>
      <c r="W92" s="155">
        <v>-4</v>
      </c>
      <c r="Y92" s="13">
        <v>109.63361</v>
      </c>
      <c r="Z92" s="2">
        <v>113.81077000000001</v>
      </c>
      <c r="AA92" s="2">
        <f t="shared" si="58"/>
        <v>4.1771600000000007</v>
      </c>
      <c r="AB92" s="2">
        <f t="shared" si="59"/>
        <v>4.7599099999999908</v>
      </c>
      <c r="AC92" s="2">
        <f t="shared" si="60"/>
        <v>0.46739703280829226</v>
      </c>
      <c r="AD92" s="2">
        <f t="shared" si="61"/>
        <v>0.53260296719170774</v>
      </c>
      <c r="AE92" s="2">
        <f t="shared" si="62"/>
        <v>0.23939710233747327</v>
      </c>
      <c r="AF92" s="2">
        <f t="shared" si="63"/>
        <v>0.1118934952954381</v>
      </c>
      <c r="AG92" s="2">
        <f t="shared" si="64"/>
        <v>8.9370699999999914</v>
      </c>
      <c r="AH92" s="2">
        <v>33</v>
      </c>
      <c r="AI92">
        <f t="shared" si="65"/>
        <v>7.9001043771366177</v>
      </c>
    </row>
    <row r="93" spans="4:37" x14ac:dyDescent="0.35">
      <c r="E93" s="104" t="s">
        <v>413</v>
      </c>
      <c r="F93" s="13"/>
      <c r="G93" s="49" t="s">
        <v>77</v>
      </c>
      <c r="H93" s="13">
        <f>AVERAGE(H73:H79)</f>
        <v>3.739632857142857</v>
      </c>
      <c r="I93" s="13">
        <f t="shared" ref="I93:P93" si="66">AVERAGE(I73:I79)</f>
        <v>12.33461142857143</v>
      </c>
      <c r="J93" s="13">
        <f t="shared" si="66"/>
        <v>0.25064535456369624</v>
      </c>
      <c r="K93" s="13">
        <f t="shared" si="66"/>
        <v>0.74935464543630381</v>
      </c>
      <c r="L93" s="13">
        <f t="shared" si="66"/>
        <v>0.27352853983980319</v>
      </c>
      <c r="M93" s="13">
        <f t="shared" si="66"/>
        <v>6.7202510719246975E-2</v>
      </c>
      <c r="N93" s="13">
        <f t="shared" si="66"/>
        <v>16.074244285714286</v>
      </c>
      <c r="O93" s="13">
        <f t="shared" si="66"/>
        <v>20</v>
      </c>
      <c r="P93" s="13">
        <f t="shared" si="66"/>
        <v>5.361953977018298</v>
      </c>
      <c r="W93" s="155">
        <v>-4</v>
      </c>
      <c r="Y93" s="13">
        <v>118.57068</v>
      </c>
      <c r="Z93" s="2">
        <v>123.65543</v>
      </c>
      <c r="AA93" s="2">
        <f t="shared" si="58"/>
        <v>5.0847499999999997</v>
      </c>
      <c r="AB93" s="2">
        <f t="shared" si="59"/>
        <v>4.2934800000000024</v>
      </c>
      <c r="AC93" s="2">
        <f t="shared" si="60"/>
        <v>0.54218653200017475</v>
      </c>
      <c r="AD93" s="2">
        <f t="shared" si="61"/>
        <v>0.45781346799982531</v>
      </c>
      <c r="AE93" s="2">
        <f t="shared" si="62"/>
        <v>0.19666650277791436</v>
      </c>
      <c r="AF93" s="2">
        <f t="shared" si="63"/>
        <v>0.10662992910176011</v>
      </c>
      <c r="AG93" s="2">
        <f t="shared" si="64"/>
        <v>9.3782300000000021</v>
      </c>
      <c r="AH93" s="2">
        <v>15</v>
      </c>
      <c r="AI93">
        <f t="shared" si="65"/>
        <v>2.9499975416687154</v>
      </c>
    </row>
    <row r="94" spans="4:37" x14ac:dyDescent="0.35">
      <c r="E94" s="104"/>
      <c r="F94" s="13"/>
      <c r="G94" s="49" t="s">
        <v>94</v>
      </c>
      <c r="H94" s="2">
        <f>_xlfn.STDEV.S(H73:H79)</f>
        <v>0.66920008698729672</v>
      </c>
      <c r="I94" s="2">
        <f t="shared" ref="I94:P94" si="67">_xlfn.STDEV.S(I73:I79)</f>
        <v>5.3256072582552463</v>
      </c>
      <c r="J94" s="2">
        <f t="shared" si="67"/>
        <v>7.5802754664492766E-2</v>
      </c>
      <c r="K94" s="2">
        <f t="shared" si="67"/>
        <v>7.580275466449285E-2</v>
      </c>
      <c r="L94" s="2">
        <f t="shared" si="67"/>
        <v>4.0283939510743223E-2</v>
      </c>
      <c r="M94" s="2">
        <f t="shared" si="67"/>
        <v>1.8306726335770067E-2</v>
      </c>
      <c r="N94" s="2">
        <f t="shared" si="67"/>
        <v>5.2455575219794515</v>
      </c>
      <c r="O94" s="2">
        <f t="shared" si="67"/>
        <v>3.2659863237109041</v>
      </c>
      <c r="P94" s="2">
        <f t="shared" si="67"/>
        <v>0.19845108772361558</v>
      </c>
      <c r="W94" s="155">
        <v>0</v>
      </c>
      <c r="Y94" s="13">
        <v>127.94891</v>
      </c>
      <c r="Z94" s="2">
        <v>132.78364999999999</v>
      </c>
      <c r="AA94" s="2">
        <f t="shared" si="58"/>
        <v>4.8347399999999965</v>
      </c>
      <c r="AB94" s="2">
        <f t="shared" si="59"/>
        <v>4.987150000000014</v>
      </c>
      <c r="AC94" s="2">
        <f t="shared" si="60"/>
        <v>0.49224130997190879</v>
      </c>
      <c r="AD94" s="2">
        <f t="shared" si="61"/>
        <v>0.50775869002809115</v>
      </c>
      <c r="AE94" s="2">
        <f t="shared" si="62"/>
        <v>0.20683635521248314</v>
      </c>
      <c r="AF94" s="2">
        <f t="shared" si="63"/>
        <v>0.10181339843960775</v>
      </c>
      <c r="AG94" s="2">
        <f t="shared" si="64"/>
        <v>9.8218900000000104</v>
      </c>
      <c r="AH94" s="2">
        <v>27</v>
      </c>
      <c r="AI94">
        <f t="shared" si="65"/>
        <v>5.5845815907370451</v>
      </c>
      <c r="AK94" t="s">
        <v>429</v>
      </c>
    </row>
    <row r="95" spans="4:37" x14ac:dyDescent="0.35">
      <c r="E95" s="104"/>
      <c r="F95" s="13"/>
      <c r="G95" s="49" t="s">
        <v>95</v>
      </c>
      <c r="H95" s="2">
        <f>H94/(SQRT(COUNT(H73:H79)))</f>
        <v>0.2529338582158826</v>
      </c>
      <c r="I95" s="2">
        <f t="shared" ref="I95:P95" si="68">I94/(SQRT(COUNT(I73:I79)))</f>
        <v>2.0128903408205594</v>
      </c>
      <c r="J95" s="2">
        <f t="shared" si="68"/>
        <v>2.8650748219412749E-2</v>
      </c>
      <c r="K95" s="2">
        <f t="shared" si="68"/>
        <v>2.865074821941278E-2</v>
      </c>
      <c r="L95" s="2">
        <f t="shared" si="68"/>
        <v>1.5225897967913649E-2</v>
      </c>
      <c r="M95" s="2">
        <f t="shared" si="68"/>
        <v>6.9192921720234741E-3</v>
      </c>
      <c r="N95" s="2">
        <f t="shared" si="68"/>
        <v>1.9826343844345511</v>
      </c>
      <c r="O95" s="2">
        <f t="shared" si="68"/>
        <v>1.2344267996967353</v>
      </c>
      <c r="P95" s="2">
        <f t="shared" si="68"/>
        <v>7.5007460789564287E-2</v>
      </c>
      <c r="W95" s="155">
        <v>0</v>
      </c>
      <c r="Y95" s="13">
        <v>137.77080000000001</v>
      </c>
      <c r="Z95" s="13">
        <v>143.66727</v>
      </c>
      <c r="AA95" s="2">
        <f t="shared" si="58"/>
        <v>5.8964699999999937</v>
      </c>
      <c r="AB95" s="2">
        <f t="shared" si="59"/>
        <v>4.5292100000000062</v>
      </c>
      <c r="AC95" s="2">
        <f t="shared" si="60"/>
        <v>0.56557174208300987</v>
      </c>
      <c r="AD95" s="2">
        <f t="shared" si="61"/>
        <v>0.43442825791699019</v>
      </c>
      <c r="AE95" s="2">
        <f t="shared" si="62"/>
        <v>0.16959299377424139</v>
      </c>
      <c r="AF95" s="2">
        <f t="shared" si="63"/>
        <v>9.5917004933970734E-2</v>
      </c>
      <c r="AG95" s="2">
        <f t="shared" si="64"/>
        <v>10.42568</v>
      </c>
      <c r="AH95" s="2">
        <v>36</v>
      </c>
      <c r="AI95">
        <f t="shared" si="65"/>
        <v>6.1053477758726897</v>
      </c>
    </row>
    <row r="96" spans="4:37" x14ac:dyDescent="0.35">
      <c r="E96" s="104"/>
      <c r="W96" s="155">
        <v>0</v>
      </c>
      <c r="Y96" s="13">
        <v>148.19648000000001</v>
      </c>
      <c r="Z96" s="13">
        <v>152.08206000000001</v>
      </c>
      <c r="AA96" s="2">
        <f t="shared" si="58"/>
        <v>3.8855800000000045</v>
      </c>
      <c r="AB96" s="2">
        <f t="shared" si="59"/>
        <v>6.3931199999999819</v>
      </c>
      <c r="AC96" s="2">
        <f t="shared" si="60"/>
        <v>0.37802251257454828</v>
      </c>
      <c r="AD96" s="2">
        <f t="shared" si="61"/>
        <v>0.62197748742545167</v>
      </c>
      <c r="AE96" s="2">
        <f t="shared" si="62"/>
        <v>0.25736183529871959</v>
      </c>
      <c r="AF96" s="2">
        <f t="shared" si="63"/>
        <v>9.7288567620419056E-2</v>
      </c>
      <c r="AG96" s="2">
        <f t="shared" si="64"/>
        <v>10.278699999999986</v>
      </c>
      <c r="AH96" s="2">
        <v>47</v>
      </c>
      <c r="AI96">
        <f t="shared" si="65"/>
        <v>12.09600625903982</v>
      </c>
    </row>
    <row r="97" spans="4:35" x14ac:dyDescent="0.35">
      <c r="E97" s="104"/>
      <c r="W97" s="155">
        <v>0</v>
      </c>
      <c r="Y97" s="13">
        <v>158.47517999999999</v>
      </c>
      <c r="Z97">
        <v>164.0513</v>
      </c>
      <c r="AA97" s="2">
        <f t="shared" si="58"/>
        <v>5.5761200000000031</v>
      </c>
      <c r="AB97" s="2">
        <f t="shared" si="59"/>
        <v>6.3469300000000146</v>
      </c>
      <c r="AC97" s="2">
        <f t="shared" si="60"/>
        <v>0.46767563668692114</v>
      </c>
      <c r="AD97" s="2">
        <f t="shared" si="61"/>
        <v>0.53232436331307886</v>
      </c>
      <c r="AE97" s="2">
        <f t="shared" si="62"/>
        <v>0.17933616923595608</v>
      </c>
      <c r="AF97" s="2">
        <f t="shared" si="63"/>
        <v>8.3871157128419194E-2</v>
      </c>
      <c r="AG97" s="2">
        <f t="shared" si="64"/>
        <v>11.923050000000018</v>
      </c>
      <c r="AH97" s="2">
        <v>28</v>
      </c>
      <c r="AI97">
        <f t="shared" si="65"/>
        <v>5.0214127386067702</v>
      </c>
    </row>
    <row r="98" spans="4:35" ht="16" thickBot="1" x14ac:dyDescent="0.4">
      <c r="E98" s="104"/>
      <c r="G98" s="13"/>
      <c r="H98" s="9" t="s">
        <v>3</v>
      </c>
      <c r="I98" s="9" t="s">
        <v>4</v>
      </c>
      <c r="J98" s="9" t="s">
        <v>5</v>
      </c>
      <c r="K98" s="9" t="s">
        <v>6</v>
      </c>
      <c r="L98" s="9" t="s">
        <v>7</v>
      </c>
      <c r="M98" s="9" t="s">
        <v>8</v>
      </c>
      <c r="N98" s="9" t="s">
        <v>9</v>
      </c>
      <c r="O98" s="9" t="s">
        <v>10</v>
      </c>
      <c r="P98" s="44" t="s">
        <v>139</v>
      </c>
      <c r="W98" s="155">
        <v>0</v>
      </c>
      <c r="Y98">
        <v>170.39823000000001</v>
      </c>
      <c r="Z98">
        <v>176.24360999999999</v>
      </c>
      <c r="AA98" s="2">
        <f t="shared" si="58"/>
        <v>5.8453799999999774</v>
      </c>
      <c r="AB98" s="2">
        <f t="shared" si="59"/>
        <v>5.2131700000000194</v>
      </c>
      <c r="AC98" s="2">
        <f t="shared" si="60"/>
        <v>0.52858466978039431</v>
      </c>
      <c r="AD98" s="2">
        <f t="shared" si="61"/>
        <v>0.47141533021960574</v>
      </c>
      <c r="AE98" s="2">
        <f t="shared" si="62"/>
        <v>0.17107527654318519</v>
      </c>
      <c r="AF98" s="2">
        <f t="shared" si="63"/>
        <v>9.0427768559169175E-2</v>
      </c>
      <c r="AG98" s="2">
        <f t="shared" si="64"/>
        <v>11.058549999999997</v>
      </c>
      <c r="AH98" s="2">
        <v>38</v>
      </c>
      <c r="AI98">
        <f t="shared" si="65"/>
        <v>6.5008605086410371</v>
      </c>
    </row>
    <row r="99" spans="4:35" x14ac:dyDescent="0.35">
      <c r="E99" s="104" t="s">
        <v>410</v>
      </c>
      <c r="G99" s="49" t="s">
        <v>77</v>
      </c>
      <c r="H99" s="13">
        <f>AVERAGE(H80:H87)</f>
        <v>3.5109425000000005</v>
      </c>
      <c r="I99" s="13">
        <f t="shared" ref="I99:P99" si="69">AVERAGE(I80:I87)</f>
        <v>10.1169075</v>
      </c>
      <c r="J99" s="13">
        <f t="shared" si="69"/>
        <v>0.26157272385362801</v>
      </c>
      <c r="K99" s="13">
        <f t="shared" si="69"/>
        <v>0.73842727614637205</v>
      </c>
      <c r="L99" s="13">
        <f t="shared" si="69"/>
        <v>0.30203540714033772</v>
      </c>
      <c r="M99" s="13">
        <f t="shared" si="69"/>
        <v>7.43805977980556E-2</v>
      </c>
      <c r="N99" s="13">
        <f t="shared" si="69"/>
        <v>13.62785</v>
      </c>
      <c r="O99" s="13">
        <f t="shared" si="69"/>
        <v>19.625</v>
      </c>
      <c r="P99" s="13">
        <f t="shared" si="69"/>
        <v>5.5888752376193107</v>
      </c>
      <c r="W99" s="155">
        <v>0</v>
      </c>
      <c r="Y99">
        <v>181.45678000000001</v>
      </c>
      <c r="Z99">
        <v>186.45000999999999</v>
      </c>
      <c r="AA99" s="2">
        <f t="shared" si="58"/>
        <v>4.9932299999999827</v>
      </c>
      <c r="AB99" s="2">
        <f t="shared" si="59"/>
        <v>4.5623999999999967</v>
      </c>
      <c r="AC99" s="2">
        <f t="shared" si="60"/>
        <v>0.52254325460487627</v>
      </c>
      <c r="AD99" s="2">
        <f t="shared" si="61"/>
        <v>0.47745674539512378</v>
      </c>
      <c r="AE99" s="2">
        <f t="shared" si="62"/>
        <v>0.20027116716033577</v>
      </c>
      <c r="AF99" s="2">
        <f t="shared" si="63"/>
        <v>0.10465034749147907</v>
      </c>
      <c r="AG99" s="2">
        <f t="shared" si="64"/>
        <v>9.5556299999999794</v>
      </c>
      <c r="AH99" s="2">
        <v>43</v>
      </c>
      <c r="AI99">
        <f t="shared" si="65"/>
        <v>8.6116601878944383</v>
      </c>
    </row>
    <row r="100" spans="4:35" x14ac:dyDescent="0.35">
      <c r="G100" s="49" t="s">
        <v>94</v>
      </c>
      <c r="H100" s="2">
        <f>_xlfn.STDEV.S(H80:H87)</f>
        <v>0.7969735894665142</v>
      </c>
      <c r="I100" s="2">
        <f t="shared" ref="I100:P100" si="70">_xlfn.STDEV.S(I80:I87)</f>
        <v>2.0347504766485236</v>
      </c>
      <c r="J100" s="2">
        <f t="shared" si="70"/>
        <v>6.9932957907231377E-2</v>
      </c>
      <c r="K100" s="2">
        <f t="shared" si="70"/>
        <v>6.9932957907231363E-2</v>
      </c>
      <c r="L100" s="2">
        <f t="shared" si="70"/>
        <v>8.8795949959829645E-2</v>
      </c>
      <c r="M100" s="2">
        <f t="shared" si="70"/>
        <v>8.4506507988162186E-3</v>
      </c>
      <c r="N100" s="2">
        <f t="shared" si="70"/>
        <v>1.8588494447295576</v>
      </c>
      <c r="O100" s="2">
        <f t="shared" si="70"/>
        <v>4.6579425255608911</v>
      </c>
      <c r="P100" s="2">
        <f t="shared" si="70"/>
        <v>0.36527040513319498</v>
      </c>
      <c r="W100" s="155">
        <v>0</v>
      </c>
      <c r="Y100">
        <v>191.01240999999999</v>
      </c>
      <c r="Z100">
        <v>194.86129</v>
      </c>
      <c r="AA100" s="2">
        <f t="shared" si="58"/>
        <v>3.8488800000000083</v>
      </c>
      <c r="AB100" s="2">
        <f t="shared" si="59"/>
        <v>4.0041999999999973</v>
      </c>
      <c r="AC100" s="2">
        <f t="shared" si="60"/>
        <v>0.49011088642927431</v>
      </c>
      <c r="AD100" s="2">
        <f t="shared" si="61"/>
        <v>0.50988911357072564</v>
      </c>
      <c r="AE100" s="2">
        <f t="shared" si="62"/>
        <v>0.25981584253081358</v>
      </c>
      <c r="AF100" s="2">
        <f t="shared" si="63"/>
        <v>0.12733857289114581</v>
      </c>
      <c r="AG100" s="2">
        <f t="shared" si="64"/>
        <v>7.8530800000000056</v>
      </c>
      <c r="AH100" s="2">
        <v>40</v>
      </c>
      <c r="AI100">
        <f t="shared" si="65"/>
        <v>10.392633701232544</v>
      </c>
    </row>
    <row r="101" spans="4:35" x14ac:dyDescent="0.35">
      <c r="G101" s="49" t="s">
        <v>95</v>
      </c>
      <c r="H101" s="2">
        <f>H100/(SQRT(COUNT(H80:H87)))</f>
        <v>0.28177271476917787</v>
      </c>
      <c r="I101" s="2">
        <f t="shared" ref="I101:P101" si="71">I100/(SQRT(COUNT(I80:I87)))</f>
        <v>0.71939293003036542</v>
      </c>
      <c r="J101" s="2">
        <f t="shared" si="71"/>
        <v>2.4725034382318347E-2</v>
      </c>
      <c r="K101" s="2">
        <f t="shared" si="71"/>
        <v>2.472503438231834E-2</v>
      </c>
      <c r="L101" s="2">
        <f t="shared" si="71"/>
        <v>3.1394109179248439E-2</v>
      </c>
      <c r="M101" s="2">
        <f t="shared" si="71"/>
        <v>2.9877562426412312E-3</v>
      </c>
      <c r="N101" s="2">
        <f t="shared" si="71"/>
        <v>0.6572025237865593</v>
      </c>
      <c r="O101" s="2">
        <f t="shared" si="71"/>
        <v>1.6468313731006496</v>
      </c>
      <c r="P101" s="2">
        <f t="shared" si="71"/>
        <v>0.12914259021821983</v>
      </c>
      <c r="W101" s="155">
        <v>0</v>
      </c>
      <c r="Y101">
        <v>198.86548999999999</v>
      </c>
      <c r="Z101">
        <v>203.26058</v>
      </c>
      <c r="AA101" s="2">
        <f t="shared" si="58"/>
        <v>4.3950900000000104</v>
      </c>
      <c r="AB101" s="2">
        <f t="shared" si="59"/>
        <v>5.136889999999994</v>
      </c>
      <c r="AC101" s="2">
        <f t="shared" si="60"/>
        <v>0.46108888184826324</v>
      </c>
      <c r="AD101" s="2">
        <f t="shared" si="61"/>
        <v>0.53891111815173676</v>
      </c>
      <c r="AE101" s="2">
        <f t="shared" si="62"/>
        <v>0.22752662630344261</v>
      </c>
      <c r="AF101" s="2">
        <f t="shared" si="63"/>
        <v>0.104909997712962</v>
      </c>
      <c r="AG101" s="2">
        <f t="shared" si="64"/>
        <v>9.5319800000000043</v>
      </c>
      <c r="AH101" s="2">
        <v>31</v>
      </c>
      <c r="AI101">
        <f t="shared" si="65"/>
        <v>7.0533254154067215</v>
      </c>
    </row>
    <row r="102" spans="4:35" x14ac:dyDescent="0.35">
      <c r="W102" s="155">
        <v>0</v>
      </c>
      <c r="Y102">
        <v>208.39747</v>
      </c>
      <c r="Z102">
        <v>213.53854999999999</v>
      </c>
      <c r="AA102" s="2">
        <f t="shared" si="58"/>
        <v>5.1410799999999881</v>
      </c>
      <c r="AB102" s="2">
        <f t="shared" si="59"/>
        <v>4.8007500000000221</v>
      </c>
      <c r="AC102" s="2">
        <f t="shared" si="60"/>
        <v>0.51711606414513056</v>
      </c>
      <c r="AD102" s="2">
        <f t="shared" si="61"/>
        <v>0.48288393585486949</v>
      </c>
      <c r="AE102" s="2">
        <f t="shared" si="62"/>
        <v>0.19451165902884263</v>
      </c>
      <c r="AF102" s="2">
        <f t="shared" si="63"/>
        <v>0.10058510354733474</v>
      </c>
      <c r="AG102" s="2">
        <f t="shared" si="64"/>
        <v>9.9418300000000102</v>
      </c>
      <c r="AH102" s="2">
        <v>36</v>
      </c>
      <c r="AI102">
        <f t="shared" si="65"/>
        <v>7.0024197250383349</v>
      </c>
    </row>
    <row r="103" spans="4:35" x14ac:dyDescent="0.35">
      <c r="W103" s="155">
        <v>0</v>
      </c>
      <c r="Y103">
        <v>218.33930000000001</v>
      </c>
      <c r="Z103">
        <v>223.64549</v>
      </c>
      <c r="AA103" s="2">
        <f t="shared" si="58"/>
        <v>5.3061899999999866</v>
      </c>
      <c r="AB103" s="2">
        <f t="shared" si="59"/>
        <v>4.9955199999999991</v>
      </c>
      <c r="AC103" s="2">
        <f t="shared" si="60"/>
        <v>0.5150785646266488</v>
      </c>
      <c r="AD103" s="2">
        <f t="shared" si="61"/>
        <v>0.4849214353733512</v>
      </c>
      <c r="AE103" s="2">
        <f t="shared" si="62"/>
        <v>0.18845913923172794</v>
      </c>
      <c r="AF103" s="2">
        <f t="shared" si="63"/>
        <v>9.7071262926252178E-2</v>
      </c>
      <c r="AG103" s="2">
        <f t="shared" si="64"/>
        <v>10.301709999999986</v>
      </c>
      <c r="AH103" s="2">
        <v>42</v>
      </c>
      <c r="AI103">
        <f t="shared" si="65"/>
        <v>7.9152838477325735</v>
      </c>
    </row>
    <row r="104" spans="4:35" x14ac:dyDescent="0.35">
      <c r="W104" s="155">
        <v>0</v>
      </c>
      <c r="Y104">
        <v>228.64100999999999</v>
      </c>
      <c r="Z104">
        <v>235.16910999999999</v>
      </c>
      <c r="AA104" s="2">
        <f t="shared" si="58"/>
        <v>6.5280999999999949</v>
      </c>
      <c r="AB104" s="2"/>
      <c r="AC104" s="2"/>
      <c r="AD104" s="2"/>
      <c r="AE104" s="2"/>
      <c r="AF104" s="2"/>
      <c r="AG104" s="2"/>
      <c r="AH104" s="2"/>
    </row>
    <row r="105" spans="4:35" x14ac:dyDescent="0.35">
      <c r="W105" s="155"/>
      <c r="AA105" s="2"/>
      <c r="AB105" s="2"/>
      <c r="AC105" s="2"/>
      <c r="AD105" s="2"/>
      <c r="AE105" s="2"/>
      <c r="AF105" s="2"/>
      <c r="AG105" s="2"/>
      <c r="AH105" s="2"/>
    </row>
    <row r="106" spans="4:35" ht="18.5" x14ac:dyDescent="0.45">
      <c r="F106" s="1" t="s">
        <v>405</v>
      </c>
      <c r="G106" s="3"/>
      <c r="H106" s="3"/>
      <c r="I106" s="3"/>
      <c r="J106" s="3"/>
      <c r="K106" s="3"/>
      <c r="L106" s="3"/>
      <c r="M106" s="3"/>
      <c r="N106" s="3"/>
      <c r="O106" s="3"/>
    </row>
    <row r="107" spans="4:35" ht="16" thickBot="1" x14ac:dyDescent="0.4">
      <c r="D107" s="204" t="s">
        <v>406</v>
      </c>
      <c r="F107" s="9" t="s">
        <v>1</v>
      </c>
      <c r="G107" s="9" t="s">
        <v>2</v>
      </c>
      <c r="H107" s="9" t="s">
        <v>3</v>
      </c>
      <c r="I107" s="9" t="s">
        <v>4</v>
      </c>
      <c r="J107" s="9" t="s">
        <v>5</v>
      </c>
      <c r="K107" s="9" t="s">
        <v>6</v>
      </c>
      <c r="L107" s="9" t="s">
        <v>7</v>
      </c>
      <c r="M107" s="9" t="s">
        <v>8</v>
      </c>
      <c r="N107" s="9" t="s">
        <v>9</v>
      </c>
      <c r="O107" s="9" t="s">
        <v>10</v>
      </c>
      <c r="P107" s="44" t="s">
        <v>139</v>
      </c>
      <c r="R107" s="44" t="s">
        <v>138</v>
      </c>
    </row>
    <row r="108" spans="4:35" x14ac:dyDescent="0.35">
      <c r="D108" s="155">
        <v>10</v>
      </c>
      <c r="F108" s="2">
        <v>1.83463</v>
      </c>
      <c r="G108" s="2">
        <v>5.2265499999999996</v>
      </c>
      <c r="H108" s="2">
        <f>G108-F108</f>
        <v>3.3919199999999998</v>
      </c>
      <c r="I108" s="2">
        <f>F109-G108</f>
        <v>7.5035600000000002</v>
      </c>
      <c r="J108" s="2">
        <f>H108/N108</f>
        <v>0.31131441662047016</v>
      </c>
      <c r="K108" s="2">
        <f>I108/N108</f>
        <v>0.6886855833795299</v>
      </c>
      <c r="L108" s="2">
        <f>1/H108</f>
        <v>0.29481827401589661</v>
      </c>
      <c r="M108" s="2">
        <f>1/N108</f>
        <v>9.1781178984312761E-2</v>
      </c>
      <c r="N108" s="2">
        <f>H108+I108</f>
        <v>10.895479999999999</v>
      </c>
      <c r="O108" s="2">
        <v>19</v>
      </c>
      <c r="P108">
        <f>O108/H108</f>
        <v>5.601547206302036</v>
      </c>
      <c r="R108" t="s">
        <v>415</v>
      </c>
    </row>
    <row r="109" spans="4:35" ht="16" thickBot="1" x14ac:dyDescent="0.4">
      <c r="D109" s="155">
        <v>10</v>
      </c>
      <c r="F109" s="2">
        <v>12.73011</v>
      </c>
      <c r="G109" s="2">
        <v>16.680630000000001</v>
      </c>
      <c r="H109" s="2">
        <f t="shared" ref="H109:H128" si="72">G109-F109</f>
        <v>3.9505200000000009</v>
      </c>
      <c r="I109" s="2">
        <f t="shared" ref="I109:I127" si="73">F110-G109</f>
        <v>7.2023599999999988</v>
      </c>
      <c r="J109" s="2">
        <f t="shared" ref="J109:J127" si="74">H109/N109</f>
        <v>0.35421523409200145</v>
      </c>
      <c r="K109" s="2">
        <f t="shared" ref="K109:K127" si="75">I109/N109</f>
        <v>0.6457847659079986</v>
      </c>
      <c r="L109" s="2">
        <f t="shared" ref="L109:L127" si="76">1/H109</f>
        <v>0.25313123335662135</v>
      </c>
      <c r="M109" s="2">
        <f t="shared" ref="M109:M127" si="77">1/N109</f>
        <v>8.9662939079412668E-2</v>
      </c>
      <c r="N109" s="2">
        <f t="shared" ref="N109:N127" si="78">H109+I109</f>
        <v>11.15288</v>
      </c>
      <c r="O109" s="2">
        <v>24</v>
      </c>
      <c r="P109">
        <f t="shared" ref="P109:P127" si="79">O109/H109</f>
        <v>6.0751496005589125</v>
      </c>
      <c r="Y109" s="13"/>
      <c r="Z109" s="13"/>
      <c r="AA109" s="9" t="s">
        <v>3</v>
      </c>
      <c r="AB109" s="9" t="s">
        <v>4</v>
      </c>
      <c r="AC109" s="9" t="s">
        <v>5</v>
      </c>
      <c r="AD109" s="9" t="s">
        <v>6</v>
      </c>
      <c r="AE109" s="9" t="s">
        <v>7</v>
      </c>
      <c r="AF109" s="9" t="s">
        <v>8</v>
      </c>
      <c r="AG109" s="9" t="s">
        <v>9</v>
      </c>
      <c r="AH109" s="9" t="s">
        <v>10</v>
      </c>
      <c r="AI109" s="44" t="s">
        <v>139</v>
      </c>
    </row>
    <row r="110" spans="4:35" x14ac:dyDescent="0.35">
      <c r="D110" s="155">
        <v>10</v>
      </c>
      <c r="F110" s="13">
        <v>23.882989999999999</v>
      </c>
      <c r="G110" s="2">
        <v>27.624939999999999</v>
      </c>
      <c r="H110" s="2">
        <f t="shared" si="72"/>
        <v>3.7419499999999992</v>
      </c>
      <c r="I110" s="2">
        <f t="shared" si="73"/>
        <v>6.479969999999998</v>
      </c>
      <c r="J110" s="2">
        <f t="shared" si="74"/>
        <v>0.36607114906005916</v>
      </c>
      <c r="K110" s="2">
        <f t="shared" si="75"/>
        <v>0.63392885093994078</v>
      </c>
      <c r="L110" s="2">
        <f t="shared" si="76"/>
        <v>0.26724034260211926</v>
      </c>
      <c r="M110" s="2">
        <f t="shared" si="77"/>
        <v>9.7828979291561688E-2</v>
      </c>
      <c r="N110" s="2">
        <f t="shared" si="78"/>
        <v>10.221919999999997</v>
      </c>
      <c r="O110" s="2">
        <v>21</v>
      </c>
      <c r="P110">
        <f t="shared" si="79"/>
        <v>5.6120471946445045</v>
      </c>
      <c r="X110" s="104" t="s">
        <v>427</v>
      </c>
      <c r="Y110" s="13"/>
      <c r="Z110" s="49" t="s">
        <v>77</v>
      </c>
      <c r="AA110" s="13">
        <f>AVERAGE(AA81:AA93)</f>
        <v>4.4463792307692307</v>
      </c>
      <c r="AB110" s="13">
        <f t="shared" ref="AB110:AI110" si="80">AVERAGE(AB81:AB93)</f>
        <v>5.0192792307692304</v>
      </c>
      <c r="AC110" s="13">
        <f t="shared" si="80"/>
        <v>0.46770407212112219</v>
      </c>
      <c r="AD110" s="13">
        <f t="shared" si="80"/>
        <v>0.53229592787887781</v>
      </c>
      <c r="AE110" s="13">
        <f t="shared" si="80"/>
        <v>0.23034949634438448</v>
      </c>
      <c r="AF110" s="13">
        <f t="shared" si="80"/>
        <v>0.10610189814499793</v>
      </c>
      <c r="AG110" s="13">
        <f t="shared" si="80"/>
        <v>9.4656584615384602</v>
      </c>
      <c r="AH110" s="13">
        <f t="shared" si="80"/>
        <v>31.153846153846153</v>
      </c>
      <c r="AI110" s="13">
        <f t="shared" si="80"/>
        <v>7.0608319234489221</v>
      </c>
    </row>
    <row r="111" spans="4:35" x14ac:dyDescent="0.35">
      <c r="D111" s="155">
        <v>10</v>
      </c>
      <c r="F111" s="13">
        <v>34.104909999999997</v>
      </c>
      <c r="G111" s="2">
        <v>38.558419999999998</v>
      </c>
      <c r="H111" s="2">
        <f t="shared" si="72"/>
        <v>4.4535100000000014</v>
      </c>
      <c r="I111" s="2">
        <f t="shared" si="73"/>
        <v>6.938600000000001</v>
      </c>
      <c r="J111" s="2">
        <f t="shared" si="74"/>
        <v>0.39092933618091824</v>
      </c>
      <c r="K111" s="2">
        <f t="shared" si="75"/>
        <v>0.60907066381908181</v>
      </c>
      <c r="L111" s="2">
        <f t="shared" si="76"/>
        <v>0.2245419904749287</v>
      </c>
      <c r="M111" s="2">
        <f t="shared" si="77"/>
        <v>8.7780051281105942E-2</v>
      </c>
      <c r="N111" s="2">
        <f t="shared" si="78"/>
        <v>11.392110000000002</v>
      </c>
      <c r="O111" s="2">
        <v>28</v>
      </c>
      <c r="P111">
        <f t="shared" si="79"/>
        <v>6.2871757332980032</v>
      </c>
      <c r="X111" s="104"/>
      <c r="Y111" s="13"/>
      <c r="Z111" s="49" t="s">
        <v>94</v>
      </c>
      <c r="AA111" s="2">
        <f>_xlfn.STDEV.S(AA81:AA93)</f>
        <v>0.72758280223469118</v>
      </c>
      <c r="AB111" s="2">
        <f t="shared" ref="AB111:AI111" si="81">_xlfn.STDEV.S(AB81:AB93)</f>
        <v>0.39332777151000353</v>
      </c>
      <c r="AC111" s="2">
        <f t="shared" si="81"/>
        <v>5.1680213276179714E-2</v>
      </c>
      <c r="AD111" s="2">
        <f t="shared" si="81"/>
        <v>5.1680213276179492E-2</v>
      </c>
      <c r="AE111" s="2">
        <f t="shared" si="81"/>
        <v>3.6775618084312102E-2</v>
      </c>
      <c r="AF111" s="2">
        <f t="shared" si="81"/>
        <v>7.1423106080416602E-3</v>
      </c>
      <c r="AG111" s="2">
        <f t="shared" si="81"/>
        <v>0.65698250611978704</v>
      </c>
      <c r="AH111" s="2">
        <f t="shared" si="81"/>
        <v>7.0810328089217123</v>
      </c>
      <c r="AI111" s="2">
        <f t="shared" si="81"/>
        <v>1.288005450322707</v>
      </c>
    </row>
    <row r="112" spans="4:35" x14ac:dyDescent="0.35">
      <c r="D112" s="155">
        <v>10</v>
      </c>
      <c r="F112" s="13">
        <v>45.497019999999999</v>
      </c>
      <c r="G112" s="2">
        <v>49.143039999999999</v>
      </c>
      <c r="H112" s="2">
        <f t="shared" si="72"/>
        <v>3.64602</v>
      </c>
      <c r="I112" s="2">
        <f t="shared" si="73"/>
        <v>7.4775500000000008</v>
      </c>
      <c r="J112" s="2">
        <f t="shared" si="74"/>
        <v>0.32777426671473275</v>
      </c>
      <c r="K112" s="2">
        <f t="shared" si="75"/>
        <v>0.67222573328526725</v>
      </c>
      <c r="L112" s="2">
        <f t="shared" si="76"/>
        <v>0.27427167157612958</v>
      </c>
      <c r="M112" s="2">
        <f t="shared" si="77"/>
        <v>8.9899196031489881E-2</v>
      </c>
      <c r="N112" s="2">
        <f t="shared" si="78"/>
        <v>11.123570000000001</v>
      </c>
      <c r="O112" s="2">
        <v>22</v>
      </c>
      <c r="P112">
        <f t="shared" si="79"/>
        <v>6.0339767746748505</v>
      </c>
      <c r="X112" s="104"/>
      <c r="Y112" s="13"/>
      <c r="Z112" s="49" t="s">
        <v>95</v>
      </c>
      <c r="AA112" s="2">
        <f>AA111/(SQRT(COUNT(AA81:AA93)))</f>
        <v>0.20179516158484265</v>
      </c>
      <c r="AB112" s="2">
        <f t="shared" ref="AB112:AI112" si="82">AB111/(SQRT(COUNT(AB81:AB93)))</f>
        <v>0.10908949601871552</v>
      </c>
      <c r="AC112" s="2">
        <f t="shared" si="82"/>
        <v>1.433351222262929E-2</v>
      </c>
      <c r="AD112" s="2">
        <f t="shared" si="82"/>
        <v>1.4333512222629229E-2</v>
      </c>
      <c r="AE112" s="2">
        <f t="shared" si="82"/>
        <v>1.0199721283836003E-2</v>
      </c>
      <c r="AF112" s="2">
        <f t="shared" si="82"/>
        <v>1.9809205478911224E-3</v>
      </c>
      <c r="AG112" s="2">
        <f t="shared" si="82"/>
        <v>0.18221416253059433</v>
      </c>
      <c r="AH112" s="2">
        <f t="shared" si="82"/>
        <v>1.9639251442930796</v>
      </c>
      <c r="AI112" s="2">
        <f t="shared" si="82"/>
        <v>0.3572284380165851</v>
      </c>
    </row>
    <row r="113" spans="4:37" x14ac:dyDescent="0.35">
      <c r="D113" s="155">
        <v>10</v>
      </c>
      <c r="F113" s="13">
        <v>56.62059</v>
      </c>
      <c r="G113" s="2">
        <v>61.403289999999998</v>
      </c>
      <c r="H113" s="2">
        <f t="shared" si="72"/>
        <v>4.7826999999999984</v>
      </c>
      <c r="I113" s="2">
        <f t="shared" si="73"/>
        <v>6.3616899999999958</v>
      </c>
      <c r="J113" s="2">
        <f t="shared" si="74"/>
        <v>0.42915762998243967</v>
      </c>
      <c r="K113" s="2">
        <f t="shared" si="75"/>
        <v>0.57084237001756033</v>
      </c>
      <c r="L113" s="2">
        <f t="shared" si="76"/>
        <v>0.20908691743157637</v>
      </c>
      <c r="M113" s="2">
        <f t="shared" si="77"/>
        <v>8.9731245945269364E-2</v>
      </c>
      <c r="N113" s="2">
        <f t="shared" si="78"/>
        <v>11.144389999999994</v>
      </c>
      <c r="O113" s="2">
        <v>28</v>
      </c>
      <c r="P113">
        <f t="shared" si="79"/>
        <v>5.8544336880841383</v>
      </c>
      <c r="X113" s="104"/>
    </row>
    <row r="114" spans="4:37" x14ac:dyDescent="0.35">
      <c r="D114" s="155">
        <v>10</v>
      </c>
      <c r="F114" s="13">
        <v>67.764979999999994</v>
      </c>
      <c r="G114" s="2">
        <v>71.553650000000005</v>
      </c>
      <c r="H114" s="2">
        <f t="shared" si="72"/>
        <v>3.7886700000000104</v>
      </c>
      <c r="I114" s="2">
        <f t="shared" si="73"/>
        <v>11.95304999999999</v>
      </c>
      <c r="J114" s="2">
        <f t="shared" si="74"/>
        <v>0.24067700352947519</v>
      </c>
      <c r="K114" s="2">
        <f t="shared" si="75"/>
        <v>0.75932299647052481</v>
      </c>
      <c r="L114" s="2">
        <f t="shared" si="76"/>
        <v>0.26394486719613935</v>
      </c>
      <c r="M114" s="2">
        <f t="shared" si="77"/>
        <v>6.3525459733752093E-2</v>
      </c>
      <c r="N114" s="2">
        <f t="shared" si="78"/>
        <v>15.741720000000001</v>
      </c>
      <c r="O114" s="2">
        <v>23</v>
      </c>
      <c r="P114">
        <f t="shared" si="79"/>
        <v>6.0707319455112048</v>
      </c>
      <c r="X114" s="104"/>
    </row>
    <row r="115" spans="4:37" ht="16" thickBot="1" x14ac:dyDescent="0.4">
      <c r="D115" s="155">
        <v>10</v>
      </c>
      <c r="F115" s="13">
        <v>83.506699999999995</v>
      </c>
      <c r="G115" s="2">
        <v>88.262969999999996</v>
      </c>
      <c r="H115" s="2">
        <f t="shared" si="72"/>
        <v>4.7562700000000007</v>
      </c>
      <c r="I115" s="2">
        <f t="shared" si="73"/>
        <v>8.6654699999999991</v>
      </c>
      <c r="J115" s="2">
        <f t="shared" si="74"/>
        <v>0.35437059576478169</v>
      </c>
      <c r="K115" s="2">
        <f t="shared" si="75"/>
        <v>0.64562940423521831</v>
      </c>
      <c r="L115" s="2">
        <f t="shared" si="76"/>
        <v>0.21024878739011871</v>
      </c>
      <c r="M115" s="2">
        <f t="shared" si="77"/>
        <v>7.4505988046259283E-2</v>
      </c>
      <c r="N115" s="2">
        <f t="shared" si="78"/>
        <v>13.42174</v>
      </c>
      <c r="O115" s="2">
        <v>28</v>
      </c>
      <c r="P115">
        <f t="shared" si="79"/>
        <v>5.8869660469233231</v>
      </c>
      <c r="X115" s="104"/>
      <c r="Z115" s="13"/>
      <c r="AA115" s="9" t="s">
        <v>3</v>
      </c>
      <c r="AB115" s="9" t="s">
        <v>4</v>
      </c>
      <c r="AC115" s="9" t="s">
        <v>5</v>
      </c>
      <c r="AD115" s="9" t="s">
        <v>6</v>
      </c>
      <c r="AE115" s="9" t="s">
        <v>7</v>
      </c>
      <c r="AF115" s="9" t="s">
        <v>8</v>
      </c>
      <c r="AG115" s="9" t="s">
        <v>9</v>
      </c>
      <c r="AH115" s="9" t="s">
        <v>10</v>
      </c>
      <c r="AI115" s="44" t="s">
        <v>139</v>
      </c>
    </row>
    <row r="116" spans="4:37" x14ac:dyDescent="0.35">
      <c r="D116" s="155">
        <v>10</v>
      </c>
      <c r="F116" s="13">
        <v>96.928439999999995</v>
      </c>
      <c r="G116" s="2">
        <v>100.61909</v>
      </c>
      <c r="H116" s="2">
        <f t="shared" si="72"/>
        <v>3.6906500000000051</v>
      </c>
      <c r="I116" s="2">
        <f t="shared" si="73"/>
        <v>7.5852399999999989</v>
      </c>
      <c r="J116" s="2">
        <f t="shared" si="74"/>
        <v>0.32730454092759009</v>
      </c>
      <c r="K116" s="2">
        <f t="shared" si="75"/>
        <v>0.67269545907240991</v>
      </c>
      <c r="L116" s="2">
        <f t="shared" si="76"/>
        <v>0.27095498082993474</v>
      </c>
      <c r="M116" s="2">
        <f t="shared" si="77"/>
        <v>8.8684795612585757E-2</v>
      </c>
      <c r="N116" s="2">
        <f t="shared" si="78"/>
        <v>11.275890000000004</v>
      </c>
      <c r="O116" s="2">
        <v>22</v>
      </c>
      <c r="P116">
        <f t="shared" si="79"/>
        <v>5.9610095782585644</v>
      </c>
      <c r="X116" s="104" t="s">
        <v>410</v>
      </c>
      <c r="Z116" s="49" t="s">
        <v>77</v>
      </c>
      <c r="AA116" s="13">
        <f>AVERAGE(AA94:AA103)</f>
        <v>4.9722759999999955</v>
      </c>
      <c r="AB116" s="13">
        <f t="shared" ref="AB116:AI116" si="83">AVERAGE(AB94:AB103)</f>
        <v>5.0969340000000045</v>
      </c>
      <c r="AC116" s="13">
        <f t="shared" si="83"/>
        <v>0.49380335227509747</v>
      </c>
      <c r="AD116" s="13">
        <f t="shared" si="83"/>
        <v>0.50619664772490247</v>
      </c>
      <c r="AE116" s="13">
        <f t="shared" si="83"/>
        <v>0.20547870643197483</v>
      </c>
      <c r="AF116" s="13">
        <f t="shared" si="83"/>
        <v>0.10038731812507598</v>
      </c>
      <c r="AG116" s="13">
        <f t="shared" si="83"/>
        <v>10.06921</v>
      </c>
      <c r="AH116" s="13">
        <f t="shared" si="83"/>
        <v>36.799999999999997</v>
      </c>
      <c r="AI116" s="13">
        <f t="shared" si="83"/>
        <v>7.6283531750201972</v>
      </c>
    </row>
    <row r="117" spans="4:37" x14ac:dyDescent="0.35">
      <c r="D117" s="155">
        <v>10</v>
      </c>
      <c r="F117" s="13">
        <v>108.20433</v>
      </c>
      <c r="G117" s="2">
        <v>113.05334000000001</v>
      </c>
      <c r="H117" s="2">
        <f t="shared" si="72"/>
        <v>4.8490100000000069</v>
      </c>
      <c r="I117" s="2">
        <f t="shared" si="73"/>
        <v>7.0667199999999895</v>
      </c>
      <c r="J117" s="2">
        <f t="shared" si="74"/>
        <v>0.40694191627369941</v>
      </c>
      <c r="K117" s="2">
        <f t="shared" si="75"/>
        <v>0.59305808372630053</v>
      </c>
      <c r="L117" s="2">
        <f t="shared" si="76"/>
        <v>0.20622766296625467</v>
      </c>
      <c r="M117" s="2">
        <f t="shared" si="77"/>
        <v>8.3922680356134316E-2</v>
      </c>
      <c r="N117" s="2">
        <f t="shared" si="78"/>
        <v>11.915729999999996</v>
      </c>
      <c r="O117" s="2">
        <v>28</v>
      </c>
      <c r="P117">
        <f t="shared" si="79"/>
        <v>5.7743745630551304</v>
      </c>
      <c r="Z117" s="49" t="s">
        <v>94</v>
      </c>
      <c r="AA117" s="2">
        <f>_xlfn.STDEV.S(AA94:AA103)</f>
        <v>0.73910544578037563</v>
      </c>
      <c r="AB117" s="2">
        <f t="shared" ref="AB117:AI117" si="84">_xlfn.STDEV.S(AB94:AB103)</f>
        <v>0.75791105138033243</v>
      </c>
      <c r="AC117" s="2">
        <f t="shared" si="84"/>
        <v>5.0943009795693786E-2</v>
      </c>
      <c r="AD117" s="2">
        <f t="shared" si="84"/>
        <v>5.0943009795693751E-2</v>
      </c>
      <c r="AE117" s="2">
        <f t="shared" si="84"/>
        <v>3.2870470157033926E-2</v>
      </c>
      <c r="AF117" s="2">
        <f t="shared" si="84"/>
        <v>1.1448577718832946E-2</v>
      </c>
      <c r="AG117" s="2">
        <f t="shared" si="84"/>
        <v>1.0636172591261925</v>
      </c>
      <c r="AH117" s="2">
        <f t="shared" si="84"/>
        <v>6.5794292221201776</v>
      </c>
      <c r="AI117" s="2">
        <f t="shared" si="84"/>
        <v>2.2094938659664924</v>
      </c>
    </row>
    <row r="118" spans="4:37" x14ac:dyDescent="0.35">
      <c r="D118" s="155">
        <v>0</v>
      </c>
      <c r="F118" s="13">
        <v>120.12006</v>
      </c>
      <c r="G118" s="2">
        <v>122.62232</v>
      </c>
      <c r="H118" s="2">
        <f t="shared" si="72"/>
        <v>2.5022600000000068</v>
      </c>
      <c r="I118" s="2">
        <f t="shared" si="73"/>
        <v>13.12460999999999</v>
      </c>
      <c r="J118" s="2">
        <f t="shared" si="74"/>
        <v>0.1601254761830109</v>
      </c>
      <c r="K118" s="2">
        <f t="shared" si="75"/>
        <v>0.83987452381698913</v>
      </c>
      <c r="L118" s="2">
        <f t="shared" si="76"/>
        <v>0.39963872659116051</v>
      </c>
      <c r="M118" s="2">
        <f t="shared" si="77"/>
        <v>6.3992341396581665E-2</v>
      </c>
      <c r="N118" s="2">
        <f t="shared" si="78"/>
        <v>15.626869999999997</v>
      </c>
      <c r="O118" s="2">
        <v>14</v>
      </c>
      <c r="P118">
        <f t="shared" si="79"/>
        <v>5.5949421722762471</v>
      </c>
      <c r="R118" t="s">
        <v>416</v>
      </c>
      <c r="Z118" s="49" t="s">
        <v>95</v>
      </c>
      <c r="AA118" s="2">
        <f>AA117/(SQRT(COUNT(AA94:AA103)))</f>
        <v>0.2337256639700073</v>
      </c>
      <c r="AB118" s="2">
        <f t="shared" ref="AB118:AI118" si="85">AB117/(SQRT(COUNT(AB94:AB103)))</f>
        <v>0.23967251861747538</v>
      </c>
      <c r="AC118" s="2">
        <f t="shared" si="85"/>
        <v>1.6109594181866138E-2</v>
      </c>
      <c r="AD118" s="2">
        <f t="shared" si="85"/>
        <v>1.6109594181866124E-2</v>
      </c>
      <c r="AE118" s="2">
        <f t="shared" si="85"/>
        <v>1.0394555345681978E-2</v>
      </c>
      <c r="AF118" s="2">
        <f t="shared" si="85"/>
        <v>3.6203581560966887E-3</v>
      </c>
      <c r="AG118" s="2">
        <f t="shared" si="85"/>
        <v>0.33634530975042809</v>
      </c>
      <c r="AH118" s="2">
        <f t="shared" si="85"/>
        <v>2.0805982045769653</v>
      </c>
      <c r="AI118" s="2">
        <f t="shared" si="85"/>
        <v>0.69870330926249058</v>
      </c>
    </row>
    <row r="119" spans="4:37" x14ac:dyDescent="0.35">
      <c r="D119" s="155">
        <v>0</v>
      </c>
      <c r="F119" s="13">
        <v>135.74692999999999</v>
      </c>
      <c r="G119" s="2">
        <v>139.86094</v>
      </c>
      <c r="H119" s="2">
        <f t="shared" si="72"/>
        <v>4.1140100000000075</v>
      </c>
      <c r="I119" s="2">
        <f t="shared" si="73"/>
        <v>6.8667299999999898</v>
      </c>
      <c r="J119" s="2">
        <f t="shared" si="74"/>
        <v>0.37465689926179918</v>
      </c>
      <c r="K119" s="2">
        <f t="shared" si="75"/>
        <v>0.62534310073820087</v>
      </c>
      <c r="L119" s="2">
        <f t="shared" si="76"/>
        <v>0.24307184474515089</v>
      </c>
      <c r="M119" s="2">
        <f t="shared" si="77"/>
        <v>9.1068543650063685E-2</v>
      </c>
      <c r="N119" s="2">
        <f t="shared" si="78"/>
        <v>10.980739999999997</v>
      </c>
      <c r="O119" s="2">
        <v>25</v>
      </c>
      <c r="P119">
        <f t="shared" si="79"/>
        <v>6.0767961186287724</v>
      </c>
    </row>
    <row r="120" spans="4:37" x14ac:dyDescent="0.35">
      <c r="D120" s="155">
        <v>0</v>
      </c>
      <c r="F120" s="13">
        <v>146.72766999999999</v>
      </c>
      <c r="G120" s="2">
        <v>150.66103000000001</v>
      </c>
      <c r="H120" s="2">
        <f t="shared" si="72"/>
        <v>3.9333600000000217</v>
      </c>
      <c r="I120" s="2">
        <f t="shared" si="73"/>
        <v>8.0434599999999818</v>
      </c>
      <c r="J120" s="2">
        <f t="shared" si="74"/>
        <v>0.3284143871244638</v>
      </c>
      <c r="K120" s="2">
        <f t="shared" si="75"/>
        <v>0.6715856128755362</v>
      </c>
      <c r="L120" s="2">
        <f t="shared" si="76"/>
        <v>0.25423556450464602</v>
      </c>
      <c r="M120" s="2">
        <f t="shared" si="77"/>
        <v>8.3494617102035401E-2</v>
      </c>
      <c r="N120" s="2">
        <f t="shared" si="78"/>
        <v>11.976820000000004</v>
      </c>
      <c r="O120" s="2">
        <v>21</v>
      </c>
      <c r="P120">
        <f t="shared" si="79"/>
        <v>5.338946854597566</v>
      </c>
    </row>
    <row r="121" spans="4:37" x14ac:dyDescent="0.35">
      <c r="D121" s="155">
        <v>0</v>
      </c>
      <c r="F121" s="13">
        <v>158.70448999999999</v>
      </c>
      <c r="G121" s="2">
        <v>162.81339</v>
      </c>
      <c r="H121" s="2">
        <f t="shared" si="72"/>
        <v>4.1089000000000055</v>
      </c>
      <c r="I121" s="2">
        <f t="shared" si="73"/>
        <v>6.9013300000000015</v>
      </c>
      <c r="J121" s="2">
        <f t="shared" si="74"/>
        <v>0.37318929758960556</v>
      </c>
      <c r="K121" s="2">
        <f t="shared" si="75"/>
        <v>0.62681070241039438</v>
      </c>
      <c r="L121" s="2">
        <f t="shared" si="76"/>
        <v>0.24337413906398273</v>
      </c>
      <c r="M121" s="2">
        <f t="shared" si="77"/>
        <v>9.0824624008762705E-2</v>
      </c>
      <c r="N121" s="2">
        <f t="shared" si="78"/>
        <v>11.010230000000007</v>
      </c>
      <c r="O121" s="2">
        <v>23</v>
      </c>
      <c r="P121">
        <f t="shared" si="79"/>
        <v>5.5976051984716024</v>
      </c>
    </row>
    <row r="122" spans="4:37" ht="18.5" x14ac:dyDescent="0.45">
      <c r="D122" s="155">
        <v>0</v>
      </c>
      <c r="F122" s="13">
        <v>169.71472</v>
      </c>
      <c r="G122" s="2">
        <v>173.65900999999999</v>
      </c>
      <c r="H122" s="2">
        <f t="shared" si="72"/>
        <v>3.9442899999999952</v>
      </c>
      <c r="I122" s="2">
        <f t="shared" si="73"/>
        <v>9.1778400000000033</v>
      </c>
      <c r="J122" s="2">
        <f t="shared" si="74"/>
        <v>0.30058306082930103</v>
      </c>
      <c r="K122" s="2">
        <f t="shared" si="75"/>
        <v>0.69941693917069903</v>
      </c>
      <c r="L122" s="2">
        <f t="shared" si="76"/>
        <v>0.25353105375111901</v>
      </c>
      <c r="M122" s="2">
        <f t="shared" si="77"/>
        <v>7.6207140151789393E-2</v>
      </c>
      <c r="N122" s="2">
        <f t="shared" si="78"/>
        <v>13.122129999999999</v>
      </c>
      <c r="O122" s="2">
        <v>23</v>
      </c>
      <c r="P122">
        <f t="shared" si="79"/>
        <v>5.8312142362757378</v>
      </c>
      <c r="Y122" s="1" t="s">
        <v>405</v>
      </c>
      <c r="Z122" s="3"/>
      <c r="AA122" s="3"/>
      <c r="AB122" s="3"/>
      <c r="AC122" s="3"/>
      <c r="AD122" s="3"/>
      <c r="AE122" s="3"/>
      <c r="AF122" s="3"/>
      <c r="AG122" s="3"/>
      <c r="AH122" s="3"/>
    </row>
    <row r="123" spans="4:37" ht="16" thickBot="1" x14ac:dyDescent="0.4">
      <c r="D123" s="155">
        <v>0</v>
      </c>
      <c r="F123" s="13">
        <v>182.83685</v>
      </c>
      <c r="G123" s="2">
        <v>185.82320000000001</v>
      </c>
      <c r="H123" s="2">
        <f t="shared" si="72"/>
        <v>2.9863500000000158</v>
      </c>
      <c r="I123" s="2">
        <f t="shared" si="73"/>
        <v>6.8248099999999852</v>
      </c>
      <c r="J123" s="2">
        <f t="shared" si="74"/>
        <v>0.30438296796709213</v>
      </c>
      <c r="K123" s="2">
        <f t="shared" si="75"/>
        <v>0.69561703203290792</v>
      </c>
      <c r="L123" s="2">
        <f t="shared" si="76"/>
        <v>0.33485693237564074</v>
      </c>
      <c r="M123" s="2">
        <f t="shared" si="77"/>
        <v>0.10192474692085339</v>
      </c>
      <c r="N123" s="2">
        <f t="shared" si="78"/>
        <v>9.811160000000001</v>
      </c>
      <c r="O123" s="2">
        <v>17</v>
      </c>
      <c r="P123">
        <f t="shared" si="79"/>
        <v>5.6925678503858927</v>
      </c>
      <c r="W123" s="204" t="s">
        <v>406</v>
      </c>
      <c r="Y123" s="9" t="s">
        <v>1</v>
      </c>
      <c r="Z123" s="9" t="s">
        <v>2</v>
      </c>
      <c r="AA123" s="9" t="s">
        <v>3</v>
      </c>
      <c r="AB123" s="9" t="s">
        <v>4</v>
      </c>
      <c r="AC123" s="9" t="s">
        <v>5</v>
      </c>
      <c r="AD123" s="9" t="s">
        <v>6</v>
      </c>
      <c r="AE123" s="9" t="s">
        <v>7</v>
      </c>
      <c r="AF123" s="9" t="s">
        <v>8</v>
      </c>
      <c r="AG123" s="9" t="s">
        <v>9</v>
      </c>
      <c r="AH123" s="9" t="s">
        <v>10</v>
      </c>
      <c r="AI123" s="44" t="s">
        <v>139</v>
      </c>
      <c r="AK123" s="44" t="s">
        <v>138</v>
      </c>
    </row>
    <row r="124" spans="4:37" x14ac:dyDescent="0.35">
      <c r="D124" s="155">
        <v>0</v>
      </c>
      <c r="F124" s="13">
        <v>192.64801</v>
      </c>
      <c r="G124" s="13">
        <v>196.74337</v>
      </c>
      <c r="H124" s="2">
        <f t="shared" si="72"/>
        <v>4.0953599999999994</v>
      </c>
      <c r="I124" s="2">
        <f t="shared" si="73"/>
        <v>5.8820499999999925</v>
      </c>
      <c r="J124" s="2">
        <f t="shared" si="74"/>
        <v>0.41046323645114341</v>
      </c>
      <c r="K124" s="2">
        <f t="shared" si="75"/>
        <v>0.58953676354885653</v>
      </c>
      <c r="L124" s="2">
        <f t="shared" si="76"/>
        <v>0.24417877793405224</v>
      </c>
      <c r="M124" s="2">
        <f t="shared" si="77"/>
        <v>0.10022641146349612</v>
      </c>
      <c r="N124" s="2">
        <f t="shared" si="78"/>
        <v>9.9774099999999919</v>
      </c>
      <c r="O124" s="2">
        <v>24</v>
      </c>
      <c r="P124">
        <f t="shared" si="79"/>
        <v>5.8602906704172533</v>
      </c>
      <c r="W124" s="155">
        <v>-6</v>
      </c>
      <c r="Y124" s="2">
        <v>9.0500000000000008E-3</v>
      </c>
      <c r="Z124" s="2">
        <v>5.1412899999999997</v>
      </c>
      <c r="AA124" s="2">
        <f t="shared" ref="AA124:AA146" si="86">Z124-Y124</f>
        <v>5.1322399999999995</v>
      </c>
      <c r="AB124" s="2">
        <f t="shared" ref="AB124:AB145" si="87">Y125-Z124</f>
        <v>6.3321000000000005</v>
      </c>
      <c r="AC124" s="2">
        <f t="shared" ref="AC124:AC145" si="88">AA124/AG124</f>
        <v>0.44766990511446797</v>
      </c>
      <c r="AD124" s="2">
        <f t="shared" ref="AD124:AD145" si="89">AB124/AG124</f>
        <v>0.55233009488553209</v>
      </c>
      <c r="AE124" s="2">
        <f t="shared" ref="AE124:AE145" si="90">1/AA124</f>
        <v>0.19484669462067247</v>
      </c>
      <c r="AF124" s="2">
        <f t="shared" ref="AF124:AF145" si="91">1/AG124</f>
        <v>8.7227001292704165E-2</v>
      </c>
      <c r="AG124" s="2">
        <f t="shared" ref="AG124:AG145" si="92">AA124+AB124</f>
        <v>11.46434</v>
      </c>
      <c r="AH124" s="2">
        <v>39</v>
      </c>
      <c r="AI124">
        <f t="shared" ref="AI124:AI145" si="93">AH124/AA124</f>
        <v>7.599021090206227</v>
      </c>
      <c r="AK124" t="s">
        <v>430</v>
      </c>
    </row>
    <row r="125" spans="4:37" x14ac:dyDescent="0.35">
      <c r="D125" s="155">
        <v>0</v>
      </c>
      <c r="F125" s="13">
        <v>202.62541999999999</v>
      </c>
      <c r="G125" s="13">
        <v>206.82781</v>
      </c>
      <c r="H125" s="2">
        <f t="shared" si="72"/>
        <v>4.2023900000000083</v>
      </c>
      <c r="I125" s="2">
        <f t="shared" si="73"/>
        <v>8.2707699999999988</v>
      </c>
      <c r="J125" s="2">
        <f t="shared" si="74"/>
        <v>0.33691462307867498</v>
      </c>
      <c r="K125" s="2">
        <f t="shared" si="75"/>
        <v>0.66308537692132496</v>
      </c>
      <c r="L125" s="2">
        <f t="shared" si="76"/>
        <v>0.2379598276219004</v>
      </c>
      <c r="M125" s="2">
        <f t="shared" si="77"/>
        <v>8.0172145631099048E-2</v>
      </c>
      <c r="N125" s="2">
        <f t="shared" si="78"/>
        <v>12.473160000000007</v>
      </c>
      <c r="O125" s="2">
        <v>27</v>
      </c>
      <c r="P125">
        <f t="shared" si="79"/>
        <v>6.4249153457913106</v>
      </c>
      <c r="W125" s="155">
        <v>-6</v>
      </c>
      <c r="Y125" s="2">
        <v>11.47339</v>
      </c>
      <c r="Z125" s="2">
        <v>15.741009999999999</v>
      </c>
      <c r="AA125" s="2">
        <f t="shared" si="86"/>
        <v>4.2676199999999991</v>
      </c>
      <c r="AB125" s="2">
        <f t="shared" si="87"/>
        <v>4.9264399999999995</v>
      </c>
      <c r="AC125" s="2">
        <f t="shared" si="88"/>
        <v>0.46417143242484821</v>
      </c>
      <c r="AD125" s="2">
        <f t="shared" si="89"/>
        <v>0.53582856757515185</v>
      </c>
      <c r="AE125" s="2">
        <f t="shared" si="90"/>
        <v>0.23432264353433535</v>
      </c>
      <c r="AF125" s="2">
        <f t="shared" si="91"/>
        <v>0.10876587709890953</v>
      </c>
      <c r="AG125" s="2">
        <f t="shared" si="92"/>
        <v>9.1940599999999986</v>
      </c>
      <c r="AH125" s="2">
        <v>33</v>
      </c>
      <c r="AI125">
        <f t="shared" si="93"/>
        <v>7.7326472366330661</v>
      </c>
    </row>
    <row r="126" spans="4:37" x14ac:dyDescent="0.35">
      <c r="D126" s="155">
        <v>0</v>
      </c>
      <c r="F126" s="13">
        <v>215.09858</v>
      </c>
      <c r="G126" s="13">
        <v>219.30228</v>
      </c>
      <c r="H126" s="2">
        <f t="shared" si="72"/>
        <v>4.2036999999999978</v>
      </c>
      <c r="I126" s="2">
        <f t="shared" si="73"/>
        <v>5.4574900000000071</v>
      </c>
      <c r="J126" s="2">
        <f t="shared" si="74"/>
        <v>0.43511203071257221</v>
      </c>
      <c r="K126" s="2">
        <f t="shared" si="75"/>
        <v>0.56488796928742779</v>
      </c>
      <c r="L126" s="2">
        <f t="shared" si="76"/>
        <v>0.23788567214596679</v>
      </c>
      <c r="M126" s="2">
        <f t="shared" si="77"/>
        <v>0.10350691788485679</v>
      </c>
      <c r="N126" s="2">
        <f t="shared" si="78"/>
        <v>9.6611900000000048</v>
      </c>
      <c r="O126" s="2">
        <v>26</v>
      </c>
      <c r="P126">
        <f t="shared" si="79"/>
        <v>6.1850274757951365</v>
      </c>
      <c r="W126" s="155">
        <v>-6</v>
      </c>
      <c r="Y126" s="13">
        <v>20.667449999999999</v>
      </c>
      <c r="Z126" s="2">
        <v>24.513809999999999</v>
      </c>
      <c r="AA126" s="2">
        <f t="shared" si="86"/>
        <v>3.8463600000000007</v>
      </c>
      <c r="AB126" s="2">
        <f t="shared" si="87"/>
        <v>4.8390900000000023</v>
      </c>
      <c r="AC126" s="2">
        <f t="shared" si="88"/>
        <v>0.44285097490630876</v>
      </c>
      <c r="AD126" s="2">
        <f t="shared" si="89"/>
        <v>0.55714902509369124</v>
      </c>
      <c r="AE126" s="2">
        <f t="shared" si="90"/>
        <v>0.25998606474692953</v>
      </c>
      <c r="AF126" s="2">
        <f t="shared" si="91"/>
        <v>0.11513508223523244</v>
      </c>
      <c r="AG126" s="2">
        <f t="shared" si="92"/>
        <v>8.685450000000003</v>
      </c>
      <c r="AH126" s="2">
        <v>33</v>
      </c>
      <c r="AI126">
        <f t="shared" si="93"/>
        <v>8.5795401366486743</v>
      </c>
    </row>
    <row r="127" spans="4:37" x14ac:dyDescent="0.35">
      <c r="D127" s="155">
        <v>0</v>
      </c>
      <c r="F127" s="13">
        <v>224.75977</v>
      </c>
      <c r="G127" s="13">
        <v>228.93764999999999</v>
      </c>
      <c r="H127" s="2">
        <f t="shared" si="72"/>
        <v>4.1778799999999876</v>
      </c>
      <c r="I127" s="2">
        <f t="shared" si="73"/>
        <v>6.979910000000018</v>
      </c>
      <c r="J127" s="2">
        <f t="shared" si="74"/>
        <v>0.37443615626391835</v>
      </c>
      <c r="K127" s="2">
        <f t="shared" si="75"/>
        <v>0.62556384373608165</v>
      </c>
      <c r="L127" s="2">
        <f t="shared" si="76"/>
        <v>0.23935584554846071</v>
      </c>
      <c r="M127" s="2">
        <f t="shared" si="77"/>
        <v>8.962348278646573E-2</v>
      </c>
      <c r="N127" s="2">
        <f t="shared" si="78"/>
        <v>11.157790000000006</v>
      </c>
      <c r="O127" s="2">
        <v>25</v>
      </c>
      <c r="P127">
        <f t="shared" si="79"/>
        <v>5.9838961387115175</v>
      </c>
      <c r="W127" s="155">
        <v>-6</v>
      </c>
      <c r="Y127" s="13">
        <v>29.352900000000002</v>
      </c>
      <c r="Z127" s="2">
        <v>34.190100000000001</v>
      </c>
      <c r="AA127" s="2">
        <f t="shared" si="86"/>
        <v>4.8371999999999993</v>
      </c>
      <c r="AB127" s="2">
        <f t="shared" si="87"/>
        <v>5.2043600000000012</v>
      </c>
      <c r="AC127" s="2">
        <f t="shared" si="88"/>
        <v>0.48171798007480898</v>
      </c>
      <c r="AD127" s="2">
        <f t="shared" si="89"/>
        <v>0.51828201992519096</v>
      </c>
      <c r="AE127" s="2">
        <f t="shared" si="90"/>
        <v>0.20673116679070538</v>
      </c>
      <c r="AF127" s="2">
        <f t="shared" si="91"/>
        <v>9.9586120084927038E-2</v>
      </c>
      <c r="AG127" s="2">
        <f t="shared" si="92"/>
        <v>10.04156</v>
      </c>
      <c r="AH127" s="2">
        <v>38</v>
      </c>
      <c r="AI127">
        <f t="shared" si="93"/>
        <v>7.8557843380468055</v>
      </c>
    </row>
    <row r="128" spans="4:37" x14ac:dyDescent="0.35">
      <c r="F128" s="13">
        <v>235.91756000000001</v>
      </c>
      <c r="G128" s="13">
        <v>239.26775000000001</v>
      </c>
      <c r="H128" s="2">
        <f t="shared" si="72"/>
        <v>3.3501899999999978</v>
      </c>
      <c r="I128" s="2"/>
      <c r="J128" s="2"/>
      <c r="K128" s="2"/>
      <c r="L128" s="2"/>
      <c r="M128" s="2"/>
      <c r="N128" s="2"/>
      <c r="O128" s="2"/>
      <c r="W128" s="155">
        <v>-6</v>
      </c>
      <c r="Y128" s="13">
        <v>39.394460000000002</v>
      </c>
      <c r="Z128" s="2">
        <v>44.929270000000002</v>
      </c>
      <c r="AA128" s="2">
        <f t="shared" si="86"/>
        <v>5.5348100000000002</v>
      </c>
      <c r="AB128" s="2">
        <f t="shared" si="87"/>
        <v>5.2636099999999999</v>
      </c>
      <c r="AC128" s="2">
        <f t="shared" si="88"/>
        <v>0.51255739265559219</v>
      </c>
      <c r="AD128" s="2">
        <f t="shared" si="89"/>
        <v>0.48744260734440775</v>
      </c>
      <c r="AE128" s="2">
        <f t="shared" si="90"/>
        <v>0.18067467537277701</v>
      </c>
      <c r="AF128" s="2">
        <f t="shared" si="91"/>
        <v>9.2606140527966133E-2</v>
      </c>
      <c r="AG128" s="2">
        <f t="shared" si="92"/>
        <v>10.79842</v>
      </c>
      <c r="AH128" s="2">
        <v>46</v>
      </c>
      <c r="AI128">
        <f t="shared" si="93"/>
        <v>8.311035067147742</v>
      </c>
    </row>
    <row r="129" spans="5:37" x14ac:dyDescent="0.35">
      <c r="F129" s="13"/>
      <c r="W129" s="155">
        <v>-6</v>
      </c>
      <c r="Y129" s="13">
        <v>50.192880000000002</v>
      </c>
      <c r="Z129" s="2">
        <v>55.202950000000001</v>
      </c>
      <c r="AA129" s="2">
        <f t="shared" si="86"/>
        <v>5.0100699999999989</v>
      </c>
      <c r="AB129" s="2">
        <f t="shared" si="87"/>
        <v>5.0992199999999954</v>
      </c>
      <c r="AC129" s="2">
        <f t="shared" si="88"/>
        <v>0.49559068935602812</v>
      </c>
      <c r="AD129" s="2">
        <f t="shared" si="89"/>
        <v>0.50440931064397188</v>
      </c>
      <c r="AE129" s="2">
        <f t="shared" si="90"/>
        <v>0.19959800960864824</v>
      </c>
      <c r="AF129" s="2">
        <f t="shared" si="91"/>
        <v>9.8918915176041108E-2</v>
      </c>
      <c r="AG129" s="2">
        <f t="shared" si="92"/>
        <v>10.109289999999994</v>
      </c>
      <c r="AH129" s="2">
        <v>38</v>
      </c>
      <c r="AI129">
        <f t="shared" si="93"/>
        <v>7.5847243651286327</v>
      </c>
    </row>
    <row r="130" spans="5:37" ht="16" thickBot="1" x14ac:dyDescent="0.4">
      <c r="F130" s="13"/>
      <c r="G130" s="13"/>
      <c r="H130" s="9" t="s">
        <v>3</v>
      </c>
      <c r="I130" s="9" t="s">
        <v>4</v>
      </c>
      <c r="J130" s="9" t="s">
        <v>5</v>
      </c>
      <c r="K130" s="9" t="s">
        <v>6</v>
      </c>
      <c r="L130" s="9" t="s">
        <v>7</v>
      </c>
      <c r="M130" s="9" t="s">
        <v>8</v>
      </c>
      <c r="N130" s="9" t="s">
        <v>9</v>
      </c>
      <c r="O130" s="9" t="s">
        <v>10</v>
      </c>
      <c r="P130" s="44" t="s">
        <v>139</v>
      </c>
      <c r="W130" s="155">
        <v>-6</v>
      </c>
      <c r="Y130" s="13">
        <v>60.302169999999997</v>
      </c>
      <c r="Z130" s="2">
        <v>64.945740000000001</v>
      </c>
      <c r="AA130" s="2">
        <f t="shared" si="86"/>
        <v>4.643570000000004</v>
      </c>
      <c r="AB130" s="2">
        <f t="shared" si="87"/>
        <v>5.4202099999999973</v>
      </c>
      <c r="AC130" s="2">
        <f t="shared" si="88"/>
        <v>0.46141410086468537</v>
      </c>
      <c r="AD130" s="2">
        <f t="shared" si="89"/>
        <v>0.53858589913531463</v>
      </c>
      <c r="AE130" s="2">
        <f t="shared" si="90"/>
        <v>0.21535155063884018</v>
      </c>
      <c r="AF130" s="2">
        <f t="shared" si="91"/>
        <v>9.9366242107836206E-2</v>
      </c>
      <c r="AG130" s="2">
        <f t="shared" si="92"/>
        <v>10.063780000000001</v>
      </c>
      <c r="AH130" s="2">
        <v>37</v>
      </c>
      <c r="AI130">
        <f t="shared" si="93"/>
        <v>7.9680073736370867</v>
      </c>
    </row>
    <row r="131" spans="5:37" x14ac:dyDescent="0.35">
      <c r="E131" s="104" t="s">
        <v>414</v>
      </c>
      <c r="F131" s="13"/>
      <c r="G131" s="49" t="s">
        <v>77</v>
      </c>
      <c r="H131" s="13">
        <f>AVERAGE(H108:H117)</f>
        <v>4.1051220000000024</v>
      </c>
      <c r="I131" s="13">
        <f t="shared" ref="I131:P131" si="94">AVERAGE(I108:I117)</f>
        <v>7.7234209999999974</v>
      </c>
      <c r="J131" s="13">
        <f t="shared" si="94"/>
        <v>0.35087560891461678</v>
      </c>
      <c r="K131" s="13">
        <f t="shared" si="94"/>
        <v>0.64912439108538333</v>
      </c>
      <c r="L131" s="13">
        <f t="shared" si="94"/>
        <v>0.24744667278397187</v>
      </c>
      <c r="M131" s="13">
        <f t="shared" si="94"/>
        <v>8.5732251436188386E-2</v>
      </c>
      <c r="N131" s="13">
        <f t="shared" si="94"/>
        <v>11.828543</v>
      </c>
      <c r="O131" s="13">
        <f t="shared" si="94"/>
        <v>24.3</v>
      </c>
      <c r="P131" s="13">
        <f t="shared" si="94"/>
        <v>5.915741233131067</v>
      </c>
      <c r="W131" s="155">
        <v>-6</v>
      </c>
      <c r="Y131" s="13">
        <v>70.365949999999998</v>
      </c>
      <c r="Z131" s="2">
        <v>75.518379999999993</v>
      </c>
      <c r="AA131" s="2">
        <f t="shared" si="86"/>
        <v>5.1524299999999954</v>
      </c>
      <c r="AB131" s="2">
        <f t="shared" si="87"/>
        <v>6.1170200000000108</v>
      </c>
      <c r="AC131" s="2">
        <f t="shared" si="88"/>
        <v>0.45720332403089703</v>
      </c>
      <c r="AD131" s="2">
        <f t="shared" si="89"/>
        <v>0.54279667596910297</v>
      </c>
      <c r="AE131" s="2">
        <f t="shared" si="90"/>
        <v>0.19408318016935716</v>
      </c>
      <c r="AF131" s="2">
        <f t="shared" si="91"/>
        <v>8.8735475111917567E-2</v>
      </c>
      <c r="AG131" s="2">
        <f t="shared" si="92"/>
        <v>11.269450000000006</v>
      </c>
      <c r="AH131" s="2">
        <v>40</v>
      </c>
      <c r="AI131">
        <f t="shared" si="93"/>
        <v>7.763327206774286</v>
      </c>
    </row>
    <row r="132" spans="5:37" x14ac:dyDescent="0.35">
      <c r="E132" s="104"/>
      <c r="F132" s="13"/>
      <c r="G132" s="49" t="s">
        <v>94</v>
      </c>
      <c r="H132" s="2">
        <f>_xlfn.STDEV.S(H108:H117)</f>
        <v>0.54823003539268633</v>
      </c>
      <c r="I132" s="2">
        <f t="shared" ref="I132:P132" si="95">_xlfn.STDEV.S(I108:I117)</f>
        <v>1.6201608174530053</v>
      </c>
      <c r="J132" s="2">
        <f t="shared" si="95"/>
        <v>5.3674085411697277E-2</v>
      </c>
      <c r="K132" s="2">
        <f t="shared" si="95"/>
        <v>5.367408541169693E-2</v>
      </c>
      <c r="L132" s="2">
        <f t="shared" si="95"/>
        <v>3.2130581614192431E-2</v>
      </c>
      <c r="M132" s="2">
        <f t="shared" si="95"/>
        <v>9.815419701275108E-3</v>
      </c>
      <c r="N132" s="2">
        <f t="shared" si="95"/>
        <v>1.6065196462059033</v>
      </c>
      <c r="O132" s="2">
        <f t="shared" si="95"/>
        <v>3.4334951418181632</v>
      </c>
      <c r="P132" s="2">
        <f t="shared" si="95"/>
        <v>0.21575313056458223</v>
      </c>
      <c r="W132" s="155">
        <v>-6</v>
      </c>
      <c r="Y132" s="13">
        <v>81.635400000000004</v>
      </c>
      <c r="Z132" s="2">
        <v>87.087490000000003</v>
      </c>
      <c r="AA132" s="2">
        <f t="shared" si="86"/>
        <v>5.4520899999999983</v>
      </c>
      <c r="AB132" s="2">
        <f t="shared" si="87"/>
        <v>6.281019999999998</v>
      </c>
      <c r="AC132" s="2">
        <f t="shared" si="88"/>
        <v>0.46467560604136499</v>
      </c>
      <c r="AD132" s="2">
        <f t="shared" si="89"/>
        <v>0.53532439395863496</v>
      </c>
      <c r="AE132" s="2">
        <f t="shared" si="90"/>
        <v>0.18341590105812638</v>
      </c>
      <c r="AF132" s="2">
        <f t="shared" si="91"/>
        <v>8.5228894981807912E-2</v>
      </c>
      <c r="AG132" s="2">
        <f t="shared" si="92"/>
        <v>11.733109999999996</v>
      </c>
      <c r="AH132" s="2">
        <v>39</v>
      </c>
      <c r="AI132">
        <f t="shared" si="93"/>
        <v>7.153220141266929</v>
      </c>
    </row>
    <row r="133" spans="5:37" x14ac:dyDescent="0.35">
      <c r="E133" s="104"/>
      <c r="F133" s="13"/>
      <c r="G133" s="49" t="s">
        <v>95</v>
      </c>
      <c r="H133" s="2">
        <f>H132/(SQRT(COUNT(H108:H117)))</f>
        <v>0.17336555935556119</v>
      </c>
      <c r="I133" s="2">
        <f t="shared" ref="I133:P133" si="96">I132/(SQRT(COUNT(I108:I117)))</f>
        <v>0.51233983589117782</v>
      </c>
      <c r="J133" s="2">
        <f t="shared" si="96"/>
        <v>1.6973236122737979E-2</v>
      </c>
      <c r="K133" s="2">
        <f t="shared" si="96"/>
        <v>1.6973236122737871E-2</v>
      </c>
      <c r="L133" s="2">
        <f t="shared" si="96"/>
        <v>1.0160582044677758E-2</v>
      </c>
      <c r="M133" s="2">
        <f t="shared" si="96"/>
        <v>3.1039082446518858E-3</v>
      </c>
      <c r="N133" s="2">
        <f t="shared" si="96"/>
        <v>0.50802611878185355</v>
      </c>
      <c r="O133" s="2">
        <f t="shared" si="96"/>
        <v>1.0857664983268238</v>
      </c>
      <c r="P133" s="2">
        <f t="shared" si="96"/>
        <v>6.8227130489576987E-2</v>
      </c>
      <c r="W133" s="155">
        <v>-6</v>
      </c>
      <c r="Y133" s="13">
        <v>93.368510000000001</v>
      </c>
      <c r="Z133" s="2">
        <v>98.181669999999997</v>
      </c>
      <c r="AA133" s="2">
        <f t="shared" si="86"/>
        <v>4.8131599999999963</v>
      </c>
      <c r="AB133" s="2">
        <f t="shared" si="87"/>
        <v>5.6423699999999997</v>
      </c>
      <c r="AC133" s="2">
        <f t="shared" si="88"/>
        <v>0.46034586481986073</v>
      </c>
      <c r="AD133" s="2">
        <f t="shared" si="89"/>
        <v>0.53965413518013927</v>
      </c>
      <c r="AE133" s="2">
        <f t="shared" si="90"/>
        <v>0.20776371448279315</v>
      </c>
      <c r="AF133" s="2">
        <f t="shared" si="91"/>
        <v>9.5643166821768044E-2</v>
      </c>
      <c r="AG133" s="2">
        <f t="shared" si="92"/>
        <v>10.455529999999996</v>
      </c>
      <c r="AH133" s="2">
        <v>39</v>
      </c>
      <c r="AI133">
        <f t="shared" si="93"/>
        <v>8.1027848648289336</v>
      </c>
    </row>
    <row r="134" spans="5:37" x14ac:dyDescent="0.35">
      <c r="E134" s="104"/>
      <c r="W134" s="155">
        <v>-6</v>
      </c>
      <c r="Y134" s="13">
        <v>103.82404</v>
      </c>
      <c r="Z134" s="2">
        <v>108.01492</v>
      </c>
      <c r="AA134" s="2">
        <f t="shared" si="86"/>
        <v>4.190880000000007</v>
      </c>
      <c r="AB134" s="2">
        <f t="shared" si="87"/>
        <v>4.7613399999999899</v>
      </c>
      <c r="AC134" s="2">
        <f t="shared" si="88"/>
        <v>0.46813862930088945</v>
      </c>
      <c r="AD134" s="2">
        <f t="shared" si="89"/>
        <v>0.53186137069911055</v>
      </c>
      <c r="AE134" s="2">
        <f t="shared" si="90"/>
        <v>0.23861336998434657</v>
      </c>
      <c r="AF134" s="2">
        <f t="shared" si="91"/>
        <v>0.111704135957338</v>
      </c>
      <c r="AG134" s="2">
        <f t="shared" si="92"/>
        <v>8.952219999999997</v>
      </c>
      <c r="AH134" s="2">
        <v>35</v>
      </c>
      <c r="AI134">
        <f t="shared" si="93"/>
        <v>8.3514679494521289</v>
      </c>
    </row>
    <row r="135" spans="5:37" x14ac:dyDescent="0.35">
      <c r="E135" s="104"/>
      <c r="W135" s="155">
        <v>-6</v>
      </c>
      <c r="Y135" s="13">
        <v>112.77625999999999</v>
      </c>
      <c r="Z135" s="2">
        <v>117.02639000000001</v>
      </c>
      <c r="AA135" s="2">
        <f t="shared" si="86"/>
        <v>4.2501300000000128</v>
      </c>
      <c r="AB135" s="2">
        <f t="shared" si="87"/>
        <v>4.6359599999999972</v>
      </c>
      <c r="AC135" s="2">
        <f t="shared" si="88"/>
        <v>0.47829022663511261</v>
      </c>
      <c r="AD135" s="2">
        <f t="shared" si="89"/>
        <v>0.52170977336488733</v>
      </c>
      <c r="AE135" s="2">
        <f t="shared" si="90"/>
        <v>0.2352869206353681</v>
      </c>
      <c r="AF135" s="2">
        <f t="shared" si="91"/>
        <v>0.11253543459496797</v>
      </c>
      <c r="AG135" s="2">
        <f t="shared" si="92"/>
        <v>8.88609000000001</v>
      </c>
      <c r="AH135" s="2">
        <v>33</v>
      </c>
      <c r="AI135">
        <f t="shared" si="93"/>
        <v>7.7644683809671466</v>
      </c>
    </row>
    <row r="136" spans="5:37" ht="16" thickBot="1" x14ac:dyDescent="0.4">
      <c r="E136" s="104"/>
      <c r="G136" s="13"/>
      <c r="H136" s="9" t="s">
        <v>3</v>
      </c>
      <c r="I136" s="9" t="s">
        <v>4</v>
      </c>
      <c r="J136" s="9" t="s">
        <v>5</v>
      </c>
      <c r="K136" s="9" t="s">
        <v>6</v>
      </c>
      <c r="L136" s="9" t="s">
        <v>7</v>
      </c>
      <c r="M136" s="9" t="s">
        <v>8</v>
      </c>
      <c r="N136" s="9" t="s">
        <v>9</v>
      </c>
      <c r="O136" s="9" t="s">
        <v>10</v>
      </c>
      <c r="P136" s="44" t="s">
        <v>139</v>
      </c>
      <c r="W136" s="155">
        <v>0</v>
      </c>
      <c r="Y136" s="13">
        <v>121.66235</v>
      </c>
      <c r="Z136" s="2">
        <v>126.61602000000001</v>
      </c>
      <c r="AA136" s="2">
        <f t="shared" si="86"/>
        <v>4.9536700000000025</v>
      </c>
      <c r="AB136" s="2">
        <f t="shared" si="87"/>
        <v>5.2460499999999826</v>
      </c>
      <c r="AC136" s="2">
        <f t="shared" si="88"/>
        <v>0.48566725361088436</v>
      </c>
      <c r="AD136" s="2">
        <f t="shared" si="89"/>
        <v>0.51433274638911564</v>
      </c>
      <c r="AE136" s="2">
        <f t="shared" si="90"/>
        <v>0.20187053235278077</v>
      </c>
      <c r="AF136" s="2">
        <f t="shared" si="91"/>
        <v>9.8041907032742223E-2</v>
      </c>
      <c r="AG136" s="2">
        <f t="shared" si="92"/>
        <v>10.199719999999985</v>
      </c>
      <c r="AH136" s="2">
        <v>38</v>
      </c>
      <c r="AI136">
        <f t="shared" si="93"/>
        <v>7.6710802294056695</v>
      </c>
      <c r="AK136" t="s">
        <v>431</v>
      </c>
    </row>
    <row r="137" spans="5:37" x14ac:dyDescent="0.35">
      <c r="E137" s="104" t="s">
        <v>410</v>
      </c>
      <c r="G137" s="49" t="s">
        <v>77</v>
      </c>
      <c r="H137" s="13">
        <f>AVERAGE(H118:H127)</f>
        <v>3.8268500000000047</v>
      </c>
      <c r="I137" s="13">
        <f t="shared" ref="I137:P137" si="97">AVERAGE(I118:I127)</f>
        <v>7.7528999999999968</v>
      </c>
      <c r="J137" s="13">
        <f t="shared" si="97"/>
        <v>0.33982781354615821</v>
      </c>
      <c r="K137" s="13">
        <f t="shared" si="97"/>
        <v>0.6601721864538419</v>
      </c>
      <c r="L137" s="13">
        <f t="shared" si="97"/>
        <v>0.26880883842820802</v>
      </c>
      <c r="M137" s="13">
        <f t="shared" si="97"/>
        <v>8.810409709960039E-2</v>
      </c>
      <c r="N137" s="13">
        <f t="shared" si="97"/>
        <v>11.579750000000001</v>
      </c>
      <c r="O137" s="13">
        <f t="shared" si="97"/>
        <v>22.5</v>
      </c>
      <c r="P137" s="13">
        <f t="shared" si="97"/>
        <v>5.8586202061351038</v>
      </c>
      <c r="W137" s="155">
        <v>0</v>
      </c>
      <c r="Y137" s="13">
        <v>131.86206999999999</v>
      </c>
      <c r="Z137" s="2">
        <v>136.51366999999999</v>
      </c>
      <c r="AA137" s="2">
        <f t="shared" si="86"/>
        <v>4.651600000000002</v>
      </c>
      <c r="AB137" s="2">
        <f t="shared" si="87"/>
        <v>6.1266899999999964</v>
      </c>
      <c r="AC137" s="2">
        <f t="shared" si="88"/>
        <v>0.43157124182036322</v>
      </c>
      <c r="AD137" s="2">
        <f t="shared" si="89"/>
        <v>0.56842875817963678</v>
      </c>
      <c r="AE137" s="2">
        <f t="shared" si="90"/>
        <v>0.21497979189956135</v>
      </c>
      <c r="AF137" s="2">
        <f t="shared" si="91"/>
        <v>9.2779095756376953E-2</v>
      </c>
      <c r="AG137" s="2">
        <f t="shared" si="92"/>
        <v>10.778289999999998</v>
      </c>
      <c r="AH137" s="2">
        <v>38</v>
      </c>
      <c r="AI137">
        <f t="shared" si="93"/>
        <v>8.1692320921833321</v>
      </c>
    </row>
    <row r="138" spans="5:37" x14ac:dyDescent="0.35">
      <c r="G138" s="49" t="s">
        <v>94</v>
      </c>
      <c r="H138" s="2">
        <f>_xlfn.STDEV.S(H118:H127)</f>
        <v>0.58939652894577665</v>
      </c>
      <c r="I138" s="2">
        <f t="shared" ref="I138:P138" si="98">_xlfn.STDEV.S(I118:I127)</f>
        <v>2.1852194624288312</v>
      </c>
      <c r="J138" s="2">
        <f t="shared" si="98"/>
        <v>7.6608968835330388E-2</v>
      </c>
      <c r="K138" s="2">
        <f t="shared" si="98"/>
        <v>7.6608968835329749E-2</v>
      </c>
      <c r="L138" s="2">
        <f t="shared" si="98"/>
        <v>5.4381308567954104E-2</v>
      </c>
      <c r="M138" s="2">
        <f t="shared" si="98"/>
        <v>1.2475678586254547E-2</v>
      </c>
      <c r="N138" s="2">
        <f t="shared" si="98"/>
        <v>1.824264087887371</v>
      </c>
      <c r="O138" s="2">
        <f t="shared" si="98"/>
        <v>4.1163630117428225</v>
      </c>
      <c r="P138" s="2">
        <f t="shared" si="98"/>
        <v>0.32086156127053983</v>
      </c>
      <c r="W138" s="155">
        <v>0</v>
      </c>
      <c r="Y138" s="13">
        <v>142.64035999999999</v>
      </c>
      <c r="Z138" s="13">
        <v>148.92331999999999</v>
      </c>
      <c r="AA138" s="2">
        <f t="shared" si="86"/>
        <v>6.2829600000000028</v>
      </c>
      <c r="AB138" s="2">
        <f t="shared" si="87"/>
        <v>5.3283600000000035</v>
      </c>
      <c r="AC138" s="2">
        <f t="shared" si="88"/>
        <v>0.54110643751098064</v>
      </c>
      <c r="AD138" s="2">
        <f t="shared" si="89"/>
        <v>0.45889356248901941</v>
      </c>
      <c r="AE138" s="2">
        <f t="shared" si="90"/>
        <v>0.1591606503940817</v>
      </c>
      <c r="AF138" s="2">
        <f t="shared" si="91"/>
        <v>8.6122852526672206E-2</v>
      </c>
      <c r="AG138" s="2">
        <f t="shared" si="92"/>
        <v>11.611320000000006</v>
      </c>
      <c r="AH138" s="2">
        <v>49</v>
      </c>
      <c r="AI138">
        <f t="shared" si="93"/>
        <v>7.7988718693100036</v>
      </c>
    </row>
    <row r="139" spans="5:37" x14ac:dyDescent="0.35">
      <c r="G139" s="49" t="s">
        <v>95</v>
      </c>
      <c r="H139" s="2">
        <f>H138/(SQRT(COUNT(H118:H127)))</f>
        <v>0.18638354764660151</v>
      </c>
      <c r="I139" s="2">
        <f t="shared" ref="I139:P139" si="99">I138/(SQRT(COUNT(I118:I127)))</f>
        <v>0.69102706886038479</v>
      </c>
      <c r="J139" s="2">
        <f t="shared" si="99"/>
        <v>2.4225883071650085E-2</v>
      </c>
      <c r="K139" s="2">
        <f t="shared" si="99"/>
        <v>2.4225883071649884E-2</v>
      </c>
      <c r="L139" s="2">
        <f t="shared" si="99"/>
        <v>1.7196879721516452E-2</v>
      </c>
      <c r="M139" s="2">
        <f t="shared" si="99"/>
        <v>3.945155968875378E-3</v>
      </c>
      <c r="N139" s="2">
        <f t="shared" si="99"/>
        <v>0.57688295713736781</v>
      </c>
      <c r="O139" s="2">
        <f t="shared" si="99"/>
        <v>1.3017082793177754</v>
      </c>
      <c r="P139" s="2">
        <f t="shared" si="99"/>
        <v>0.10146533472125757</v>
      </c>
      <c r="W139" s="155">
        <v>0</v>
      </c>
      <c r="Y139" s="13">
        <v>154.25167999999999</v>
      </c>
      <c r="Z139" s="13">
        <v>159.57604000000001</v>
      </c>
      <c r="AA139" s="2">
        <f t="shared" si="86"/>
        <v>5.3243600000000129</v>
      </c>
      <c r="AB139" s="2">
        <f t="shared" si="87"/>
        <v>5.914670000000001</v>
      </c>
      <c r="AC139" s="2">
        <f t="shared" si="88"/>
        <v>0.47373839201425799</v>
      </c>
      <c r="AD139" s="2">
        <f t="shared" si="89"/>
        <v>0.52626160798574195</v>
      </c>
      <c r="AE139" s="2">
        <f t="shared" si="90"/>
        <v>0.1878160004207074</v>
      </c>
      <c r="AF139" s="2">
        <f t="shared" si="91"/>
        <v>8.897565003385513E-2</v>
      </c>
      <c r="AG139" s="2">
        <f t="shared" si="92"/>
        <v>11.239030000000014</v>
      </c>
      <c r="AH139" s="2">
        <v>42</v>
      </c>
      <c r="AI139">
        <f t="shared" si="93"/>
        <v>7.8882720176697099</v>
      </c>
    </row>
    <row r="140" spans="5:37" x14ac:dyDescent="0.35">
      <c r="W140" s="155">
        <v>0</v>
      </c>
      <c r="Y140" s="13">
        <v>165.49071000000001</v>
      </c>
      <c r="Z140">
        <v>170.29799</v>
      </c>
      <c r="AA140" s="2">
        <f t="shared" si="86"/>
        <v>4.8072799999999916</v>
      </c>
      <c r="AB140" s="2">
        <f t="shared" si="87"/>
        <v>5.2554700000000025</v>
      </c>
      <c r="AC140" s="2">
        <f t="shared" si="88"/>
        <v>0.47773024272688819</v>
      </c>
      <c r="AD140" s="2">
        <f t="shared" si="89"/>
        <v>0.52226975727311176</v>
      </c>
      <c r="AE140" s="2">
        <f t="shared" si="90"/>
        <v>0.20801783960992531</v>
      </c>
      <c r="AF140" s="2">
        <f t="shared" si="91"/>
        <v>9.9376413008372522E-2</v>
      </c>
      <c r="AG140" s="2">
        <f t="shared" si="92"/>
        <v>10.062749999999994</v>
      </c>
      <c r="AH140" s="2">
        <v>39</v>
      </c>
      <c r="AI140">
        <f t="shared" si="93"/>
        <v>8.1126957447870875</v>
      </c>
    </row>
    <row r="141" spans="5:37" x14ac:dyDescent="0.35">
      <c r="W141" s="155">
        <v>0</v>
      </c>
      <c r="Y141">
        <v>175.55346</v>
      </c>
      <c r="Z141">
        <v>180.82839000000001</v>
      </c>
      <c r="AA141" s="2">
        <f t="shared" si="86"/>
        <v>5.2749300000000119</v>
      </c>
      <c r="AB141" s="2">
        <f t="shared" si="87"/>
        <v>4.2399099999999805</v>
      </c>
      <c r="AC141" s="2">
        <f t="shared" si="88"/>
        <v>0.55438977428942748</v>
      </c>
      <c r="AD141" s="2">
        <f t="shared" si="89"/>
        <v>0.44561022571057252</v>
      </c>
      <c r="AE141" s="2">
        <f t="shared" si="90"/>
        <v>0.18957597541578708</v>
      </c>
      <c r="AF141" s="2">
        <f t="shared" si="91"/>
        <v>0.10509898222145625</v>
      </c>
      <c r="AG141" s="2">
        <f t="shared" si="92"/>
        <v>9.5148399999999924</v>
      </c>
      <c r="AH141" s="2">
        <v>41</v>
      </c>
      <c r="AI141">
        <f t="shared" si="93"/>
        <v>7.77261499204727</v>
      </c>
    </row>
    <row r="142" spans="5:37" x14ac:dyDescent="0.35">
      <c r="W142" s="155">
        <v>0</v>
      </c>
      <c r="Y142">
        <v>185.06829999999999</v>
      </c>
      <c r="Z142">
        <v>189.89274</v>
      </c>
      <c r="AA142" s="2">
        <f t="shared" si="86"/>
        <v>4.8244400000000098</v>
      </c>
      <c r="AB142" s="2">
        <f t="shared" si="87"/>
        <v>4.9433300000000031</v>
      </c>
      <c r="AC142" s="2">
        <f t="shared" si="88"/>
        <v>0.49391416874066479</v>
      </c>
      <c r="AD142" s="2">
        <f t="shared" si="89"/>
        <v>0.50608583125933515</v>
      </c>
      <c r="AE142" s="2">
        <f t="shared" si="90"/>
        <v>0.20727794313951423</v>
      </c>
      <c r="AF142" s="2">
        <f t="shared" si="91"/>
        <v>0.10237751298402795</v>
      </c>
      <c r="AG142" s="2">
        <f t="shared" si="92"/>
        <v>9.7677700000000129</v>
      </c>
      <c r="AH142" s="2">
        <v>38</v>
      </c>
      <c r="AI142">
        <f t="shared" si="93"/>
        <v>7.87656183930154</v>
      </c>
    </row>
    <row r="143" spans="5:37" x14ac:dyDescent="0.35">
      <c r="W143" s="155">
        <v>0</v>
      </c>
      <c r="Y143">
        <v>194.83607000000001</v>
      </c>
      <c r="Z143">
        <v>199.85529</v>
      </c>
      <c r="AA143" s="2">
        <f t="shared" si="86"/>
        <v>5.01921999999999</v>
      </c>
      <c r="AB143" s="2">
        <f t="shared" si="87"/>
        <v>6.9986800000000073</v>
      </c>
      <c r="AC143" s="2">
        <f t="shared" si="88"/>
        <v>0.41764534569267436</v>
      </c>
      <c r="AD143" s="2">
        <f t="shared" si="89"/>
        <v>0.58235465430732569</v>
      </c>
      <c r="AE143" s="2">
        <f t="shared" si="90"/>
        <v>0.19923414395065409</v>
      </c>
      <c r="AF143" s="2">
        <f t="shared" si="91"/>
        <v>8.3209212924054976E-2</v>
      </c>
      <c r="AG143" s="2">
        <f t="shared" si="92"/>
        <v>12.017899999999997</v>
      </c>
      <c r="AH143" s="2">
        <v>41</v>
      </c>
      <c r="AI143">
        <f t="shared" si="93"/>
        <v>8.1685999019768172</v>
      </c>
    </row>
    <row r="144" spans="5:37" ht="18.5" x14ac:dyDescent="0.45">
      <c r="F144" s="1" t="s">
        <v>405</v>
      </c>
      <c r="G144" s="3"/>
      <c r="H144" s="3"/>
      <c r="I144" s="3"/>
      <c r="J144" s="3"/>
      <c r="K144" s="3"/>
      <c r="L144" s="3"/>
      <c r="M144" s="3"/>
      <c r="N144" s="3"/>
      <c r="O144" s="3"/>
      <c r="W144" s="155">
        <v>0</v>
      </c>
      <c r="Y144">
        <v>206.85397</v>
      </c>
      <c r="Z144">
        <v>212.7337</v>
      </c>
      <c r="AA144" s="2">
        <f t="shared" si="86"/>
        <v>5.879729999999995</v>
      </c>
      <c r="AB144" s="2">
        <f t="shared" si="87"/>
        <v>6.0926599999999951</v>
      </c>
      <c r="AC144" s="2">
        <f t="shared" si="88"/>
        <v>0.49110745640594733</v>
      </c>
      <c r="AD144" s="2">
        <f t="shared" si="89"/>
        <v>0.50889254359405267</v>
      </c>
      <c r="AE144" s="2">
        <f t="shared" si="90"/>
        <v>0.17007583681563623</v>
      </c>
      <c r="AF144" s="2">
        <f t="shared" si="91"/>
        <v>8.3525511614640086E-2</v>
      </c>
      <c r="AG144" s="2">
        <f t="shared" si="92"/>
        <v>11.97238999999999</v>
      </c>
      <c r="AH144" s="2">
        <v>46</v>
      </c>
      <c r="AI144">
        <f t="shared" si="93"/>
        <v>7.8234884935192666</v>
      </c>
    </row>
    <row r="145" spans="4:35" ht="16" thickBot="1" x14ac:dyDescent="0.4">
      <c r="D145" s="204" t="s">
        <v>406</v>
      </c>
      <c r="F145" s="9" t="s">
        <v>1</v>
      </c>
      <c r="G145" s="9" t="s">
        <v>2</v>
      </c>
      <c r="H145" s="9" t="s">
        <v>3</v>
      </c>
      <c r="I145" s="9" t="s">
        <v>4</v>
      </c>
      <c r="J145" s="9" t="s">
        <v>5</v>
      </c>
      <c r="K145" s="9" t="s">
        <v>6</v>
      </c>
      <c r="L145" s="9" t="s">
        <v>7</v>
      </c>
      <c r="M145" s="9" t="s">
        <v>8</v>
      </c>
      <c r="N145" s="9" t="s">
        <v>9</v>
      </c>
      <c r="O145" s="9" t="s">
        <v>10</v>
      </c>
      <c r="P145" s="44" t="s">
        <v>139</v>
      </c>
      <c r="R145" s="44" t="s">
        <v>138</v>
      </c>
      <c r="W145" s="155">
        <v>0</v>
      </c>
      <c r="Y145">
        <v>218.82635999999999</v>
      </c>
      <c r="Z145">
        <v>224.19150999999999</v>
      </c>
      <c r="AA145" s="2">
        <f t="shared" si="86"/>
        <v>5.3651499999999999</v>
      </c>
      <c r="AB145" s="2">
        <f t="shared" si="87"/>
        <v>6.3836799999999982</v>
      </c>
      <c r="AC145" s="2">
        <f t="shared" si="88"/>
        <v>0.45665398171562621</v>
      </c>
      <c r="AD145" s="2">
        <f t="shared" si="89"/>
        <v>0.54334601828437379</v>
      </c>
      <c r="AE145" s="2">
        <f t="shared" si="90"/>
        <v>0.18638807861849158</v>
      </c>
      <c r="AF145" s="2">
        <f t="shared" si="91"/>
        <v>8.5114858245459349E-2</v>
      </c>
      <c r="AG145" s="2">
        <f t="shared" si="92"/>
        <v>11.748829999999998</v>
      </c>
      <c r="AH145" s="2">
        <v>42</v>
      </c>
      <c r="AI145">
        <f t="shared" si="93"/>
        <v>7.8282993019766458</v>
      </c>
    </row>
    <row r="146" spans="4:35" x14ac:dyDescent="0.35">
      <c r="D146" s="155">
        <v>12</v>
      </c>
      <c r="F146" s="2">
        <v>5.6855099999999998</v>
      </c>
      <c r="G146" s="2">
        <v>10.61684</v>
      </c>
      <c r="H146" s="2">
        <f t="shared" ref="H146:H165" si="100">G146-F146</f>
        <v>4.93133</v>
      </c>
      <c r="I146" s="2">
        <f t="shared" ref="I146:I165" si="101">F147-G146</f>
        <v>5.4244100000000017</v>
      </c>
      <c r="J146" s="2">
        <f>H146/N146</f>
        <v>0.47619291330218794</v>
      </c>
      <c r="K146" s="2">
        <f>I146/N146</f>
        <v>0.52380708669781217</v>
      </c>
      <c r="L146" s="2">
        <f>1/H146</f>
        <v>0.20278504987498303</v>
      </c>
      <c r="M146" s="2">
        <f>1/N146</f>
        <v>9.6564803674097643E-2</v>
      </c>
      <c r="N146" s="2">
        <f>H146+I146</f>
        <v>10.355740000000001</v>
      </c>
      <c r="O146" s="2">
        <v>33</v>
      </c>
      <c r="P146">
        <f>O146/H146</f>
        <v>6.6919066458744396</v>
      </c>
      <c r="R146" t="s">
        <v>417</v>
      </c>
      <c r="W146" s="155">
        <v>0</v>
      </c>
      <c r="Y146">
        <v>230.57518999999999</v>
      </c>
      <c r="Z146">
        <v>235.80327</v>
      </c>
      <c r="AA146" s="2">
        <f t="shared" si="86"/>
        <v>5.2280800000000056</v>
      </c>
      <c r="AB146" s="2"/>
      <c r="AC146" s="2"/>
      <c r="AD146" s="2"/>
      <c r="AE146" s="2"/>
      <c r="AF146" s="2"/>
      <c r="AG146" s="2"/>
      <c r="AH146" s="2"/>
    </row>
    <row r="147" spans="4:35" x14ac:dyDescent="0.35">
      <c r="D147" s="155">
        <v>12</v>
      </c>
      <c r="F147" s="2">
        <v>16.041250000000002</v>
      </c>
      <c r="G147" s="2">
        <v>21.409220000000001</v>
      </c>
      <c r="H147" s="2">
        <f t="shared" si="100"/>
        <v>5.3679699999999997</v>
      </c>
      <c r="I147" s="2">
        <f t="shared" si="101"/>
        <v>7.2773000000000003</v>
      </c>
      <c r="J147" s="2">
        <f t="shared" ref="J147:J165" si="102">H147/N147</f>
        <v>0.42450418219618874</v>
      </c>
      <c r="K147" s="2">
        <f t="shared" ref="K147:K165" si="103">I147/N147</f>
        <v>0.5754958178038112</v>
      </c>
      <c r="L147" s="2">
        <f t="shared" ref="L147:L165" si="104">1/H147</f>
        <v>0.18629016183026359</v>
      </c>
      <c r="M147" s="2">
        <f t="shared" ref="M147:M166" si="105">1/N147</f>
        <v>7.9080952798951706E-2</v>
      </c>
      <c r="N147" s="2">
        <f t="shared" ref="N147:N165" si="106">H147+I147</f>
        <v>12.64527</v>
      </c>
      <c r="O147" s="2">
        <v>33</v>
      </c>
      <c r="P147">
        <f t="shared" ref="P147:P166" si="107">O147/H147</f>
        <v>6.1475753403986984</v>
      </c>
      <c r="W147" s="155">
        <v>0</v>
      </c>
      <c r="AA147" s="2"/>
      <c r="AB147" s="2"/>
      <c r="AC147" s="2"/>
      <c r="AD147" s="2"/>
      <c r="AE147" s="2"/>
      <c r="AF147" s="2"/>
      <c r="AG147" s="2"/>
      <c r="AH147" s="2"/>
    </row>
    <row r="148" spans="4:35" x14ac:dyDescent="0.35">
      <c r="D148" s="155">
        <v>12</v>
      </c>
      <c r="F148" s="13">
        <v>28.686520000000002</v>
      </c>
      <c r="G148" s="2">
        <v>33.4955</v>
      </c>
      <c r="H148" s="2">
        <f t="shared" si="100"/>
        <v>4.8089799999999983</v>
      </c>
      <c r="I148" s="2">
        <f t="shared" si="101"/>
        <v>5.3084599999999966</v>
      </c>
      <c r="J148" s="2">
        <f t="shared" si="102"/>
        <v>0.47531589018565967</v>
      </c>
      <c r="K148" s="2">
        <f t="shared" si="103"/>
        <v>0.52468410981434033</v>
      </c>
      <c r="L148" s="2">
        <f t="shared" si="104"/>
        <v>0.2079443041975638</v>
      </c>
      <c r="M148" s="2">
        <f t="shared" si="105"/>
        <v>9.8839232058702653E-2</v>
      </c>
      <c r="N148" s="2">
        <f t="shared" si="106"/>
        <v>10.117439999999995</v>
      </c>
      <c r="O148" s="2">
        <v>33</v>
      </c>
      <c r="P148">
        <f t="shared" si="107"/>
        <v>6.8621620385196058</v>
      </c>
      <c r="W148" s="155"/>
      <c r="AA148" s="2"/>
      <c r="AB148" s="2"/>
      <c r="AC148" s="2"/>
      <c r="AD148" s="2"/>
      <c r="AE148" s="2"/>
      <c r="AF148" s="2"/>
      <c r="AG148" s="2"/>
      <c r="AH148" s="2"/>
    </row>
    <row r="149" spans="4:35" x14ac:dyDescent="0.35">
      <c r="D149" s="155">
        <v>12</v>
      </c>
      <c r="F149" s="13">
        <v>38.803959999999996</v>
      </c>
      <c r="G149" s="2">
        <v>43.482880000000002</v>
      </c>
      <c r="H149" s="2">
        <f t="shared" si="100"/>
        <v>4.6789200000000051</v>
      </c>
      <c r="I149" s="2">
        <f t="shared" si="101"/>
        <v>6.7754899999999978</v>
      </c>
      <c r="J149" s="2">
        <f t="shared" si="102"/>
        <v>0.40848197331857372</v>
      </c>
      <c r="K149" s="2">
        <f t="shared" si="103"/>
        <v>0.59151802668142628</v>
      </c>
      <c r="L149" s="2">
        <f t="shared" si="104"/>
        <v>0.21372453472168768</v>
      </c>
      <c r="M149" s="2">
        <f t="shared" si="105"/>
        <v>8.730261968970901E-2</v>
      </c>
      <c r="N149" s="2">
        <f t="shared" si="106"/>
        <v>11.454410000000003</v>
      </c>
      <c r="O149" s="2">
        <v>31</v>
      </c>
      <c r="P149">
        <f t="shared" si="107"/>
        <v>6.6254605763723182</v>
      </c>
    </row>
    <row r="150" spans="4:35" x14ac:dyDescent="0.35">
      <c r="D150" s="155">
        <v>12</v>
      </c>
      <c r="F150" s="13">
        <v>50.258369999999999</v>
      </c>
      <c r="G150" s="2">
        <v>55.210909999999998</v>
      </c>
      <c r="H150" s="2">
        <f t="shared" si="100"/>
        <v>4.9525399999999991</v>
      </c>
      <c r="I150" s="2">
        <f t="shared" si="101"/>
        <v>5.3349299999999999</v>
      </c>
      <c r="J150" s="2">
        <f t="shared" si="102"/>
        <v>0.48141476961779711</v>
      </c>
      <c r="K150" s="2">
        <f t="shared" si="103"/>
        <v>0.51858523038220283</v>
      </c>
      <c r="L150" s="2">
        <f t="shared" si="104"/>
        <v>0.2019165922940552</v>
      </c>
      <c r="M150" s="2">
        <f t="shared" si="105"/>
        <v>9.7205629761253257E-2</v>
      </c>
      <c r="N150" s="2">
        <f t="shared" si="106"/>
        <v>10.287469999999999</v>
      </c>
      <c r="O150" s="2">
        <v>31</v>
      </c>
      <c r="P150">
        <f t="shared" si="107"/>
        <v>6.2594143611157111</v>
      </c>
    </row>
    <row r="151" spans="4:35" x14ac:dyDescent="0.35">
      <c r="D151" s="155">
        <v>12</v>
      </c>
      <c r="F151" s="13">
        <v>60.545839999999998</v>
      </c>
      <c r="G151" s="2">
        <v>66.100269999999995</v>
      </c>
      <c r="H151" s="2">
        <f t="shared" si="100"/>
        <v>5.5544299999999964</v>
      </c>
      <c r="I151" s="2">
        <f t="shared" si="101"/>
        <v>4.5017500000000013</v>
      </c>
      <c r="J151" s="2">
        <f t="shared" si="102"/>
        <v>0.55233995413765447</v>
      </c>
      <c r="K151" s="2">
        <f t="shared" si="103"/>
        <v>0.44766004586234559</v>
      </c>
      <c r="L151" s="2">
        <f t="shared" si="104"/>
        <v>0.1800364753899141</v>
      </c>
      <c r="M151" s="2">
        <f t="shared" si="105"/>
        <v>9.9441338559970116E-2</v>
      </c>
      <c r="N151" s="2">
        <f t="shared" si="106"/>
        <v>10.056179999999998</v>
      </c>
      <c r="O151" s="2">
        <v>34</v>
      </c>
      <c r="P151">
        <f t="shared" si="107"/>
        <v>6.1212401632570801</v>
      </c>
    </row>
    <row r="152" spans="4:35" ht="16" thickBot="1" x14ac:dyDescent="0.4">
      <c r="D152" s="155">
        <v>12</v>
      </c>
      <c r="F152" s="13">
        <v>70.602019999999996</v>
      </c>
      <c r="G152" s="2">
        <v>74.991510000000005</v>
      </c>
      <c r="H152" s="2">
        <f t="shared" si="100"/>
        <v>4.3894900000000092</v>
      </c>
      <c r="I152" s="2">
        <f t="shared" si="101"/>
        <v>5.6612599999999986</v>
      </c>
      <c r="J152" s="2">
        <f t="shared" si="102"/>
        <v>0.43673258214561161</v>
      </c>
      <c r="K152" s="2">
        <f t="shared" si="103"/>
        <v>0.56326741785438839</v>
      </c>
      <c r="L152" s="2">
        <f t="shared" si="104"/>
        <v>0.22781689900193369</v>
      </c>
      <c r="M152" s="2">
        <f t="shared" si="105"/>
        <v>9.9495062557520511E-2</v>
      </c>
      <c r="N152" s="2">
        <f t="shared" si="106"/>
        <v>10.050750000000008</v>
      </c>
      <c r="O152" s="2">
        <v>29</v>
      </c>
      <c r="P152">
        <f t="shared" si="107"/>
        <v>6.606690071056077</v>
      </c>
      <c r="Y152" s="13"/>
      <c r="Z152" s="13"/>
      <c r="AA152" s="9" t="s">
        <v>3</v>
      </c>
      <c r="AB152" s="9" t="s">
        <v>4</v>
      </c>
      <c r="AC152" s="9" t="s">
        <v>5</v>
      </c>
      <c r="AD152" s="9" t="s">
        <v>6</v>
      </c>
      <c r="AE152" s="9" t="s">
        <v>7</v>
      </c>
      <c r="AF152" s="9" t="s">
        <v>8</v>
      </c>
      <c r="AG152" s="9" t="s">
        <v>9</v>
      </c>
      <c r="AH152" s="9" t="s">
        <v>10</v>
      </c>
      <c r="AI152" s="44" t="s">
        <v>139</v>
      </c>
    </row>
    <row r="153" spans="4:35" x14ac:dyDescent="0.35">
      <c r="D153" s="155">
        <v>12</v>
      </c>
      <c r="F153" s="13">
        <v>80.652770000000004</v>
      </c>
      <c r="G153" s="2">
        <v>85.030230000000003</v>
      </c>
      <c r="H153" s="2">
        <f t="shared" si="100"/>
        <v>4.3774599999999992</v>
      </c>
      <c r="I153" s="2">
        <f t="shared" si="101"/>
        <v>6.195769999999996</v>
      </c>
      <c r="J153" s="2">
        <f t="shared" si="102"/>
        <v>0.41401350391507619</v>
      </c>
      <c r="K153" s="2">
        <f t="shared" si="103"/>
        <v>0.58598649608492381</v>
      </c>
      <c r="L153" s="2">
        <f t="shared" si="104"/>
        <v>0.22844297834817456</v>
      </c>
      <c r="M153" s="2">
        <f t="shared" si="105"/>
        <v>9.457847791072363E-2</v>
      </c>
      <c r="N153" s="2">
        <f t="shared" si="106"/>
        <v>10.573229999999995</v>
      </c>
      <c r="O153" s="2">
        <v>29</v>
      </c>
      <c r="P153">
        <f t="shared" si="107"/>
        <v>6.6248463720970623</v>
      </c>
      <c r="X153" s="104" t="s">
        <v>432</v>
      </c>
      <c r="Y153" s="13"/>
      <c r="Z153" s="49" t="s">
        <v>77</v>
      </c>
      <c r="AA153" s="13">
        <f>AVERAGE(AA124:AA135)</f>
        <v>4.7608800000000011</v>
      </c>
      <c r="AB153" s="13">
        <f t="shared" ref="AB153:AI153" si="108">AVERAGE(AB124:AB135)</f>
        <v>5.3768950000000002</v>
      </c>
      <c r="AC153" s="13">
        <f t="shared" si="108"/>
        <v>0.46955217718540537</v>
      </c>
      <c r="AD153" s="13">
        <f t="shared" si="108"/>
        <v>0.53044782281459468</v>
      </c>
      <c r="AE153" s="13">
        <f t="shared" si="108"/>
        <v>0.2125561576369083</v>
      </c>
      <c r="AF153" s="13">
        <f t="shared" si="108"/>
        <v>9.9621040499284705E-2</v>
      </c>
      <c r="AG153" s="13">
        <f t="shared" si="108"/>
        <v>10.137775</v>
      </c>
      <c r="AH153" s="13">
        <f t="shared" si="108"/>
        <v>37.5</v>
      </c>
      <c r="AI153" s="13">
        <f t="shared" si="108"/>
        <v>7.8971690125614709</v>
      </c>
    </row>
    <row r="154" spans="4:35" x14ac:dyDescent="0.35">
      <c r="D154" s="155">
        <v>12</v>
      </c>
      <c r="F154" s="13">
        <v>91.225999999999999</v>
      </c>
      <c r="G154" s="2">
        <v>95.455860000000001</v>
      </c>
      <c r="H154" s="2">
        <f t="shared" si="100"/>
        <v>4.2298600000000022</v>
      </c>
      <c r="I154" s="2">
        <f t="shared" si="101"/>
        <v>8.2158799999999985</v>
      </c>
      <c r="J154" s="2">
        <f t="shared" si="102"/>
        <v>0.33986408200717688</v>
      </c>
      <c r="K154" s="2">
        <f t="shared" si="103"/>
        <v>0.66013591799282312</v>
      </c>
      <c r="L154" s="2">
        <f t="shared" si="104"/>
        <v>0.23641444397686909</v>
      </c>
      <c r="M154" s="2">
        <f t="shared" si="105"/>
        <v>8.034877797543577E-2</v>
      </c>
      <c r="N154" s="2">
        <f t="shared" si="106"/>
        <v>12.445740000000001</v>
      </c>
      <c r="O154" s="2">
        <v>27</v>
      </c>
      <c r="P154">
        <f t="shared" si="107"/>
        <v>6.3831899873754656</v>
      </c>
      <c r="X154" s="104"/>
      <c r="Y154" s="13"/>
      <c r="Z154" s="49" t="s">
        <v>94</v>
      </c>
      <c r="AA154" s="2">
        <f>_xlfn.STDEV.S(AA124:AA135)</f>
        <v>0.532386702808467</v>
      </c>
      <c r="AB154" s="2">
        <f t="shared" ref="AB154:AI154" si="109">_xlfn.STDEV.S(AB124:AB135)</f>
        <v>0.5946533419870409</v>
      </c>
      <c r="AC154" s="2">
        <f t="shared" si="109"/>
        <v>1.9775584353371439E-2</v>
      </c>
      <c r="AD154" s="2">
        <f t="shared" si="109"/>
        <v>1.9775584353371459E-2</v>
      </c>
      <c r="AE154" s="2">
        <f t="shared" si="109"/>
        <v>2.4628378295956994E-2</v>
      </c>
      <c r="AF154" s="2">
        <f t="shared" si="109"/>
        <v>1.0365718475321297E-2</v>
      </c>
      <c r="AG154" s="2">
        <f t="shared" si="109"/>
        <v>1.0492691269597647</v>
      </c>
      <c r="AH154" s="2">
        <f t="shared" si="109"/>
        <v>3.7294893630483661</v>
      </c>
      <c r="AI154" s="2">
        <f t="shared" si="109"/>
        <v>0.39252977829669833</v>
      </c>
    </row>
    <row r="155" spans="4:35" x14ac:dyDescent="0.35">
      <c r="D155" s="155">
        <v>12</v>
      </c>
      <c r="F155" s="13">
        <v>103.67174</v>
      </c>
      <c r="G155" s="2">
        <v>108.38735</v>
      </c>
      <c r="H155" s="2">
        <f t="shared" si="100"/>
        <v>4.7156099999999981</v>
      </c>
      <c r="I155" s="2">
        <f t="shared" si="101"/>
        <v>5.2935000000000088</v>
      </c>
      <c r="J155" s="2">
        <f t="shared" si="102"/>
        <v>0.47113179893117318</v>
      </c>
      <c r="K155" s="2">
        <f t="shared" si="103"/>
        <v>0.52886820106882682</v>
      </c>
      <c r="L155" s="2">
        <f t="shared" si="104"/>
        <v>0.21206164207811937</v>
      </c>
      <c r="M155" s="2">
        <f t="shared" si="105"/>
        <v>9.9908982916562944E-2</v>
      </c>
      <c r="N155" s="2">
        <f t="shared" si="106"/>
        <v>10.009110000000007</v>
      </c>
      <c r="O155" s="2">
        <v>29</v>
      </c>
      <c r="P155">
        <f t="shared" si="107"/>
        <v>6.1497876202654611</v>
      </c>
      <c r="X155" s="104"/>
      <c r="Y155" s="13"/>
      <c r="Z155" s="49" t="s">
        <v>95</v>
      </c>
      <c r="AA155" s="2">
        <f>AA154/(SQRT(COUNT(AA124:AA135)))</f>
        <v>0.15368680308972288</v>
      </c>
      <c r="AB155" s="2">
        <f t="shared" ref="AB155:AI155" si="110">AB154/(SQRT(COUNT(AB124:AB135)))</f>
        <v>0.17166163353536434</v>
      </c>
      <c r="AC155" s="2">
        <f t="shared" si="110"/>
        <v>5.7087194749005764E-3</v>
      </c>
      <c r="AD155" s="2">
        <f t="shared" si="110"/>
        <v>5.7087194749005817E-3</v>
      </c>
      <c r="AE155" s="2">
        <f t="shared" si="110"/>
        <v>7.1096004194373544E-3</v>
      </c>
      <c r="AF155" s="2">
        <f t="shared" si="110"/>
        <v>2.9923251760353145E-3</v>
      </c>
      <c r="AG155" s="2">
        <f t="shared" si="110"/>
        <v>0.30289790645129189</v>
      </c>
      <c r="AH155" s="2">
        <f t="shared" si="110"/>
        <v>1.0766108438479101</v>
      </c>
      <c r="AI155" s="2">
        <f t="shared" si="110"/>
        <v>0.11331358658227146</v>
      </c>
    </row>
    <row r="156" spans="4:35" x14ac:dyDescent="0.35">
      <c r="D156" s="155">
        <v>12</v>
      </c>
      <c r="F156" s="13">
        <v>113.68085000000001</v>
      </c>
      <c r="G156" s="2">
        <v>118.42563</v>
      </c>
      <c r="H156" s="2">
        <f t="shared" si="100"/>
        <v>4.7447799999999916</v>
      </c>
      <c r="I156" s="2">
        <f t="shared" si="101"/>
        <v>7.3965900000000033</v>
      </c>
      <c r="J156" s="2">
        <f t="shared" si="102"/>
        <v>0.39079444906134919</v>
      </c>
      <c r="K156" s="2">
        <f t="shared" si="103"/>
        <v>0.60920555093865081</v>
      </c>
      <c r="L156" s="2">
        <f t="shared" si="104"/>
        <v>0.21075792765944928</v>
      </c>
      <c r="M156" s="2">
        <f t="shared" si="105"/>
        <v>8.2363028224986173E-2</v>
      </c>
      <c r="N156" s="2">
        <f t="shared" si="106"/>
        <v>12.141369999999995</v>
      </c>
      <c r="O156" s="2">
        <v>32</v>
      </c>
      <c r="P156">
        <f t="shared" si="107"/>
        <v>6.7442536851023771</v>
      </c>
      <c r="R156" t="s">
        <v>418</v>
      </c>
      <c r="X156" s="104"/>
    </row>
    <row r="157" spans="4:35" x14ac:dyDescent="0.35">
      <c r="D157" s="155">
        <v>0</v>
      </c>
      <c r="F157" s="13">
        <v>125.82222</v>
      </c>
      <c r="G157" s="2">
        <v>129.60217</v>
      </c>
      <c r="H157" s="2">
        <f t="shared" si="100"/>
        <v>3.7799499999999995</v>
      </c>
      <c r="I157" s="2">
        <f t="shared" si="101"/>
        <v>7.8515899999999874</v>
      </c>
      <c r="J157" s="2">
        <f t="shared" si="102"/>
        <v>0.32497416507186527</v>
      </c>
      <c r="K157" s="2">
        <f t="shared" si="103"/>
        <v>0.67502583492813473</v>
      </c>
      <c r="L157" s="2">
        <f t="shared" si="104"/>
        <v>0.26455376393867647</v>
      </c>
      <c r="M157" s="2">
        <f t="shared" si="105"/>
        <v>8.5973138552590728E-2</v>
      </c>
      <c r="N157" s="2">
        <f t="shared" si="106"/>
        <v>11.631539999999987</v>
      </c>
      <c r="O157" s="2">
        <v>22</v>
      </c>
      <c r="P157">
        <f t="shared" si="107"/>
        <v>5.8201828066508821</v>
      </c>
      <c r="X157" s="104"/>
    </row>
    <row r="158" spans="4:35" ht="16" thickBot="1" x14ac:dyDescent="0.4">
      <c r="D158" s="155">
        <v>0</v>
      </c>
      <c r="F158" s="13">
        <v>137.45375999999999</v>
      </c>
      <c r="G158" s="2">
        <v>141.27043</v>
      </c>
      <c r="H158" s="2">
        <f t="shared" si="100"/>
        <v>3.8166700000000162</v>
      </c>
      <c r="I158" s="2">
        <f t="shared" si="101"/>
        <v>6.4638599999999826</v>
      </c>
      <c r="J158" s="2">
        <f t="shared" si="102"/>
        <v>0.371252260340665</v>
      </c>
      <c r="K158" s="2">
        <f t="shared" si="103"/>
        <v>0.62874773965933506</v>
      </c>
      <c r="L158" s="2">
        <f t="shared" si="104"/>
        <v>0.26200850479606458</v>
      </c>
      <c r="M158" s="2">
        <f t="shared" si="105"/>
        <v>9.727124963401694E-2</v>
      </c>
      <c r="N158" s="2">
        <f t="shared" si="106"/>
        <v>10.280529999999999</v>
      </c>
      <c r="O158" s="2">
        <v>23</v>
      </c>
      <c r="P158">
        <f t="shared" si="107"/>
        <v>6.0261956103094851</v>
      </c>
      <c r="X158" s="104"/>
      <c r="Z158" s="13"/>
      <c r="AA158" s="9" t="s">
        <v>3</v>
      </c>
      <c r="AB158" s="9" t="s">
        <v>4</v>
      </c>
      <c r="AC158" s="9" t="s">
        <v>5</v>
      </c>
      <c r="AD158" s="9" t="s">
        <v>6</v>
      </c>
      <c r="AE158" s="9" t="s">
        <v>7</v>
      </c>
      <c r="AF158" s="9" t="s">
        <v>8</v>
      </c>
      <c r="AG158" s="9" t="s">
        <v>9</v>
      </c>
      <c r="AH158" s="9" t="s">
        <v>10</v>
      </c>
      <c r="AI158" s="44" t="s">
        <v>139</v>
      </c>
    </row>
    <row r="159" spans="4:35" x14ac:dyDescent="0.35">
      <c r="D159" s="155">
        <v>0</v>
      </c>
      <c r="F159" s="13">
        <v>147.73428999999999</v>
      </c>
      <c r="G159" s="2">
        <v>150.58357000000001</v>
      </c>
      <c r="H159" s="2">
        <f t="shared" si="100"/>
        <v>2.8492800000000216</v>
      </c>
      <c r="I159" s="2">
        <f t="shared" si="101"/>
        <v>6.079669999999993</v>
      </c>
      <c r="J159" s="2">
        <f t="shared" si="102"/>
        <v>0.31910582991281361</v>
      </c>
      <c r="K159" s="2">
        <f t="shared" si="103"/>
        <v>0.68089417008718645</v>
      </c>
      <c r="L159" s="2">
        <f t="shared" si="104"/>
        <v>0.35096585804132707</v>
      </c>
      <c r="M159" s="2">
        <f t="shared" si="105"/>
        <v>0.1119952514013404</v>
      </c>
      <c r="N159" s="2">
        <f t="shared" si="106"/>
        <v>8.9289500000000146</v>
      </c>
      <c r="O159" s="2">
        <v>17</v>
      </c>
      <c r="P159">
        <f t="shared" si="107"/>
        <v>5.9664195867025605</v>
      </c>
      <c r="X159" s="104" t="s">
        <v>410</v>
      </c>
      <c r="Z159" s="49" t="s">
        <v>77</v>
      </c>
      <c r="AA159" s="13">
        <f>AVERAGE(AA136:AA145)</f>
        <v>5.2383340000000018</v>
      </c>
      <c r="AB159" s="13">
        <f t="shared" ref="AB159:AI159" si="111">AVERAGE(AB136:AB145)</f>
        <v>5.652949999999997</v>
      </c>
      <c r="AC159" s="13">
        <f t="shared" si="111"/>
        <v>0.4823524294527714</v>
      </c>
      <c r="AD159" s="13">
        <f t="shared" si="111"/>
        <v>0.51764757054722854</v>
      </c>
      <c r="AE159" s="13">
        <f t="shared" si="111"/>
        <v>0.19243967926171396</v>
      </c>
      <c r="AF159" s="13">
        <f t="shared" si="111"/>
        <v>9.2462199634765777E-2</v>
      </c>
      <c r="AG159" s="13">
        <f t="shared" si="111"/>
        <v>10.891283999999999</v>
      </c>
      <c r="AH159" s="13">
        <f t="shared" si="111"/>
        <v>41.4</v>
      </c>
      <c r="AI159" s="13">
        <f t="shared" si="111"/>
        <v>7.9109716482177346</v>
      </c>
    </row>
    <row r="160" spans="4:35" x14ac:dyDescent="0.35">
      <c r="D160" s="155">
        <v>0</v>
      </c>
      <c r="F160" s="13">
        <v>156.66324</v>
      </c>
      <c r="G160" s="2">
        <v>160.88468</v>
      </c>
      <c r="H160" s="2">
        <f t="shared" si="100"/>
        <v>4.2214400000000012</v>
      </c>
      <c r="I160" s="2">
        <f t="shared" si="101"/>
        <v>6.152940000000001</v>
      </c>
      <c r="J160" s="2">
        <f t="shared" si="102"/>
        <v>0.406910099687885</v>
      </c>
      <c r="K160" s="2">
        <f t="shared" si="103"/>
        <v>0.59308990031211506</v>
      </c>
      <c r="L160" s="2">
        <f t="shared" si="104"/>
        <v>0.236885991510006</v>
      </c>
      <c r="M160" s="2">
        <f t="shared" si="105"/>
        <v>9.6391302420000019E-2</v>
      </c>
      <c r="N160" s="2">
        <f t="shared" si="106"/>
        <v>10.374380000000002</v>
      </c>
      <c r="O160" s="2">
        <v>26</v>
      </c>
      <c r="P160">
        <f t="shared" si="107"/>
        <v>6.1590357792601562</v>
      </c>
      <c r="Z160" s="49" t="s">
        <v>94</v>
      </c>
      <c r="AA160" s="2">
        <f>_xlfn.STDEV.S(AA136:AA145)</f>
        <v>0.51184540474639439</v>
      </c>
      <c r="AB160" s="2">
        <f t="shared" ref="AB160:AI160" si="112">_xlfn.STDEV.S(AB136:AB145)</f>
        <v>0.80002684749395725</v>
      </c>
      <c r="AC160" s="2">
        <f t="shared" si="112"/>
        <v>4.2667235749908675E-2</v>
      </c>
      <c r="AD160" s="2">
        <f t="shared" si="112"/>
        <v>4.2667235749908675E-2</v>
      </c>
      <c r="AE160" s="2">
        <f t="shared" si="112"/>
        <v>1.7574766824171174E-2</v>
      </c>
      <c r="AF160" s="2">
        <f t="shared" si="112"/>
        <v>8.2249657110882463E-3</v>
      </c>
      <c r="AG160" s="2">
        <f t="shared" si="112"/>
        <v>0.95144316413657803</v>
      </c>
      <c r="AH160" s="2">
        <f t="shared" si="112"/>
        <v>3.6575644598253869</v>
      </c>
      <c r="AI160" s="2">
        <f t="shared" si="112"/>
        <v>0.17613363932352674</v>
      </c>
    </row>
    <row r="161" spans="4:37" x14ac:dyDescent="0.35">
      <c r="D161" s="155">
        <v>0</v>
      </c>
      <c r="F161" s="13">
        <v>167.03762</v>
      </c>
      <c r="G161" s="2">
        <v>170.75767999999999</v>
      </c>
      <c r="H161" s="2">
        <f t="shared" si="100"/>
        <v>3.7200599999999895</v>
      </c>
      <c r="I161" s="2">
        <f t="shared" si="101"/>
        <v>7.7160300000000177</v>
      </c>
      <c r="J161" s="2">
        <f t="shared" si="102"/>
        <v>0.32529124901955014</v>
      </c>
      <c r="K161" s="2">
        <f t="shared" si="103"/>
        <v>0.67470875098044991</v>
      </c>
      <c r="L161" s="2">
        <f t="shared" si="104"/>
        <v>0.26881286860964682</v>
      </c>
      <c r="M161" s="2">
        <f t="shared" si="105"/>
        <v>8.7442473782560245E-2</v>
      </c>
      <c r="N161" s="2">
        <f t="shared" si="106"/>
        <v>11.436090000000007</v>
      </c>
      <c r="O161" s="2">
        <v>23</v>
      </c>
      <c r="P161">
        <f t="shared" si="107"/>
        <v>6.1826959780218775</v>
      </c>
      <c r="Z161" s="49" t="s">
        <v>95</v>
      </c>
      <c r="AA161" s="2">
        <f>AA160/(SQRT(COUNT(AA136:AA145)))</f>
        <v>0.16185972888893652</v>
      </c>
      <c r="AB161" s="2">
        <f t="shared" ref="AB161:AI161" si="113">AB160/(SQRT(COUNT(AB136:AB145)))</f>
        <v>0.25299070273650759</v>
      </c>
      <c r="AC161" s="2">
        <f t="shared" si="113"/>
        <v>1.3492564643307382E-2</v>
      </c>
      <c r="AD161" s="2">
        <f t="shared" si="113"/>
        <v>1.3492564643307382E-2</v>
      </c>
      <c r="AE161" s="2">
        <f t="shared" si="113"/>
        <v>5.5576292510744873E-3</v>
      </c>
      <c r="AF161" s="2">
        <f t="shared" si="113"/>
        <v>2.6009625323825288E-3</v>
      </c>
      <c r="AG161" s="2">
        <f t="shared" si="113"/>
        <v>0.30087274628690169</v>
      </c>
      <c r="AH161" s="2">
        <f t="shared" si="113"/>
        <v>1.1566234381931646</v>
      </c>
      <c r="AI161" s="2">
        <f t="shared" si="113"/>
        <v>5.5698347283694334E-2</v>
      </c>
    </row>
    <row r="162" spans="4:37" x14ac:dyDescent="0.35">
      <c r="D162" s="155">
        <v>0</v>
      </c>
      <c r="F162" s="13">
        <v>178.47371000000001</v>
      </c>
      <c r="G162" s="13">
        <v>182.88560000000001</v>
      </c>
      <c r="H162" s="2">
        <f t="shared" si="100"/>
        <v>4.4118899999999996</v>
      </c>
      <c r="I162" s="2">
        <f t="shared" si="101"/>
        <v>7.2566199999999981</v>
      </c>
      <c r="J162" s="2">
        <f t="shared" si="102"/>
        <v>0.37810225984294488</v>
      </c>
      <c r="K162" s="2">
        <f t="shared" si="103"/>
        <v>0.62189774015705512</v>
      </c>
      <c r="L162" s="2">
        <f t="shared" si="104"/>
        <v>0.22666022951614842</v>
      </c>
      <c r="M162" s="2">
        <f t="shared" si="105"/>
        <v>8.5700744996576275E-2</v>
      </c>
      <c r="N162" s="2">
        <f t="shared" si="106"/>
        <v>11.668509999999998</v>
      </c>
      <c r="O162" s="2">
        <v>28</v>
      </c>
      <c r="P162">
        <f t="shared" si="107"/>
        <v>6.3464864264521559</v>
      </c>
    </row>
    <row r="163" spans="4:37" x14ac:dyDescent="0.35">
      <c r="D163" s="155">
        <v>0</v>
      </c>
      <c r="F163" s="13">
        <v>190.14222000000001</v>
      </c>
      <c r="G163" s="13">
        <v>193.82534999999999</v>
      </c>
      <c r="H163" s="2">
        <f t="shared" si="100"/>
        <v>3.6831299999999771</v>
      </c>
      <c r="I163" s="2">
        <f t="shared" si="101"/>
        <v>6.7754100000000221</v>
      </c>
      <c r="J163" s="2">
        <f t="shared" si="102"/>
        <v>0.35216483371483759</v>
      </c>
      <c r="K163" s="2">
        <f t="shared" si="103"/>
        <v>0.64783516628516247</v>
      </c>
      <c r="L163" s="2">
        <f t="shared" si="104"/>
        <v>0.27150820090521005</v>
      </c>
      <c r="M163" s="2">
        <f t="shared" si="105"/>
        <v>9.5615640423998005E-2</v>
      </c>
      <c r="N163" s="2">
        <f t="shared" si="106"/>
        <v>10.458539999999999</v>
      </c>
      <c r="O163" s="2">
        <v>21</v>
      </c>
      <c r="P163">
        <f t="shared" si="107"/>
        <v>5.7016722190094109</v>
      </c>
    </row>
    <row r="164" spans="4:37" x14ac:dyDescent="0.35">
      <c r="D164" s="155">
        <v>0</v>
      </c>
      <c r="F164" s="13">
        <v>200.60076000000001</v>
      </c>
      <c r="G164" s="13">
        <v>204.36543</v>
      </c>
      <c r="H164" s="2">
        <f t="shared" si="100"/>
        <v>3.7646699999999953</v>
      </c>
      <c r="I164" s="2">
        <f t="shared" si="101"/>
        <v>6.833200000000005</v>
      </c>
      <c r="J164" s="2">
        <f t="shared" si="102"/>
        <v>0.35522892807705653</v>
      </c>
      <c r="K164" s="2">
        <f t="shared" si="103"/>
        <v>0.64477107192294347</v>
      </c>
      <c r="L164" s="2">
        <f t="shared" si="104"/>
        <v>0.26562753176241244</v>
      </c>
      <c r="M164" s="2">
        <f t="shared" si="105"/>
        <v>9.4358583375716065E-2</v>
      </c>
      <c r="N164" s="2">
        <f t="shared" si="106"/>
        <v>10.59787</v>
      </c>
      <c r="O164" s="2">
        <v>23</v>
      </c>
      <c r="P164">
        <f t="shared" si="107"/>
        <v>6.1094332305354859</v>
      </c>
    </row>
    <row r="165" spans="4:37" x14ac:dyDescent="0.35">
      <c r="D165" s="155">
        <v>0</v>
      </c>
      <c r="F165" s="13">
        <v>211.19863000000001</v>
      </c>
      <c r="G165" s="13">
        <v>215.75242</v>
      </c>
      <c r="H165" s="2">
        <f t="shared" si="100"/>
        <v>4.5537899999999922</v>
      </c>
      <c r="I165" s="2">
        <f t="shared" si="101"/>
        <v>6.681839999999994</v>
      </c>
      <c r="J165" s="2">
        <f t="shared" si="102"/>
        <v>0.40529903530109107</v>
      </c>
      <c r="K165" s="2">
        <f t="shared" si="103"/>
        <v>0.59470096469890898</v>
      </c>
      <c r="L165" s="2">
        <f t="shared" si="104"/>
        <v>0.21959730246673687</v>
      </c>
      <c r="M165" s="2">
        <f t="shared" si="105"/>
        <v>8.9002574844490354E-2</v>
      </c>
      <c r="N165" s="2">
        <f t="shared" si="106"/>
        <v>11.235629999999986</v>
      </c>
      <c r="O165" s="2">
        <v>30</v>
      </c>
      <c r="P165">
        <f t="shared" si="107"/>
        <v>6.5879190740021061</v>
      </c>
    </row>
    <row r="166" spans="4:37" ht="18.5" x14ac:dyDescent="0.45">
      <c r="D166" s="155">
        <v>0</v>
      </c>
      <c r="F166" s="13">
        <v>222.43425999999999</v>
      </c>
      <c r="G166" s="13">
        <v>226.92801</v>
      </c>
      <c r="H166" s="2">
        <f>G166-F166</f>
        <v>4.4937500000000057</v>
      </c>
      <c r="I166" s="2">
        <f>F167-G166</f>
        <v>10.577400000000011</v>
      </c>
      <c r="J166" s="2">
        <f>H166/N166</f>
        <v>0.29816901828991155</v>
      </c>
      <c r="K166" s="2">
        <f>I166/N166</f>
        <v>0.7018309817100884</v>
      </c>
      <c r="L166" s="2">
        <f>1/H166</f>
        <v>0.22253129346314296</v>
      </c>
      <c r="M166" s="2">
        <f t="shared" si="105"/>
        <v>6.6351937310689557E-2</v>
      </c>
      <c r="N166" s="2">
        <f>H166+I166</f>
        <v>15.071150000000017</v>
      </c>
      <c r="O166" s="2">
        <v>30</v>
      </c>
      <c r="P166">
        <f t="shared" si="107"/>
        <v>6.6759388038942893</v>
      </c>
      <c r="Y166" s="1" t="s">
        <v>405</v>
      </c>
      <c r="Z166" s="3"/>
      <c r="AA166" s="3"/>
      <c r="AB166" s="3"/>
      <c r="AC166" s="3"/>
      <c r="AD166" s="3"/>
      <c r="AE166" s="3"/>
      <c r="AF166" s="3"/>
      <c r="AG166" s="3"/>
      <c r="AH166" s="3"/>
    </row>
    <row r="167" spans="4:37" ht="16" thickBot="1" x14ac:dyDescent="0.4">
      <c r="F167" s="13">
        <v>237.50541000000001</v>
      </c>
      <c r="G167" s="13">
        <v>239.97658999999999</v>
      </c>
      <c r="H167" s="2">
        <f>G167-F167</f>
        <v>2.4711799999999755</v>
      </c>
      <c r="I167" s="2"/>
      <c r="J167" s="2"/>
      <c r="K167" s="2"/>
      <c r="L167" s="2"/>
      <c r="M167" s="2"/>
      <c r="N167" s="2"/>
      <c r="O167" s="2"/>
      <c r="W167" s="204" t="s">
        <v>406</v>
      </c>
      <c r="Y167" s="9" t="s">
        <v>1</v>
      </c>
      <c r="Z167" s="9" t="s">
        <v>2</v>
      </c>
      <c r="AA167" s="9" t="s">
        <v>3</v>
      </c>
      <c r="AB167" s="9" t="s">
        <v>4</v>
      </c>
      <c r="AC167" s="9" t="s">
        <v>5</v>
      </c>
      <c r="AD167" s="9" t="s">
        <v>6</v>
      </c>
      <c r="AE167" s="9" t="s">
        <v>7</v>
      </c>
      <c r="AF167" s="9" t="s">
        <v>8</v>
      </c>
      <c r="AG167" s="9" t="s">
        <v>9</v>
      </c>
      <c r="AH167" s="9" t="s">
        <v>10</v>
      </c>
      <c r="AI167" s="44" t="s">
        <v>139</v>
      </c>
      <c r="AK167" s="44" t="s">
        <v>138</v>
      </c>
    </row>
    <row r="168" spans="4:37" x14ac:dyDescent="0.35">
      <c r="F168" s="13"/>
      <c r="W168" s="155">
        <v>-8</v>
      </c>
      <c r="Y168" s="2">
        <v>1.3244</v>
      </c>
      <c r="Z168" s="2">
        <v>5.7710900000000001</v>
      </c>
      <c r="AA168" s="2">
        <f t="shared" ref="AA168:AA189" si="114">Z168-Y168</f>
        <v>4.4466900000000003</v>
      </c>
      <c r="AB168" s="2">
        <f t="shared" ref="AB168:AB188" si="115">Y169-Z168</f>
        <v>5.6917499999999999</v>
      </c>
      <c r="AC168" s="2">
        <f t="shared" ref="AC168:AC188" si="116">AA168/AG168</f>
        <v>0.43859706226993506</v>
      </c>
      <c r="AD168" s="2">
        <f t="shared" ref="AD168:AD188" si="117">AB168/AG168</f>
        <v>0.561402937730065</v>
      </c>
      <c r="AE168" s="2">
        <f t="shared" ref="AE168:AE188" si="118">1/AA168</f>
        <v>0.22488637615844592</v>
      </c>
      <c r="AF168" s="2">
        <f t="shared" ref="AF168:AF188" si="119">1/AG168</f>
        <v>9.8634503927625961E-2</v>
      </c>
      <c r="AG168" s="2">
        <f t="shared" ref="AG168:AG188" si="120">AA168+AB168</f>
        <v>10.138439999999999</v>
      </c>
      <c r="AH168" s="2">
        <v>36</v>
      </c>
      <c r="AI168">
        <f t="shared" ref="AI168:AI188" si="121">AH168/AA168</f>
        <v>8.095909541704053</v>
      </c>
      <c r="AK168" t="s">
        <v>433</v>
      </c>
    </row>
    <row r="169" spans="4:37" ht="16" thickBot="1" x14ac:dyDescent="0.4">
      <c r="F169" s="13"/>
      <c r="G169" s="13"/>
      <c r="H169" s="9" t="s">
        <v>3</v>
      </c>
      <c r="I169" s="9" t="s">
        <v>4</v>
      </c>
      <c r="J169" s="9" t="s">
        <v>5</v>
      </c>
      <c r="K169" s="9" t="s">
        <v>6</v>
      </c>
      <c r="L169" s="9" t="s">
        <v>7</v>
      </c>
      <c r="M169" s="9" t="s">
        <v>8</v>
      </c>
      <c r="N169" s="9" t="s">
        <v>9</v>
      </c>
      <c r="O169" s="9" t="s">
        <v>10</v>
      </c>
      <c r="P169" s="44" t="s">
        <v>139</v>
      </c>
      <c r="W169" s="155">
        <v>-8</v>
      </c>
      <c r="Y169" s="2">
        <v>11.46284</v>
      </c>
      <c r="Z169" s="2">
        <v>14.5886</v>
      </c>
      <c r="AA169" s="2">
        <f t="shared" si="114"/>
        <v>3.1257599999999996</v>
      </c>
      <c r="AB169" s="2">
        <f t="shared" si="115"/>
        <v>5.7489500000000007</v>
      </c>
      <c r="AC169" s="2">
        <f t="shared" si="116"/>
        <v>0.3522098186870331</v>
      </c>
      <c r="AD169" s="2">
        <f t="shared" si="117"/>
        <v>0.64779018131296695</v>
      </c>
      <c r="AE169" s="2">
        <f t="shared" si="118"/>
        <v>0.31992219492219498</v>
      </c>
      <c r="AF169" s="2">
        <f t="shared" si="119"/>
        <v>0.11267973826750395</v>
      </c>
      <c r="AG169" s="2">
        <f t="shared" si="120"/>
        <v>8.8747100000000003</v>
      </c>
      <c r="AH169" s="2">
        <v>27</v>
      </c>
      <c r="AI169">
        <f t="shared" si="121"/>
        <v>8.6378992628992641</v>
      </c>
    </row>
    <row r="170" spans="4:37" x14ac:dyDescent="0.35">
      <c r="E170" s="104" t="s">
        <v>419</v>
      </c>
      <c r="F170" s="13"/>
      <c r="G170" s="49" t="s">
        <v>77</v>
      </c>
      <c r="H170" s="13">
        <f>AVERAGE(H146:H156)</f>
        <v>4.7955790909090901</v>
      </c>
      <c r="I170" s="13">
        <f t="shared" ref="I170:P170" si="122">AVERAGE(I146:I156)</f>
        <v>6.1259399999999999</v>
      </c>
      <c r="J170" s="13">
        <f t="shared" si="122"/>
        <v>0.44279873625622268</v>
      </c>
      <c r="K170" s="13">
        <f t="shared" si="122"/>
        <v>0.55720126374377732</v>
      </c>
      <c r="L170" s="13">
        <f t="shared" si="122"/>
        <v>0.20983554630663759</v>
      </c>
      <c r="M170" s="13">
        <f t="shared" si="122"/>
        <v>9.2284446011628468E-2</v>
      </c>
      <c r="N170" s="13">
        <f t="shared" si="122"/>
        <v>10.92151909090909</v>
      </c>
      <c r="O170" s="13">
        <f t="shared" si="122"/>
        <v>31</v>
      </c>
      <c r="P170" s="13">
        <f t="shared" si="122"/>
        <v>6.4742297146758458</v>
      </c>
      <c r="W170" s="155">
        <v>-8</v>
      </c>
      <c r="Y170" s="13">
        <v>20.33755</v>
      </c>
      <c r="Z170" s="2">
        <v>25.128260000000001</v>
      </c>
      <c r="AA170" s="2">
        <f t="shared" si="114"/>
        <v>4.7907100000000007</v>
      </c>
      <c r="AB170" s="2">
        <f t="shared" si="115"/>
        <v>5.7417099999999976</v>
      </c>
      <c r="AC170" s="2">
        <f t="shared" si="116"/>
        <v>0.45485368035076473</v>
      </c>
      <c r="AD170" s="2">
        <f t="shared" si="117"/>
        <v>0.54514631964923532</v>
      </c>
      <c r="AE170" s="2">
        <f t="shared" si="118"/>
        <v>0.20873732703503237</v>
      </c>
      <c r="AF170" s="2">
        <f t="shared" si="119"/>
        <v>9.4944941428465643E-2</v>
      </c>
      <c r="AG170" s="2">
        <f t="shared" si="120"/>
        <v>10.532419999999998</v>
      </c>
      <c r="AH170" s="2">
        <v>37</v>
      </c>
      <c r="AI170">
        <f t="shared" si="121"/>
        <v>7.7232811002961972</v>
      </c>
    </row>
    <row r="171" spans="4:37" x14ac:dyDescent="0.35">
      <c r="E171" s="104"/>
      <c r="F171" s="13"/>
      <c r="G171" s="49" t="s">
        <v>94</v>
      </c>
      <c r="H171" s="2">
        <f>_xlfn.STDEV.S(H146:H156)</f>
        <v>0.40361933007363426</v>
      </c>
      <c r="I171" s="2">
        <f t="shared" ref="I171:P171" si="123">_xlfn.STDEV.S(I146:I156)</f>
        <v>1.1431453814191801</v>
      </c>
      <c r="J171" s="2">
        <f t="shared" si="123"/>
        <v>5.669522284438016E-2</v>
      </c>
      <c r="K171" s="2">
        <f t="shared" si="123"/>
        <v>5.6695222844380312E-2</v>
      </c>
      <c r="L171" s="2">
        <f t="shared" si="123"/>
        <v>1.7190985372791741E-2</v>
      </c>
      <c r="M171" s="2">
        <f t="shared" si="123"/>
        <v>8.3196184258329253E-3</v>
      </c>
      <c r="N171" s="2">
        <f t="shared" si="123"/>
        <v>1.0438433380297492</v>
      </c>
      <c r="O171" s="2">
        <f t="shared" si="123"/>
        <v>2.2360679774997898</v>
      </c>
      <c r="P171" s="2">
        <f t="shared" si="123"/>
        <v>0.26923796542112099</v>
      </c>
      <c r="W171" s="155">
        <v>-8</v>
      </c>
      <c r="Y171" s="13">
        <v>30.869969999999999</v>
      </c>
      <c r="Z171" s="2">
        <v>36.216299999999997</v>
      </c>
      <c r="AA171" s="2">
        <f t="shared" si="114"/>
        <v>5.3463299999999983</v>
      </c>
      <c r="AB171" s="2">
        <f t="shared" si="115"/>
        <v>6.0413300000000021</v>
      </c>
      <c r="AC171" s="2">
        <f t="shared" si="116"/>
        <v>0.4694845121824851</v>
      </c>
      <c r="AD171" s="2">
        <f t="shared" si="117"/>
        <v>0.5305154878175149</v>
      </c>
      <c r="AE171" s="2">
        <f t="shared" si="118"/>
        <v>0.18704419667323197</v>
      </c>
      <c r="AF171" s="2">
        <f t="shared" si="119"/>
        <v>8.781435343169712E-2</v>
      </c>
      <c r="AG171" s="2">
        <f t="shared" si="120"/>
        <v>11.38766</v>
      </c>
      <c r="AH171" s="2">
        <v>41</v>
      </c>
      <c r="AI171">
        <f t="shared" si="121"/>
        <v>7.6688120636025108</v>
      </c>
    </row>
    <row r="172" spans="4:37" x14ac:dyDescent="0.35">
      <c r="E172" s="104"/>
      <c r="F172" s="13"/>
      <c r="G172" s="49" t="s">
        <v>95</v>
      </c>
      <c r="H172" s="2">
        <f>H171/(SQRT(COUNT(H146:H156)))</f>
        <v>0.12169580690807766</v>
      </c>
      <c r="I172" s="2">
        <f t="shared" ref="I172:P172" si="124">I171/(SQRT(COUNT(I146:I156)))</f>
        <v>0.34467130099955745</v>
      </c>
      <c r="J172" s="2">
        <f t="shared" si="124"/>
        <v>1.7094252870945001E-2</v>
      </c>
      <c r="K172" s="2">
        <f t="shared" si="124"/>
        <v>1.7094252870945049E-2</v>
      </c>
      <c r="L172" s="2">
        <f t="shared" si="124"/>
        <v>5.1832771143671052E-3</v>
      </c>
      <c r="M172" s="2">
        <f t="shared" si="124"/>
        <v>2.5084593379468226E-3</v>
      </c>
      <c r="N172" s="2">
        <f t="shared" si="124"/>
        <v>0.31473060837789069</v>
      </c>
      <c r="O172" s="2">
        <f t="shared" si="124"/>
        <v>0.67419986246324215</v>
      </c>
      <c r="P172" s="2">
        <f t="shared" si="124"/>
        <v>8.1178300965503616E-2</v>
      </c>
      <c r="W172" s="155">
        <v>-8</v>
      </c>
      <c r="Y172" s="13">
        <v>42.257629999999999</v>
      </c>
      <c r="Z172" s="2">
        <v>47.779060000000001</v>
      </c>
      <c r="AA172" s="2">
        <f t="shared" si="114"/>
        <v>5.5214300000000023</v>
      </c>
      <c r="AB172" s="2">
        <f t="shared" si="115"/>
        <v>5.9769299999999959</v>
      </c>
      <c r="AC172" s="2">
        <f t="shared" si="116"/>
        <v>0.48019282749887837</v>
      </c>
      <c r="AD172" s="2">
        <f t="shared" si="117"/>
        <v>0.51980717250112163</v>
      </c>
      <c r="AE172" s="2">
        <f t="shared" si="118"/>
        <v>0.1811125016526515</v>
      </c>
      <c r="AF172" s="2">
        <f t="shared" si="119"/>
        <v>8.6968924263982006E-2</v>
      </c>
      <c r="AG172" s="2">
        <f t="shared" si="120"/>
        <v>11.498359999999998</v>
      </c>
      <c r="AH172" s="2">
        <v>41</v>
      </c>
      <c r="AI172">
        <f t="shared" si="121"/>
        <v>7.4256125677587113</v>
      </c>
    </row>
    <row r="173" spans="4:37" x14ac:dyDescent="0.35">
      <c r="E173" s="104"/>
      <c r="W173" s="155">
        <v>-8</v>
      </c>
      <c r="Y173" s="13">
        <v>53.755989999999997</v>
      </c>
      <c r="Z173" s="2">
        <v>58.859299999999998</v>
      </c>
      <c r="AA173" s="2">
        <f t="shared" si="114"/>
        <v>5.1033100000000005</v>
      </c>
      <c r="AB173" s="2">
        <f t="shared" si="115"/>
        <v>6.1971899999999991</v>
      </c>
      <c r="AC173" s="2">
        <f t="shared" si="116"/>
        <v>0.45160037166497063</v>
      </c>
      <c r="AD173" s="2">
        <f t="shared" si="117"/>
        <v>0.54839962833502931</v>
      </c>
      <c r="AE173" s="2">
        <f t="shared" si="118"/>
        <v>0.19595125516576495</v>
      </c>
      <c r="AF173" s="2">
        <f t="shared" si="119"/>
        <v>8.8491659661076943E-2</v>
      </c>
      <c r="AG173" s="2">
        <f t="shared" si="120"/>
        <v>11.3005</v>
      </c>
      <c r="AH173" s="2">
        <v>36</v>
      </c>
      <c r="AI173">
        <f t="shared" si="121"/>
        <v>7.0542451859675381</v>
      </c>
    </row>
    <row r="174" spans="4:37" x14ac:dyDescent="0.35">
      <c r="E174" s="104"/>
      <c r="W174" s="155">
        <v>-8</v>
      </c>
      <c r="Y174" s="13">
        <v>65.056489999999997</v>
      </c>
      <c r="Z174" s="2">
        <v>69.458399999999997</v>
      </c>
      <c r="AA174" s="2">
        <f t="shared" si="114"/>
        <v>4.4019100000000009</v>
      </c>
      <c r="AB174" s="2">
        <f t="shared" si="115"/>
        <v>5.5960100000000068</v>
      </c>
      <c r="AC174" s="2">
        <f t="shared" si="116"/>
        <v>0.44028257877638521</v>
      </c>
      <c r="AD174" s="2">
        <f t="shared" si="117"/>
        <v>0.55971742122361479</v>
      </c>
      <c r="AE174" s="2">
        <f t="shared" si="118"/>
        <v>0.22717411305546906</v>
      </c>
      <c r="AF174" s="2">
        <f t="shared" si="119"/>
        <v>0.1000208043273</v>
      </c>
      <c r="AG174" s="2">
        <f t="shared" si="120"/>
        <v>9.9979200000000077</v>
      </c>
      <c r="AH174" s="2">
        <v>36</v>
      </c>
      <c r="AI174">
        <f t="shared" si="121"/>
        <v>8.1782680699968857</v>
      </c>
    </row>
    <row r="175" spans="4:37" ht="16" thickBot="1" x14ac:dyDescent="0.4">
      <c r="E175" s="104"/>
      <c r="G175" s="13"/>
      <c r="H175" s="9" t="s">
        <v>3</v>
      </c>
      <c r="I175" s="9" t="s">
        <v>4</v>
      </c>
      <c r="J175" s="9" t="s">
        <v>5</v>
      </c>
      <c r="K175" s="9" t="s">
        <v>6</v>
      </c>
      <c r="L175" s="9" t="s">
        <v>7</v>
      </c>
      <c r="M175" s="9" t="s">
        <v>8</v>
      </c>
      <c r="N175" s="9" t="s">
        <v>9</v>
      </c>
      <c r="O175" s="9" t="s">
        <v>10</v>
      </c>
      <c r="P175" s="44" t="s">
        <v>139</v>
      </c>
      <c r="W175" s="155">
        <v>-8</v>
      </c>
      <c r="Y175" s="13">
        <v>75.054410000000004</v>
      </c>
      <c r="Z175" s="2">
        <v>79.077089999999998</v>
      </c>
      <c r="AA175" s="2">
        <f t="shared" si="114"/>
        <v>4.022679999999994</v>
      </c>
      <c r="AB175" s="2">
        <f t="shared" si="115"/>
        <v>6.0851700000000051</v>
      </c>
      <c r="AC175" s="2">
        <f t="shared" si="116"/>
        <v>0.3979758306662638</v>
      </c>
      <c r="AD175" s="2">
        <f t="shared" si="117"/>
        <v>0.60202416933373626</v>
      </c>
      <c r="AE175" s="2">
        <f t="shared" si="118"/>
        <v>0.24859049191086577</v>
      </c>
      <c r="AF175" s="2">
        <f t="shared" si="119"/>
        <v>9.8933007513961932E-2</v>
      </c>
      <c r="AG175" s="2">
        <f t="shared" si="120"/>
        <v>10.107849999999999</v>
      </c>
      <c r="AH175" s="2">
        <v>33</v>
      </c>
      <c r="AI175">
        <f t="shared" si="121"/>
        <v>8.2034862330585696</v>
      </c>
    </row>
    <row r="176" spans="4:37" x14ac:dyDescent="0.35">
      <c r="E176" s="104" t="s">
        <v>410</v>
      </c>
      <c r="G176" s="49" t="s">
        <v>77</v>
      </c>
      <c r="H176" s="13">
        <f>AVERAGE(H157:H166)</f>
        <v>3.9294629999999997</v>
      </c>
      <c r="I176" s="13">
        <f t="shared" ref="I176:P176" si="125">AVERAGE(I157:I166)</f>
        <v>7.2388560000000011</v>
      </c>
      <c r="J176" s="13">
        <f t="shared" si="125"/>
        <v>0.35364976792586206</v>
      </c>
      <c r="K176" s="13">
        <f t="shared" si="125"/>
        <v>0.64635023207413789</v>
      </c>
      <c r="L176" s="13">
        <f t="shared" si="125"/>
        <v>0.25891515450093722</v>
      </c>
      <c r="M176" s="13">
        <f t="shared" si="125"/>
        <v>9.1010289674197872E-2</v>
      </c>
      <c r="N176" s="13">
        <f t="shared" si="125"/>
        <v>11.168319</v>
      </c>
      <c r="O176" s="13">
        <f t="shared" si="125"/>
        <v>24.3</v>
      </c>
      <c r="P176" s="13">
        <f t="shared" si="125"/>
        <v>6.157597951483841</v>
      </c>
      <c r="W176" s="155">
        <v>-8</v>
      </c>
      <c r="Y176" s="13">
        <v>85.162260000000003</v>
      </c>
      <c r="Z176" s="2">
        <v>90.669619999999995</v>
      </c>
      <c r="AA176" s="2">
        <f t="shared" si="114"/>
        <v>5.5073599999999914</v>
      </c>
      <c r="AB176" s="2">
        <f t="shared" si="115"/>
        <v>4.8703300000000098</v>
      </c>
      <c r="AC176" s="2">
        <f t="shared" si="116"/>
        <v>0.53069228315742623</v>
      </c>
      <c r="AD176" s="2">
        <f t="shared" si="117"/>
        <v>0.46930771684257377</v>
      </c>
      <c r="AE176" s="2">
        <f t="shared" si="118"/>
        <v>0.18157520118532319</v>
      </c>
      <c r="AF176" s="2">
        <f t="shared" si="119"/>
        <v>9.636055808180817E-2</v>
      </c>
      <c r="AG176" s="2">
        <f t="shared" si="120"/>
        <v>10.377690000000001</v>
      </c>
      <c r="AH176" s="2">
        <v>45</v>
      </c>
      <c r="AI176">
        <f t="shared" si="121"/>
        <v>8.1708840533395435</v>
      </c>
    </row>
    <row r="177" spans="4:37" x14ac:dyDescent="0.35">
      <c r="G177" s="49" t="s">
        <v>94</v>
      </c>
      <c r="H177" s="2">
        <f>_xlfn.STDEV.S(H157:H166)</f>
        <v>0.51204908703603946</v>
      </c>
      <c r="I177" s="2">
        <f t="shared" ref="I177:P177" si="126">_xlfn.STDEV.S(I157:I166)</f>
        <v>1.3149769719927087</v>
      </c>
      <c r="J177" s="2">
        <f t="shared" si="126"/>
        <v>3.699049977671022E-2</v>
      </c>
      <c r="K177" s="2">
        <f t="shared" si="126"/>
        <v>3.6990499776710199E-2</v>
      </c>
      <c r="L177" s="2">
        <f t="shared" si="126"/>
        <v>3.8313971002748075E-2</v>
      </c>
      <c r="M177" s="2">
        <f t="shared" si="126"/>
        <v>1.1639504519720843E-2</v>
      </c>
      <c r="N177" s="2">
        <f t="shared" si="126"/>
        <v>1.5998460647439467</v>
      </c>
      <c r="O177" s="2">
        <f t="shared" si="126"/>
        <v>4.1646661864361327</v>
      </c>
      <c r="P177" s="2">
        <f t="shared" si="126"/>
        <v>0.31055813166498497</v>
      </c>
      <c r="W177" s="155">
        <v>-8</v>
      </c>
      <c r="Y177" s="13">
        <v>95.539950000000005</v>
      </c>
      <c r="Z177" s="2">
        <v>100.95990999999999</v>
      </c>
      <c r="AA177" s="2">
        <f t="shared" si="114"/>
        <v>5.419959999999989</v>
      </c>
      <c r="AB177" s="2">
        <f t="shared" si="115"/>
        <v>6.9927100000000024</v>
      </c>
      <c r="AC177" s="2">
        <f t="shared" si="116"/>
        <v>0.43664739334889213</v>
      </c>
      <c r="AD177" s="2">
        <f t="shared" si="117"/>
        <v>0.56335260665110787</v>
      </c>
      <c r="AE177" s="2">
        <f t="shared" si="118"/>
        <v>0.18450320666573222</v>
      </c>
      <c r="AF177" s="2">
        <f t="shared" si="119"/>
        <v>8.0562844255103919E-2</v>
      </c>
      <c r="AG177" s="2">
        <f t="shared" si="120"/>
        <v>12.412669999999991</v>
      </c>
      <c r="AH177" s="2">
        <v>45</v>
      </c>
      <c r="AI177">
        <f t="shared" si="121"/>
        <v>8.3026442999579508</v>
      </c>
    </row>
    <row r="178" spans="4:37" x14ac:dyDescent="0.35">
      <c r="G178" s="49" t="s">
        <v>95</v>
      </c>
      <c r="H178" s="2">
        <f>H177/(SQRT(COUNT(H157:H166)))</f>
        <v>0.16192413888436816</v>
      </c>
      <c r="I178" s="2">
        <f t="shared" ref="I178:O178" si="127">I177/(SQRT(COUNT(I157:I166)))</f>
        <v>0.41583223021684029</v>
      </c>
      <c r="J178" s="2">
        <f t="shared" si="127"/>
        <v>1.1697423108235414E-2</v>
      </c>
      <c r="K178" s="2">
        <f t="shared" si="127"/>
        <v>1.1697423108235409E-2</v>
      </c>
      <c r="L178" s="2">
        <f t="shared" si="127"/>
        <v>1.2115941457432932E-2</v>
      </c>
      <c r="M178" s="2">
        <f t="shared" si="127"/>
        <v>3.6807345118142101E-3</v>
      </c>
      <c r="N178" s="2">
        <f t="shared" si="127"/>
        <v>0.50591574702480768</v>
      </c>
      <c r="O178" s="2">
        <f t="shared" si="127"/>
        <v>1.3169830843425621</v>
      </c>
      <c r="P178" s="2">
        <f>P177/(SQRT(COUNT(P157:P166)))</f>
        <v>9.8207104194781208E-2</v>
      </c>
      <c r="W178" s="155">
        <v>-8</v>
      </c>
      <c r="Y178" s="13">
        <v>107.95262</v>
      </c>
      <c r="Z178" s="2">
        <v>113.46427</v>
      </c>
      <c r="AA178" s="2">
        <f t="shared" si="114"/>
        <v>5.511650000000003</v>
      </c>
      <c r="AB178" s="2">
        <f t="shared" si="115"/>
        <v>7.0800899999999984</v>
      </c>
      <c r="AC178" s="2">
        <f t="shared" si="116"/>
        <v>0.43771948912541098</v>
      </c>
      <c r="AD178" s="2">
        <f t="shared" si="117"/>
        <v>0.56228051087458908</v>
      </c>
      <c r="AE178" s="2">
        <f t="shared" si="118"/>
        <v>0.18143387188954296</v>
      </c>
      <c r="AF178" s="2">
        <f t="shared" si="119"/>
        <v>7.9417141713536005E-2</v>
      </c>
      <c r="AG178" s="2">
        <f t="shared" si="120"/>
        <v>12.591740000000001</v>
      </c>
      <c r="AH178" s="2">
        <v>43</v>
      </c>
      <c r="AI178">
        <f t="shared" si="121"/>
        <v>7.8016564912503474</v>
      </c>
    </row>
    <row r="179" spans="4:37" x14ac:dyDescent="0.35">
      <c r="W179" s="155">
        <v>0</v>
      </c>
      <c r="Y179" s="13">
        <v>120.54436</v>
      </c>
      <c r="Z179" s="2">
        <v>126.55526</v>
      </c>
      <c r="AA179" s="2">
        <f t="shared" si="114"/>
        <v>6.0109000000000066</v>
      </c>
      <c r="AB179" s="2">
        <f t="shared" si="115"/>
        <v>6.1005499999999984</v>
      </c>
      <c r="AC179" s="2">
        <f t="shared" si="116"/>
        <v>0.49629895677231084</v>
      </c>
      <c r="AD179" s="2">
        <f t="shared" si="117"/>
        <v>0.50370104322768916</v>
      </c>
      <c r="AE179" s="2">
        <f t="shared" si="118"/>
        <v>0.16636443793774625</v>
      </c>
      <c r="AF179" s="2">
        <f t="shared" si="119"/>
        <v>8.2566496992515309E-2</v>
      </c>
      <c r="AG179" s="2">
        <f t="shared" si="120"/>
        <v>12.111450000000005</v>
      </c>
      <c r="AH179" s="2">
        <v>50</v>
      </c>
      <c r="AI179">
        <f t="shared" si="121"/>
        <v>8.3182218968873123</v>
      </c>
      <c r="AK179" t="s">
        <v>434</v>
      </c>
    </row>
    <row r="180" spans="4:37" x14ac:dyDescent="0.35">
      <c r="W180" s="155">
        <v>0</v>
      </c>
      <c r="Y180" s="13">
        <v>132.65581</v>
      </c>
      <c r="Z180" s="2">
        <v>137.9718</v>
      </c>
      <c r="AA180" s="2">
        <f t="shared" si="114"/>
        <v>5.3159899999999993</v>
      </c>
      <c r="AB180" s="2">
        <f t="shared" si="115"/>
        <v>5.3197600000000023</v>
      </c>
      <c r="AC180" s="2">
        <f t="shared" si="116"/>
        <v>0.49982276755282878</v>
      </c>
      <c r="AD180" s="2">
        <f t="shared" si="117"/>
        <v>0.50017723244717127</v>
      </c>
      <c r="AE180" s="2">
        <f t="shared" si="118"/>
        <v>0.18811171578577088</v>
      </c>
      <c r="AF180" s="2">
        <f t="shared" si="119"/>
        <v>9.4022518393155147E-2</v>
      </c>
      <c r="AG180" s="2">
        <f t="shared" si="120"/>
        <v>10.635750000000002</v>
      </c>
      <c r="AH180" s="2">
        <v>39</v>
      </c>
      <c r="AI180">
        <f t="shared" si="121"/>
        <v>7.3363569156450641</v>
      </c>
    </row>
    <row r="181" spans="4:37" x14ac:dyDescent="0.35">
      <c r="W181" s="155">
        <v>0</v>
      </c>
      <c r="Y181" s="13">
        <v>143.29156</v>
      </c>
      <c r="Z181" s="2">
        <v>148.45531</v>
      </c>
      <c r="AA181" s="2">
        <f t="shared" si="114"/>
        <v>5.1637499999999932</v>
      </c>
      <c r="AB181" s="2">
        <f t="shared" si="115"/>
        <v>5.386240000000015</v>
      </c>
      <c r="AC181" s="2">
        <f t="shared" si="116"/>
        <v>0.48945544024212245</v>
      </c>
      <c r="AD181" s="2">
        <f t="shared" si="117"/>
        <v>0.5105445597578776</v>
      </c>
      <c r="AE181" s="2">
        <f t="shared" si="118"/>
        <v>0.19365770999757953</v>
      </c>
      <c r="AF181" s="2">
        <f t="shared" si="119"/>
        <v>9.4786819703146563E-2</v>
      </c>
      <c r="AG181" s="2">
        <f t="shared" si="120"/>
        <v>10.549990000000008</v>
      </c>
      <c r="AH181" s="2">
        <v>41</v>
      </c>
      <c r="AI181">
        <f t="shared" si="121"/>
        <v>7.9399661099007606</v>
      </c>
    </row>
    <row r="182" spans="4:37" ht="18.5" x14ac:dyDescent="0.45">
      <c r="F182" s="1" t="s">
        <v>405</v>
      </c>
      <c r="G182" s="3"/>
      <c r="H182" s="3"/>
      <c r="I182" s="3"/>
      <c r="J182" s="3"/>
      <c r="K182" s="3"/>
      <c r="L182" s="3"/>
      <c r="M182" s="3"/>
      <c r="N182" s="3"/>
      <c r="O182" s="3"/>
      <c r="W182" s="155">
        <v>0</v>
      </c>
      <c r="Y182" s="13">
        <v>153.84155000000001</v>
      </c>
      <c r="Z182" s="13">
        <v>158.55654999999999</v>
      </c>
      <c r="AA182" s="2">
        <f t="shared" si="114"/>
        <v>4.714999999999975</v>
      </c>
      <c r="AB182" s="2">
        <f t="shared" si="115"/>
        <v>4.6557700000000182</v>
      </c>
      <c r="AC182" s="2">
        <f t="shared" si="116"/>
        <v>0.50316035928744152</v>
      </c>
      <c r="AD182" s="2">
        <f t="shared" si="117"/>
        <v>0.49683964071255848</v>
      </c>
      <c r="AE182" s="2">
        <f t="shared" si="118"/>
        <v>0.21208907741251437</v>
      </c>
      <c r="AF182" s="2">
        <f t="shared" si="119"/>
        <v>0.10671481639182273</v>
      </c>
      <c r="AG182" s="2">
        <f t="shared" si="120"/>
        <v>9.3707699999999932</v>
      </c>
      <c r="AH182" s="2">
        <v>40</v>
      </c>
      <c r="AI182">
        <f t="shared" si="121"/>
        <v>8.4835630965005748</v>
      </c>
    </row>
    <row r="183" spans="4:37" ht="16" thickBot="1" x14ac:dyDescent="0.4">
      <c r="D183" s="204" t="s">
        <v>406</v>
      </c>
      <c r="F183" s="9" t="s">
        <v>1</v>
      </c>
      <c r="G183" s="9" t="s">
        <v>2</v>
      </c>
      <c r="H183" s="9" t="s">
        <v>3</v>
      </c>
      <c r="I183" s="9" t="s">
        <v>4</v>
      </c>
      <c r="J183" s="9" t="s">
        <v>5</v>
      </c>
      <c r="K183" s="9" t="s">
        <v>6</v>
      </c>
      <c r="L183" s="9" t="s">
        <v>7</v>
      </c>
      <c r="M183" s="9" t="s">
        <v>8</v>
      </c>
      <c r="N183" s="9" t="s">
        <v>9</v>
      </c>
      <c r="O183" s="9" t="s">
        <v>10</v>
      </c>
      <c r="P183" s="44" t="s">
        <v>139</v>
      </c>
      <c r="R183" s="44" t="s">
        <v>138</v>
      </c>
      <c r="W183" s="155">
        <v>0</v>
      </c>
      <c r="Y183" s="13">
        <v>163.21232000000001</v>
      </c>
      <c r="Z183" s="13">
        <v>168.56211999999999</v>
      </c>
      <c r="AA183" s="2">
        <f t="shared" si="114"/>
        <v>5.3497999999999877</v>
      </c>
      <c r="AB183" s="2">
        <f t="shared" si="115"/>
        <v>5.8933600000000013</v>
      </c>
      <c r="AC183" s="2">
        <f t="shared" si="116"/>
        <v>0.47582708064280799</v>
      </c>
      <c r="AD183" s="2">
        <f t="shared" si="117"/>
        <v>0.52417291935719201</v>
      </c>
      <c r="AE183" s="2">
        <f t="shared" si="118"/>
        <v>0.18692287562151899</v>
      </c>
      <c r="AF183" s="2">
        <f t="shared" si="119"/>
        <v>8.8942966212346083E-2</v>
      </c>
      <c r="AG183" s="2">
        <f t="shared" si="120"/>
        <v>11.243159999999989</v>
      </c>
      <c r="AH183" s="2">
        <v>45</v>
      </c>
      <c r="AI183">
        <f t="shared" si="121"/>
        <v>8.4115294029683554</v>
      </c>
    </row>
    <row r="184" spans="4:37" x14ac:dyDescent="0.35">
      <c r="D184" s="155">
        <v>14</v>
      </c>
      <c r="F184" s="2">
        <v>8.9847099999999998</v>
      </c>
      <c r="G184" s="2">
        <v>13.80416</v>
      </c>
      <c r="H184" s="2">
        <f t="shared" ref="H184:H204" si="128">G184-F184</f>
        <v>4.8194499999999998</v>
      </c>
      <c r="I184" s="2">
        <f t="shared" ref="I184:I203" si="129">F185-G184</f>
        <v>6.5032300000000021</v>
      </c>
      <c r="J184" s="2">
        <f>H184/N184</f>
        <v>0.42564569518877149</v>
      </c>
      <c r="K184" s="2">
        <f>I184/N184</f>
        <v>0.57435430481122851</v>
      </c>
      <c r="L184" s="2">
        <f>1/H184</f>
        <v>0.20749255620454618</v>
      </c>
      <c r="M184" s="2">
        <f>1/N184</f>
        <v>8.8318313332179293E-2</v>
      </c>
      <c r="N184" s="2">
        <f>H184+I184</f>
        <v>11.322680000000002</v>
      </c>
      <c r="O184" s="2">
        <v>33</v>
      </c>
      <c r="P184">
        <f>O184/H184</f>
        <v>6.8472543547500235</v>
      </c>
      <c r="R184" t="s">
        <v>420</v>
      </c>
      <c r="W184" s="155">
        <v>0</v>
      </c>
      <c r="Y184" s="13">
        <v>174.45547999999999</v>
      </c>
      <c r="Z184">
        <v>179.93928</v>
      </c>
      <c r="AA184" s="2">
        <f t="shared" si="114"/>
        <v>5.4838000000000022</v>
      </c>
      <c r="AB184" s="2">
        <f t="shared" si="115"/>
        <v>6.0013999999999896</v>
      </c>
      <c r="AC184" s="2">
        <f t="shared" si="116"/>
        <v>0.47746665273569516</v>
      </c>
      <c r="AD184" s="2">
        <f t="shared" si="117"/>
        <v>0.52253334726430478</v>
      </c>
      <c r="AE184" s="2">
        <f t="shared" si="118"/>
        <v>0.18235530106860198</v>
      </c>
      <c r="AF184" s="2">
        <f t="shared" si="119"/>
        <v>8.7068575209835325E-2</v>
      </c>
      <c r="AG184" s="2">
        <f t="shared" si="120"/>
        <v>11.485199999999992</v>
      </c>
      <c r="AH184" s="2">
        <v>47</v>
      </c>
      <c r="AI184">
        <f t="shared" si="121"/>
        <v>8.5706991502242929</v>
      </c>
    </row>
    <row r="185" spans="4:37" x14ac:dyDescent="0.35">
      <c r="D185" s="155">
        <v>14</v>
      </c>
      <c r="F185" s="2">
        <v>20.307390000000002</v>
      </c>
      <c r="G185" s="2">
        <v>26.98893</v>
      </c>
      <c r="H185" s="2">
        <f t="shared" si="128"/>
        <v>6.6815399999999983</v>
      </c>
      <c r="I185" s="2">
        <f t="shared" si="129"/>
        <v>4.5208800000000018</v>
      </c>
      <c r="J185" s="2">
        <f t="shared" ref="J185:J203" si="130">H185/N185</f>
        <v>0.5964371983910618</v>
      </c>
      <c r="K185" s="2">
        <f t="shared" ref="K185:K203" si="131">I185/N185</f>
        <v>0.4035628016089382</v>
      </c>
      <c r="L185" s="2">
        <f t="shared" ref="L185:L203" si="132">1/H185</f>
        <v>0.14966609494218402</v>
      </c>
      <c r="M185" s="2">
        <f t="shared" ref="M185:M203" si="133">1/N185</f>
        <v>8.9266426361446896E-2</v>
      </c>
      <c r="N185" s="2">
        <f t="shared" ref="N185:N203" si="134">H185+I185</f>
        <v>11.20242</v>
      </c>
      <c r="O185" s="2">
        <v>43</v>
      </c>
      <c r="P185">
        <f t="shared" ref="P185:P203" si="135">O185/H185</f>
        <v>6.4356420825139136</v>
      </c>
      <c r="W185" s="155">
        <v>0</v>
      </c>
      <c r="Y185">
        <v>185.94067999999999</v>
      </c>
      <c r="Z185">
        <v>192.47546</v>
      </c>
      <c r="AA185" s="2">
        <f t="shared" si="114"/>
        <v>6.534780000000012</v>
      </c>
      <c r="AB185" s="2">
        <f t="shared" si="115"/>
        <v>4.8695999999999913</v>
      </c>
      <c r="AC185" s="2">
        <f t="shared" si="116"/>
        <v>0.57300616079085498</v>
      </c>
      <c r="AD185" s="2">
        <f t="shared" si="117"/>
        <v>0.42699383920914508</v>
      </c>
      <c r="AE185" s="2">
        <f t="shared" si="118"/>
        <v>0.15302733986453992</v>
      </c>
      <c r="AF185" s="2">
        <f t="shared" si="119"/>
        <v>8.7685608511817364E-2</v>
      </c>
      <c r="AG185" s="2">
        <f t="shared" si="120"/>
        <v>11.404380000000003</v>
      </c>
      <c r="AH185" s="2">
        <v>56</v>
      </c>
      <c r="AI185">
        <f t="shared" si="121"/>
        <v>8.5695310324142362</v>
      </c>
    </row>
    <row r="186" spans="4:37" x14ac:dyDescent="0.35">
      <c r="D186" s="155">
        <v>14</v>
      </c>
      <c r="F186" s="13">
        <v>31.509810000000002</v>
      </c>
      <c r="G186" s="2">
        <v>37.065080000000002</v>
      </c>
      <c r="H186" s="2">
        <f t="shared" si="128"/>
        <v>5.5552700000000002</v>
      </c>
      <c r="I186" s="2">
        <f t="shared" si="129"/>
        <v>5.8067999999999955</v>
      </c>
      <c r="J186" s="2">
        <f t="shared" si="130"/>
        <v>0.48893115427030481</v>
      </c>
      <c r="K186" s="2">
        <f t="shared" si="131"/>
        <v>0.51106884572969513</v>
      </c>
      <c r="L186" s="2">
        <f t="shared" si="132"/>
        <v>0.18000925247557725</v>
      </c>
      <c r="M186" s="2">
        <f t="shared" si="133"/>
        <v>8.8012131592218698E-2</v>
      </c>
      <c r="N186" s="2">
        <f t="shared" si="134"/>
        <v>11.362069999999996</v>
      </c>
      <c r="O186" s="2">
        <v>34</v>
      </c>
      <c r="P186">
        <f t="shared" si="135"/>
        <v>6.120314584169626</v>
      </c>
      <c r="W186" s="155">
        <v>0</v>
      </c>
      <c r="Y186">
        <v>197.34505999999999</v>
      </c>
      <c r="Z186">
        <v>203.51580999999999</v>
      </c>
      <c r="AA186" s="2">
        <f t="shared" si="114"/>
        <v>6.1707499999999982</v>
      </c>
      <c r="AB186" s="2">
        <f t="shared" si="115"/>
        <v>6.0832400000000177</v>
      </c>
      <c r="AC186" s="2">
        <f t="shared" si="116"/>
        <v>0.50357067371525444</v>
      </c>
      <c r="AD186" s="2">
        <f t="shared" si="117"/>
        <v>0.49642932628474562</v>
      </c>
      <c r="AE186" s="2">
        <f t="shared" si="118"/>
        <v>0.16205485556861002</v>
      </c>
      <c r="AF186" s="2">
        <f t="shared" si="119"/>
        <v>8.1606072797513196E-2</v>
      </c>
      <c r="AG186" s="2">
        <f t="shared" si="120"/>
        <v>12.253990000000016</v>
      </c>
      <c r="AH186" s="2">
        <v>51</v>
      </c>
      <c r="AI186">
        <f t="shared" si="121"/>
        <v>8.2647976339991107</v>
      </c>
    </row>
    <row r="187" spans="4:37" x14ac:dyDescent="0.35">
      <c r="D187" s="155">
        <v>14</v>
      </c>
      <c r="F187" s="13">
        <v>42.871879999999997</v>
      </c>
      <c r="G187" s="2">
        <v>46.93732</v>
      </c>
      <c r="H187" s="2">
        <f t="shared" si="128"/>
        <v>4.0654400000000024</v>
      </c>
      <c r="I187" s="2">
        <f t="shared" si="129"/>
        <v>5.0776600000000016</v>
      </c>
      <c r="J187" s="2">
        <f t="shared" si="130"/>
        <v>0.44464568909888336</v>
      </c>
      <c r="K187" s="2">
        <f t="shared" si="131"/>
        <v>0.55535431090111664</v>
      </c>
      <c r="L187" s="2">
        <f t="shared" si="132"/>
        <v>0.24597583533393666</v>
      </c>
      <c r="M187" s="2">
        <f t="shared" si="133"/>
        <v>0.10937209480373172</v>
      </c>
      <c r="N187" s="2">
        <f t="shared" si="134"/>
        <v>9.143100000000004</v>
      </c>
      <c r="O187" s="2">
        <v>27</v>
      </c>
      <c r="P187">
        <f t="shared" si="135"/>
        <v>6.6413475540162894</v>
      </c>
      <c r="W187" s="155">
        <v>0</v>
      </c>
      <c r="Y187">
        <v>209.59905000000001</v>
      </c>
      <c r="Z187">
        <v>216.59931</v>
      </c>
      <c r="AA187" s="2">
        <f t="shared" si="114"/>
        <v>7.0002599999999973</v>
      </c>
      <c r="AB187" s="2">
        <f t="shared" si="115"/>
        <v>5.2863299999999924</v>
      </c>
      <c r="AC187" s="2">
        <f t="shared" si="116"/>
        <v>0.56974799354418137</v>
      </c>
      <c r="AD187" s="2">
        <f t="shared" si="117"/>
        <v>0.43025200645581863</v>
      </c>
      <c r="AE187" s="2">
        <f t="shared" si="118"/>
        <v>0.14285183693177117</v>
      </c>
      <c r="AF187" s="2">
        <f t="shared" si="119"/>
        <v>8.1389547465977208E-2</v>
      </c>
      <c r="AG187" s="2">
        <f t="shared" si="120"/>
        <v>12.28658999999999</v>
      </c>
      <c r="AH187" s="2">
        <v>55</v>
      </c>
      <c r="AI187">
        <f t="shared" si="121"/>
        <v>7.8568510312474142</v>
      </c>
    </row>
    <row r="188" spans="4:37" x14ac:dyDescent="0.35">
      <c r="D188" s="155">
        <v>14</v>
      </c>
      <c r="F188" s="13">
        <v>52.014980000000001</v>
      </c>
      <c r="G188" s="2">
        <v>57.052109999999999</v>
      </c>
      <c r="H188" s="2">
        <f t="shared" si="128"/>
        <v>5.0371299999999977</v>
      </c>
      <c r="I188" s="2">
        <f t="shared" si="129"/>
        <v>5.1063499999999991</v>
      </c>
      <c r="J188" s="2">
        <f t="shared" si="130"/>
        <v>0.49658795600720851</v>
      </c>
      <c r="K188" s="2">
        <f t="shared" si="131"/>
        <v>0.50341204399279149</v>
      </c>
      <c r="L188" s="2">
        <f t="shared" si="132"/>
        <v>0.19852574779686061</v>
      </c>
      <c r="M188" s="2">
        <f t="shared" si="133"/>
        <v>9.8585495313245591E-2</v>
      </c>
      <c r="N188" s="2">
        <f t="shared" si="134"/>
        <v>10.143479999999997</v>
      </c>
      <c r="O188" s="2">
        <v>34</v>
      </c>
      <c r="P188">
        <f t="shared" si="135"/>
        <v>6.7498754250932604</v>
      </c>
      <c r="W188" s="155">
        <v>0</v>
      </c>
      <c r="Y188">
        <v>221.88564</v>
      </c>
      <c r="Z188">
        <v>227.39648</v>
      </c>
      <c r="AA188" s="2">
        <f t="shared" si="114"/>
        <v>5.5108400000000017</v>
      </c>
      <c r="AB188" s="2">
        <f t="shared" si="115"/>
        <v>5.8653899999999908</v>
      </c>
      <c r="AC188" s="2">
        <f t="shared" si="116"/>
        <v>0.48441706962675729</v>
      </c>
      <c r="AD188" s="2">
        <f t="shared" si="117"/>
        <v>0.51558293037324265</v>
      </c>
      <c r="AE188" s="2">
        <f t="shared" si="118"/>
        <v>0.18146053959106048</v>
      </c>
      <c r="AF188" s="2">
        <f t="shared" si="119"/>
        <v>8.7902582841591692E-2</v>
      </c>
      <c r="AG188" s="2">
        <f t="shared" si="120"/>
        <v>11.376229999999993</v>
      </c>
      <c r="AH188" s="2">
        <v>47</v>
      </c>
      <c r="AI188">
        <f t="shared" si="121"/>
        <v>8.5286453607798425</v>
      </c>
    </row>
    <row r="189" spans="4:37" x14ac:dyDescent="0.35">
      <c r="D189" s="155">
        <v>14</v>
      </c>
      <c r="F189" s="13">
        <v>62.158459999999998</v>
      </c>
      <c r="G189" s="2">
        <v>66.811679999999996</v>
      </c>
      <c r="H189" s="2">
        <f t="shared" si="128"/>
        <v>4.6532199999999975</v>
      </c>
      <c r="I189" s="2">
        <f t="shared" si="129"/>
        <v>6.5738699999999994</v>
      </c>
      <c r="J189" s="2">
        <f t="shared" si="130"/>
        <v>0.41446358762600094</v>
      </c>
      <c r="K189" s="2">
        <f t="shared" si="131"/>
        <v>0.58553641237399912</v>
      </c>
      <c r="L189" s="2">
        <f t="shared" si="132"/>
        <v>0.21490494754170242</v>
      </c>
      <c r="M189" s="2">
        <f t="shared" si="133"/>
        <v>8.9070275556711515E-2</v>
      </c>
      <c r="N189" s="2">
        <f t="shared" si="134"/>
        <v>11.227089999999997</v>
      </c>
      <c r="O189" s="2">
        <v>28</v>
      </c>
      <c r="P189">
        <f t="shared" si="135"/>
        <v>6.0173385311676677</v>
      </c>
      <c r="W189" s="155">
        <v>0</v>
      </c>
      <c r="Y189">
        <v>233.26186999999999</v>
      </c>
      <c r="Z189">
        <v>239.12421000000001</v>
      </c>
      <c r="AA189" s="2">
        <f t="shared" si="114"/>
        <v>5.8623400000000174</v>
      </c>
      <c r="AB189" s="2"/>
      <c r="AC189" s="2"/>
      <c r="AD189" s="2"/>
      <c r="AE189" s="2"/>
      <c r="AF189" s="2"/>
      <c r="AG189" s="2"/>
      <c r="AH189" s="2"/>
    </row>
    <row r="190" spans="4:37" x14ac:dyDescent="0.35">
      <c r="D190" s="155">
        <v>14</v>
      </c>
      <c r="F190" s="13">
        <v>73.385549999999995</v>
      </c>
      <c r="G190" s="2">
        <v>78.144000000000005</v>
      </c>
      <c r="H190" s="2">
        <f t="shared" si="128"/>
        <v>4.7584500000000105</v>
      </c>
      <c r="I190" s="2">
        <f t="shared" si="129"/>
        <v>5.7724399999999889</v>
      </c>
      <c r="J190" s="2">
        <f t="shared" si="130"/>
        <v>0.45185639580320475</v>
      </c>
      <c r="K190" s="2">
        <f t="shared" si="131"/>
        <v>0.54814360419679531</v>
      </c>
      <c r="L190" s="2">
        <f t="shared" si="132"/>
        <v>0.21015246561380235</v>
      </c>
      <c r="M190" s="2">
        <f t="shared" si="133"/>
        <v>9.4958735681409653E-2</v>
      </c>
      <c r="N190" s="2">
        <f t="shared" si="134"/>
        <v>10.530889999999999</v>
      </c>
      <c r="O190" s="2">
        <v>30</v>
      </c>
      <c r="P190">
        <f t="shared" si="135"/>
        <v>6.3045739684140703</v>
      </c>
      <c r="W190" s="155"/>
      <c r="AA190" s="2"/>
      <c r="AB190" s="2"/>
      <c r="AC190" s="2"/>
      <c r="AD190" s="2"/>
      <c r="AE190" s="2"/>
      <c r="AF190" s="2"/>
      <c r="AG190" s="2"/>
      <c r="AH190" s="2"/>
    </row>
    <row r="191" spans="4:37" x14ac:dyDescent="0.35">
      <c r="D191" s="155">
        <v>14</v>
      </c>
      <c r="F191" s="13">
        <v>83.916439999999994</v>
      </c>
      <c r="G191" s="2">
        <v>88.865849999999995</v>
      </c>
      <c r="H191" s="2">
        <f t="shared" si="128"/>
        <v>4.9494100000000003</v>
      </c>
      <c r="I191" s="2">
        <f t="shared" si="129"/>
        <v>5.6898600000000101</v>
      </c>
      <c r="J191" s="2">
        <f t="shared" si="130"/>
        <v>0.46520202983851294</v>
      </c>
      <c r="K191" s="2">
        <f t="shared" si="131"/>
        <v>0.53479797016148711</v>
      </c>
      <c r="L191" s="2">
        <f t="shared" si="132"/>
        <v>0.20204428406618161</v>
      </c>
      <c r="M191" s="2">
        <f t="shared" si="133"/>
        <v>9.3991411064856797E-2</v>
      </c>
      <c r="N191" s="2">
        <f t="shared" si="134"/>
        <v>10.63927000000001</v>
      </c>
      <c r="O191" s="2">
        <v>33</v>
      </c>
      <c r="P191">
        <f t="shared" si="135"/>
        <v>6.6674613741839934</v>
      </c>
      <c r="W191" s="155"/>
      <c r="AA191" s="2"/>
      <c r="AB191" s="2"/>
      <c r="AC191" s="2"/>
      <c r="AD191" s="2"/>
      <c r="AE191" s="2"/>
      <c r="AF191" s="2"/>
      <c r="AG191" s="2"/>
      <c r="AH191" s="2"/>
    </row>
    <row r="192" spans="4:37" x14ac:dyDescent="0.35">
      <c r="D192" s="155">
        <v>14</v>
      </c>
      <c r="F192" s="13">
        <v>94.555710000000005</v>
      </c>
      <c r="G192" s="2">
        <v>98.737710000000007</v>
      </c>
      <c r="H192" s="2">
        <f t="shared" si="128"/>
        <v>4.1820000000000022</v>
      </c>
      <c r="I192" s="2">
        <f t="shared" si="129"/>
        <v>6.1177099999999882</v>
      </c>
      <c r="J192" s="2">
        <f t="shared" si="130"/>
        <v>0.40603084941226558</v>
      </c>
      <c r="K192" s="2">
        <f t="shared" si="131"/>
        <v>0.59396915058773436</v>
      </c>
      <c r="L192" s="2">
        <f t="shared" si="132"/>
        <v>0.239120038259206</v>
      </c>
      <c r="M192" s="2">
        <f t="shared" si="133"/>
        <v>9.7090112245878865E-2</v>
      </c>
      <c r="N192" s="2">
        <f t="shared" si="134"/>
        <v>10.29970999999999</v>
      </c>
      <c r="O192" s="2">
        <v>25</v>
      </c>
      <c r="P192">
        <f t="shared" si="135"/>
        <v>5.97800095648015</v>
      </c>
      <c r="W192" s="155"/>
      <c r="AA192" s="2"/>
      <c r="AB192" s="2"/>
      <c r="AC192" s="2"/>
      <c r="AD192" s="2"/>
      <c r="AE192" s="2"/>
      <c r="AF192" s="2"/>
      <c r="AG192" s="2"/>
      <c r="AH192" s="2"/>
    </row>
    <row r="193" spans="4:35" x14ac:dyDescent="0.35">
      <c r="D193" s="155">
        <v>14</v>
      </c>
      <c r="F193" s="13">
        <v>104.85542</v>
      </c>
      <c r="G193" s="2">
        <v>109.58077</v>
      </c>
      <c r="H193" s="2">
        <f t="shared" si="128"/>
        <v>4.7253500000000059</v>
      </c>
      <c r="I193" s="2">
        <f t="shared" si="129"/>
        <v>4.2760999999999996</v>
      </c>
      <c r="J193" s="2">
        <f t="shared" si="130"/>
        <v>0.52495431291625272</v>
      </c>
      <c r="K193" s="2">
        <f t="shared" si="131"/>
        <v>0.47504568708374728</v>
      </c>
      <c r="L193" s="2">
        <f t="shared" si="132"/>
        <v>0.21162453574867443</v>
      </c>
      <c r="M193" s="2">
        <f t="shared" si="133"/>
        <v>0.11109321276016634</v>
      </c>
      <c r="N193" s="2">
        <f t="shared" si="134"/>
        <v>9.0014500000000055</v>
      </c>
      <c r="O193" s="2">
        <v>29</v>
      </c>
      <c r="P193">
        <f t="shared" si="135"/>
        <v>6.1371115367115587</v>
      </c>
    </row>
    <row r="194" spans="4:35" x14ac:dyDescent="0.35">
      <c r="D194" s="155">
        <v>14</v>
      </c>
      <c r="F194" s="13">
        <v>113.85687</v>
      </c>
      <c r="G194" s="2">
        <v>117.98614000000001</v>
      </c>
      <c r="H194" s="2">
        <f t="shared" si="128"/>
        <v>4.1292700000000053</v>
      </c>
      <c r="I194" s="2">
        <f t="shared" si="129"/>
        <v>5.9005699999999877</v>
      </c>
      <c r="J194" s="2">
        <f t="shared" si="130"/>
        <v>0.41169849170076572</v>
      </c>
      <c r="K194" s="2">
        <f t="shared" si="131"/>
        <v>0.58830150829923422</v>
      </c>
      <c r="L194" s="2">
        <f t="shared" si="132"/>
        <v>0.24217355610071484</v>
      </c>
      <c r="M194" s="2">
        <f t="shared" si="133"/>
        <v>9.9702487776475071E-2</v>
      </c>
      <c r="N194" s="2">
        <f t="shared" si="134"/>
        <v>10.029839999999993</v>
      </c>
      <c r="O194" s="2">
        <v>24</v>
      </c>
      <c r="P194">
        <f t="shared" si="135"/>
        <v>5.8121653464171557</v>
      </c>
      <c r="R194" t="s">
        <v>421</v>
      </c>
    </row>
    <row r="195" spans="4:35" x14ac:dyDescent="0.35">
      <c r="D195" s="155">
        <v>0</v>
      </c>
      <c r="F195" s="13">
        <v>123.88670999999999</v>
      </c>
      <c r="G195" s="2">
        <v>127.52381</v>
      </c>
      <c r="H195" s="2">
        <f t="shared" si="128"/>
        <v>3.6371000000000038</v>
      </c>
      <c r="I195" s="2">
        <f t="shared" si="129"/>
        <v>24.479739999999993</v>
      </c>
      <c r="J195" s="2">
        <f t="shared" si="130"/>
        <v>0.1293566417847811</v>
      </c>
      <c r="K195" s="2">
        <f t="shared" si="131"/>
        <v>0.87064335821521888</v>
      </c>
      <c r="L195" s="2">
        <f t="shared" si="132"/>
        <v>0.2749443237744354</v>
      </c>
      <c r="M195" s="2">
        <f t="shared" si="133"/>
        <v>3.5565874401248511E-2</v>
      </c>
      <c r="N195" s="2">
        <f t="shared" si="134"/>
        <v>28.116839999999996</v>
      </c>
      <c r="O195" s="2">
        <v>24</v>
      </c>
      <c r="P195">
        <f t="shared" si="135"/>
        <v>6.598663770586449</v>
      </c>
    </row>
    <row r="196" spans="4:35" ht="16" thickBot="1" x14ac:dyDescent="0.4">
      <c r="D196" s="155">
        <v>0</v>
      </c>
      <c r="F196" s="13">
        <v>152.00354999999999</v>
      </c>
      <c r="G196" s="2">
        <v>154.28071</v>
      </c>
      <c r="H196" s="2">
        <f t="shared" si="128"/>
        <v>2.2771600000000092</v>
      </c>
      <c r="I196" s="2">
        <f t="shared" si="129"/>
        <v>5.5034599999999898</v>
      </c>
      <c r="J196" s="2">
        <f t="shared" si="130"/>
        <v>0.29267076402651837</v>
      </c>
      <c r="K196" s="2">
        <f t="shared" si="131"/>
        <v>0.70732923597348163</v>
      </c>
      <c r="L196" s="2">
        <f t="shared" si="132"/>
        <v>0.43914349452827028</v>
      </c>
      <c r="M196" s="2">
        <f t="shared" si="133"/>
        <v>0.12852446206086407</v>
      </c>
      <c r="N196" s="2">
        <f t="shared" si="134"/>
        <v>7.780619999999999</v>
      </c>
      <c r="O196" s="2">
        <v>13</v>
      </c>
      <c r="P196">
        <f t="shared" si="135"/>
        <v>5.7088654288675134</v>
      </c>
      <c r="Y196" s="13"/>
      <c r="Z196" s="13"/>
      <c r="AA196" s="9" t="s">
        <v>3</v>
      </c>
      <c r="AB196" s="9" t="s">
        <v>4</v>
      </c>
      <c r="AC196" s="9" t="s">
        <v>5</v>
      </c>
      <c r="AD196" s="9" t="s">
        <v>6</v>
      </c>
      <c r="AE196" s="9" t="s">
        <v>7</v>
      </c>
      <c r="AF196" s="9" t="s">
        <v>8</v>
      </c>
      <c r="AG196" s="9" t="s">
        <v>9</v>
      </c>
      <c r="AH196" s="9" t="s">
        <v>10</v>
      </c>
      <c r="AI196" s="44" t="s">
        <v>139</v>
      </c>
    </row>
    <row r="197" spans="4:35" x14ac:dyDescent="0.35">
      <c r="D197" s="155">
        <v>0</v>
      </c>
      <c r="F197" s="13">
        <v>159.78416999999999</v>
      </c>
      <c r="G197" s="2">
        <v>163.68852999999999</v>
      </c>
      <c r="H197" s="2">
        <f t="shared" si="128"/>
        <v>3.9043599999999969</v>
      </c>
      <c r="I197" s="2">
        <f t="shared" si="129"/>
        <v>7.1672800000000052</v>
      </c>
      <c r="J197" s="2">
        <f t="shared" si="130"/>
        <v>0.35264513658319779</v>
      </c>
      <c r="K197" s="2">
        <f t="shared" si="131"/>
        <v>0.64735486341680215</v>
      </c>
      <c r="L197" s="2">
        <f t="shared" si="132"/>
        <v>0.25612392299890396</v>
      </c>
      <c r="M197" s="2">
        <f t="shared" si="133"/>
        <v>9.0320855808172937E-2</v>
      </c>
      <c r="N197" s="2">
        <f t="shared" si="134"/>
        <v>11.071640000000002</v>
      </c>
      <c r="O197" s="2">
        <v>24</v>
      </c>
      <c r="P197">
        <f t="shared" si="135"/>
        <v>6.146974151973696</v>
      </c>
      <c r="X197" s="104" t="s">
        <v>435</v>
      </c>
      <c r="Y197" s="13"/>
      <c r="Z197" s="49" t="s">
        <v>77</v>
      </c>
      <c r="AA197" s="13">
        <f>AVERAGE(AA168:AA178)</f>
        <v>4.8361627272727254</v>
      </c>
      <c r="AB197" s="13">
        <f t="shared" ref="AB197:AI197" si="136">AVERAGE(AB168:AB178)</f>
        <v>6.0020154545454565</v>
      </c>
      <c r="AC197" s="13">
        <f t="shared" si="136"/>
        <v>0.44456871342985865</v>
      </c>
      <c r="AD197" s="13">
        <f t="shared" si="136"/>
        <v>0.55543128657014129</v>
      </c>
      <c r="AE197" s="13">
        <f t="shared" si="136"/>
        <v>0.21281188511947768</v>
      </c>
      <c r="AF197" s="13">
        <f t="shared" si="136"/>
        <v>9.3166225170187425E-2</v>
      </c>
      <c r="AG197" s="13">
        <f t="shared" si="136"/>
        <v>10.838178181818181</v>
      </c>
      <c r="AH197" s="13">
        <f t="shared" si="136"/>
        <v>38.18181818181818</v>
      </c>
      <c r="AI197" s="13">
        <f t="shared" si="136"/>
        <v>7.9329726245301426</v>
      </c>
    </row>
    <row r="198" spans="4:35" x14ac:dyDescent="0.35">
      <c r="D198" s="155">
        <v>0</v>
      </c>
      <c r="F198" s="13">
        <v>170.85580999999999</v>
      </c>
      <c r="G198" s="2">
        <v>176.47087999999999</v>
      </c>
      <c r="H198" s="2">
        <f t="shared" si="128"/>
        <v>5.6150700000000029</v>
      </c>
      <c r="I198" s="2">
        <f t="shared" si="129"/>
        <v>5.7907900000000154</v>
      </c>
      <c r="J198" s="2">
        <f t="shared" si="130"/>
        <v>0.49229694209818409</v>
      </c>
      <c r="K198" s="2">
        <f t="shared" si="131"/>
        <v>0.50770305790181591</v>
      </c>
      <c r="L198" s="2">
        <f t="shared" si="132"/>
        <v>0.17809216982156936</v>
      </c>
      <c r="M198" s="2">
        <f t="shared" si="133"/>
        <v>8.76742306147891E-2</v>
      </c>
      <c r="N198" s="2">
        <f t="shared" si="134"/>
        <v>11.405860000000018</v>
      </c>
      <c r="O198" s="2">
        <v>39</v>
      </c>
      <c r="P198">
        <f t="shared" si="135"/>
        <v>6.9455946230412051</v>
      </c>
      <c r="X198" s="104"/>
      <c r="Y198" s="13"/>
      <c r="Z198" s="49" t="s">
        <v>94</v>
      </c>
      <c r="AA198" s="2">
        <f>_xlfn.STDEV.S(AA168:AA178)</f>
        <v>0.77320111617988185</v>
      </c>
      <c r="AB198" s="2">
        <f>_xlfn.STDEV.S(AB168:AB178)</f>
        <v>0.6216527331615862</v>
      </c>
      <c r="AC198" s="2">
        <f t="shared" ref="AC198:AI198" si="137">_xlfn.STDEV.S(AC168:AC178)</f>
        <v>4.5085609090908779E-2</v>
      </c>
      <c r="AD198" s="2">
        <f t="shared" si="137"/>
        <v>4.50856090909088E-2</v>
      </c>
      <c r="AE198" s="2">
        <f t="shared" si="137"/>
        <v>4.2232917320994379E-2</v>
      </c>
      <c r="AF198" s="2">
        <f t="shared" si="137"/>
        <v>9.7008815732511824E-3</v>
      </c>
      <c r="AG198" s="2">
        <f t="shared" si="137"/>
        <v>1.1133421137082526</v>
      </c>
      <c r="AH198" s="2">
        <f t="shared" si="137"/>
        <v>5.4739050378716287</v>
      </c>
      <c r="AI198" s="2">
        <f t="shared" si="137"/>
        <v>0.44840248333753452</v>
      </c>
    </row>
    <row r="199" spans="4:35" x14ac:dyDescent="0.35">
      <c r="D199" s="155">
        <v>0</v>
      </c>
      <c r="F199" s="13">
        <v>182.26167000000001</v>
      </c>
      <c r="G199" s="2">
        <v>187.63460000000001</v>
      </c>
      <c r="H199" s="2">
        <f t="shared" si="128"/>
        <v>5.3729299999999967</v>
      </c>
      <c r="I199" s="2">
        <f t="shared" si="129"/>
        <v>5.0951199999999801</v>
      </c>
      <c r="J199" s="2">
        <f t="shared" si="130"/>
        <v>0.51326942458242064</v>
      </c>
      <c r="K199" s="2">
        <f t="shared" si="131"/>
        <v>0.48673057541757936</v>
      </c>
      <c r="L199" s="2">
        <f t="shared" si="132"/>
        <v>0.18611818877223427</v>
      </c>
      <c r="M199" s="2">
        <f t="shared" si="133"/>
        <v>9.5528775655447026E-2</v>
      </c>
      <c r="N199" s="2">
        <f t="shared" si="134"/>
        <v>10.468049999999977</v>
      </c>
      <c r="O199" s="2">
        <v>37</v>
      </c>
      <c r="P199">
        <f t="shared" si="135"/>
        <v>6.8863729845726676</v>
      </c>
      <c r="X199" s="104"/>
      <c r="Y199" s="13"/>
      <c r="Z199" s="49" t="s">
        <v>95</v>
      </c>
      <c r="AA199" s="2">
        <f>AA198/(SQRT(COUNT(AA168:AA178)))</f>
        <v>0.2331289081684238</v>
      </c>
      <c r="AB199" s="2">
        <f t="shared" ref="AB199:AI199" si="138">AB198/(SQRT(COUNT(AB168:AB178)))</f>
        <v>0.18743535143599155</v>
      </c>
      <c r="AC199" s="2">
        <f t="shared" si="138"/>
        <v>1.3593822618107348E-2</v>
      </c>
      <c r="AD199" s="2">
        <f t="shared" si="138"/>
        <v>1.3593822618107355E-2</v>
      </c>
      <c r="AE199" s="2">
        <f t="shared" si="138"/>
        <v>1.2733703686894539E-2</v>
      </c>
      <c r="AF199" s="2">
        <f t="shared" si="138"/>
        <v>2.9249258467406148E-3</v>
      </c>
      <c r="AG199" s="2">
        <f t="shared" si="138"/>
        <v>0.33568527767922468</v>
      </c>
      <c r="AH199" s="2">
        <f t="shared" si="138"/>
        <v>1.6504444680596688</v>
      </c>
      <c r="AI199" s="2">
        <f t="shared" si="138"/>
        <v>0.1351984356631083</v>
      </c>
    </row>
    <row r="200" spans="4:35" x14ac:dyDescent="0.35">
      <c r="D200" s="155">
        <v>0</v>
      </c>
      <c r="F200" s="13">
        <v>192.72971999999999</v>
      </c>
      <c r="G200" s="13">
        <v>197.76176000000001</v>
      </c>
      <c r="H200" s="2">
        <f t="shared" si="128"/>
        <v>5.0320400000000234</v>
      </c>
      <c r="I200" s="2">
        <f t="shared" si="129"/>
        <v>5.6397599999999954</v>
      </c>
      <c r="J200" s="2">
        <f t="shared" si="130"/>
        <v>0.47152682771416393</v>
      </c>
      <c r="K200" s="2">
        <f t="shared" si="131"/>
        <v>0.52847317228583612</v>
      </c>
      <c r="L200" s="2">
        <f t="shared" si="132"/>
        <v>0.19872656020222323</v>
      </c>
      <c r="M200" s="2">
        <f t="shared" si="133"/>
        <v>9.3704904514702134E-2</v>
      </c>
      <c r="N200" s="2">
        <f t="shared" si="134"/>
        <v>10.671800000000019</v>
      </c>
      <c r="O200" s="2">
        <v>32</v>
      </c>
      <c r="P200">
        <f t="shared" si="135"/>
        <v>6.3592499264711435</v>
      </c>
      <c r="X200" s="104"/>
    </row>
    <row r="201" spans="4:35" x14ac:dyDescent="0.35">
      <c r="D201" s="155">
        <v>0</v>
      </c>
      <c r="F201" s="13">
        <v>203.40152</v>
      </c>
      <c r="G201" s="13">
        <v>207.00566000000001</v>
      </c>
      <c r="H201" s="2">
        <f t="shared" si="128"/>
        <v>3.604140000000001</v>
      </c>
      <c r="I201" s="2">
        <f t="shared" si="129"/>
        <v>5.7424100000000067</v>
      </c>
      <c r="J201" s="2">
        <f t="shared" si="130"/>
        <v>0.38561180328570416</v>
      </c>
      <c r="K201" s="2">
        <f t="shared" si="131"/>
        <v>0.6143881967142959</v>
      </c>
      <c r="L201" s="2">
        <f t="shared" si="132"/>
        <v>0.27745870027246439</v>
      </c>
      <c r="M201" s="2">
        <f t="shared" si="133"/>
        <v>0.10699134974937267</v>
      </c>
      <c r="N201" s="2">
        <f t="shared" si="134"/>
        <v>9.3465500000000077</v>
      </c>
      <c r="O201" s="2">
        <v>22</v>
      </c>
      <c r="P201">
        <f t="shared" si="135"/>
        <v>6.1040914059942164</v>
      </c>
      <c r="X201" s="104"/>
    </row>
    <row r="202" spans="4:35" ht="16" thickBot="1" x14ac:dyDescent="0.4">
      <c r="D202" s="155">
        <v>0</v>
      </c>
      <c r="F202" s="13">
        <v>212.74807000000001</v>
      </c>
      <c r="G202" s="13">
        <v>215.9152</v>
      </c>
      <c r="H202" s="2">
        <f t="shared" si="128"/>
        <v>3.167129999999986</v>
      </c>
      <c r="I202" s="2">
        <f t="shared" si="129"/>
        <v>6.5894100000000151</v>
      </c>
      <c r="J202" s="2">
        <f t="shared" si="130"/>
        <v>0.32461610365969756</v>
      </c>
      <c r="K202" s="2">
        <f t="shared" si="131"/>
        <v>0.67538389634030249</v>
      </c>
      <c r="L202" s="2">
        <f t="shared" si="132"/>
        <v>0.31574327545759234</v>
      </c>
      <c r="M202" s="2">
        <f t="shared" si="133"/>
        <v>0.10249535183579424</v>
      </c>
      <c r="N202" s="2">
        <f t="shared" si="134"/>
        <v>9.7565400000000011</v>
      </c>
      <c r="O202" s="2">
        <v>21</v>
      </c>
      <c r="P202">
        <f t="shared" si="135"/>
        <v>6.6306087846094393</v>
      </c>
      <c r="X202" s="104"/>
      <c r="Z202" s="13"/>
      <c r="AA202" s="9" t="s">
        <v>3</v>
      </c>
      <c r="AB202" s="9" t="s">
        <v>4</v>
      </c>
      <c r="AC202" s="9" t="s">
        <v>5</v>
      </c>
      <c r="AD202" s="9" t="s">
        <v>6</v>
      </c>
      <c r="AE202" s="9" t="s">
        <v>7</v>
      </c>
      <c r="AF202" s="9" t="s">
        <v>8</v>
      </c>
      <c r="AG202" s="9" t="s">
        <v>9</v>
      </c>
      <c r="AH202" s="9" t="s">
        <v>10</v>
      </c>
      <c r="AI202" s="44" t="s">
        <v>139</v>
      </c>
    </row>
    <row r="203" spans="4:35" x14ac:dyDescent="0.35">
      <c r="D203" s="155">
        <v>0</v>
      </c>
      <c r="F203" s="13">
        <v>222.50461000000001</v>
      </c>
      <c r="G203" s="13">
        <v>226.15620999999999</v>
      </c>
      <c r="H203" s="2">
        <f t="shared" si="128"/>
        <v>3.6515999999999735</v>
      </c>
      <c r="I203" s="2">
        <f t="shared" si="129"/>
        <v>6.8077400000000239</v>
      </c>
      <c r="J203" s="2">
        <f t="shared" si="130"/>
        <v>0.34912336724879145</v>
      </c>
      <c r="K203" s="2">
        <f t="shared" si="131"/>
        <v>0.65087663275120855</v>
      </c>
      <c r="L203" s="2">
        <f t="shared" si="132"/>
        <v>0.27385255778289169</v>
      </c>
      <c r="M203" s="2">
        <f t="shared" si="133"/>
        <v>9.5608327102857368E-2</v>
      </c>
      <c r="N203" s="2">
        <f t="shared" si="134"/>
        <v>10.459339999999997</v>
      </c>
      <c r="O203" s="2">
        <v>23</v>
      </c>
      <c r="P203">
        <f t="shared" si="135"/>
        <v>6.2986088290065085</v>
      </c>
      <c r="X203" s="104" t="s">
        <v>410</v>
      </c>
      <c r="Z203" s="49" t="s">
        <v>77</v>
      </c>
      <c r="AA203" s="13">
        <f>AVERAGE(AA179:AA188)</f>
        <v>5.7255869999999973</v>
      </c>
      <c r="AB203" s="13">
        <f t="shared" ref="AB203:AI203" si="139">AVERAGE(AB179:AB188)</f>
        <v>5.5461640000000019</v>
      </c>
      <c r="AC203" s="13">
        <f t="shared" si="139"/>
        <v>0.5072773154910255</v>
      </c>
      <c r="AD203" s="13">
        <f t="shared" si="139"/>
        <v>0.49272268450897461</v>
      </c>
      <c r="AE203" s="13">
        <f t="shared" si="139"/>
        <v>0.17688956897797137</v>
      </c>
      <c r="AF203" s="13">
        <f t="shared" si="139"/>
        <v>8.9268600451972061E-2</v>
      </c>
      <c r="AG203" s="13">
        <f t="shared" si="139"/>
        <v>11.271750999999998</v>
      </c>
      <c r="AH203" s="13">
        <f t="shared" si="139"/>
        <v>47.1</v>
      </c>
      <c r="AI203" s="13">
        <f t="shared" si="139"/>
        <v>8.2280161630566973</v>
      </c>
    </row>
    <row r="204" spans="4:35" x14ac:dyDescent="0.35">
      <c r="D204" s="155">
        <v>0</v>
      </c>
      <c r="F204" s="13">
        <v>232.96395000000001</v>
      </c>
      <c r="G204" s="13">
        <v>238.05531999999999</v>
      </c>
      <c r="H204" s="2">
        <f t="shared" si="128"/>
        <v>5.0913699999999835</v>
      </c>
      <c r="I204" s="2"/>
      <c r="J204" s="2"/>
      <c r="K204" s="2"/>
      <c r="L204" s="2"/>
      <c r="M204" s="2"/>
      <c r="N204" s="2"/>
      <c r="O204" s="2"/>
      <c r="Z204" s="49" t="s">
        <v>94</v>
      </c>
      <c r="AA204" s="2">
        <f>_xlfn.STDEV.S(AA179:AA188)</f>
        <v>0.69199131906967104</v>
      </c>
      <c r="AB204" s="2">
        <f t="shared" ref="AB204:AI204" si="140">_xlfn.STDEV.S(AB179:AB188)</f>
        <v>0.51858494105915875</v>
      </c>
      <c r="AC204" s="2">
        <f t="shared" si="140"/>
        <v>3.5194148585474434E-2</v>
      </c>
      <c r="AD204" s="2">
        <f t="shared" si="140"/>
        <v>3.5194148585474413E-2</v>
      </c>
      <c r="AE204" s="2">
        <f t="shared" si="140"/>
        <v>2.0699887424710194E-2</v>
      </c>
      <c r="AF204" s="2">
        <f t="shared" si="140"/>
        <v>7.6916328509670385E-3</v>
      </c>
      <c r="AG204" s="2">
        <f t="shared" si="140"/>
        <v>0.90147011222348639</v>
      </c>
      <c r="AH204" s="2">
        <f t="shared" si="140"/>
        <v>5.9898061552756392</v>
      </c>
      <c r="AI204" s="2">
        <f t="shared" si="140"/>
        <v>0.40120732342586729</v>
      </c>
    </row>
    <row r="205" spans="4:35" x14ac:dyDescent="0.35">
      <c r="F205" s="13"/>
      <c r="G205" s="13"/>
      <c r="H205" s="2"/>
      <c r="I205" s="2"/>
      <c r="J205" s="2"/>
      <c r="K205" s="2"/>
      <c r="L205" s="2"/>
      <c r="M205" s="2"/>
      <c r="N205" s="2"/>
      <c r="O205" s="2"/>
      <c r="Z205" s="49" t="s">
        <v>95</v>
      </c>
      <c r="AA205" s="2">
        <f>AA204/(SQRT(COUNT(AA179:AA188)))</f>
        <v>0.21882686893244696</v>
      </c>
      <c r="AB205" s="2">
        <f t="shared" ref="AB205:AI205" si="141">AB204/(SQRT(COUNT(AB179:AB188)))</f>
        <v>0.16399095740111133</v>
      </c>
      <c r="AC205" s="2">
        <f t="shared" si="141"/>
        <v>1.1129366984049236E-2</v>
      </c>
      <c r="AD205" s="2">
        <f t="shared" si="141"/>
        <v>1.1129366984049229E-2</v>
      </c>
      <c r="AE205" s="2">
        <f t="shared" si="141"/>
        <v>6.5458791571161405E-3</v>
      </c>
      <c r="AF205" s="2">
        <f t="shared" si="141"/>
        <v>2.4323078734830284E-3</v>
      </c>
      <c r="AG205" s="2">
        <f t="shared" si="141"/>
        <v>0.28506987971938125</v>
      </c>
      <c r="AH205" s="2">
        <f t="shared" si="141"/>
        <v>1.8941430193567204</v>
      </c>
      <c r="AI205" s="2">
        <f t="shared" si="141"/>
        <v>0.12687289559655698</v>
      </c>
    </row>
    <row r="206" spans="4:35" x14ac:dyDescent="0.35">
      <c r="F206" s="13"/>
    </row>
    <row r="207" spans="4:35" ht="16" thickBot="1" x14ac:dyDescent="0.4">
      <c r="F207" s="13"/>
      <c r="G207" s="13"/>
      <c r="H207" s="9" t="s">
        <v>3</v>
      </c>
      <c r="I207" s="9" t="s">
        <v>4</v>
      </c>
      <c r="J207" s="9" t="s">
        <v>5</v>
      </c>
      <c r="K207" s="9" t="s">
        <v>6</v>
      </c>
      <c r="L207" s="9" t="s">
        <v>7</v>
      </c>
      <c r="M207" s="9" t="s">
        <v>8</v>
      </c>
      <c r="N207" s="9" t="s">
        <v>9</v>
      </c>
      <c r="O207" s="9" t="s">
        <v>10</v>
      </c>
      <c r="P207" s="44" t="s">
        <v>139</v>
      </c>
    </row>
    <row r="208" spans="4:35" x14ac:dyDescent="0.35">
      <c r="E208" s="104" t="s">
        <v>419</v>
      </c>
      <c r="F208" s="13"/>
      <c r="G208" s="49" t="s">
        <v>77</v>
      </c>
      <c r="H208" s="13">
        <f>AVERAGE(H184:H194)</f>
        <v>4.8687754545454567</v>
      </c>
      <c r="I208" s="13">
        <f t="shared" ref="I208:P208" si="142">AVERAGE(I184:I194)</f>
        <v>5.5768609090909074</v>
      </c>
      <c r="J208" s="13">
        <f t="shared" si="142"/>
        <v>0.46604121456847575</v>
      </c>
      <c r="K208" s="13">
        <f t="shared" si="142"/>
        <v>0.53395878543152431</v>
      </c>
      <c r="L208" s="13">
        <f t="shared" si="142"/>
        <v>0.20924448309848967</v>
      </c>
      <c r="M208" s="13">
        <f t="shared" si="142"/>
        <v>9.6314608771665491E-2</v>
      </c>
      <c r="N208" s="13">
        <f t="shared" si="142"/>
        <v>10.445636363636362</v>
      </c>
      <c r="O208" s="13">
        <f t="shared" si="142"/>
        <v>30.90909090909091</v>
      </c>
      <c r="P208" s="13">
        <f t="shared" si="142"/>
        <v>6.3373714285379741</v>
      </c>
    </row>
    <row r="209" spans="5:37" x14ac:dyDescent="0.35">
      <c r="E209" s="104"/>
      <c r="F209" s="13"/>
      <c r="G209" s="49" t="s">
        <v>94</v>
      </c>
      <c r="H209" s="2">
        <f>_xlfn.STDEV.S(H184:H194)</f>
        <v>0.74416071229759762</v>
      </c>
      <c r="I209" s="2">
        <f t="shared" ref="I209:P209" si="143">_xlfn.STDEV.S(I184:I194)</f>
        <v>0.75040261071579339</v>
      </c>
      <c r="J209" s="2">
        <f t="shared" si="143"/>
        <v>5.7824757130868244E-2</v>
      </c>
      <c r="K209" s="2">
        <f t="shared" si="143"/>
        <v>5.7824757130868244E-2</v>
      </c>
      <c r="L209" s="2">
        <f t="shared" si="143"/>
        <v>2.8175665507421791E-2</v>
      </c>
      <c r="M209" s="2">
        <f t="shared" si="143"/>
        <v>8.0523653624919311E-3</v>
      </c>
      <c r="N209" s="2">
        <f t="shared" si="143"/>
        <v>0.83096115401711312</v>
      </c>
      <c r="O209" s="2">
        <f t="shared" si="143"/>
        <v>5.3376876164598661</v>
      </c>
      <c r="P209" s="2">
        <f t="shared" si="143"/>
        <v>0.35169036321200975</v>
      </c>
    </row>
    <row r="210" spans="5:37" x14ac:dyDescent="0.35">
      <c r="E210" s="104"/>
      <c r="F210" s="13"/>
      <c r="G210" s="49" t="s">
        <v>95</v>
      </c>
      <c r="H210" s="2">
        <f t="shared" ref="H210:P210" si="144">H209/(SQRT(COUNT(H184:H194)))</f>
        <v>0.22437289694679496</v>
      </c>
      <c r="I210" s="2">
        <f t="shared" si="144"/>
        <v>0.226254900131583</v>
      </c>
      <c r="J210" s="2">
        <f t="shared" si="144"/>
        <v>1.7434820272410709E-2</v>
      </c>
      <c r="K210" s="2">
        <f t="shared" si="144"/>
        <v>1.7434820272410709E-2</v>
      </c>
      <c r="L210" s="2">
        <f t="shared" si="144"/>
        <v>8.4952827915160609E-3</v>
      </c>
      <c r="M210" s="2">
        <f t="shared" si="144"/>
        <v>2.427879507476353E-3</v>
      </c>
      <c r="N210" s="2">
        <f t="shared" si="144"/>
        <v>0.25054421483958988</v>
      </c>
      <c r="O210" s="2">
        <f t="shared" si="144"/>
        <v>1.6093733701748925</v>
      </c>
      <c r="P210" s="2">
        <f t="shared" si="144"/>
        <v>0.10603863428709512</v>
      </c>
    </row>
    <row r="211" spans="5:37" ht="18.5" x14ac:dyDescent="0.45">
      <c r="E211" s="104"/>
      <c r="Y211" s="1" t="s">
        <v>405</v>
      </c>
      <c r="Z211" s="3"/>
      <c r="AA211" s="3"/>
      <c r="AB211" s="3"/>
      <c r="AC211" s="3"/>
      <c r="AD211" s="3"/>
      <c r="AE211" s="3"/>
      <c r="AF211" s="3"/>
      <c r="AG211" s="3"/>
      <c r="AH211" s="3"/>
    </row>
    <row r="212" spans="5:37" ht="16" thickBot="1" x14ac:dyDescent="0.4">
      <c r="E212" s="104"/>
      <c r="U212" s="9" t="s">
        <v>441</v>
      </c>
      <c r="W212" s="204" t="s">
        <v>406</v>
      </c>
      <c r="Y212" s="9" t="s">
        <v>1</v>
      </c>
      <c r="Z212" s="9" t="s">
        <v>2</v>
      </c>
      <c r="AA212" s="9" t="s">
        <v>3</v>
      </c>
      <c r="AB212" s="9" t="s">
        <v>4</v>
      </c>
      <c r="AC212" s="9" t="s">
        <v>5</v>
      </c>
      <c r="AD212" s="9" t="s">
        <v>6</v>
      </c>
      <c r="AE212" s="9" t="s">
        <v>7</v>
      </c>
      <c r="AF212" s="9" t="s">
        <v>8</v>
      </c>
      <c r="AG212" s="9" t="s">
        <v>9</v>
      </c>
      <c r="AH212" s="9" t="s">
        <v>10</v>
      </c>
      <c r="AI212" s="44" t="s">
        <v>139</v>
      </c>
      <c r="AK212" s="44" t="s">
        <v>138</v>
      </c>
    </row>
    <row r="213" spans="5:37" ht="16" thickBot="1" x14ac:dyDescent="0.4">
      <c r="E213" s="104"/>
      <c r="G213" s="13"/>
      <c r="H213" s="9" t="s">
        <v>3</v>
      </c>
      <c r="I213" s="9" t="s">
        <v>4</v>
      </c>
      <c r="J213" s="9" t="s">
        <v>5</v>
      </c>
      <c r="K213" s="9" t="s">
        <v>6</v>
      </c>
      <c r="L213" s="9" t="s">
        <v>7</v>
      </c>
      <c r="M213" s="9" t="s">
        <v>8</v>
      </c>
      <c r="N213" s="9" t="s">
        <v>9</v>
      </c>
      <c r="O213" s="9" t="s">
        <v>10</v>
      </c>
      <c r="P213" s="44" t="s">
        <v>139</v>
      </c>
      <c r="U213" s="155">
        <v>-40</v>
      </c>
      <c r="W213" s="155">
        <v>-10</v>
      </c>
      <c r="Y213" s="2">
        <v>3.9354399999999998</v>
      </c>
      <c r="Z213" s="2">
        <v>8.2828300000000006</v>
      </c>
      <c r="AA213" s="2">
        <f>Z213-Y213</f>
        <v>4.3473900000000008</v>
      </c>
      <c r="AB213" s="2">
        <f>Y214-Z213</f>
        <v>6.1635299999999997</v>
      </c>
      <c r="AC213" s="2">
        <f>AA213/AG213</f>
        <v>0.41360699158589359</v>
      </c>
      <c r="AD213" s="2">
        <f>AB213/AG213</f>
        <v>0.58639300841410646</v>
      </c>
      <c r="AE213" s="2">
        <f>1/AA213</f>
        <v>0.23002307131405275</v>
      </c>
      <c r="AF213" s="2">
        <f>1/AG213</f>
        <v>9.513915052155282E-2</v>
      </c>
      <c r="AG213" s="2">
        <f>AA213+AB213</f>
        <v>10.51092</v>
      </c>
      <c r="AH213" s="2">
        <v>36</v>
      </c>
      <c r="AI213">
        <f>AH213/AA213</f>
        <v>8.2808305673058999</v>
      </c>
      <c r="AK213" t="s">
        <v>436</v>
      </c>
    </row>
    <row r="214" spans="5:37" x14ac:dyDescent="0.35">
      <c r="E214" s="104" t="s">
        <v>410</v>
      </c>
      <c r="G214" s="49" t="s">
        <v>77</v>
      </c>
      <c r="H214" s="13">
        <f>AVERAGE(H195:H203)</f>
        <v>4.0290588888888879</v>
      </c>
      <c r="I214" s="13">
        <f t="shared" ref="I214:P214" si="145">AVERAGE(I195:I203)</f>
        <v>8.0906344444444471</v>
      </c>
      <c r="J214" s="13">
        <f t="shared" si="145"/>
        <v>0.36790189010927321</v>
      </c>
      <c r="K214" s="13">
        <f t="shared" si="145"/>
        <v>0.63209810989072679</v>
      </c>
      <c r="L214" s="13">
        <f t="shared" si="145"/>
        <v>0.26668924373450942</v>
      </c>
      <c r="M214" s="13">
        <f t="shared" si="145"/>
        <v>9.293490352702756E-2</v>
      </c>
      <c r="N214" s="13">
        <f t="shared" si="145"/>
        <v>12.119693333333336</v>
      </c>
      <c r="O214" s="13">
        <f t="shared" si="145"/>
        <v>26.111111111111111</v>
      </c>
      <c r="P214" s="13">
        <f t="shared" si="145"/>
        <v>6.4087811005692048</v>
      </c>
      <c r="U214" s="155">
        <v>-40</v>
      </c>
      <c r="W214" s="155">
        <v>-10</v>
      </c>
      <c r="Y214" s="2">
        <v>14.44636</v>
      </c>
      <c r="Z214" s="2">
        <v>22.235969999999998</v>
      </c>
      <c r="AA214" s="2">
        <f t="shared" ref="AA214:AA277" si="146">Z214-Y214</f>
        <v>7.7896099999999979</v>
      </c>
      <c r="AB214" s="2">
        <f t="shared" ref="AB214:AB277" si="147">Y215-Z214</f>
        <v>4.9588200000000029</v>
      </c>
      <c r="AC214" s="2">
        <f t="shared" ref="AC214:AC277" si="148">AA214/AG214</f>
        <v>0.61102504386814671</v>
      </c>
      <c r="AD214" s="2">
        <f t="shared" ref="AD214:AD277" si="149">AB214/AG214</f>
        <v>0.38897495613185329</v>
      </c>
      <c r="AE214" s="2">
        <f t="shared" ref="AE214:AE277" si="150">1/AA214</f>
        <v>0.12837613179607199</v>
      </c>
      <c r="AF214" s="2">
        <f t="shared" ref="AF214:AF277" si="151">1/AG214</f>
        <v>7.8441031562317867E-2</v>
      </c>
      <c r="AG214" s="2">
        <f t="shared" ref="AG214:AG277" si="152">AA214+AB214</f>
        <v>12.748430000000001</v>
      </c>
      <c r="AH214" s="2">
        <v>64</v>
      </c>
      <c r="AI214">
        <f t="shared" ref="AI214:AI277" si="153">AH214/AA214</f>
        <v>8.2160724349486074</v>
      </c>
    </row>
    <row r="215" spans="5:37" x14ac:dyDescent="0.35">
      <c r="G215" s="49" t="s">
        <v>94</v>
      </c>
      <c r="H215" s="2">
        <f>_xlfn.STDEV.S(H195:H203)</f>
        <v>1.097250877300227</v>
      </c>
      <c r="I215" s="2">
        <f t="shared" ref="I215:P215" si="154">_xlfn.STDEV.S(I195:I203)</f>
        <v>6.1829570572544608</v>
      </c>
      <c r="J215" s="2">
        <f t="shared" si="154"/>
        <v>0.11868036713367346</v>
      </c>
      <c r="K215" s="2">
        <f t="shared" si="154"/>
        <v>0.11868036713367346</v>
      </c>
      <c r="L215" s="2">
        <f t="shared" si="154"/>
        <v>8.0198110960215188E-2</v>
      </c>
      <c r="M215" s="2">
        <f t="shared" si="154"/>
        <v>2.4738088609610565E-2</v>
      </c>
      <c r="N215" s="2">
        <f t="shared" si="154"/>
        <v>6.0950814627964531</v>
      </c>
      <c r="O215" s="2">
        <f t="shared" si="154"/>
        <v>8.3133092755599485</v>
      </c>
      <c r="P215" s="2">
        <f t="shared" si="154"/>
        <v>0.39802286645836121</v>
      </c>
      <c r="U215" s="155">
        <v>-40</v>
      </c>
      <c r="W215" s="155">
        <v>-10</v>
      </c>
      <c r="Y215" s="13">
        <v>27.194790000000001</v>
      </c>
      <c r="Z215" s="2">
        <v>33.143650000000001</v>
      </c>
      <c r="AA215" s="2">
        <f t="shared" si="146"/>
        <v>5.9488599999999998</v>
      </c>
      <c r="AB215" s="2">
        <f t="shared" si="147"/>
        <v>7.3480899999999991</v>
      </c>
      <c r="AC215" s="2">
        <f t="shared" si="148"/>
        <v>0.44738530264459148</v>
      </c>
      <c r="AD215" s="2">
        <f t="shared" si="149"/>
        <v>0.55261469735540858</v>
      </c>
      <c r="AE215" s="2">
        <f t="shared" si="150"/>
        <v>0.16809943417730455</v>
      </c>
      <c r="AF215" s="2">
        <f t="shared" si="151"/>
        <v>7.5205216233797986E-2</v>
      </c>
      <c r="AG215" s="2">
        <f t="shared" si="152"/>
        <v>13.296949999999999</v>
      </c>
      <c r="AH215" s="2">
        <v>47</v>
      </c>
      <c r="AI215">
        <f t="shared" si="153"/>
        <v>7.9006734063333148</v>
      </c>
    </row>
    <row r="216" spans="5:37" x14ac:dyDescent="0.35">
      <c r="G216" s="49" t="s">
        <v>95</v>
      </c>
      <c r="H216" s="2">
        <f>H215/(SQRT(COUNT(H195:H203)))</f>
        <v>0.36575029243340901</v>
      </c>
      <c r="I216" s="2">
        <f t="shared" ref="I216:P216" si="155">I215/(SQRT(COUNT(I195:I203)))</f>
        <v>2.0609856857514868</v>
      </c>
      <c r="J216" s="2">
        <f t="shared" si="155"/>
        <v>3.9560122377891152E-2</v>
      </c>
      <c r="K216" s="2">
        <f t="shared" si="155"/>
        <v>3.9560122377891152E-2</v>
      </c>
      <c r="L216" s="2">
        <f t="shared" si="155"/>
        <v>2.6732703653405063E-2</v>
      </c>
      <c r="M216" s="2">
        <f t="shared" si="155"/>
        <v>8.2460295365368551E-3</v>
      </c>
      <c r="N216" s="2">
        <f t="shared" si="155"/>
        <v>2.0316938209321509</v>
      </c>
      <c r="O216" s="2">
        <f t="shared" si="155"/>
        <v>2.7711030918533162</v>
      </c>
      <c r="P216" s="2">
        <f t="shared" si="155"/>
        <v>0.13267428881945373</v>
      </c>
      <c r="U216" s="155">
        <v>-40</v>
      </c>
      <c r="W216" s="155">
        <v>-10</v>
      </c>
      <c r="Y216" s="13">
        <v>40.49174</v>
      </c>
      <c r="Z216" s="2">
        <v>47.419469999999997</v>
      </c>
      <c r="AA216" s="2">
        <f t="shared" si="146"/>
        <v>6.9277299999999968</v>
      </c>
      <c r="AB216" s="2">
        <f t="shared" si="147"/>
        <v>5.8989600000000024</v>
      </c>
      <c r="AC216" s="2">
        <f t="shared" si="148"/>
        <v>0.54010270771336932</v>
      </c>
      <c r="AD216" s="2">
        <f t="shared" si="149"/>
        <v>0.45989729228663068</v>
      </c>
      <c r="AE216" s="2">
        <f t="shared" si="150"/>
        <v>0.14434742693494124</v>
      </c>
      <c r="AF216" s="2">
        <f t="shared" si="151"/>
        <v>7.79624361390195E-2</v>
      </c>
      <c r="AG216" s="2">
        <f t="shared" si="152"/>
        <v>12.826689999999999</v>
      </c>
      <c r="AH216" s="2">
        <v>58</v>
      </c>
      <c r="AI216">
        <f t="shared" si="153"/>
        <v>8.3721507622265925</v>
      </c>
    </row>
    <row r="217" spans="5:37" x14ac:dyDescent="0.35">
      <c r="U217" s="155">
        <v>-40</v>
      </c>
      <c r="W217" s="155">
        <v>-10</v>
      </c>
      <c r="Y217" s="13">
        <v>53.318429999999999</v>
      </c>
      <c r="Z217" s="2">
        <v>58.825859999999999</v>
      </c>
      <c r="AA217" s="2">
        <f t="shared" si="146"/>
        <v>5.5074299999999994</v>
      </c>
      <c r="AB217" s="2">
        <f t="shared" si="147"/>
        <v>6.6116600000000076</v>
      </c>
      <c r="AC217" s="2">
        <f t="shared" si="148"/>
        <v>0.45444253652708216</v>
      </c>
      <c r="AD217" s="2">
        <f t="shared" si="149"/>
        <v>0.54555746347291778</v>
      </c>
      <c r="AE217" s="2">
        <f t="shared" si="150"/>
        <v>0.18157289334589818</v>
      </c>
      <c r="AF217" s="2">
        <f t="shared" si="151"/>
        <v>8.2514446216671339E-2</v>
      </c>
      <c r="AG217" s="2">
        <f t="shared" si="152"/>
        <v>12.119090000000007</v>
      </c>
      <c r="AH217" s="2">
        <v>45</v>
      </c>
      <c r="AI217">
        <f t="shared" si="153"/>
        <v>8.1707802005654191</v>
      </c>
    </row>
    <row r="218" spans="5:37" x14ac:dyDescent="0.35">
      <c r="U218" s="155">
        <v>-40</v>
      </c>
      <c r="W218" s="155">
        <v>-10</v>
      </c>
      <c r="Y218" s="13">
        <v>65.437520000000006</v>
      </c>
      <c r="Z218" s="2">
        <v>70.314220000000006</v>
      </c>
      <c r="AA218" s="2">
        <f t="shared" si="146"/>
        <v>4.8766999999999996</v>
      </c>
      <c r="AB218" s="2">
        <f t="shared" si="147"/>
        <v>5.125409999999988</v>
      </c>
      <c r="AC218" s="2">
        <f t="shared" si="148"/>
        <v>0.48756712333697644</v>
      </c>
      <c r="AD218" s="2">
        <f t="shared" si="149"/>
        <v>0.51243287666302351</v>
      </c>
      <c r="AE218" s="2">
        <f t="shared" si="150"/>
        <v>0.20505669817704597</v>
      </c>
      <c r="AF218" s="2">
        <f t="shared" si="151"/>
        <v>9.9978904451160935E-2</v>
      </c>
      <c r="AG218" s="2">
        <f t="shared" si="152"/>
        <v>10.002109999999988</v>
      </c>
      <c r="AH218" s="2">
        <v>42</v>
      </c>
      <c r="AI218">
        <f t="shared" si="153"/>
        <v>8.6123813234359314</v>
      </c>
    </row>
    <row r="219" spans="5:37" x14ac:dyDescent="0.35">
      <c r="U219" s="155">
        <v>-40</v>
      </c>
      <c r="W219" s="155">
        <v>-10</v>
      </c>
      <c r="Y219" s="13">
        <v>75.439629999999994</v>
      </c>
      <c r="Z219" s="2">
        <v>80.496979999999994</v>
      </c>
      <c r="AA219" s="2">
        <f t="shared" si="146"/>
        <v>5.0573499999999996</v>
      </c>
      <c r="AB219" s="2">
        <f t="shared" si="147"/>
        <v>6.0146200000000078</v>
      </c>
      <c r="AC219" s="2">
        <f t="shared" si="148"/>
        <v>0.45677056567169133</v>
      </c>
      <c r="AD219" s="2">
        <f t="shared" si="149"/>
        <v>0.54322943432830872</v>
      </c>
      <c r="AE219" s="2">
        <f t="shared" si="150"/>
        <v>0.19773201380169458</v>
      </c>
      <c r="AF219" s="2">
        <f t="shared" si="151"/>
        <v>9.0318163795602716E-2</v>
      </c>
      <c r="AG219" s="2">
        <f t="shared" si="152"/>
        <v>11.071970000000007</v>
      </c>
      <c r="AH219" s="2">
        <v>40</v>
      </c>
      <c r="AI219">
        <f t="shared" si="153"/>
        <v>7.9092805520677834</v>
      </c>
    </row>
    <row r="220" spans="5:37" x14ac:dyDescent="0.35">
      <c r="U220" s="155">
        <v>-40</v>
      </c>
      <c r="W220" s="155">
        <v>-10</v>
      </c>
      <c r="Y220" s="13">
        <v>86.511600000000001</v>
      </c>
      <c r="Z220" s="2">
        <v>91.191310000000001</v>
      </c>
      <c r="AA220" s="2">
        <f t="shared" si="146"/>
        <v>4.67971</v>
      </c>
      <c r="AB220" s="2">
        <f t="shared" si="147"/>
        <v>5.7322400000000044</v>
      </c>
      <c r="AC220" s="2">
        <f t="shared" si="148"/>
        <v>0.44945567352897375</v>
      </c>
      <c r="AD220" s="2">
        <f t="shared" si="149"/>
        <v>0.55054432647102625</v>
      </c>
      <c r="AE220" s="2">
        <f t="shared" si="150"/>
        <v>0.21368845505383879</v>
      </c>
      <c r="AF220" s="2">
        <f t="shared" si="151"/>
        <v>9.6043488491588946E-2</v>
      </c>
      <c r="AG220" s="2">
        <f t="shared" si="152"/>
        <v>10.411950000000004</v>
      </c>
      <c r="AH220" s="2">
        <v>39</v>
      </c>
      <c r="AI220">
        <f t="shared" si="153"/>
        <v>8.3338497470997126</v>
      </c>
    </row>
    <row r="221" spans="5:37" x14ac:dyDescent="0.35">
      <c r="U221" s="155">
        <v>-40</v>
      </c>
      <c r="W221" s="155">
        <v>-10</v>
      </c>
      <c r="Y221" s="13">
        <v>96.923550000000006</v>
      </c>
      <c r="Z221" s="2">
        <v>102.47503</v>
      </c>
      <c r="AA221" s="2">
        <f t="shared" si="146"/>
        <v>5.551479999999998</v>
      </c>
      <c r="AB221" s="2">
        <f t="shared" si="147"/>
        <v>5.0793999999999926</v>
      </c>
      <c r="AC221" s="2">
        <f t="shared" si="148"/>
        <v>0.52220324187649592</v>
      </c>
      <c r="AD221" s="2">
        <f t="shared" si="149"/>
        <v>0.47779675812350408</v>
      </c>
      <c r="AE221" s="2">
        <f t="shared" si="150"/>
        <v>0.18013214494152918</v>
      </c>
      <c r="AF221" s="2">
        <f t="shared" si="151"/>
        <v>9.4065590054633372E-2</v>
      </c>
      <c r="AG221" s="2">
        <f t="shared" si="152"/>
        <v>10.630879999999991</v>
      </c>
      <c r="AH221" s="2">
        <v>45</v>
      </c>
      <c r="AI221">
        <f t="shared" si="153"/>
        <v>8.1059465223688125</v>
      </c>
    </row>
    <row r="222" spans="5:37" x14ac:dyDescent="0.35">
      <c r="U222" s="155">
        <v>-40</v>
      </c>
      <c r="W222" s="155">
        <v>-10</v>
      </c>
      <c r="Y222" s="13">
        <v>107.55443</v>
      </c>
      <c r="Z222" s="2">
        <v>113.67588000000001</v>
      </c>
      <c r="AA222" s="2">
        <f t="shared" si="146"/>
        <v>6.12145000000001</v>
      </c>
      <c r="AB222" s="2">
        <f t="shared" si="147"/>
        <v>6.3620099999999979</v>
      </c>
      <c r="AC222" s="2">
        <f t="shared" si="148"/>
        <v>0.49036485077054009</v>
      </c>
      <c r="AD222" s="2">
        <f t="shared" si="149"/>
        <v>0.50963514922945996</v>
      </c>
      <c r="AE222" s="2">
        <f t="shared" si="150"/>
        <v>0.16335998823808057</v>
      </c>
      <c r="AF222" s="2">
        <f t="shared" si="151"/>
        <v>8.0105996254243569E-2</v>
      </c>
      <c r="AG222" s="2">
        <f t="shared" si="152"/>
        <v>12.483460000000008</v>
      </c>
      <c r="AH222" s="2">
        <v>47</v>
      </c>
      <c r="AI222">
        <f t="shared" si="153"/>
        <v>7.6779194471897876</v>
      </c>
    </row>
    <row r="223" spans="5:37" x14ac:dyDescent="0.35">
      <c r="U223" s="155">
        <v>-40</v>
      </c>
      <c r="W223" s="155">
        <v>-10</v>
      </c>
      <c r="Y223" s="13">
        <v>120.03789</v>
      </c>
      <c r="Z223" s="2">
        <v>125.74259000000001</v>
      </c>
      <c r="AA223" s="2">
        <f t="shared" si="146"/>
        <v>5.7047000000000025</v>
      </c>
      <c r="AB223" s="2">
        <f t="shared" si="147"/>
        <v>6.5118300000000033</v>
      </c>
      <c r="AC223" s="2">
        <f t="shared" si="148"/>
        <v>0.46696566046168592</v>
      </c>
      <c r="AD223" s="2">
        <f t="shared" si="149"/>
        <v>0.53303433953831414</v>
      </c>
      <c r="AE223" s="2">
        <f t="shared" si="150"/>
        <v>0.17529405577856846</v>
      </c>
      <c r="AF223" s="2">
        <f t="shared" si="151"/>
        <v>8.1856304531646842E-2</v>
      </c>
      <c r="AG223" s="2">
        <f t="shared" si="152"/>
        <v>12.216530000000006</v>
      </c>
      <c r="AH223" s="2">
        <v>43</v>
      </c>
      <c r="AI223">
        <f t="shared" si="153"/>
        <v>7.5376443984784443</v>
      </c>
      <c r="AK223" t="s">
        <v>437</v>
      </c>
    </row>
    <row r="224" spans="5:37" x14ac:dyDescent="0.35">
      <c r="U224" s="155">
        <v>-40</v>
      </c>
      <c r="W224" s="155">
        <v>-10</v>
      </c>
      <c r="Y224" s="13">
        <v>132.25442000000001</v>
      </c>
      <c r="Z224" s="2">
        <v>138.06647000000001</v>
      </c>
      <c r="AA224" s="2">
        <f t="shared" si="146"/>
        <v>5.8120499999999993</v>
      </c>
      <c r="AB224" s="2">
        <f t="shared" si="147"/>
        <v>6.9720299999999895</v>
      </c>
      <c r="AC224" s="2">
        <f t="shared" si="148"/>
        <v>0.45463185461918293</v>
      </c>
      <c r="AD224" s="2">
        <f t="shared" si="149"/>
        <v>0.54536814538081702</v>
      </c>
      <c r="AE224" s="2">
        <f t="shared" si="150"/>
        <v>0.17205633124284894</v>
      </c>
      <c r="AF224" s="2">
        <f t="shared" si="151"/>
        <v>7.8222288971908874E-2</v>
      </c>
      <c r="AG224" s="2">
        <f t="shared" si="152"/>
        <v>12.784079999999989</v>
      </c>
      <c r="AH224" s="2">
        <v>49</v>
      </c>
      <c r="AI224">
        <f t="shared" si="153"/>
        <v>8.4307602308995975</v>
      </c>
    </row>
    <row r="225" spans="21:37" x14ac:dyDescent="0.35">
      <c r="U225" s="155">
        <v>-40</v>
      </c>
      <c r="W225" s="155">
        <v>-10</v>
      </c>
      <c r="Y225" s="13">
        <v>145.0385</v>
      </c>
      <c r="Z225" s="2">
        <v>150.506</v>
      </c>
      <c r="AA225" s="2">
        <f t="shared" si="146"/>
        <v>5.4675000000000011</v>
      </c>
      <c r="AB225" s="2">
        <f t="shared" si="147"/>
        <v>4.8998200000000054</v>
      </c>
      <c r="AC225" s="2">
        <f t="shared" si="148"/>
        <v>0.52737833885710073</v>
      </c>
      <c r="AD225" s="2">
        <f t="shared" si="149"/>
        <v>0.47262166114289927</v>
      </c>
      <c r="AE225" s="2">
        <f t="shared" si="150"/>
        <v>0.18289894833104706</v>
      </c>
      <c r="AF225" s="2">
        <f t="shared" si="151"/>
        <v>9.6456943549538293E-2</v>
      </c>
      <c r="AG225" s="2">
        <f t="shared" si="152"/>
        <v>10.367320000000007</v>
      </c>
      <c r="AH225" s="2">
        <v>45</v>
      </c>
      <c r="AI225">
        <f t="shared" si="153"/>
        <v>8.2304526748971174</v>
      </c>
    </row>
    <row r="226" spans="21:37" x14ac:dyDescent="0.35">
      <c r="U226" s="155">
        <v>-40</v>
      </c>
      <c r="W226" s="155">
        <v>-10</v>
      </c>
      <c r="Y226" s="13">
        <v>155.40582000000001</v>
      </c>
      <c r="Z226" s="2">
        <v>159.93221</v>
      </c>
      <c r="AA226" s="2">
        <f t="shared" si="146"/>
        <v>4.5263899999999921</v>
      </c>
      <c r="AB226" s="2">
        <f t="shared" si="147"/>
        <v>6.7677899999999909</v>
      </c>
      <c r="AC226" s="2">
        <f t="shared" si="148"/>
        <v>0.40077190198845769</v>
      </c>
      <c r="AD226" s="2">
        <f t="shared" si="149"/>
        <v>0.59922809801154231</v>
      </c>
      <c r="AE226" s="2">
        <f t="shared" si="150"/>
        <v>0.22092661038929517</v>
      </c>
      <c r="AF226" s="2">
        <f t="shared" si="151"/>
        <v>8.8541177845580771E-2</v>
      </c>
      <c r="AG226" s="2">
        <f t="shared" si="152"/>
        <v>11.294179999999983</v>
      </c>
      <c r="AH226" s="2">
        <v>37</v>
      </c>
      <c r="AI226">
        <f t="shared" si="153"/>
        <v>8.1742845844039209</v>
      </c>
    </row>
    <row r="227" spans="21:37" x14ac:dyDescent="0.35">
      <c r="U227" s="155">
        <v>-40</v>
      </c>
      <c r="W227" s="155">
        <v>-10</v>
      </c>
      <c r="Y227" s="13">
        <v>166.7</v>
      </c>
      <c r="Z227" s="13">
        <v>172.84768</v>
      </c>
      <c r="AA227" s="2">
        <f t="shared" si="146"/>
        <v>6.1476800000000082</v>
      </c>
      <c r="AB227" s="2">
        <f t="shared" si="147"/>
        <v>6.3359100000000126</v>
      </c>
      <c r="AC227" s="2">
        <f t="shared" si="148"/>
        <v>0.492460902673029</v>
      </c>
      <c r="AD227" s="2">
        <f t="shared" si="149"/>
        <v>0.507539097326971</v>
      </c>
      <c r="AE227" s="2">
        <f t="shared" si="150"/>
        <v>0.16266298831429071</v>
      </c>
      <c r="AF227" s="2">
        <f t="shared" si="151"/>
        <v>8.0105162056747961E-2</v>
      </c>
      <c r="AG227" s="2">
        <f t="shared" si="152"/>
        <v>12.483590000000021</v>
      </c>
      <c r="AH227" s="2">
        <v>48</v>
      </c>
      <c r="AI227">
        <f t="shared" si="153"/>
        <v>7.8078234390859533</v>
      </c>
    </row>
    <row r="228" spans="21:37" x14ac:dyDescent="0.35">
      <c r="U228" s="155">
        <v>-40</v>
      </c>
      <c r="W228" s="155">
        <v>-10</v>
      </c>
      <c r="Y228" s="13">
        <v>179.18359000000001</v>
      </c>
      <c r="Z228" s="13">
        <v>184.76745</v>
      </c>
      <c r="AA228" s="2">
        <f t="shared" si="146"/>
        <v>5.5838599999999872</v>
      </c>
      <c r="AB228" s="2">
        <f t="shared" si="147"/>
        <v>6.2955000000000041</v>
      </c>
      <c r="AC228" s="2">
        <f t="shared" si="148"/>
        <v>0.47004720793039284</v>
      </c>
      <c r="AD228" s="2">
        <f t="shared" si="149"/>
        <v>0.52995279206960721</v>
      </c>
      <c r="AE228" s="2">
        <f t="shared" si="150"/>
        <v>0.17908758457411222</v>
      </c>
      <c r="AF228" s="2">
        <f t="shared" si="151"/>
        <v>8.4179619104059536E-2</v>
      </c>
      <c r="AG228" s="2">
        <f t="shared" si="152"/>
        <v>11.879359999999991</v>
      </c>
      <c r="AH228" s="2">
        <v>45</v>
      </c>
      <c r="AI228">
        <f t="shared" si="153"/>
        <v>8.0589413058350505</v>
      </c>
    </row>
    <row r="229" spans="21:37" x14ac:dyDescent="0.35">
      <c r="U229" s="155">
        <v>-40</v>
      </c>
      <c r="W229" s="155">
        <v>-10</v>
      </c>
      <c r="Y229" s="13">
        <v>191.06295</v>
      </c>
      <c r="Z229">
        <v>197.85964000000001</v>
      </c>
      <c r="AA229" s="2">
        <f t="shared" si="146"/>
        <v>6.7966900000000123</v>
      </c>
      <c r="AB229" s="2">
        <f t="shared" si="147"/>
        <v>7.220659999999981</v>
      </c>
      <c r="AC229" s="2">
        <f t="shared" si="148"/>
        <v>0.48487695605802922</v>
      </c>
      <c r="AD229" s="2">
        <f t="shared" si="149"/>
        <v>0.51512304394197084</v>
      </c>
      <c r="AE229" s="2">
        <f t="shared" si="150"/>
        <v>0.14713044143546317</v>
      </c>
      <c r="AF229" s="2">
        <f t="shared" si="151"/>
        <v>7.134016058670152E-2</v>
      </c>
      <c r="AG229" s="2">
        <f t="shared" si="152"/>
        <v>14.017349999999993</v>
      </c>
      <c r="AH229" s="2">
        <v>55</v>
      </c>
      <c r="AI229">
        <f t="shared" si="153"/>
        <v>8.0921742789504751</v>
      </c>
    </row>
    <row r="230" spans="21:37" x14ac:dyDescent="0.35">
      <c r="U230" s="155">
        <v>-40</v>
      </c>
      <c r="W230" s="155">
        <v>-10</v>
      </c>
      <c r="Y230">
        <v>205.08029999999999</v>
      </c>
      <c r="Z230">
        <v>210.33912000000001</v>
      </c>
      <c r="AA230" s="2">
        <f t="shared" si="146"/>
        <v>5.2588200000000143</v>
      </c>
      <c r="AB230" s="2">
        <f t="shared" si="147"/>
        <v>5.1288299999999936</v>
      </c>
      <c r="AC230" s="2">
        <f t="shared" si="148"/>
        <v>0.50625694935813303</v>
      </c>
      <c r="AD230" s="2">
        <f t="shared" si="149"/>
        <v>0.49374305064186702</v>
      </c>
      <c r="AE230" s="2">
        <f t="shared" si="150"/>
        <v>0.19015672717453674</v>
      </c>
      <c r="AF230" s="2">
        <f t="shared" si="151"/>
        <v>9.6268164599307759E-2</v>
      </c>
      <c r="AG230" s="2">
        <f t="shared" si="152"/>
        <v>10.387650000000008</v>
      </c>
      <c r="AH230" s="2">
        <v>40</v>
      </c>
      <c r="AI230">
        <f t="shared" si="153"/>
        <v>7.6062690869814693</v>
      </c>
    </row>
    <row r="231" spans="21:37" x14ac:dyDescent="0.35">
      <c r="U231" s="155">
        <v>-40</v>
      </c>
      <c r="W231" s="155">
        <v>-10</v>
      </c>
      <c r="Y231">
        <v>215.46795</v>
      </c>
      <c r="Z231">
        <v>220.41346999999999</v>
      </c>
      <c r="AA231" s="2">
        <f t="shared" si="146"/>
        <v>4.9455199999999877</v>
      </c>
      <c r="AB231" s="2">
        <f t="shared" si="147"/>
        <v>7.586669999999998</v>
      </c>
      <c r="AC231" s="2">
        <f t="shared" si="148"/>
        <v>0.39462536077094212</v>
      </c>
      <c r="AD231" s="2">
        <f t="shared" si="149"/>
        <v>0.60537463922905788</v>
      </c>
      <c r="AE231" s="2">
        <f t="shared" si="150"/>
        <v>0.20220320613403697</v>
      </c>
      <c r="AF231" s="2">
        <f t="shared" si="151"/>
        <v>7.9794513169685513E-2</v>
      </c>
      <c r="AG231" s="2">
        <f t="shared" si="152"/>
        <v>12.532189999999986</v>
      </c>
      <c r="AH231" s="2">
        <v>40</v>
      </c>
      <c r="AI231">
        <f t="shared" si="153"/>
        <v>8.088128245361478</v>
      </c>
    </row>
    <row r="232" spans="21:37" x14ac:dyDescent="0.35">
      <c r="U232" s="155">
        <v>-40</v>
      </c>
      <c r="W232" s="155">
        <v>-10</v>
      </c>
      <c r="Y232">
        <v>228.00013999999999</v>
      </c>
      <c r="Z232">
        <v>235.02293</v>
      </c>
      <c r="AA232" s="2">
        <f t="shared" si="146"/>
        <v>7.0227900000000147</v>
      </c>
      <c r="AB232" s="2">
        <f t="shared" si="147"/>
        <v>6.022829999999999</v>
      </c>
      <c r="AC232" s="2">
        <f t="shared" si="148"/>
        <v>0.53832550695175907</v>
      </c>
      <c r="AD232" s="2">
        <f t="shared" si="149"/>
        <v>0.46167449304824093</v>
      </c>
      <c r="AE232" s="2">
        <f t="shared" si="150"/>
        <v>0.14239355014175248</v>
      </c>
      <c r="AF232" s="2">
        <f t="shared" si="151"/>
        <v>7.6654080066719629E-2</v>
      </c>
      <c r="AG232" s="2">
        <f t="shared" si="152"/>
        <v>13.045620000000014</v>
      </c>
      <c r="AH232" s="2">
        <v>55</v>
      </c>
      <c r="AI232">
        <f t="shared" si="153"/>
        <v>7.831645257796386</v>
      </c>
    </row>
    <row r="233" spans="21:37" x14ac:dyDescent="0.35">
      <c r="U233" s="155">
        <v>-35</v>
      </c>
      <c r="W233" s="155">
        <v>-10</v>
      </c>
      <c r="Y233">
        <v>241.04576</v>
      </c>
      <c r="Z233">
        <v>247.46100999999999</v>
      </c>
      <c r="AA233" s="2">
        <f t="shared" si="146"/>
        <v>6.4152499999999861</v>
      </c>
      <c r="AB233" s="2">
        <f t="shared" si="147"/>
        <v>6.7033400000000256</v>
      </c>
      <c r="AC233" s="2">
        <f t="shared" si="148"/>
        <v>0.48901978032700011</v>
      </c>
      <c r="AD233" s="2">
        <f t="shared" si="149"/>
        <v>0.51098021967299989</v>
      </c>
      <c r="AE233" s="2">
        <f t="shared" si="150"/>
        <v>0.15587857059350799</v>
      </c>
      <c r="AF233" s="2">
        <f t="shared" si="151"/>
        <v>7.6227704349324063E-2</v>
      </c>
      <c r="AG233" s="2">
        <f t="shared" si="152"/>
        <v>13.118590000000012</v>
      </c>
      <c r="AH233" s="2">
        <v>50</v>
      </c>
      <c r="AI233">
        <f t="shared" si="153"/>
        <v>7.7939285296753997</v>
      </c>
      <c r="AK233" t="s">
        <v>439</v>
      </c>
    </row>
    <row r="234" spans="21:37" x14ac:dyDescent="0.35">
      <c r="U234" s="155">
        <v>-35</v>
      </c>
      <c r="W234" s="155">
        <v>-10</v>
      </c>
      <c r="Y234">
        <v>254.16435000000001</v>
      </c>
      <c r="Z234">
        <v>259.75867</v>
      </c>
      <c r="AA234" s="2">
        <f t="shared" si="146"/>
        <v>5.594319999999982</v>
      </c>
      <c r="AB234" s="2">
        <f t="shared" si="147"/>
        <v>6.6156599999999912</v>
      </c>
      <c r="AC234" s="2">
        <f t="shared" si="148"/>
        <v>0.45817601666833152</v>
      </c>
      <c r="AD234" s="2">
        <f t="shared" si="149"/>
        <v>0.54182398333166848</v>
      </c>
      <c r="AE234" s="2">
        <f t="shared" si="150"/>
        <v>0.17875273491684479</v>
      </c>
      <c r="AF234" s="2">
        <f t="shared" si="151"/>
        <v>8.1900216052770133E-2</v>
      </c>
      <c r="AG234" s="2">
        <f t="shared" si="152"/>
        <v>12.209979999999973</v>
      </c>
      <c r="AH234" s="2">
        <v>45</v>
      </c>
      <c r="AI234">
        <f t="shared" si="153"/>
        <v>8.043873071258016</v>
      </c>
    </row>
    <row r="235" spans="21:37" x14ac:dyDescent="0.35">
      <c r="U235" s="155">
        <v>-35</v>
      </c>
      <c r="W235" s="155">
        <v>-10</v>
      </c>
      <c r="Y235">
        <v>266.37432999999999</v>
      </c>
      <c r="Z235">
        <v>272.06130000000002</v>
      </c>
      <c r="AA235" s="2">
        <f t="shared" si="146"/>
        <v>5.6869700000000307</v>
      </c>
      <c r="AB235" s="2">
        <f t="shared" si="147"/>
        <v>4.6799199999999814</v>
      </c>
      <c r="AC235" s="2">
        <f t="shared" si="148"/>
        <v>0.5485704970343106</v>
      </c>
      <c r="AD235" s="2">
        <f t="shared" si="149"/>
        <v>0.4514295029656894</v>
      </c>
      <c r="AE235" s="2">
        <f t="shared" si="150"/>
        <v>0.17584056184576227</v>
      </c>
      <c r="AF235" s="2">
        <f t="shared" si="151"/>
        <v>9.6460944410522234E-2</v>
      </c>
      <c r="AG235" s="2">
        <f t="shared" si="152"/>
        <v>10.366890000000012</v>
      </c>
      <c r="AH235" s="2">
        <v>48</v>
      </c>
      <c r="AI235">
        <f t="shared" si="153"/>
        <v>8.4403469685965877</v>
      </c>
    </row>
    <row r="236" spans="21:37" x14ac:dyDescent="0.35">
      <c r="U236" s="155">
        <v>-35</v>
      </c>
      <c r="W236" s="155">
        <v>-10</v>
      </c>
      <c r="Y236">
        <v>276.74122</v>
      </c>
      <c r="Z236">
        <v>281.60309999999998</v>
      </c>
      <c r="AA236" s="2">
        <f t="shared" si="146"/>
        <v>4.8618799999999851</v>
      </c>
      <c r="AB236" s="2">
        <f t="shared" si="147"/>
        <v>4.5831699999999955</v>
      </c>
      <c r="AC236" s="2">
        <f t="shared" si="148"/>
        <v>0.51475428928380418</v>
      </c>
      <c r="AD236" s="2">
        <f t="shared" si="149"/>
        <v>0.48524571071619577</v>
      </c>
      <c r="AE236" s="2">
        <f t="shared" si="150"/>
        <v>0.20568175273762476</v>
      </c>
      <c r="AF236" s="2">
        <f t="shared" si="151"/>
        <v>0.10587556444910319</v>
      </c>
      <c r="AG236" s="2">
        <f t="shared" si="152"/>
        <v>9.4450499999999806</v>
      </c>
      <c r="AH236" s="2">
        <v>43</v>
      </c>
      <c r="AI236">
        <f t="shared" si="153"/>
        <v>8.844315367717865</v>
      </c>
    </row>
    <row r="237" spans="21:37" x14ac:dyDescent="0.35">
      <c r="U237" s="155">
        <v>-35</v>
      </c>
      <c r="W237" s="155">
        <v>-10</v>
      </c>
      <c r="Y237">
        <v>286.18626999999998</v>
      </c>
      <c r="Z237">
        <v>292.23905000000002</v>
      </c>
      <c r="AA237" s="2">
        <f t="shared" si="146"/>
        <v>6.0527800000000411</v>
      </c>
      <c r="AB237" s="2">
        <f t="shared" si="147"/>
        <v>6.0049300000000017</v>
      </c>
      <c r="AC237" s="2">
        <f t="shared" si="148"/>
        <v>0.50198420761488038</v>
      </c>
      <c r="AD237" s="2">
        <f t="shared" si="149"/>
        <v>0.49801579238511962</v>
      </c>
      <c r="AE237" s="2">
        <f t="shared" si="150"/>
        <v>0.16521333998592269</v>
      </c>
      <c r="AF237" s="2">
        <f t="shared" si="151"/>
        <v>8.2934487560241243E-2</v>
      </c>
      <c r="AG237" s="2">
        <f t="shared" si="152"/>
        <v>12.057710000000043</v>
      </c>
      <c r="AH237" s="2">
        <v>46</v>
      </c>
      <c r="AI237">
        <f t="shared" si="153"/>
        <v>7.599813639352444</v>
      </c>
    </row>
    <row r="238" spans="21:37" x14ac:dyDescent="0.35">
      <c r="U238" s="155">
        <v>-35</v>
      </c>
      <c r="W238" s="155">
        <v>-10</v>
      </c>
      <c r="Y238">
        <v>298.24398000000002</v>
      </c>
      <c r="Z238">
        <v>304.88738000000001</v>
      </c>
      <c r="AA238" s="2">
        <f t="shared" si="146"/>
        <v>6.6433999999999855</v>
      </c>
      <c r="AB238" s="2">
        <f t="shared" si="147"/>
        <v>6.3501099999999724</v>
      </c>
      <c r="AC238" s="2">
        <f t="shared" si="148"/>
        <v>0.51128601894330372</v>
      </c>
      <c r="AD238" s="2">
        <f t="shared" si="149"/>
        <v>0.48871398105669622</v>
      </c>
      <c r="AE238" s="2">
        <f t="shared" si="150"/>
        <v>0.15052533341361385</v>
      </c>
      <c r="AF238" s="2">
        <f t="shared" si="151"/>
        <v>7.6961498471160086E-2</v>
      </c>
      <c r="AG238" s="2">
        <f t="shared" si="152"/>
        <v>12.993509999999958</v>
      </c>
      <c r="AH238" s="2">
        <v>54</v>
      </c>
      <c r="AI238">
        <f t="shared" si="153"/>
        <v>8.1283680043351474</v>
      </c>
    </row>
    <row r="239" spans="21:37" x14ac:dyDescent="0.35">
      <c r="U239" s="155">
        <v>-35</v>
      </c>
      <c r="W239" s="155">
        <v>-10</v>
      </c>
      <c r="Y239">
        <v>311.23748999999998</v>
      </c>
      <c r="Z239">
        <v>317.46735999999999</v>
      </c>
      <c r="AA239" s="2">
        <f t="shared" si="146"/>
        <v>6.2298700000000053</v>
      </c>
      <c r="AB239" s="2">
        <f t="shared" si="147"/>
        <v>5.2373800000000301</v>
      </c>
      <c r="AC239" s="2">
        <f t="shared" si="148"/>
        <v>0.5432749787438127</v>
      </c>
      <c r="AD239" s="2">
        <f t="shared" si="149"/>
        <v>0.4567250212561873</v>
      </c>
      <c r="AE239" s="2">
        <f t="shared" si="150"/>
        <v>0.16051699313147771</v>
      </c>
      <c r="AF239" s="2">
        <f t="shared" si="151"/>
        <v>8.7204866031524289E-2</v>
      </c>
      <c r="AG239" s="2">
        <f t="shared" si="152"/>
        <v>11.467250000000035</v>
      </c>
      <c r="AH239" s="2">
        <v>49</v>
      </c>
      <c r="AI239">
        <f t="shared" si="153"/>
        <v>7.865332663442409</v>
      </c>
    </row>
    <row r="240" spans="21:37" x14ac:dyDescent="0.35">
      <c r="U240" s="155">
        <v>-35</v>
      </c>
      <c r="W240" s="155">
        <v>-10</v>
      </c>
      <c r="Y240">
        <v>322.70474000000002</v>
      </c>
      <c r="Z240">
        <v>327.25914999999998</v>
      </c>
      <c r="AA240" s="2">
        <f t="shared" si="146"/>
        <v>4.5544099999999617</v>
      </c>
      <c r="AB240" s="2">
        <f t="shared" si="147"/>
        <v>6.8502300000000105</v>
      </c>
      <c r="AC240" s="2">
        <f t="shared" si="148"/>
        <v>0.3993471078438226</v>
      </c>
      <c r="AD240" s="2">
        <f t="shared" si="149"/>
        <v>0.60065289215617745</v>
      </c>
      <c r="AE240" s="2">
        <f t="shared" si="150"/>
        <v>0.2195674082921846</v>
      </c>
      <c r="AF240" s="2">
        <f t="shared" si="151"/>
        <v>8.7683609478247659E-2</v>
      </c>
      <c r="AG240" s="2">
        <f t="shared" si="152"/>
        <v>11.404639999999972</v>
      </c>
      <c r="AH240" s="2">
        <v>38</v>
      </c>
      <c r="AI240">
        <f t="shared" si="153"/>
        <v>8.3435615151030138</v>
      </c>
    </row>
    <row r="241" spans="21:37" x14ac:dyDescent="0.35">
      <c r="U241" s="155">
        <v>-35</v>
      </c>
      <c r="W241" s="155">
        <v>-10</v>
      </c>
      <c r="Y241">
        <v>334.10937999999999</v>
      </c>
      <c r="Z241">
        <v>339.00873000000001</v>
      </c>
      <c r="AA241" s="2">
        <f t="shared" si="146"/>
        <v>4.8993500000000267</v>
      </c>
      <c r="AB241" s="2">
        <f t="shared" si="147"/>
        <v>4.6729100000000017</v>
      </c>
      <c r="AC241" s="2">
        <f t="shared" si="148"/>
        <v>0.51182792778299091</v>
      </c>
      <c r="AD241" s="2">
        <f t="shared" si="149"/>
        <v>0.48817207221700915</v>
      </c>
      <c r="AE241" s="2">
        <f t="shared" si="150"/>
        <v>0.20410870829803843</v>
      </c>
      <c r="AF241" s="2">
        <f t="shared" si="151"/>
        <v>0.10446853721064796</v>
      </c>
      <c r="AG241" s="2">
        <f t="shared" si="152"/>
        <v>9.5722600000000284</v>
      </c>
      <c r="AH241" s="2">
        <v>42</v>
      </c>
      <c r="AI241">
        <f t="shared" si="153"/>
        <v>8.5725657485176132</v>
      </c>
    </row>
    <row r="242" spans="21:37" x14ac:dyDescent="0.35">
      <c r="U242" s="155">
        <v>-35</v>
      </c>
      <c r="W242" s="155">
        <v>-10</v>
      </c>
      <c r="Y242">
        <v>343.68164000000002</v>
      </c>
      <c r="Z242">
        <v>348.31308999999999</v>
      </c>
      <c r="AA242" s="2">
        <f t="shared" si="146"/>
        <v>4.6314499999999725</v>
      </c>
      <c r="AB242" s="2">
        <f t="shared" si="147"/>
        <v>5.2429600000000391</v>
      </c>
      <c r="AC242" s="2">
        <f t="shared" si="148"/>
        <v>0.46903561833061086</v>
      </c>
      <c r="AD242" s="2">
        <f t="shared" si="149"/>
        <v>0.5309643816693892</v>
      </c>
      <c r="AE242" s="2">
        <f t="shared" si="150"/>
        <v>0.21591510218182339</v>
      </c>
      <c r="AF242" s="2">
        <f t="shared" si="151"/>
        <v>0.10127187345876855</v>
      </c>
      <c r="AG242" s="2">
        <f t="shared" si="152"/>
        <v>9.8744100000000117</v>
      </c>
      <c r="AH242" s="2">
        <v>40</v>
      </c>
      <c r="AI242">
        <f t="shared" si="153"/>
        <v>8.6366040872729357</v>
      </c>
    </row>
    <row r="243" spans="21:37" x14ac:dyDescent="0.35">
      <c r="U243" s="155">
        <v>-35</v>
      </c>
      <c r="W243" s="155">
        <v>-10</v>
      </c>
      <c r="Y243">
        <v>353.55605000000003</v>
      </c>
      <c r="Z243">
        <v>359.98719</v>
      </c>
      <c r="AA243" s="2">
        <f t="shared" si="146"/>
        <v>6.4311399999999708</v>
      </c>
      <c r="AB243" s="2">
        <f t="shared" si="147"/>
        <v>6.1422600000000216</v>
      </c>
      <c r="AC243" s="2">
        <f t="shared" si="148"/>
        <v>0.51148774396742125</v>
      </c>
      <c r="AD243" s="2">
        <f t="shared" si="149"/>
        <v>0.48851225603257875</v>
      </c>
      <c r="AE243" s="2">
        <f t="shared" si="150"/>
        <v>0.15549342729282903</v>
      </c>
      <c r="AF243" s="2">
        <f t="shared" si="151"/>
        <v>7.9532982327771382E-2</v>
      </c>
      <c r="AG243" s="2">
        <f t="shared" si="152"/>
        <v>12.573399999999992</v>
      </c>
      <c r="AH243" s="2">
        <v>54</v>
      </c>
      <c r="AI243">
        <f t="shared" si="153"/>
        <v>8.3966450738127687</v>
      </c>
    </row>
    <row r="244" spans="21:37" x14ac:dyDescent="0.35">
      <c r="W244" s="155">
        <v>0</v>
      </c>
      <c r="Y244">
        <v>366.12945000000002</v>
      </c>
      <c r="Z244">
        <v>371.96418</v>
      </c>
      <c r="AA244" s="2">
        <f t="shared" si="146"/>
        <v>5.8347299999999791</v>
      </c>
      <c r="AB244" s="2">
        <f t="shared" si="147"/>
        <v>5.6917300000000068</v>
      </c>
      <c r="AC244" s="2">
        <f t="shared" si="148"/>
        <v>0.50620311873723467</v>
      </c>
      <c r="AD244" s="2">
        <f t="shared" si="149"/>
        <v>0.49379688126276533</v>
      </c>
      <c r="AE244" s="2">
        <f t="shared" si="150"/>
        <v>0.17138753635558177</v>
      </c>
      <c r="AF244" s="2">
        <f t="shared" si="151"/>
        <v>8.6756905415886681E-2</v>
      </c>
      <c r="AG244" s="2">
        <f t="shared" si="152"/>
        <v>11.526459999999986</v>
      </c>
      <c r="AH244" s="2">
        <v>46</v>
      </c>
      <c r="AI244">
        <f t="shared" si="153"/>
        <v>7.8838266723567614</v>
      </c>
      <c r="AK244" t="s">
        <v>440</v>
      </c>
    </row>
    <row r="245" spans="21:37" x14ac:dyDescent="0.35">
      <c r="W245" s="155">
        <v>0</v>
      </c>
      <c r="Y245">
        <v>377.65591000000001</v>
      </c>
      <c r="Z245">
        <v>383.73604999999998</v>
      </c>
      <c r="AA245" s="2">
        <f t="shared" si="146"/>
        <v>6.0801399999999717</v>
      </c>
      <c r="AB245" s="2">
        <f t="shared" si="147"/>
        <v>6.703830000000039</v>
      </c>
      <c r="AC245" s="2">
        <f t="shared" si="148"/>
        <v>0.47560656040337757</v>
      </c>
      <c r="AD245" s="2">
        <f t="shared" si="149"/>
        <v>0.52439343959662243</v>
      </c>
      <c r="AE245" s="2">
        <f t="shared" si="150"/>
        <v>0.16446989707473916</v>
      </c>
      <c r="AF245" s="2">
        <f t="shared" si="151"/>
        <v>7.8222962037614224E-2</v>
      </c>
      <c r="AG245" s="2">
        <f t="shared" si="152"/>
        <v>12.783970000000011</v>
      </c>
      <c r="AH245" s="2">
        <v>49</v>
      </c>
      <c r="AI245">
        <f t="shared" si="153"/>
        <v>8.0590249566622205</v>
      </c>
    </row>
    <row r="246" spans="21:37" x14ac:dyDescent="0.35">
      <c r="W246" s="155">
        <v>0</v>
      </c>
      <c r="Y246">
        <v>390.43988000000002</v>
      </c>
      <c r="Z246">
        <v>395.98631</v>
      </c>
      <c r="AA246" s="2">
        <f t="shared" si="146"/>
        <v>5.5464299999999866</v>
      </c>
      <c r="AB246" s="2">
        <f t="shared" si="147"/>
        <v>4.7965300000000184</v>
      </c>
      <c r="AC246" s="2">
        <f t="shared" si="148"/>
        <v>0.53625171130894678</v>
      </c>
      <c r="AD246" s="2">
        <f t="shared" si="149"/>
        <v>0.46374828869105322</v>
      </c>
      <c r="AE246" s="2">
        <f t="shared" si="150"/>
        <v>0.18029615446332189</v>
      </c>
      <c r="AF246" s="2">
        <f t="shared" si="151"/>
        <v>9.6684121373378562E-2</v>
      </c>
      <c r="AG246" s="2">
        <f t="shared" si="152"/>
        <v>10.342960000000005</v>
      </c>
      <c r="AH246" s="2">
        <v>47</v>
      </c>
      <c r="AI246">
        <f t="shared" si="153"/>
        <v>8.4739192597761281</v>
      </c>
    </row>
    <row r="247" spans="21:37" x14ac:dyDescent="0.35">
      <c r="W247" s="155">
        <v>0</v>
      </c>
      <c r="Y247">
        <v>400.78284000000002</v>
      </c>
      <c r="Z247">
        <v>406.44752</v>
      </c>
      <c r="AA247" s="2">
        <f t="shared" si="146"/>
        <v>5.6646799999999757</v>
      </c>
      <c r="AB247" s="2">
        <f t="shared" si="147"/>
        <v>5.245679999999993</v>
      </c>
      <c r="AC247" s="2">
        <f t="shared" si="148"/>
        <v>0.51920193284181204</v>
      </c>
      <c r="AD247" s="2">
        <f t="shared" si="149"/>
        <v>0.48079806715818801</v>
      </c>
      <c r="AE247" s="2">
        <f t="shared" si="150"/>
        <v>0.17653247844538514</v>
      </c>
      <c r="AF247" s="2">
        <f t="shared" si="151"/>
        <v>9.1656004018199483E-2</v>
      </c>
      <c r="AG247" s="2">
        <f t="shared" si="152"/>
        <v>10.910359999999969</v>
      </c>
      <c r="AH247" s="2">
        <v>49</v>
      </c>
      <c r="AI247">
        <f t="shared" si="153"/>
        <v>8.6500914438238716</v>
      </c>
    </row>
    <row r="248" spans="21:37" x14ac:dyDescent="0.35">
      <c r="W248" s="155">
        <v>0</v>
      </c>
      <c r="Y248">
        <v>411.69319999999999</v>
      </c>
      <c r="Z248">
        <v>419.40523999999999</v>
      </c>
      <c r="AA248" s="2">
        <f t="shared" si="146"/>
        <v>7.7120400000000018</v>
      </c>
      <c r="AB248" s="2">
        <f t="shared" si="147"/>
        <v>4.8885000000000218</v>
      </c>
      <c r="AC248" s="2">
        <f t="shared" si="148"/>
        <v>0.61204043636225014</v>
      </c>
      <c r="AD248" s="2">
        <f t="shared" si="149"/>
        <v>0.38795956363774986</v>
      </c>
      <c r="AE248" s="2">
        <f t="shared" si="150"/>
        <v>0.12966737724389393</v>
      </c>
      <c r="AF248" s="2">
        <f t="shared" si="151"/>
        <v>7.9361678150301346E-2</v>
      </c>
      <c r="AG248" s="2">
        <f t="shared" si="152"/>
        <v>12.600540000000024</v>
      </c>
      <c r="AH248" s="2">
        <v>64</v>
      </c>
      <c r="AI248">
        <f t="shared" si="153"/>
        <v>8.2987121436092117</v>
      </c>
    </row>
    <row r="249" spans="21:37" x14ac:dyDescent="0.35">
      <c r="W249" s="155">
        <v>0</v>
      </c>
      <c r="Y249">
        <v>424.29374000000001</v>
      </c>
      <c r="Z249">
        <v>430.41426000000001</v>
      </c>
      <c r="AA249" s="2">
        <f t="shared" si="146"/>
        <v>6.1205199999999991</v>
      </c>
      <c r="AB249" s="2">
        <f t="shared" si="147"/>
        <v>6.7823999999999955</v>
      </c>
      <c r="AC249" s="2">
        <f t="shared" si="148"/>
        <v>0.47435154213154862</v>
      </c>
      <c r="AD249" s="2">
        <f t="shared" si="149"/>
        <v>0.52564845786845138</v>
      </c>
      <c r="AE249" s="2">
        <f t="shared" si="150"/>
        <v>0.16338481044094294</v>
      </c>
      <c r="AF249" s="2">
        <f t="shared" si="151"/>
        <v>7.7501836793532036E-2</v>
      </c>
      <c r="AG249" s="2">
        <f t="shared" si="152"/>
        <v>12.902919999999995</v>
      </c>
      <c r="AH249" s="2">
        <v>53</v>
      </c>
      <c r="AI249">
        <f t="shared" si="153"/>
        <v>8.6593949533699757</v>
      </c>
    </row>
    <row r="250" spans="21:37" x14ac:dyDescent="0.35">
      <c r="W250" s="155">
        <v>0</v>
      </c>
      <c r="Y250">
        <v>437.19666000000001</v>
      </c>
      <c r="Z250">
        <v>443.60359</v>
      </c>
      <c r="AA250" s="2">
        <f t="shared" si="146"/>
        <v>6.4069299999999885</v>
      </c>
      <c r="AB250" s="2">
        <f t="shared" si="147"/>
        <v>6.1785600000000045</v>
      </c>
      <c r="AC250" s="2">
        <f t="shared" si="148"/>
        <v>0.50907274965058902</v>
      </c>
      <c r="AD250" s="2">
        <f t="shared" si="149"/>
        <v>0.49092725034941093</v>
      </c>
      <c r="AE250" s="2">
        <f t="shared" si="150"/>
        <v>0.15608099354917282</v>
      </c>
      <c r="AF250" s="2">
        <f t="shared" si="151"/>
        <v>7.9456580554273265E-2</v>
      </c>
      <c r="AG250" s="2">
        <f t="shared" si="152"/>
        <v>12.585489999999993</v>
      </c>
      <c r="AH250" s="2">
        <v>51</v>
      </c>
      <c r="AI250">
        <f t="shared" si="153"/>
        <v>7.9601306710078141</v>
      </c>
    </row>
    <row r="251" spans="21:37" x14ac:dyDescent="0.35">
      <c r="W251" s="155">
        <v>0</v>
      </c>
      <c r="Y251">
        <v>449.78215</v>
      </c>
      <c r="Z251">
        <v>455.35885999999999</v>
      </c>
      <c r="AA251" s="2">
        <f t="shared" si="146"/>
        <v>5.5767099999999914</v>
      </c>
      <c r="AB251" s="2">
        <f t="shared" si="147"/>
        <v>5.9479800000000296</v>
      </c>
      <c r="AC251" s="2">
        <f t="shared" si="148"/>
        <v>0.48389240838582048</v>
      </c>
      <c r="AD251" s="2">
        <f t="shared" si="149"/>
        <v>0.51610759161417952</v>
      </c>
      <c r="AE251" s="2">
        <f t="shared" si="150"/>
        <v>0.17931719598114329</v>
      </c>
      <c r="AF251" s="2">
        <f t="shared" si="151"/>
        <v>8.6770229828307593E-2</v>
      </c>
      <c r="AG251" s="2">
        <f t="shared" si="152"/>
        <v>11.524690000000021</v>
      </c>
      <c r="AH251" s="2">
        <v>44</v>
      </c>
      <c r="AI251">
        <f t="shared" si="153"/>
        <v>7.8899566231703044</v>
      </c>
    </row>
    <row r="252" spans="21:37" x14ac:dyDescent="0.35">
      <c r="W252" s="155">
        <v>0</v>
      </c>
      <c r="Y252">
        <v>461.30684000000002</v>
      </c>
      <c r="Z252">
        <v>466.62139999999999</v>
      </c>
      <c r="AA252" s="2">
        <f t="shared" si="146"/>
        <v>5.3145599999999718</v>
      </c>
      <c r="AB252" s="2">
        <f t="shared" si="147"/>
        <v>4.8174599999999828</v>
      </c>
      <c r="AC252" s="2">
        <f t="shared" si="148"/>
        <v>0.52453113989115652</v>
      </c>
      <c r="AD252" s="2">
        <f t="shared" si="149"/>
        <v>0.47546886010884348</v>
      </c>
      <c r="AE252" s="2">
        <f t="shared" si="150"/>
        <v>0.18816233140655206</v>
      </c>
      <c r="AF252" s="2">
        <f t="shared" si="151"/>
        <v>9.8697002177256313E-2</v>
      </c>
      <c r="AG252" s="2">
        <f t="shared" si="152"/>
        <v>10.132019999999955</v>
      </c>
      <c r="AH252" s="2">
        <v>38</v>
      </c>
      <c r="AI252">
        <f t="shared" si="153"/>
        <v>7.1501685934489787</v>
      </c>
    </row>
    <row r="253" spans="21:37" x14ac:dyDescent="0.35">
      <c r="W253" s="155">
        <v>0</v>
      </c>
      <c r="Y253">
        <v>471.43885999999998</v>
      </c>
      <c r="Z253">
        <v>475.72987000000001</v>
      </c>
      <c r="AA253" s="2">
        <f t="shared" si="146"/>
        <v>4.2910100000000284</v>
      </c>
      <c r="AB253" s="2">
        <f t="shared" si="147"/>
        <v>6.9216799999999807</v>
      </c>
      <c r="AC253" s="2">
        <f t="shared" si="148"/>
        <v>0.38269228882632311</v>
      </c>
      <c r="AD253" s="2">
        <f t="shared" si="149"/>
        <v>0.61730771117367689</v>
      </c>
      <c r="AE253" s="2">
        <f t="shared" si="150"/>
        <v>0.23304536694158098</v>
      </c>
      <c r="AF253" s="2">
        <f t="shared" si="151"/>
        <v>8.9184664875243957E-2</v>
      </c>
      <c r="AG253" s="2">
        <f t="shared" si="152"/>
        <v>11.212690000000009</v>
      </c>
      <c r="AH253" s="2">
        <v>34</v>
      </c>
      <c r="AI253">
        <f t="shared" si="153"/>
        <v>7.9235424760137532</v>
      </c>
    </row>
    <row r="254" spans="21:37" x14ac:dyDescent="0.35">
      <c r="W254" s="155">
        <v>0</v>
      </c>
      <c r="Y254">
        <v>482.65154999999999</v>
      </c>
      <c r="Z254">
        <v>488.63625999999999</v>
      </c>
      <c r="AA254" s="2">
        <f t="shared" si="146"/>
        <v>5.9847100000000069</v>
      </c>
      <c r="AB254" s="2">
        <f t="shared" si="147"/>
        <v>6.592109999999991</v>
      </c>
      <c r="AC254" s="2">
        <f t="shared" si="148"/>
        <v>0.47585240148145619</v>
      </c>
      <c r="AD254" s="2">
        <f t="shared" si="149"/>
        <v>0.52414759851854376</v>
      </c>
      <c r="AE254" s="2">
        <f t="shared" si="150"/>
        <v>0.16709247398787891</v>
      </c>
      <c r="AF254" s="2">
        <f t="shared" si="151"/>
        <v>7.9511355016609941E-2</v>
      </c>
      <c r="AG254" s="2">
        <f t="shared" si="152"/>
        <v>12.576819999999998</v>
      </c>
      <c r="AH254" s="2">
        <v>47</v>
      </c>
      <c r="AI254">
        <f t="shared" si="153"/>
        <v>7.8533462774303091</v>
      </c>
    </row>
    <row r="255" spans="21:37" x14ac:dyDescent="0.35">
      <c r="W255" s="155">
        <v>0</v>
      </c>
      <c r="Y255">
        <v>495.22836999999998</v>
      </c>
      <c r="Z255">
        <v>500.97813000000002</v>
      </c>
      <c r="AA255" s="2">
        <f t="shared" si="146"/>
        <v>5.7497600000000375</v>
      </c>
      <c r="AB255" s="2">
        <f t="shared" si="147"/>
        <v>6.0621799999999553</v>
      </c>
      <c r="AC255" s="2">
        <f t="shared" si="148"/>
        <v>0.48677524606457884</v>
      </c>
      <c r="AD255" s="2">
        <f t="shared" si="149"/>
        <v>0.51322475393542122</v>
      </c>
      <c r="AE255" s="2">
        <f t="shared" si="150"/>
        <v>0.17392030276046191</v>
      </c>
      <c r="AF255" s="2">
        <f t="shared" si="151"/>
        <v>8.4660098171849898E-2</v>
      </c>
      <c r="AG255" s="2">
        <f t="shared" si="152"/>
        <v>11.811939999999993</v>
      </c>
      <c r="AH255" s="2">
        <v>47</v>
      </c>
      <c r="AI255">
        <f t="shared" si="153"/>
        <v>8.1742542297417096</v>
      </c>
    </row>
    <row r="256" spans="21:37" x14ac:dyDescent="0.35">
      <c r="W256" s="155">
        <v>0</v>
      </c>
      <c r="Y256">
        <v>507.04030999999998</v>
      </c>
      <c r="Z256">
        <v>513.07119</v>
      </c>
      <c r="AA256" s="2">
        <f t="shared" si="146"/>
        <v>6.0308800000000247</v>
      </c>
      <c r="AB256" s="2">
        <f t="shared" si="147"/>
        <v>7.1805500000000393</v>
      </c>
      <c r="AC256" s="2">
        <f t="shared" si="148"/>
        <v>0.45648957001626589</v>
      </c>
      <c r="AD256" s="2">
        <f t="shared" si="149"/>
        <v>0.54351042998373411</v>
      </c>
      <c r="AE256" s="2">
        <f t="shared" si="150"/>
        <v>0.16581328098055273</v>
      </c>
      <c r="AF256" s="2">
        <f t="shared" si="151"/>
        <v>7.5692033337798795E-2</v>
      </c>
      <c r="AG256" s="2">
        <f t="shared" si="152"/>
        <v>13.211430000000064</v>
      </c>
      <c r="AH256" s="2">
        <v>51</v>
      </c>
      <c r="AI256">
        <f t="shared" si="153"/>
        <v>8.4564773300081892</v>
      </c>
    </row>
    <row r="257" spans="23:35" x14ac:dyDescent="0.35">
      <c r="W257" s="155">
        <v>0</v>
      </c>
      <c r="Y257">
        <v>520.25174000000004</v>
      </c>
      <c r="Z257">
        <v>525.72415999999998</v>
      </c>
      <c r="AA257" s="2">
        <f t="shared" si="146"/>
        <v>5.4724199999999428</v>
      </c>
      <c r="AB257" s="2">
        <f t="shared" si="147"/>
        <v>6.1122699999999668</v>
      </c>
      <c r="AC257" s="2">
        <f t="shared" si="148"/>
        <v>0.47238381001131541</v>
      </c>
      <c r="AD257" s="2">
        <f t="shared" si="149"/>
        <v>0.52761618998868454</v>
      </c>
      <c r="AE257" s="2">
        <f t="shared" si="150"/>
        <v>0.18273451233640883</v>
      </c>
      <c r="AF257" s="2">
        <f t="shared" si="151"/>
        <v>8.6320825158032521E-2</v>
      </c>
      <c r="AG257" s="2">
        <f t="shared" si="152"/>
        <v>11.58468999999991</v>
      </c>
      <c r="AH257" s="2">
        <v>44</v>
      </c>
      <c r="AI257">
        <f t="shared" si="153"/>
        <v>8.0403185428019892</v>
      </c>
    </row>
    <row r="258" spans="23:35" x14ac:dyDescent="0.35">
      <c r="W258" s="155">
        <v>0</v>
      </c>
      <c r="Y258">
        <v>531.83642999999995</v>
      </c>
      <c r="Z258">
        <v>538.24080000000004</v>
      </c>
      <c r="AA258" s="2">
        <f t="shared" si="146"/>
        <v>6.4043700000000854</v>
      </c>
      <c r="AB258" s="2">
        <f t="shared" si="147"/>
        <v>4.9295099999999366</v>
      </c>
      <c r="AC258" s="2">
        <f t="shared" si="148"/>
        <v>0.56506421454965761</v>
      </c>
      <c r="AD258" s="2">
        <f t="shared" si="149"/>
        <v>0.43493578545034245</v>
      </c>
      <c r="AE258" s="2">
        <f t="shared" si="150"/>
        <v>0.15614338334605693</v>
      </c>
      <c r="AF258" s="2">
        <f t="shared" si="151"/>
        <v>8.8231038267565745E-2</v>
      </c>
      <c r="AG258" s="2">
        <f t="shared" si="152"/>
        <v>11.333880000000022</v>
      </c>
      <c r="AH258" s="2">
        <v>53</v>
      </c>
      <c r="AI258">
        <f t="shared" si="153"/>
        <v>8.2755993173410172</v>
      </c>
    </row>
    <row r="259" spans="23:35" x14ac:dyDescent="0.35">
      <c r="W259" s="155">
        <v>0</v>
      </c>
      <c r="Y259">
        <v>543.17030999999997</v>
      </c>
      <c r="Z259">
        <v>548.45704999999998</v>
      </c>
      <c r="AA259" s="2">
        <f t="shared" si="146"/>
        <v>5.2867400000000089</v>
      </c>
      <c r="AB259" s="2">
        <f t="shared" si="147"/>
        <v>6.3923700000000281</v>
      </c>
      <c r="AC259" s="2">
        <f t="shared" si="148"/>
        <v>0.45266634187022747</v>
      </c>
      <c r="AD259" s="2">
        <f t="shared" si="149"/>
        <v>0.54733365812977253</v>
      </c>
      <c r="AE259" s="2">
        <f t="shared" si="150"/>
        <v>0.18915248338295401</v>
      </c>
      <c r="AF259" s="2">
        <f t="shared" si="151"/>
        <v>8.5622962708630776E-2</v>
      </c>
      <c r="AG259" s="2">
        <f t="shared" si="152"/>
        <v>11.679110000000037</v>
      </c>
      <c r="AH259" s="2">
        <v>44</v>
      </c>
      <c r="AI259">
        <f t="shared" si="153"/>
        <v>8.3227092688499766</v>
      </c>
    </row>
    <row r="260" spans="23:35" x14ac:dyDescent="0.35">
      <c r="W260" s="155">
        <v>0</v>
      </c>
      <c r="Y260">
        <v>554.84942000000001</v>
      </c>
      <c r="Z260">
        <v>562.22401000000002</v>
      </c>
      <c r="AA260" s="2">
        <f t="shared" si="146"/>
        <v>7.374590000000012</v>
      </c>
      <c r="AB260" s="2">
        <f t="shared" si="147"/>
        <v>6.9203599999999597</v>
      </c>
      <c r="AC260" s="2">
        <f t="shared" si="148"/>
        <v>0.51588777855116852</v>
      </c>
      <c r="AD260" s="2">
        <f t="shared" si="149"/>
        <v>0.48411222144883148</v>
      </c>
      <c r="AE260" s="2">
        <f t="shared" si="150"/>
        <v>0.13560075882184613</v>
      </c>
      <c r="AF260" s="2">
        <f t="shared" si="151"/>
        <v>6.9954774238454975E-2</v>
      </c>
      <c r="AG260" s="2">
        <f t="shared" si="152"/>
        <v>14.294949999999972</v>
      </c>
      <c r="AH260" s="2">
        <v>58</v>
      </c>
      <c r="AI260">
        <f t="shared" si="153"/>
        <v>7.8648440116670768</v>
      </c>
    </row>
    <row r="261" spans="23:35" x14ac:dyDescent="0.35">
      <c r="W261" s="155">
        <v>0</v>
      </c>
      <c r="Y261">
        <v>569.14436999999998</v>
      </c>
      <c r="Z261">
        <v>576.00710000000004</v>
      </c>
      <c r="AA261" s="2">
        <f t="shared" si="146"/>
        <v>6.862730000000056</v>
      </c>
      <c r="AB261" s="2">
        <f t="shared" si="147"/>
        <v>6.3216299999999137</v>
      </c>
      <c r="AC261" s="2">
        <f t="shared" si="148"/>
        <v>0.52052052583516162</v>
      </c>
      <c r="AD261" s="2">
        <f t="shared" si="149"/>
        <v>0.47947947416483838</v>
      </c>
      <c r="AE261" s="2">
        <f t="shared" si="150"/>
        <v>0.14571460628641836</v>
      </c>
      <c r="AF261" s="2">
        <f t="shared" si="151"/>
        <v>7.5847443486070032E-2</v>
      </c>
      <c r="AG261" s="2">
        <f t="shared" si="152"/>
        <v>13.18435999999997</v>
      </c>
      <c r="AH261" s="2">
        <v>56</v>
      </c>
      <c r="AI261">
        <f t="shared" si="153"/>
        <v>8.1600179520394285</v>
      </c>
    </row>
    <row r="262" spans="23:35" x14ac:dyDescent="0.35">
      <c r="W262" s="155">
        <v>0</v>
      </c>
      <c r="Y262">
        <v>582.32872999999995</v>
      </c>
      <c r="Z262">
        <v>589.30223000000001</v>
      </c>
      <c r="AA262" s="2">
        <f t="shared" si="146"/>
        <v>6.9735000000000582</v>
      </c>
      <c r="AB262" s="2">
        <f t="shared" si="147"/>
        <v>5.9680299999999988</v>
      </c>
      <c r="AC262" s="2">
        <f t="shared" si="148"/>
        <v>0.53884664332579124</v>
      </c>
      <c r="AD262" s="2">
        <f t="shared" si="149"/>
        <v>0.46115335667420876</v>
      </c>
      <c r="AE262" s="2">
        <f t="shared" si="150"/>
        <v>0.14340001434000024</v>
      </c>
      <c r="AF262" s="2">
        <f t="shared" si="151"/>
        <v>7.7270616379979465E-2</v>
      </c>
      <c r="AG262" s="2">
        <f t="shared" si="152"/>
        <v>12.941530000000057</v>
      </c>
      <c r="AH262" s="2">
        <v>58</v>
      </c>
      <c r="AI262">
        <f t="shared" si="153"/>
        <v>8.3172008317200135</v>
      </c>
    </row>
    <row r="263" spans="23:35" x14ac:dyDescent="0.35">
      <c r="W263" s="155">
        <v>0</v>
      </c>
      <c r="Y263">
        <v>595.27026000000001</v>
      </c>
      <c r="Z263">
        <v>599.98659999999995</v>
      </c>
      <c r="AA263" s="2">
        <f t="shared" si="146"/>
        <v>4.7163399999999456</v>
      </c>
      <c r="AB263" s="2">
        <f t="shared" si="147"/>
        <v>5.2327400000000353</v>
      </c>
      <c r="AC263" s="2">
        <f t="shared" si="148"/>
        <v>0.4740478516606515</v>
      </c>
      <c r="AD263" s="2">
        <f t="shared" si="149"/>
        <v>0.52595214833934845</v>
      </c>
      <c r="AE263" s="2">
        <f t="shared" si="150"/>
        <v>0.21202881895707509</v>
      </c>
      <c r="AF263" s="2">
        <f t="shared" si="151"/>
        <v>0.10051180611674666</v>
      </c>
      <c r="AG263" s="2">
        <f t="shared" si="152"/>
        <v>9.9490799999999808</v>
      </c>
      <c r="AH263" s="2">
        <v>42</v>
      </c>
      <c r="AI263">
        <f t="shared" si="153"/>
        <v>8.9052103961971536</v>
      </c>
    </row>
    <row r="264" spans="23:35" x14ac:dyDescent="0.35">
      <c r="W264" s="155">
        <v>0</v>
      </c>
      <c r="Y264">
        <v>605.21933999999999</v>
      </c>
      <c r="Z264">
        <v>610.92204000000004</v>
      </c>
      <c r="AA264" s="2">
        <f t="shared" si="146"/>
        <v>5.7027000000000498</v>
      </c>
      <c r="AB264" s="2">
        <f t="shared" si="147"/>
        <v>5.3826399999999239</v>
      </c>
      <c r="AC264" s="2">
        <f t="shared" si="148"/>
        <v>0.51443618328351348</v>
      </c>
      <c r="AD264" s="2">
        <f t="shared" si="149"/>
        <v>0.48556381671648652</v>
      </c>
      <c r="AE264" s="2">
        <f t="shared" si="150"/>
        <v>0.17535553334385312</v>
      </c>
      <c r="AF264" s="2">
        <f t="shared" si="151"/>
        <v>9.0209231291056693E-2</v>
      </c>
      <c r="AG264" s="2">
        <f t="shared" si="152"/>
        <v>11.085339999999974</v>
      </c>
      <c r="AH264" s="2">
        <v>49</v>
      </c>
      <c r="AI264">
        <f t="shared" si="153"/>
        <v>8.5924211338488039</v>
      </c>
    </row>
    <row r="265" spans="23:35" x14ac:dyDescent="0.35">
      <c r="W265" s="155">
        <v>0</v>
      </c>
      <c r="Y265">
        <v>616.30467999999996</v>
      </c>
      <c r="Z265">
        <v>622.90382999999997</v>
      </c>
      <c r="AA265" s="2">
        <f t="shared" si="146"/>
        <v>6.5991500000000087</v>
      </c>
      <c r="AB265" s="2">
        <f t="shared" si="147"/>
        <v>4.8654300000000603</v>
      </c>
      <c r="AC265" s="2">
        <f t="shared" si="148"/>
        <v>0.57561201544234231</v>
      </c>
      <c r="AD265" s="2">
        <f t="shared" si="149"/>
        <v>0.42438798455765769</v>
      </c>
      <c r="AE265" s="2">
        <f t="shared" si="150"/>
        <v>0.15153466734352131</v>
      </c>
      <c r="AF265" s="2">
        <f t="shared" si="151"/>
        <v>8.7225175278989195E-2</v>
      </c>
      <c r="AG265" s="2">
        <f t="shared" si="152"/>
        <v>11.464580000000069</v>
      </c>
      <c r="AH265" s="2">
        <v>55</v>
      </c>
      <c r="AI265">
        <f t="shared" si="153"/>
        <v>8.3344067038936718</v>
      </c>
    </row>
    <row r="266" spans="23:35" x14ac:dyDescent="0.35">
      <c r="W266" s="155">
        <v>0</v>
      </c>
      <c r="Y266">
        <v>627.76926000000003</v>
      </c>
      <c r="Z266">
        <v>633.46262000000002</v>
      </c>
      <c r="AA266" s="2">
        <f t="shared" si="146"/>
        <v>5.6933599999999842</v>
      </c>
      <c r="AB266" s="2">
        <f t="shared" si="147"/>
        <v>5.6416699999999764</v>
      </c>
      <c r="AC266" s="2">
        <f t="shared" si="148"/>
        <v>0.50228009983211375</v>
      </c>
      <c r="AD266" s="2">
        <f t="shared" si="149"/>
        <v>0.49771990016788625</v>
      </c>
      <c r="AE266" s="2">
        <f t="shared" si="150"/>
        <v>0.17564320541824208</v>
      </c>
      <c r="AF266" s="2">
        <f t="shared" si="151"/>
        <v>8.8222086752307097E-2</v>
      </c>
      <c r="AG266" s="2">
        <f t="shared" si="152"/>
        <v>11.335029999999961</v>
      </c>
      <c r="AH266" s="2">
        <v>47</v>
      </c>
      <c r="AI266">
        <f t="shared" si="153"/>
        <v>8.2552306546573782</v>
      </c>
    </row>
    <row r="267" spans="23:35" x14ac:dyDescent="0.35">
      <c r="W267" s="155">
        <v>0</v>
      </c>
      <c r="Y267">
        <v>639.10428999999999</v>
      </c>
      <c r="Z267">
        <v>646.32879000000003</v>
      </c>
      <c r="AA267" s="2">
        <f t="shared" si="146"/>
        <v>7.2245000000000346</v>
      </c>
      <c r="AB267" s="2">
        <f t="shared" si="147"/>
        <v>6.0444899999999961</v>
      </c>
      <c r="AC267" s="2">
        <f t="shared" si="148"/>
        <v>0.54446495174086484</v>
      </c>
      <c r="AD267" s="2">
        <f t="shared" si="149"/>
        <v>0.45553504825913516</v>
      </c>
      <c r="AE267" s="2">
        <f t="shared" si="150"/>
        <v>0.13841788359055923</v>
      </c>
      <c r="AF267" s="2">
        <f t="shared" si="151"/>
        <v>7.5363686309206479E-2</v>
      </c>
      <c r="AG267" s="2">
        <f t="shared" si="152"/>
        <v>13.268990000000031</v>
      </c>
      <c r="AH267" s="2">
        <v>59</v>
      </c>
      <c r="AI267">
        <f t="shared" si="153"/>
        <v>8.1666551318429956</v>
      </c>
    </row>
    <row r="268" spans="23:35" x14ac:dyDescent="0.35">
      <c r="W268" s="155">
        <v>0</v>
      </c>
      <c r="Y268">
        <v>652.37328000000002</v>
      </c>
      <c r="Z268">
        <v>658.59704999999997</v>
      </c>
      <c r="AA268" s="2">
        <f t="shared" si="146"/>
        <v>6.223769999999945</v>
      </c>
      <c r="AB268" s="2">
        <f t="shared" si="147"/>
        <v>7.502619999999979</v>
      </c>
      <c r="AC268" s="2">
        <f t="shared" si="148"/>
        <v>0.45341637531790802</v>
      </c>
      <c r="AD268" s="2">
        <f t="shared" si="149"/>
        <v>0.54658362468209198</v>
      </c>
      <c r="AE268" s="2">
        <f t="shared" si="150"/>
        <v>0.16067431797769019</v>
      </c>
      <c r="AF268" s="2">
        <f t="shared" si="151"/>
        <v>7.2852366864121262E-2</v>
      </c>
      <c r="AG268" s="2">
        <f t="shared" si="152"/>
        <v>13.726389999999924</v>
      </c>
      <c r="AH268" s="2">
        <v>49</v>
      </c>
      <c r="AI268">
        <f t="shared" si="153"/>
        <v>7.8730415809068193</v>
      </c>
    </row>
    <row r="269" spans="23:35" x14ac:dyDescent="0.35">
      <c r="W269" s="155">
        <v>0</v>
      </c>
      <c r="Y269">
        <v>666.09966999999995</v>
      </c>
      <c r="Z269">
        <v>672.23951999999997</v>
      </c>
      <c r="AA269" s="2">
        <f t="shared" si="146"/>
        <v>6.139850000000024</v>
      </c>
      <c r="AB269" s="2">
        <f t="shared" si="147"/>
        <v>8.4115699999999833</v>
      </c>
      <c r="AC269" s="2">
        <f t="shared" si="148"/>
        <v>0.42194163868543555</v>
      </c>
      <c r="AD269" s="2">
        <f t="shared" si="149"/>
        <v>0.57805836131456445</v>
      </c>
      <c r="AE269" s="2">
        <f t="shared" si="150"/>
        <v>0.16287042843066135</v>
      </c>
      <c r="AF269" s="2">
        <f t="shared" si="151"/>
        <v>6.8721815465432198E-2</v>
      </c>
      <c r="AG269" s="2">
        <f t="shared" si="152"/>
        <v>14.551420000000007</v>
      </c>
      <c r="AH269" s="2">
        <v>49</v>
      </c>
      <c r="AI269">
        <f t="shared" si="153"/>
        <v>7.9806509931024063</v>
      </c>
    </row>
    <row r="270" spans="23:35" x14ac:dyDescent="0.35">
      <c r="W270" s="155">
        <v>0</v>
      </c>
      <c r="Y270">
        <v>680.65108999999995</v>
      </c>
      <c r="Z270">
        <v>685.91481999999996</v>
      </c>
      <c r="AA270" s="2">
        <f t="shared" si="146"/>
        <v>5.2637300000000096</v>
      </c>
      <c r="AB270" s="2">
        <f t="shared" si="147"/>
        <v>7.093970000000013</v>
      </c>
      <c r="AC270" s="2">
        <f t="shared" si="148"/>
        <v>0.42594738503119511</v>
      </c>
      <c r="AD270" s="2">
        <f t="shared" si="149"/>
        <v>0.57405261496880489</v>
      </c>
      <c r="AE270" s="2">
        <f t="shared" si="150"/>
        <v>0.18997934924473675</v>
      </c>
      <c r="AF270" s="2">
        <f t="shared" si="151"/>
        <v>8.0921207020723779E-2</v>
      </c>
      <c r="AG270" s="2">
        <f t="shared" si="152"/>
        <v>12.357700000000023</v>
      </c>
      <c r="AH270" s="2">
        <v>42</v>
      </c>
      <c r="AI270">
        <f t="shared" si="153"/>
        <v>7.9791326682789432</v>
      </c>
    </row>
    <row r="271" spans="23:35" x14ac:dyDescent="0.35">
      <c r="W271" s="155">
        <v>0</v>
      </c>
      <c r="Y271">
        <v>693.00878999999998</v>
      </c>
      <c r="Z271">
        <v>698.89431000000002</v>
      </c>
      <c r="AA271" s="2">
        <f t="shared" si="146"/>
        <v>5.8855200000000423</v>
      </c>
      <c r="AB271" s="2">
        <f t="shared" si="147"/>
        <v>6.2873499999999467</v>
      </c>
      <c r="AC271" s="2">
        <f t="shared" si="148"/>
        <v>0.48349485371979228</v>
      </c>
      <c r="AD271" s="2">
        <f t="shared" si="149"/>
        <v>0.51650514628020772</v>
      </c>
      <c r="AE271" s="2">
        <f t="shared" si="150"/>
        <v>0.16990852125215661</v>
      </c>
      <c r="AF271" s="2">
        <f t="shared" si="151"/>
        <v>8.2149895628557679E-2</v>
      </c>
      <c r="AG271" s="2">
        <f t="shared" si="152"/>
        <v>12.172869999999989</v>
      </c>
      <c r="AH271" s="2">
        <v>48</v>
      </c>
      <c r="AI271">
        <f t="shared" si="153"/>
        <v>8.1556090201035172</v>
      </c>
    </row>
    <row r="272" spans="23:35" x14ac:dyDescent="0.35">
      <c r="W272" s="155">
        <v>0</v>
      </c>
      <c r="Y272">
        <v>705.18165999999997</v>
      </c>
      <c r="Z272">
        <v>712.15419999999995</v>
      </c>
      <c r="AA272" s="2">
        <f t="shared" si="146"/>
        <v>6.9725399999999809</v>
      </c>
      <c r="AB272" s="2">
        <f t="shared" si="147"/>
        <v>4.7989500000001044</v>
      </c>
      <c r="AC272" s="2">
        <f t="shared" si="148"/>
        <v>0.59232433617154079</v>
      </c>
      <c r="AD272" s="2">
        <f t="shared" si="149"/>
        <v>0.40767566382845921</v>
      </c>
      <c r="AE272" s="2">
        <f t="shared" si="150"/>
        <v>0.14341975807955246</v>
      </c>
      <c r="AF272" s="2">
        <f t="shared" si="151"/>
        <v>8.4951012998353878E-2</v>
      </c>
      <c r="AG272" s="2">
        <f t="shared" si="152"/>
        <v>11.771490000000085</v>
      </c>
      <c r="AH272" s="2">
        <v>57</v>
      </c>
      <c r="AI272">
        <f t="shared" si="153"/>
        <v>8.1749262105344904</v>
      </c>
    </row>
    <row r="273" spans="23:35" x14ac:dyDescent="0.35">
      <c r="W273" s="155">
        <v>0</v>
      </c>
      <c r="Y273">
        <v>716.95315000000005</v>
      </c>
      <c r="Z273">
        <v>719.88891000000001</v>
      </c>
      <c r="AA273" s="2">
        <f t="shared" si="146"/>
        <v>2.9357599999999593</v>
      </c>
      <c r="AB273" s="2">
        <f t="shared" si="147"/>
        <v>0.11675000000002456</v>
      </c>
      <c r="AC273" s="2">
        <f t="shared" si="148"/>
        <v>0.96175278705064837</v>
      </c>
      <c r="AD273" s="2">
        <f t="shared" si="149"/>
        <v>3.8247212949351572E-2</v>
      </c>
      <c r="AE273" s="2">
        <f t="shared" si="150"/>
        <v>0.34062729923427454</v>
      </c>
      <c r="AF273" s="2">
        <f t="shared" si="151"/>
        <v>0.32759925438409876</v>
      </c>
      <c r="AG273" s="2">
        <f t="shared" si="152"/>
        <v>3.0525099999999838</v>
      </c>
      <c r="AH273" s="2">
        <v>28</v>
      </c>
      <c r="AI273">
        <f t="shared" si="153"/>
        <v>9.5375643785596882</v>
      </c>
    </row>
    <row r="274" spans="23:35" x14ac:dyDescent="0.35">
      <c r="W274" s="155">
        <v>0</v>
      </c>
      <c r="Y274">
        <v>720.00566000000003</v>
      </c>
      <c r="Z274">
        <v>722.87956999999994</v>
      </c>
      <c r="AA274" s="2">
        <f t="shared" si="146"/>
        <v>2.8739099999999098</v>
      </c>
      <c r="AB274" s="2">
        <f t="shared" si="147"/>
        <v>5.2980400000000145</v>
      </c>
      <c r="AC274" s="2">
        <f t="shared" si="148"/>
        <v>0.35167983161912841</v>
      </c>
      <c r="AD274" s="2">
        <f t="shared" si="149"/>
        <v>0.64832016838087159</v>
      </c>
      <c r="AE274" s="2">
        <f t="shared" si="150"/>
        <v>0.34795800842755387</v>
      </c>
      <c r="AF274" s="2">
        <f t="shared" si="151"/>
        <v>0.12236981381432942</v>
      </c>
      <c r="AG274" s="2">
        <f t="shared" si="152"/>
        <v>8.1719499999999243</v>
      </c>
      <c r="AH274" s="2">
        <v>24</v>
      </c>
      <c r="AI274">
        <f t="shared" si="153"/>
        <v>8.3509922022612937</v>
      </c>
    </row>
    <row r="275" spans="23:35" x14ac:dyDescent="0.35">
      <c r="W275" s="155">
        <v>0</v>
      </c>
      <c r="Y275">
        <v>728.17760999999996</v>
      </c>
      <c r="Z275">
        <v>735.58219999999994</v>
      </c>
      <c r="AA275" s="2">
        <f t="shared" si="146"/>
        <v>7.4045899999999847</v>
      </c>
      <c r="AB275" s="2">
        <f t="shared" si="147"/>
        <v>6.7356400000001031</v>
      </c>
      <c r="AC275" s="2">
        <f t="shared" si="148"/>
        <v>0.52365414141070821</v>
      </c>
      <c r="AD275" s="2">
        <f t="shared" si="149"/>
        <v>0.47634585858929179</v>
      </c>
      <c r="AE275" s="2">
        <f t="shared" si="150"/>
        <v>0.13505136678735785</v>
      </c>
      <c r="AF275" s="2">
        <f t="shared" si="151"/>
        <v>7.0720207521376519E-2</v>
      </c>
      <c r="AG275" s="2">
        <f t="shared" si="152"/>
        <v>14.140230000000088</v>
      </c>
      <c r="AH275" s="2">
        <v>59</v>
      </c>
      <c r="AI275">
        <f t="shared" si="153"/>
        <v>7.9680306404541135</v>
      </c>
    </row>
    <row r="276" spans="23:35" x14ac:dyDescent="0.35">
      <c r="W276" s="155">
        <v>0</v>
      </c>
      <c r="Y276">
        <v>742.31784000000005</v>
      </c>
      <c r="Z276">
        <v>747.43236000000002</v>
      </c>
      <c r="AA276" s="2">
        <f t="shared" si="146"/>
        <v>5.1145199999999704</v>
      </c>
      <c r="AB276" s="2">
        <f t="shared" si="147"/>
        <v>5.3165299999999434</v>
      </c>
      <c r="AC276" s="2">
        <f t="shared" si="148"/>
        <v>0.49031689043768484</v>
      </c>
      <c r="AD276" s="2">
        <f t="shared" si="149"/>
        <v>0.50968310956231511</v>
      </c>
      <c r="AE276" s="2">
        <f t="shared" si="150"/>
        <v>0.19552176939380544</v>
      </c>
      <c r="AF276" s="2">
        <f t="shared" si="151"/>
        <v>9.5867625982044791E-2</v>
      </c>
      <c r="AG276" s="2">
        <f t="shared" si="152"/>
        <v>10.431049999999914</v>
      </c>
      <c r="AH276" s="2">
        <v>41</v>
      </c>
      <c r="AI276">
        <f t="shared" si="153"/>
        <v>8.0163925451460223</v>
      </c>
    </row>
    <row r="277" spans="23:35" x14ac:dyDescent="0.35">
      <c r="W277" s="155">
        <v>0</v>
      </c>
      <c r="Y277">
        <v>752.74888999999996</v>
      </c>
      <c r="Z277">
        <v>756.58273999999994</v>
      </c>
      <c r="AA277" s="2">
        <f t="shared" si="146"/>
        <v>3.833849999999984</v>
      </c>
      <c r="AB277" s="2">
        <f t="shared" si="147"/>
        <v>7.1728700000001027</v>
      </c>
      <c r="AC277" s="2">
        <f t="shared" si="148"/>
        <v>0.34831902692173089</v>
      </c>
      <c r="AD277" s="2">
        <f t="shared" si="149"/>
        <v>0.65168097307826911</v>
      </c>
      <c r="AE277" s="2">
        <f t="shared" si="150"/>
        <v>0.26083440927527268</v>
      </c>
      <c r="AF277" s="2">
        <f t="shared" si="151"/>
        <v>9.0853587626467475E-2</v>
      </c>
      <c r="AG277" s="2">
        <f t="shared" si="152"/>
        <v>11.006720000000087</v>
      </c>
      <c r="AH277" s="2">
        <v>30</v>
      </c>
      <c r="AI277">
        <f t="shared" si="153"/>
        <v>7.8250322782581803</v>
      </c>
    </row>
    <row r="278" spans="23:35" x14ac:dyDescent="0.35">
      <c r="W278" s="155">
        <v>0</v>
      </c>
      <c r="Y278">
        <v>763.75561000000005</v>
      </c>
      <c r="Z278">
        <v>768.37266</v>
      </c>
      <c r="AA278" s="2">
        <f t="shared" ref="AA278:AA294" si="156">Z278-Y278</f>
        <v>4.6170499999999493</v>
      </c>
      <c r="AB278" s="2">
        <f t="shared" ref="AB278:AB293" si="157">Y279-Z278</f>
        <v>8.542630000000031</v>
      </c>
      <c r="AC278" s="2">
        <f t="shared" ref="AC278:AC293" si="158">AA278/AG278</f>
        <v>0.35084819691663904</v>
      </c>
      <c r="AD278" s="2">
        <f t="shared" ref="AD278:AD293" si="159">AB278/AG278</f>
        <v>0.64915180308336096</v>
      </c>
      <c r="AE278" s="2">
        <f t="shared" ref="AE278:AE293" si="160">1/AA278</f>
        <v>0.21658851431108847</v>
      </c>
      <c r="AF278" s="2">
        <f t="shared" ref="AF278:AF293" si="161">1/AG278</f>
        <v>7.5989689718899051E-2</v>
      </c>
      <c r="AG278" s="2">
        <f t="shared" ref="AG278:AG293" si="162">AA278+AB278</f>
        <v>13.15967999999998</v>
      </c>
      <c r="AH278" s="2">
        <v>36</v>
      </c>
      <c r="AI278">
        <f t="shared" ref="AI278:AI293" si="163">AH278/AA278</f>
        <v>7.7971865151991846</v>
      </c>
    </row>
    <row r="279" spans="23:35" x14ac:dyDescent="0.35">
      <c r="W279" s="155">
        <v>0</v>
      </c>
      <c r="Y279">
        <v>776.91529000000003</v>
      </c>
      <c r="Z279">
        <v>783.31668999999999</v>
      </c>
      <c r="AA279" s="2">
        <f t="shared" si="156"/>
        <v>6.4013999999999669</v>
      </c>
      <c r="AB279" s="2">
        <f t="shared" si="157"/>
        <v>9.0525000000000091</v>
      </c>
      <c r="AC279" s="2">
        <f t="shared" si="158"/>
        <v>0.41422553530176698</v>
      </c>
      <c r="AD279" s="2">
        <f t="shared" si="159"/>
        <v>0.58577446469823302</v>
      </c>
      <c r="AE279" s="2">
        <f t="shared" si="160"/>
        <v>0.15621582778767226</v>
      </c>
      <c r="AF279" s="2">
        <f t="shared" si="161"/>
        <v>6.470858488795718E-2</v>
      </c>
      <c r="AG279" s="2">
        <f t="shared" si="162"/>
        <v>15.453899999999976</v>
      </c>
      <c r="AH279" s="2">
        <v>48</v>
      </c>
      <c r="AI279">
        <f t="shared" si="163"/>
        <v>7.4983597338082681</v>
      </c>
    </row>
    <row r="280" spans="23:35" x14ac:dyDescent="0.35">
      <c r="W280" s="155">
        <v>0</v>
      </c>
      <c r="Y280">
        <v>792.36919</v>
      </c>
      <c r="Z280">
        <v>798.77626999999995</v>
      </c>
      <c r="AA280" s="2">
        <f t="shared" si="156"/>
        <v>6.4070799999999508</v>
      </c>
      <c r="AB280" s="2">
        <f t="shared" si="157"/>
        <v>8.6400500000000875</v>
      </c>
      <c r="AC280" s="2">
        <f t="shared" si="158"/>
        <v>0.42580080055133002</v>
      </c>
      <c r="AD280" s="2">
        <f t="shared" si="159"/>
        <v>0.57419919944866993</v>
      </c>
      <c r="AE280" s="2">
        <f t="shared" si="160"/>
        <v>0.15607733944324212</v>
      </c>
      <c r="AF280" s="2">
        <f t="shared" si="161"/>
        <v>6.6457856082854164E-2</v>
      </c>
      <c r="AG280" s="2">
        <f t="shared" si="162"/>
        <v>15.047130000000038</v>
      </c>
      <c r="AH280" s="2">
        <v>48</v>
      </c>
      <c r="AI280">
        <f t="shared" si="163"/>
        <v>7.4917122932756213</v>
      </c>
    </row>
    <row r="281" spans="23:35" x14ac:dyDescent="0.35">
      <c r="W281" s="155">
        <v>0</v>
      </c>
      <c r="Y281">
        <v>807.41632000000004</v>
      </c>
      <c r="Z281">
        <v>812.87088000000006</v>
      </c>
      <c r="AA281" s="2">
        <f t="shared" si="156"/>
        <v>5.454560000000015</v>
      </c>
      <c r="AB281" s="2">
        <f t="shared" si="157"/>
        <v>5.0893999999999551</v>
      </c>
      <c r="AC281" s="2">
        <f t="shared" si="158"/>
        <v>0.51731607479543085</v>
      </c>
      <c r="AD281" s="2">
        <f t="shared" si="159"/>
        <v>0.48268392520456921</v>
      </c>
      <c r="AE281" s="2">
        <f t="shared" si="160"/>
        <v>0.18333284444574766</v>
      </c>
      <c r="AF281" s="2">
        <f t="shared" si="161"/>
        <v>9.4841027469755465E-2</v>
      </c>
      <c r="AG281" s="2">
        <f t="shared" si="162"/>
        <v>10.54395999999997</v>
      </c>
      <c r="AH281" s="2">
        <v>44</v>
      </c>
      <c r="AI281">
        <f t="shared" si="163"/>
        <v>8.0666451556128962</v>
      </c>
    </row>
    <row r="282" spans="23:35" x14ac:dyDescent="0.35">
      <c r="W282" s="155">
        <v>0</v>
      </c>
      <c r="Y282">
        <v>817.96028000000001</v>
      </c>
      <c r="Z282">
        <v>823.01494000000002</v>
      </c>
      <c r="AA282" s="2">
        <f t="shared" si="156"/>
        <v>5.0546600000000126</v>
      </c>
      <c r="AB282" s="2">
        <f t="shared" si="157"/>
        <v>5.3078199999999924</v>
      </c>
      <c r="AC282" s="2">
        <f t="shared" si="158"/>
        <v>0.4877847773891974</v>
      </c>
      <c r="AD282" s="2">
        <f t="shared" si="159"/>
        <v>0.51221522261080266</v>
      </c>
      <c r="AE282" s="2">
        <f t="shared" si="160"/>
        <v>0.19783724325671706</v>
      </c>
      <c r="AF282" s="2">
        <f t="shared" si="161"/>
        <v>9.6501995661270226E-2</v>
      </c>
      <c r="AG282" s="2">
        <f t="shared" si="162"/>
        <v>10.362480000000005</v>
      </c>
      <c r="AH282" s="2">
        <v>41</v>
      </c>
      <c r="AI282">
        <f t="shared" si="163"/>
        <v>8.1113269735254008</v>
      </c>
    </row>
    <row r="283" spans="23:35" x14ac:dyDescent="0.35">
      <c r="W283" s="155">
        <v>0</v>
      </c>
      <c r="Y283">
        <v>828.32276000000002</v>
      </c>
      <c r="Z283">
        <v>834.30740000000003</v>
      </c>
      <c r="AA283" s="2">
        <f t="shared" si="156"/>
        <v>5.9846400000000131</v>
      </c>
      <c r="AB283" s="2">
        <f t="shared" si="157"/>
        <v>5.7093800000000101</v>
      </c>
      <c r="AC283" s="2">
        <f t="shared" si="158"/>
        <v>0.51176926326447203</v>
      </c>
      <c r="AD283" s="2">
        <f t="shared" si="159"/>
        <v>0.48823073673552797</v>
      </c>
      <c r="AE283" s="2">
        <f t="shared" si="160"/>
        <v>0.16709442840337896</v>
      </c>
      <c r="AF283" s="2">
        <f t="shared" si="161"/>
        <v>8.5513792519595316E-2</v>
      </c>
      <c r="AG283" s="2">
        <f t="shared" si="162"/>
        <v>11.694020000000023</v>
      </c>
      <c r="AH283" s="2">
        <v>53</v>
      </c>
      <c r="AI283">
        <f t="shared" si="163"/>
        <v>8.8560047053790854</v>
      </c>
    </row>
    <row r="284" spans="23:35" x14ac:dyDescent="0.35">
      <c r="W284" s="155">
        <v>0</v>
      </c>
      <c r="Y284">
        <v>840.01678000000004</v>
      </c>
      <c r="Z284">
        <v>846.12184999999999</v>
      </c>
      <c r="AA284" s="2">
        <f t="shared" si="156"/>
        <v>6.1050699999999551</v>
      </c>
      <c r="AB284" s="2">
        <f t="shared" si="157"/>
        <v>5.8097800000000461</v>
      </c>
      <c r="AC284" s="2">
        <f t="shared" si="158"/>
        <v>0.51239167929096496</v>
      </c>
      <c r="AD284" s="2">
        <f t="shared" si="159"/>
        <v>0.48760832070903498</v>
      </c>
      <c r="AE284" s="2">
        <f t="shared" si="160"/>
        <v>0.16379828568714319</v>
      </c>
      <c r="AF284" s="2">
        <f t="shared" si="161"/>
        <v>8.392887866821655E-2</v>
      </c>
      <c r="AG284" s="2">
        <f t="shared" si="162"/>
        <v>11.914850000000001</v>
      </c>
      <c r="AH284" s="2">
        <v>49</v>
      </c>
      <c r="AI284">
        <f t="shared" si="163"/>
        <v>8.0261159986700168</v>
      </c>
    </row>
    <row r="285" spans="23:35" x14ac:dyDescent="0.35">
      <c r="W285" s="155">
        <v>0</v>
      </c>
      <c r="Y285">
        <v>851.93163000000004</v>
      </c>
      <c r="Z285">
        <v>858.57086000000004</v>
      </c>
      <c r="AA285" s="2">
        <f t="shared" si="156"/>
        <v>6.6392299999999977</v>
      </c>
      <c r="AB285" s="2">
        <f t="shared" si="157"/>
        <v>5.8840900000000147</v>
      </c>
      <c r="AC285" s="2">
        <f t="shared" si="158"/>
        <v>0.53014935336635904</v>
      </c>
      <c r="AD285" s="2">
        <f t="shared" si="159"/>
        <v>0.46985064663364101</v>
      </c>
      <c r="AE285" s="2">
        <f t="shared" si="160"/>
        <v>0.15061987610008998</v>
      </c>
      <c r="AF285" s="2">
        <f t="shared" si="161"/>
        <v>7.985102991858381E-2</v>
      </c>
      <c r="AG285" s="2">
        <f t="shared" si="162"/>
        <v>12.523320000000012</v>
      </c>
      <c r="AH285" s="2">
        <v>57</v>
      </c>
      <c r="AI285">
        <f t="shared" si="163"/>
        <v>8.5853329377051288</v>
      </c>
    </row>
    <row r="286" spans="23:35" x14ac:dyDescent="0.35">
      <c r="W286" s="155">
        <v>0</v>
      </c>
      <c r="Y286">
        <v>864.45495000000005</v>
      </c>
      <c r="Z286">
        <v>870.32870000000003</v>
      </c>
      <c r="AA286" s="2">
        <f t="shared" si="156"/>
        <v>5.8737499999999727</v>
      </c>
      <c r="AB286" s="2">
        <f t="shared" si="157"/>
        <v>5.937569999999937</v>
      </c>
      <c r="AC286" s="2">
        <f t="shared" si="158"/>
        <v>0.49729835445996023</v>
      </c>
      <c r="AD286" s="2">
        <f t="shared" si="159"/>
        <v>0.50270164554003971</v>
      </c>
      <c r="AE286" s="2">
        <f t="shared" si="160"/>
        <v>0.17024898914662773</v>
      </c>
      <c r="AF286" s="2">
        <f t="shared" si="161"/>
        <v>8.4664542151089608E-2</v>
      </c>
      <c r="AG286" s="2">
        <f t="shared" si="162"/>
        <v>11.81131999999991</v>
      </c>
      <c r="AH286" s="2">
        <v>49</v>
      </c>
      <c r="AI286">
        <f t="shared" si="163"/>
        <v>8.3422004681847586</v>
      </c>
    </row>
    <row r="287" spans="23:35" x14ac:dyDescent="0.35">
      <c r="W287" s="155">
        <v>0</v>
      </c>
      <c r="Y287">
        <v>876.26626999999996</v>
      </c>
      <c r="Z287">
        <v>882.30962999999997</v>
      </c>
      <c r="AA287" s="2">
        <f t="shared" si="156"/>
        <v>6.0433600000000069</v>
      </c>
      <c r="AB287" s="2">
        <f t="shared" si="157"/>
        <v>6.9850400000000263</v>
      </c>
      <c r="AC287" s="2">
        <f t="shared" si="158"/>
        <v>0.46386048939240365</v>
      </c>
      <c r="AD287" s="2">
        <f t="shared" si="159"/>
        <v>0.53613951060759635</v>
      </c>
      <c r="AE287" s="2">
        <f t="shared" si="160"/>
        <v>0.16547086389028601</v>
      </c>
      <c r="AF287" s="2">
        <f t="shared" si="161"/>
        <v>7.6755395904331877E-2</v>
      </c>
      <c r="AG287" s="2">
        <f t="shared" si="162"/>
        <v>13.028400000000033</v>
      </c>
      <c r="AH287" s="2">
        <v>47</v>
      </c>
      <c r="AI287">
        <f t="shared" si="163"/>
        <v>7.7771306028434424</v>
      </c>
    </row>
    <row r="288" spans="23:35" x14ac:dyDescent="0.35">
      <c r="W288" s="155">
        <v>0</v>
      </c>
      <c r="Y288">
        <v>889.29467</v>
      </c>
      <c r="Z288">
        <v>894.46060999999997</v>
      </c>
      <c r="AA288" s="2">
        <f t="shared" si="156"/>
        <v>5.1659399999999778</v>
      </c>
      <c r="AB288" s="2">
        <f t="shared" si="157"/>
        <v>5.3296300000000656</v>
      </c>
      <c r="AC288" s="2">
        <f t="shared" si="158"/>
        <v>0.49220194805998685</v>
      </c>
      <c r="AD288" s="2">
        <f t="shared" si="159"/>
        <v>0.50779805194001315</v>
      </c>
      <c r="AE288" s="2">
        <f t="shared" si="160"/>
        <v>0.19357561257002681</v>
      </c>
      <c r="AF288" s="2">
        <f t="shared" si="161"/>
        <v>9.527829360387248E-2</v>
      </c>
      <c r="AG288" s="2">
        <f t="shared" si="162"/>
        <v>10.495570000000043</v>
      </c>
      <c r="AH288" s="2">
        <v>41</v>
      </c>
      <c r="AI288">
        <f t="shared" si="163"/>
        <v>7.9366001153710997</v>
      </c>
    </row>
    <row r="289" spans="23:35" x14ac:dyDescent="0.35">
      <c r="W289" s="155">
        <v>0</v>
      </c>
      <c r="Y289">
        <v>899.79024000000004</v>
      </c>
      <c r="Z289">
        <v>904.23585000000003</v>
      </c>
      <c r="AA289" s="2">
        <f t="shared" si="156"/>
        <v>4.4456099999999878</v>
      </c>
      <c r="AB289" s="2">
        <f t="shared" si="157"/>
        <v>7.1900299999999788</v>
      </c>
      <c r="AC289" s="2">
        <f t="shared" si="158"/>
        <v>0.38206836925171289</v>
      </c>
      <c r="AD289" s="2">
        <f t="shared" si="159"/>
        <v>0.61793163074828716</v>
      </c>
      <c r="AE289" s="2">
        <f t="shared" si="160"/>
        <v>0.22494100922033258</v>
      </c>
      <c r="AF289" s="2">
        <f t="shared" si="161"/>
        <v>8.5942844570646978E-2</v>
      </c>
      <c r="AG289" s="2">
        <f t="shared" si="162"/>
        <v>11.635639999999967</v>
      </c>
      <c r="AH289" s="2">
        <v>36</v>
      </c>
      <c r="AI289">
        <f t="shared" si="163"/>
        <v>8.0978763319319729</v>
      </c>
    </row>
    <row r="290" spans="23:35" x14ac:dyDescent="0.35">
      <c r="W290" s="155">
        <v>0</v>
      </c>
      <c r="Y290">
        <v>911.42588000000001</v>
      </c>
      <c r="Z290">
        <v>917.07807000000003</v>
      </c>
      <c r="AA290" s="2">
        <f t="shared" si="156"/>
        <v>5.6521900000000187</v>
      </c>
      <c r="AB290" s="2">
        <f t="shared" si="157"/>
        <v>6.0957999999999402</v>
      </c>
      <c r="AC290" s="2">
        <f t="shared" si="158"/>
        <v>0.48111974899536336</v>
      </c>
      <c r="AD290" s="2">
        <f t="shared" si="159"/>
        <v>0.51888025100463664</v>
      </c>
      <c r="AE290" s="2">
        <f t="shared" si="160"/>
        <v>0.17692257337421366</v>
      </c>
      <c r="AF290" s="2">
        <f t="shared" si="161"/>
        <v>8.5120944093415432E-2</v>
      </c>
      <c r="AG290" s="2">
        <f t="shared" si="162"/>
        <v>11.747989999999959</v>
      </c>
      <c r="AH290" s="2">
        <v>46</v>
      </c>
      <c r="AI290">
        <f t="shared" si="163"/>
        <v>8.1384383752138287</v>
      </c>
    </row>
    <row r="291" spans="23:35" x14ac:dyDescent="0.35">
      <c r="W291" s="155">
        <v>0</v>
      </c>
      <c r="Y291">
        <v>923.17386999999997</v>
      </c>
      <c r="Z291">
        <v>928.76418999999999</v>
      </c>
      <c r="AA291" s="2">
        <f t="shared" si="156"/>
        <v>5.5903200000000197</v>
      </c>
      <c r="AB291" s="2">
        <f t="shared" si="157"/>
        <v>7.3107599999999593</v>
      </c>
      <c r="AC291" s="2">
        <f t="shared" si="158"/>
        <v>0.43332186142555729</v>
      </c>
      <c r="AD291" s="2">
        <f t="shared" si="159"/>
        <v>0.56667813857444271</v>
      </c>
      <c r="AE291" s="2">
        <f t="shared" si="160"/>
        <v>0.17888063652885638</v>
      </c>
      <c r="AF291" s="2">
        <f t="shared" si="161"/>
        <v>7.7512890393672595E-2</v>
      </c>
      <c r="AG291" s="2">
        <f t="shared" si="162"/>
        <v>12.901079999999979</v>
      </c>
      <c r="AH291" s="2">
        <v>45</v>
      </c>
      <c r="AI291">
        <f t="shared" si="163"/>
        <v>8.0496286437985383</v>
      </c>
    </row>
    <row r="292" spans="23:35" x14ac:dyDescent="0.35">
      <c r="W292" s="155">
        <v>0</v>
      </c>
      <c r="Y292">
        <v>936.07494999999994</v>
      </c>
      <c r="Z292">
        <v>942.12390000000005</v>
      </c>
      <c r="AA292" s="2">
        <f t="shared" si="156"/>
        <v>6.0489500000001044</v>
      </c>
      <c r="AB292" s="2">
        <f t="shared" si="157"/>
        <v>6.0995199999999841</v>
      </c>
      <c r="AC292" s="2">
        <f t="shared" si="158"/>
        <v>0.49791866794749134</v>
      </c>
      <c r="AD292" s="2">
        <f t="shared" si="159"/>
        <v>0.5020813320525086</v>
      </c>
      <c r="AE292" s="2">
        <f t="shared" si="160"/>
        <v>0.16531794774299385</v>
      </c>
      <c r="AF292" s="2">
        <f t="shared" si="161"/>
        <v>8.2314892328004485E-2</v>
      </c>
      <c r="AG292" s="2">
        <f t="shared" si="162"/>
        <v>12.148470000000088</v>
      </c>
      <c r="AH292" s="2">
        <v>49</v>
      </c>
      <c r="AI292">
        <f t="shared" si="163"/>
        <v>8.1005794394066992</v>
      </c>
    </row>
    <row r="293" spans="23:35" x14ac:dyDescent="0.35">
      <c r="W293" s="155">
        <v>0</v>
      </c>
      <c r="Y293">
        <v>948.22342000000003</v>
      </c>
      <c r="Z293">
        <v>953.21888999999999</v>
      </c>
      <c r="AA293" s="2">
        <f t="shared" si="156"/>
        <v>4.9954699999999548</v>
      </c>
      <c r="AB293" s="2">
        <f t="shared" si="157"/>
        <v>4.6934099999999717</v>
      </c>
      <c r="AC293" s="2">
        <f t="shared" si="158"/>
        <v>0.51558797301648829</v>
      </c>
      <c r="AD293" s="2">
        <f t="shared" si="159"/>
        <v>0.48441202698351177</v>
      </c>
      <c r="AE293" s="2">
        <f t="shared" si="160"/>
        <v>0.20018136431607217</v>
      </c>
      <c r="AF293" s="2">
        <f t="shared" si="161"/>
        <v>0.10321110386339882</v>
      </c>
      <c r="AG293" s="2">
        <f t="shared" si="162"/>
        <v>9.6888799999999264</v>
      </c>
      <c r="AH293" s="2">
        <v>41</v>
      </c>
      <c r="AI293">
        <f t="shared" si="163"/>
        <v>8.2074359369589587</v>
      </c>
    </row>
    <row r="294" spans="23:35" x14ac:dyDescent="0.35">
      <c r="Y294">
        <v>957.91229999999996</v>
      </c>
      <c r="Z294">
        <v>959.99836000000005</v>
      </c>
      <c r="AA294" s="2">
        <f t="shared" si="156"/>
        <v>2.0860600000000886</v>
      </c>
      <c r="AB294" s="2"/>
      <c r="AC294" s="2"/>
      <c r="AD294" s="2"/>
      <c r="AE294" s="2"/>
      <c r="AF294" s="2"/>
      <c r="AG294" s="2"/>
      <c r="AH294" s="2"/>
    </row>
    <row r="297" spans="23:35" ht="16" thickBot="1" x14ac:dyDescent="0.4">
      <c r="Y297" s="13"/>
      <c r="Z297" s="13"/>
      <c r="AA297" s="9" t="s">
        <v>3</v>
      </c>
      <c r="AB297" s="9" t="s">
        <v>4</v>
      </c>
      <c r="AC297" s="9" t="s">
        <v>5</v>
      </c>
      <c r="AD297" s="9" t="s">
        <v>6</v>
      </c>
      <c r="AE297" s="9" t="s">
        <v>7</v>
      </c>
      <c r="AF297" s="9" t="s">
        <v>8</v>
      </c>
      <c r="AG297" s="9" t="s">
        <v>9</v>
      </c>
      <c r="AH297" s="9" t="s">
        <v>10</v>
      </c>
      <c r="AI297" s="44" t="s">
        <v>139</v>
      </c>
    </row>
    <row r="298" spans="23:35" x14ac:dyDescent="0.35">
      <c r="X298" s="104" t="s">
        <v>438</v>
      </c>
      <c r="Y298" s="13"/>
      <c r="Z298" s="49" t="s">
        <v>77</v>
      </c>
      <c r="AA298" s="13">
        <f>AVERAGE(AA213:AA232)</f>
        <v>5.7036855000000006</v>
      </c>
      <c r="AB298" s="13">
        <f t="shared" ref="AB298:AI298" si="164">AVERAGE(AB213:AB232)</f>
        <v>6.1518304999999991</v>
      </c>
      <c r="AC298" s="13">
        <f t="shared" si="164"/>
        <v>0.48046323385962381</v>
      </c>
      <c r="AD298" s="13">
        <f t="shared" si="164"/>
        <v>0.51953676614037636</v>
      </c>
      <c r="AE298" s="13">
        <f t="shared" si="164"/>
        <v>0.17935993506482045</v>
      </c>
      <c r="AF298" s="13">
        <f t="shared" si="164"/>
        <v>8.515964191012429E-2</v>
      </c>
      <c r="AG298" s="13">
        <f t="shared" si="164"/>
        <v>11.855516</v>
      </c>
      <c r="AH298" s="13">
        <f t="shared" si="164"/>
        <v>46</v>
      </c>
      <c r="AI298" s="13">
        <f t="shared" si="164"/>
        <v>8.0719004233115879</v>
      </c>
    </row>
    <row r="299" spans="23:35" x14ac:dyDescent="0.35">
      <c r="W299" t="s">
        <v>442</v>
      </c>
      <c r="X299" s="104"/>
      <c r="Y299" s="13"/>
      <c r="Z299" s="49" t="s">
        <v>94</v>
      </c>
      <c r="AA299" s="2">
        <f>_xlfn.STDEV.S(AA213:AA232)</f>
        <v>0.90343967009410275</v>
      </c>
      <c r="AB299" s="2">
        <f t="shared" ref="AB299:AI299" si="165">_xlfn.STDEV.S(AB213:AB232)</f>
        <v>0.81565796562604254</v>
      </c>
      <c r="AC299" s="2">
        <f t="shared" si="165"/>
        <v>5.1967794094266197E-2</v>
      </c>
      <c r="AD299" s="2">
        <f t="shared" si="165"/>
        <v>5.1967794094267043E-2</v>
      </c>
      <c r="AE299" s="2">
        <f t="shared" si="165"/>
        <v>2.7231233143013994E-2</v>
      </c>
      <c r="AF299" s="2">
        <f t="shared" si="165"/>
        <v>8.6214830996442938E-3</v>
      </c>
      <c r="AG299" s="2">
        <f t="shared" si="165"/>
        <v>1.1774734128114723</v>
      </c>
      <c r="AH299" s="2">
        <f t="shared" si="165"/>
        <v>7.2981612680686112</v>
      </c>
      <c r="AI299" s="2">
        <f t="shared" si="165"/>
        <v>0.28397472149034586</v>
      </c>
    </row>
    <row r="300" spans="23:35" x14ac:dyDescent="0.35">
      <c r="X300" s="104"/>
      <c r="Y300" s="13"/>
      <c r="Z300" s="49" t="s">
        <v>95</v>
      </c>
      <c r="AA300" s="2">
        <f>AA299/(SQRT(COUNT(AA213:AA232)))</f>
        <v>0.20201525159003975</v>
      </c>
      <c r="AB300" s="2">
        <f t="shared" ref="AB300:AI300" si="166">AB299/(SQRT(COUNT(AB213:AB232)))</f>
        <v>0.18238666575290177</v>
      </c>
      <c r="AC300" s="2">
        <f t="shared" si="166"/>
        <v>1.1620352023549132E-2</v>
      </c>
      <c r="AD300" s="2">
        <f t="shared" si="166"/>
        <v>1.1620352023549321E-2</v>
      </c>
      <c r="AE300" s="2">
        <f t="shared" si="166"/>
        <v>6.0890888418924536E-3</v>
      </c>
      <c r="AF300" s="2">
        <f t="shared" si="166"/>
        <v>1.9278222277670234E-3</v>
      </c>
      <c r="AG300" s="2">
        <f t="shared" si="166"/>
        <v>0.26329105927451235</v>
      </c>
      <c r="AH300" s="2">
        <f t="shared" si="166"/>
        <v>1.6319184706157479</v>
      </c>
      <c r="AI300" s="2">
        <f t="shared" si="166"/>
        <v>6.3498678114398369E-2</v>
      </c>
    </row>
    <row r="301" spans="23:35" x14ac:dyDescent="0.35">
      <c r="X301" s="104"/>
    </row>
    <row r="302" spans="23:35" x14ac:dyDescent="0.35">
      <c r="X302" s="104"/>
    </row>
    <row r="303" spans="23:35" ht="16" thickBot="1" x14ac:dyDescent="0.4">
      <c r="X303" s="104"/>
      <c r="Z303" s="13"/>
      <c r="AA303" s="9" t="s">
        <v>3</v>
      </c>
      <c r="AB303" s="9" t="s">
        <v>4</v>
      </c>
      <c r="AC303" s="9" t="s">
        <v>5</v>
      </c>
      <c r="AD303" s="9" t="s">
        <v>6</v>
      </c>
      <c r="AE303" s="9" t="s">
        <v>7</v>
      </c>
      <c r="AF303" s="9" t="s">
        <v>8</v>
      </c>
      <c r="AG303" s="9" t="s">
        <v>9</v>
      </c>
      <c r="AH303" s="9" t="s">
        <v>10</v>
      </c>
      <c r="AI303" s="44" t="s">
        <v>139</v>
      </c>
    </row>
    <row r="304" spans="23:35" x14ac:dyDescent="0.35">
      <c r="X304" s="104" t="s">
        <v>438</v>
      </c>
      <c r="Z304" s="49" t="s">
        <v>77</v>
      </c>
      <c r="AA304" s="13">
        <f>AVERAGE(AA233:AA243)</f>
        <v>5.6364381818181775</v>
      </c>
      <c r="AB304" s="13">
        <f t="shared" ref="AB304:AI304" si="167">AVERAGE(AB233:AB243)</f>
        <v>5.7348063636363698</v>
      </c>
      <c r="AC304" s="13">
        <f t="shared" si="167"/>
        <v>0.49625128968548071</v>
      </c>
      <c r="AD304" s="13">
        <f t="shared" si="167"/>
        <v>0.50374871031451918</v>
      </c>
      <c r="AE304" s="13">
        <f t="shared" si="167"/>
        <v>0.18068126660814812</v>
      </c>
      <c r="AF304" s="13">
        <f t="shared" si="167"/>
        <v>8.9138389436370979E-2</v>
      </c>
      <c r="AG304" s="13">
        <f t="shared" si="167"/>
        <v>11.371244545454546</v>
      </c>
      <c r="AH304" s="13">
        <f t="shared" si="167"/>
        <v>46.272727272727273</v>
      </c>
      <c r="AI304" s="13">
        <f t="shared" si="167"/>
        <v>8.2423049699167468</v>
      </c>
    </row>
    <row r="305" spans="23:35" x14ac:dyDescent="0.35">
      <c r="W305" t="s">
        <v>443</v>
      </c>
      <c r="Z305" s="49" t="s">
        <v>94</v>
      </c>
      <c r="AA305" s="2">
        <f>_xlfn.STDEV.S(AA233:AA243)</f>
        <v>0.78140423381010915</v>
      </c>
      <c r="AB305" s="2">
        <f t="shared" ref="AB305:AI305" si="168">_xlfn.STDEV.S(AB233:AB243)</f>
        <v>0.87359804862731616</v>
      </c>
      <c r="AC305" s="2">
        <f t="shared" si="168"/>
        <v>4.2021081350171741E-2</v>
      </c>
      <c r="AD305" s="2">
        <f t="shared" si="168"/>
        <v>4.2021081350171768E-2</v>
      </c>
      <c r="AE305" s="2">
        <f t="shared" si="168"/>
        <v>2.5998869469388123E-2</v>
      </c>
      <c r="AF305" s="2">
        <f t="shared" si="168"/>
        <v>1.104512771623793E-2</v>
      </c>
      <c r="AG305" s="2">
        <f t="shared" si="168"/>
        <v>1.3605512080503375</v>
      </c>
      <c r="AH305" s="2">
        <f t="shared" si="168"/>
        <v>5.3120788603127851</v>
      </c>
      <c r="AI305" s="2">
        <f t="shared" si="168"/>
        <v>0.38840138981973327</v>
      </c>
    </row>
    <row r="306" spans="23:35" x14ac:dyDescent="0.35">
      <c r="Z306" s="49" t="s">
        <v>95</v>
      </c>
      <c r="AA306" s="2">
        <f>AA305/(SQRT(COUNT(AA233:AA243)))</f>
        <v>0.23560224119484319</v>
      </c>
      <c r="AB306" s="2">
        <f t="shared" ref="AB306:AI306" si="169">AB305/(SQRT(COUNT(AB233:AB243)))</f>
        <v>0.26339972226213265</v>
      </c>
      <c r="AC306" s="2">
        <f t="shared" si="169"/>
        <v>1.2669832738501868E-2</v>
      </c>
      <c r="AD306" s="2">
        <f t="shared" si="169"/>
        <v>1.2669832738501877E-2</v>
      </c>
      <c r="AE306" s="2">
        <f t="shared" si="169"/>
        <v>7.8389540912169806E-3</v>
      </c>
      <c r="AF306" s="2">
        <f t="shared" si="169"/>
        <v>3.330231308756022E-3</v>
      </c>
      <c r="AG306" s="2">
        <f t="shared" si="169"/>
        <v>0.41022162410615787</v>
      </c>
      <c r="AH306" s="2">
        <f t="shared" si="169"/>
        <v>1.6016520396760221</v>
      </c>
      <c r="AI306" s="2">
        <f t="shared" si="169"/>
        <v>0.1171074252804199</v>
      </c>
    </row>
    <row r="309" spans="23:35" ht="16" thickBot="1" x14ac:dyDescent="0.4">
      <c r="X309" s="104"/>
      <c r="Z309" s="13"/>
      <c r="AA309" s="9" t="s">
        <v>3</v>
      </c>
      <c r="AB309" s="9" t="s">
        <v>4</v>
      </c>
      <c r="AC309" s="9" t="s">
        <v>5</v>
      </c>
      <c r="AD309" s="9" t="s">
        <v>6</v>
      </c>
      <c r="AE309" s="9" t="s">
        <v>7</v>
      </c>
      <c r="AF309" s="9" t="s">
        <v>8</v>
      </c>
      <c r="AG309" s="9" t="s">
        <v>9</v>
      </c>
      <c r="AH309" s="9" t="s">
        <v>10</v>
      </c>
      <c r="AI309" s="44" t="s">
        <v>139</v>
      </c>
    </row>
    <row r="310" spans="23:35" x14ac:dyDescent="0.35">
      <c r="X310" s="104" t="s">
        <v>410</v>
      </c>
      <c r="Z310" s="49" t="s">
        <v>77</v>
      </c>
      <c r="AA310" s="13">
        <f>AVERAGE(AA244:AA293)</f>
        <v>5.755016399999997</v>
      </c>
      <c r="AB310" s="13">
        <f t="shared" ref="AB310:AI310" si="170">AVERAGE(AB244:AB293)</f>
        <v>6.0806406000000015</v>
      </c>
      <c r="AC310" s="13">
        <f t="shared" si="170"/>
        <v>0.49371363763990117</v>
      </c>
      <c r="AD310" s="13">
        <f t="shared" si="170"/>
        <v>0.50628636236009883</v>
      </c>
      <c r="AE310" s="13">
        <f t="shared" si="170"/>
        <v>0.18057689302251387</v>
      </c>
      <c r="AF310" s="13">
        <f t="shared" si="170"/>
        <v>8.9290713337567273E-2</v>
      </c>
      <c r="AG310" s="13">
        <f t="shared" si="170"/>
        <v>11.835656999999999</v>
      </c>
      <c r="AH310" s="13">
        <f t="shared" si="170"/>
        <v>46.84</v>
      </c>
      <c r="AI310" s="13">
        <f t="shared" si="170"/>
        <v>8.1522281263953822</v>
      </c>
    </row>
    <row r="311" spans="23:35" x14ac:dyDescent="0.35">
      <c r="W311" t="s">
        <v>443</v>
      </c>
      <c r="Z311" s="49" t="s">
        <v>94</v>
      </c>
      <c r="AA311" s="2">
        <f>_xlfn.STDEV.S(AA244:AA293)</f>
        <v>0.99773773954752809</v>
      </c>
      <c r="AB311" s="2">
        <f t="shared" ref="AB311:AI311" si="171">_xlfn.STDEV.S(AB244:AB293)</f>
        <v>1.3670772028561624</v>
      </c>
      <c r="AC311" s="2">
        <f t="shared" si="171"/>
        <v>8.8918293104148616E-2</v>
      </c>
      <c r="AD311" s="2">
        <f t="shared" si="171"/>
        <v>8.8918293104146784E-2</v>
      </c>
      <c r="AE311" s="2">
        <f t="shared" si="171"/>
        <v>4.2374789694329631E-2</v>
      </c>
      <c r="AF311" s="2">
        <f t="shared" si="171"/>
        <v>3.591924736978374E-2</v>
      </c>
      <c r="AG311" s="2">
        <f t="shared" si="171"/>
        <v>1.8988308641675633</v>
      </c>
      <c r="AH311" s="2">
        <f t="shared" si="171"/>
        <v>8.1374919668288523</v>
      </c>
      <c r="AI311" s="2">
        <f t="shared" si="171"/>
        <v>0.38393730341822363</v>
      </c>
    </row>
    <row r="312" spans="23:35" x14ac:dyDescent="0.35">
      <c r="Z312" s="49" t="s">
        <v>95</v>
      </c>
      <c r="AA312" s="2">
        <f>AA311/(SQRT(COUNT(AA244:AA293)))</f>
        <v>0.1411014242959589</v>
      </c>
      <c r="AB312" s="2">
        <f t="shared" ref="AB312:AI312" si="172">AB311/(SQRT(COUNT(AB244:AB293)))</f>
        <v>0.19333391210902598</v>
      </c>
      <c r="AC312" s="2">
        <f t="shared" si="172"/>
        <v>1.2574945605095303E-2</v>
      </c>
      <c r="AD312" s="2">
        <f t="shared" si="172"/>
        <v>1.2574945605095042E-2</v>
      </c>
      <c r="AE312" s="2">
        <f t="shared" si="172"/>
        <v>5.9927002288428623E-3</v>
      </c>
      <c r="AF312" s="2">
        <f t="shared" si="172"/>
        <v>5.0797486780582287E-3</v>
      </c>
      <c r="AG312" s="2">
        <f t="shared" si="172"/>
        <v>0.26853523607583923</v>
      </c>
      <c r="AH312" s="2">
        <f t="shared" si="172"/>
        <v>1.1508151503191475</v>
      </c>
      <c r="AI312" s="2">
        <f t="shared" si="172"/>
        <v>5.4296934159500591E-2</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D304"/>
  <sheetViews>
    <sheetView workbookViewId="0">
      <selection activeCell="AG63" sqref="AG63"/>
    </sheetView>
  </sheetViews>
  <sheetFormatPr defaultRowHeight="14.5" x14ac:dyDescent="0.35"/>
  <sheetData>
    <row r="4" spans="2:55" ht="18.5" x14ac:dyDescent="0.45">
      <c r="B4" s="2"/>
      <c r="C4" s="1" t="s">
        <v>445</v>
      </c>
      <c r="D4" s="2"/>
      <c r="E4" s="2"/>
      <c r="F4" s="2"/>
      <c r="G4" s="2"/>
      <c r="H4" s="2"/>
      <c r="I4" s="2"/>
      <c r="J4" s="2"/>
      <c r="K4" s="2"/>
      <c r="L4" s="2"/>
      <c r="M4" s="2"/>
      <c r="N4" s="2"/>
      <c r="O4" s="2"/>
    </row>
    <row r="5" spans="2:55" ht="18.5" x14ac:dyDescent="0.45">
      <c r="B5" s="2"/>
      <c r="C5" s="2"/>
      <c r="D5" s="2"/>
      <c r="E5" s="2"/>
      <c r="F5" s="1" t="s">
        <v>0</v>
      </c>
      <c r="G5" s="3"/>
      <c r="H5" s="3"/>
      <c r="I5" s="3"/>
      <c r="J5" s="3"/>
      <c r="K5" s="3"/>
      <c r="L5" s="3"/>
      <c r="M5" s="3"/>
      <c r="N5" s="3"/>
      <c r="O5" s="3"/>
      <c r="Y5" s="1" t="s">
        <v>91</v>
      </c>
      <c r="Z5" s="3"/>
      <c r="AA5" s="3"/>
      <c r="AB5" s="3"/>
      <c r="AC5" s="3"/>
      <c r="AD5" s="3"/>
      <c r="AE5" s="3"/>
      <c r="AF5" s="3"/>
      <c r="AG5" s="3"/>
      <c r="AH5" s="3"/>
      <c r="AQ5" s="1" t="s">
        <v>617</v>
      </c>
      <c r="AR5" s="3"/>
      <c r="AS5" s="3"/>
      <c r="AT5" s="3"/>
      <c r="AU5" s="3"/>
      <c r="AV5" s="3"/>
      <c r="AW5" s="3"/>
      <c r="AX5" s="3"/>
      <c r="AY5" s="3"/>
      <c r="AZ5" s="3"/>
    </row>
    <row r="6" spans="2:55"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V6" s="204" t="s">
        <v>122</v>
      </c>
      <c r="W6" s="204" t="s">
        <v>406</v>
      </c>
      <c r="Y6" s="9" t="s">
        <v>1</v>
      </c>
      <c r="Z6" s="9" t="s">
        <v>2</v>
      </c>
      <c r="AA6" s="9" t="s">
        <v>3</v>
      </c>
      <c r="AB6" s="9" t="s">
        <v>4</v>
      </c>
      <c r="AC6" s="9" t="s">
        <v>5</v>
      </c>
      <c r="AD6" s="9" t="s">
        <v>6</v>
      </c>
      <c r="AE6" s="9" t="s">
        <v>7</v>
      </c>
      <c r="AF6" s="9" t="s">
        <v>8</v>
      </c>
      <c r="AG6" s="9" t="s">
        <v>9</v>
      </c>
      <c r="AH6" s="9" t="s">
        <v>10</v>
      </c>
      <c r="AI6" s="44" t="s">
        <v>139</v>
      </c>
      <c r="AK6" s="44" t="s">
        <v>138</v>
      </c>
      <c r="AQ6" s="9" t="s">
        <v>1</v>
      </c>
      <c r="AR6" s="9" t="s">
        <v>2</v>
      </c>
      <c r="AS6" s="9" t="s">
        <v>3</v>
      </c>
      <c r="AT6" s="9" t="s">
        <v>4</v>
      </c>
      <c r="AU6" s="9" t="s">
        <v>5</v>
      </c>
      <c r="AV6" s="9" t="s">
        <v>6</v>
      </c>
      <c r="AW6" s="9" t="s">
        <v>7</v>
      </c>
      <c r="AX6" s="9" t="s">
        <v>8</v>
      </c>
      <c r="AY6" s="9" t="s">
        <v>9</v>
      </c>
      <c r="AZ6" s="9" t="s">
        <v>10</v>
      </c>
      <c r="BA6" s="44" t="s">
        <v>139</v>
      </c>
      <c r="BC6" s="44" t="s">
        <v>138</v>
      </c>
    </row>
    <row r="7" spans="2:55" x14ac:dyDescent="0.35">
      <c r="B7" s="2"/>
      <c r="C7" s="2" t="s">
        <v>704</v>
      </c>
      <c r="D7" s="2"/>
      <c r="E7" s="2"/>
      <c r="F7" s="2">
        <v>1.1354500000000001</v>
      </c>
      <c r="G7" s="2">
        <v>3.3780299999999999</v>
      </c>
      <c r="H7" s="2">
        <f t="shared" ref="H7:H18" si="0">G7-F7</f>
        <v>2.2425799999999998</v>
      </c>
      <c r="I7" s="2">
        <f t="shared" ref="I7:I17" si="1">F8-G7</f>
        <v>8.7182099999999991</v>
      </c>
      <c r="J7" s="2">
        <f>H7/N7</f>
        <v>0.20460021586035312</v>
      </c>
      <c r="K7" s="2">
        <f>I7/N7</f>
        <v>0.79539978413964685</v>
      </c>
      <c r="L7" s="2">
        <f>1/H7</f>
        <v>0.44591497293296117</v>
      </c>
      <c r="M7" s="2">
        <f>1/N7</f>
        <v>9.1234299717447384E-2</v>
      </c>
      <c r="N7" s="2">
        <f>H7+I7</f>
        <v>10.960789999999999</v>
      </c>
      <c r="O7" s="2">
        <v>7</v>
      </c>
      <c r="P7">
        <f>O7/H7</f>
        <v>3.1214048105307284</v>
      </c>
      <c r="R7" t="s">
        <v>446</v>
      </c>
      <c r="V7" s="257" t="s">
        <v>712</v>
      </c>
      <c r="W7" s="155">
        <v>0</v>
      </c>
      <c r="Y7" s="2">
        <v>4.4097600000000003</v>
      </c>
      <c r="Z7" s="2">
        <v>6.6691900000000004</v>
      </c>
      <c r="AA7" s="2">
        <f t="shared" ref="AA7:AA23" si="2">Z7-Y7</f>
        <v>2.25943</v>
      </c>
      <c r="AB7" s="2">
        <f t="shared" ref="AB7:AB22" si="3">Y8-Z7</f>
        <v>4.4104499999999991</v>
      </c>
      <c r="AC7" s="2">
        <f>AA7/AG7</f>
        <v>0.33875122191103896</v>
      </c>
      <c r="AD7" s="2">
        <f>AB7/AG7</f>
        <v>0.6612487780889611</v>
      </c>
      <c r="AE7" s="2">
        <f>1/AA7</f>
        <v>0.44258950266217584</v>
      </c>
      <c r="AF7" s="2">
        <f>1/AG7</f>
        <v>0.1499277348318111</v>
      </c>
      <c r="AG7" s="2">
        <f>AA7+AB7</f>
        <v>6.6698799999999991</v>
      </c>
      <c r="AH7" s="2">
        <v>6</v>
      </c>
      <c r="AI7">
        <f>AH7/AA7</f>
        <v>2.6555370159730551</v>
      </c>
      <c r="AK7" t="s">
        <v>710</v>
      </c>
      <c r="AQ7" s="2">
        <v>3.0630999999999999</v>
      </c>
      <c r="AR7" s="2">
        <v>8.8268599999999999</v>
      </c>
      <c r="AS7" s="2">
        <f t="shared" ref="AS7:AS16" si="4">AR7-AQ7</f>
        <v>5.7637599999999996</v>
      </c>
      <c r="AT7" s="2">
        <f t="shared" ref="AT7:AT15" si="5">AQ8-AR7</f>
        <v>6.5241600000000002</v>
      </c>
      <c r="AU7" s="2">
        <f>AS7/AY7</f>
        <v>0.4690590433531468</v>
      </c>
      <c r="AV7" s="2">
        <f>AT7/AY7</f>
        <v>0.53094095664685315</v>
      </c>
      <c r="AW7" s="2">
        <f>1/AS7</f>
        <v>0.17349785556650521</v>
      </c>
      <c r="AX7" s="2">
        <f>1/AY7</f>
        <v>8.1380738155847371E-2</v>
      </c>
      <c r="AY7" s="2">
        <f>AS7+AT7</f>
        <v>12.28792</v>
      </c>
      <c r="AZ7" s="2">
        <v>20</v>
      </c>
      <c r="BA7">
        <f>AZ7/AS7</f>
        <v>3.4699571113301042</v>
      </c>
      <c r="BC7" t="s">
        <v>618</v>
      </c>
    </row>
    <row r="8" spans="2:55" x14ac:dyDescent="0.35">
      <c r="B8" s="2"/>
      <c r="C8" s="2"/>
      <c r="D8" s="2"/>
      <c r="E8" s="2"/>
      <c r="F8" s="2">
        <v>12.09624</v>
      </c>
      <c r="G8" s="2">
        <v>14.816599999999999</v>
      </c>
      <c r="H8" s="2">
        <f t="shared" si="0"/>
        <v>2.7203599999999994</v>
      </c>
      <c r="I8" s="2">
        <f t="shared" si="1"/>
        <v>9.1040299999999998</v>
      </c>
      <c r="J8" s="2">
        <f t="shared" ref="J8:J17" si="6">H8/N8</f>
        <v>0.23006345359041774</v>
      </c>
      <c r="K8" s="2">
        <f t="shared" ref="K8:K17" si="7">I8/N8</f>
        <v>0.76993654640958231</v>
      </c>
      <c r="L8" s="2">
        <f t="shared" ref="L8:L17" si="8">1/H8</f>
        <v>0.36759840609331124</v>
      </c>
      <c r="M8" s="2">
        <f t="shared" ref="M8:M17" si="9">1/N8</f>
        <v>8.457095884016004E-2</v>
      </c>
      <c r="N8" s="2">
        <f t="shared" ref="N8:N17" si="10">H8+I8</f>
        <v>11.824389999999999</v>
      </c>
      <c r="O8" s="2">
        <v>7</v>
      </c>
      <c r="P8">
        <f t="shared" ref="P8:P17" si="11">O8/H8</f>
        <v>2.5731888426531788</v>
      </c>
      <c r="V8" s="258" t="s">
        <v>32</v>
      </c>
      <c r="W8" s="155">
        <v>0</v>
      </c>
      <c r="Y8" s="2">
        <v>11.079639999999999</v>
      </c>
      <c r="Z8" s="2">
        <v>12.652749999999999</v>
      </c>
      <c r="AA8" s="2">
        <f t="shared" si="2"/>
        <v>1.5731099999999998</v>
      </c>
      <c r="AB8" s="2">
        <f t="shared" si="3"/>
        <v>5.0937500000000018</v>
      </c>
      <c r="AC8" s="2">
        <f t="shared" ref="AC8:AC22" si="12">AA8/AG8</f>
        <v>0.23595965716994199</v>
      </c>
      <c r="AD8" s="2">
        <f t="shared" ref="AD8:AD22" si="13">AB8/AG8</f>
        <v>0.76404034283005806</v>
      </c>
      <c r="AE8" s="2">
        <f t="shared" ref="AE8:AE22" si="14">1/AA8</f>
        <v>0.63568345506671509</v>
      </c>
      <c r="AF8" s="2">
        <f t="shared" ref="AF8:AF22" si="15">1/AG8</f>
        <v>0.1499956501261463</v>
      </c>
      <c r="AG8" s="2">
        <f t="shared" ref="AG8:AG22" si="16">AA8+AB8</f>
        <v>6.6668600000000016</v>
      </c>
      <c r="AH8" s="2">
        <v>6</v>
      </c>
      <c r="AI8">
        <f t="shared" ref="AI8:AI22" si="17">AH8/AA8</f>
        <v>3.8141007304002903</v>
      </c>
      <c r="AQ8" s="2">
        <v>15.35102</v>
      </c>
      <c r="AR8" s="2">
        <v>20.580010000000001</v>
      </c>
      <c r="AS8" s="2">
        <f t="shared" si="4"/>
        <v>5.2289900000000014</v>
      </c>
      <c r="AT8" s="2">
        <f t="shared" si="5"/>
        <v>7.3439699999999988</v>
      </c>
      <c r="AU8" s="2">
        <f t="shared" ref="AU8:AU15" si="18">AS8/AY8</f>
        <v>0.41589172319008422</v>
      </c>
      <c r="AV8" s="2">
        <f t="shared" ref="AV8:AV15" si="19">AT8/AY8</f>
        <v>0.58410827680991573</v>
      </c>
      <c r="AW8" s="2">
        <f t="shared" ref="AW8:AW15" si="20">1/AS8</f>
        <v>0.1912415208290702</v>
      </c>
      <c r="AX8" s="2">
        <f t="shared" ref="AX8:AX15" si="21">1/AY8</f>
        <v>7.9535765643094392E-2</v>
      </c>
      <c r="AY8" s="2">
        <f t="shared" ref="AY8:AY15" si="22">AS8+AT8</f>
        <v>12.57296</v>
      </c>
      <c r="AZ8" s="2">
        <v>19</v>
      </c>
      <c r="BA8">
        <f t="shared" ref="BA8:BA15" si="23">AZ8/AS8</f>
        <v>3.6335888957523337</v>
      </c>
    </row>
    <row r="9" spans="2:55" x14ac:dyDescent="0.35">
      <c r="B9" s="2"/>
      <c r="C9" s="2"/>
      <c r="D9" s="2"/>
      <c r="E9" s="2"/>
      <c r="F9" s="13">
        <v>23.920629999999999</v>
      </c>
      <c r="G9" s="2">
        <v>27.50508</v>
      </c>
      <c r="H9" s="2">
        <f t="shared" si="0"/>
        <v>3.5844500000000004</v>
      </c>
      <c r="I9" s="2">
        <f t="shared" si="1"/>
        <v>7.154440000000001</v>
      </c>
      <c r="J9" s="2">
        <f t="shared" si="6"/>
        <v>0.333782169293102</v>
      </c>
      <c r="K9" s="2">
        <f t="shared" si="7"/>
        <v>0.666217830706898</v>
      </c>
      <c r="L9" s="2">
        <f t="shared" si="8"/>
        <v>0.27898282860689921</v>
      </c>
      <c r="M9" s="2">
        <f t="shared" si="9"/>
        <v>9.3119493727936486E-2</v>
      </c>
      <c r="N9" s="2">
        <f t="shared" si="10"/>
        <v>10.738890000000001</v>
      </c>
      <c r="O9" s="2">
        <v>6</v>
      </c>
      <c r="P9">
        <f t="shared" si="11"/>
        <v>1.6738969716413954</v>
      </c>
      <c r="V9" s="258" t="s">
        <v>32</v>
      </c>
      <c r="W9" s="155">
        <v>0</v>
      </c>
      <c r="Y9" s="13">
        <v>17.746500000000001</v>
      </c>
      <c r="Z9" s="2">
        <v>20.14226</v>
      </c>
      <c r="AA9" s="2">
        <f t="shared" si="2"/>
        <v>2.3957599999999992</v>
      </c>
      <c r="AB9" s="2">
        <f t="shared" si="3"/>
        <v>3.2070499999999988</v>
      </c>
      <c r="AC9" s="2">
        <f t="shared" si="12"/>
        <v>0.42759972228221199</v>
      </c>
      <c r="AD9" s="2">
        <f t="shared" si="13"/>
        <v>0.57240027771778801</v>
      </c>
      <c r="AE9" s="2">
        <f t="shared" si="14"/>
        <v>0.4174040805422915</v>
      </c>
      <c r="AF9" s="2">
        <f t="shared" si="15"/>
        <v>0.17848186891934589</v>
      </c>
      <c r="AG9" s="2">
        <f t="shared" si="16"/>
        <v>5.6028099999999981</v>
      </c>
      <c r="AH9" s="2">
        <v>7</v>
      </c>
      <c r="AI9">
        <f t="shared" si="17"/>
        <v>2.9218285637960406</v>
      </c>
      <c r="AQ9" s="13">
        <v>27.92398</v>
      </c>
      <c r="AR9" s="2">
        <v>32.076830000000001</v>
      </c>
      <c r="AS9" s="2">
        <f t="shared" si="4"/>
        <v>4.1528500000000008</v>
      </c>
      <c r="AT9" s="2">
        <f t="shared" si="5"/>
        <v>7.4894899999999964</v>
      </c>
      <c r="AU9" s="2">
        <f t="shared" si="18"/>
        <v>0.35670234677908408</v>
      </c>
      <c r="AV9" s="2">
        <f t="shared" si="19"/>
        <v>0.64329765322091592</v>
      </c>
      <c r="AW9" s="2">
        <f t="shared" si="20"/>
        <v>0.24079848778549667</v>
      </c>
      <c r="AX9" s="2">
        <f t="shared" si="21"/>
        <v>8.5893385693941268E-2</v>
      </c>
      <c r="AY9" s="2">
        <f t="shared" si="22"/>
        <v>11.642339999999997</v>
      </c>
      <c r="AZ9" s="2">
        <v>17</v>
      </c>
      <c r="BA9">
        <f t="shared" si="23"/>
        <v>4.0935742923534431</v>
      </c>
    </row>
    <row r="10" spans="2:55" x14ac:dyDescent="0.35">
      <c r="B10" s="2"/>
      <c r="C10" s="2"/>
      <c r="D10" s="2"/>
      <c r="E10" s="2"/>
      <c r="F10" s="13">
        <v>34.659520000000001</v>
      </c>
      <c r="G10" s="2">
        <v>38.296410000000002</v>
      </c>
      <c r="H10" s="2">
        <f t="shared" si="0"/>
        <v>3.6368900000000011</v>
      </c>
      <c r="I10" s="2">
        <f t="shared" si="1"/>
        <v>7.2147000000000006</v>
      </c>
      <c r="J10" s="2">
        <f t="shared" si="6"/>
        <v>0.33514812115090975</v>
      </c>
      <c r="K10" s="2">
        <f t="shared" si="7"/>
        <v>0.66485187884909025</v>
      </c>
      <c r="L10" s="2">
        <f t="shared" si="8"/>
        <v>0.27496019951112066</v>
      </c>
      <c r="M10" s="2">
        <f t="shared" si="9"/>
        <v>9.215239425743138E-2</v>
      </c>
      <c r="N10" s="2">
        <f t="shared" si="10"/>
        <v>10.851590000000002</v>
      </c>
      <c r="O10" s="13">
        <v>8</v>
      </c>
      <c r="P10">
        <f t="shared" si="11"/>
        <v>2.1996815960889653</v>
      </c>
      <c r="V10" s="258" t="s">
        <v>32</v>
      </c>
      <c r="W10" s="155">
        <v>0</v>
      </c>
      <c r="Y10" s="13">
        <v>23.349309999999999</v>
      </c>
      <c r="Z10" s="2">
        <v>26.72015</v>
      </c>
      <c r="AA10" s="2">
        <f t="shared" si="2"/>
        <v>3.3708400000000012</v>
      </c>
      <c r="AB10" s="2">
        <f t="shared" si="3"/>
        <v>4.2971800000000009</v>
      </c>
      <c r="AC10" s="2">
        <f t="shared" si="12"/>
        <v>0.43959718414923282</v>
      </c>
      <c r="AD10" s="2">
        <f t="shared" si="13"/>
        <v>0.56040281585076723</v>
      </c>
      <c r="AE10" s="2">
        <f t="shared" si="14"/>
        <v>0.29666195963024045</v>
      </c>
      <c r="AF10" s="2">
        <f t="shared" si="15"/>
        <v>0.13041176209764707</v>
      </c>
      <c r="AG10" s="2">
        <f t="shared" si="16"/>
        <v>7.6680200000000021</v>
      </c>
      <c r="AH10" s="2">
        <v>8</v>
      </c>
      <c r="AI10">
        <f t="shared" si="17"/>
        <v>2.3732956770419236</v>
      </c>
      <c r="AQ10" s="13">
        <v>39.566319999999997</v>
      </c>
      <c r="AR10" s="2">
        <v>43.577710000000003</v>
      </c>
      <c r="AS10" s="2">
        <f t="shared" si="4"/>
        <v>4.0113900000000058</v>
      </c>
      <c r="AT10" s="2">
        <f t="shared" si="5"/>
        <v>6.8236299999999943</v>
      </c>
      <c r="AU10" s="2">
        <f t="shared" si="18"/>
        <v>0.37022451273740203</v>
      </c>
      <c r="AV10" s="2">
        <f t="shared" si="19"/>
        <v>0.62977548726259802</v>
      </c>
      <c r="AW10" s="2">
        <f t="shared" si="20"/>
        <v>0.2492901463083865</v>
      </c>
      <c r="AX10" s="2">
        <f t="shared" si="21"/>
        <v>9.2293322947258061E-2</v>
      </c>
      <c r="AY10" s="2">
        <f t="shared" si="22"/>
        <v>10.83502</v>
      </c>
      <c r="AZ10" s="13">
        <v>17</v>
      </c>
      <c r="BA10">
        <f t="shared" si="23"/>
        <v>4.2379324872425705</v>
      </c>
    </row>
    <row r="11" spans="2:55" x14ac:dyDescent="0.35">
      <c r="B11" s="2"/>
      <c r="C11" s="2"/>
      <c r="D11" s="2"/>
      <c r="E11" s="2"/>
      <c r="F11" s="13">
        <v>45.511110000000002</v>
      </c>
      <c r="G11" s="2">
        <v>49.031019999999998</v>
      </c>
      <c r="H11" s="2">
        <f t="shared" si="0"/>
        <v>3.5199099999999959</v>
      </c>
      <c r="I11" s="2">
        <f t="shared" si="1"/>
        <v>5.6016300000000001</v>
      </c>
      <c r="J11" s="2">
        <f t="shared" si="6"/>
        <v>0.385889882629468</v>
      </c>
      <c r="K11" s="2">
        <f t="shared" si="7"/>
        <v>0.614110117370532</v>
      </c>
      <c r="L11" s="2">
        <f t="shared" si="8"/>
        <v>0.28409817296465001</v>
      </c>
      <c r="M11" s="2">
        <f t="shared" si="9"/>
        <v>0.10963061062057508</v>
      </c>
      <c r="N11" s="2">
        <f t="shared" si="10"/>
        <v>9.121539999999996</v>
      </c>
      <c r="O11" s="13">
        <v>9</v>
      </c>
      <c r="P11">
        <f t="shared" si="11"/>
        <v>2.55688355668185</v>
      </c>
      <c r="V11" s="258" t="s">
        <v>32</v>
      </c>
      <c r="W11" s="155">
        <v>0</v>
      </c>
      <c r="Y11" s="13">
        <v>31.017330000000001</v>
      </c>
      <c r="Z11" s="2">
        <v>34.398820000000001</v>
      </c>
      <c r="AA11" s="2">
        <f t="shared" si="2"/>
        <v>3.3814899999999994</v>
      </c>
      <c r="AB11" s="2">
        <f t="shared" si="3"/>
        <v>4.1170100000000005</v>
      </c>
      <c r="AC11" s="2">
        <f t="shared" si="12"/>
        <v>0.4509555244382209</v>
      </c>
      <c r="AD11" s="2">
        <f t="shared" si="13"/>
        <v>0.54904447556177904</v>
      </c>
      <c r="AE11" s="2">
        <f t="shared" si="14"/>
        <v>0.29572762303008443</v>
      </c>
      <c r="AF11" s="2">
        <f t="shared" si="15"/>
        <v>0.13336000533440021</v>
      </c>
      <c r="AG11" s="2">
        <f t="shared" si="16"/>
        <v>7.4984999999999999</v>
      </c>
      <c r="AH11" s="2">
        <v>8</v>
      </c>
      <c r="AI11">
        <f t="shared" si="17"/>
        <v>2.3658209842406754</v>
      </c>
      <c r="AQ11" s="13">
        <v>50.401339999999998</v>
      </c>
      <c r="AR11" s="2">
        <v>56.329889999999999</v>
      </c>
      <c r="AS11" s="2">
        <f t="shared" si="4"/>
        <v>5.9285500000000013</v>
      </c>
      <c r="AT11" s="2">
        <f t="shared" si="5"/>
        <v>5.6892100000000028</v>
      </c>
      <c r="AU11" s="2">
        <f t="shared" si="18"/>
        <v>0.51030060872319616</v>
      </c>
      <c r="AV11" s="2">
        <f t="shared" si="19"/>
        <v>0.48969939127680384</v>
      </c>
      <c r="AW11" s="2">
        <f t="shared" si="20"/>
        <v>0.16867530846497031</v>
      </c>
      <c r="AX11" s="2">
        <f t="shared" si="21"/>
        <v>8.6075112586247227E-2</v>
      </c>
      <c r="AY11" s="2">
        <f t="shared" si="22"/>
        <v>11.617760000000004</v>
      </c>
      <c r="AZ11" s="13">
        <v>22</v>
      </c>
      <c r="BA11">
        <f t="shared" si="23"/>
        <v>3.7108567862293471</v>
      </c>
    </row>
    <row r="12" spans="2:55" x14ac:dyDescent="0.35">
      <c r="B12" s="2"/>
      <c r="C12" s="2"/>
      <c r="D12" s="2"/>
      <c r="E12" s="2"/>
      <c r="F12" s="13">
        <v>54.632649999999998</v>
      </c>
      <c r="G12" s="2">
        <v>59.033239999999999</v>
      </c>
      <c r="H12" s="2">
        <f t="shared" si="0"/>
        <v>4.4005900000000011</v>
      </c>
      <c r="I12" s="2">
        <f t="shared" si="1"/>
        <v>6.319970000000005</v>
      </c>
      <c r="J12" s="2">
        <f t="shared" si="6"/>
        <v>0.41048135545158076</v>
      </c>
      <c r="K12" s="2">
        <f t="shared" si="7"/>
        <v>0.58951864454841929</v>
      </c>
      <c r="L12" s="2">
        <f t="shared" si="8"/>
        <v>0.22724225615201593</v>
      </c>
      <c r="M12" s="2">
        <f t="shared" si="9"/>
        <v>9.3278709321154812E-2</v>
      </c>
      <c r="N12" s="2">
        <f t="shared" si="10"/>
        <v>10.720560000000006</v>
      </c>
      <c r="O12" s="13">
        <v>10</v>
      </c>
      <c r="P12">
        <f t="shared" si="11"/>
        <v>2.2724225615201594</v>
      </c>
      <c r="V12" s="258" t="s">
        <v>32</v>
      </c>
      <c r="W12" s="155">
        <v>0</v>
      </c>
      <c r="Y12" s="13">
        <v>38.515830000000001</v>
      </c>
      <c r="Z12" s="2">
        <v>39.691540000000003</v>
      </c>
      <c r="AA12" s="2">
        <f t="shared" si="2"/>
        <v>1.1757100000000023</v>
      </c>
      <c r="AB12" s="2">
        <f t="shared" si="3"/>
        <v>5.2291199999999947</v>
      </c>
      <c r="AC12" s="2">
        <f t="shared" si="12"/>
        <v>0.18356615241934646</v>
      </c>
      <c r="AD12" s="2">
        <f t="shared" si="13"/>
        <v>0.81643384758065352</v>
      </c>
      <c r="AE12" s="2">
        <f t="shared" si="14"/>
        <v>0.85054988049774016</v>
      </c>
      <c r="AF12" s="2">
        <f t="shared" si="15"/>
        <v>0.15613216900370508</v>
      </c>
      <c r="AG12" s="2">
        <f t="shared" si="16"/>
        <v>6.4048299999999969</v>
      </c>
      <c r="AH12" s="2">
        <v>5</v>
      </c>
      <c r="AI12">
        <f t="shared" si="17"/>
        <v>4.2527494024887007</v>
      </c>
      <c r="AQ12" s="13">
        <v>62.019100000000002</v>
      </c>
      <c r="AR12" s="2">
        <v>67.82808</v>
      </c>
      <c r="AS12" s="2">
        <f t="shared" si="4"/>
        <v>5.8089799999999983</v>
      </c>
      <c r="AT12" s="2">
        <f t="shared" si="5"/>
        <v>6.7005099999999942</v>
      </c>
      <c r="AU12" s="2">
        <f t="shared" si="18"/>
        <v>0.46436585344406539</v>
      </c>
      <c r="AV12" s="2">
        <f t="shared" si="19"/>
        <v>0.53563414655593455</v>
      </c>
      <c r="AW12" s="2">
        <f t="shared" si="20"/>
        <v>0.17214726165350894</v>
      </c>
      <c r="AX12" s="2">
        <f t="shared" si="21"/>
        <v>7.9939310075790512E-2</v>
      </c>
      <c r="AY12" s="2">
        <f t="shared" si="22"/>
        <v>12.509489999999992</v>
      </c>
      <c r="AZ12" s="13">
        <v>22</v>
      </c>
      <c r="BA12">
        <f t="shared" si="23"/>
        <v>3.7872397563771965</v>
      </c>
    </row>
    <row r="13" spans="2:55" x14ac:dyDescent="0.35">
      <c r="B13" s="2"/>
      <c r="C13" s="2"/>
      <c r="D13" s="2"/>
      <c r="E13" s="2"/>
      <c r="F13" s="13">
        <v>65.353210000000004</v>
      </c>
      <c r="G13" s="2">
        <v>68.395409999999998</v>
      </c>
      <c r="H13" s="2">
        <f t="shared" si="0"/>
        <v>3.042199999999994</v>
      </c>
      <c r="I13" s="2">
        <f t="shared" si="1"/>
        <v>5.8992900000000077</v>
      </c>
      <c r="J13" s="2">
        <f t="shared" si="6"/>
        <v>0.34023412205348252</v>
      </c>
      <c r="K13" s="2">
        <f t="shared" si="7"/>
        <v>0.65976587794651753</v>
      </c>
      <c r="L13" s="2">
        <f t="shared" si="8"/>
        <v>0.32870948655578264</v>
      </c>
      <c r="M13" s="2">
        <f t="shared" si="9"/>
        <v>0.11183818356895772</v>
      </c>
      <c r="N13" s="2">
        <f t="shared" si="10"/>
        <v>8.9414900000000017</v>
      </c>
      <c r="O13" s="13">
        <v>8</v>
      </c>
      <c r="P13">
        <f t="shared" si="11"/>
        <v>2.6296758924462611</v>
      </c>
      <c r="V13" s="258" t="s">
        <v>32</v>
      </c>
      <c r="W13" s="155">
        <v>0</v>
      </c>
      <c r="Y13" s="13">
        <v>44.920659999999998</v>
      </c>
      <c r="Z13" s="2">
        <v>46.067439999999998</v>
      </c>
      <c r="AA13" s="2">
        <f t="shared" si="2"/>
        <v>1.1467799999999997</v>
      </c>
      <c r="AB13" s="2">
        <f t="shared" si="3"/>
        <v>4.2916500000000042</v>
      </c>
      <c r="AC13" s="2">
        <f t="shared" si="12"/>
        <v>0.21086600360765861</v>
      </c>
      <c r="AD13" s="2">
        <f t="shared" si="13"/>
        <v>0.78913399639234139</v>
      </c>
      <c r="AE13" s="2">
        <f t="shared" si="14"/>
        <v>0.87200683653359867</v>
      </c>
      <c r="AF13" s="2">
        <f t="shared" si="15"/>
        <v>0.18387659673839679</v>
      </c>
      <c r="AG13" s="2">
        <f t="shared" si="16"/>
        <v>5.4384300000000039</v>
      </c>
      <c r="AH13" s="2">
        <v>5</v>
      </c>
      <c r="AI13">
        <f t="shared" si="17"/>
        <v>4.3600341826679934</v>
      </c>
      <c r="AQ13" s="13">
        <v>74.528589999999994</v>
      </c>
      <c r="AR13" s="2">
        <v>80.58193</v>
      </c>
      <c r="AS13" s="2">
        <f t="shared" si="4"/>
        <v>6.0533400000000057</v>
      </c>
      <c r="AT13" s="2">
        <f t="shared" si="5"/>
        <v>6.5912399999999991</v>
      </c>
      <c r="AU13" s="2">
        <f t="shared" si="18"/>
        <v>0.47873001712986935</v>
      </c>
      <c r="AV13" s="2">
        <f t="shared" si="19"/>
        <v>0.5212699828701306</v>
      </c>
      <c r="AW13" s="2">
        <f t="shared" si="20"/>
        <v>0.16519805594927744</v>
      </c>
      <c r="AX13" s="2">
        <f t="shared" si="21"/>
        <v>7.90852681544187E-2</v>
      </c>
      <c r="AY13" s="2">
        <f t="shared" si="22"/>
        <v>12.644580000000005</v>
      </c>
      <c r="AZ13" s="13">
        <v>24</v>
      </c>
      <c r="BA13">
        <f t="shared" si="23"/>
        <v>3.9647533427826582</v>
      </c>
    </row>
    <row r="14" spans="2:55" x14ac:dyDescent="0.35">
      <c r="B14" s="2"/>
      <c r="C14" s="2"/>
      <c r="D14" s="2"/>
      <c r="E14" s="2"/>
      <c r="F14" s="13">
        <v>74.294700000000006</v>
      </c>
      <c r="G14" s="2">
        <v>78.869720000000001</v>
      </c>
      <c r="H14" s="2">
        <f t="shared" si="0"/>
        <v>4.575019999999995</v>
      </c>
      <c r="I14" s="2">
        <f t="shared" si="1"/>
        <v>6.2723799999999983</v>
      </c>
      <c r="J14" s="2">
        <f t="shared" si="6"/>
        <v>0.42176189686007687</v>
      </c>
      <c r="K14" s="2">
        <f t="shared" si="7"/>
        <v>0.57823810313992319</v>
      </c>
      <c r="L14" s="2">
        <f t="shared" si="8"/>
        <v>0.21857827943921582</v>
      </c>
      <c r="M14" s="2">
        <f t="shared" si="9"/>
        <v>9.2187989748695603E-2</v>
      </c>
      <c r="N14" s="2">
        <f t="shared" si="10"/>
        <v>10.847399999999993</v>
      </c>
      <c r="O14" s="13">
        <v>9</v>
      </c>
      <c r="P14">
        <f t="shared" si="11"/>
        <v>1.9672045149529422</v>
      </c>
      <c r="V14" s="258" t="s">
        <v>32</v>
      </c>
      <c r="W14" s="155">
        <v>0</v>
      </c>
      <c r="Y14" s="13">
        <v>50.359090000000002</v>
      </c>
      <c r="Z14" s="2">
        <v>52.518340000000002</v>
      </c>
      <c r="AA14" s="2">
        <f t="shared" si="2"/>
        <v>2.1592500000000001</v>
      </c>
      <c r="AB14" s="2">
        <f t="shared" si="3"/>
        <v>4.2239700000000013</v>
      </c>
      <c r="AC14" s="2">
        <f t="shared" si="12"/>
        <v>0.33826971340483325</v>
      </c>
      <c r="AD14" s="2">
        <f t="shared" si="13"/>
        <v>0.66173028659516675</v>
      </c>
      <c r="AE14" s="2">
        <f t="shared" si="14"/>
        <v>0.46312376982748638</v>
      </c>
      <c r="AF14" s="2">
        <f t="shared" si="15"/>
        <v>0.15666074489050977</v>
      </c>
      <c r="AG14" s="2">
        <f t="shared" si="16"/>
        <v>6.3832200000000014</v>
      </c>
      <c r="AH14" s="2">
        <v>6</v>
      </c>
      <c r="AI14">
        <f t="shared" si="17"/>
        <v>2.7787426189649183</v>
      </c>
      <c r="AQ14" s="13">
        <v>87.173169999999999</v>
      </c>
      <c r="AR14" s="2">
        <v>92.326499999999996</v>
      </c>
      <c r="AS14" s="2">
        <f t="shared" si="4"/>
        <v>5.1533299999999969</v>
      </c>
      <c r="AT14" s="2">
        <f t="shared" si="5"/>
        <v>7.4974500000000006</v>
      </c>
      <c r="AU14" s="2">
        <f t="shared" si="18"/>
        <v>0.40735274820999162</v>
      </c>
      <c r="AV14" s="2">
        <f t="shared" si="19"/>
        <v>0.59264725179000832</v>
      </c>
      <c r="AW14" s="2">
        <f t="shared" si="20"/>
        <v>0.1940492846373123</v>
      </c>
      <c r="AX14" s="2">
        <f t="shared" si="21"/>
        <v>7.9046509385192074E-2</v>
      </c>
      <c r="AY14" s="2">
        <f t="shared" si="22"/>
        <v>12.650779999999997</v>
      </c>
      <c r="AZ14" s="13">
        <v>21</v>
      </c>
      <c r="BA14">
        <f t="shared" si="23"/>
        <v>4.0750349773835586</v>
      </c>
    </row>
    <row r="15" spans="2:55" x14ac:dyDescent="0.35">
      <c r="B15" s="2"/>
      <c r="C15" s="2"/>
      <c r="D15" s="2"/>
      <c r="E15" s="2"/>
      <c r="F15" s="13">
        <v>85.142099999999999</v>
      </c>
      <c r="G15" s="2">
        <v>88.626459999999994</v>
      </c>
      <c r="H15" s="2">
        <f t="shared" si="0"/>
        <v>3.4843599999999952</v>
      </c>
      <c r="I15" s="2">
        <f t="shared" si="1"/>
        <v>5.5265899999999988</v>
      </c>
      <c r="J15" s="2">
        <f t="shared" si="6"/>
        <v>0.38668064965403176</v>
      </c>
      <c r="K15" s="2">
        <f t="shared" si="7"/>
        <v>0.61331935034596818</v>
      </c>
      <c r="L15" s="2">
        <f t="shared" si="8"/>
        <v>0.28699675119677687</v>
      </c>
      <c r="M15" s="2">
        <f t="shared" si="9"/>
        <v>0.11097609020136619</v>
      </c>
      <c r="N15" s="2">
        <f t="shared" si="10"/>
        <v>9.010949999999994</v>
      </c>
      <c r="O15" s="13">
        <v>9</v>
      </c>
      <c r="P15">
        <f t="shared" si="11"/>
        <v>2.5829707607709915</v>
      </c>
      <c r="V15" s="258" t="s">
        <v>32</v>
      </c>
      <c r="W15" s="155">
        <v>0</v>
      </c>
      <c r="Y15" s="13">
        <v>56.742310000000003</v>
      </c>
      <c r="Z15" s="2">
        <v>58.949669999999998</v>
      </c>
      <c r="AA15" s="2">
        <f t="shared" si="2"/>
        <v>2.2073599999999942</v>
      </c>
      <c r="AB15" s="2">
        <f t="shared" si="3"/>
        <v>4.2293599999999998</v>
      </c>
      <c r="AC15" s="2">
        <f t="shared" si="12"/>
        <v>0.342932425210355</v>
      </c>
      <c r="AD15" s="2">
        <f t="shared" si="13"/>
        <v>0.65706757478964495</v>
      </c>
      <c r="AE15" s="2">
        <f t="shared" si="14"/>
        <v>0.4530298637286182</v>
      </c>
      <c r="AF15" s="2">
        <f t="shared" si="15"/>
        <v>0.15535862986117166</v>
      </c>
      <c r="AG15" s="2">
        <f t="shared" si="16"/>
        <v>6.436719999999994</v>
      </c>
      <c r="AH15" s="2">
        <v>6</v>
      </c>
      <c r="AI15">
        <f t="shared" si="17"/>
        <v>2.718179182371709</v>
      </c>
      <c r="AQ15" s="13">
        <v>99.823949999999996</v>
      </c>
      <c r="AR15" s="2">
        <v>104.82769</v>
      </c>
      <c r="AS15" s="2">
        <f t="shared" si="4"/>
        <v>5.0037400000000076</v>
      </c>
      <c r="AT15" s="2">
        <f t="shared" si="5"/>
        <v>6.7538499999999999</v>
      </c>
      <c r="AU15" s="2">
        <f t="shared" si="18"/>
        <v>0.42557530922578557</v>
      </c>
      <c r="AV15" s="2">
        <f t="shared" si="19"/>
        <v>0.57442469077421443</v>
      </c>
      <c r="AW15" s="2">
        <f t="shared" si="20"/>
        <v>0.19985051181716046</v>
      </c>
      <c r="AX15" s="2">
        <f t="shared" si="21"/>
        <v>8.5051443365519577E-2</v>
      </c>
      <c r="AY15" s="2">
        <f t="shared" si="22"/>
        <v>11.757590000000008</v>
      </c>
      <c r="AZ15" s="13">
        <v>21</v>
      </c>
      <c r="BA15">
        <f t="shared" si="23"/>
        <v>4.1968607481603692</v>
      </c>
    </row>
    <row r="16" spans="2:55" x14ac:dyDescent="0.35">
      <c r="B16" s="2"/>
      <c r="C16" s="2"/>
      <c r="D16" s="2"/>
      <c r="E16" s="2"/>
      <c r="F16" s="13">
        <v>94.153049999999993</v>
      </c>
      <c r="G16" s="2">
        <v>97.790999999999997</v>
      </c>
      <c r="H16" s="2">
        <f t="shared" si="0"/>
        <v>3.6379500000000036</v>
      </c>
      <c r="I16" s="2">
        <f t="shared" si="1"/>
        <v>7.3138500000000022</v>
      </c>
      <c r="J16" s="2">
        <f t="shared" si="6"/>
        <v>0.33217827206486622</v>
      </c>
      <c r="K16" s="2">
        <f t="shared" si="7"/>
        <v>0.66782172793513384</v>
      </c>
      <c r="L16" s="2">
        <f t="shared" si="8"/>
        <v>0.27488008356354515</v>
      </c>
      <c r="M16" s="2">
        <f t="shared" si="9"/>
        <v>9.1309191183184452E-2</v>
      </c>
      <c r="N16" s="2">
        <f t="shared" si="10"/>
        <v>10.951800000000006</v>
      </c>
      <c r="O16" s="13">
        <v>9</v>
      </c>
      <c r="P16">
        <f t="shared" si="11"/>
        <v>2.4739207520719062</v>
      </c>
      <c r="V16" s="258" t="s">
        <v>32</v>
      </c>
      <c r="W16" s="155">
        <v>0</v>
      </c>
      <c r="Y16" s="13">
        <v>63.179029999999997</v>
      </c>
      <c r="Z16" s="2">
        <v>65.09487</v>
      </c>
      <c r="AA16" s="2">
        <f t="shared" si="2"/>
        <v>1.9158400000000029</v>
      </c>
      <c r="AB16" s="2">
        <f t="shared" si="3"/>
        <v>5.3760800000000017</v>
      </c>
      <c r="AC16" s="2">
        <f t="shared" si="12"/>
        <v>0.26273464327639384</v>
      </c>
      <c r="AD16" s="2">
        <f t="shared" si="13"/>
        <v>0.73726535672360616</v>
      </c>
      <c r="AE16" s="2">
        <f t="shared" si="14"/>
        <v>0.52196425588775597</v>
      </c>
      <c r="AF16" s="2">
        <f t="shared" si="15"/>
        <v>0.13713809257369791</v>
      </c>
      <c r="AG16" s="2">
        <f t="shared" si="16"/>
        <v>7.2919200000000046</v>
      </c>
      <c r="AH16" s="2">
        <v>5</v>
      </c>
      <c r="AI16">
        <f t="shared" si="17"/>
        <v>2.6098212794387803</v>
      </c>
      <c r="AQ16" s="13">
        <v>111.58154</v>
      </c>
      <c r="AR16" s="2">
        <v>117.3321</v>
      </c>
      <c r="AS16" s="2">
        <f t="shared" si="4"/>
        <v>5.750559999999993</v>
      </c>
      <c r="AT16" s="2"/>
      <c r="AU16" s="2"/>
      <c r="AV16" s="2"/>
      <c r="AW16" s="2"/>
      <c r="AX16" s="2"/>
      <c r="AY16" s="2"/>
      <c r="AZ16" s="13"/>
    </row>
    <row r="17" spans="2:53" x14ac:dyDescent="0.35">
      <c r="B17" s="2"/>
      <c r="C17" s="2"/>
      <c r="D17" s="2"/>
      <c r="E17" s="2"/>
      <c r="F17" s="13">
        <v>105.10485</v>
      </c>
      <c r="G17" s="2">
        <v>108.49235</v>
      </c>
      <c r="H17" s="2">
        <f t="shared" si="0"/>
        <v>3.3875000000000028</v>
      </c>
      <c r="I17" s="2">
        <f t="shared" si="1"/>
        <v>7.340289999999996</v>
      </c>
      <c r="J17" s="2">
        <f t="shared" si="6"/>
        <v>0.31576867183268903</v>
      </c>
      <c r="K17" s="2">
        <f t="shared" si="7"/>
        <v>0.68423132816731091</v>
      </c>
      <c r="L17" s="2">
        <f t="shared" si="8"/>
        <v>0.29520295202952007</v>
      </c>
      <c r="M17" s="2">
        <f t="shared" si="9"/>
        <v>9.3215844083450558E-2</v>
      </c>
      <c r="N17" s="2">
        <f t="shared" si="10"/>
        <v>10.727789999999999</v>
      </c>
      <c r="O17" s="13">
        <v>7</v>
      </c>
      <c r="P17">
        <f t="shared" si="11"/>
        <v>2.0664206642066403</v>
      </c>
      <c r="V17" s="258" t="s">
        <v>32</v>
      </c>
      <c r="W17" s="155">
        <v>0</v>
      </c>
      <c r="Y17" s="13">
        <v>70.470950000000002</v>
      </c>
      <c r="Z17" s="2">
        <v>71.673860000000005</v>
      </c>
      <c r="AA17" s="2">
        <f t="shared" si="2"/>
        <v>1.2029100000000028</v>
      </c>
      <c r="AB17" s="2">
        <f t="shared" si="3"/>
        <v>5.0759699999999981</v>
      </c>
      <c r="AC17" s="2">
        <f t="shared" si="12"/>
        <v>0.19158034553933229</v>
      </c>
      <c r="AD17" s="2">
        <f t="shared" si="13"/>
        <v>0.80841965446066777</v>
      </c>
      <c r="AE17" s="2">
        <f t="shared" si="14"/>
        <v>0.83131738866581673</v>
      </c>
      <c r="AF17" s="2">
        <f t="shared" si="15"/>
        <v>0.15926407257345257</v>
      </c>
      <c r="AG17" s="2">
        <f t="shared" si="16"/>
        <v>6.2788800000000009</v>
      </c>
      <c r="AH17" s="2">
        <v>5</v>
      </c>
      <c r="AI17">
        <f t="shared" si="17"/>
        <v>4.1565869433290841</v>
      </c>
      <c r="AQ17" s="13"/>
      <c r="AR17" s="2"/>
      <c r="AS17" s="2"/>
      <c r="AT17" s="2"/>
      <c r="AU17" s="2"/>
      <c r="AV17" s="2"/>
      <c r="AW17" s="2"/>
      <c r="AX17" s="2"/>
      <c r="AY17" s="2"/>
      <c r="AZ17" s="13"/>
    </row>
    <row r="18" spans="2:53" x14ac:dyDescent="0.35">
      <c r="B18" s="2"/>
      <c r="C18" s="2"/>
      <c r="D18" s="2"/>
      <c r="E18" s="2"/>
      <c r="F18" s="13">
        <v>115.83264</v>
      </c>
      <c r="G18" s="2">
        <v>119.8947</v>
      </c>
      <c r="H18" s="2">
        <f t="shared" si="0"/>
        <v>4.0620600000000024</v>
      </c>
      <c r="I18" s="2"/>
      <c r="J18" s="2"/>
      <c r="K18" s="2"/>
      <c r="L18" s="2"/>
      <c r="M18" s="2"/>
      <c r="N18" s="2"/>
      <c r="O18" s="13"/>
      <c r="V18" s="258" t="s">
        <v>32</v>
      </c>
      <c r="W18" s="155">
        <v>0</v>
      </c>
      <c r="Y18" s="13">
        <v>76.749830000000003</v>
      </c>
      <c r="Z18" s="2">
        <v>77.898349999999994</v>
      </c>
      <c r="AA18" s="2">
        <f t="shared" si="2"/>
        <v>1.1485199999999907</v>
      </c>
      <c r="AB18" s="2">
        <f t="shared" si="3"/>
        <v>4.2075800000000072</v>
      </c>
      <c r="AC18" s="2">
        <f t="shared" si="12"/>
        <v>0.21443214279046155</v>
      </c>
      <c r="AD18" s="2">
        <f t="shared" si="13"/>
        <v>0.78556785720953848</v>
      </c>
      <c r="AE18" s="2">
        <f t="shared" si="14"/>
        <v>0.87068575209835974</v>
      </c>
      <c r="AF18" s="2">
        <f t="shared" si="15"/>
        <v>0.18670301151957588</v>
      </c>
      <c r="AG18" s="2">
        <f t="shared" si="16"/>
        <v>5.3560999999999979</v>
      </c>
      <c r="AH18" s="2">
        <v>5</v>
      </c>
      <c r="AI18">
        <f t="shared" si="17"/>
        <v>4.3534287604917985</v>
      </c>
      <c r="AQ18" s="13"/>
      <c r="AR18" s="2"/>
      <c r="AS18" s="2"/>
      <c r="AT18" s="2"/>
      <c r="AU18" s="2"/>
      <c r="AV18" s="2"/>
      <c r="AW18" s="2"/>
      <c r="AX18" s="2"/>
      <c r="AY18" s="2"/>
      <c r="AZ18" s="13"/>
    </row>
    <row r="19" spans="2:53" x14ac:dyDescent="0.35">
      <c r="B19" s="2"/>
      <c r="C19" s="2"/>
      <c r="D19" s="2"/>
      <c r="E19" s="2"/>
      <c r="F19" s="13"/>
      <c r="G19" s="2"/>
      <c r="H19" s="2"/>
      <c r="I19" s="2"/>
      <c r="J19" s="2"/>
      <c r="K19" s="2"/>
      <c r="L19" s="2"/>
      <c r="M19" s="2"/>
      <c r="N19" s="2"/>
      <c r="O19" s="13"/>
      <c r="V19" s="258" t="s">
        <v>32</v>
      </c>
      <c r="W19" s="155">
        <v>0</v>
      </c>
      <c r="Y19" s="13">
        <v>82.105930000000001</v>
      </c>
      <c r="Z19" s="2">
        <v>84.343389999999999</v>
      </c>
      <c r="AA19" s="2">
        <f t="shared" si="2"/>
        <v>2.2374599999999987</v>
      </c>
      <c r="AB19" s="2">
        <f t="shared" si="3"/>
        <v>5.0187099999999987</v>
      </c>
      <c r="AC19" s="2">
        <f t="shared" si="12"/>
        <v>0.30835275358763636</v>
      </c>
      <c r="AD19" s="2">
        <f t="shared" si="13"/>
        <v>0.69164724641236364</v>
      </c>
      <c r="AE19" s="2">
        <f t="shared" si="14"/>
        <v>0.44693536420762858</v>
      </c>
      <c r="AF19" s="2">
        <f t="shared" si="15"/>
        <v>0.13781375022911541</v>
      </c>
      <c r="AG19" s="2">
        <f t="shared" si="16"/>
        <v>7.2561699999999973</v>
      </c>
      <c r="AH19" s="2">
        <v>6</v>
      </c>
      <c r="AI19">
        <f t="shared" si="17"/>
        <v>2.6816121852457715</v>
      </c>
      <c r="AQ19" s="13"/>
      <c r="AR19" s="2"/>
      <c r="AS19" s="2"/>
      <c r="AT19" s="2"/>
      <c r="AU19" s="2"/>
      <c r="AV19" s="2"/>
      <c r="AW19" s="2"/>
      <c r="AX19" s="2"/>
      <c r="AY19" s="2"/>
      <c r="AZ19" s="13"/>
    </row>
    <row r="20" spans="2:53" ht="16" thickBot="1" x14ac:dyDescent="0.4">
      <c r="B20" s="2"/>
      <c r="C20" s="2"/>
      <c r="D20" s="2"/>
      <c r="E20" s="2"/>
      <c r="F20" s="13"/>
      <c r="G20" s="13"/>
      <c r="H20" s="9" t="s">
        <v>3</v>
      </c>
      <c r="I20" s="9" t="s">
        <v>4</v>
      </c>
      <c r="J20" s="9" t="s">
        <v>5</v>
      </c>
      <c r="K20" s="9" t="s">
        <v>6</v>
      </c>
      <c r="L20" s="9" t="s">
        <v>7</v>
      </c>
      <c r="M20" s="9" t="s">
        <v>8</v>
      </c>
      <c r="N20" s="9" t="s">
        <v>9</v>
      </c>
      <c r="O20" s="9" t="s">
        <v>10</v>
      </c>
      <c r="P20" s="44" t="s">
        <v>139</v>
      </c>
      <c r="V20" s="258" t="s">
        <v>32</v>
      </c>
      <c r="W20" s="155">
        <v>0</v>
      </c>
      <c r="Y20" s="13">
        <v>89.362099999999998</v>
      </c>
      <c r="Z20" s="2">
        <v>90.666690000000003</v>
      </c>
      <c r="AA20" s="2">
        <f t="shared" si="2"/>
        <v>1.3045900000000046</v>
      </c>
      <c r="AB20" s="2">
        <f t="shared" si="3"/>
        <v>11.415269999999992</v>
      </c>
      <c r="AC20" s="2">
        <f t="shared" si="12"/>
        <v>0.10256323575888453</v>
      </c>
      <c r="AD20" s="2">
        <f t="shared" si="13"/>
        <v>0.89743676424111551</v>
      </c>
      <c r="AE20" s="2">
        <f t="shared" si="14"/>
        <v>0.766524348645932</v>
      </c>
      <c r="AF20" s="2">
        <f t="shared" si="15"/>
        <v>7.8617217485098131E-2</v>
      </c>
      <c r="AG20" s="2">
        <f t="shared" si="16"/>
        <v>12.719859999999997</v>
      </c>
      <c r="AH20" s="2">
        <v>5</v>
      </c>
      <c r="AI20">
        <f t="shared" si="17"/>
        <v>3.8326217432296601</v>
      </c>
      <c r="AQ20" s="13"/>
      <c r="AR20" s="13"/>
      <c r="AS20" s="9" t="s">
        <v>3</v>
      </c>
      <c r="AT20" s="9" t="s">
        <v>4</v>
      </c>
      <c r="AU20" s="9" t="s">
        <v>5</v>
      </c>
      <c r="AV20" s="9" t="s">
        <v>6</v>
      </c>
      <c r="AW20" s="9" t="s">
        <v>7</v>
      </c>
      <c r="AX20" s="9" t="s">
        <v>8</v>
      </c>
      <c r="AY20" s="9" t="s">
        <v>9</v>
      </c>
      <c r="AZ20" s="9" t="s">
        <v>10</v>
      </c>
      <c r="BA20" s="44" t="s">
        <v>139</v>
      </c>
    </row>
    <row r="21" spans="2:53" x14ac:dyDescent="0.35">
      <c r="B21" s="2"/>
      <c r="C21" s="2"/>
      <c r="D21" s="2"/>
      <c r="E21" s="2"/>
      <c r="F21" s="13"/>
      <c r="G21" s="49" t="s">
        <v>77</v>
      </c>
      <c r="H21" s="13">
        <f>AVERAGE(H7:H17)</f>
        <v>3.47561909090909</v>
      </c>
      <c r="I21" s="13">
        <f t="shared" ref="I21:P21" si="24">AVERAGE(I7:I17)</f>
        <v>6.9513981818181829</v>
      </c>
      <c r="J21" s="13">
        <f t="shared" si="24"/>
        <v>0.33605352822190704</v>
      </c>
      <c r="K21" s="13">
        <f t="shared" si="24"/>
        <v>0.66394647177809285</v>
      </c>
      <c r="L21" s="13">
        <f t="shared" si="24"/>
        <v>0.29846948991325439</v>
      </c>
      <c r="M21" s="13">
        <f t="shared" si="24"/>
        <v>9.6683069570032698E-2</v>
      </c>
      <c r="N21" s="13">
        <f t="shared" si="24"/>
        <v>10.427017272727271</v>
      </c>
      <c r="O21" s="13">
        <f t="shared" si="24"/>
        <v>8.0909090909090917</v>
      </c>
      <c r="P21" s="13">
        <f t="shared" si="24"/>
        <v>2.3743337203240924</v>
      </c>
      <c r="V21" s="258" t="s">
        <v>32</v>
      </c>
      <c r="W21" s="155">
        <v>0</v>
      </c>
      <c r="Y21" s="13">
        <v>102.08196</v>
      </c>
      <c r="Z21" s="2">
        <v>104.24227999999999</v>
      </c>
      <c r="AA21" s="2">
        <f t="shared" si="2"/>
        <v>2.1603199999999987</v>
      </c>
      <c r="AB21" s="2">
        <f t="shared" si="3"/>
        <v>5.1847700000000003</v>
      </c>
      <c r="AC21" s="2">
        <f t="shared" si="12"/>
        <v>0.29411756697331126</v>
      </c>
      <c r="AD21" s="2">
        <f t="shared" si="13"/>
        <v>0.70588243302668874</v>
      </c>
      <c r="AE21" s="2">
        <f t="shared" si="14"/>
        <v>0.46289438601688665</v>
      </c>
      <c r="AF21" s="2">
        <f t="shared" si="15"/>
        <v>0.13614537058089146</v>
      </c>
      <c r="AG21" s="2">
        <f t="shared" si="16"/>
        <v>7.345089999999999</v>
      </c>
      <c r="AH21" s="2">
        <v>6</v>
      </c>
      <c r="AI21">
        <f t="shared" si="17"/>
        <v>2.77736631610132</v>
      </c>
      <c r="AQ21" s="13"/>
      <c r="AR21" s="49" t="s">
        <v>77</v>
      </c>
      <c r="AS21" s="13">
        <f>AVERAGE(AS7:AS15)</f>
        <v>5.2338811111111134</v>
      </c>
      <c r="AT21" s="13">
        <f t="shared" ref="AT21:BA21" si="25">AVERAGE(AT7:AT15)</f>
        <v>6.8237233333333318</v>
      </c>
      <c r="AU21" s="13">
        <f t="shared" si="25"/>
        <v>0.43313357364362504</v>
      </c>
      <c r="AV21" s="13">
        <f t="shared" si="25"/>
        <v>0.56686642635637485</v>
      </c>
      <c r="AW21" s="13">
        <f t="shared" si="25"/>
        <v>0.19497204811240978</v>
      </c>
      <c r="AX21" s="13">
        <f t="shared" si="25"/>
        <v>8.3144539556367691E-2</v>
      </c>
      <c r="AY21" s="13">
        <f t="shared" si="25"/>
        <v>12.057604444444443</v>
      </c>
      <c r="AZ21" s="13">
        <f t="shared" si="25"/>
        <v>20.333333333333332</v>
      </c>
      <c r="BA21" s="13">
        <f t="shared" si="25"/>
        <v>3.9077553775123977</v>
      </c>
    </row>
    <row r="22" spans="2:53" x14ac:dyDescent="0.35">
      <c r="B22" s="2"/>
      <c r="C22" s="2"/>
      <c r="D22" s="2"/>
      <c r="E22" s="2"/>
      <c r="F22" s="13"/>
      <c r="G22" s="49" t="s">
        <v>94</v>
      </c>
      <c r="H22" s="2">
        <f>_xlfn.STDEV.S(H7:H17)</f>
        <v>0.66459869118821846</v>
      </c>
      <c r="I22" s="2">
        <f t="shared" ref="I22:P22" si="26">_xlfn.STDEV.S(I7:I17)</f>
        <v>1.181831676067433</v>
      </c>
      <c r="J22" s="2">
        <f t="shared" si="26"/>
        <v>6.8480662981782819E-2</v>
      </c>
      <c r="K22" s="2">
        <f t="shared" si="26"/>
        <v>6.8480662981782528E-2</v>
      </c>
      <c r="L22" s="2">
        <f t="shared" si="26"/>
        <v>6.381775991259904E-2</v>
      </c>
      <c r="M22" s="2">
        <f t="shared" si="26"/>
        <v>9.401706132128972E-3</v>
      </c>
      <c r="N22" s="2">
        <f t="shared" si="26"/>
        <v>0.95184816462596633</v>
      </c>
      <c r="O22" s="2">
        <f t="shared" si="26"/>
        <v>1.2210278829367853</v>
      </c>
      <c r="P22" s="2">
        <f t="shared" si="26"/>
        <v>0.39264426143058279</v>
      </c>
      <c r="V22" s="258" t="s">
        <v>32</v>
      </c>
      <c r="W22" s="155">
        <v>0</v>
      </c>
      <c r="Y22" s="13">
        <v>109.42704999999999</v>
      </c>
      <c r="Z22" s="2">
        <v>111.58931</v>
      </c>
      <c r="AA22" s="2">
        <f t="shared" si="2"/>
        <v>2.1622600000000034</v>
      </c>
      <c r="AB22" s="2">
        <f t="shared" si="3"/>
        <v>4.114050000000006</v>
      </c>
      <c r="AC22" s="2">
        <f t="shared" si="12"/>
        <v>0.34451134504191161</v>
      </c>
      <c r="AD22" s="2">
        <f t="shared" si="13"/>
        <v>0.65548865495808839</v>
      </c>
      <c r="AE22" s="2">
        <f t="shared" si="14"/>
        <v>0.46247907282195405</v>
      </c>
      <c r="AF22" s="2">
        <f t="shared" si="15"/>
        <v>0.15932928743162758</v>
      </c>
      <c r="AG22" s="2">
        <f t="shared" si="16"/>
        <v>6.2763100000000094</v>
      </c>
      <c r="AH22" s="2">
        <v>6</v>
      </c>
      <c r="AI22">
        <f t="shared" si="17"/>
        <v>2.7748744369317246</v>
      </c>
      <c r="AQ22" s="13"/>
      <c r="AR22" s="49" t="s">
        <v>94</v>
      </c>
      <c r="AS22" s="2">
        <f>_xlfn.STDEV.S(AS7:AS15)</f>
        <v>0.74901420381132322</v>
      </c>
      <c r="AT22" s="2">
        <f t="shared" ref="AT22:BA22" si="27">_xlfn.STDEV.S(AT7:AT15)</f>
        <v>0.57214295431736184</v>
      </c>
      <c r="AU22" s="2">
        <f t="shared" si="27"/>
        <v>5.1378769629564294E-2</v>
      </c>
      <c r="AV22" s="2">
        <f t="shared" si="27"/>
        <v>5.1378769629563836E-2</v>
      </c>
      <c r="AW22" s="2">
        <f t="shared" si="27"/>
        <v>3.0921689489152519E-2</v>
      </c>
      <c r="AX22" s="2">
        <f t="shared" si="27"/>
        <v>4.5160852682606502E-3</v>
      </c>
      <c r="AY22" s="2">
        <f t="shared" si="27"/>
        <v>0.62947039112477443</v>
      </c>
      <c r="AZ22" s="2">
        <f t="shared" si="27"/>
        <v>2.3452078799117149</v>
      </c>
      <c r="BA22" s="2">
        <f t="shared" si="27"/>
        <v>0.26890667354068859</v>
      </c>
    </row>
    <row r="23" spans="2:53" x14ac:dyDescent="0.35">
      <c r="B23" s="2"/>
      <c r="C23" s="2"/>
      <c r="D23" s="2"/>
      <c r="E23" s="2"/>
      <c r="F23" s="13"/>
      <c r="G23" s="49" t="s">
        <v>95</v>
      </c>
      <c r="H23" s="2">
        <f t="shared" ref="H23:P23" si="28">H22/(SQRT(COUNT(H7:H17)))</f>
        <v>0.20038404498478166</v>
      </c>
      <c r="I23" s="2">
        <f t="shared" si="28"/>
        <v>0.35633565771568371</v>
      </c>
      <c r="J23" s="2">
        <f t="shared" si="28"/>
        <v>2.0647696773214021E-2</v>
      </c>
      <c r="K23" s="2">
        <f t="shared" si="28"/>
        <v>2.0647696773213934E-2</v>
      </c>
      <c r="L23" s="2">
        <f t="shared" si="28"/>
        <v>1.9241778599188641E-2</v>
      </c>
      <c r="M23" s="2">
        <f t="shared" si="28"/>
        <v>2.8347210572232115E-3</v>
      </c>
      <c r="N23" s="2">
        <f t="shared" si="28"/>
        <v>0.28699301995025162</v>
      </c>
      <c r="O23" s="2">
        <f t="shared" si="28"/>
        <v>0.36815375875121031</v>
      </c>
      <c r="P23" s="2">
        <f t="shared" si="28"/>
        <v>0.11838669920467795</v>
      </c>
      <c r="V23" s="258" t="s">
        <v>326</v>
      </c>
      <c r="W23" s="155">
        <v>0</v>
      </c>
      <c r="Y23" s="13">
        <v>115.70336</v>
      </c>
      <c r="Z23" s="13">
        <v>117.82167</v>
      </c>
      <c r="AA23" s="2">
        <f t="shared" si="2"/>
        <v>2.1183099999999939</v>
      </c>
      <c r="AB23" s="2"/>
      <c r="AC23" s="2"/>
      <c r="AD23" s="2"/>
      <c r="AE23" s="2"/>
      <c r="AF23" s="2"/>
      <c r="AG23" s="2"/>
      <c r="AH23" s="2"/>
      <c r="AQ23" s="13"/>
      <c r="AR23" s="49" t="s">
        <v>95</v>
      </c>
      <c r="AS23" s="2">
        <f>AS22/(SQRT(COUNT(AS7:AS15)))</f>
        <v>0.24967140127044107</v>
      </c>
      <c r="AT23" s="2">
        <f t="shared" ref="AT23:BA23" si="29">AT22/(SQRT(COUNT(AT7:AT15)))</f>
        <v>0.19071431810578729</v>
      </c>
      <c r="AU23" s="2">
        <f t="shared" si="29"/>
        <v>1.7126256543188098E-2</v>
      </c>
      <c r="AV23" s="2">
        <f t="shared" si="29"/>
        <v>1.7126256543187945E-2</v>
      </c>
      <c r="AW23" s="2">
        <f t="shared" si="29"/>
        <v>1.0307229829717506E-2</v>
      </c>
      <c r="AX23" s="2">
        <f t="shared" si="29"/>
        <v>1.5053617560868834E-3</v>
      </c>
      <c r="AY23" s="2">
        <f t="shared" si="29"/>
        <v>0.20982346370825813</v>
      </c>
      <c r="AZ23" s="2">
        <f t="shared" si="29"/>
        <v>0.78173595997057166</v>
      </c>
      <c r="BA23" s="2">
        <f t="shared" si="29"/>
        <v>8.9635557846896197E-2</v>
      </c>
    </row>
    <row r="24" spans="2:53" x14ac:dyDescent="0.35">
      <c r="B24" s="2"/>
      <c r="C24" s="2"/>
      <c r="D24" s="2"/>
      <c r="E24" s="2"/>
      <c r="F24" s="13"/>
      <c r="G24" s="13"/>
      <c r="H24" s="2"/>
      <c r="I24" s="2"/>
      <c r="J24" s="2"/>
      <c r="K24" s="2"/>
      <c r="L24" s="2"/>
      <c r="M24" s="2"/>
      <c r="N24" s="2"/>
      <c r="O24" s="2"/>
      <c r="W24" s="155"/>
      <c r="Y24" s="13"/>
      <c r="Z24" s="13"/>
      <c r="AA24" s="2"/>
      <c r="AB24" s="2"/>
      <c r="AC24" s="2"/>
      <c r="AD24" s="2"/>
      <c r="AE24" s="2"/>
      <c r="AF24" s="2"/>
      <c r="AG24" s="2"/>
      <c r="AH24" s="2"/>
    </row>
    <row r="25" spans="2:53" ht="16" thickBot="1" x14ac:dyDescent="0.4">
      <c r="B25" s="2"/>
      <c r="C25" s="2"/>
      <c r="D25" s="2"/>
      <c r="E25" s="2"/>
      <c r="F25" s="13"/>
      <c r="W25" s="155"/>
      <c r="X25" s="104"/>
      <c r="Z25" s="13"/>
      <c r="AA25" s="9" t="s">
        <v>3</v>
      </c>
      <c r="AB25" s="9" t="s">
        <v>4</v>
      </c>
      <c r="AC25" s="9" t="s">
        <v>5</v>
      </c>
      <c r="AD25" s="9" t="s">
        <v>6</v>
      </c>
      <c r="AE25" s="9" t="s">
        <v>7</v>
      </c>
      <c r="AF25" s="9" t="s">
        <v>8</v>
      </c>
      <c r="AG25" s="9" t="s">
        <v>9</v>
      </c>
      <c r="AH25" s="9" t="s">
        <v>10</v>
      </c>
      <c r="AI25" s="44" t="s">
        <v>139</v>
      </c>
    </row>
    <row r="26" spans="2:53" x14ac:dyDescent="0.35">
      <c r="B26" s="2"/>
      <c r="C26" s="2"/>
      <c r="D26" s="2"/>
      <c r="E26" s="2"/>
      <c r="F26" s="13"/>
      <c r="W26" s="155"/>
      <c r="X26" s="104" t="s">
        <v>410</v>
      </c>
      <c r="Z26" s="49" t="s">
        <v>77</v>
      </c>
      <c r="AA26" s="13">
        <f>AVERAGE(AA7:AA22)</f>
        <v>1.9876018749999997</v>
      </c>
      <c r="AB26" s="13">
        <f t="shared" ref="AB26:AI26" si="30">AVERAGE(AB7:AB22)</f>
        <v>4.9682481250000006</v>
      </c>
      <c r="AC26" s="13">
        <f t="shared" si="30"/>
        <v>0.29292435234754821</v>
      </c>
      <c r="AD26" s="13">
        <f t="shared" si="30"/>
        <v>0.70707564765245179</v>
      </c>
      <c r="AE26" s="13">
        <f t="shared" si="30"/>
        <v>0.56809859624145531</v>
      </c>
      <c r="AF26" s="13">
        <f t="shared" si="30"/>
        <v>0.14932599776228703</v>
      </c>
      <c r="AG26" s="13">
        <f t="shared" si="30"/>
        <v>6.9558500000000008</v>
      </c>
      <c r="AH26" s="13">
        <f t="shared" si="30"/>
        <v>5.9375</v>
      </c>
      <c r="AI26" s="13">
        <f t="shared" si="30"/>
        <v>3.2141625014195898</v>
      </c>
    </row>
    <row r="27" spans="2:53" x14ac:dyDescent="0.35">
      <c r="B27" s="2"/>
      <c r="C27" s="2"/>
      <c r="D27" s="2"/>
      <c r="E27" s="2"/>
      <c r="F27" s="13"/>
      <c r="W27" s="155"/>
      <c r="Z27" s="49" t="s">
        <v>94</v>
      </c>
      <c r="AA27" s="2">
        <f>_xlfn.STDEV.S(AA7:AA22)</f>
        <v>0.71305382137413031</v>
      </c>
      <c r="AB27" s="2">
        <f t="shared" ref="AB27:AI27" si="31">_xlfn.STDEV.S(AB7:AB22)</f>
        <v>1.8134518149731951</v>
      </c>
      <c r="AC27" s="2">
        <f t="shared" si="31"/>
        <v>9.990001246249551E-2</v>
      </c>
      <c r="AD27" s="2">
        <f t="shared" si="31"/>
        <v>9.9900012462495663E-2</v>
      </c>
      <c r="AE27" s="2">
        <f t="shared" si="31"/>
        <v>0.20437556375812571</v>
      </c>
      <c r="AF27" s="2">
        <f t="shared" si="31"/>
        <v>2.5617969346612462E-2</v>
      </c>
      <c r="AG27" s="2">
        <f t="shared" si="31"/>
        <v>1.6942839444162423</v>
      </c>
      <c r="AH27" s="2">
        <f t="shared" si="31"/>
        <v>0.99791449199484694</v>
      </c>
      <c r="AI27" s="2">
        <f t="shared" si="31"/>
        <v>0.7577444033027253</v>
      </c>
    </row>
    <row r="28" spans="2:53" x14ac:dyDescent="0.35">
      <c r="B28" s="2"/>
      <c r="C28" s="2"/>
      <c r="D28" s="2"/>
      <c r="E28" s="2"/>
      <c r="F28" s="13"/>
      <c r="W28" s="155"/>
      <c r="Z28" s="49" t="s">
        <v>95</v>
      </c>
      <c r="AA28" s="2">
        <f>AA27/(SQRT(COUNT(AA7:AA22)))</f>
        <v>0.17826345534353258</v>
      </c>
      <c r="AB28" s="2">
        <f t="shared" ref="AB28:AI28" si="32">AB27/(SQRT(COUNT(AB7:AB22)))</f>
        <v>0.45336295374329877</v>
      </c>
      <c r="AC28" s="2">
        <f t="shared" si="32"/>
        <v>2.4975003115623878E-2</v>
      </c>
      <c r="AD28" s="2">
        <f t="shared" si="32"/>
        <v>2.4975003115623916E-2</v>
      </c>
      <c r="AE28" s="2">
        <f t="shared" si="32"/>
        <v>5.1093890939531428E-2</v>
      </c>
      <c r="AF28" s="2">
        <f t="shared" si="32"/>
        <v>6.4044923366531155E-3</v>
      </c>
      <c r="AG28" s="2">
        <f t="shared" si="32"/>
        <v>0.42357098610406058</v>
      </c>
      <c r="AH28" s="2">
        <f t="shared" si="32"/>
        <v>0.24947862299871174</v>
      </c>
      <c r="AI28" s="2">
        <f t="shared" si="32"/>
        <v>0.18943610082568133</v>
      </c>
    </row>
    <row r="29" spans="2:53" x14ac:dyDescent="0.35">
      <c r="B29" s="2"/>
      <c r="C29" s="2"/>
      <c r="D29" s="2"/>
      <c r="E29" s="2"/>
      <c r="F29" s="13"/>
      <c r="W29" s="155"/>
      <c r="Y29" s="13"/>
      <c r="AA29" s="2"/>
      <c r="AB29" s="2"/>
      <c r="AC29" s="2"/>
      <c r="AD29" s="2"/>
      <c r="AE29" s="2"/>
      <c r="AF29" s="2"/>
      <c r="AG29" s="2"/>
      <c r="AH29" s="2"/>
    </row>
    <row r="30" spans="2:53" x14ac:dyDescent="0.35">
      <c r="B30" s="2"/>
      <c r="C30" s="2"/>
      <c r="D30" s="2"/>
      <c r="E30" s="2"/>
      <c r="F30" s="13"/>
      <c r="G30" s="13"/>
      <c r="H30" s="2"/>
      <c r="I30" s="2"/>
      <c r="J30" s="2"/>
      <c r="K30" s="2"/>
      <c r="L30" s="2"/>
      <c r="M30" s="2"/>
      <c r="N30" s="2"/>
      <c r="O30" s="2"/>
      <c r="W30" s="155"/>
    </row>
    <row r="31" spans="2:53" ht="15.5" x14ac:dyDescent="0.35">
      <c r="W31" s="155"/>
      <c r="Y31" s="2"/>
      <c r="Z31" s="13"/>
      <c r="AA31" s="5"/>
      <c r="AB31" s="5"/>
      <c r="AC31" s="5"/>
      <c r="AD31" s="5"/>
      <c r="AE31" s="5"/>
      <c r="AF31" s="5"/>
      <c r="AG31" s="5"/>
      <c r="AH31" s="5"/>
      <c r="AI31" s="14"/>
      <c r="AJ31" s="2"/>
      <c r="AK31" s="2"/>
      <c r="AL31" s="2"/>
    </row>
    <row r="32" spans="2:53" x14ac:dyDescent="0.35">
      <c r="Y32" s="2"/>
      <c r="Z32" s="49"/>
      <c r="AA32" s="13"/>
      <c r="AB32" s="13"/>
      <c r="AC32" s="13"/>
      <c r="AD32" s="13"/>
      <c r="AE32" s="13"/>
      <c r="AF32" s="13"/>
      <c r="AG32" s="13"/>
      <c r="AH32" s="13"/>
      <c r="AI32" s="13"/>
      <c r="AJ32" s="2"/>
      <c r="AK32" s="2"/>
      <c r="AL32" s="2"/>
    </row>
    <row r="33" spans="3:53" x14ac:dyDescent="0.35">
      <c r="Y33" s="2"/>
      <c r="Z33" s="49"/>
      <c r="AA33" s="2"/>
      <c r="AB33" s="2"/>
      <c r="AC33" s="2"/>
      <c r="AD33" s="2"/>
      <c r="AE33" s="2"/>
      <c r="AF33" s="2"/>
      <c r="AG33" s="2"/>
      <c r="AH33" s="2"/>
      <c r="AI33" s="2"/>
      <c r="AJ33" s="2"/>
      <c r="AK33" s="2"/>
      <c r="AL33" s="2"/>
    </row>
    <row r="34" spans="3:53" x14ac:dyDescent="0.35">
      <c r="AJ34" s="2"/>
      <c r="AK34" s="2"/>
      <c r="AL34" s="2"/>
    </row>
    <row r="35" spans="3:53" x14ac:dyDescent="0.35">
      <c r="AJ35" s="2"/>
      <c r="AK35" s="2"/>
      <c r="AL35" s="2"/>
    </row>
    <row r="36" spans="3:53" ht="18.5" x14ac:dyDescent="0.45">
      <c r="F36" s="1" t="s">
        <v>405</v>
      </c>
      <c r="G36" s="3"/>
      <c r="H36" s="3"/>
      <c r="I36" s="3"/>
      <c r="J36" s="3"/>
      <c r="K36" s="3"/>
      <c r="L36" s="3"/>
      <c r="M36" s="3"/>
      <c r="N36" s="3"/>
      <c r="O36" s="3"/>
      <c r="AJ36" s="2"/>
      <c r="AK36" s="2"/>
      <c r="AL36" s="2"/>
    </row>
    <row r="37" spans="3:53" ht="19" thickBot="1" x14ac:dyDescent="0.5">
      <c r="C37" s="204" t="s">
        <v>122</v>
      </c>
      <c r="D37" s="204" t="s">
        <v>406</v>
      </c>
      <c r="F37" s="9" t="s">
        <v>1</v>
      </c>
      <c r="G37" s="9" t="s">
        <v>2</v>
      </c>
      <c r="H37" s="9" t="s">
        <v>3</v>
      </c>
      <c r="I37" s="9" t="s">
        <v>4</v>
      </c>
      <c r="J37" s="9" t="s">
        <v>5</v>
      </c>
      <c r="K37" s="9" t="s">
        <v>6</v>
      </c>
      <c r="L37" s="9" t="s">
        <v>7</v>
      </c>
      <c r="M37" s="9" t="s">
        <v>8</v>
      </c>
      <c r="N37" s="9" t="s">
        <v>9</v>
      </c>
      <c r="O37" s="9" t="s">
        <v>10</v>
      </c>
      <c r="P37" s="44" t="s">
        <v>139</v>
      </c>
      <c r="R37" s="44" t="s">
        <v>138</v>
      </c>
      <c r="Y37" s="1" t="s">
        <v>91</v>
      </c>
      <c r="Z37" s="3"/>
      <c r="AA37" s="3"/>
      <c r="AB37" s="3"/>
      <c r="AC37" s="3"/>
      <c r="AD37" s="3"/>
      <c r="AE37" s="3"/>
      <c r="AF37" s="3"/>
      <c r="AG37" s="3"/>
      <c r="AH37" s="3"/>
      <c r="AL37" s="2"/>
      <c r="AQ37" s="1" t="s">
        <v>620</v>
      </c>
      <c r="AR37" s="3"/>
      <c r="AS37" s="3"/>
      <c r="AT37" s="3"/>
      <c r="AU37" s="3"/>
      <c r="AV37" s="3"/>
      <c r="AW37" s="3"/>
      <c r="AX37" s="3"/>
      <c r="AY37" s="3"/>
      <c r="AZ37" s="3"/>
    </row>
    <row r="38" spans="3:53" ht="16" thickBot="1" x14ac:dyDescent="0.4">
      <c r="C38" s="2" t="s">
        <v>704</v>
      </c>
      <c r="D38" s="155">
        <v>4</v>
      </c>
      <c r="F38" s="2">
        <v>5.6118899999999998</v>
      </c>
      <c r="G38" s="2">
        <v>9.22133</v>
      </c>
      <c r="H38" s="2">
        <f>G38-F38</f>
        <v>3.6094400000000002</v>
      </c>
      <c r="I38" s="2">
        <f>F39-G38</f>
        <v>6.3348499999999994</v>
      </c>
      <c r="J38" s="2">
        <f>H38/N38</f>
        <v>0.36296608405426639</v>
      </c>
      <c r="K38" s="2">
        <f>I38/N38</f>
        <v>0.63703391594573366</v>
      </c>
      <c r="L38" s="2">
        <f>1/H38</f>
        <v>0.27705128773438537</v>
      </c>
      <c r="M38" s="2">
        <f>1/N38</f>
        <v>0.10056022099114166</v>
      </c>
      <c r="N38" s="2">
        <f>H38+I38</f>
        <v>9.9442899999999987</v>
      </c>
      <c r="O38" s="2">
        <v>8</v>
      </c>
      <c r="P38">
        <f>O38/H38</f>
        <v>2.2164103018750829</v>
      </c>
      <c r="R38" t="s">
        <v>677</v>
      </c>
      <c r="V38" s="204" t="s">
        <v>122</v>
      </c>
      <c r="W38" s="204" t="s">
        <v>406</v>
      </c>
      <c r="Y38" s="9" t="s">
        <v>1</v>
      </c>
      <c r="Z38" s="9" t="s">
        <v>2</v>
      </c>
      <c r="AA38" s="9" t="s">
        <v>3</v>
      </c>
      <c r="AB38" s="9" t="s">
        <v>4</v>
      </c>
      <c r="AC38" s="9" t="s">
        <v>5</v>
      </c>
      <c r="AD38" s="9" t="s">
        <v>6</v>
      </c>
      <c r="AE38" s="9" t="s">
        <v>7</v>
      </c>
      <c r="AF38" s="9" t="s">
        <v>8</v>
      </c>
      <c r="AG38" s="9" t="s">
        <v>9</v>
      </c>
      <c r="AH38" s="9" t="s">
        <v>10</v>
      </c>
      <c r="AI38" s="44" t="s">
        <v>139</v>
      </c>
      <c r="AK38" s="44" t="s">
        <v>138</v>
      </c>
      <c r="AL38" s="2"/>
      <c r="AQ38" s="9" t="s">
        <v>1</v>
      </c>
      <c r="AR38" s="9" t="s">
        <v>2</v>
      </c>
      <c r="AS38" s="9" t="s">
        <v>3</v>
      </c>
      <c r="AT38" s="9" t="s">
        <v>4</v>
      </c>
      <c r="AU38" s="9" t="s">
        <v>5</v>
      </c>
      <c r="AV38" s="9" t="s">
        <v>6</v>
      </c>
      <c r="AW38" s="9" t="s">
        <v>7</v>
      </c>
      <c r="AX38" s="9" t="s">
        <v>8</v>
      </c>
      <c r="AY38" s="9" t="s">
        <v>9</v>
      </c>
      <c r="AZ38" s="9" t="s">
        <v>10</v>
      </c>
      <c r="BA38" s="44" t="s">
        <v>139</v>
      </c>
    </row>
    <row r="39" spans="3:53" x14ac:dyDescent="0.35">
      <c r="C39" s="258" t="s">
        <v>32</v>
      </c>
      <c r="D39" s="155">
        <v>4</v>
      </c>
      <c r="F39" s="2">
        <v>15.556179999999999</v>
      </c>
      <c r="G39" s="2">
        <v>19.08052</v>
      </c>
      <c r="H39" s="2">
        <f t="shared" ref="H39:H59" si="33">G39-F39</f>
        <v>3.5243400000000005</v>
      </c>
      <c r="I39" s="2">
        <f t="shared" ref="I39:I58" si="34">F40-G39</f>
        <v>7.2762199999999986</v>
      </c>
      <c r="J39" s="2">
        <f t="shared" ref="J39:J58" si="35">H39/N39</f>
        <v>0.32631085795551351</v>
      </c>
      <c r="K39" s="2">
        <f t="shared" ref="K39:K58" si="36">I39/N39</f>
        <v>0.67368914204448649</v>
      </c>
      <c r="L39" s="2">
        <f t="shared" ref="L39:L58" si="37">1/H39</f>
        <v>0.28374106924984532</v>
      </c>
      <c r="M39" s="2">
        <f t="shared" ref="M39:M58" si="38">1/N39</f>
        <v>9.25877917441318E-2</v>
      </c>
      <c r="N39" s="2">
        <f t="shared" ref="N39:N58" si="39">H39+I39</f>
        <v>10.800559999999999</v>
      </c>
      <c r="O39" s="2">
        <v>11</v>
      </c>
      <c r="P39">
        <f t="shared" ref="P39:P58" si="40">O39/H39</f>
        <v>3.1211517617482984</v>
      </c>
      <c r="V39" s="257" t="s">
        <v>712</v>
      </c>
      <c r="W39" s="155">
        <v>-2</v>
      </c>
      <c r="Y39" s="2">
        <v>2.7164600000000001</v>
      </c>
      <c r="Z39" s="2">
        <v>5.82944</v>
      </c>
      <c r="AA39" s="2">
        <f t="shared" ref="AA39:AA52" si="41">Z39-Y39</f>
        <v>3.1129799999999999</v>
      </c>
      <c r="AB39" s="2">
        <f t="shared" ref="AB39:AB51" si="42">Y40-Z39</f>
        <v>5.1001100000000008</v>
      </c>
      <c r="AC39" s="2">
        <f>AA39/AG39</f>
        <v>0.37902665135777147</v>
      </c>
      <c r="AD39" s="2">
        <f>AB39/AG39</f>
        <v>0.62097334864222842</v>
      </c>
      <c r="AE39" s="2">
        <f>1/AA39</f>
        <v>0.32123560061420248</v>
      </c>
      <c r="AF39" s="2">
        <f>1/AG39</f>
        <v>0.12175685399770365</v>
      </c>
      <c r="AG39" s="2">
        <f>AA39+AB39</f>
        <v>8.2130900000000011</v>
      </c>
      <c r="AH39" s="2">
        <v>6</v>
      </c>
      <c r="AI39">
        <f>AH39/AA39</f>
        <v>1.927413603685215</v>
      </c>
      <c r="AK39" t="s">
        <v>711</v>
      </c>
      <c r="AL39" s="2"/>
      <c r="AQ39" s="2">
        <v>4.8106999999999998</v>
      </c>
      <c r="AR39" s="2">
        <v>9.8579399999999993</v>
      </c>
      <c r="AS39" s="2">
        <f>AR39-AQ39</f>
        <v>5.0472399999999995</v>
      </c>
      <c r="AT39" s="2">
        <f>AQ40-AR39</f>
        <v>6.5446300000000015</v>
      </c>
      <c r="AU39" s="2">
        <f>AS39/AY39</f>
        <v>0.43541206034919294</v>
      </c>
      <c r="AV39" s="2">
        <f>AT39/AY39</f>
        <v>0.56458793965080711</v>
      </c>
      <c r="AW39" s="2">
        <f>1/AS39</f>
        <v>0.19812808584493705</v>
      </c>
      <c r="AX39" s="2">
        <f>1/AY39</f>
        <v>8.6267358070785824E-2</v>
      </c>
      <c r="AY39" s="2">
        <f>AS39+AT39</f>
        <v>11.59187</v>
      </c>
      <c r="AZ39" s="2">
        <v>20</v>
      </c>
      <c r="BA39">
        <f>AZ39/AS39</f>
        <v>3.9625617168987413</v>
      </c>
    </row>
    <row r="40" spans="3:53" x14ac:dyDescent="0.35">
      <c r="C40" s="258" t="s">
        <v>32</v>
      </c>
      <c r="D40" s="155">
        <v>4</v>
      </c>
      <c r="F40" s="13">
        <v>26.356739999999999</v>
      </c>
      <c r="G40" s="2">
        <v>29.17108</v>
      </c>
      <c r="H40" s="2">
        <f t="shared" si="33"/>
        <v>2.8143400000000014</v>
      </c>
      <c r="I40" s="2">
        <f t="shared" si="34"/>
        <v>5.3656400000000026</v>
      </c>
      <c r="J40" s="2">
        <f t="shared" si="35"/>
        <v>0.34405218594666492</v>
      </c>
      <c r="K40" s="2">
        <f t="shared" si="36"/>
        <v>0.65594781405333513</v>
      </c>
      <c r="L40" s="2">
        <f t="shared" si="37"/>
        <v>0.35532309529054751</v>
      </c>
      <c r="M40" s="2">
        <f t="shared" si="38"/>
        <v>0.12224968765204799</v>
      </c>
      <c r="N40" s="2">
        <f t="shared" si="39"/>
        <v>8.179980000000004</v>
      </c>
      <c r="O40" s="2">
        <v>8</v>
      </c>
      <c r="P40">
        <f t="shared" si="40"/>
        <v>2.8425847623243801</v>
      </c>
      <c r="V40" s="258" t="s">
        <v>32</v>
      </c>
      <c r="W40" s="155">
        <v>-2</v>
      </c>
      <c r="Y40" s="2">
        <v>10.929550000000001</v>
      </c>
      <c r="Z40" s="2">
        <v>11.978389999999999</v>
      </c>
      <c r="AA40" s="2">
        <f t="shared" si="41"/>
        <v>1.0488399999999984</v>
      </c>
      <c r="AB40" s="2">
        <f t="shared" si="42"/>
        <v>4.9840500000000016</v>
      </c>
      <c r="AC40" s="2">
        <f t="shared" ref="AC40:AC51" si="43">AA40/AG40</f>
        <v>0.17385365886001541</v>
      </c>
      <c r="AD40" s="2">
        <f t="shared" ref="AD40:AD51" si="44">AB40/AG40</f>
        <v>0.82614634113998453</v>
      </c>
      <c r="AE40" s="2">
        <f t="shared" ref="AE40:AE51" si="45">1/AA40</f>
        <v>0.95343427024141103</v>
      </c>
      <c r="AF40" s="2">
        <f t="shared" ref="AF40:AF51" si="46">1/AG40</f>
        <v>0.16575803636399802</v>
      </c>
      <c r="AG40" s="2">
        <f t="shared" ref="AG40:AG51" si="47">AA40+AB40</f>
        <v>6.0328900000000001</v>
      </c>
      <c r="AH40" s="2">
        <v>5</v>
      </c>
      <c r="AI40">
        <f t="shared" ref="AI40:AI51" si="48">AH40/AA40</f>
        <v>4.7671713512070548</v>
      </c>
      <c r="AL40" s="2"/>
      <c r="AQ40" s="2">
        <v>16.402570000000001</v>
      </c>
      <c r="AR40" s="2">
        <v>22.351220000000001</v>
      </c>
      <c r="AS40" s="2">
        <f t="shared" ref="AS40:AS62" si="49">AR40-AQ40</f>
        <v>5.9486500000000007</v>
      </c>
      <c r="AT40" s="2">
        <f t="shared" ref="AT40:AT62" si="50">AQ41-AR40</f>
        <v>4.8008199999999981</v>
      </c>
      <c r="AU40" s="2">
        <f t="shared" ref="AU40:AU62" si="51">AS40/AY40</f>
        <v>0.55339007411528207</v>
      </c>
      <c r="AV40" s="2">
        <f t="shared" ref="AV40:AV62" si="52">AT40/AY40</f>
        <v>0.44660992588471793</v>
      </c>
      <c r="AW40" s="2">
        <f t="shared" ref="AW40:AW62" si="53">1/AS40</f>
        <v>0.16810536844494128</v>
      </c>
      <c r="AX40" s="2">
        <f t="shared" ref="AX40:AX62" si="54">1/AY40</f>
        <v>9.3027842302922853E-2</v>
      </c>
      <c r="AY40" s="2">
        <f t="shared" ref="AY40:AY62" si="55">AS40+AT40</f>
        <v>10.749469999999999</v>
      </c>
      <c r="AZ40" s="2">
        <v>22</v>
      </c>
      <c r="BA40">
        <f t="shared" ref="BA40:BA62" si="56">AZ40/AS40</f>
        <v>3.698318105788708</v>
      </c>
    </row>
    <row r="41" spans="3:53" x14ac:dyDescent="0.35">
      <c r="C41" s="258" t="s">
        <v>32</v>
      </c>
      <c r="D41" s="155">
        <v>4</v>
      </c>
      <c r="F41" s="13">
        <v>34.536720000000003</v>
      </c>
      <c r="G41" s="2">
        <v>38.16442</v>
      </c>
      <c r="H41" s="2">
        <f t="shared" si="33"/>
        <v>3.6276999999999973</v>
      </c>
      <c r="I41" s="2">
        <f t="shared" si="34"/>
        <v>7.169080000000001</v>
      </c>
      <c r="J41" s="2">
        <f t="shared" si="35"/>
        <v>0.33599832542665481</v>
      </c>
      <c r="K41" s="2">
        <f t="shared" si="36"/>
        <v>0.66400167457334525</v>
      </c>
      <c r="L41" s="2">
        <f t="shared" si="37"/>
        <v>0.27565675221214564</v>
      </c>
      <c r="M41" s="2">
        <f t="shared" si="38"/>
        <v>9.2620207135831259E-2</v>
      </c>
      <c r="N41" s="2">
        <f t="shared" si="39"/>
        <v>10.796779999999998</v>
      </c>
      <c r="O41" s="2">
        <v>9</v>
      </c>
      <c r="P41">
        <f t="shared" si="40"/>
        <v>2.4809107699093107</v>
      </c>
      <c r="V41" s="258" t="s">
        <v>32</v>
      </c>
      <c r="W41" s="155">
        <v>-2</v>
      </c>
      <c r="Y41" s="13">
        <v>16.962440000000001</v>
      </c>
      <c r="Z41" s="2">
        <v>20.994209999999999</v>
      </c>
      <c r="AA41" s="2">
        <f t="shared" si="41"/>
        <v>4.0317699999999981</v>
      </c>
      <c r="AB41" s="2">
        <f t="shared" si="42"/>
        <v>4.8902800000000006</v>
      </c>
      <c r="AC41" s="2">
        <f t="shared" si="43"/>
        <v>0.45188829921374557</v>
      </c>
      <c r="AD41" s="2">
        <f t="shared" si="44"/>
        <v>0.54811170078625449</v>
      </c>
      <c r="AE41" s="2">
        <f t="shared" si="45"/>
        <v>0.24803002155380899</v>
      </c>
      <c r="AF41" s="2">
        <f t="shared" si="46"/>
        <v>0.11208186459389941</v>
      </c>
      <c r="AG41" s="2">
        <f t="shared" si="47"/>
        <v>8.9220499999999987</v>
      </c>
      <c r="AH41" s="2">
        <v>7</v>
      </c>
      <c r="AI41">
        <f t="shared" si="48"/>
        <v>1.736210150876663</v>
      </c>
      <c r="AL41" s="2"/>
      <c r="AQ41" s="13">
        <v>27.15204</v>
      </c>
      <c r="AR41" s="2">
        <v>31.09985</v>
      </c>
      <c r="AS41" s="2">
        <f t="shared" si="49"/>
        <v>3.9478100000000005</v>
      </c>
      <c r="AT41" s="2">
        <f t="shared" si="50"/>
        <v>4.997209999999999</v>
      </c>
      <c r="AU41" s="2">
        <f t="shared" si="51"/>
        <v>0.44134166273524272</v>
      </c>
      <c r="AV41" s="2">
        <f t="shared" si="52"/>
        <v>0.55865833726475733</v>
      </c>
      <c r="AW41" s="2">
        <f t="shared" si="53"/>
        <v>0.25330499694767478</v>
      </c>
      <c r="AX41" s="2">
        <f t="shared" si="54"/>
        <v>0.11179404853203236</v>
      </c>
      <c r="AY41" s="2">
        <f t="shared" si="55"/>
        <v>8.9450199999999995</v>
      </c>
      <c r="AZ41" s="2">
        <v>15</v>
      </c>
      <c r="BA41">
        <f t="shared" si="56"/>
        <v>3.7995749542151214</v>
      </c>
    </row>
    <row r="42" spans="3:53" x14ac:dyDescent="0.35">
      <c r="C42" s="258" t="s">
        <v>32</v>
      </c>
      <c r="D42" s="155">
        <v>4</v>
      </c>
      <c r="F42" s="13">
        <v>45.333500000000001</v>
      </c>
      <c r="G42" s="2">
        <v>48.987540000000003</v>
      </c>
      <c r="H42" s="2">
        <f t="shared" si="33"/>
        <v>3.654040000000002</v>
      </c>
      <c r="I42" s="2">
        <f t="shared" si="34"/>
        <v>9.0225899999999939</v>
      </c>
      <c r="J42" s="2">
        <f t="shared" si="35"/>
        <v>0.28825011063666001</v>
      </c>
      <c r="K42" s="2">
        <f t="shared" si="36"/>
        <v>0.71174988936334005</v>
      </c>
      <c r="L42" s="2">
        <f t="shared" si="37"/>
        <v>0.27366969162899135</v>
      </c>
      <c r="M42" s="2">
        <f t="shared" si="38"/>
        <v>7.8885318889957368E-2</v>
      </c>
      <c r="N42" s="2">
        <f t="shared" si="39"/>
        <v>12.676629999999996</v>
      </c>
      <c r="O42" s="2">
        <v>9</v>
      </c>
      <c r="P42">
        <f t="shared" si="40"/>
        <v>2.4630272246609217</v>
      </c>
      <c r="V42" s="258" t="s">
        <v>32</v>
      </c>
      <c r="W42" s="155">
        <v>-2</v>
      </c>
      <c r="Y42" s="13">
        <v>25.88449</v>
      </c>
      <c r="Z42" s="2">
        <v>27.80048</v>
      </c>
      <c r="AA42" s="2">
        <f t="shared" si="41"/>
        <v>1.9159900000000007</v>
      </c>
      <c r="AB42" s="2">
        <f t="shared" si="42"/>
        <v>7.9880899999999997</v>
      </c>
      <c r="AC42" s="2">
        <f t="shared" si="43"/>
        <v>0.19345461668322556</v>
      </c>
      <c r="AD42" s="2">
        <f t="shared" si="44"/>
        <v>0.80654538331677439</v>
      </c>
      <c r="AE42" s="2">
        <f t="shared" si="45"/>
        <v>0.52192339208450966</v>
      </c>
      <c r="AF42" s="2">
        <f t="shared" si="46"/>
        <v>0.10096848975371765</v>
      </c>
      <c r="AG42" s="2">
        <f t="shared" si="47"/>
        <v>9.9040800000000004</v>
      </c>
      <c r="AH42" s="2">
        <v>5</v>
      </c>
      <c r="AI42">
        <f t="shared" si="48"/>
        <v>2.6096169604225481</v>
      </c>
      <c r="AL42" s="2"/>
      <c r="AQ42" s="13">
        <v>36.097059999999999</v>
      </c>
      <c r="AR42" s="2">
        <v>39.10087</v>
      </c>
      <c r="AS42" s="2">
        <f t="shared" si="49"/>
        <v>3.0038100000000014</v>
      </c>
      <c r="AT42" s="2">
        <f t="shared" si="50"/>
        <v>4.7465100000000007</v>
      </c>
      <c r="AU42" s="2">
        <f t="shared" si="51"/>
        <v>0.38757238410801109</v>
      </c>
      <c r="AV42" s="2">
        <f t="shared" si="52"/>
        <v>0.61242761589198891</v>
      </c>
      <c r="AW42" s="2">
        <f t="shared" si="53"/>
        <v>0.33291053695140488</v>
      </c>
      <c r="AX42" s="2">
        <f t="shared" si="54"/>
        <v>0.12902693050093411</v>
      </c>
      <c r="AY42" s="2">
        <f t="shared" si="55"/>
        <v>7.7503200000000021</v>
      </c>
      <c r="AZ42" s="13">
        <v>13</v>
      </c>
      <c r="BA42">
        <f t="shared" si="56"/>
        <v>4.3278369803682635</v>
      </c>
    </row>
    <row r="43" spans="3:53" x14ac:dyDescent="0.35">
      <c r="C43" s="258" t="s">
        <v>32</v>
      </c>
      <c r="D43" s="155">
        <v>4</v>
      </c>
      <c r="F43" s="13">
        <v>58.010129999999997</v>
      </c>
      <c r="G43" s="2">
        <v>62.497729999999997</v>
      </c>
      <c r="H43" s="2">
        <f t="shared" si="33"/>
        <v>4.4876000000000005</v>
      </c>
      <c r="I43" s="2">
        <f t="shared" si="34"/>
        <v>9.0842699999999965</v>
      </c>
      <c r="J43" s="2">
        <f t="shared" si="35"/>
        <v>0.33065450818494441</v>
      </c>
      <c r="K43" s="2">
        <f t="shared" si="36"/>
        <v>0.66934549181505554</v>
      </c>
      <c r="L43" s="2">
        <f t="shared" si="37"/>
        <v>0.22283625991621353</v>
      </c>
      <c r="M43" s="2">
        <f t="shared" si="38"/>
        <v>7.3681813928368034E-2</v>
      </c>
      <c r="N43" s="2">
        <f t="shared" si="39"/>
        <v>13.571869999999997</v>
      </c>
      <c r="O43" s="2">
        <v>9</v>
      </c>
      <c r="P43">
        <f t="shared" si="40"/>
        <v>2.0055263392459217</v>
      </c>
      <c r="V43" s="258" t="s">
        <v>32</v>
      </c>
      <c r="W43" s="155">
        <v>-2</v>
      </c>
      <c r="Y43" s="13">
        <v>35.78857</v>
      </c>
      <c r="Z43" s="2">
        <v>37.659320000000001</v>
      </c>
      <c r="AA43" s="2">
        <f t="shared" si="41"/>
        <v>1.870750000000001</v>
      </c>
      <c r="AB43" s="2">
        <f t="shared" si="42"/>
        <v>6.7350799999999964</v>
      </c>
      <c r="AC43" s="2">
        <f t="shared" si="43"/>
        <v>0.21738170519287525</v>
      </c>
      <c r="AD43" s="2">
        <f t="shared" si="44"/>
        <v>0.78261829480712475</v>
      </c>
      <c r="AE43" s="2">
        <f t="shared" si="45"/>
        <v>0.53454496859548284</v>
      </c>
      <c r="AF43" s="2">
        <f t="shared" si="46"/>
        <v>0.116200296775558</v>
      </c>
      <c r="AG43" s="2">
        <f t="shared" si="47"/>
        <v>8.6058299999999974</v>
      </c>
      <c r="AH43" s="2">
        <v>5</v>
      </c>
      <c r="AI43">
        <f t="shared" si="48"/>
        <v>2.6727248429774142</v>
      </c>
      <c r="AL43" s="2"/>
      <c r="AQ43" s="13">
        <v>43.847380000000001</v>
      </c>
      <c r="AR43" s="2">
        <v>47.612870000000001</v>
      </c>
      <c r="AS43" s="2">
        <f t="shared" si="49"/>
        <v>3.7654899999999998</v>
      </c>
      <c r="AT43" s="2">
        <f t="shared" si="50"/>
        <v>4.8467199999999977</v>
      </c>
      <c r="AU43" s="2">
        <f t="shared" si="51"/>
        <v>0.43722691388157059</v>
      </c>
      <c r="AV43" s="2">
        <f t="shared" si="52"/>
        <v>0.56277308611842947</v>
      </c>
      <c r="AW43" s="2">
        <f t="shared" si="53"/>
        <v>0.26556968681366838</v>
      </c>
      <c r="AX43" s="2">
        <f t="shared" si="54"/>
        <v>0.11611421458603544</v>
      </c>
      <c r="AY43" s="2">
        <f t="shared" si="55"/>
        <v>8.6122099999999975</v>
      </c>
      <c r="AZ43" s="13">
        <v>12</v>
      </c>
      <c r="BA43">
        <f t="shared" si="56"/>
        <v>3.1868362417640204</v>
      </c>
    </row>
    <row r="44" spans="3:53" x14ac:dyDescent="0.35">
      <c r="C44" s="258" t="s">
        <v>32</v>
      </c>
      <c r="D44" s="155">
        <v>4</v>
      </c>
      <c r="F44" s="13">
        <v>71.581999999999994</v>
      </c>
      <c r="G44" s="2">
        <v>75.240099999999998</v>
      </c>
      <c r="H44" s="2">
        <f t="shared" si="33"/>
        <v>3.6581000000000046</v>
      </c>
      <c r="I44" s="2">
        <f t="shared" si="34"/>
        <v>10.034210000000002</v>
      </c>
      <c r="J44" s="2">
        <f t="shared" si="35"/>
        <v>0.26716456171383812</v>
      </c>
      <c r="K44" s="2">
        <f t="shared" si="36"/>
        <v>0.73283543828616182</v>
      </c>
      <c r="L44" s="2">
        <f t="shared" si="37"/>
        <v>0.27336595500396349</v>
      </c>
      <c r="M44" s="2">
        <f t="shared" si="38"/>
        <v>7.3033695556118688E-2</v>
      </c>
      <c r="N44" s="2">
        <f t="shared" si="39"/>
        <v>13.692310000000006</v>
      </c>
      <c r="O44" s="2">
        <v>8</v>
      </c>
      <c r="P44">
        <f t="shared" si="40"/>
        <v>2.1869276400317079</v>
      </c>
      <c r="V44" s="258" t="s">
        <v>32</v>
      </c>
      <c r="W44" s="155">
        <v>-2</v>
      </c>
      <c r="Y44" s="13">
        <v>44.394399999999997</v>
      </c>
      <c r="Z44" s="2">
        <v>45.317839999999997</v>
      </c>
      <c r="AA44" s="2">
        <f t="shared" si="41"/>
        <v>0.92343999999999937</v>
      </c>
      <c r="AB44" s="2">
        <f t="shared" si="42"/>
        <v>9.7634900000000044</v>
      </c>
      <c r="AC44" s="2">
        <f t="shared" si="43"/>
        <v>8.6408351135452283E-2</v>
      </c>
      <c r="AD44" s="2">
        <f t="shared" si="44"/>
        <v>0.91359164886454769</v>
      </c>
      <c r="AE44" s="2">
        <f t="shared" si="45"/>
        <v>1.0829073897600285</v>
      </c>
      <c r="AF44" s="2">
        <f t="shared" si="46"/>
        <v>9.3572241981560625E-2</v>
      </c>
      <c r="AG44" s="2">
        <f t="shared" si="47"/>
        <v>10.686930000000004</v>
      </c>
      <c r="AH44" s="2">
        <v>4</v>
      </c>
      <c r="AI44">
        <f t="shared" si="48"/>
        <v>4.3316295590401142</v>
      </c>
      <c r="AL44" s="2"/>
      <c r="AP44" s="144" t="s">
        <v>235</v>
      </c>
      <c r="AQ44" s="91">
        <v>52.459589999999999</v>
      </c>
      <c r="AR44" s="91">
        <v>54.601109999999998</v>
      </c>
      <c r="AS44" s="91">
        <f t="shared" si="49"/>
        <v>2.1415199999999999</v>
      </c>
      <c r="AT44" s="91">
        <f t="shared" si="50"/>
        <v>8.4973500000000044</v>
      </c>
      <c r="AU44" s="91">
        <f t="shared" si="51"/>
        <v>0.20129205451330817</v>
      </c>
      <c r="AV44" s="91">
        <f t="shared" si="52"/>
        <v>0.79870794548669177</v>
      </c>
      <c r="AW44" s="91">
        <f t="shared" si="53"/>
        <v>0.4669580484889238</v>
      </c>
      <c r="AX44" s="91">
        <f t="shared" si="54"/>
        <v>9.3994944951860449E-2</v>
      </c>
      <c r="AY44" s="91">
        <f t="shared" si="55"/>
        <v>10.638870000000004</v>
      </c>
      <c r="AZ44" s="91">
        <v>10</v>
      </c>
      <c r="BA44" s="144">
        <f t="shared" si="56"/>
        <v>4.6695804848892379</v>
      </c>
    </row>
    <row r="45" spans="3:53" x14ac:dyDescent="0.35">
      <c r="C45" s="258" t="s">
        <v>32</v>
      </c>
      <c r="D45" s="155">
        <v>4</v>
      </c>
      <c r="F45" s="13">
        <v>85.27431</v>
      </c>
      <c r="G45" s="2">
        <v>88.079899999999995</v>
      </c>
      <c r="H45" s="2">
        <f t="shared" si="33"/>
        <v>2.8055899999999951</v>
      </c>
      <c r="I45" s="2">
        <f t="shared" si="34"/>
        <v>8.0311599999999999</v>
      </c>
      <c r="J45" s="2">
        <f t="shared" si="35"/>
        <v>0.25889588668189228</v>
      </c>
      <c r="K45" s="2">
        <f t="shared" si="36"/>
        <v>0.74110411331810766</v>
      </c>
      <c r="L45" s="2">
        <f t="shared" si="37"/>
        <v>0.3564312675765175</v>
      </c>
      <c r="M45" s="2">
        <f t="shared" si="38"/>
        <v>9.2278589060373312E-2</v>
      </c>
      <c r="N45" s="2">
        <f t="shared" si="39"/>
        <v>10.836749999999995</v>
      </c>
      <c r="O45" s="2">
        <v>8</v>
      </c>
      <c r="P45">
        <f t="shared" si="40"/>
        <v>2.85145014061214</v>
      </c>
      <c r="V45" s="258" t="s">
        <v>32</v>
      </c>
      <c r="W45" s="155">
        <v>-2</v>
      </c>
      <c r="Y45" s="13">
        <v>55.081330000000001</v>
      </c>
      <c r="Z45" s="2">
        <v>57.869819999999997</v>
      </c>
      <c r="AA45" s="2">
        <f t="shared" si="41"/>
        <v>2.7884899999999959</v>
      </c>
      <c r="AB45" s="2">
        <f t="shared" si="42"/>
        <v>5.8508100000000027</v>
      </c>
      <c r="AC45" s="2">
        <f t="shared" si="43"/>
        <v>0.32276804833724915</v>
      </c>
      <c r="AD45" s="2">
        <f t="shared" si="44"/>
        <v>0.67723195166275085</v>
      </c>
      <c r="AE45" s="2">
        <f t="shared" si="45"/>
        <v>0.35861702928825329</v>
      </c>
      <c r="AF45" s="2">
        <f t="shared" si="46"/>
        <v>0.11575011864387162</v>
      </c>
      <c r="AG45" s="2">
        <f t="shared" si="47"/>
        <v>8.6392999999999986</v>
      </c>
      <c r="AH45" s="2">
        <v>5</v>
      </c>
      <c r="AI45">
        <f t="shared" si="48"/>
        <v>1.7930851464412665</v>
      </c>
      <c r="AL45" s="2"/>
      <c r="AQ45" s="13">
        <v>63.098460000000003</v>
      </c>
      <c r="AR45" s="2">
        <v>67.351389999999995</v>
      </c>
      <c r="AS45" s="2">
        <f t="shared" si="49"/>
        <v>4.2529299999999921</v>
      </c>
      <c r="AT45" s="2">
        <f t="shared" si="50"/>
        <v>6.7388499999999993</v>
      </c>
      <c r="AU45" s="2">
        <f t="shared" si="51"/>
        <v>0.38691913411658491</v>
      </c>
      <c r="AV45" s="2">
        <f t="shared" si="52"/>
        <v>0.61308086588341515</v>
      </c>
      <c r="AW45" s="2">
        <f t="shared" si="53"/>
        <v>0.23513201486974905</v>
      </c>
      <c r="AX45" s="2">
        <f t="shared" si="54"/>
        <v>9.0977075596491264E-2</v>
      </c>
      <c r="AY45" s="2">
        <f t="shared" si="55"/>
        <v>10.991779999999991</v>
      </c>
      <c r="AZ45" s="13">
        <v>17</v>
      </c>
      <c r="BA45">
        <f t="shared" si="56"/>
        <v>3.9972442527857339</v>
      </c>
    </row>
    <row r="46" spans="3:53" x14ac:dyDescent="0.35">
      <c r="C46" s="258" t="s">
        <v>32</v>
      </c>
      <c r="D46" s="155">
        <v>4</v>
      </c>
      <c r="F46" s="13">
        <v>96.111059999999995</v>
      </c>
      <c r="G46" s="2">
        <v>99.762510000000006</v>
      </c>
      <c r="H46" s="2">
        <f t="shared" si="33"/>
        <v>3.6514500000000112</v>
      </c>
      <c r="I46" s="2">
        <f t="shared" si="34"/>
        <v>7.2827099999999945</v>
      </c>
      <c r="J46" s="2">
        <f t="shared" si="35"/>
        <v>0.33394883557584754</v>
      </c>
      <c r="K46" s="2">
        <f t="shared" si="36"/>
        <v>0.66605116442415246</v>
      </c>
      <c r="L46" s="2">
        <f t="shared" si="37"/>
        <v>0.27386380752851525</v>
      </c>
      <c r="M46" s="2">
        <f t="shared" si="38"/>
        <v>9.1456499630515692E-2</v>
      </c>
      <c r="N46" s="2">
        <f t="shared" si="39"/>
        <v>10.934160000000006</v>
      </c>
      <c r="O46" s="2">
        <v>7</v>
      </c>
      <c r="P46">
        <f t="shared" si="40"/>
        <v>1.9170466526996066</v>
      </c>
      <c r="V46" s="258" t="s">
        <v>32</v>
      </c>
      <c r="W46" s="155">
        <v>-2</v>
      </c>
      <c r="Y46" s="13">
        <v>63.72063</v>
      </c>
      <c r="Z46" s="2">
        <v>65.735060000000004</v>
      </c>
      <c r="AA46" s="2">
        <f t="shared" si="41"/>
        <v>2.0144300000000044</v>
      </c>
      <c r="AB46" s="2">
        <f t="shared" si="42"/>
        <v>5.6774199999999979</v>
      </c>
      <c r="AC46" s="2">
        <f t="shared" si="43"/>
        <v>0.26189148254321182</v>
      </c>
      <c r="AD46" s="2">
        <f t="shared" si="44"/>
        <v>0.73810851745678818</v>
      </c>
      <c r="AE46" s="2">
        <f t="shared" si="45"/>
        <v>0.49641834166488674</v>
      </c>
      <c r="AF46" s="2">
        <f t="shared" si="46"/>
        <v>0.13000773546025984</v>
      </c>
      <c r="AG46" s="2">
        <f t="shared" si="47"/>
        <v>7.6918500000000023</v>
      </c>
      <c r="AH46" s="2">
        <v>6</v>
      </c>
      <c r="AI46">
        <f t="shared" si="48"/>
        <v>2.9785100499893207</v>
      </c>
      <c r="AL46" s="2"/>
      <c r="AQ46" s="13">
        <v>74.090239999999994</v>
      </c>
      <c r="AR46" s="2">
        <v>77.098100000000002</v>
      </c>
      <c r="AS46" s="2">
        <f t="shared" si="49"/>
        <v>3.007860000000008</v>
      </c>
      <c r="AT46" s="2">
        <f t="shared" si="50"/>
        <v>7.617519999999999</v>
      </c>
      <c r="AU46" s="2">
        <f t="shared" si="51"/>
        <v>0.28308258151708515</v>
      </c>
      <c r="AV46" s="2">
        <f t="shared" si="52"/>
        <v>0.7169174184829149</v>
      </c>
      <c r="AW46" s="2">
        <f t="shared" si="53"/>
        <v>0.33246228215408874</v>
      </c>
      <c r="AX46" s="2">
        <f t="shared" si="54"/>
        <v>9.4114281089240984E-2</v>
      </c>
      <c r="AY46" s="2">
        <f t="shared" si="55"/>
        <v>10.625380000000007</v>
      </c>
      <c r="AZ46" s="13">
        <v>13</v>
      </c>
      <c r="BA46">
        <f t="shared" si="56"/>
        <v>4.3220096680031537</v>
      </c>
    </row>
    <row r="47" spans="3:53" x14ac:dyDescent="0.35">
      <c r="C47" s="258" t="s">
        <v>32</v>
      </c>
      <c r="D47" s="155">
        <v>4</v>
      </c>
      <c r="F47" s="13">
        <v>107.04522</v>
      </c>
      <c r="G47" s="2">
        <v>109.79082</v>
      </c>
      <c r="H47" s="2">
        <f t="shared" si="33"/>
        <v>2.745599999999996</v>
      </c>
      <c r="I47" s="2">
        <f t="shared" si="34"/>
        <v>8.2956500000000091</v>
      </c>
      <c r="J47" s="2">
        <f t="shared" si="35"/>
        <v>0.2486674968866745</v>
      </c>
      <c r="K47" s="2">
        <f t="shared" si="36"/>
        <v>0.75133250311332556</v>
      </c>
      <c r="L47" s="2">
        <f t="shared" si="37"/>
        <v>0.36421911421911474</v>
      </c>
      <c r="M47" s="2">
        <f t="shared" si="38"/>
        <v>9.0569455451149056E-2</v>
      </c>
      <c r="N47" s="2">
        <f t="shared" si="39"/>
        <v>11.041250000000005</v>
      </c>
      <c r="O47" s="2">
        <v>6</v>
      </c>
      <c r="P47">
        <f t="shared" si="40"/>
        <v>2.1853146853146885</v>
      </c>
      <c r="V47" s="258" t="s">
        <v>32</v>
      </c>
      <c r="W47" s="155">
        <v>-2</v>
      </c>
      <c r="Y47" s="13">
        <v>71.412480000000002</v>
      </c>
      <c r="Z47" s="2">
        <v>73.37818</v>
      </c>
      <c r="AA47" s="2">
        <f t="shared" si="41"/>
        <v>1.9656999999999982</v>
      </c>
      <c r="AB47" s="2">
        <f t="shared" si="42"/>
        <v>7.6980700000000013</v>
      </c>
      <c r="AC47" s="2">
        <f t="shared" si="43"/>
        <v>0.20340922848950238</v>
      </c>
      <c r="AD47" s="2">
        <f t="shared" si="44"/>
        <v>0.79659077151049762</v>
      </c>
      <c r="AE47" s="2">
        <f t="shared" si="45"/>
        <v>0.50872462735921087</v>
      </c>
      <c r="AF47" s="2">
        <f t="shared" si="46"/>
        <v>0.10347928396474668</v>
      </c>
      <c r="AG47" s="2">
        <f t="shared" si="47"/>
        <v>9.6637699999999995</v>
      </c>
      <c r="AH47" s="2">
        <v>5</v>
      </c>
      <c r="AI47">
        <f t="shared" si="48"/>
        <v>2.5436231367960547</v>
      </c>
      <c r="AL47" s="2"/>
      <c r="AQ47" s="13">
        <v>84.715620000000001</v>
      </c>
      <c r="AR47" s="2">
        <v>89.854830000000007</v>
      </c>
      <c r="AS47" s="2">
        <f t="shared" si="49"/>
        <v>5.1392100000000056</v>
      </c>
      <c r="AT47" s="2">
        <f t="shared" si="50"/>
        <v>4.9013599999999968</v>
      </c>
      <c r="AU47" s="2">
        <f t="shared" si="51"/>
        <v>0.5118444470782042</v>
      </c>
      <c r="AV47" s="2">
        <f t="shared" si="52"/>
        <v>0.48815555292179585</v>
      </c>
      <c r="AW47" s="2">
        <f t="shared" si="53"/>
        <v>0.19458243582184789</v>
      </c>
      <c r="AX47" s="2">
        <f t="shared" si="54"/>
        <v>9.9595939274363887E-2</v>
      </c>
      <c r="AY47" s="2">
        <f t="shared" si="55"/>
        <v>10.040570000000002</v>
      </c>
      <c r="AZ47" s="13">
        <v>20</v>
      </c>
      <c r="BA47">
        <f t="shared" si="56"/>
        <v>3.8916487164369578</v>
      </c>
    </row>
    <row r="48" spans="3:53" x14ac:dyDescent="0.35">
      <c r="C48" s="258" t="s">
        <v>326</v>
      </c>
      <c r="D48" s="155">
        <v>4</v>
      </c>
      <c r="F48" s="13">
        <v>118.08647000000001</v>
      </c>
      <c r="G48" s="2">
        <v>119.76249</v>
      </c>
      <c r="H48" s="2">
        <f t="shared" si="33"/>
        <v>1.6760199999999941</v>
      </c>
      <c r="I48" s="2">
        <f t="shared" si="34"/>
        <v>11.94662000000001</v>
      </c>
      <c r="J48" s="2">
        <f t="shared" si="35"/>
        <v>0.1230319526905206</v>
      </c>
      <c r="K48" s="2">
        <f t="shared" si="36"/>
        <v>0.87696804730947941</v>
      </c>
      <c r="L48" s="2">
        <f t="shared" si="37"/>
        <v>0.59665159126979606</v>
      </c>
      <c r="M48" s="2">
        <f t="shared" si="38"/>
        <v>7.3407210349829374E-2</v>
      </c>
      <c r="N48" s="2">
        <f t="shared" si="39"/>
        <v>13.622640000000004</v>
      </c>
      <c r="O48" s="2">
        <v>4</v>
      </c>
      <c r="P48">
        <f t="shared" si="40"/>
        <v>2.3866063650791842</v>
      </c>
      <c r="V48" s="258" t="s">
        <v>32</v>
      </c>
      <c r="W48" s="155">
        <v>-2</v>
      </c>
      <c r="Y48" s="13">
        <v>81.076250000000002</v>
      </c>
      <c r="Z48" s="2">
        <v>82.107590000000002</v>
      </c>
      <c r="AA48" s="2">
        <f t="shared" si="41"/>
        <v>1.0313400000000001</v>
      </c>
      <c r="AB48" s="2">
        <f t="shared" si="42"/>
        <v>6.6658800000000014</v>
      </c>
      <c r="AC48" s="2">
        <f t="shared" si="43"/>
        <v>0.13398863485777981</v>
      </c>
      <c r="AD48" s="2">
        <f t="shared" si="44"/>
        <v>0.86601136514222021</v>
      </c>
      <c r="AE48" s="2">
        <f t="shared" si="45"/>
        <v>0.96961234898287652</v>
      </c>
      <c r="AF48" s="2">
        <f t="shared" si="46"/>
        <v>0.12991703498146082</v>
      </c>
      <c r="AG48" s="2">
        <f t="shared" si="47"/>
        <v>7.6972200000000015</v>
      </c>
      <c r="AH48" s="2">
        <v>5</v>
      </c>
      <c r="AI48">
        <f t="shared" si="48"/>
        <v>4.8480617449143821</v>
      </c>
      <c r="AL48" s="2"/>
      <c r="AP48" s="144" t="s">
        <v>235</v>
      </c>
      <c r="AQ48" s="91">
        <v>94.756190000000004</v>
      </c>
      <c r="AR48" s="91">
        <v>96.847819999999999</v>
      </c>
      <c r="AS48" s="91">
        <f t="shared" si="49"/>
        <v>2.091629999999995</v>
      </c>
      <c r="AT48" s="91">
        <f t="shared" si="50"/>
        <v>6.4403199999999998</v>
      </c>
      <c r="AU48" s="91">
        <f t="shared" si="51"/>
        <v>0.24515263216497943</v>
      </c>
      <c r="AV48" s="91">
        <f t="shared" si="52"/>
        <v>0.7548473678350206</v>
      </c>
      <c r="AW48" s="91">
        <f t="shared" si="53"/>
        <v>0.478096030368661</v>
      </c>
      <c r="AX48" s="91">
        <f t="shared" si="54"/>
        <v>0.11720650027250519</v>
      </c>
      <c r="AY48" s="91">
        <f t="shared" si="55"/>
        <v>8.5319499999999948</v>
      </c>
      <c r="AZ48" s="91">
        <v>11</v>
      </c>
      <c r="BA48" s="144">
        <f t="shared" si="56"/>
        <v>5.2590563340552707</v>
      </c>
    </row>
    <row r="49" spans="3:53" x14ac:dyDescent="0.35">
      <c r="D49" s="155">
        <v>0</v>
      </c>
      <c r="F49" s="13">
        <v>131.70911000000001</v>
      </c>
      <c r="G49" s="2">
        <v>134.49678</v>
      </c>
      <c r="H49" s="2">
        <f t="shared" si="33"/>
        <v>2.7876699999999914</v>
      </c>
      <c r="I49" s="2">
        <f t="shared" si="34"/>
        <v>6.9330099999999959</v>
      </c>
      <c r="J49" s="2">
        <f t="shared" si="35"/>
        <v>0.28677726249603885</v>
      </c>
      <c r="K49" s="2">
        <f t="shared" si="36"/>
        <v>0.71322273750396115</v>
      </c>
      <c r="L49" s="2">
        <f t="shared" si="37"/>
        <v>0.35872251737113903</v>
      </c>
      <c r="M49" s="2">
        <f t="shared" si="38"/>
        <v>0.102873461527383</v>
      </c>
      <c r="N49" s="2">
        <f t="shared" si="39"/>
        <v>9.7206799999999873</v>
      </c>
      <c r="O49" s="2">
        <v>20</v>
      </c>
      <c r="P49">
        <f t="shared" si="40"/>
        <v>7.1744503474227805</v>
      </c>
      <c r="R49" t="s">
        <v>678</v>
      </c>
      <c r="V49" s="258" t="s">
        <v>32</v>
      </c>
      <c r="W49" s="155">
        <v>-2</v>
      </c>
      <c r="Y49" s="13">
        <v>88.773470000000003</v>
      </c>
      <c r="Z49" s="2">
        <v>90.701530000000005</v>
      </c>
      <c r="AA49" s="2">
        <f t="shared" si="41"/>
        <v>1.9280600000000021</v>
      </c>
      <c r="AB49" s="2">
        <f t="shared" si="42"/>
        <v>6.7718699999999927</v>
      </c>
      <c r="AC49" s="2">
        <f t="shared" si="43"/>
        <v>0.22161787508635164</v>
      </c>
      <c r="AD49" s="2">
        <f t="shared" si="44"/>
        <v>0.77838212491364833</v>
      </c>
      <c r="AE49" s="2">
        <f t="shared" si="45"/>
        <v>0.51865605842141782</v>
      </c>
      <c r="AF49" s="2">
        <f t="shared" si="46"/>
        <v>0.11494345356801729</v>
      </c>
      <c r="AG49" s="2">
        <f t="shared" si="47"/>
        <v>8.6999299999999948</v>
      </c>
      <c r="AH49" s="2">
        <v>5</v>
      </c>
      <c r="AI49">
        <f t="shared" si="48"/>
        <v>2.5932802921070892</v>
      </c>
      <c r="AL49" s="2"/>
      <c r="AQ49">
        <v>103.28814</v>
      </c>
      <c r="AR49">
        <v>106.60011</v>
      </c>
      <c r="AS49" s="2">
        <f t="shared" si="49"/>
        <v>3.3119700000000023</v>
      </c>
      <c r="AT49" s="2">
        <f t="shared" si="50"/>
        <v>5.7482799999999941</v>
      </c>
      <c r="AU49" s="2">
        <f t="shared" si="51"/>
        <v>0.36554951574183975</v>
      </c>
      <c r="AV49" s="2">
        <f t="shared" si="52"/>
        <v>0.6344504842581602</v>
      </c>
      <c r="AW49" s="2">
        <f t="shared" si="53"/>
        <v>0.30193510206916102</v>
      </c>
      <c r="AX49" s="2">
        <f t="shared" si="54"/>
        <v>0.11037223034684478</v>
      </c>
      <c r="AY49" s="2">
        <f t="shared" si="55"/>
        <v>9.0602499999999964</v>
      </c>
      <c r="AZ49">
        <v>16</v>
      </c>
      <c r="BA49">
        <f t="shared" si="56"/>
        <v>4.8309616331065763</v>
      </c>
    </row>
    <row r="50" spans="3:53" x14ac:dyDescent="0.35">
      <c r="C50" s="258" t="s">
        <v>541</v>
      </c>
      <c r="D50" s="155">
        <v>0</v>
      </c>
      <c r="F50" s="13">
        <v>141.42979</v>
      </c>
      <c r="G50" s="2">
        <v>146.13209000000001</v>
      </c>
      <c r="H50" s="2">
        <f t="shared" si="33"/>
        <v>4.7023000000000081</v>
      </c>
      <c r="I50" s="2">
        <f t="shared" si="34"/>
        <v>6.8208199999999977</v>
      </c>
      <c r="J50" s="2">
        <f t="shared" si="35"/>
        <v>0.40807524351043867</v>
      </c>
      <c r="K50" s="2">
        <f t="shared" si="36"/>
        <v>0.59192475648956133</v>
      </c>
      <c r="L50" s="2">
        <f t="shared" si="37"/>
        <v>0.21266188886289653</v>
      </c>
      <c r="M50" s="2">
        <f t="shared" si="38"/>
        <v>8.6782052083116332E-2</v>
      </c>
      <c r="N50" s="2">
        <f t="shared" si="39"/>
        <v>11.523120000000006</v>
      </c>
      <c r="O50" s="2">
        <v>44</v>
      </c>
      <c r="P50">
        <f t="shared" si="40"/>
        <v>9.3571231099674463</v>
      </c>
      <c r="V50" s="258" t="s">
        <v>32</v>
      </c>
      <c r="W50" s="155">
        <v>-2</v>
      </c>
      <c r="Y50" s="13">
        <v>97.473399999999998</v>
      </c>
      <c r="Z50" s="2">
        <v>99.437179999999998</v>
      </c>
      <c r="AA50" s="2">
        <f t="shared" si="41"/>
        <v>1.9637799999999999</v>
      </c>
      <c r="AB50" s="2">
        <f t="shared" si="42"/>
        <v>6.8037300000000016</v>
      </c>
      <c r="AC50" s="2">
        <f t="shared" si="43"/>
        <v>0.22398377646560991</v>
      </c>
      <c r="AD50" s="2">
        <f t="shared" si="44"/>
        <v>0.77601622353439004</v>
      </c>
      <c r="AE50" s="2">
        <f t="shared" si="45"/>
        <v>0.50922201061218675</v>
      </c>
      <c r="AF50" s="2">
        <f t="shared" si="46"/>
        <v>0.11405746899632847</v>
      </c>
      <c r="AG50" s="2">
        <f t="shared" si="47"/>
        <v>8.7675100000000015</v>
      </c>
      <c r="AH50" s="2">
        <v>5</v>
      </c>
      <c r="AI50">
        <f t="shared" si="48"/>
        <v>2.5461100530609335</v>
      </c>
      <c r="AL50" s="2"/>
      <c r="AQ50">
        <v>112.34838999999999</v>
      </c>
      <c r="AR50">
        <v>116.3532</v>
      </c>
      <c r="AS50" s="2">
        <f t="shared" si="49"/>
        <v>4.0048100000000062</v>
      </c>
      <c r="AT50" s="2">
        <f t="shared" si="50"/>
        <v>5.6831499999999977</v>
      </c>
      <c r="AU50" s="2">
        <f t="shared" si="51"/>
        <v>0.41338011304753575</v>
      </c>
      <c r="AV50" s="2">
        <f t="shared" si="52"/>
        <v>0.58661988695246425</v>
      </c>
      <c r="AW50" s="2">
        <f t="shared" si="53"/>
        <v>0.24969973606737858</v>
      </c>
      <c r="AX50" s="2">
        <f t="shared" si="54"/>
        <v>0.1032209051234728</v>
      </c>
      <c r="AY50" s="2">
        <f t="shared" si="55"/>
        <v>9.6879600000000039</v>
      </c>
      <c r="AZ50">
        <v>15</v>
      </c>
      <c r="BA50">
        <f t="shared" si="56"/>
        <v>3.745496041010679</v>
      </c>
    </row>
    <row r="51" spans="3:53" x14ac:dyDescent="0.35">
      <c r="C51" s="258" t="s">
        <v>541</v>
      </c>
      <c r="D51" s="155">
        <v>0</v>
      </c>
      <c r="F51" s="13">
        <v>152.95291</v>
      </c>
      <c r="G51" s="2">
        <v>157.64576</v>
      </c>
      <c r="H51" s="2">
        <f t="shared" si="33"/>
        <v>4.6928499999999929</v>
      </c>
      <c r="I51" s="2">
        <f t="shared" si="34"/>
        <v>6.7295100000000048</v>
      </c>
      <c r="J51" s="2">
        <f t="shared" si="35"/>
        <v>0.41084767070902983</v>
      </c>
      <c r="K51" s="2">
        <f t="shared" si="36"/>
        <v>0.58915232929097017</v>
      </c>
      <c r="L51" s="2">
        <f t="shared" si="37"/>
        <v>0.21309012646899039</v>
      </c>
      <c r="M51" s="2">
        <f t="shared" si="38"/>
        <v>8.7547582110877278E-2</v>
      </c>
      <c r="N51" s="2">
        <f t="shared" si="39"/>
        <v>11.422359999999998</v>
      </c>
      <c r="O51" s="2">
        <v>53</v>
      </c>
      <c r="P51">
        <f t="shared" si="40"/>
        <v>11.293776702856491</v>
      </c>
      <c r="V51" s="258" t="s">
        <v>32</v>
      </c>
      <c r="W51" s="155">
        <v>-2</v>
      </c>
      <c r="Y51" s="13">
        <v>106.24091</v>
      </c>
      <c r="Z51" s="2">
        <v>108.11194999999999</v>
      </c>
      <c r="AA51" s="2">
        <f t="shared" si="41"/>
        <v>1.8710399999999936</v>
      </c>
      <c r="AB51" s="2">
        <f t="shared" si="42"/>
        <v>8.8794500000000056</v>
      </c>
      <c r="AC51" s="2">
        <f t="shared" si="43"/>
        <v>0.1740422994672795</v>
      </c>
      <c r="AD51" s="2">
        <f t="shared" si="44"/>
        <v>0.82595770053272044</v>
      </c>
      <c r="AE51" s="2">
        <f t="shared" si="45"/>
        <v>0.53446211732512583</v>
      </c>
      <c r="AF51" s="2">
        <f t="shared" si="46"/>
        <v>9.3019015877415831E-2</v>
      </c>
      <c r="AG51" s="2">
        <f t="shared" si="47"/>
        <v>10.750489999999999</v>
      </c>
      <c r="AH51" s="2">
        <v>5</v>
      </c>
      <c r="AI51">
        <f t="shared" si="48"/>
        <v>2.6723105866256289</v>
      </c>
      <c r="AP51" s="144" t="s">
        <v>235</v>
      </c>
      <c r="AQ51" s="144">
        <v>122.03635</v>
      </c>
      <c r="AR51" s="144">
        <v>124.12537</v>
      </c>
      <c r="AS51" s="91">
        <f t="shared" si="49"/>
        <v>2.089020000000005</v>
      </c>
      <c r="AT51" s="91">
        <f t="shared" si="50"/>
        <v>10.227100000000007</v>
      </c>
      <c r="AU51" s="91">
        <f t="shared" si="51"/>
        <v>0.16961672994417096</v>
      </c>
      <c r="AV51" s="91">
        <f t="shared" si="52"/>
        <v>0.83038327005582901</v>
      </c>
      <c r="AW51" s="91">
        <f t="shared" si="53"/>
        <v>0.4786933586083415</v>
      </c>
      <c r="AX51" s="91">
        <f t="shared" si="54"/>
        <v>8.1194402133139248E-2</v>
      </c>
      <c r="AY51" s="91">
        <f t="shared" si="55"/>
        <v>12.316120000000012</v>
      </c>
      <c r="AZ51" s="144">
        <v>11</v>
      </c>
      <c r="BA51" s="144">
        <f t="shared" si="56"/>
        <v>5.265626944691757</v>
      </c>
    </row>
    <row r="52" spans="3:53" x14ac:dyDescent="0.35">
      <c r="C52" s="258" t="s">
        <v>541</v>
      </c>
      <c r="D52" s="155">
        <v>0</v>
      </c>
      <c r="F52" s="13">
        <v>164.37527</v>
      </c>
      <c r="G52" s="2">
        <v>169.20366000000001</v>
      </c>
      <c r="H52" s="2">
        <f t="shared" si="33"/>
        <v>4.8283900000000131</v>
      </c>
      <c r="I52" s="2">
        <f t="shared" si="34"/>
        <v>6.5286399999999958</v>
      </c>
      <c r="J52" s="2">
        <f t="shared" si="35"/>
        <v>0.4251454825777522</v>
      </c>
      <c r="K52" s="2">
        <f t="shared" si="36"/>
        <v>0.5748545174222478</v>
      </c>
      <c r="L52" s="2">
        <f t="shared" si="37"/>
        <v>0.20710837359865242</v>
      </c>
      <c r="M52" s="2">
        <f t="shared" si="38"/>
        <v>8.8051189439492472E-2</v>
      </c>
      <c r="N52" s="2">
        <f t="shared" si="39"/>
        <v>11.357030000000009</v>
      </c>
      <c r="O52" s="2">
        <v>44</v>
      </c>
      <c r="P52">
        <f t="shared" si="40"/>
        <v>9.112768438340705</v>
      </c>
      <c r="V52" s="258" t="s">
        <v>32</v>
      </c>
      <c r="W52" s="155">
        <v>-2</v>
      </c>
      <c r="Y52" s="13">
        <v>116.9914</v>
      </c>
      <c r="Z52" s="2">
        <v>118.98214</v>
      </c>
      <c r="AA52" s="2">
        <f t="shared" si="41"/>
        <v>1.9907400000000024</v>
      </c>
      <c r="AB52" s="2"/>
      <c r="AC52" s="2"/>
      <c r="AD52" s="2"/>
      <c r="AE52" s="2"/>
      <c r="AF52" s="2"/>
      <c r="AG52" s="2"/>
      <c r="AH52" s="2"/>
      <c r="AQ52">
        <v>134.35247000000001</v>
      </c>
      <c r="AR52">
        <v>137.62701999999999</v>
      </c>
      <c r="AS52" s="2">
        <f t="shared" si="49"/>
        <v>3.2745499999999765</v>
      </c>
      <c r="AT52" s="2">
        <f t="shared" si="50"/>
        <v>6.7138700000000142</v>
      </c>
      <c r="AU52" s="2">
        <f t="shared" si="51"/>
        <v>0.32783463250443812</v>
      </c>
      <c r="AV52" s="2">
        <f t="shared" si="52"/>
        <v>0.67216536749556188</v>
      </c>
      <c r="AW52" s="2">
        <f t="shared" si="53"/>
        <v>0.30538547281306044</v>
      </c>
      <c r="AX52" s="2">
        <f t="shared" si="54"/>
        <v>0.10011593425186376</v>
      </c>
      <c r="AY52" s="2">
        <f t="shared" si="55"/>
        <v>9.9884199999999908</v>
      </c>
      <c r="AZ52">
        <v>15</v>
      </c>
      <c r="BA52">
        <f t="shared" si="56"/>
        <v>4.580782092195907</v>
      </c>
    </row>
    <row r="53" spans="3:53" x14ac:dyDescent="0.35">
      <c r="C53" s="258" t="s">
        <v>541</v>
      </c>
      <c r="D53" s="155">
        <v>0</v>
      </c>
      <c r="F53" s="13">
        <v>175.73230000000001</v>
      </c>
      <c r="G53" s="2">
        <v>181.08090000000001</v>
      </c>
      <c r="H53" s="2">
        <f t="shared" si="33"/>
        <v>5.3486000000000047</v>
      </c>
      <c r="I53" s="2">
        <f t="shared" si="34"/>
        <v>6.7936599999999885</v>
      </c>
      <c r="J53" s="2">
        <f t="shared" si="35"/>
        <v>0.44049460314636713</v>
      </c>
      <c r="K53" s="2">
        <f t="shared" si="36"/>
        <v>0.55950539685363287</v>
      </c>
      <c r="L53" s="2">
        <f t="shared" si="37"/>
        <v>0.18696481322215142</v>
      </c>
      <c r="M53" s="2">
        <f t="shared" si="38"/>
        <v>8.235699120262624E-2</v>
      </c>
      <c r="N53" s="2">
        <f t="shared" si="39"/>
        <v>12.142259999999993</v>
      </c>
      <c r="O53" s="2">
        <v>53</v>
      </c>
      <c r="P53">
        <f t="shared" si="40"/>
        <v>9.9091351007740265</v>
      </c>
      <c r="V53" s="258" t="s">
        <v>32</v>
      </c>
      <c r="W53" s="155"/>
      <c r="Y53" s="13"/>
      <c r="Z53" s="2"/>
      <c r="AA53" s="2"/>
      <c r="AB53" s="2"/>
      <c r="AC53" s="2"/>
      <c r="AD53" s="2"/>
      <c r="AE53" s="2"/>
      <c r="AF53" s="2"/>
      <c r="AG53" s="2"/>
      <c r="AH53" s="2"/>
      <c r="AP53" s="144" t="s">
        <v>235</v>
      </c>
      <c r="AQ53" s="144">
        <v>144.34089</v>
      </c>
      <c r="AR53" s="144">
        <v>146.62854999999999</v>
      </c>
      <c r="AS53" s="91">
        <f t="shared" si="49"/>
        <v>2.2876599999999883</v>
      </c>
      <c r="AT53" s="91">
        <f t="shared" si="50"/>
        <v>8.9618499999999983</v>
      </c>
      <c r="AU53" s="91">
        <f t="shared" si="51"/>
        <v>0.20335641285709252</v>
      </c>
      <c r="AV53" s="91">
        <f t="shared" si="52"/>
        <v>0.79664358714290751</v>
      </c>
      <c r="AW53" s="91">
        <f t="shared" si="53"/>
        <v>0.43712789487948606</v>
      </c>
      <c r="AX53" s="91">
        <f t="shared" si="54"/>
        <v>8.8892760662464515E-2</v>
      </c>
      <c r="AY53" s="91">
        <f t="shared" si="55"/>
        <v>11.249509999999987</v>
      </c>
      <c r="AZ53" s="144">
        <v>13</v>
      </c>
      <c r="BA53" s="144">
        <f t="shared" si="56"/>
        <v>5.6826626334333188</v>
      </c>
    </row>
    <row r="54" spans="3:53" x14ac:dyDescent="0.35">
      <c r="C54" s="258" t="s">
        <v>541</v>
      </c>
      <c r="D54" s="155">
        <v>0</v>
      </c>
      <c r="F54" s="13">
        <v>187.87456</v>
      </c>
      <c r="G54" s="13">
        <v>193.27239</v>
      </c>
      <c r="H54" s="2">
        <f t="shared" si="33"/>
        <v>5.397829999999999</v>
      </c>
      <c r="I54" s="2">
        <f t="shared" si="34"/>
        <v>6.7293699999999887</v>
      </c>
      <c r="J54" s="2">
        <f t="shared" si="35"/>
        <v>0.44510109505904122</v>
      </c>
      <c r="K54" s="2">
        <f t="shared" si="36"/>
        <v>0.55489890494095884</v>
      </c>
      <c r="L54" s="2">
        <f t="shared" si="37"/>
        <v>0.18525963211142257</v>
      </c>
      <c r="M54" s="2">
        <f t="shared" si="38"/>
        <v>8.2459265123029313E-2</v>
      </c>
      <c r="N54" s="2">
        <f t="shared" si="39"/>
        <v>12.127199999999988</v>
      </c>
      <c r="O54" s="2">
        <v>54</v>
      </c>
      <c r="P54">
        <f t="shared" si="40"/>
        <v>10.00402013401682</v>
      </c>
      <c r="V54" s="258" t="s">
        <v>32</v>
      </c>
      <c r="W54" s="155"/>
      <c r="Y54" s="13"/>
      <c r="Z54" s="2"/>
      <c r="AA54" s="2"/>
      <c r="AB54" s="2"/>
      <c r="AC54" s="2"/>
      <c r="AD54" s="2"/>
      <c r="AE54" s="2"/>
      <c r="AF54" s="2"/>
      <c r="AG54" s="2"/>
      <c r="AH54" s="2"/>
      <c r="AP54" s="144" t="s">
        <v>235</v>
      </c>
      <c r="AQ54" s="144">
        <v>155.59039999999999</v>
      </c>
      <c r="AR54" s="144">
        <v>157.87522999999999</v>
      </c>
      <c r="AS54" s="91">
        <f t="shared" si="49"/>
        <v>2.2848299999999995</v>
      </c>
      <c r="AT54" s="91">
        <f t="shared" si="50"/>
        <v>6.9615000000000009</v>
      </c>
      <c r="AU54" s="91">
        <f t="shared" si="51"/>
        <v>0.2471066898975052</v>
      </c>
      <c r="AV54" s="91">
        <f t="shared" si="52"/>
        <v>0.75289331010249483</v>
      </c>
      <c r="AW54" s="91">
        <f t="shared" si="53"/>
        <v>0.43766932331945929</v>
      </c>
      <c r="AX54" s="91">
        <f t="shared" si="54"/>
        <v>0.10815101775515258</v>
      </c>
      <c r="AY54" s="91">
        <f t="shared" si="55"/>
        <v>9.2463300000000004</v>
      </c>
      <c r="AZ54" s="144">
        <v>14</v>
      </c>
      <c r="BA54" s="144">
        <f t="shared" si="56"/>
        <v>6.1273705264724301</v>
      </c>
    </row>
    <row r="55" spans="3:53" x14ac:dyDescent="0.35">
      <c r="C55" s="258" t="s">
        <v>541</v>
      </c>
      <c r="D55" s="155">
        <v>0</v>
      </c>
      <c r="F55" s="13">
        <v>200.00175999999999</v>
      </c>
      <c r="G55" s="13">
        <v>204.63588999999999</v>
      </c>
      <c r="H55" s="2">
        <f t="shared" si="33"/>
        <v>4.634129999999999</v>
      </c>
      <c r="I55" s="2">
        <f t="shared" si="34"/>
        <v>4.0824900000000071</v>
      </c>
      <c r="J55" s="2">
        <f t="shared" si="35"/>
        <v>0.53164299923594194</v>
      </c>
      <c r="K55" s="2">
        <f t="shared" si="36"/>
        <v>0.46835700076405812</v>
      </c>
      <c r="L55" s="2">
        <f t="shared" si="37"/>
        <v>0.21579023462872216</v>
      </c>
      <c r="M55" s="2">
        <f t="shared" si="38"/>
        <v>0.11472336754384145</v>
      </c>
      <c r="N55" s="2">
        <f t="shared" si="39"/>
        <v>8.716620000000006</v>
      </c>
      <c r="O55" s="2">
        <v>44</v>
      </c>
      <c r="P55">
        <f t="shared" si="40"/>
        <v>9.4947703236637757</v>
      </c>
      <c r="V55" s="258" t="s">
        <v>326</v>
      </c>
      <c r="W55" s="155"/>
      <c r="Y55" s="13"/>
      <c r="Z55" s="13"/>
      <c r="AA55" s="2"/>
      <c r="AB55" s="2"/>
      <c r="AC55" s="2"/>
      <c r="AD55" s="2"/>
      <c r="AE55" s="2"/>
      <c r="AF55" s="2"/>
      <c r="AG55" s="2"/>
      <c r="AH55" s="2"/>
      <c r="AQ55">
        <v>164.83672999999999</v>
      </c>
      <c r="AR55">
        <v>168.12835999999999</v>
      </c>
      <c r="AS55" s="2">
        <f t="shared" si="49"/>
        <v>3.2916299999999978</v>
      </c>
      <c r="AT55" s="2">
        <f t="shared" si="50"/>
        <v>6.6949400000000026</v>
      </c>
      <c r="AU55" s="2">
        <f t="shared" si="51"/>
        <v>0.32960566040191958</v>
      </c>
      <c r="AV55" s="2">
        <f t="shared" si="52"/>
        <v>0.67039433959808048</v>
      </c>
      <c r="AW55" s="2">
        <f t="shared" si="53"/>
        <v>0.30380085246519223</v>
      </c>
      <c r="AX55" s="2">
        <f t="shared" si="54"/>
        <v>0.10013448060745581</v>
      </c>
      <c r="AY55" s="2">
        <f t="shared" si="55"/>
        <v>9.9865700000000004</v>
      </c>
      <c r="AZ55">
        <v>17</v>
      </c>
      <c r="BA55">
        <f t="shared" si="56"/>
        <v>5.1646144919082673</v>
      </c>
    </row>
    <row r="56" spans="3:53" x14ac:dyDescent="0.35">
      <c r="C56" s="258" t="s">
        <v>541</v>
      </c>
      <c r="D56" s="155">
        <v>0</v>
      </c>
      <c r="F56" s="13">
        <v>208.71838</v>
      </c>
      <c r="G56" s="13">
        <v>215.90978999999999</v>
      </c>
      <c r="H56" s="2">
        <f t="shared" si="33"/>
        <v>7.1914099999999905</v>
      </c>
      <c r="I56" s="2">
        <f t="shared" si="34"/>
        <v>4.0388700000000028</v>
      </c>
      <c r="J56" s="2">
        <f t="shared" si="35"/>
        <v>0.64035892248456805</v>
      </c>
      <c r="K56" s="2">
        <f t="shared" si="36"/>
        <v>0.35964107751543195</v>
      </c>
      <c r="L56" s="2">
        <f t="shared" si="37"/>
        <v>0.13905478897740517</v>
      </c>
      <c r="M56" s="2">
        <f t="shared" si="38"/>
        <v>8.9044974835890162E-2</v>
      </c>
      <c r="N56" s="2">
        <f t="shared" si="39"/>
        <v>11.230279999999993</v>
      </c>
      <c r="O56" s="2">
        <v>46</v>
      </c>
      <c r="P56">
        <f t="shared" si="40"/>
        <v>6.3965202929606377</v>
      </c>
      <c r="W56" s="155"/>
      <c r="Y56" s="13"/>
      <c r="Z56" s="13"/>
      <c r="AA56" s="2"/>
      <c r="AB56" s="2"/>
      <c r="AC56" s="2"/>
      <c r="AD56" s="2"/>
      <c r="AE56" s="2"/>
      <c r="AF56" s="2"/>
      <c r="AG56" s="2"/>
      <c r="AH56" s="2"/>
      <c r="AQ56">
        <v>174.82329999999999</v>
      </c>
      <c r="AR56">
        <v>178.88034999999999</v>
      </c>
      <c r="AS56" s="2">
        <f t="shared" si="49"/>
        <v>4.0570500000000038</v>
      </c>
      <c r="AT56" s="2">
        <f t="shared" si="50"/>
        <v>4.8124700000000189</v>
      </c>
      <c r="AU56" s="2">
        <f t="shared" si="51"/>
        <v>0.45741483191875021</v>
      </c>
      <c r="AV56" s="2">
        <f t="shared" si="52"/>
        <v>0.54258516808124979</v>
      </c>
      <c r="AW56" s="2">
        <f t="shared" si="53"/>
        <v>0.24648451461036938</v>
      </c>
      <c r="AX56" s="2">
        <f t="shared" si="54"/>
        <v>0.11274567282107684</v>
      </c>
      <c r="AY56" s="2">
        <f t="shared" si="55"/>
        <v>8.8695200000000227</v>
      </c>
      <c r="AZ56">
        <v>16</v>
      </c>
      <c r="BA56">
        <f t="shared" si="56"/>
        <v>3.9437522337659101</v>
      </c>
    </row>
    <row r="57" spans="3:53" x14ac:dyDescent="0.35">
      <c r="C57" s="258" t="s">
        <v>541</v>
      </c>
      <c r="D57" s="155">
        <v>0</v>
      </c>
      <c r="F57" s="13">
        <v>219.94865999999999</v>
      </c>
      <c r="G57" s="13">
        <v>223.77206000000001</v>
      </c>
      <c r="H57" s="2">
        <f t="shared" si="33"/>
        <v>3.8234000000000208</v>
      </c>
      <c r="I57" s="2">
        <f t="shared" si="34"/>
        <v>6.618709999999993</v>
      </c>
      <c r="J57" s="2">
        <f t="shared" si="35"/>
        <v>0.36615205164473613</v>
      </c>
      <c r="K57" s="2">
        <f t="shared" si="36"/>
        <v>0.63384794835526381</v>
      </c>
      <c r="L57" s="2">
        <f t="shared" si="37"/>
        <v>0.26154731390908476</v>
      </c>
      <c r="M57" s="2">
        <f t="shared" si="38"/>
        <v>9.5766085589981204E-2</v>
      </c>
      <c r="N57" s="2">
        <f t="shared" si="39"/>
        <v>10.442110000000014</v>
      </c>
      <c r="O57" s="2">
        <v>36</v>
      </c>
      <c r="P57">
        <f t="shared" si="40"/>
        <v>9.415703300727051</v>
      </c>
      <c r="W57" s="155"/>
      <c r="Y57" s="13"/>
      <c r="Z57" s="13"/>
      <c r="AA57" s="2"/>
      <c r="AB57" s="2"/>
      <c r="AC57" s="2"/>
      <c r="AD57" s="2"/>
      <c r="AE57" s="2"/>
      <c r="AF57" s="2"/>
      <c r="AG57" s="2"/>
      <c r="AH57" s="2"/>
      <c r="AQ57">
        <v>183.69282000000001</v>
      </c>
      <c r="AR57">
        <v>186.87842000000001</v>
      </c>
      <c r="AS57" s="2">
        <f t="shared" si="49"/>
        <v>3.1855999999999938</v>
      </c>
      <c r="AT57" s="2">
        <f t="shared" si="50"/>
        <v>6.5445699999999931</v>
      </c>
      <c r="AU57" s="2">
        <f t="shared" si="51"/>
        <v>0.32739407430702627</v>
      </c>
      <c r="AV57" s="2">
        <f t="shared" si="52"/>
        <v>0.67260592569297373</v>
      </c>
      <c r="AW57" s="2">
        <f t="shared" si="53"/>
        <v>0.31391260673028692</v>
      </c>
      <c r="AX57" s="2">
        <f t="shared" si="54"/>
        <v>0.10277312729376788</v>
      </c>
      <c r="AY57" s="2">
        <f t="shared" si="55"/>
        <v>9.7301699999999869</v>
      </c>
      <c r="AZ57">
        <v>13</v>
      </c>
      <c r="BA57">
        <f t="shared" si="56"/>
        <v>4.08086388749373</v>
      </c>
    </row>
    <row r="58" spans="3:53" x14ac:dyDescent="0.35">
      <c r="C58" s="258" t="s">
        <v>541</v>
      </c>
      <c r="D58" s="155">
        <v>0</v>
      </c>
      <c r="F58" s="13">
        <v>230.39077</v>
      </c>
      <c r="G58" s="13">
        <v>235.14676</v>
      </c>
      <c r="H58" s="2">
        <f t="shared" si="33"/>
        <v>4.7559899999999971</v>
      </c>
      <c r="I58" s="2">
        <f t="shared" si="34"/>
        <v>4.0895199999999932</v>
      </c>
      <c r="J58" s="2">
        <f t="shared" si="35"/>
        <v>0.53767278540185948</v>
      </c>
      <c r="K58" s="2">
        <f t="shared" si="36"/>
        <v>0.46232721459814047</v>
      </c>
      <c r="L58" s="2">
        <f t="shared" si="37"/>
        <v>0.21026116539353545</v>
      </c>
      <c r="M58" s="2">
        <f t="shared" si="38"/>
        <v>0.11305170645898327</v>
      </c>
      <c r="N58" s="2">
        <f t="shared" si="39"/>
        <v>8.8455099999999902</v>
      </c>
      <c r="O58" s="2">
        <v>50</v>
      </c>
      <c r="P58">
        <f t="shared" si="40"/>
        <v>10.513058269676772</v>
      </c>
      <c r="W58" s="155"/>
      <c r="Y58" s="13"/>
      <c r="Z58" s="13"/>
      <c r="AA58" s="2"/>
      <c r="AB58" s="2"/>
      <c r="AC58" s="2"/>
      <c r="AD58" s="2"/>
      <c r="AE58" s="2"/>
      <c r="AF58" s="2"/>
      <c r="AG58" s="2"/>
      <c r="AH58" s="2"/>
      <c r="AP58" s="144" t="s">
        <v>235</v>
      </c>
      <c r="AQ58" s="144">
        <v>193.42299</v>
      </c>
      <c r="AR58" s="144">
        <v>195.62528</v>
      </c>
      <c r="AS58" s="91">
        <f t="shared" si="49"/>
        <v>2.202290000000005</v>
      </c>
      <c r="AT58" s="91">
        <f t="shared" si="50"/>
        <v>7.0943499999999915</v>
      </c>
      <c r="AU58" s="91">
        <f t="shared" si="51"/>
        <v>0.23689096275643737</v>
      </c>
      <c r="AV58" s="91">
        <f t="shared" si="52"/>
        <v>0.7631090372435626</v>
      </c>
      <c r="AW58" s="91">
        <f t="shared" si="53"/>
        <v>0.45407280603371841</v>
      </c>
      <c r="AX58" s="91">
        <f t="shared" si="54"/>
        <v>0.10756574418284459</v>
      </c>
      <c r="AY58" s="91">
        <f t="shared" si="55"/>
        <v>9.2966399999999965</v>
      </c>
      <c r="AZ58" s="144">
        <v>11</v>
      </c>
      <c r="BA58" s="144">
        <f t="shared" si="56"/>
        <v>4.9948008663709027</v>
      </c>
    </row>
    <row r="59" spans="3:53" x14ac:dyDescent="0.35">
      <c r="F59" s="13">
        <v>239.23627999999999</v>
      </c>
      <c r="G59" s="13">
        <v>239.86398</v>
      </c>
      <c r="H59" s="2">
        <f t="shared" si="33"/>
        <v>0.62770000000000437</v>
      </c>
      <c r="I59" s="2"/>
      <c r="J59" s="2"/>
      <c r="K59" s="2"/>
      <c r="L59" s="2"/>
      <c r="M59" s="2"/>
      <c r="N59" s="2"/>
      <c r="O59" s="2"/>
      <c r="W59" s="155"/>
      <c r="Y59" s="13"/>
      <c r="AA59" s="2"/>
      <c r="AB59" s="2"/>
      <c r="AC59" s="2"/>
      <c r="AD59" s="2"/>
      <c r="AE59" s="2"/>
      <c r="AF59" s="2"/>
      <c r="AG59" s="2"/>
      <c r="AH59" s="2"/>
      <c r="AQ59">
        <v>202.71963</v>
      </c>
      <c r="AR59">
        <v>205.87965</v>
      </c>
      <c r="AS59" s="2">
        <f t="shared" si="49"/>
        <v>3.1600200000000029</v>
      </c>
      <c r="AT59" s="2">
        <f t="shared" si="50"/>
        <v>4.9368300000000147</v>
      </c>
      <c r="AU59" s="2">
        <f t="shared" si="51"/>
        <v>0.39027770058726491</v>
      </c>
      <c r="AV59" s="2">
        <f t="shared" si="52"/>
        <v>0.60972229941273504</v>
      </c>
      <c r="AW59" s="2">
        <f t="shared" si="53"/>
        <v>0.31645369333105455</v>
      </c>
      <c r="AX59" s="2">
        <f t="shared" si="54"/>
        <v>0.12350481977559147</v>
      </c>
      <c r="AY59" s="2">
        <f t="shared" si="55"/>
        <v>8.0968500000000176</v>
      </c>
      <c r="AZ59">
        <v>14</v>
      </c>
      <c r="BA59">
        <f t="shared" si="56"/>
        <v>4.430351706634764</v>
      </c>
    </row>
    <row r="60" spans="3:53" x14ac:dyDescent="0.35">
      <c r="F60" s="13"/>
      <c r="W60" s="155"/>
      <c r="AA60" s="2"/>
      <c r="AB60" s="2"/>
      <c r="AC60" s="2"/>
      <c r="AD60" s="2"/>
      <c r="AE60" s="2"/>
      <c r="AF60" s="2"/>
      <c r="AG60" s="2"/>
      <c r="AH60" s="2"/>
      <c r="AQ60">
        <v>210.81648000000001</v>
      </c>
      <c r="AR60">
        <v>214.87682000000001</v>
      </c>
      <c r="AS60" s="2">
        <f t="shared" si="49"/>
        <v>4.0603399999999965</v>
      </c>
      <c r="AT60" s="2">
        <f t="shared" si="50"/>
        <v>5.7778299999999945</v>
      </c>
      <c r="AU60" s="2">
        <f t="shared" si="51"/>
        <v>0.41271293340123216</v>
      </c>
      <c r="AV60" s="2">
        <f t="shared" si="52"/>
        <v>0.58728706659876784</v>
      </c>
      <c r="AW60" s="2">
        <f t="shared" si="53"/>
        <v>0.2462847938842562</v>
      </c>
      <c r="AX60" s="2">
        <f t="shared" si="54"/>
        <v>0.10164491973608922</v>
      </c>
      <c r="AY60" s="2">
        <f t="shared" si="55"/>
        <v>9.838169999999991</v>
      </c>
      <c r="AZ60">
        <v>16</v>
      </c>
      <c r="BA60">
        <f t="shared" si="56"/>
        <v>3.9405567021480992</v>
      </c>
    </row>
    <row r="61" spans="3:53" ht="16" thickBot="1" x14ac:dyDescent="0.4">
      <c r="F61" s="13"/>
      <c r="G61" s="13"/>
      <c r="H61" s="9" t="s">
        <v>3</v>
      </c>
      <c r="I61" s="9" t="s">
        <v>4</v>
      </c>
      <c r="J61" s="9" t="s">
        <v>5</v>
      </c>
      <c r="K61" s="9" t="s">
        <v>6</v>
      </c>
      <c r="L61" s="9" t="s">
        <v>7</v>
      </c>
      <c r="M61" s="9" t="s">
        <v>8</v>
      </c>
      <c r="N61" s="9" t="s">
        <v>9</v>
      </c>
      <c r="O61" s="9" t="s">
        <v>10</v>
      </c>
      <c r="P61" s="44" t="s">
        <v>139</v>
      </c>
      <c r="W61" s="155"/>
      <c r="Y61" s="13"/>
      <c r="Z61" s="13"/>
      <c r="AA61" s="9" t="s">
        <v>3</v>
      </c>
      <c r="AB61" s="9" t="s">
        <v>4</v>
      </c>
      <c r="AC61" s="9" t="s">
        <v>5</v>
      </c>
      <c r="AD61" s="9" t="s">
        <v>6</v>
      </c>
      <c r="AE61" s="9" t="s">
        <v>7</v>
      </c>
      <c r="AF61" s="9" t="s">
        <v>8</v>
      </c>
      <c r="AG61" s="9" t="s">
        <v>9</v>
      </c>
      <c r="AH61" s="9" t="s">
        <v>10</v>
      </c>
      <c r="AI61" s="44" t="s">
        <v>139</v>
      </c>
      <c r="AP61" s="144" t="s">
        <v>235</v>
      </c>
      <c r="AQ61" s="144">
        <v>220.65465</v>
      </c>
      <c r="AR61" s="144">
        <v>223.62548000000001</v>
      </c>
      <c r="AS61" s="91">
        <f t="shared" si="49"/>
        <v>2.9708300000000065</v>
      </c>
      <c r="AT61" s="91">
        <f t="shared" si="50"/>
        <v>6.0881399999999815</v>
      </c>
      <c r="AU61" s="91">
        <f t="shared" si="51"/>
        <v>0.32794346377126876</v>
      </c>
      <c r="AV61" s="91">
        <f t="shared" si="52"/>
        <v>0.67205653622873129</v>
      </c>
      <c r="AW61" s="91">
        <f t="shared" si="53"/>
        <v>0.33660626828192719</v>
      </c>
      <c r="AX61" s="91">
        <f t="shared" si="54"/>
        <v>0.11038782554749617</v>
      </c>
      <c r="AY61" s="91">
        <f t="shared" si="55"/>
        <v>9.058969999999988</v>
      </c>
      <c r="AZ61" s="144">
        <v>11</v>
      </c>
      <c r="BA61" s="144">
        <f t="shared" si="56"/>
        <v>3.7026689511011992</v>
      </c>
    </row>
    <row r="62" spans="3:53" x14ac:dyDescent="0.35">
      <c r="E62" s="104" t="s">
        <v>447</v>
      </c>
      <c r="F62" s="13"/>
      <c r="G62" s="49" t="s">
        <v>77</v>
      </c>
      <c r="H62" s="13">
        <f>AVERAGE(H38:H48)</f>
        <v>3.2958381818181821</v>
      </c>
      <c r="I62" s="13">
        <f t="shared" ref="I62:P62" si="57">AVERAGE(I38:I48)</f>
        <v>8.167545454545456</v>
      </c>
      <c r="J62" s="13">
        <f t="shared" si="57"/>
        <v>0.29272189143213434</v>
      </c>
      <c r="K62" s="13">
        <f t="shared" si="57"/>
        <v>0.70727810856786588</v>
      </c>
      <c r="L62" s="13">
        <f t="shared" si="57"/>
        <v>0.32298271742091234</v>
      </c>
      <c r="M62" s="13">
        <f t="shared" si="57"/>
        <v>8.9211862762678562E-2</v>
      </c>
      <c r="N62" s="13">
        <f t="shared" si="57"/>
        <v>11.463383636363638</v>
      </c>
      <c r="O62" s="13">
        <f t="shared" si="57"/>
        <v>7.9090909090909092</v>
      </c>
      <c r="P62" s="13">
        <f t="shared" si="57"/>
        <v>2.4233596948637492</v>
      </c>
      <c r="W62" s="155"/>
      <c r="X62" s="104" t="s">
        <v>426</v>
      </c>
      <c r="Y62" s="13"/>
      <c r="Z62" s="49" t="s">
        <v>77</v>
      </c>
      <c r="AA62" s="13">
        <f>AVERAGE(AA39:AA51)</f>
        <v>2.0358930769230765</v>
      </c>
      <c r="AB62" s="13">
        <f t="shared" ref="AB62:AI62" si="58">AVERAGE(AB39:AB51)</f>
        <v>6.7544869230769242</v>
      </c>
      <c r="AC62" s="13">
        <f t="shared" si="58"/>
        <v>0.23413189443769766</v>
      </c>
      <c r="AD62" s="13">
        <f t="shared" si="58"/>
        <v>0.76586810556230234</v>
      </c>
      <c r="AE62" s="13">
        <f t="shared" si="58"/>
        <v>0.58136832126949245</v>
      </c>
      <c r="AF62" s="13">
        <f t="shared" si="58"/>
        <v>0.1162701457660414</v>
      </c>
      <c r="AG62" s="13">
        <f t="shared" si="58"/>
        <v>8.7903800000000007</v>
      </c>
      <c r="AH62" s="13">
        <f t="shared" si="58"/>
        <v>5.2307692307692308</v>
      </c>
      <c r="AI62" s="13">
        <f t="shared" si="58"/>
        <v>2.9245959598572067</v>
      </c>
      <c r="AP62" s="144" t="s">
        <v>235</v>
      </c>
      <c r="AQ62" s="144">
        <v>229.71361999999999</v>
      </c>
      <c r="AR62" s="144">
        <v>231.87609</v>
      </c>
      <c r="AS62" s="91">
        <f t="shared" si="49"/>
        <v>2.1624700000000132</v>
      </c>
      <c r="AT62" s="91">
        <f t="shared" si="50"/>
        <v>6.2179999999999893</v>
      </c>
      <c r="AU62" s="91">
        <f t="shared" si="51"/>
        <v>0.25803684041587316</v>
      </c>
      <c r="AV62" s="91">
        <f t="shared" si="52"/>
        <v>0.74196315958412684</v>
      </c>
      <c r="AW62" s="91">
        <f t="shared" si="53"/>
        <v>0.46243416093633388</v>
      </c>
      <c r="AX62" s="91">
        <f t="shared" si="54"/>
        <v>0.11932504978837699</v>
      </c>
      <c r="AY62" s="91">
        <f t="shared" si="55"/>
        <v>8.3804700000000025</v>
      </c>
      <c r="AZ62" s="144">
        <v>12</v>
      </c>
      <c r="BA62" s="144">
        <f t="shared" si="56"/>
        <v>5.5492099312360059</v>
      </c>
    </row>
    <row r="63" spans="3:53" x14ac:dyDescent="0.35">
      <c r="E63" s="104"/>
      <c r="F63" s="13"/>
      <c r="G63" s="49" t="s">
        <v>94</v>
      </c>
      <c r="H63" s="2">
        <f>_xlfn.STDEV.S(H38:H48)</f>
        <v>0.73930686385043609</v>
      </c>
      <c r="I63" s="2">
        <f t="shared" ref="I63:P63" si="59">_xlfn.STDEV.S(I38:I48)</f>
        <v>1.8208820032026432</v>
      </c>
      <c r="J63" s="2">
        <f t="shared" si="59"/>
        <v>6.8015804040453737E-2</v>
      </c>
      <c r="K63" s="2">
        <f t="shared" si="59"/>
        <v>6.8015804040453973E-2</v>
      </c>
      <c r="L63" s="2">
        <f t="shared" si="59"/>
        <v>0.10098748760876368</v>
      </c>
      <c r="M63" s="2">
        <f t="shared" si="59"/>
        <v>1.4556521341731637E-2</v>
      </c>
      <c r="N63" s="2">
        <f t="shared" si="59"/>
        <v>1.7427336841197212</v>
      </c>
      <c r="O63" s="2">
        <f t="shared" si="59"/>
        <v>1.8140862964338516</v>
      </c>
      <c r="P63" s="2">
        <f t="shared" si="59"/>
        <v>0.37927463744084949</v>
      </c>
      <c r="W63" s="155"/>
      <c r="X63" s="104"/>
      <c r="Y63" s="13"/>
      <c r="Z63" s="49" t="s">
        <v>94</v>
      </c>
      <c r="AA63" s="2">
        <f>_xlfn.STDEV.S(AA39:AA51)</f>
        <v>0.86708501556829853</v>
      </c>
      <c r="AB63" s="2">
        <f t="shared" ref="AB63:AI63" si="60">_xlfn.STDEV.S(AB39:AB51)</f>
        <v>1.5087530869749377</v>
      </c>
      <c r="AC63" s="2">
        <f t="shared" si="60"/>
        <v>9.9696675242898727E-2</v>
      </c>
      <c r="AD63" s="2">
        <f t="shared" si="60"/>
        <v>9.9696675242898589E-2</v>
      </c>
      <c r="AE63" s="2">
        <f t="shared" si="60"/>
        <v>0.25798374729762041</v>
      </c>
      <c r="AF63" s="2">
        <f t="shared" si="60"/>
        <v>1.9000315776997793E-2</v>
      </c>
      <c r="AG63" s="2">
        <f t="shared" si="60"/>
        <v>1.2865903836821262</v>
      </c>
      <c r="AH63" s="2">
        <f t="shared" si="60"/>
        <v>0.72501105208198502</v>
      </c>
      <c r="AI63" s="2">
        <f t="shared" si="60"/>
        <v>1.0562853885654879</v>
      </c>
      <c r="AQ63">
        <v>238.09408999999999</v>
      </c>
      <c r="AR63">
        <v>239.87959000000001</v>
      </c>
      <c r="AS63" s="2"/>
      <c r="AT63" s="2"/>
      <c r="AU63" s="2"/>
      <c r="AV63" s="2"/>
      <c r="AW63" s="2"/>
      <c r="AX63" s="2"/>
      <c r="AY63" s="2"/>
    </row>
    <row r="64" spans="3:53" x14ac:dyDescent="0.35">
      <c r="E64" s="104"/>
      <c r="F64" s="13"/>
      <c r="G64" s="49" t="s">
        <v>95</v>
      </c>
      <c r="H64" s="2">
        <f>H63/(SQRT(COUNT(H38:H48)))</f>
        <v>0.22290940657511463</v>
      </c>
      <c r="I64" s="2">
        <f t="shared" ref="I64:P64" si="61">I63/(SQRT(COUNT(I38:I48)))</f>
        <v>0.5490165811030806</v>
      </c>
      <c r="J64" s="2">
        <f t="shared" si="61"/>
        <v>2.0507536528774895E-2</v>
      </c>
      <c r="K64" s="2">
        <f t="shared" si="61"/>
        <v>2.0507536528774965E-2</v>
      </c>
      <c r="L64" s="2">
        <f t="shared" si="61"/>
        <v>3.0448873174448578E-2</v>
      </c>
      <c r="M64" s="2">
        <f t="shared" si="61"/>
        <v>4.3889563221204174E-3</v>
      </c>
      <c r="N64" s="2">
        <f t="shared" si="61"/>
        <v>0.52545397633989677</v>
      </c>
      <c r="O64" s="2">
        <f t="shared" si="61"/>
        <v>0.54696759841786602</v>
      </c>
      <c r="P64" s="2">
        <f t="shared" si="61"/>
        <v>0.11435560589903435</v>
      </c>
      <c r="W64" s="155"/>
      <c r="X64" s="104"/>
      <c r="Y64" s="13"/>
      <c r="Z64" s="49" t="s">
        <v>95</v>
      </c>
      <c r="AA64" s="2">
        <f>AA63/(SQRT(COUNT(AA39:AA51)))</f>
        <v>0.24048611413984552</v>
      </c>
      <c r="AB64" s="2">
        <f t="shared" ref="AB64:AI64" si="62">AB63/(SQRT(COUNT(AB39:AB51)))</f>
        <v>0.41845281670020906</v>
      </c>
      <c r="AC64" s="2">
        <f t="shared" si="62"/>
        <v>2.7650882660119433E-2</v>
      </c>
      <c r="AD64" s="2">
        <f t="shared" si="62"/>
        <v>2.7650882660119395E-2</v>
      </c>
      <c r="AE64" s="2">
        <f t="shared" si="62"/>
        <v>7.1551817624454991E-2</v>
      </c>
      <c r="AF64" s="2">
        <f t="shared" si="62"/>
        <v>5.2697394449209966E-3</v>
      </c>
      <c r="AG64" s="2">
        <f t="shared" si="62"/>
        <v>0.35683596914498411</v>
      </c>
      <c r="AH64" s="2">
        <f t="shared" si="62"/>
        <v>0.20108188642766847</v>
      </c>
      <c r="AI64" s="2">
        <f t="shared" si="62"/>
        <v>0.29296085615355927</v>
      </c>
    </row>
    <row r="65" spans="3:53" x14ac:dyDescent="0.35">
      <c r="E65" s="104"/>
      <c r="W65" s="155"/>
      <c r="AA65" s="2"/>
      <c r="AB65" s="2"/>
      <c r="AC65" s="2"/>
      <c r="AD65" s="2"/>
      <c r="AE65" s="2"/>
      <c r="AF65" s="2"/>
      <c r="AG65" s="2"/>
      <c r="AH65" s="2"/>
    </row>
    <row r="66" spans="3:53" x14ac:dyDescent="0.35">
      <c r="E66" s="104"/>
      <c r="W66" s="155"/>
      <c r="AA66" s="2"/>
      <c r="AB66" s="2"/>
      <c r="AC66" s="2"/>
      <c r="AD66" s="2"/>
      <c r="AE66" s="2"/>
      <c r="AF66" s="2"/>
      <c r="AG66" s="2"/>
      <c r="AH66" s="2"/>
    </row>
    <row r="67" spans="3:53" ht="16" thickBot="1" x14ac:dyDescent="0.4">
      <c r="E67" s="104"/>
      <c r="G67" s="13"/>
      <c r="H67" s="9" t="s">
        <v>3</v>
      </c>
      <c r="I67" s="9" t="s">
        <v>4</v>
      </c>
      <c r="J67" s="9" t="s">
        <v>5</v>
      </c>
      <c r="K67" s="9" t="s">
        <v>6</v>
      </c>
      <c r="L67" s="9" t="s">
        <v>7</v>
      </c>
      <c r="M67" s="9" t="s">
        <v>8</v>
      </c>
      <c r="N67" s="9" t="s">
        <v>9</v>
      </c>
      <c r="O67" s="9" t="s">
        <v>10</v>
      </c>
      <c r="P67" s="44" t="s">
        <v>139</v>
      </c>
    </row>
    <row r="68" spans="3:53" ht="16" thickBot="1" x14ac:dyDescent="0.4">
      <c r="E68" s="104" t="s">
        <v>410</v>
      </c>
      <c r="G68" s="49" t="s">
        <v>77</v>
      </c>
      <c r="H68" s="13">
        <f>AVERAGE(H49:H58)</f>
        <v>4.816257000000002</v>
      </c>
      <c r="I68" s="13">
        <f t="shared" ref="I68:P68" si="63">AVERAGE(I49:I58)</f>
        <v>5.9364599999999967</v>
      </c>
      <c r="J68" s="13">
        <f t="shared" si="63"/>
        <v>0.44922681162657729</v>
      </c>
      <c r="K68" s="13">
        <f t="shared" si="63"/>
        <v>0.5507731883734226</v>
      </c>
      <c r="L68" s="13">
        <f t="shared" si="63"/>
        <v>0.21904608545439999</v>
      </c>
      <c r="M68" s="13">
        <f t="shared" si="63"/>
        <v>9.4265667591522065E-2</v>
      </c>
      <c r="N68" s="13">
        <f t="shared" si="63"/>
        <v>10.752716999999999</v>
      </c>
      <c r="O68" s="13">
        <f t="shared" si="63"/>
        <v>44.4</v>
      </c>
      <c r="P68" s="13">
        <f t="shared" si="63"/>
        <v>9.2671326020406504</v>
      </c>
      <c r="AP68" s="104" t="s">
        <v>198</v>
      </c>
      <c r="AR68" s="13"/>
      <c r="AS68" s="9" t="s">
        <v>3</v>
      </c>
      <c r="AT68" s="9" t="s">
        <v>4</v>
      </c>
      <c r="AU68" s="9" t="s">
        <v>5</v>
      </c>
      <c r="AV68" s="9" t="s">
        <v>6</v>
      </c>
      <c r="AW68" s="9" t="s">
        <v>7</v>
      </c>
      <c r="AX68" s="9" t="s">
        <v>8</v>
      </c>
      <c r="AY68" s="9" t="s">
        <v>9</v>
      </c>
      <c r="AZ68" s="9" t="s">
        <v>10</v>
      </c>
      <c r="BA68" s="44" t="s">
        <v>139</v>
      </c>
    </row>
    <row r="69" spans="3:53" x14ac:dyDescent="0.35">
      <c r="G69" s="49" t="s">
        <v>94</v>
      </c>
      <c r="H69" s="2">
        <f>_xlfn.STDEV.S(H49:H58)</f>
        <v>1.1268965883251587</v>
      </c>
      <c r="I69" s="2">
        <f t="shared" ref="I69:P69" si="64">_xlfn.STDEV.S(I49:I58)</f>
        <v>1.2924143242698036</v>
      </c>
      <c r="J69" s="2">
        <f t="shared" si="64"/>
        <v>9.9038414120643514E-2</v>
      </c>
      <c r="K69" s="2">
        <f t="shared" si="64"/>
        <v>9.9038414120643514E-2</v>
      </c>
      <c r="L69" s="2">
        <f t="shared" si="64"/>
        <v>5.7919211728959731E-2</v>
      </c>
      <c r="M69" s="2">
        <f t="shared" si="64"/>
        <v>1.1999992463045821E-2</v>
      </c>
      <c r="N69" s="2">
        <f t="shared" si="64"/>
        <v>1.2649085618692089</v>
      </c>
      <c r="O69" s="2">
        <f t="shared" si="64"/>
        <v>10.22198067347464</v>
      </c>
      <c r="P69" s="2">
        <f t="shared" si="64"/>
        <v>1.4659217935410631</v>
      </c>
      <c r="AR69" s="49" t="s">
        <v>77</v>
      </c>
      <c r="AS69" s="13">
        <f>AVERAGE(AS44,AS48,AS51,AS53:AS54,AS58,AS61:AS62)</f>
        <v>2.2787812500000015</v>
      </c>
      <c r="AT69" s="13">
        <f t="shared" ref="AT69:BA69" si="65">AVERAGE(AT44,AT48,AT51,AT53:AT54,AT58,AT61:AT62)</f>
        <v>7.5610762499999966</v>
      </c>
      <c r="AU69" s="13">
        <f t="shared" si="65"/>
        <v>0.23617447329007946</v>
      </c>
      <c r="AV69" s="13">
        <f t="shared" si="65"/>
        <v>0.76382552670992054</v>
      </c>
      <c r="AW69" s="13">
        <f t="shared" si="65"/>
        <v>0.44395723636460638</v>
      </c>
      <c r="AX69" s="13">
        <f t="shared" si="65"/>
        <v>0.10333978066172997</v>
      </c>
      <c r="AY69" s="13">
        <f t="shared" si="65"/>
        <v>9.8398574999999973</v>
      </c>
      <c r="AZ69" s="13">
        <f t="shared" si="65"/>
        <v>11.625</v>
      </c>
      <c r="BA69" s="13">
        <f t="shared" si="65"/>
        <v>5.1563720840312648</v>
      </c>
    </row>
    <row r="70" spans="3:53" x14ac:dyDescent="0.35">
      <c r="G70" s="49" t="s">
        <v>95</v>
      </c>
      <c r="H70" s="2">
        <f>H69/(SQRT(COUNT(H49:H58)))</f>
        <v>0.35635599065806123</v>
      </c>
      <c r="I70" s="2">
        <f t="shared" ref="I70:P70" si="66">I69/(SQRT(COUNT(I49:I58)))</f>
        <v>0.40869729453200115</v>
      </c>
      <c r="J70" s="2">
        <f t="shared" si="66"/>
        <v>3.1318696447221551E-2</v>
      </c>
      <c r="K70" s="2">
        <f t="shared" si="66"/>
        <v>3.1318696447221551E-2</v>
      </c>
      <c r="L70" s="2">
        <f t="shared" si="66"/>
        <v>1.8315662934505171E-2</v>
      </c>
      <c r="M70" s="2">
        <f t="shared" si="66"/>
        <v>3.7947308088078723E-3</v>
      </c>
      <c r="N70" s="2">
        <f t="shared" si="66"/>
        <v>0.39999920873547112</v>
      </c>
      <c r="O70" s="2">
        <f t="shared" si="66"/>
        <v>3.2324741126401775</v>
      </c>
      <c r="P70" s="2">
        <f t="shared" si="66"/>
        <v>0.46356517392688668</v>
      </c>
      <c r="AR70" s="49" t="s">
        <v>94</v>
      </c>
      <c r="AS70" s="2">
        <f>_xlfn.STDEV.S(AS44,AS48,AS51,AS53:AS54,AS58,AS61:AS62)</f>
        <v>0.28990187583474109</v>
      </c>
      <c r="AT70" s="2">
        <f t="shared" ref="AT70:BA70" si="67">_xlfn.STDEV.S(AT44,AT48,AT51,AT53:AT54,AT58,AT61:AT62)</f>
        <v>1.5001558453796755</v>
      </c>
      <c r="AU70" s="2">
        <f t="shared" si="67"/>
        <v>4.7545295987496683E-2</v>
      </c>
      <c r="AV70" s="2">
        <f t="shared" si="67"/>
        <v>4.7545295987496655E-2</v>
      </c>
      <c r="AW70" s="2">
        <f t="shared" si="67"/>
        <v>4.6221860007998723E-2</v>
      </c>
      <c r="AX70" s="2">
        <f t="shared" si="67"/>
        <v>1.3757889061792225E-2</v>
      </c>
      <c r="AY70" s="2">
        <f t="shared" si="67"/>
        <v>1.4068707145267034</v>
      </c>
      <c r="AZ70" s="2">
        <f t="shared" si="67"/>
        <v>1.3024701806293193</v>
      </c>
      <c r="BA70" s="2">
        <f t="shared" si="67"/>
        <v>0.73416094864941783</v>
      </c>
    </row>
    <row r="71" spans="3:53" x14ac:dyDescent="0.35">
      <c r="AR71" s="49" t="s">
        <v>95</v>
      </c>
      <c r="AS71" s="2">
        <f>AS70/(SQRT(COUNT(AS44,AS48,AS51,AS53:AS54,AS58,AS61:AS62)))</f>
        <v>0.10249579114072296</v>
      </c>
      <c r="AT71" s="2">
        <f t="shared" ref="AT71:BA71" si="68">AT70/(SQRT(COUNT(AT44,AT48,AT51,AT53:AT54,AT58,AT61:AT62)))</f>
        <v>0.53038518555230318</v>
      </c>
      <c r="AU71" s="2">
        <f t="shared" si="68"/>
        <v>1.6809800603140225E-2</v>
      </c>
      <c r="AV71" s="2">
        <f t="shared" si="68"/>
        <v>1.6809800603140215E-2</v>
      </c>
      <c r="AW71" s="2">
        <f t="shared" si="68"/>
        <v>1.6341895325355592E-2</v>
      </c>
      <c r="AX71" s="2">
        <f t="shared" si="68"/>
        <v>4.8641483252027549E-3</v>
      </c>
      <c r="AY71" s="2">
        <f t="shared" si="68"/>
        <v>0.49740391124729771</v>
      </c>
      <c r="AZ71" s="2">
        <f t="shared" si="68"/>
        <v>0.46049274850812955</v>
      </c>
      <c r="BA71" s="2">
        <f t="shared" si="68"/>
        <v>0.259565092636176</v>
      </c>
    </row>
    <row r="75" spans="3:53" ht="19" thickBot="1" x14ac:dyDescent="0.5">
      <c r="F75" s="1" t="s">
        <v>405</v>
      </c>
      <c r="G75" s="3"/>
      <c r="H75" s="3"/>
      <c r="I75" s="3"/>
      <c r="J75" s="3"/>
      <c r="K75" s="3"/>
      <c r="L75" s="3"/>
      <c r="M75" s="3"/>
      <c r="N75" s="3"/>
      <c r="O75" s="3"/>
      <c r="AP75" s="104" t="s">
        <v>619</v>
      </c>
      <c r="AR75" s="13"/>
      <c r="AS75" s="9" t="s">
        <v>3</v>
      </c>
      <c r="AT75" s="9" t="s">
        <v>4</v>
      </c>
      <c r="AU75" s="9" t="s">
        <v>5</v>
      </c>
      <c r="AV75" s="9" t="s">
        <v>6</v>
      </c>
      <c r="AW75" s="9" t="s">
        <v>7</v>
      </c>
      <c r="AX75" s="9" t="s">
        <v>8</v>
      </c>
      <c r="AY75" s="9" t="s">
        <v>9</v>
      </c>
      <c r="AZ75" s="9" t="s">
        <v>10</v>
      </c>
      <c r="BA75" s="44" t="s">
        <v>139</v>
      </c>
    </row>
    <row r="76" spans="3:53" ht="16" thickBot="1" x14ac:dyDescent="0.4">
      <c r="C76" s="204" t="s">
        <v>122</v>
      </c>
      <c r="D76" s="204" t="s">
        <v>406</v>
      </c>
      <c r="F76" s="9" t="s">
        <v>1</v>
      </c>
      <c r="G76" s="9" t="s">
        <v>2</v>
      </c>
      <c r="H76" s="9" t="s">
        <v>3</v>
      </c>
      <c r="I76" s="9" t="s">
        <v>4</v>
      </c>
      <c r="J76" s="9" t="s">
        <v>5</v>
      </c>
      <c r="K76" s="9" t="s">
        <v>6</v>
      </c>
      <c r="L76" s="9" t="s">
        <v>7</v>
      </c>
      <c r="M76" s="9" t="s">
        <v>8</v>
      </c>
      <c r="N76" s="9" t="s">
        <v>9</v>
      </c>
      <c r="O76" s="9" t="s">
        <v>10</v>
      </c>
      <c r="P76" s="44" t="s">
        <v>139</v>
      </c>
      <c r="R76" s="44" t="s">
        <v>138</v>
      </c>
      <c r="AR76" s="49" t="s">
        <v>77</v>
      </c>
      <c r="AS76" s="13">
        <f>AVERAGE(AS45,AS49,AS52,AS55,AS59)</f>
        <v>3.4582199999999945</v>
      </c>
      <c r="AT76" s="13">
        <f t="shared" ref="AT76:BA76" si="69">AVERAGE(AT45,AT49,AT52,AT55,AT59)</f>
        <v>6.166554000000005</v>
      </c>
      <c r="AU76" s="13">
        <f t="shared" si="69"/>
        <v>0.36003732867040938</v>
      </c>
      <c r="AV76" s="13">
        <f t="shared" si="69"/>
        <v>0.6399626713295905</v>
      </c>
      <c r="AW76" s="13">
        <f t="shared" si="69"/>
        <v>0.29254142710964348</v>
      </c>
      <c r="AX76" s="13">
        <f t="shared" si="69"/>
        <v>0.10502090811564942</v>
      </c>
      <c r="AY76" s="13">
        <f t="shared" si="69"/>
        <v>9.6247739999999986</v>
      </c>
      <c r="AZ76" s="13">
        <f t="shared" si="69"/>
        <v>15.8</v>
      </c>
      <c r="BA76" s="13">
        <f t="shared" si="69"/>
        <v>4.600790835326249</v>
      </c>
    </row>
    <row r="77" spans="3:53" x14ac:dyDescent="0.35">
      <c r="C77" s="258" t="s">
        <v>541</v>
      </c>
      <c r="D77" s="155">
        <v>6</v>
      </c>
      <c r="F77" s="2">
        <v>0.24965999999999999</v>
      </c>
      <c r="G77" s="2">
        <v>4.4748999999999999</v>
      </c>
      <c r="H77" s="2">
        <f>G77-F77</f>
        <v>4.2252399999999994</v>
      </c>
      <c r="I77" s="2">
        <f>F78-G77</f>
        <v>6.7798700000000007</v>
      </c>
      <c r="J77" s="2">
        <f>H77/N77</f>
        <v>0.38393437230522903</v>
      </c>
      <c r="K77" s="2">
        <f>I77/N77</f>
        <v>0.61606562769477091</v>
      </c>
      <c r="L77" s="2">
        <f>1/H77</f>
        <v>0.2366729463888442</v>
      </c>
      <c r="M77" s="2">
        <f>1/N77</f>
        <v>9.0866879113430027E-2</v>
      </c>
      <c r="N77" s="2">
        <f>H77+I77</f>
        <v>11.00511</v>
      </c>
      <c r="O77" s="2">
        <v>42</v>
      </c>
      <c r="P77">
        <f>O77/H77</f>
        <v>9.9402637483314571</v>
      </c>
      <c r="R77" t="s">
        <v>705</v>
      </c>
      <c r="AR77" s="49" t="s">
        <v>94</v>
      </c>
      <c r="AS77" s="2">
        <f>_xlfn.STDEV.S(AS45,AS49,AS52,AS55,AS59)</f>
        <v>0.44815264798949678</v>
      </c>
      <c r="AT77" s="2">
        <f t="shared" ref="AT77:BA77" si="70">_xlfn.STDEV.S(AT45,AT49,AT52,AT55,AT59)</f>
        <v>0.80520859653259791</v>
      </c>
      <c r="AU77" s="2">
        <f t="shared" si="70"/>
        <v>3.0127212939415299E-2</v>
      </c>
      <c r="AV77" s="2">
        <f t="shared" si="70"/>
        <v>3.0127212939415317E-2</v>
      </c>
      <c r="AW77" s="2">
        <f t="shared" si="70"/>
        <v>3.2586893025369428E-2</v>
      </c>
      <c r="AX77" s="2">
        <f t="shared" si="70"/>
        <v>1.240420104337686E-2</v>
      </c>
      <c r="AY77" s="2">
        <f t="shared" si="70"/>
        <v>1.0937412010297451</v>
      </c>
      <c r="AZ77" s="2">
        <f t="shared" si="70"/>
        <v>1.3038404810405297</v>
      </c>
      <c r="BA77" s="2">
        <f t="shared" si="70"/>
        <v>0.43720533950291979</v>
      </c>
    </row>
    <row r="78" spans="3:53" x14ac:dyDescent="0.35">
      <c r="D78" s="155">
        <v>6</v>
      </c>
      <c r="F78" s="2">
        <v>11.254770000000001</v>
      </c>
      <c r="G78" s="2">
        <v>17.008420000000001</v>
      </c>
      <c r="H78" s="2">
        <f t="shared" ref="H78:H99" si="71">G78-F78</f>
        <v>5.7536500000000004</v>
      </c>
      <c r="I78" s="2">
        <f t="shared" ref="I78:I98" si="72">F79-G78</f>
        <v>4.0880200000000002</v>
      </c>
      <c r="J78" s="2">
        <f t="shared" ref="J78:J98" si="73">H78/N78</f>
        <v>0.58462130918837962</v>
      </c>
      <c r="K78" s="2">
        <f t="shared" ref="K78:K98" si="74">I78/N78</f>
        <v>0.41537869081162038</v>
      </c>
      <c r="L78" s="2">
        <f t="shared" ref="L78:L98" si="75">1/H78</f>
        <v>0.17380271653645946</v>
      </c>
      <c r="M78" s="2">
        <f t="shared" ref="M78:M98" si="76">1/N78</f>
        <v>0.10160877168204176</v>
      </c>
      <c r="N78" s="2">
        <f t="shared" ref="N78:N98" si="77">H78+I78</f>
        <v>9.8416700000000006</v>
      </c>
      <c r="O78" s="2">
        <v>71</v>
      </c>
      <c r="P78">
        <f t="shared" ref="P78:P98" si="78">O78/H78</f>
        <v>12.339992874088621</v>
      </c>
      <c r="AR78" s="49" t="s">
        <v>95</v>
      </c>
      <c r="AS78" s="2">
        <f>AS77/(SQRT(COUNT(AS45,AS49,AS52,AS55,AS59)))</f>
        <v>0.20041995704020985</v>
      </c>
      <c r="AT78" s="2">
        <f t="shared" ref="AT78:BA78" si="79">AT77/(SQRT(COUNT(AT45,AT49,AT52,AT55,AT59)))</f>
        <v>0.36010023158281806</v>
      </c>
      <c r="AU78" s="2">
        <f t="shared" si="79"/>
        <v>1.3473299221028773E-2</v>
      </c>
      <c r="AV78" s="2">
        <f t="shared" si="79"/>
        <v>1.347329922102878E-2</v>
      </c>
      <c r="AW78" s="2">
        <f t="shared" si="79"/>
        <v>1.4573301596047963E-2</v>
      </c>
      <c r="AX78" s="2">
        <f t="shared" si="79"/>
        <v>5.547327347912895E-3</v>
      </c>
      <c r="AY78" s="2">
        <f t="shared" si="79"/>
        <v>0.48913593505895459</v>
      </c>
      <c r="AZ78" s="2">
        <f t="shared" si="79"/>
        <v>0.58309518948452999</v>
      </c>
      <c r="BA78" s="2">
        <f t="shared" si="79"/>
        <v>0.19552417185088053</v>
      </c>
    </row>
    <row r="79" spans="3:53" x14ac:dyDescent="0.35">
      <c r="C79" s="258" t="s">
        <v>541</v>
      </c>
      <c r="D79" s="155">
        <v>6</v>
      </c>
      <c r="F79" s="13">
        <v>21.096440000000001</v>
      </c>
      <c r="G79" s="2">
        <v>25.872509999999998</v>
      </c>
      <c r="H79" s="2">
        <f t="shared" si="71"/>
        <v>4.7760699999999972</v>
      </c>
      <c r="I79" s="2">
        <f t="shared" si="72"/>
        <v>6.5874900000000025</v>
      </c>
      <c r="J79" s="2">
        <f t="shared" si="73"/>
        <v>0.42029698439573487</v>
      </c>
      <c r="K79" s="2">
        <f t="shared" si="74"/>
        <v>0.57970301560426507</v>
      </c>
      <c r="L79" s="2">
        <f t="shared" si="75"/>
        <v>0.2093771657450583</v>
      </c>
      <c r="M79" s="2">
        <f t="shared" si="76"/>
        <v>8.8000591363973965E-2</v>
      </c>
      <c r="N79" s="2">
        <f t="shared" si="77"/>
        <v>11.36356</v>
      </c>
      <c r="O79" s="2">
        <v>58</v>
      </c>
      <c r="P79">
        <f t="shared" si="78"/>
        <v>12.143875613213382</v>
      </c>
    </row>
    <row r="80" spans="3:53" x14ac:dyDescent="0.35">
      <c r="D80" s="155">
        <v>6</v>
      </c>
      <c r="F80" s="13">
        <v>32.46</v>
      </c>
      <c r="G80" s="2">
        <v>37.933689999999999</v>
      </c>
      <c r="H80" s="2">
        <f t="shared" si="71"/>
        <v>5.4736899999999977</v>
      </c>
      <c r="I80" s="2">
        <f t="shared" si="72"/>
        <v>4.3419200000000018</v>
      </c>
      <c r="J80" s="2">
        <f t="shared" si="73"/>
        <v>0.55765153668493328</v>
      </c>
      <c r="K80" s="2">
        <f t="shared" si="74"/>
        <v>0.44234846331506672</v>
      </c>
      <c r="L80" s="2">
        <f t="shared" si="75"/>
        <v>0.18269211446026362</v>
      </c>
      <c r="M80" s="2">
        <f t="shared" si="76"/>
        <v>0.10187853836898574</v>
      </c>
      <c r="N80" s="2">
        <f t="shared" si="77"/>
        <v>9.8156099999999995</v>
      </c>
      <c r="O80" s="2">
        <v>70</v>
      </c>
      <c r="P80">
        <f t="shared" si="78"/>
        <v>12.788448012218455</v>
      </c>
    </row>
    <row r="81" spans="3:56" x14ac:dyDescent="0.35">
      <c r="C81" s="258" t="s">
        <v>541</v>
      </c>
      <c r="D81" s="155">
        <v>6</v>
      </c>
      <c r="F81" s="13">
        <v>42.27561</v>
      </c>
      <c r="G81" s="2">
        <v>46.199100000000001</v>
      </c>
      <c r="H81" s="2">
        <f t="shared" si="71"/>
        <v>3.923490000000001</v>
      </c>
      <c r="I81" s="2">
        <f t="shared" si="72"/>
        <v>7.4311599999999984</v>
      </c>
      <c r="J81" s="2">
        <f t="shared" si="73"/>
        <v>0.34554037332722726</v>
      </c>
      <c r="K81" s="2">
        <f t="shared" si="74"/>
        <v>0.65445962667277269</v>
      </c>
      <c r="L81" s="2">
        <f t="shared" si="75"/>
        <v>0.25487512393302897</v>
      </c>
      <c r="M81" s="2">
        <f t="shared" si="76"/>
        <v>8.8069645475642139E-2</v>
      </c>
      <c r="N81" s="2">
        <f t="shared" si="77"/>
        <v>11.354649999999999</v>
      </c>
      <c r="O81" s="2">
        <v>45</v>
      </c>
      <c r="P81">
        <f t="shared" si="78"/>
        <v>11.469380576986303</v>
      </c>
    </row>
    <row r="82" spans="3:56" ht="16" thickBot="1" x14ac:dyDescent="0.4">
      <c r="D82" s="155">
        <v>6</v>
      </c>
      <c r="F82" s="13">
        <v>53.63026</v>
      </c>
      <c r="G82" s="2">
        <v>59.181959999999997</v>
      </c>
      <c r="H82" s="2">
        <f t="shared" si="71"/>
        <v>5.5516999999999967</v>
      </c>
      <c r="I82" s="2">
        <f t="shared" si="72"/>
        <v>4.3545100000000048</v>
      </c>
      <c r="J82" s="2">
        <f t="shared" si="73"/>
        <v>0.56042623768323063</v>
      </c>
      <c r="K82" s="2">
        <f t="shared" si="74"/>
        <v>0.43957376231676937</v>
      </c>
      <c r="L82" s="2">
        <f t="shared" si="75"/>
        <v>0.18012500675468787</v>
      </c>
      <c r="M82" s="2">
        <f t="shared" si="76"/>
        <v>0.10094677984819622</v>
      </c>
      <c r="N82" s="2">
        <f t="shared" si="77"/>
        <v>9.9062100000000015</v>
      </c>
      <c r="O82" s="2">
        <v>72</v>
      </c>
      <c r="P82">
        <f t="shared" si="78"/>
        <v>12.969000486337526</v>
      </c>
      <c r="AP82" t="s">
        <v>259</v>
      </c>
      <c r="AR82" s="13"/>
      <c r="AS82" s="9" t="s">
        <v>3</v>
      </c>
      <c r="AT82" s="9" t="s">
        <v>4</v>
      </c>
      <c r="AU82" s="9" t="s">
        <v>5</v>
      </c>
      <c r="AV82" s="9" t="s">
        <v>6</v>
      </c>
      <c r="AW82" s="9" t="s">
        <v>7</v>
      </c>
      <c r="AX82" s="9" t="s">
        <v>8</v>
      </c>
      <c r="AY82" s="9" t="s">
        <v>9</v>
      </c>
      <c r="AZ82" s="9" t="s">
        <v>10</v>
      </c>
      <c r="BA82" s="44" t="s">
        <v>139</v>
      </c>
    </row>
    <row r="83" spans="3:56" ht="18.5" x14ac:dyDescent="0.45">
      <c r="C83" s="258" t="s">
        <v>541</v>
      </c>
      <c r="D83" s="155">
        <v>6</v>
      </c>
      <c r="F83" s="13">
        <v>63.536470000000001</v>
      </c>
      <c r="G83" s="2">
        <v>67.287660000000002</v>
      </c>
      <c r="H83" s="2">
        <f t="shared" si="71"/>
        <v>3.7511900000000011</v>
      </c>
      <c r="I83" s="2">
        <f t="shared" si="72"/>
        <v>7.7223299999999995</v>
      </c>
      <c r="J83" s="2">
        <f t="shared" si="73"/>
        <v>0.32694325716955225</v>
      </c>
      <c r="K83" s="2">
        <f t="shared" si="74"/>
        <v>0.67305674283044781</v>
      </c>
      <c r="L83" s="2">
        <f t="shared" si="75"/>
        <v>0.26658207128937744</v>
      </c>
      <c r="M83" s="2">
        <f t="shared" si="76"/>
        <v>8.7157210690354828E-2</v>
      </c>
      <c r="N83" s="2">
        <f t="shared" si="77"/>
        <v>11.473520000000001</v>
      </c>
      <c r="O83" s="2">
        <v>41</v>
      </c>
      <c r="P83">
        <f t="shared" si="78"/>
        <v>10.929864922864475</v>
      </c>
      <c r="W83" s="2"/>
      <c r="X83" s="2"/>
      <c r="Y83" s="1"/>
      <c r="Z83" s="3"/>
      <c r="AA83" s="3"/>
      <c r="AB83" s="3"/>
      <c r="AC83" s="3"/>
      <c r="AD83" s="3"/>
      <c r="AE83" s="3"/>
      <c r="AF83" s="3"/>
      <c r="AG83" s="3"/>
      <c r="AH83" s="3"/>
      <c r="AI83" s="2"/>
      <c r="AJ83" s="2"/>
      <c r="AK83" s="2"/>
      <c r="AL83" s="2"/>
      <c r="AR83" s="49" t="s">
        <v>77</v>
      </c>
      <c r="AS83" s="13">
        <f>AVERAGE(AS39:AS43,AS46:AS47,AS50,AS56:AS57,AS60)</f>
        <v>4.1061700000000014</v>
      </c>
      <c r="AT83" s="13">
        <f t="shared" ref="AT83:BA83" si="80">AVERAGE(AT39:AT43,AT46:AT47,AT50,AT56:AT57,AT60)</f>
        <v>5.5702536363636366</v>
      </c>
      <c r="AU83" s="13">
        <f t="shared" si="80"/>
        <v>0.42370655240537575</v>
      </c>
      <c r="AV83" s="13">
        <f t="shared" si="80"/>
        <v>0.57629344759462431</v>
      </c>
      <c r="AW83" s="13">
        <f t="shared" si="80"/>
        <v>0.25467682220644128</v>
      </c>
      <c r="AX83" s="13">
        <f t="shared" si="80"/>
        <v>0.10457502175733838</v>
      </c>
      <c r="AY83" s="13">
        <f t="shared" si="80"/>
        <v>9.6764236363636371</v>
      </c>
      <c r="AZ83" s="13">
        <f t="shared" si="80"/>
        <v>15.909090909090908</v>
      </c>
      <c r="BA83" s="13">
        <f t="shared" si="80"/>
        <v>3.8999504770812168</v>
      </c>
    </row>
    <row r="84" spans="3:56" ht="15.5" x14ac:dyDescent="0.35">
      <c r="D84" s="155">
        <v>6</v>
      </c>
      <c r="F84" s="13">
        <v>75.009990000000002</v>
      </c>
      <c r="G84" s="2">
        <v>79.823899999999995</v>
      </c>
      <c r="H84" s="2">
        <f t="shared" si="71"/>
        <v>4.8139099999999928</v>
      </c>
      <c r="I84" s="2">
        <f t="shared" si="72"/>
        <v>4.2295900000000017</v>
      </c>
      <c r="J84" s="2">
        <f t="shared" si="73"/>
        <v>0.5323060761873164</v>
      </c>
      <c r="K84" s="2">
        <f t="shared" si="74"/>
        <v>0.4676939238126836</v>
      </c>
      <c r="L84" s="2">
        <f t="shared" si="75"/>
        <v>0.20773134520587247</v>
      </c>
      <c r="M84" s="2">
        <f t="shared" si="76"/>
        <v>0.11057665726765087</v>
      </c>
      <c r="N84" s="2">
        <f t="shared" si="77"/>
        <v>9.0434999999999945</v>
      </c>
      <c r="O84" s="2">
        <v>62</v>
      </c>
      <c r="P84">
        <f t="shared" si="78"/>
        <v>12.879343402764093</v>
      </c>
      <c r="W84" s="199"/>
      <c r="X84" s="2"/>
      <c r="Y84" s="5"/>
      <c r="Z84" s="5"/>
      <c r="AA84" s="5"/>
      <c r="AB84" s="5"/>
      <c r="AC84" s="5"/>
      <c r="AD84" s="5"/>
      <c r="AE84" s="5"/>
      <c r="AF84" s="5"/>
      <c r="AG84" s="5"/>
      <c r="AH84" s="5"/>
      <c r="AI84" s="14"/>
      <c r="AJ84" s="2"/>
      <c r="AK84" s="14"/>
      <c r="AL84" s="2"/>
      <c r="AR84" s="49" t="s">
        <v>94</v>
      </c>
      <c r="AS84" s="2">
        <f>_xlfn.STDEV.S(AS39:AS43,AS46:AS47,AS50,AS56:AS57,AS60)</f>
        <v>0.93660964400330737</v>
      </c>
      <c r="AT84" s="2">
        <f t="shared" ref="AT84:BA84" si="81">_xlfn.STDEV.S(AT39:AT43,AT46:AT47,AT50,AT56:AT57,AT60)</f>
        <v>0.96384392623777726</v>
      </c>
      <c r="AU84" s="2">
        <f t="shared" si="81"/>
        <v>7.5456965449326202E-2</v>
      </c>
      <c r="AV84" s="2">
        <f t="shared" si="81"/>
        <v>7.5456965449325911E-2</v>
      </c>
      <c r="AW84" s="2">
        <f t="shared" si="81"/>
        <v>5.501502464696232E-2</v>
      </c>
      <c r="AX84" s="2">
        <f t="shared" si="81"/>
        <v>1.2109149073336481E-2</v>
      </c>
      <c r="AY84" s="2">
        <f t="shared" si="81"/>
        <v>1.09138161564388</v>
      </c>
      <c r="AZ84" s="2">
        <f t="shared" si="81"/>
        <v>3.3601947995479517</v>
      </c>
      <c r="BA84" s="2">
        <f t="shared" si="81"/>
        <v>0.31378750334672212</v>
      </c>
    </row>
    <row r="85" spans="3:56" x14ac:dyDescent="0.35">
      <c r="C85" s="258" t="s">
        <v>541</v>
      </c>
      <c r="D85" s="155">
        <v>6</v>
      </c>
      <c r="F85" s="13">
        <v>84.053489999999996</v>
      </c>
      <c r="G85" s="2">
        <v>87.836209999999994</v>
      </c>
      <c r="H85" s="2">
        <f t="shared" si="71"/>
        <v>3.7827199999999976</v>
      </c>
      <c r="I85" s="2">
        <f t="shared" si="72"/>
        <v>9.5134299999999996</v>
      </c>
      <c r="J85" s="2">
        <f t="shared" si="73"/>
        <v>0.28449739210222497</v>
      </c>
      <c r="K85" s="2">
        <f t="shared" si="74"/>
        <v>0.71550260789777509</v>
      </c>
      <c r="L85" s="2">
        <f t="shared" si="75"/>
        <v>0.26436003722189338</v>
      </c>
      <c r="M85" s="2">
        <f t="shared" si="76"/>
        <v>7.5209741165675789E-2</v>
      </c>
      <c r="N85" s="2">
        <f t="shared" si="77"/>
        <v>13.296149999999997</v>
      </c>
      <c r="O85" s="2">
        <v>41</v>
      </c>
      <c r="P85">
        <f t="shared" si="78"/>
        <v>10.838761526097629</v>
      </c>
      <c r="W85" s="191"/>
      <c r="X85" s="2"/>
      <c r="Y85" s="2"/>
      <c r="Z85" s="2"/>
      <c r="AA85" s="2"/>
      <c r="AB85" s="2"/>
      <c r="AC85" s="2"/>
      <c r="AD85" s="2"/>
      <c r="AE85" s="2"/>
      <c r="AF85" s="2"/>
      <c r="AG85" s="2"/>
      <c r="AH85" s="2"/>
      <c r="AI85" s="2"/>
      <c r="AJ85" s="2"/>
      <c r="AK85" s="2"/>
      <c r="AL85" s="2"/>
      <c r="AR85" s="49" t="s">
        <v>95</v>
      </c>
      <c r="AS85" s="2">
        <f>AS84/(SQRT(COUNT(AS39:AS43,AS46:AS47,AS50,AS56:AS57,AS60)))</f>
        <v>0.28239843310793772</v>
      </c>
      <c r="AT85" s="2">
        <f t="shared" ref="AT85:BA85" si="82">AT84/(SQRT(COUNT(AT39:AT43,AT46:AT47,AT50,AT56:AT57,AT60)))</f>
        <v>0.29060987816306305</v>
      </c>
      <c r="AU85" s="2">
        <f t="shared" si="82"/>
        <v>2.2751131110384196E-2</v>
      </c>
      <c r="AV85" s="2">
        <f t="shared" si="82"/>
        <v>2.2751131110384109E-2</v>
      </c>
      <c r="AW85" s="2">
        <f t="shared" si="82"/>
        <v>1.6587654053284415E-2</v>
      </c>
      <c r="AX85" s="2">
        <f t="shared" si="82"/>
        <v>3.6510458187942628E-3</v>
      </c>
      <c r="AY85" s="2">
        <f t="shared" si="82"/>
        <v>0.32906393838023829</v>
      </c>
      <c r="AZ85" s="2">
        <f t="shared" si="82"/>
        <v>1.0131368520549118</v>
      </c>
      <c r="BA85" s="2">
        <f t="shared" si="82"/>
        <v>9.4610492045769684E-2</v>
      </c>
    </row>
    <row r="86" spans="3:56" x14ac:dyDescent="0.35">
      <c r="D86" s="155">
        <v>6</v>
      </c>
      <c r="F86" s="13">
        <v>97.349639999999994</v>
      </c>
      <c r="G86" s="2">
        <v>102.23146</v>
      </c>
      <c r="H86" s="2">
        <f t="shared" si="71"/>
        <v>4.8818200000000047</v>
      </c>
      <c r="I86" s="2">
        <f t="shared" si="72"/>
        <v>4.3050599999999974</v>
      </c>
      <c r="J86" s="2">
        <f t="shared" si="73"/>
        <v>0.53139041763906825</v>
      </c>
      <c r="K86" s="2">
        <f t="shared" si="74"/>
        <v>0.4686095823609317</v>
      </c>
      <c r="L86" s="2">
        <f t="shared" si="75"/>
        <v>0.20484163693048885</v>
      </c>
      <c r="M86" s="2">
        <f t="shared" si="76"/>
        <v>0.10885088299836286</v>
      </c>
      <c r="N86" s="2">
        <f t="shared" si="77"/>
        <v>9.1868800000000022</v>
      </c>
      <c r="O86" s="2">
        <v>63</v>
      </c>
      <c r="P86">
        <f t="shared" si="78"/>
        <v>12.905023126620797</v>
      </c>
      <c r="W86" s="191"/>
      <c r="X86" s="2"/>
      <c r="Y86" s="2"/>
      <c r="Z86" s="2"/>
      <c r="AA86" s="2"/>
      <c r="AB86" s="2"/>
      <c r="AC86" s="2"/>
      <c r="AD86" s="2"/>
      <c r="AE86" s="2"/>
      <c r="AF86" s="2"/>
      <c r="AG86" s="2"/>
      <c r="AH86" s="2"/>
      <c r="AI86" s="2"/>
      <c r="AJ86" s="2"/>
      <c r="AK86" s="2"/>
      <c r="AL86" s="2"/>
    </row>
    <row r="87" spans="3:56" x14ac:dyDescent="0.35">
      <c r="C87" s="258" t="s">
        <v>541</v>
      </c>
      <c r="D87" s="155">
        <v>6</v>
      </c>
      <c r="F87" s="13">
        <v>106.53652</v>
      </c>
      <c r="G87" s="2">
        <v>109.4679</v>
      </c>
      <c r="H87" s="2">
        <f t="shared" si="71"/>
        <v>2.9313800000000043</v>
      </c>
      <c r="I87" s="2">
        <f t="shared" si="72"/>
        <v>8.7385799999999989</v>
      </c>
      <c r="J87" s="2">
        <f t="shared" si="73"/>
        <v>0.25119023544210978</v>
      </c>
      <c r="K87" s="2">
        <f t="shared" si="74"/>
        <v>0.74880976455789017</v>
      </c>
      <c r="L87" s="2">
        <f t="shared" si="75"/>
        <v>0.34113625664362812</v>
      </c>
      <c r="M87" s="2">
        <f t="shared" si="76"/>
        <v>8.5690096624152931E-2</v>
      </c>
      <c r="N87" s="2">
        <f t="shared" si="77"/>
        <v>11.669960000000003</v>
      </c>
      <c r="O87" s="2">
        <v>37</v>
      </c>
      <c r="P87">
        <f t="shared" si="78"/>
        <v>12.622041495814239</v>
      </c>
      <c r="W87" s="191"/>
      <c r="X87" s="2"/>
      <c r="Y87" s="13"/>
      <c r="Z87" s="2"/>
      <c r="AA87" s="2"/>
      <c r="AB87" s="2"/>
      <c r="AC87" s="2"/>
      <c r="AD87" s="2"/>
      <c r="AE87" s="2"/>
      <c r="AF87" s="2"/>
      <c r="AG87" s="2"/>
      <c r="AH87" s="2"/>
      <c r="AI87" s="2"/>
      <c r="AJ87" s="2"/>
      <c r="AK87" s="2"/>
      <c r="AL87" s="2"/>
    </row>
    <row r="88" spans="3:56" x14ac:dyDescent="0.35">
      <c r="D88" s="155">
        <v>6</v>
      </c>
      <c r="F88" s="13">
        <v>118.20648</v>
      </c>
      <c r="G88" s="2">
        <v>121.79311</v>
      </c>
      <c r="H88" s="2">
        <f t="shared" si="71"/>
        <v>3.5866299999999995</v>
      </c>
      <c r="I88" s="2">
        <f t="shared" si="72"/>
        <v>5.3318399999999997</v>
      </c>
      <c r="J88" s="2">
        <f t="shared" si="73"/>
        <v>0.402157544960066</v>
      </c>
      <c r="K88" s="2">
        <f t="shared" si="74"/>
        <v>0.59784245503993405</v>
      </c>
      <c r="L88" s="2">
        <f t="shared" si="75"/>
        <v>0.27881325924335659</v>
      </c>
      <c r="M88" s="2">
        <f t="shared" si="76"/>
        <v>0.11212685583962273</v>
      </c>
      <c r="N88" s="2">
        <f t="shared" si="77"/>
        <v>8.9184699999999992</v>
      </c>
      <c r="O88" s="2">
        <v>46</v>
      </c>
      <c r="P88">
        <f t="shared" si="78"/>
        <v>12.825409925194403</v>
      </c>
      <c r="W88" s="191"/>
      <c r="X88" s="2"/>
      <c r="Y88" s="13"/>
      <c r="Z88" s="2"/>
      <c r="AA88" s="2"/>
      <c r="AB88" s="2"/>
      <c r="AC88" s="2"/>
      <c r="AD88" s="2"/>
      <c r="AE88" s="2"/>
      <c r="AF88" s="2"/>
      <c r="AG88" s="2"/>
      <c r="AH88" s="2"/>
      <c r="AI88" s="2"/>
      <c r="AJ88" s="2"/>
      <c r="AK88" s="2"/>
      <c r="AL88" s="2"/>
    </row>
    <row r="89" spans="3:56" x14ac:dyDescent="0.35">
      <c r="C89" s="258" t="s">
        <v>541</v>
      </c>
      <c r="D89" s="155">
        <v>0</v>
      </c>
      <c r="F89" s="13">
        <v>127.12495</v>
      </c>
      <c r="G89" s="2">
        <v>129.96543</v>
      </c>
      <c r="H89" s="2">
        <f t="shared" si="71"/>
        <v>2.8404799999999994</v>
      </c>
      <c r="I89" s="2">
        <f t="shared" si="72"/>
        <v>11.609350000000006</v>
      </c>
      <c r="J89" s="2">
        <f t="shared" si="73"/>
        <v>0.19657532303148192</v>
      </c>
      <c r="K89" s="2">
        <f t="shared" si="74"/>
        <v>0.80342467696851805</v>
      </c>
      <c r="L89" s="2">
        <f t="shared" si="75"/>
        <v>0.35205317411141784</v>
      </c>
      <c r="M89" s="2">
        <f t="shared" si="76"/>
        <v>6.9204966425210512E-2</v>
      </c>
      <c r="N89" s="2">
        <f t="shared" si="77"/>
        <v>14.449830000000006</v>
      </c>
      <c r="O89" s="2">
        <v>31</v>
      </c>
      <c r="P89">
        <f t="shared" si="78"/>
        <v>10.913648397453954</v>
      </c>
      <c r="R89" t="s">
        <v>706</v>
      </c>
      <c r="W89" s="191"/>
      <c r="X89" s="2"/>
      <c r="Y89" s="13"/>
      <c r="Z89" s="2"/>
      <c r="AA89" s="2"/>
      <c r="AB89" s="2"/>
      <c r="AC89" s="2"/>
      <c r="AD89" s="2"/>
      <c r="AE89" s="2"/>
      <c r="AF89" s="2"/>
      <c r="AG89" s="2"/>
      <c r="AH89" s="2"/>
      <c r="AI89" s="2"/>
      <c r="AJ89" s="2"/>
      <c r="AK89" s="2"/>
      <c r="AL89" s="2"/>
    </row>
    <row r="90" spans="3:56" x14ac:dyDescent="0.35">
      <c r="D90" s="155">
        <v>0</v>
      </c>
      <c r="F90" s="13">
        <v>141.57478</v>
      </c>
      <c r="G90" s="2">
        <v>145.53106</v>
      </c>
      <c r="H90" s="2">
        <f t="shared" si="71"/>
        <v>3.9562799999999925</v>
      </c>
      <c r="I90" s="2">
        <f t="shared" si="72"/>
        <v>5.1721000000000004</v>
      </c>
      <c r="J90" s="2">
        <f t="shared" si="73"/>
        <v>0.43340439376975931</v>
      </c>
      <c r="K90" s="2">
        <f t="shared" si="74"/>
        <v>0.56659560623024063</v>
      </c>
      <c r="L90" s="2">
        <f t="shared" si="75"/>
        <v>0.25276269627023412</v>
      </c>
      <c r="M90" s="2">
        <f t="shared" si="76"/>
        <v>0.10954846314461063</v>
      </c>
      <c r="N90" s="2">
        <f t="shared" si="77"/>
        <v>9.1283799999999928</v>
      </c>
      <c r="O90" s="2">
        <v>45</v>
      </c>
      <c r="P90">
        <f t="shared" si="78"/>
        <v>11.374321332160536</v>
      </c>
      <c r="W90" s="191"/>
      <c r="X90" s="2"/>
      <c r="Y90" s="13"/>
      <c r="Z90" s="2"/>
      <c r="AA90" s="2"/>
      <c r="AB90" s="2"/>
      <c r="AC90" s="2"/>
      <c r="AD90" s="2"/>
      <c r="AE90" s="2"/>
      <c r="AF90" s="2"/>
      <c r="AG90" s="2"/>
      <c r="AH90" s="2"/>
      <c r="AI90" s="2"/>
      <c r="AJ90" s="2"/>
      <c r="AK90" s="2"/>
      <c r="AL90" s="2"/>
    </row>
    <row r="91" spans="3:56" x14ac:dyDescent="0.35">
      <c r="C91" s="258" t="s">
        <v>541</v>
      </c>
      <c r="D91" s="155">
        <v>0</v>
      </c>
      <c r="F91" s="13">
        <v>150.70316</v>
      </c>
      <c r="G91" s="2">
        <v>154.54058000000001</v>
      </c>
      <c r="H91" s="2">
        <f t="shared" si="71"/>
        <v>3.8374200000000087</v>
      </c>
      <c r="I91" s="2">
        <f t="shared" si="72"/>
        <v>8.9313499999999806</v>
      </c>
      <c r="J91" s="2">
        <f t="shared" si="73"/>
        <v>0.30053168786030382</v>
      </c>
      <c r="K91" s="2">
        <f t="shared" si="74"/>
        <v>0.69946831213969618</v>
      </c>
      <c r="L91" s="2">
        <f t="shared" si="75"/>
        <v>0.26059175174987304</v>
      </c>
      <c r="M91" s="2">
        <f t="shared" si="76"/>
        <v>7.8316078995862626E-2</v>
      </c>
      <c r="N91" s="2">
        <f t="shared" si="77"/>
        <v>12.768769999999989</v>
      </c>
      <c r="O91" s="2">
        <v>37</v>
      </c>
      <c r="P91">
        <f t="shared" si="78"/>
        <v>9.6418948147453012</v>
      </c>
      <c r="W91" s="191"/>
      <c r="X91" s="2"/>
      <c r="Y91" s="13"/>
      <c r="Z91" s="2"/>
      <c r="AA91" s="2"/>
      <c r="AB91" s="2"/>
      <c r="AC91" s="2"/>
      <c r="AD91" s="2"/>
      <c r="AE91" s="2"/>
      <c r="AF91" s="2"/>
      <c r="AG91" s="2"/>
      <c r="AH91" s="2"/>
      <c r="AI91" s="2"/>
      <c r="AJ91" s="2"/>
      <c r="AK91" s="2"/>
      <c r="AL91" s="2"/>
    </row>
    <row r="92" spans="3:56" x14ac:dyDescent="0.35">
      <c r="D92" s="155">
        <v>0</v>
      </c>
      <c r="F92" s="13">
        <v>163.47192999999999</v>
      </c>
      <c r="G92" s="13">
        <v>167.44326000000001</v>
      </c>
      <c r="H92" s="2">
        <f t="shared" si="71"/>
        <v>3.9713300000000231</v>
      </c>
      <c r="I92" s="2">
        <f t="shared" si="72"/>
        <v>5.2646799999999985</v>
      </c>
      <c r="J92" s="2">
        <f t="shared" si="73"/>
        <v>0.42998329365169741</v>
      </c>
      <c r="K92" s="2">
        <f t="shared" si="74"/>
        <v>0.57001670634830259</v>
      </c>
      <c r="L92" s="2">
        <f t="shared" si="75"/>
        <v>0.25180481098271718</v>
      </c>
      <c r="M92" s="2">
        <f t="shared" si="76"/>
        <v>0.10827186198369183</v>
      </c>
      <c r="N92" s="2">
        <f t="shared" si="77"/>
        <v>9.2360100000000216</v>
      </c>
      <c r="O92" s="2">
        <v>47</v>
      </c>
      <c r="P92">
        <f t="shared" si="78"/>
        <v>11.834826116187706</v>
      </c>
      <c r="W92" s="191"/>
      <c r="X92" s="2"/>
      <c r="Y92" s="13"/>
      <c r="Z92" s="2"/>
      <c r="AA92" s="2"/>
      <c r="AB92" s="2"/>
      <c r="AC92" s="2"/>
      <c r="AD92" s="2"/>
      <c r="AE92" s="2"/>
      <c r="AF92" s="2"/>
      <c r="AG92" s="2"/>
      <c r="AH92" s="2"/>
      <c r="AI92" s="2"/>
      <c r="AJ92" s="2"/>
      <c r="AK92" s="2"/>
      <c r="AL92" s="2"/>
    </row>
    <row r="93" spans="3:56" x14ac:dyDescent="0.35">
      <c r="C93" s="258" t="s">
        <v>541</v>
      </c>
      <c r="D93" s="155">
        <v>0</v>
      </c>
      <c r="F93" s="13">
        <v>172.70794000000001</v>
      </c>
      <c r="G93" s="13">
        <v>175.70307</v>
      </c>
      <c r="H93" s="2">
        <f t="shared" si="71"/>
        <v>2.995129999999989</v>
      </c>
      <c r="I93" s="2">
        <f t="shared" si="72"/>
        <v>8.9381600000000105</v>
      </c>
      <c r="J93" s="2">
        <f t="shared" si="73"/>
        <v>0.25098945890026886</v>
      </c>
      <c r="K93" s="2">
        <f t="shared" si="74"/>
        <v>0.7490105410997312</v>
      </c>
      <c r="L93" s="2">
        <f t="shared" si="75"/>
        <v>0.33387532427640992</v>
      </c>
      <c r="M93" s="2">
        <f t="shared" si="76"/>
        <v>8.3799186980287918E-2</v>
      </c>
      <c r="N93" s="2">
        <f t="shared" si="77"/>
        <v>11.93329</v>
      </c>
      <c r="O93" s="2">
        <v>29</v>
      </c>
      <c r="P93">
        <f t="shared" si="78"/>
        <v>9.6823844040158882</v>
      </c>
      <c r="W93" s="191"/>
      <c r="X93" s="2"/>
      <c r="Y93" s="13"/>
      <c r="Z93" s="2"/>
      <c r="AA93" s="2"/>
      <c r="AB93" s="2"/>
      <c r="AC93" s="2"/>
      <c r="AD93" s="2"/>
      <c r="AE93" s="2"/>
      <c r="AF93" s="2"/>
      <c r="AG93" s="2"/>
      <c r="AH93" s="2"/>
      <c r="AI93" s="2"/>
      <c r="AJ93" s="2"/>
      <c r="AK93" s="2"/>
      <c r="AL93" s="2"/>
    </row>
    <row r="94" spans="3:56" ht="18.5" x14ac:dyDescent="0.45">
      <c r="D94" s="155">
        <v>0</v>
      </c>
      <c r="F94" s="13">
        <v>184.64123000000001</v>
      </c>
      <c r="G94" s="13">
        <v>188.46691000000001</v>
      </c>
      <c r="H94" s="2">
        <f t="shared" si="71"/>
        <v>3.8256800000000055</v>
      </c>
      <c r="I94" s="2">
        <f t="shared" si="72"/>
        <v>5.2541899999999941</v>
      </c>
      <c r="J94" s="2">
        <f t="shared" si="73"/>
        <v>0.42133642882552347</v>
      </c>
      <c r="K94" s="2">
        <f t="shared" si="74"/>
        <v>0.57866357117447653</v>
      </c>
      <c r="L94" s="2">
        <f t="shared" si="75"/>
        <v>0.26139143890759253</v>
      </c>
      <c r="M94" s="2">
        <f t="shared" si="76"/>
        <v>0.11013373539489002</v>
      </c>
      <c r="N94" s="2">
        <f t="shared" si="77"/>
        <v>9.0798699999999997</v>
      </c>
      <c r="O94" s="2">
        <v>43</v>
      </c>
      <c r="P94">
        <f t="shared" si="78"/>
        <v>11.239831873026478</v>
      </c>
      <c r="W94" s="191"/>
      <c r="X94" s="2"/>
      <c r="Y94" s="13"/>
      <c r="Z94" s="2"/>
      <c r="AA94" s="2"/>
      <c r="AB94" s="2"/>
      <c r="AC94" s="2"/>
      <c r="AD94" s="2"/>
      <c r="AE94" s="2"/>
      <c r="AF94" s="2"/>
      <c r="AG94" s="2"/>
      <c r="AH94" s="2"/>
      <c r="AI94" s="2"/>
      <c r="AJ94" s="2"/>
      <c r="AK94" s="2"/>
      <c r="AL94" s="2"/>
      <c r="AQ94" s="1" t="s">
        <v>621</v>
      </c>
      <c r="AR94" s="3"/>
      <c r="AS94" s="3"/>
      <c r="AT94" s="3"/>
      <c r="AU94" s="3"/>
      <c r="AV94" s="3"/>
      <c r="AW94" s="3"/>
      <c r="AX94" s="3"/>
      <c r="AY94" s="3"/>
      <c r="AZ94" s="3"/>
    </row>
    <row r="95" spans="3:56" ht="16" thickBot="1" x14ac:dyDescent="0.4">
      <c r="D95" s="155">
        <v>0</v>
      </c>
      <c r="F95" s="13">
        <v>193.72110000000001</v>
      </c>
      <c r="G95" s="13">
        <v>196.64554000000001</v>
      </c>
      <c r="H95" s="2">
        <f t="shared" si="71"/>
        <v>2.9244400000000041</v>
      </c>
      <c r="I95" s="2">
        <f t="shared" si="72"/>
        <v>6.2968799999999874</v>
      </c>
      <c r="J95" s="2">
        <f t="shared" si="73"/>
        <v>0.31713897793374557</v>
      </c>
      <c r="K95" s="2">
        <f t="shared" si="74"/>
        <v>0.68286102206625443</v>
      </c>
      <c r="L95" s="2">
        <f t="shared" si="75"/>
        <v>0.34194580842827982</v>
      </c>
      <c r="M95" s="2">
        <f t="shared" si="76"/>
        <v>0.10844434419367302</v>
      </c>
      <c r="N95" s="2">
        <f t="shared" si="77"/>
        <v>9.2213199999999915</v>
      </c>
      <c r="O95" s="2">
        <v>30</v>
      </c>
      <c r="P95">
        <f t="shared" si="78"/>
        <v>10.258374252848395</v>
      </c>
      <c r="W95" s="191"/>
      <c r="X95" s="2"/>
      <c r="Y95" s="13"/>
      <c r="Z95" s="2"/>
      <c r="AA95" s="2"/>
      <c r="AB95" s="2"/>
      <c r="AC95" s="2"/>
      <c r="AD95" s="2"/>
      <c r="AE95" s="2"/>
      <c r="AF95" s="2"/>
      <c r="AG95" s="2"/>
      <c r="AH95" s="2"/>
      <c r="AI95" s="2"/>
      <c r="AJ95" s="2"/>
      <c r="AK95" s="2"/>
      <c r="AL95" s="2"/>
      <c r="AO95" s="85"/>
      <c r="AP95" s="85"/>
      <c r="AQ95" s="44" t="s">
        <v>1</v>
      </c>
      <c r="AR95" s="44" t="s">
        <v>2</v>
      </c>
      <c r="AS95" s="44" t="s">
        <v>3</v>
      </c>
      <c r="AT95" s="44" t="s">
        <v>4</v>
      </c>
      <c r="AU95" s="44" t="s">
        <v>5</v>
      </c>
      <c r="AV95" s="44" t="s">
        <v>6</v>
      </c>
      <c r="AW95" s="44" t="s">
        <v>7</v>
      </c>
      <c r="AX95" s="44" t="s">
        <v>8</v>
      </c>
      <c r="AY95" s="44" t="s">
        <v>9</v>
      </c>
      <c r="AZ95" s="44" t="s">
        <v>10</v>
      </c>
      <c r="BA95" s="44" t="s">
        <v>139</v>
      </c>
      <c r="BB95" s="85"/>
      <c r="BC95" s="85"/>
      <c r="BD95" s="85"/>
    </row>
    <row r="96" spans="3:56" x14ac:dyDescent="0.35">
      <c r="C96" s="258" t="s">
        <v>541</v>
      </c>
      <c r="D96" s="155">
        <v>0</v>
      </c>
      <c r="F96" s="13">
        <v>202.94242</v>
      </c>
      <c r="G96" s="13">
        <v>205.90651</v>
      </c>
      <c r="H96" s="2">
        <f t="shared" si="71"/>
        <v>2.9640899999999988</v>
      </c>
      <c r="I96" s="2">
        <f t="shared" si="72"/>
        <v>10.015690000000006</v>
      </c>
      <c r="J96" s="2">
        <f t="shared" si="73"/>
        <v>0.22836211399576861</v>
      </c>
      <c r="K96" s="2">
        <f t="shared" si="74"/>
        <v>0.77163788600423133</v>
      </c>
      <c r="L96" s="2">
        <f t="shared" si="75"/>
        <v>0.33737167225016801</v>
      </c>
      <c r="M96" s="2">
        <f t="shared" si="76"/>
        <v>7.7042908277335953E-2</v>
      </c>
      <c r="N96" s="2">
        <f t="shared" si="77"/>
        <v>12.979780000000005</v>
      </c>
      <c r="O96" s="2">
        <v>28</v>
      </c>
      <c r="P96">
        <f t="shared" si="78"/>
        <v>9.446406823004704</v>
      </c>
      <c r="W96" s="191"/>
      <c r="X96" s="2"/>
      <c r="Y96" s="13"/>
      <c r="Z96" s="2"/>
      <c r="AA96" s="2"/>
      <c r="AB96" s="2"/>
      <c r="AC96" s="2"/>
      <c r="AD96" s="2"/>
      <c r="AE96" s="2"/>
      <c r="AF96" s="2"/>
      <c r="AG96" s="2"/>
      <c r="AH96" s="2"/>
      <c r="AI96" s="2"/>
      <c r="AJ96" s="2"/>
      <c r="AK96" s="2"/>
      <c r="AL96" s="2"/>
      <c r="AO96" s="85"/>
      <c r="AP96" s="85"/>
      <c r="AQ96" s="13">
        <v>6.8133299999999997</v>
      </c>
      <c r="AR96" s="13">
        <v>10.905480000000001</v>
      </c>
      <c r="AS96" s="13">
        <f t="shared" ref="AS96:AS112" si="83">AR96-AQ96</f>
        <v>4.0921500000000011</v>
      </c>
      <c r="AT96" s="13">
        <f t="shared" ref="AT96:AT110" si="84">AQ97-AR96</f>
        <v>11.229890000000001</v>
      </c>
      <c r="AU96" s="13">
        <f>AS96/AY96</f>
        <v>0.26707605514670374</v>
      </c>
      <c r="AV96" s="13">
        <f>AT96/AY96</f>
        <v>0.73292394485329626</v>
      </c>
      <c r="AW96" s="13">
        <f>1/AS96</f>
        <v>0.24437031878108079</v>
      </c>
      <c r="AX96" s="13">
        <f>1/AY96</f>
        <v>6.5265460734993508E-2</v>
      </c>
      <c r="AY96" s="13">
        <f>AS96+AT96</f>
        <v>15.322040000000001</v>
      </c>
      <c r="AZ96" s="13">
        <v>21</v>
      </c>
      <c r="BA96" s="85">
        <f>AZ96/AS96</f>
        <v>5.1317766944026966</v>
      </c>
      <c r="BB96" s="85"/>
      <c r="BC96" s="85"/>
      <c r="BD96" s="85"/>
    </row>
    <row r="97" spans="4:56" x14ac:dyDescent="0.35">
      <c r="D97" s="155">
        <v>0</v>
      </c>
      <c r="F97" s="13">
        <v>215.9222</v>
      </c>
      <c r="G97" s="13">
        <v>219.73557</v>
      </c>
      <c r="H97" s="2">
        <f t="shared" si="71"/>
        <v>3.8133699999999919</v>
      </c>
      <c r="I97" s="2">
        <f t="shared" si="72"/>
        <v>6.4546899999999994</v>
      </c>
      <c r="J97" s="2">
        <f t="shared" si="73"/>
        <v>0.37138174104942856</v>
      </c>
      <c r="K97" s="2">
        <f t="shared" si="74"/>
        <v>0.62861825895057144</v>
      </c>
      <c r="L97" s="2">
        <f t="shared" si="75"/>
        <v>0.26223524074506332</v>
      </c>
      <c r="M97" s="2">
        <f t="shared" si="76"/>
        <v>9.7389380272417655E-2</v>
      </c>
      <c r="N97" s="2">
        <f t="shared" si="77"/>
        <v>10.268059999999991</v>
      </c>
      <c r="O97" s="2">
        <v>40</v>
      </c>
      <c r="P97">
        <f t="shared" si="78"/>
        <v>10.489409629802532</v>
      </c>
      <c r="W97" s="191"/>
      <c r="X97" s="2"/>
      <c r="Y97" s="13"/>
      <c r="Z97" s="2"/>
      <c r="AA97" s="2"/>
      <c r="AB97" s="2"/>
      <c r="AC97" s="2"/>
      <c r="AD97" s="2"/>
      <c r="AE97" s="2"/>
      <c r="AF97" s="2"/>
      <c r="AG97" s="2"/>
      <c r="AH97" s="2"/>
      <c r="AI97" s="2"/>
      <c r="AJ97" s="2"/>
      <c r="AK97" s="2"/>
      <c r="AL97" s="2"/>
      <c r="AO97" s="85"/>
      <c r="AP97" s="85"/>
      <c r="AQ97" s="13">
        <v>22.135370000000002</v>
      </c>
      <c r="AR97" s="13">
        <v>25.40916</v>
      </c>
      <c r="AS97" s="13">
        <f t="shared" si="83"/>
        <v>3.2737899999999982</v>
      </c>
      <c r="AT97" s="13">
        <f t="shared" si="84"/>
        <v>5.7110300000000009</v>
      </c>
      <c r="AU97" s="13">
        <f t="shared" ref="AU97:AU111" si="85">AS97/AY97</f>
        <v>0.36436901351390438</v>
      </c>
      <c r="AV97" s="13">
        <f t="shared" ref="AV97:AV111" si="86">AT97/AY97</f>
        <v>0.63563098648609562</v>
      </c>
      <c r="AW97" s="13">
        <f t="shared" ref="AW97:AW111" si="87">1/AS97</f>
        <v>0.30545636708524387</v>
      </c>
      <c r="AX97" s="13">
        <f t="shared" ref="AX97:AX111" si="88">1/AY97</f>
        <v>0.11129883514639137</v>
      </c>
      <c r="AY97" s="13">
        <f t="shared" ref="AY97:AY111" si="89">AS97+AT97</f>
        <v>8.9848199999999991</v>
      </c>
      <c r="AZ97" s="13">
        <v>16</v>
      </c>
      <c r="BA97" s="85">
        <f t="shared" ref="BA97:BA111" si="90">AZ97/AS97</f>
        <v>4.887301873363902</v>
      </c>
      <c r="BB97" s="85"/>
      <c r="BC97" s="85"/>
      <c r="BD97" s="85"/>
    </row>
    <row r="98" spans="4:56" x14ac:dyDescent="0.35">
      <c r="D98" s="155">
        <v>0</v>
      </c>
      <c r="F98" s="13">
        <v>226.19025999999999</v>
      </c>
      <c r="G98" s="13">
        <v>228.30416</v>
      </c>
      <c r="H98" s="2">
        <f t="shared" si="71"/>
        <v>2.113900000000001</v>
      </c>
      <c r="I98" s="2">
        <f t="shared" si="72"/>
        <v>8.1917500000000132</v>
      </c>
      <c r="J98" s="2">
        <f t="shared" si="73"/>
        <v>0.20512049215721453</v>
      </c>
      <c r="K98" s="2">
        <f t="shared" si="74"/>
        <v>0.79487950784278549</v>
      </c>
      <c r="L98" s="2">
        <f t="shared" si="75"/>
        <v>0.47305927432707295</v>
      </c>
      <c r="M98" s="2">
        <f t="shared" si="76"/>
        <v>9.7034151169503979E-2</v>
      </c>
      <c r="N98" s="2">
        <f t="shared" si="77"/>
        <v>10.305650000000014</v>
      </c>
      <c r="O98" s="2">
        <v>20</v>
      </c>
      <c r="P98">
        <f t="shared" si="78"/>
        <v>9.46118548654146</v>
      </c>
      <c r="W98" s="191"/>
      <c r="X98" s="2"/>
      <c r="Y98" s="13"/>
      <c r="Z98" s="2"/>
      <c r="AA98" s="2"/>
      <c r="AB98" s="2"/>
      <c r="AC98" s="2"/>
      <c r="AD98" s="2"/>
      <c r="AE98" s="2"/>
      <c r="AF98" s="2"/>
      <c r="AG98" s="2"/>
      <c r="AH98" s="2"/>
      <c r="AI98" s="2"/>
      <c r="AJ98" s="2"/>
      <c r="AK98" s="2"/>
      <c r="AL98" s="2"/>
      <c r="AO98" s="85"/>
      <c r="AP98" s="85"/>
      <c r="AQ98" s="13">
        <v>31.120190000000001</v>
      </c>
      <c r="AR98" s="13">
        <v>35.153550000000003</v>
      </c>
      <c r="AS98" s="13">
        <f t="shared" si="83"/>
        <v>4.0333600000000018</v>
      </c>
      <c r="AT98" s="13">
        <f t="shared" si="84"/>
        <v>5.8582299999999989</v>
      </c>
      <c r="AU98" s="13">
        <f t="shared" si="85"/>
        <v>0.40775648808735515</v>
      </c>
      <c r="AV98" s="13">
        <f t="shared" si="86"/>
        <v>0.59224351191264479</v>
      </c>
      <c r="AW98" s="13">
        <f t="shared" si="87"/>
        <v>0.24793224507606551</v>
      </c>
      <c r="AX98" s="13">
        <f t="shared" si="88"/>
        <v>0.10109598153582992</v>
      </c>
      <c r="AY98" s="13">
        <f t="shared" si="89"/>
        <v>9.8915900000000008</v>
      </c>
      <c r="AZ98" s="13">
        <v>15</v>
      </c>
      <c r="BA98" s="85">
        <f t="shared" si="90"/>
        <v>3.7189836761409825</v>
      </c>
      <c r="BB98" s="85"/>
      <c r="BC98" s="85"/>
      <c r="BD98" s="85"/>
    </row>
    <row r="99" spans="4:56" x14ac:dyDescent="0.35">
      <c r="D99" s="155">
        <v>0</v>
      </c>
      <c r="F99" s="13">
        <v>236.49591000000001</v>
      </c>
      <c r="G99" s="13">
        <v>239.31761</v>
      </c>
      <c r="H99" s="2">
        <f t="shared" si="71"/>
        <v>2.8216999999999928</v>
      </c>
      <c r="I99" s="2"/>
      <c r="J99" s="2"/>
      <c r="K99" s="2"/>
      <c r="L99" s="2"/>
      <c r="M99" s="2"/>
      <c r="N99" s="2"/>
      <c r="O99" s="2"/>
      <c r="W99" s="191"/>
      <c r="X99" s="2"/>
      <c r="Y99" s="13"/>
      <c r="Z99" s="2"/>
      <c r="AA99" s="2"/>
      <c r="AB99" s="2"/>
      <c r="AC99" s="2"/>
      <c r="AD99" s="2"/>
      <c r="AE99" s="2"/>
      <c r="AF99" s="2"/>
      <c r="AG99" s="2"/>
      <c r="AH99" s="2"/>
      <c r="AI99" s="2"/>
      <c r="AJ99" s="2"/>
      <c r="AK99" s="2"/>
      <c r="AL99" s="2"/>
      <c r="AO99" s="85"/>
      <c r="AP99" s="144" t="s">
        <v>235</v>
      </c>
      <c r="AQ99" s="91">
        <v>41.011780000000002</v>
      </c>
      <c r="AR99" s="91">
        <v>44.156570000000002</v>
      </c>
      <c r="AS99" s="91">
        <f t="shared" si="83"/>
        <v>3.1447900000000004</v>
      </c>
      <c r="AT99" s="91">
        <f t="shared" si="84"/>
        <v>13.038699999999999</v>
      </c>
      <c r="AU99" s="91">
        <f t="shared" si="85"/>
        <v>0.19432087887099758</v>
      </c>
      <c r="AV99" s="91">
        <f t="shared" si="86"/>
        <v>0.80567912112900242</v>
      </c>
      <c r="AW99" s="91">
        <f t="shared" si="87"/>
        <v>0.31798625663398822</v>
      </c>
      <c r="AX99" s="91">
        <f t="shared" si="88"/>
        <v>6.1791368858015179E-2</v>
      </c>
      <c r="AY99" s="91">
        <f t="shared" si="89"/>
        <v>16.183489999999999</v>
      </c>
      <c r="AZ99" s="91">
        <v>14</v>
      </c>
      <c r="BA99" s="144">
        <f t="shared" si="90"/>
        <v>4.4518075928758352</v>
      </c>
      <c r="BB99" s="85"/>
      <c r="BC99" s="85"/>
      <c r="BD99" s="85"/>
    </row>
    <row r="100" spans="4:56" x14ac:dyDescent="0.35">
      <c r="F100" s="13"/>
      <c r="G100" s="13"/>
      <c r="H100" s="2"/>
      <c r="I100" s="2"/>
      <c r="J100" s="2"/>
      <c r="K100" s="2"/>
      <c r="L100" s="2"/>
      <c r="M100" s="2"/>
      <c r="N100" s="2"/>
      <c r="O100" s="2"/>
      <c r="W100" s="191"/>
      <c r="X100" s="2"/>
      <c r="Y100" s="13"/>
      <c r="Z100" s="2"/>
      <c r="AA100" s="2"/>
      <c r="AB100" s="2"/>
      <c r="AC100" s="2"/>
      <c r="AD100" s="2"/>
      <c r="AE100" s="2"/>
      <c r="AF100" s="2"/>
      <c r="AG100" s="2"/>
      <c r="AH100" s="2"/>
      <c r="AI100" s="2"/>
      <c r="AJ100" s="2"/>
      <c r="AK100" s="2"/>
      <c r="AL100" s="2"/>
      <c r="AO100" s="85"/>
      <c r="AP100" s="85"/>
      <c r="AQ100" s="13">
        <v>57.195270000000001</v>
      </c>
      <c r="AR100" s="13">
        <v>61.402740000000001</v>
      </c>
      <c r="AS100" s="13">
        <f t="shared" si="83"/>
        <v>4.2074700000000007</v>
      </c>
      <c r="AT100" s="13">
        <f t="shared" si="84"/>
        <v>5.8413499999999985</v>
      </c>
      <c r="AU100" s="13">
        <f t="shared" si="85"/>
        <v>0.41870289247891801</v>
      </c>
      <c r="AV100" s="13">
        <f t="shared" si="86"/>
        <v>0.58129710752108199</v>
      </c>
      <c r="AW100" s="13">
        <f t="shared" si="87"/>
        <v>0.23767252054084756</v>
      </c>
      <c r="AX100" s="13">
        <f t="shared" si="88"/>
        <v>9.951417181320793E-2</v>
      </c>
      <c r="AY100" s="13">
        <f t="shared" si="89"/>
        <v>10.048819999999999</v>
      </c>
      <c r="AZ100" s="13">
        <v>18</v>
      </c>
      <c r="BA100" s="85">
        <f t="shared" si="90"/>
        <v>4.2781053697352558</v>
      </c>
      <c r="BB100" s="85"/>
      <c r="BC100" s="85"/>
      <c r="BD100" s="85"/>
    </row>
    <row r="101" spans="4:56" x14ac:dyDescent="0.35">
      <c r="F101" s="13"/>
      <c r="W101" s="191"/>
      <c r="X101" s="2"/>
      <c r="Y101" s="13"/>
      <c r="Z101" s="2"/>
      <c r="AA101" s="2"/>
      <c r="AB101" s="2"/>
      <c r="AC101" s="2"/>
      <c r="AD101" s="2"/>
      <c r="AE101" s="2"/>
      <c r="AF101" s="2"/>
      <c r="AG101" s="2"/>
      <c r="AH101" s="2"/>
      <c r="AI101" s="2"/>
      <c r="AJ101" s="2"/>
      <c r="AK101" s="2"/>
      <c r="AL101" s="2"/>
      <c r="AO101" s="85"/>
      <c r="AP101" s="144" t="s">
        <v>235</v>
      </c>
      <c r="AQ101" s="91">
        <v>67.24409</v>
      </c>
      <c r="AR101" s="91">
        <v>71.405749999999998</v>
      </c>
      <c r="AS101" s="91">
        <f t="shared" si="83"/>
        <v>4.1616599999999977</v>
      </c>
      <c r="AT101" s="91">
        <f t="shared" si="84"/>
        <v>12.042200000000008</v>
      </c>
      <c r="AU101" s="91">
        <f t="shared" si="85"/>
        <v>0.25683139696343932</v>
      </c>
      <c r="AV101" s="91">
        <f t="shared" si="86"/>
        <v>0.74316860303656063</v>
      </c>
      <c r="AW101" s="91">
        <f t="shared" si="87"/>
        <v>0.24028873093909656</v>
      </c>
      <c r="AX101" s="91">
        <f t="shared" si="88"/>
        <v>6.1713690441660175E-2</v>
      </c>
      <c r="AY101" s="91">
        <f t="shared" si="89"/>
        <v>16.203860000000006</v>
      </c>
      <c r="AZ101" s="91">
        <v>17</v>
      </c>
      <c r="BA101" s="144">
        <f t="shared" si="90"/>
        <v>4.0849084259646418</v>
      </c>
      <c r="BB101" s="85"/>
      <c r="BC101" s="85"/>
      <c r="BD101" s="85"/>
    </row>
    <row r="102" spans="4:56" ht="16" thickBot="1" x14ac:dyDescent="0.4">
      <c r="F102" s="13"/>
      <c r="G102" s="13"/>
      <c r="H102" s="9" t="s">
        <v>3</v>
      </c>
      <c r="I102" s="9" t="s">
        <v>4</v>
      </c>
      <c r="J102" s="9" t="s">
        <v>5</v>
      </c>
      <c r="K102" s="9" t="s">
        <v>6</v>
      </c>
      <c r="L102" s="9" t="s">
        <v>7</v>
      </c>
      <c r="M102" s="9" t="s">
        <v>8</v>
      </c>
      <c r="N102" s="9" t="s">
        <v>9</v>
      </c>
      <c r="O102" s="9" t="s">
        <v>10</v>
      </c>
      <c r="P102" s="44" t="s">
        <v>139</v>
      </c>
      <c r="W102" s="191"/>
      <c r="X102" s="2"/>
      <c r="Y102" s="13"/>
      <c r="Z102" s="2"/>
      <c r="AA102" s="2"/>
      <c r="AB102" s="2"/>
      <c r="AC102" s="2"/>
      <c r="AD102" s="2"/>
      <c r="AE102" s="2"/>
      <c r="AF102" s="2"/>
      <c r="AG102" s="2"/>
      <c r="AH102" s="2"/>
      <c r="AI102" s="2"/>
      <c r="AJ102" s="2"/>
      <c r="AK102" s="2"/>
      <c r="AL102" s="2"/>
      <c r="AO102" s="85"/>
      <c r="AP102" s="85"/>
      <c r="AQ102" s="13">
        <v>83.447950000000006</v>
      </c>
      <c r="AR102" s="13">
        <v>88.655389999999997</v>
      </c>
      <c r="AS102" s="13">
        <f t="shared" si="83"/>
        <v>5.2074399999999912</v>
      </c>
      <c r="AT102" s="13">
        <f t="shared" si="84"/>
        <v>6.9143700000000052</v>
      </c>
      <c r="AU102" s="13">
        <f t="shared" si="85"/>
        <v>0.42959261034449414</v>
      </c>
      <c r="AV102" s="13">
        <f t="shared" si="86"/>
        <v>0.57040738965550586</v>
      </c>
      <c r="AW102" s="13">
        <f t="shared" si="87"/>
        <v>0.1920329374894385</v>
      </c>
      <c r="AX102" s="13">
        <f t="shared" si="88"/>
        <v>8.249593088820896E-2</v>
      </c>
      <c r="AY102" s="13">
        <f t="shared" si="89"/>
        <v>12.121809999999996</v>
      </c>
      <c r="AZ102" s="13">
        <v>20</v>
      </c>
      <c r="BA102" s="85">
        <f t="shared" si="90"/>
        <v>3.8406587497887701</v>
      </c>
      <c r="BB102" s="85"/>
      <c r="BC102" s="85"/>
      <c r="BD102" s="85"/>
    </row>
    <row r="103" spans="4:56" x14ac:dyDescent="0.35">
      <c r="E103" s="104" t="s">
        <v>409</v>
      </c>
      <c r="F103" s="13"/>
      <c r="G103" s="49" t="s">
        <v>77</v>
      </c>
      <c r="H103" s="13">
        <f>AVERAGE(H77:H88)</f>
        <v>4.4542908333333324</v>
      </c>
      <c r="I103" s="13">
        <f t="shared" ref="I103:P103" si="91">AVERAGE(I77:I88)</f>
        <v>6.1186499999999997</v>
      </c>
      <c r="J103" s="13">
        <f t="shared" si="91"/>
        <v>0.43174631142375602</v>
      </c>
      <c r="K103" s="13">
        <f t="shared" si="91"/>
        <v>0.56825368857624403</v>
      </c>
      <c r="L103" s="13">
        <f t="shared" si="91"/>
        <v>0.23341747336274657</v>
      </c>
      <c r="M103" s="13">
        <f t="shared" si="91"/>
        <v>9.591522086984082E-2</v>
      </c>
      <c r="N103" s="13">
        <f t="shared" si="91"/>
        <v>10.572940833333334</v>
      </c>
      <c r="O103" s="13">
        <f t="shared" si="91"/>
        <v>54</v>
      </c>
      <c r="P103" s="13">
        <f t="shared" si="91"/>
        <v>12.054283809210949</v>
      </c>
      <c r="W103" s="191"/>
      <c r="X103" s="2"/>
      <c r="Y103" s="13"/>
      <c r="Z103" s="2"/>
      <c r="AA103" s="2"/>
      <c r="AB103" s="2"/>
      <c r="AC103" s="2"/>
      <c r="AD103" s="2"/>
      <c r="AE103" s="2"/>
      <c r="AF103" s="2"/>
      <c r="AG103" s="2"/>
      <c r="AH103" s="2"/>
      <c r="AI103" s="2"/>
      <c r="AJ103" s="2"/>
      <c r="AK103" s="2"/>
      <c r="AL103" s="2"/>
      <c r="AO103" s="85"/>
      <c r="AP103" s="85"/>
      <c r="AQ103" s="13">
        <v>95.569760000000002</v>
      </c>
      <c r="AR103" s="13">
        <v>99.662369999999996</v>
      </c>
      <c r="AS103" s="13">
        <f t="shared" si="83"/>
        <v>4.0926099999999934</v>
      </c>
      <c r="AT103" s="13">
        <f t="shared" si="84"/>
        <v>6.9219400000000064</v>
      </c>
      <c r="AU103" s="13">
        <f t="shared" si="85"/>
        <v>0.37156397673985714</v>
      </c>
      <c r="AV103" s="13">
        <f t="shared" si="86"/>
        <v>0.62843602326014281</v>
      </c>
      <c r="AW103" s="13">
        <f t="shared" si="87"/>
        <v>0.24434285211637602</v>
      </c>
      <c r="AX103" s="13">
        <f t="shared" si="88"/>
        <v>9.0789001820319487E-2</v>
      </c>
      <c r="AY103" s="13">
        <f t="shared" si="89"/>
        <v>11.01455</v>
      </c>
      <c r="AZ103" s="13">
        <v>18</v>
      </c>
      <c r="BA103" s="85">
        <f t="shared" si="90"/>
        <v>4.3981713380947678</v>
      </c>
      <c r="BB103" s="85"/>
      <c r="BC103" s="85"/>
      <c r="BD103" s="85"/>
    </row>
    <row r="104" spans="4:56" x14ac:dyDescent="0.35">
      <c r="E104" s="104"/>
      <c r="F104" s="13"/>
      <c r="G104" s="49" t="s">
        <v>94</v>
      </c>
      <c r="H104" s="2">
        <f>_xlfn.STDEV.S(H77:H88)</f>
        <v>0.88928620265160385</v>
      </c>
      <c r="I104" s="2">
        <f t="shared" ref="I104:P104" si="92">_xlfn.STDEV.S(I77:I88)</f>
        <v>1.9355338306852898</v>
      </c>
      <c r="J104" s="2">
        <f t="shared" si="92"/>
        <v>0.11747846099541673</v>
      </c>
      <c r="K104" s="2">
        <f t="shared" si="92"/>
        <v>0.11747846099541655</v>
      </c>
      <c r="L104" s="2">
        <f t="shared" si="92"/>
        <v>4.9739170220009558E-2</v>
      </c>
      <c r="M104" s="2">
        <f t="shared" si="92"/>
        <v>1.1669904605192405E-2</v>
      </c>
      <c r="N104" s="2">
        <f t="shared" si="92"/>
        <v>1.3281478830273787</v>
      </c>
      <c r="O104" s="2">
        <f>_xlfn.STDEV.S(O77:O88)</f>
        <v>13.300717683985736</v>
      </c>
      <c r="P104" s="2">
        <f t="shared" si="92"/>
        <v>1.0153293194205133</v>
      </c>
      <c r="W104" s="191"/>
      <c r="X104" s="2"/>
      <c r="Y104" s="13"/>
      <c r="Z104" s="2"/>
      <c r="AA104" s="2"/>
      <c r="AB104" s="2"/>
      <c r="AC104" s="2"/>
      <c r="AD104" s="2"/>
      <c r="AE104" s="2"/>
      <c r="AF104" s="2"/>
      <c r="AG104" s="2"/>
      <c r="AH104" s="2"/>
      <c r="AI104" s="2"/>
      <c r="AJ104" s="2"/>
      <c r="AK104" s="2"/>
      <c r="AL104" s="2"/>
      <c r="AO104" s="85"/>
      <c r="AP104" s="144" t="s">
        <v>235</v>
      </c>
      <c r="AQ104" s="91">
        <v>106.58431</v>
      </c>
      <c r="AR104" s="91">
        <v>110.65485</v>
      </c>
      <c r="AS104" s="91">
        <f t="shared" si="83"/>
        <v>4.0705399999999941</v>
      </c>
      <c r="AT104" s="91">
        <f t="shared" si="84"/>
        <v>11.974969999999999</v>
      </c>
      <c r="AU104" s="91">
        <f t="shared" si="85"/>
        <v>0.25368716855992712</v>
      </c>
      <c r="AV104" s="91">
        <f t="shared" si="86"/>
        <v>0.74631283144007288</v>
      </c>
      <c r="AW104" s="91">
        <f t="shared" si="87"/>
        <v>0.24566765097505527</v>
      </c>
      <c r="AX104" s="91">
        <f t="shared" si="88"/>
        <v>6.2322730782630183E-2</v>
      </c>
      <c r="AY104" s="91">
        <f t="shared" si="89"/>
        <v>16.045509999999993</v>
      </c>
      <c r="AZ104" s="91">
        <v>19</v>
      </c>
      <c r="BA104" s="144">
        <f t="shared" si="90"/>
        <v>4.6676853685260502</v>
      </c>
      <c r="BB104" s="85"/>
      <c r="BC104" s="85"/>
      <c r="BD104" s="85"/>
    </row>
    <row r="105" spans="4:56" x14ac:dyDescent="0.35">
      <c r="E105" s="104"/>
      <c r="F105" s="13"/>
      <c r="G105" s="49" t="s">
        <v>95</v>
      </c>
      <c r="H105" s="2">
        <f>H104/(SQRT(COUNT(H77:H88)))</f>
        <v>0.2567148142437618</v>
      </c>
      <c r="I105" s="2">
        <f t="shared" ref="I105:P105" si="93">I104/(SQRT(COUNT(I77:I88)))</f>
        <v>0.5587404890858898</v>
      </c>
      <c r="J105" s="2">
        <f t="shared" si="93"/>
        <v>3.3913110539843402E-2</v>
      </c>
      <c r="K105" s="2">
        <f t="shared" si="93"/>
        <v>3.3913110539843347E-2</v>
      </c>
      <c r="L105" s="2">
        <f t="shared" si="93"/>
        <v>1.4358461657895569E-2</v>
      </c>
      <c r="M105" s="2">
        <f t="shared" si="93"/>
        <v>3.3688112826125442E-3</v>
      </c>
      <c r="N105" s="2">
        <f t="shared" si="93"/>
        <v>0.38340326889474435</v>
      </c>
      <c r="O105" s="2">
        <f t="shared" si="93"/>
        <v>3.8395864676321905</v>
      </c>
      <c r="P105" s="2">
        <f t="shared" si="93"/>
        <v>0.29310032794177643</v>
      </c>
      <c r="W105" s="191"/>
      <c r="X105" s="2"/>
      <c r="Y105" s="13"/>
      <c r="Z105" s="13"/>
      <c r="AA105" s="2"/>
      <c r="AB105" s="2"/>
      <c r="AC105" s="2"/>
      <c r="AD105" s="2"/>
      <c r="AE105" s="2"/>
      <c r="AF105" s="2"/>
      <c r="AG105" s="2"/>
      <c r="AH105" s="2"/>
      <c r="AI105" s="2"/>
      <c r="AJ105" s="2"/>
      <c r="AK105" s="2"/>
      <c r="AL105" s="2"/>
      <c r="AO105" s="85"/>
      <c r="AP105" s="85"/>
      <c r="AQ105" s="85">
        <v>122.62982</v>
      </c>
      <c r="AR105" s="85">
        <v>127.77119</v>
      </c>
      <c r="AS105" s="13">
        <f t="shared" si="83"/>
        <v>5.1413700000000091</v>
      </c>
      <c r="AT105" s="13">
        <f>AQ106-AR105</f>
        <v>6.8296199999999914</v>
      </c>
      <c r="AU105" s="13">
        <f t="shared" si="85"/>
        <v>0.42948578187769004</v>
      </c>
      <c r="AV105" s="13">
        <f t="shared" si="86"/>
        <v>0.57051421812230996</v>
      </c>
      <c r="AW105" s="13">
        <f t="shared" si="87"/>
        <v>0.19450068755993019</v>
      </c>
      <c r="AX105" s="13">
        <f t="shared" si="88"/>
        <v>8.3535279872424914E-2</v>
      </c>
      <c r="AY105" s="13">
        <f t="shared" si="89"/>
        <v>11.97099</v>
      </c>
      <c r="AZ105" s="13">
        <v>19</v>
      </c>
      <c r="BA105" s="85">
        <f t="shared" si="90"/>
        <v>3.6955130636386735</v>
      </c>
      <c r="BB105" s="85"/>
      <c r="BC105" s="85"/>
      <c r="BD105" s="85"/>
    </row>
    <row r="106" spans="4:56" x14ac:dyDescent="0.35">
      <c r="E106" s="104"/>
      <c r="F106" s="13"/>
      <c r="G106" s="49"/>
      <c r="H106" s="2"/>
      <c r="I106" s="2"/>
      <c r="J106" s="2"/>
      <c r="K106" s="2"/>
      <c r="L106" s="2"/>
      <c r="M106" s="2"/>
      <c r="N106" s="2"/>
      <c r="O106" s="2"/>
      <c r="P106" s="2"/>
      <c r="W106" s="257"/>
      <c r="X106" s="2"/>
      <c r="Y106" s="13"/>
      <c r="Z106" s="13"/>
      <c r="AA106" s="2"/>
      <c r="AB106" s="2"/>
      <c r="AC106" s="2"/>
      <c r="AD106" s="2"/>
      <c r="AE106" s="2"/>
      <c r="AF106" s="2"/>
      <c r="AG106" s="2"/>
      <c r="AH106" s="2"/>
      <c r="AI106" s="2"/>
      <c r="AJ106" s="2"/>
      <c r="AK106" s="2"/>
      <c r="AL106" s="2"/>
      <c r="AO106" s="85"/>
      <c r="AP106" s="144" t="s">
        <v>235</v>
      </c>
      <c r="AQ106" s="144">
        <v>134.60081</v>
      </c>
      <c r="AR106" s="144">
        <v>138.65539999999999</v>
      </c>
      <c r="AS106" s="91">
        <f t="shared" si="83"/>
        <v>4.0545899999999904</v>
      </c>
      <c r="AT106" s="91">
        <f t="shared" si="84"/>
        <v>13.240860000000026</v>
      </c>
      <c r="AU106" s="91">
        <f t="shared" si="85"/>
        <v>0.23443102087543177</v>
      </c>
      <c r="AV106" s="91">
        <f t="shared" si="86"/>
        <v>0.76556897912456823</v>
      </c>
      <c r="AW106" s="91">
        <f t="shared" si="87"/>
        <v>0.24663406164371796</v>
      </c>
      <c r="AX106" s="91">
        <f t="shared" si="88"/>
        <v>5.7818674853790969E-2</v>
      </c>
      <c r="AY106" s="91">
        <f t="shared" si="89"/>
        <v>17.295450000000017</v>
      </c>
      <c r="AZ106" s="144">
        <v>15</v>
      </c>
      <c r="BA106" s="144">
        <f t="shared" si="90"/>
        <v>3.6995109246557694</v>
      </c>
      <c r="BB106" s="85"/>
      <c r="BC106" s="85"/>
      <c r="BD106" s="85"/>
    </row>
    <row r="107" spans="4:56" x14ac:dyDescent="0.35">
      <c r="E107" s="104"/>
      <c r="F107" s="13"/>
      <c r="G107" s="49"/>
      <c r="H107" s="2"/>
      <c r="I107" s="2"/>
      <c r="J107" s="2"/>
      <c r="K107" s="2"/>
      <c r="L107" s="2"/>
      <c r="M107" s="2"/>
      <c r="N107" s="2"/>
      <c r="O107" s="2"/>
      <c r="P107" s="2"/>
      <c r="W107" s="257"/>
      <c r="X107" s="2"/>
      <c r="Y107" s="13"/>
      <c r="Z107" s="2"/>
      <c r="AA107" s="2"/>
      <c r="AB107" s="2"/>
      <c r="AC107" s="2"/>
      <c r="AD107" s="2"/>
      <c r="AE107" s="2"/>
      <c r="AF107" s="2"/>
      <c r="AG107" s="2"/>
      <c r="AH107" s="2"/>
      <c r="AI107" s="2"/>
      <c r="AJ107" s="2"/>
      <c r="AK107" s="2"/>
      <c r="AL107" s="2"/>
      <c r="AO107" s="85"/>
      <c r="AP107" s="85"/>
      <c r="AQ107" s="85">
        <v>151.89626000000001</v>
      </c>
      <c r="AR107" s="85">
        <v>156.12954999999999</v>
      </c>
      <c r="AS107" s="13">
        <f t="shared" si="83"/>
        <v>4.2332899999999825</v>
      </c>
      <c r="AT107" s="13">
        <f t="shared" si="84"/>
        <v>10.727699999999999</v>
      </c>
      <c r="AU107" s="13">
        <f t="shared" si="85"/>
        <v>0.28295520550444775</v>
      </c>
      <c r="AV107" s="13">
        <f t="shared" si="86"/>
        <v>0.71704479449555225</v>
      </c>
      <c r="AW107" s="13">
        <f t="shared" si="87"/>
        <v>0.23622289047053335</v>
      </c>
      <c r="AX107" s="13">
        <f t="shared" si="88"/>
        <v>6.6840496517944423E-2</v>
      </c>
      <c r="AY107" s="13">
        <f t="shared" si="89"/>
        <v>14.960989999999981</v>
      </c>
      <c r="AZ107" s="85">
        <v>18</v>
      </c>
      <c r="BA107" s="85">
        <f t="shared" si="90"/>
        <v>4.2520120284696006</v>
      </c>
      <c r="BB107" s="85"/>
      <c r="BC107" s="85"/>
      <c r="BD107" s="85"/>
    </row>
    <row r="108" spans="4:56" ht="16" thickBot="1" x14ac:dyDescent="0.4">
      <c r="E108" s="104" t="s">
        <v>81</v>
      </c>
      <c r="F108" s="13"/>
      <c r="G108" s="13"/>
      <c r="H108" s="9" t="s">
        <v>3</v>
      </c>
      <c r="I108" s="9" t="s">
        <v>4</v>
      </c>
      <c r="J108" s="9" t="s">
        <v>5</v>
      </c>
      <c r="K108" s="9" t="s">
        <v>6</v>
      </c>
      <c r="L108" s="9" t="s">
        <v>7</v>
      </c>
      <c r="M108" s="9" t="s">
        <v>8</v>
      </c>
      <c r="N108" s="9" t="s">
        <v>9</v>
      </c>
      <c r="O108" s="9" t="s">
        <v>10</v>
      </c>
      <c r="P108" s="44" t="s">
        <v>139</v>
      </c>
      <c r="W108" s="257"/>
      <c r="X108" s="2"/>
      <c r="Y108" s="2"/>
      <c r="Z108" s="2"/>
      <c r="AA108" s="2"/>
      <c r="AB108" s="2"/>
      <c r="AC108" s="2"/>
      <c r="AD108" s="2"/>
      <c r="AE108" s="2"/>
      <c r="AF108" s="2"/>
      <c r="AG108" s="2"/>
      <c r="AH108" s="2"/>
      <c r="AI108" s="2"/>
      <c r="AJ108" s="2"/>
      <c r="AK108" s="2"/>
      <c r="AL108" s="2"/>
      <c r="AO108" s="85"/>
      <c r="AP108" s="85"/>
      <c r="AQ108" s="85">
        <v>166.85724999999999</v>
      </c>
      <c r="AR108" s="85">
        <v>168.87862000000001</v>
      </c>
      <c r="AS108" s="13">
        <f t="shared" si="83"/>
        <v>2.0213700000000188</v>
      </c>
      <c r="AT108" s="13">
        <f t="shared" si="84"/>
        <v>5.9481399999999951</v>
      </c>
      <c r="AU108" s="13">
        <f t="shared" si="85"/>
        <v>0.25363792755138209</v>
      </c>
      <c r="AV108" s="13">
        <f t="shared" si="86"/>
        <v>0.74636207244861785</v>
      </c>
      <c r="AW108" s="13">
        <f t="shared" si="87"/>
        <v>0.49471398111181558</v>
      </c>
      <c r="AX108" s="13">
        <f t="shared" si="88"/>
        <v>0.12547822889989452</v>
      </c>
      <c r="AY108" s="13">
        <f t="shared" si="89"/>
        <v>7.9695100000000139</v>
      </c>
      <c r="AZ108" s="85">
        <v>8</v>
      </c>
      <c r="BA108" s="85">
        <f t="shared" si="90"/>
        <v>3.9577118488945247</v>
      </c>
      <c r="BB108" s="85"/>
      <c r="BC108" s="85"/>
      <c r="BD108" s="85"/>
    </row>
    <row r="109" spans="4:56" x14ac:dyDescent="0.35">
      <c r="F109" s="13"/>
      <c r="G109" s="49" t="s">
        <v>77</v>
      </c>
      <c r="H109" s="13">
        <f>AVERAGE(H77,H79,H81,H83,H85,H87)</f>
        <v>3.8983483333333333</v>
      </c>
      <c r="I109" s="13">
        <f t="shared" ref="I109:P109" si="94">AVERAGE(I77,I79,I81,I83,I85,I87)</f>
        <v>7.7954766666666666</v>
      </c>
      <c r="J109" s="13">
        <f t="shared" si="94"/>
        <v>0.33540043579034634</v>
      </c>
      <c r="K109" s="13">
        <f t="shared" si="94"/>
        <v>0.6645995642096536</v>
      </c>
      <c r="L109" s="13">
        <f t="shared" si="94"/>
        <v>0.26216726687030506</v>
      </c>
      <c r="M109" s="13">
        <f t="shared" si="94"/>
        <v>8.5832360738871613E-2</v>
      </c>
      <c r="N109" s="13">
        <f t="shared" si="94"/>
        <v>11.693824999999999</v>
      </c>
      <c r="O109" s="13">
        <f t="shared" si="94"/>
        <v>44</v>
      </c>
      <c r="P109" s="13">
        <f t="shared" si="94"/>
        <v>11.32403131388458</v>
      </c>
      <c r="W109" s="257"/>
      <c r="X109" s="2"/>
      <c r="Y109" s="2"/>
      <c r="Z109" s="2"/>
      <c r="AA109" s="2"/>
      <c r="AB109" s="2"/>
      <c r="AC109" s="2"/>
      <c r="AD109" s="2"/>
      <c r="AE109" s="2"/>
      <c r="AF109" s="2"/>
      <c r="AG109" s="2"/>
      <c r="AH109" s="2"/>
      <c r="AI109" s="2"/>
      <c r="AJ109" s="2"/>
      <c r="AK109" s="2"/>
      <c r="AL109" s="2"/>
      <c r="AO109" s="85"/>
      <c r="AP109" s="85"/>
      <c r="AQ109" s="85">
        <v>174.82676000000001</v>
      </c>
      <c r="AR109" s="85">
        <v>178.88220000000001</v>
      </c>
      <c r="AS109" s="13">
        <f t="shared" si="83"/>
        <v>4.0554400000000044</v>
      </c>
      <c r="AT109" s="13">
        <f t="shared" si="84"/>
        <v>6.6678499999999872</v>
      </c>
      <c r="AU109" s="13">
        <f t="shared" si="85"/>
        <v>0.37818990253924006</v>
      </c>
      <c r="AV109" s="13">
        <f t="shared" si="86"/>
        <v>0.62181009746075999</v>
      </c>
      <c r="AW109" s="13">
        <f t="shared" si="87"/>
        <v>0.24658236837433151</v>
      </c>
      <c r="AX109" s="13">
        <f t="shared" si="88"/>
        <v>9.3254961863383418E-2</v>
      </c>
      <c r="AY109" s="13">
        <f t="shared" si="89"/>
        <v>10.723289999999992</v>
      </c>
      <c r="AZ109" s="85">
        <v>10</v>
      </c>
      <c r="BA109" s="85">
        <f t="shared" si="90"/>
        <v>2.4658236837433152</v>
      </c>
      <c r="BB109" s="85"/>
      <c r="BC109" s="85"/>
      <c r="BD109" s="85"/>
    </row>
    <row r="110" spans="4:56" x14ac:dyDescent="0.35">
      <c r="E110" s="104"/>
      <c r="F110" s="13"/>
      <c r="G110" s="49" t="s">
        <v>94</v>
      </c>
      <c r="H110" s="2">
        <f>_xlfn.STDEV.S(H77,H79,H81,H83,H85,H87)</f>
        <v>0.60793730490624209</v>
      </c>
      <c r="I110" s="2">
        <f t="shared" ref="I110:P110" si="95">_xlfn.STDEV.S(I77,I79,I81,I83,I85,I87)</f>
        <v>1.1375036975353747</v>
      </c>
      <c r="J110" s="2">
        <f t="shared" si="95"/>
        <v>6.2321403805785242E-2</v>
      </c>
      <c r="K110" s="2">
        <f t="shared" si="95"/>
        <v>6.2321403805785013E-2</v>
      </c>
      <c r="L110" s="2">
        <f t="shared" si="95"/>
        <v>4.4159552959547738E-2</v>
      </c>
      <c r="M110" s="2">
        <f t="shared" si="95"/>
        <v>5.4711709052068401E-3</v>
      </c>
      <c r="N110" s="2">
        <f t="shared" si="95"/>
        <v>0.8142471662769224</v>
      </c>
      <c r="O110" s="2">
        <f t="shared" si="95"/>
        <v>7.3212020870892509</v>
      </c>
      <c r="P110" s="2">
        <f t="shared" si="95"/>
        <v>0.96786033104416858</v>
      </c>
      <c r="W110" s="257"/>
      <c r="X110" s="2"/>
      <c r="Y110" s="2"/>
      <c r="Z110" s="2"/>
      <c r="AA110" s="2"/>
      <c r="AB110" s="2"/>
      <c r="AC110" s="2"/>
      <c r="AD110" s="2"/>
      <c r="AE110" s="2"/>
      <c r="AF110" s="2"/>
      <c r="AG110" s="2"/>
      <c r="AH110" s="2"/>
      <c r="AI110" s="2"/>
      <c r="AJ110" s="2"/>
      <c r="AK110" s="2"/>
      <c r="AL110" s="2"/>
      <c r="AO110" s="85"/>
      <c r="AP110" s="144" t="s">
        <v>235</v>
      </c>
      <c r="AQ110" s="144">
        <v>185.55005</v>
      </c>
      <c r="AR110" s="144">
        <v>188.62925999999999</v>
      </c>
      <c r="AS110" s="91">
        <f t="shared" si="83"/>
        <v>3.0792099999999891</v>
      </c>
      <c r="AT110" s="91">
        <f t="shared" si="84"/>
        <v>14.209160000000026</v>
      </c>
      <c r="AU110" s="91">
        <f t="shared" si="85"/>
        <v>0.17810875172153226</v>
      </c>
      <c r="AV110" s="91">
        <f t="shared" si="86"/>
        <v>0.82189124827846771</v>
      </c>
      <c r="AW110" s="91">
        <f t="shared" si="87"/>
        <v>0.32475862315334242</v>
      </c>
      <c r="AX110" s="91">
        <f t="shared" si="88"/>
        <v>5.7842352980645322E-2</v>
      </c>
      <c r="AY110" s="91">
        <f t="shared" si="89"/>
        <v>17.288370000000015</v>
      </c>
      <c r="AZ110" s="144">
        <v>11</v>
      </c>
      <c r="BA110" s="144">
        <f t="shared" si="90"/>
        <v>3.5723448546867669</v>
      </c>
      <c r="BB110" s="85"/>
      <c r="BC110" s="85"/>
      <c r="BD110" s="85"/>
    </row>
    <row r="111" spans="4:56" x14ac:dyDescent="0.35">
      <c r="E111" s="104"/>
      <c r="F111" s="13"/>
      <c r="G111" s="49" t="s">
        <v>95</v>
      </c>
      <c r="H111" s="2">
        <f>H110/(SQRT(COUNT(H77,H79,H81,H83,H85,H87)))</f>
        <v>0.24818936543718159</v>
      </c>
      <c r="I111" s="2">
        <f t="shared" ref="I111:P111" si="96">I110/(SQRT(COUNT(I77,I79,I81,I83,I85,I87)))</f>
        <v>0.46438393991513988</v>
      </c>
      <c r="J111" s="2">
        <f t="shared" si="96"/>
        <v>2.5442606563019915E-2</v>
      </c>
      <c r="K111" s="2">
        <f t="shared" si="96"/>
        <v>2.5442606563019821E-2</v>
      </c>
      <c r="L111" s="2">
        <f t="shared" si="96"/>
        <v>1.8028062003383787E-2</v>
      </c>
      <c r="M111" s="2">
        <f t="shared" si="96"/>
        <v>2.2335961688863186E-3</v>
      </c>
      <c r="N111" s="2">
        <f t="shared" si="96"/>
        <v>0.3324150136475984</v>
      </c>
      <c r="O111" s="2">
        <f t="shared" si="96"/>
        <v>2.9888682361946528</v>
      </c>
      <c r="P111" s="2">
        <f t="shared" si="96"/>
        <v>0.39512732555657037</v>
      </c>
      <c r="W111" s="257"/>
      <c r="X111" s="2"/>
      <c r="Y111" s="2"/>
      <c r="Z111" s="2"/>
      <c r="AA111" s="2"/>
      <c r="AB111" s="2"/>
      <c r="AC111" s="2"/>
      <c r="AD111" s="2"/>
      <c r="AE111" s="2"/>
      <c r="AF111" s="2"/>
      <c r="AG111" s="2"/>
      <c r="AH111" s="2"/>
      <c r="AI111" s="2"/>
      <c r="AJ111" s="2"/>
      <c r="AK111" s="2"/>
      <c r="AL111" s="2"/>
      <c r="AO111" s="85"/>
      <c r="AP111" s="85"/>
      <c r="AQ111" s="85">
        <v>202.83842000000001</v>
      </c>
      <c r="AR111" s="85">
        <v>206.88177999999999</v>
      </c>
      <c r="AS111" s="13">
        <f t="shared" si="83"/>
        <v>4.0433599999999785</v>
      </c>
      <c r="AT111" s="13">
        <f>AQ112-AR111</f>
        <v>4.9336800000000096</v>
      </c>
      <c r="AU111" s="13">
        <f t="shared" si="85"/>
        <v>0.45041127142131304</v>
      </c>
      <c r="AV111" s="13">
        <f t="shared" si="86"/>
        <v>0.54958872857868701</v>
      </c>
      <c r="AW111" s="13">
        <f t="shared" si="87"/>
        <v>0.24731906137469958</v>
      </c>
      <c r="AX111" s="13">
        <f t="shared" si="88"/>
        <v>0.11139529288050419</v>
      </c>
      <c r="AY111" s="13">
        <f t="shared" si="89"/>
        <v>8.9770399999999881</v>
      </c>
      <c r="AZ111" s="85">
        <v>15</v>
      </c>
      <c r="BA111" s="85">
        <f t="shared" si="90"/>
        <v>3.7097859206204937</v>
      </c>
      <c r="BB111" s="85"/>
      <c r="BC111" s="85"/>
      <c r="BD111" s="85"/>
    </row>
    <row r="112" spans="4:56" x14ac:dyDescent="0.35">
      <c r="E112" s="104"/>
      <c r="F112" s="13"/>
      <c r="G112" s="49"/>
      <c r="H112" s="2"/>
      <c r="I112" s="2"/>
      <c r="J112" s="2"/>
      <c r="K112" s="2"/>
      <c r="L112" s="2"/>
      <c r="M112" s="2"/>
      <c r="N112" s="2"/>
      <c r="O112" s="2"/>
      <c r="P112" s="2"/>
      <c r="W112" s="257"/>
      <c r="X112" s="2"/>
      <c r="Y112" s="2"/>
      <c r="Z112" s="2"/>
      <c r="AA112" s="2"/>
      <c r="AB112" s="2"/>
      <c r="AC112" s="2"/>
      <c r="AD112" s="2"/>
      <c r="AE112" s="2"/>
      <c r="AF112" s="2"/>
      <c r="AG112" s="2"/>
      <c r="AH112" s="2"/>
      <c r="AI112" s="2"/>
      <c r="AJ112" s="2"/>
      <c r="AK112" s="2"/>
      <c r="AL112" s="2"/>
      <c r="AO112" s="85"/>
      <c r="AP112" s="85"/>
      <c r="AQ112" s="85">
        <v>211.81546</v>
      </c>
      <c r="AR112" s="85">
        <v>214.88015999999999</v>
      </c>
      <c r="AS112" s="13">
        <f t="shared" si="83"/>
        <v>3.0646999999999878</v>
      </c>
      <c r="AT112" s="13"/>
      <c r="AU112" s="13"/>
      <c r="AV112" s="13"/>
      <c r="AW112" s="13"/>
      <c r="AX112" s="13"/>
      <c r="AY112" s="13"/>
      <c r="AZ112" s="85"/>
      <c r="BA112" s="85"/>
      <c r="BB112" s="85"/>
      <c r="BC112" s="85"/>
      <c r="BD112" s="85"/>
    </row>
    <row r="113" spans="5:56" x14ac:dyDescent="0.35">
      <c r="E113" s="104"/>
      <c r="F113" s="13"/>
      <c r="G113" s="49"/>
      <c r="H113" s="2"/>
      <c r="I113" s="2"/>
      <c r="J113" s="2"/>
      <c r="K113" s="2"/>
      <c r="L113" s="2"/>
      <c r="M113" s="2"/>
      <c r="N113" s="2"/>
      <c r="O113" s="2"/>
      <c r="P113" s="2"/>
      <c r="W113" s="257"/>
      <c r="X113" s="2"/>
      <c r="Y113" s="2"/>
      <c r="Z113" s="2"/>
      <c r="AA113" s="2"/>
      <c r="AB113" s="2"/>
      <c r="AC113" s="2"/>
      <c r="AD113" s="2"/>
      <c r="AE113" s="2"/>
      <c r="AF113" s="2"/>
      <c r="AG113" s="2"/>
      <c r="AH113" s="2"/>
      <c r="AI113" s="2"/>
      <c r="AJ113" s="2"/>
      <c r="AK113" s="2"/>
      <c r="AL113" s="2"/>
      <c r="AO113" s="85"/>
      <c r="AP113" s="85"/>
      <c r="AQ113" s="85"/>
      <c r="AR113" s="85"/>
      <c r="AS113" s="13"/>
      <c r="AT113" s="13"/>
      <c r="AU113" s="13"/>
      <c r="AV113" s="13"/>
      <c r="AW113" s="13"/>
      <c r="AX113" s="13"/>
      <c r="AY113" s="13"/>
      <c r="AZ113" s="85"/>
      <c r="BA113" s="85"/>
      <c r="BB113" s="85"/>
      <c r="BC113" s="85"/>
      <c r="BD113" s="85"/>
    </row>
    <row r="114" spans="5:56" ht="16" thickBot="1" x14ac:dyDescent="0.4">
      <c r="E114" s="104" t="s">
        <v>82</v>
      </c>
      <c r="F114" s="13"/>
      <c r="G114" s="13"/>
      <c r="H114" s="9" t="s">
        <v>3</v>
      </c>
      <c r="I114" s="9" t="s">
        <v>4</v>
      </c>
      <c r="J114" s="9" t="s">
        <v>5</v>
      </c>
      <c r="K114" s="9" t="s">
        <v>6</v>
      </c>
      <c r="L114" s="9" t="s">
        <v>7</v>
      </c>
      <c r="M114" s="9" t="s">
        <v>8</v>
      </c>
      <c r="N114" s="9" t="s">
        <v>9</v>
      </c>
      <c r="O114" s="9" t="s">
        <v>10</v>
      </c>
      <c r="P114" s="44" t="s">
        <v>139</v>
      </c>
      <c r="W114" s="191"/>
      <c r="X114" s="2"/>
      <c r="Y114" s="2"/>
      <c r="Z114" s="2"/>
      <c r="AA114" s="2"/>
      <c r="AB114" s="2"/>
      <c r="AC114" s="2"/>
      <c r="AD114" s="2"/>
      <c r="AE114" s="2"/>
      <c r="AF114" s="2"/>
      <c r="AG114" s="2"/>
      <c r="AH114" s="2"/>
      <c r="AI114" s="2"/>
      <c r="AJ114" s="2"/>
      <c r="AK114" s="2"/>
      <c r="AL114" s="2"/>
      <c r="AO114" s="85"/>
      <c r="AP114" s="85"/>
      <c r="AQ114" s="85"/>
      <c r="AR114" s="85"/>
      <c r="AS114" s="13"/>
      <c r="AT114" s="13"/>
      <c r="AU114" s="13"/>
      <c r="AV114" s="13"/>
      <c r="AW114" s="13"/>
      <c r="AX114" s="13"/>
      <c r="AY114" s="13"/>
      <c r="AZ114" s="85"/>
      <c r="BA114" s="85"/>
      <c r="BB114" s="85"/>
      <c r="BC114" s="85"/>
      <c r="BD114" s="85"/>
    </row>
    <row r="115" spans="5:56" x14ac:dyDescent="0.35">
      <c r="E115" s="104"/>
      <c r="F115" s="13"/>
      <c r="G115" s="49" t="s">
        <v>77</v>
      </c>
      <c r="H115" s="13">
        <f>AVERAGE(H78,H80,H82,H84,H86,H88)</f>
        <v>5.010233333333332</v>
      </c>
      <c r="I115" s="13">
        <f t="shared" ref="I115:P115" si="97">AVERAGE(I78,I80,I82,I84,I86,I88)</f>
        <v>4.4418233333333346</v>
      </c>
      <c r="J115" s="13">
        <f t="shared" si="97"/>
        <v>0.52809218705716565</v>
      </c>
      <c r="K115" s="13">
        <f t="shared" si="97"/>
        <v>0.47190781294283429</v>
      </c>
      <c r="L115" s="13">
        <f t="shared" si="97"/>
        <v>0.20466767985518816</v>
      </c>
      <c r="M115" s="13">
        <f t="shared" si="97"/>
        <v>0.10599808100081003</v>
      </c>
      <c r="N115" s="13">
        <f t="shared" si="97"/>
        <v>9.4520566666666657</v>
      </c>
      <c r="O115" s="13">
        <f t="shared" si="97"/>
        <v>64</v>
      </c>
      <c r="P115" s="13">
        <f t="shared" si="97"/>
        <v>12.784536304537317</v>
      </c>
      <c r="W115" s="191"/>
      <c r="X115" s="2"/>
      <c r="Y115" s="2"/>
      <c r="Z115" s="2"/>
      <c r="AA115" s="2"/>
      <c r="AB115" s="2"/>
      <c r="AC115" s="2"/>
      <c r="AD115" s="2"/>
      <c r="AE115" s="2"/>
      <c r="AF115" s="2"/>
      <c r="AG115" s="2"/>
      <c r="AH115" s="2"/>
      <c r="AI115" s="2"/>
      <c r="AJ115" s="2"/>
      <c r="AK115" s="2"/>
      <c r="AL115" s="2"/>
      <c r="AO115" s="85"/>
      <c r="AP115" s="85"/>
      <c r="AQ115" s="85"/>
      <c r="AR115" s="85"/>
      <c r="AS115" s="13"/>
      <c r="AT115" s="13"/>
      <c r="AU115" s="13"/>
      <c r="AV115" s="13"/>
      <c r="AW115" s="13"/>
      <c r="AX115" s="13"/>
      <c r="AY115" s="13"/>
      <c r="AZ115" s="85"/>
      <c r="BA115" s="85"/>
      <c r="BB115" s="85"/>
      <c r="BC115" s="85"/>
      <c r="BD115" s="85"/>
    </row>
    <row r="116" spans="5:56" ht="16" thickBot="1" x14ac:dyDescent="0.4">
      <c r="E116" s="104"/>
      <c r="F116" s="13"/>
      <c r="G116" s="49" t="s">
        <v>94</v>
      </c>
      <c r="H116" s="2">
        <f>_xlfn.STDEV.S(H78,H80,H82,H84,H86,H88)</f>
        <v>0.79275795288768192</v>
      </c>
      <c r="I116" s="2">
        <f t="shared" ref="I116:P116" si="98">_xlfn.STDEV.S(I78,I80,I82,I84,I86,I88)</f>
        <v>0.44691340479635006</v>
      </c>
      <c r="J116" s="2">
        <f t="shared" si="98"/>
        <v>6.4811969412954404E-2</v>
      </c>
      <c r="K116" s="2">
        <f t="shared" si="98"/>
        <v>6.4811969412954404E-2</v>
      </c>
      <c r="L116" s="2">
        <f t="shared" si="98"/>
        <v>3.8845585301970367E-2</v>
      </c>
      <c r="M116" s="2">
        <f t="shared" si="98"/>
        <v>5.0678601405134424E-3</v>
      </c>
      <c r="N116" s="2">
        <f t="shared" si="98"/>
        <v>0.4499281656294345</v>
      </c>
      <c r="O116" s="2">
        <f t="shared" si="98"/>
        <v>9.7775252492642526</v>
      </c>
      <c r="P116" s="2">
        <f t="shared" si="98"/>
        <v>0.22664391031522346</v>
      </c>
      <c r="W116" s="191"/>
      <c r="X116" s="2"/>
      <c r="Y116" s="2"/>
      <c r="Z116" s="2"/>
      <c r="AA116" s="2"/>
      <c r="AB116" s="2"/>
      <c r="AC116" s="2"/>
      <c r="AD116" s="2"/>
      <c r="AE116" s="2"/>
      <c r="AF116" s="2"/>
      <c r="AG116" s="2"/>
      <c r="AH116" s="2"/>
      <c r="AI116" s="2"/>
      <c r="AJ116" s="2"/>
      <c r="AK116" s="2"/>
      <c r="AL116" s="2"/>
      <c r="AO116" s="85"/>
      <c r="AP116" s="104" t="s">
        <v>198</v>
      </c>
      <c r="AR116" s="13"/>
      <c r="AS116" s="9" t="s">
        <v>3</v>
      </c>
      <c r="AT116" s="9" t="s">
        <v>4</v>
      </c>
      <c r="AU116" s="9" t="s">
        <v>5</v>
      </c>
      <c r="AV116" s="9" t="s">
        <v>6</v>
      </c>
      <c r="AW116" s="9" t="s">
        <v>7</v>
      </c>
      <c r="AX116" s="9" t="s">
        <v>8</v>
      </c>
      <c r="AY116" s="9" t="s">
        <v>9</v>
      </c>
      <c r="AZ116" s="9" t="s">
        <v>10</v>
      </c>
      <c r="BA116" s="44" t="s">
        <v>139</v>
      </c>
      <c r="BB116" s="85"/>
      <c r="BC116" s="85"/>
      <c r="BD116" s="85"/>
    </row>
    <row r="117" spans="5:56" x14ac:dyDescent="0.35">
      <c r="E117" s="104"/>
      <c r="F117" s="13"/>
      <c r="G117" s="49" t="s">
        <v>95</v>
      </c>
      <c r="H117" s="2">
        <f>H116/(SQRT(COUNT(H78,H80,H82,H84,H86,H88)))</f>
        <v>0.32364207901802783</v>
      </c>
      <c r="I117" s="2">
        <f t="shared" ref="I117:P117" si="99">I116/(SQRT(COUNT(I78,I80,I82,I84,I86,I88)))</f>
        <v>0.18245163349349433</v>
      </c>
      <c r="J117" s="2">
        <f t="shared" si="99"/>
        <v>2.6459375714434817E-2</v>
      </c>
      <c r="K117" s="2">
        <f t="shared" si="99"/>
        <v>2.6459375714434817E-2</v>
      </c>
      <c r="L117" s="2">
        <f t="shared" si="99"/>
        <v>1.5858643791597567E-2</v>
      </c>
      <c r="M117" s="2">
        <f t="shared" si="99"/>
        <v>2.0689452386745658E-3</v>
      </c>
      <c r="N117" s="2">
        <f t="shared" si="99"/>
        <v>0.18368240444975845</v>
      </c>
      <c r="O117" s="2">
        <f t="shared" si="99"/>
        <v>3.9916579679793878</v>
      </c>
      <c r="P117" s="2">
        <f t="shared" si="99"/>
        <v>9.2526988930235074E-2</v>
      </c>
      <c r="W117" s="191"/>
      <c r="X117" s="2"/>
      <c r="Y117" s="2"/>
      <c r="Z117" s="2"/>
      <c r="AA117" s="2"/>
      <c r="AB117" s="2"/>
      <c r="AC117" s="2"/>
      <c r="AD117" s="2"/>
      <c r="AE117" s="2"/>
      <c r="AF117" s="2"/>
      <c r="AG117" s="2"/>
      <c r="AH117" s="2"/>
      <c r="AI117" s="2"/>
      <c r="AJ117" s="2"/>
      <c r="AK117" s="2"/>
      <c r="AL117" s="2"/>
      <c r="AO117" s="85"/>
      <c r="AR117" s="49" t="s">
        <v>77</v>
      </c>
      <c r="AS117" s="13">
        <f t="shared" ref="AS117:BA117" si="100">AVERAGE(AS99,AS101,AS104,AS106,AS110)</f>
        <v>3.7021579999999945</v>
      </c>
      <c r="AT117" s="13">
        <f t="shared" si="100"/>
        <v>12.90117800000001</v>
      </c>
      <c r="AU117" s="13">
        <f t="shared" si="100"/>
        <v>0.22347584339826559</v>
      </c>
      <c r="AV117" s="13">
        <f t="shared" si="100"/>
        <v>0.77652415660173424</v>
      </c>
      <c r="AW117" s="13">
        <f t="shared" si="100"/>
        <v>0.27506706466904007</v>
      </c>
      <c r="AX117" s="13">
        <f t="shared" si="100"/>
        <v>6.029776358334836E-2</v>
      </c>
      <c r="AY117" s="13">
        <f t="shared" si="100"/>
        <v>16.603336000000006</v>
      </c>
      <c r="AZ117" s="13">
        <f t="shared" si="100"/>
        <v>15.2</v>
      </c>
      <c r="BA117" s="13">
        <f t="shared" si="100"/>
        <v>4.0952514333418124</v>
      </c>
      <c r="BB117" s="85"/>
      <c r="BC117" s="85"/>
      <c r="BD117" s="85"/>
    </row>
    <row r="118" spans="5:56" x14ac:dyDescent="0.35">
      <c r="E118" s="104"/>
      <c r="F118" s="13"/>
      <c r="G118" s="49"/>
      <c r="H118" s="2"/>
      <c r="I118" s="2"/>
      <c r="J118" s="2"/>
      <c r="K118" s="2"/>
      <c r="L118" s="2"/>
      <c r="M118" s="2"/>
      <c r="N118" s="2"/>
      <c r="O118" s="2"/>
      <c r="P118" s="2"/>
      <c r="W118" s="191"/>
      <c r="X118" s="2"/>
      <c r="Y118" s="2"/>
      <c r="Z118" s="2"/>
      <c r="AA118" s="2"/>
      <c r="AB118" s="2"/>
      <c r="AC118" s="2"/>
      <c r="AD118" s="2"/>
      <c r="AE118" s="2"/>
      <c r="AF118" s="2"/>
      <c r="AG118" s="2"/>
      <c r="AH118" s="2"/>
      <c r="AI118" s="2"/>
      <c r="AJ118" s="2"/>
      <c r="AK118" s="2"/>
      <c r="AL118" s="2"/>
      <c r="AO118" s="85"/>
      <c r="AR118" s="49" t="s">
        <v>94</v>
      </c>
      <c r="AS118" s="2">
        <f t="shared" ref="AS118:BA118" si="101">_xlfn.STDEV.S(AS99,AS101,AS104,AS106,AS110)</f>
        <v>0.54078160995914093</v>
      </c>
      <c r="AT118" s="2">
        <f t="shared" si="101"/>
        <v>0.92747203969716419</v>
      </c>
      <c r="AU118" s="2">
        <f t="shared" si="101"/>
        <v>3.5544050131528573E-2</v>
      </c>
      <c r="AV118" s="2">
        <f t="shared" si="101"/>
        <v>3.5544050131528379E-2</v>
      </c>
      <c r="AW118" s="2">
        <f t="shared" si="101"/>
        <v>4.2407551530188402E-2</v>
      </c>
      <c r="AX118" s="2">
        <f t="shared" si="101"/>
        <v>2.2644601950384089E-3</v>
      </c>
      <c r="AY118" s="2">
        <f t="shared" si="101"/>
        <v>0.63152888982216149</v>
      </c>
      <c r="AZ118" s="2">
        <f t="shared" si="101"/>
        <v>3.0331501776206182</v>
      </c>
      <c r="BA118" s="2">
        <f t="shared" si="101"/>
        <v>0.47036202096619373</v>
      </c>
      <c r="BB118" s="85"/>
      <c r="BC118" s="85"/>
      <c r="BD118" s="85"/>
    </row>
    <row r="119" spans="5:56" ht="15.5" x14ac:dyDescent="0.35">
      <c r="E119" s="104"/>
      <c r="F119" s="13"/>
      <c r="G119" s="49"/>
      <c r="H119" s="2"/>
      <c r="I119" s="2"/>
      <c r="J119" s="2"/>
      <c r="K119" s="2"/>
      <c r="L119" s="2"/>
      <c r="M119" s="2"/>
      <c r="N119" s="2"/>
      <c r="O119" s="2"/>
      <c r="P119" s="2"/>
      <c r="W119" s="191"/>
      <c r="X119" s="2"/>
      <c r="Y119" s="13"/>
      <c r="Z119" s="13"/>
      <c r="AA119" s="5"/>
      <c r="AB119" s="5"/>
      <c r="AC119" s="5"/>
      <c r="AD119" s="5"/>
      <c r="AE119" s="5"/>
      <c r="AF119" s="5"/>
      <c r="AG119" s="5"/>
      <c r="AH119" s="5"/>
      <c r="AI119" s="14"/>
      <c r="AJ119" s="2"/>
      <c r="AK119" s="2"/>
      <c r="AL119" s="2"/>
      <c r="AO119" s="85"/>
      <c r="AR119" s="49" t="s">
        <v>95</v>
      </c>
      <c r="AS119" s="2">
        <f t="shared" ref="AS119:BA119" si="102">AS118/(SQRT(COUNT(AS99,AS101,AS104,AS106,AS110)))</f>
        <v>0.24184488817008326</v>
      </c>
      <c r="AT119" s="2">
        <f t="shared" si="102"/>
        <v>0.41477810559864847</v>
      </c>
      <c r="AU119" s="2">
        <f t="shared" si="102"/>
        <v>1.5895782457951646E-2</v>
      </c>
      <c r="AV119" s="2">
        <f t="shared" si="102"/>
        <v>1.5895782457951559E-2</v>
      </c>
      <c r="AW119" s="2">
        <f t="shared" si="102"/>
        <v>1.8965233596165296E-2</v>
      </c>
      <c r="AX119" s="2">
        <f t="shared" si="102"/>
        <v>1.0126973856896628E-3</v>
      </c>
      <c r="AY119" s="2">
        <f t="shared" si="102"/>
        <v>0.28242830547946562</v>
      </c>
      <c r="AZ119" s="2">
        <f t="shared" si="102"/>
        <v>1.3564659966250527</v>
      </c>
      <c r="BA119" s="2">
        <f t="shared" si="102"/>
        <v>0.2103522905829181</v>
      </c>
      <c r="BB119" s="85"/>
      <c r="BC119" s="85"/>
      <c r="BD119" s="85"/>
    </row>
    <row r="120" spans="5:56" x14ac:dyDescent="0.35">
      <c r="E120" s="104"/>
      <c r="W120" s="191"/>
      <c r="X120" s="3"/>
      <c r="Y120" s="13"/>
      <c r="Z120" s="49"/>
      <c r="AA120" s="13"/>
      <c r="AB120" s="13"/>
      <c r="AC120" s="13"/>
      <c r="AD120" s="13"/>
      <c r="AE120" s="13"/>
      <c r="AF120" s="13"/>
      <c r="AG120" s="13"/>
      <c r="AH120" s="13"/>
      <c r="AI120" s="13"/>
      <c r="AJ120" s="2"/>
      <c r="AK120" s="2"/>
      <c r="AL120" s="2"/>
      <c r="AO120" s="85"/>
      <c r="BB120" s="85"/>
      <c r="BC120" s="85"/>
      <c r="BD120" s="85"/>
    </row>
    <row r="121" spans="5:56" x14ac:dyDescent="0.35">
      <c r="E121" s="104"/>
      <c r="W121" s="191"/>
      <c r="X121" s="3"/>
      <c r="Y121" s="13"/>
      <c r="Z121" s="49"/>
      <c r="AA121" s="2"/>
      <c r="AB121" s="2"/>
      <c r="AC121" s="2"/>
      <c r="AD121" s="2"/>
      <c r="AE121" s="2"/>
      <c r="AF121" s="2"/>
      <c r="AG121" s="2"/>
      <c r="AH121" s="2"/>
      <c r="AI121" s="2"/>
      <c r="AJ121" s="2"/>
      <c r="AK121" s="2"/>
      <c r="AL121" s="2"/>
      <c r="AO121" s="85"/>
      <c r="BB121" s="85"/>
      <c r="BC121" s="85"/>
      <c r="BD121" s="85"/>
    </row>
    <row r="122" spans="5:56" ht="16" thickBot="1" x14ac:dyDescent="0.4">
      <c r="E122" s="104"/>
      <c r="G122" s="13"/>
      <c r="H122" s="9" t="s">
        <v>3</v>
      </c>
      <c r="I122" s="9" t="s">
        <v>4</v>
      </c>
      <c r="J122" s="9" t="s">
        <v>5</v>
      </c>
      <c r="K122" s="9" t="s">
        <v>6</v>
      </c>
      <c r="L122" s="9" t="s">
        <v>7</v>
      </c>
      <c r="M122" s="9" t="s">
        <v>8</v>
      </c>
      <c r="N122" s="9" t="s">
        <v>9</v>
      </c>
      <c r="O122" s="9" t="s">
        <v>10</v>
      </c>
      <c r="P122" s="44" t="s">
        <v>139</v>
      </c>
      <c r="W122" s="191"/>
      <c r="X122" s="3"/>
      <c r="Y122" s="13"/>
      <c r="Z122" s="49"/>
      <c r="AA122" s="2"/>
      <c r="AB122" s="2"/>
      <c r="AC122" s="2"/>
      <c r="AD122" s="2"/>
      <c r="AE122" s="2"/>
      <c r="AF122" s="2"/>
      <c r="AG122" s="2"/>
      <c r="AH122" s="2"/>
      <c r="AI122" s="2"/>
      <c r="AJ122" s="2"/>
      <c r="AK122" s="2"/>
      <c r="AL122" s="2"/>
    </row>
    <row r="123" spans="5:56" ht="16" thickBot="1" x14ac:dyDescent="0.4">
      <c r="E123" s="104" t="s">
        <v>410</v>
      </c>
      <c r="G123" s="49" t="s">
        <v>77</v>
      </c>
      <c r="H123" s="13">
        <f t="shared" ref="H123:P123" si="103">AVERAGE(H89:H98)</f>
        <v>3.3242120000000015</v>
      </c>
      <c r="I123" s="13">
        <f t="shared" si="103"/>
        <v>7.6128839999999993</v>
      </c>
      <c r="J123" s="13">
        <f t="shared" si="103"/>
        <v>0.31548239111751919</v>
      </c>
      <c r="K123" s="13">
        <f t="shared" si="103"/>
        <v>0.6845176088824807</v>
      </c>
      <c r="L123" s="13">
        <f t="shared" si="103"/>
        <v>0.31270911920488287</v>
      </c>
      <c r="M123" s="13">
        <f t="shared" si="103"/>
        <v>9.3918507683748403E-2</v>
      </c>
      <c r="N123" s="13">
        <f t="shared" si="103"/>
        <v>10.937096</v>
      </c>
      <c r="O123" s="13">
        <f t="shared" si="103"/>
        <v>35</v>
      </c>
      <c r="P123" s="13">
        <f t="shared" si="103"/>
        <v>10.434228312978695</v>
      </c>
      <c r="W123" s="191"/>
      <c r="X123" s="3"/>
      <c r="Y123" s="2"/>
      <c r="Z123" s="2"/>
      <c r="AA123" s="2"/>
      <c r="AB123" s="2"/>
      <c r="AC123" s="2"/>
      <c r="AD123" s="2"/>
      <c r="AE123" s="2"/>
      <c r="AF123" s="2"/>
      <c r="AG123" s="2"/>
      <c r="AH123" s="2"/>
      <c r="AI123" s="2"/>
      <c r="AJ123" s="2"/>
      <c r="AK123" s="2"/>
      <c r="AL123" s="2"/>
      <c r="AP123" s="104" t="s">
        <v>619</v>
      </c>
      <c r="AR123" s="13"/>
      <c r="AS123" s="9" t="s">
        <v>3</v>
      </c>
      <c r="AT123" s="9" t="s">
        <v>4</v>
      </c>
      <c r="AU123" s="9" t="s">
        <v>5</v>
      </c>
      <c r="AV123" s="9" t="s">
        <v>6</v>
      </c>
      <c r="AW123" s="9" t="s">
        <v>7</v>
      </c>
      <c r="AX123" s="9" t="s">
        <v>8</v>
      </c>
      <c r="AY123" s="9" t="s">
        <v>9</v>
      </c>
      <c r="AZ123" s="9" t="s">
        <v>10</v>
      </c>
      <c r="BA123" s="44" t="s">
        <v>139</v>
      </c>
    </row>
    <row r="124" spans="5:56" x14ac:dyDescent="0.35">
      <c r="G124" s="49" t="s">
        <v>94</v>
      </c>
      <c r="H124" s="2">
        <f t="shared" ref="H124:P124" si="104">_xlfn.STDEV.S(H89:H98)</f>
        <v>0.63849232768034814</v>
      </c>
      <c r="I124" s="2">
        <f t="shared" si="104"/>
        <v>2.2529787170085163</v>
      </c>
      <c r="J124" s="2">
        <f t="shared" si="104"/>
        <v>9.4068567424105159E-2</v>
      </c>
      <c r="K124" s="2">
        <f t="shared" si="104"/>
        <v>9.4068567424104757E-2</v>
      </c>
      <c r="L124" s="2">
        <f t="shared" si="104"/>
        <v>7.0215070993641021E-2</v>
      </c>
      <c r="M124" s="2">
        <f t="shared" si="104"/>
        <v>1.558982368792685E-2</v>
      </c>
      <c r="N124" s="2">
        <f t="shared" si="104"/>
        <v>1.9511804481743269</v>
      </c>
      <c r="O124" s="2">
        <f t="shared" si="104"/>
        <v>8.7432513657360005</v>
      </c>
      <c r="P124" s="2">
        <f t="shared" si="104"/>
        <v>0.87393902066840312</v>
      </c>
      <c r="W124" s="2"/>
      <c r="X124" s="3"/>
      <c r="Y124" s="2"/>
      <c r="Z124" s="2"/>
      <c r="AA124" s="2"/>
      <c r="AB124" s="2"/>
      <c r="AC124" s="2"/>
      <c r="AD124" s="2"/>
      <c r="AE124" s="2"/>
      <c r="AF124" s="2"/>
      <c r="AG124" s="2"/>
      <c r="AH124" s="2"/>
      <c r="AI124" s="2"/>
      <c r="AJ124" s="2"/>
      <c r="AK124" s="2"/>
      <c r="AL124" s="2"/>
      <c r="AR124" s="49" t="s">
        <v>77</v>
      </c>
      <c r="AS124" s="13">
        <f t="shared" ref="AS124:BA124" si="105">AVERAGE(AS100,AS102,AS105,AS107,AS111)</f>
        <v>4.566585999999992</v>
      </c>
      <c r="AT124" s="13">
        <f t="shared" si="105"/>
        <v>7.0493440000000005</v>
      </c>
      <c r="AU124" s="13">
        <f t="shared" si="105"/>
        <v>0.40222955232537261</v>
      </c>
      <c r="AV124" s="13">
        <f t="shared" si="105"/>
        <v>0.5977704476746275</v>
      </c>
      <c r="AW124" s="13">
        <f t="shared" si="105"/>
        <v>0.22154961948708984</v>
      </c>
      <c r="AX124" s="13">
        <f t="shared" si="105"/>
        <v>8.8756234394458094E-2</v>
      </c>
      <c r="AY124" s="13">
        <f t="shared" si="105"/>
        <v>11.615929999999993</v>
      </c>
      <c r="AZ124" s="13">
        <f t="shared" si="105"/>
        <v>18</v>
      </c>
      <c r="BA124" s="13">
        <f t="shared" si="105"/>
        <v>3.955215026450559</v>
      </c>
    </row>
    <row r="125" spans="5:56" ht="15.5" x14ac:dyDescent="0.35">
      <c r="G125" s="49" t="s">
        <v>95</v>
      </c>
      <c r="H125" s="2">
        <f t="shared" ref="H125:P125" si="106">H124/(SQRT(COUNT(H89:H98)))</f>
        <v>0.20190900240124734</v>
      </c>
      <c r="I125" s="2">
        <f t="shared" si="106"/>
        <v>0.71245442656308478</v>
      </c>
      <c r="J125" s="2">
        <f t="shared" si="106"/>
        <v>2.9747092928929068E-2</v>
      </c>
      <c r="K125" s="2">
        <f t="shared" si="106"/>
        <v>2.974709292892894E-2</v>
      </c>
      <c r="L125" s="2">
        <f t="shared" si="106"/>
        <v>2.2203955041032775E-2</v>
      </c>
      <c r="M125" s="2">
        <f t="shared" si="106"/>
        <v>4.9299351174294887E-3</v>
      </c>
      <c r="N125" s="2">
        <f t="shared" si="106"/>
        <v>0.61701743422190003</v>
      </c>
      <c r="O125" s="2">
        <f t="shared" si="106"/>
        <v>2.7648588471103626</v>
      </c>
      <c r="P125" s="2">
        <f t="shared" si="106"/>
        <v>0.27636378414091228</v>
      </c>
      <c r="W125" s="2"/>
      <c r="X125" s="3"/>
      <c r="Y125" s="2"/>
      <c r="Z125" s="13"/>
      <c r="AA125" s="5"/>
      <c r="AB125" s="5"/>
      <c r="AC125" s="5"/>
      <c r="AD125" s="5"/>
      <c r="AE125" s="5"/>
      <c r="AF125" s="5"/>
      <c r="AG125" s="5"/>
      <c r="AH125" s="5"/>
      <c r="AI125" s="14"/>
      <c r="AJ125" s="2"/>
      <c r="AK125" s="2"/>
      <c r="AL125" s="2"/>
      <c r="AR125" s="49" t="s">
        <v>94</v>
      </c>
      <c r="AS125" s="2">
        <f t="shared" ref="AS125:BA125" si="107">_xlfn.STDEV.S(AS100,AS102,AS105,AS107,AS111)</f>
        <v>0.5601085761082476</v>
      </c>
      <c r="AT125" s="2">
        <f t="shared" si="107"/>
        <v>2.2097558204765497</v>
      </c>
      <c r="AU125" s="2">
        <f t="shared" si="107"/>
        <v>6.7658809097520714E-2</v>
      </c>
      <c r="AV125" s="2">
        <f t="shared" si="107"/>
        <v>6.7658809097521533E-2</v>
      </c>
      <c r="AW125" s="2">
        <f t="shared" si="107"/>
        <v>2.6182991566531855E-2</v>
      </c>
      <c r="AX125" s="2">
        <f t="shared" si="107"/>
        <v>1.7139205928396285E-2</v>
      </c>
      <c r="AY125" s="2">
        <f t="shared" si="107"/>
        <v>2.2907958642030892</v>
      </c>
      <c r="AZ125" s="2">
        <f t="shared" si="107"/>
        <v>1.8708286933869707</v>
      </c>
      <c r="BA125" s="2">
        <f t="shared" si="107"/>
        <v>0.28859588103154898</v>
      </c>
    </row>
    <row r="126" spans="5:56" x14ac:dyDescent="0.35">
      <c r="G126" s="49"/>
      <c r="H126" s="2"/>
      <c r="I126" s="2"/>
      <c r="J126" s="2"/>
      <c r="K126" s="2"/>
      <c r="L126" s="2"/>
      <c r="M126" s="2"/>
      <c r="N126" s="2"/>
      <c r="O126" s="2"/>
      <c r="P126" s="2"/>
      <c r="W126" s="2"/>
      <c r="X126" s="3"/>
      <c r="Y126" s="2"/>
      <c r="Z126" s="49"/>
      <c r="AA126" s="13"/>
      <c r="AB126" s="13"/>
      <c r="AC126" s="13"/>
      <c r="AD126" s="13"/>
      <c r="AE126" s="13"/>
      <c r="AF126" s="13"/>
      <c r="AG126" s="13"/>
      <c r="AH126" s="13"/>
      <c r="AI126" s="13"/>
      <c r="AJ126" s="2"/>
      <c r="AK126" s="2"/>
      <c r="AL126" s="2"/>
      <c r="AR126" s="49" t="s">
        <v>95</v>
      </c>
      <c r="AS126" s="2">
        <f t="shared" ref="AS126:BA126" si="108">AS125/(SQRT(COUNT(AS100,AS102,AS105,AS107,AS111)))</f>
        <v>0.25048817019173125</v>
      </c>
      <c r="AT126" s="2">
        <f t="shared" si="108"/>
        <v>0.98823284565227731</v>
      </c>
      <c r="AU126" s="2">
        <f t="shared" si="108"/>
        <v>3.0257939283747502E-2</v>
      </c>
      <c r="AV126" s="2">
        <f t="shared" si="108"/>
        <v>3.0257939283747867E-2</v>
      </c>
      <c r="AW126" s="2">
        <f t="shared" si="108"/>
        <v>1.1709389799413788E-2</v>
      </c>
      <c r="AX126" s="2">
        <f t="shared" si="108"/>
        <v>7.6648859072522965E-3</v>
      </c>
      <c r="AY126" s="2">
        <f t="shared" si="108"/>
        <v>1.0244750549866968</v>
      </c>
      <c r="AZ126" s="2">
        <f t="shared" si="108"/>
        <v>0.83666002653407545</v>
      </c>
      <c r="BA126" s="2">
        <f t="shared" si="108"/>
        <v>0.12906400160259712</v>
      </c>
    </row>
    <row r="127" spans="5:56" x14ac:dyDescent="0.35">
      <c r="G127" s="49"/>
      <c r="H127" s="2"/>
      <c r="I127" s="2"/>
      <c r="J127" s="2"/>
      <c r="K127" s="2"/>
      <c r="L127" s="2"/>
      <c r="M127" s="2"/>
      <c r="N127" s="2"/>
      <c r="O127" s="2"/>
      <c r="P127" s="2"/>
      <c r="W127" s="2"/>
      <c r="X127" s="2"/>
      <c r="Y127" s="2"/>
      <c r="Z127" s="49"/>
      <c r="AA127" s="2"/>
      <c r="AB127" s="2"/>
      <c r="AC127" s="2"/>
      <c r="AD127" s="2"/>
      <c r="AE127" s="2"/>
      <c r="AF127" s="2"/>
      <c r="AG127" s="2"/>
      <c r="AH127" s="2"/>
      <c r="AI127" s="2"/>
      <c r="AJ127" s="2"/>
      <c r="AK127" s="2"/>
      <c r="AL127" s="2"/>
    </row>
    <row r="128" spans="5:56" ht="16" thickBot="1" x14ac:dyDescent="0.4">
      <c r="E128" s="104" t="s">
        <v>81</v>
      </c>
      <c r="G128" s="13"/>
      <c r="H128" s="9" t="s">
        <v>3</v>
      </c>
      <c r="I128" s="9" t="s">
        <v>4</v>
      </c>
      <c r="J128" s="9" t="s">
        <v>5</v>
      </c>
      <c r="K128" s="9" t="s">
        <v>6</v>
      </c>
      <c r="L128" s="9" t="s">
        <v>7</v>
      </c>
      <c r="M128" s="9" t="s">
        <v>8</v>
      </c>
      <c r="N128" s="9" t="s">
        <v>9</v>
      </c>
      <c r="O128" s="9" t="s">
        <v>10</v>
      </c>
      <c r="P128" s="44" t="s">
        <v>139</v>
      </c>
      <c r="W128" s="2"/>
      <c r="X128" s="2"/>
      <c r="Y128" s="2"/>
      <c r="Z128" s="49"/>
      <c r="AA128" s="2"/>
      <c r="AB128" s="2"/>
      <c r="AC128" s="2"/>
      <c r="AD128" s="2"/>
      <c r="AE128" s="2"/>
      <c r="AF128" s="2"/>
      <c r="AG128" s="2"/>
      <c r="AH128" s="2"/>
      <c r="AI128" s="2"/>
      <c r="AJ128" s="2"/>
      <c r="AK128" s="2"/>
      <c r="AL128" s="2"/>
    </row>
    <row r="129" spans="2:53" x14ac:dyDescent="0.35">
      <c r="E129" s="104"/>
      <c r="G129" s="49" t="s">
        <v>77</v>
      </c>
      <c r="H129" s="13">
        <f>AVERAGE(H89,H91,H93,H96)</f>
        <v>3.159279999999999</v>
      </c>
      <c r="I129" s="13">
        <f t="shared" ref="I129:P129" si="109">AVERAGE(I89,I91,I93,I96)</f>
        <v>9.873637500000001</v>
      </c>
      <c r="J129" s="13">
        <f t="shared" si="109"/>
        <v>0.24411464594695581</v>
      </c>
      <c r="K129" s="13">
        <f t="shared" si="109"/>
        <v>0.75588535405304424</v>
      </c>
      <c r="L129" s="13">
        <f t="shared" si="109"/>
        <v>0.32097298059696722</v>
      </c>
      <c r="M129" s="13">
        <f t="shared" si="109"/>
        <v>7.7090785169674256E-2</v>
      </c>
      <c r="N129" s="13">
        <f t="shared" si="109"/>
        <v>13.0329175</v>
      </c>
      <c r="O129" s="13">
        <f t="shared" si="109"/>
        <v>31.25</v>
      </c>
      <c r="P129" s="13">
        <f t="shared" si="109"/>
        <v>9.9210836098049615</v>
      </c>
      <c r="W129" s="2"/>
      <c r="X129" s="2"/>
      <c r="Y129" s="2"/>
      <c r="Z129" s="2"/>
      <c r="AA129" s="2"/>
      <c r="AB129" s="2"/>
      <c r="AC129" s="2"/>
      <c r="AD129" s="2"/>
      <c r="AE129" s="2"/>
      <c r="AF129" s="2"/>
      <c r="AG129" s="2"/>
      <c r="AH129" s="2"/>
      <c r="AI129" s="2"/>
      <c r="AJ129" s="2"/>
      <c r="AK129" s="2"/>
      <c r="AL129" s="2"/>
    </row>
    <row r="130" spans="2:53" ht="16" thickBot="1" x14ac:dyDescent="0.4">
      <c r="E130" s="104"/>
      <c r="G130" s="49" t="s">
        <v>94</v>
      </c>
      <c r="H130" s="2">
        <f>_xlfn.STDEV.S(H89,H91,H93,H96)</f>
        <v>0.45700169882981639</v>
      </c>
      <c r="I130" s="2">
        <f t="shared" ref="I130:P130" si="110">_xlfn.STDEV.S(I89,I91,I93,I96)</f>
        <v>1.2643708160023059</v>
      </c>
      <c r="J130" s="2">
        <f t="shared" si="110"/>
        <v>4.373509329867098E-2</v>
      </c>
      <c r="K130" s="2">
        <f t="shared" si="110"/>
        <v>4.3735093298671021E-2</v>
      </c>
      <c r="L130" s="2">
        <f t="shared" si="110"/>
        <v>4.1017308486133802E-2</v>
      </c>
      <c r="M130" s="2">
        <f t="shared" si="110"/>
        <v>6.0192034157490661E-3</v>
      </c>
      <c r="N130" s="2">
        <f t="shared" si="110"/>
        <v>1.0471260935014819</v>
      </c>
      <c r="O130" s="2">
        <f t="shared" si="110"/>
        <v>4.0311288741492746</v>
      </c>
      <c r="P130" s="2">
        <f t="shared" si="110"/>
        <v>0.66968315984474003</v>
      </c>
      <c r="W130" s="2"/>
      <c r="X130" s="2"/>
      <c r="Y130" s="2"/>
      <c r="Z130" s="2"/>
      <c r="AA130" s="2"/>
      <c r="AB130" s="2"/>
      <c r="AC130" s="2"/>
      <c r="AD130" s="2"/>
      <c r="AE130" s="2"/>
      <c r="AF130" s="2"/>
      <c r="AG130" s="2"/>
      <c r="AH130" s="2"/>
      <c r="AI130" s="2"/>
      <c r="AJ130" s="2"/>
      <c r="AK130" s="2"/>
      <c r="AL130" s="2"/>
      <c r="AP130" t="s">
        <v>259</v>
      </c>
      <c r="AR130" s="13"/>
      <c r="AS130" s="9" t="s">
        <v>3</v>
      </c>
      <c r="AT130" s="9" t="s">
        <v>4</v>
      </c>
      <c r="AU130" s="9" t="s">
        <v>5</v>
      </c>
      <c r="AV130" s="9" t="s">
        <v>6</v>
      </c>
      <c r="AW130" s="9" t="s">
        <v>7</v>
      </c>
      <c r="AX130" s="9" t="s">
        <v>8</v>
      </c>
      <c r="AY130" s="9" t="s">
        <v>9</v>
      </c>
      <c r="AZ130" s="9" t="s">
        <v>10</v>
      </c>
      <c r="BA130" s="44" t="s">
        <v>139</v>
      </c>
    </row>
    <row r="131" spans="2:53" x14ac:dyDescent="0.35">
      <c r="E131" s="104"/>
      <c r="G131" s="49" t="s">
        <v>95</v>
      </c>
      <c r="H131" s="2">
        <f>H130/(SQRT(COUNT(H89,H91,H93,H96)))</f>
        <v>0.2285008494149082</v>
      </c>
      <c r="I131" s="2">
        <f t="shared" ref="I131:P131" si="111">I130/(SQRT(COUNT(I89,I91,I93,I96)))</f>
        <v>0.63218540800115297</v>
      </c>
      <c r="J131" s="2">
        <f t="shared" si="111"/>
        <v>2.186754664933549E-2</v>
      </c>
      <c r="K131" s="2">
        <f t="shared" si="111"/>
        <v>2.1867546649335511E-2</v>
      </c>
      <c r="L131" s="2">
        <f t="shared" si="111"/>
        <v>2.0508654243066901E-2</v>
      </c>
      <c r="M131" s="2">
        <f t="shared" si="111"/>
        <v>3.0096017078745331E-3</v>
      </c>
      <c r="N131" s="2">
        <f t="shared" si="111"/>
        <v>0.52356304675074095</v>
      </c>
      <c r="O131" s="2">
        <f t="shared" si="111"/>
        <v>2.0155644370746373</v>
      </c>
      <c r="P131" s="2">
        <f t="shared" si="111"/>
        <v>0.33484157992237001</v>
      </c>
      <c r="W131" s="2"/>
      <c r="X131" s="2"/>
      <c r="Y131" s="2"/>
      <c r="Z131" s="2"/>
      <c r="AA131" s="2"/>
      <c r="AB131" s="2"/>
      <c r="AC131" s="2"/>
      <c r="AD131" s="2"/>
      <c r="AE131" s="2"/>
      <c r="AF131" s="2"/>
      <c r="AG131" s="2"/>
      <c r="AH131" s="2"/>
      <c r="AI131" s="2"/>
      <c r="AJ131" s="2"/>
      <c r="AK131" s="2"/>
      <c r="AL131" s="2"/>
      <c r="AR131" s="49" t="s">
        <v>77</v>
      </c>
      <c r="AS131" s="13">
        <f t="shared" ref="AS131:BA131" si="112">AVERAGE(AS96:AS98,AS103,AS108:AS109)</f>
        <v>3.5947866666666695</v>
      </c>
      <c r="AT131" s="13">
        <f t="shared" si="112"/>
        <v>7.0561799999999977</v>
      </c>
      <c r="AU131" s="13">
        <f t="shared" si="112"/>
        <v>0.34043222726307376</v>
      </c>
      <c r="AV131" s="13">
        <f t="shared" si="112"/>
        <v>0.65956777273692613</v>
      </c>
      <c r="AW131" s="13">
        <f t="shared" si="112"/>
        <v>0.29723302209081887</v>
      </c>
      <c r="AX131" s="13">
        <f t="shared" si="112"/>
        <v>9.786374500013538E-2</v>
      </c>
      <c r="AY131" s="13">
        <f t="shared" si="112"/>
        <v>10.650966666666667</v>
      </c>
      <c r="AZ131" s="13">
        <f t="shared" si="112"/>
        <v>14.666666666666666</v>
      </c>
      <c r="BA131" s="13">
        <f t="shared" si="112"/>
        <v>4.0932948524400317</v>
      </c>
    </row>
    <row r="132" spans="2:53" ht="18.5" x14ac:dyDescent="0.45">
      <c r="E132" s="104"/>
      <c r="G132" s="49"/>
      <c r="H132" s="2"/>
      <c r="I132" s="2"/>
      <c r="J132" s="2"/>
      <c r="K132" s="2"/>
      <c r="L132" s="2"/>
      <c r="M132" s="2"/>
      <c r="N132" s="2"/>
      <c r="O132" s="2"/>
      <c r="P132" s="2"/>
      <c r="W132" s="2"/>
      <c r="X132" s="2"/>
      <c r="Y132" s="1"/>
      <c r="Z132" s="3"/>
      <c r="AA132" s="3"/>
      <c r="AB132" s="3"/>
      <c r="AC132" s="3"/>
      <c r="AD132" s="3"/>
      <c r="AE132" s="3"/>
      <c r="AF132" s="3"/>
      <c r="AG132" s="3"/>
      <c r="AH132" s="3"/>
      <c r="AI132" s="2"/>
      <c r="AJ132" s="2"/>
      <c r="AK132" s="2"/>
      <c r="AL132" s="2"/>
      <c r="AR132" s="49" t="s">
        <v>94</v>
      </c>
      <c r="AS132" s="2">
        <f t="shared" ref="AS132:BA132" si="113">_xlfn.STDEV.S(AS96:AS98,AS103,AS108:AS109)</f>
        <v>0.83407736880139371</v>
      </c>
      <c r="AT132" s="2">
        <f t="shared" si="113"/>
        <v>2.1005209400146478</v>
      </c>
      <c r="AU132" s="2">
        <f t="shared" si="113"/>
        <v>6.3897937602568816E-2</v>
      </c>
      <c r="AV132" s="2">
        <f t="shared" si="113"/>
        <v>6.3897937602568844E-2</v>
      </c>
      <c r="AW132" s="2">
        <f t="shared" si="113"/>
        <v>9.9653643582214027E-2</v>
      </c>
      <c r="AX132" s="2">
        <f t="shared" si="113"/>
        <v>2.0432570721295513E-2</v>
      </c>
      <c r="AY132" s="2">
        <f t="shared" si="113"/>
        <v>2.5494806169937179</v>
      </c>
      <c r="AZ132" s="2">
        <f t="shared" si="113"/>
        <v>4.8853522561496678</v>
      </c>
      <c r="BA132" s="2">
        <f t="shared" si="113"/>
        <v>0.96010367870971147</v>
      </c>
    </row>
    <row r="133" spans="2:53" ht="15.5" x14ac:dyDescent="0.35">
      <c r="G133" s="49"/>
      <c r="H133" s="2"/>
      <c r="I133" s="2"/>
      <c r="J133" s="2"/>
      <c r="K133" s="2"/>
      <c r="L133" s="2"/>
      <c r="M133" s="2"/>
      <c r="N133" s="2"/>
      <c r="O133" s="2"/>
      <c r="P133" s="2"/>
      <c r="W133" s="2"/>
      <c r="X133" s="2"/>
      <c r="Y133" s="5"/>
      <c r="Z133" s="5"/>
      <c r="AA133" s="5"/>
      <c r="AB133" s="5"/>
      <c r="AC133" s="5"/>
      <c r="AD133" s="5"/>
      <c r="AE133" s="5"/>
      <c r="AF133" s="5"/>
      <c r="AG133" s="5"/>
      <c r="AH133" s="5"/>
      <c r="AI133" s="14"/>
      <c r="AJ133" s="2"/>
      <c r="AK133" s="14"/>
      <c r="AL133" s="2"/>
      <c r="AR133" s="49" t="s">
        <v>95</v>
      </c>
      <c r="AS133" s="2">
        <f t="shared" ref="AS133:BA133" si="114">AS132/(SQRT(COUNT(AS96:AS98,AS103,AS108:AS109)))</f>
        <v>0.34051065992776602</v>
      </c>
      <c r="AT133" s="2">
        <f t="shared" si="114"/>
        <v>0.85753408284452659</v>
      </c>
      <c r="AU133" s="2">
        <f t="shared" si="114"/>
        <v>2.6086223790415312E-2</v>
      </c>
      <c r="AV133" s="2">
        <f t="shared" si="114"/>
        <v>2.6086223790415322E-2</v>
      </c>
      <c r="AW133" s="2">
        <f t="shared" si="114"/>
        <v>4.0683429630933993E-2</v>
      </c>
      <c r="AX133" s="2">
        <f t="shared" si="114"/>
        <v>8.3415620667508742E-3</v>
      </c>
      <c r="AY133" s="2">
        <f t="shared" si="114"/>
        <v>1.04082110345844</v>
      </c>
      <c r="AZ133" s="2">
        <f t="shared" si="114"/>
        <v>1.9944367068868782</v>
      </c>
      <c r="BA133" s="2">
        <f t="shared" si="114"/>
        <v>0.39196068550130575</v>
      </c>
    </row>
    <row r="134" spans="2:53" ht="16" thickBot="1" x14ac:dyDescent="0.4">
      <c r="E134" s="104" t="s">
        <v>82</v>
      </c>
      <c r="G134" s="13"/>
      <c r="H134" s="9" t="s">
        <v>3</v>
      </c>
      <c r="I134" s="9" t="s">
        <v>4</v>
      </c>
      <c r="J134" s="9" t="s">
        <v>5</v>
      </c>
      <c r="K134" s="9" t="s">
        <v>6</v>
      </c>
      <c r="L134" s="9" t="s">
        <v>7</v>
      </c>
      <c r="M134" s="9" t="s">
        <v>8</v>
      </c>
      <c r="N134" s="9" t="s">
        <v>9</v>
      </c>
      <c r="O134" s="9" t="s">
        <v>10</v>
      </c>
      <c r="P134" s="44" t="s">
        <v>139</v>
      </c>
      <c r="W134" s="2"/>
      <c r="X134" s="2"/>
      <c r="Y134" s="2"/>
      <c r="Z134" s="2"/>
      <c r="AA134" s="2"/>
      <c r="AB134" s="2"/>
      <c r="AC134" s="2"/>
      <c r="AD134" s="2"/>
      <c r="AE134" s="2"/>
      <c r="AF134" s="2"/>
      <c r="AG134" s="2"/>
      <c r="AH134" s="2"/>
      <c r="AI134" s="2"/>
      <c r="AJ134" s="2"/>
      <c r="AK134" s="2"/>
      <c r="AL134" s="2"/>
    </row>
    <row r="135" spans="2:53" x14ac:dyDescent="0.35">
      <c r="G135" s="49" t="s">
        <v>77</v>
      </c>
      <c r="H135" s="13">
        <f>AVERAGE(H90,H92,H94:H95,H97:H98)</f>
        <v>3.4341666666666697</v>
      </c>
      <c r="I135" s="13">
        <f t="shared" ref="I135:P135" si="115">AVERAGE(I90,I92,I94:I95,I97:I98)</f>
        <v>6.1057149999999991</v>
      </c>
      <c r="J135" s="13">
        <f t="shared" si="115"/>
        <v>0.36306088789789476</v>
      </c>
      <c r="K135" s="13">
        <f t="shared" si="115"/>
        <v>0.63693911210210519</v>
      </c>
      <c r="L135" s="13">
        <f t="shared" si="115"/>
        <v>0.30719987827682665</v>
      </c>
      <c r="M135" s="13">
        <f t="shared" si="115"/>
        <v>0.10513698935979786</v>
      </c>
      <c r="N135" s="13">
        <f t="shared" si="115"/>
        <v>9.5398816666666679</v>
      </c>
      <c r="O135" s="13">
        <f t="shared" si="115"/>
        <v>37.5</v>
      </c>
      <c r="P135" s="13">
        <f t="shared" si="115"/>
        <v>10.776324781761184</v>
      </c>
      <c r="W135" s="2"/>
      <c r="X135" s="2"/>
      <c r="Y135" s="2"/>
      <c r="Z135" s="2"/>
      <c r="AA135" s="2"/>
      <c r="AB135" s="2"/>
      <c r="AC135" s="2"/>
      <c r="AD135" s="2"/>
      <c r="AE135" s="2"/>
      <c r="AF135" s="2"/>
      <c r="AG135" s="2"/>
      <c r="AH135" s="2"/>
      <c r="AI135" s="2"/>
      <c r="AJ135" s="2"/>
      <c r="AK135" s="2"/>
      <c r="AL135" s="2"/>
    </row>
    <row r="136" spans="2:53" x14ac:dyDescent="0.35">
      <c r="G136" s="49" t="s">
        <v>94</v>
      </c>
      <c r="H136" s="2">
        <f>_xlfn.STDEV.S(H90,H92,H94:H95,H97:H98)</f>
        <v>0.75645885328064444</v>
      </c>
      <c r="I136" s="2">
        <f t="shared" ref="I136:P136" si="116">_xlfn.STDEV.S(I90,I92,I94:I95,I97:I98)</f>
        <v>1.1673852229791206</v>
      </c>
      <c r="J136" s="2">
        <f t="shared" si="116"/>
        <v>8.9382417621450619E-2</v>
      </c>
      <c r="K136" s="2">
        <f t="shared" si="116"/>
        <v>8.9382417621449883E-2</v>
      </c>
      <c r="L136" s="2">
        <f t="shared" si="116"/>
        <v>8.8169009216830477E-2</v>
      </c>
      <c r="M136" s="2">
        <f t="shared" si="116"/>
        <v>6.178608703704065E-3</v>
      </c>
      <c r="N136" s="2">
        <f t="shared" si="116"/>
        <v>0.58161992845557497</v>
      </c>
      <c r="O136" s="2">
        <f t="shared" si="116"/>
        <v>10.445094542415593</v>
      </c>
      <c r="P136" s="2">
        <f t="shared" si="116"/>
        <v>0.86868270312939855</v>
      </c>
      <c r="W136" s="2"/>
      <c r="X136" s="2"/>
      <c r="Y136" s="13"/>
      <c r="Z136" s="2"/>
      <c r="AA136" s="2"/>
      <c r="AB136" s="2"/>
      <c r="AC136" s="2"/>
      <c r="AD136" s="2"/>
      <c r="AE136" s="2"/>
      <c r="AF136" s="2"/>
      <c r="AG136" s="2"/>
      <c r="AH136" s="2"/>
      <c r="AI136" s="2"/>
      <c r="AJ136" s="2"/>
      <c r="AK136" s="2"/>
      <c r="AL136" s="2"/>
    </row>
    <row r="137" spans="2:53" x14ac:dyDescent="0.35">
      <c r="G137" s="49" t="s">
        <v>95</v>
      </c>
      <c r="H137" s="2">
        <f>H136/(SQRT(COUNT(H90,H92,H94:H95,H97:H98)))</f>
        <v>0.30882303365807728</v>
      </c>
      <c r="I137" s="2">
        <f t="shared" ref="I137:P137" si="117">I136/(SQRT(COUNT(I90,I92,I94:I95,I97:I98)))</f>
        <v>0.47658302159400157</v>
      </c>
      <c r="J137" s="2">
        <f t="shared" si="117"/>
        <v>3.6490219191484284E-2</v>
      </c>
      <c r="K137" s="2">
        <f t="shared" si="117"/>
        <v>3.6490219191483986E-2</v>
      </c>
      <c r="L137" s="2">
        <f t="shared" si="117"/>
        <v>3.5994847284663629E-2</v>
      </c>
      <c r="M137" s="2">
        <f t="shared" si="117"/>
        <v>2.5224064407323296E-3</v>
      </c>
      <c r="N137" s="2">
        <f t="shared" si="117"/>
        <v>0.23744534149170282</v>
      </c>
      <c r="O137" s="2">
        <f t="shared" si="117"/>
        <v>4.2641919906745915</v>
      </c>
      <c r="P137" s="2">
        <f t="shared" si="117"/>
        <v>0.35463822850810439</v>
      </c>
      <c r="W137" s="2"/>
      <c r="X137" s="2"/>
      <c r="Y137" s="13"/>
      <c r="Z137" s="2"/>
      <c r="AA137" s="2"/>
      <c r="AB137" s="2"/>
      <c r="AC137" s="2"/>
      <c r="AD137" s="2"/>
      <c r="AE137" s="2"/>
      <c r="AF137" s="2"/>
      <c r="AG137" s="2"/>
      <c r="AH137" s="2"/>
      <c r="AI137" s="2"/>
      <c r="AJ137" s="2"/>
      <c r="AK137" s="2"/>
      <c r="AL137" s="2"/>
    </row>
    <row r="138" spans="2:53" x14ac:dyDescent="0.35">
      <c r="G138" s="49"/>
      <c r="H138" s="2"/>
      <c r="I138" s="2"/>
      <c r="J138" s="2"/>
      <c r="K138" s="2"/>
      <c r="L138" s="2"/>
      <c r="M138" s="2"/>
      <c r="N138" s="2"/>
      <c r="O138" s="2"/>
      <c r="P138" s="2"/>
      <c r="W138" s="2"/>
      <c r="X138" s="2"/>
      <c r="Y138" s="13"/>
      <c r="Z138" s="2"/>
      <c r="AA138" s="2"/>
      <c r="AB138" s="2"/>
      <c r="AC138" s="2"/>
      <c r="AD138" s="2"/>
      <c r="AE138" s="2"/>
      <c r="AF138" s="2"/>
      <c r="AG138" s="2"/>
      <c r="AH138" s="2"/>
      <c r="AI138" s="2"/>
      <c r="AJ138" s="2"/>
      <c r="AK138" s="2"/>
      <c r="AL138" s="2"/>
    </row>
    <row r="139" spans="2:53" x14ac:dyDescent="0.35">
      <c r="G139" s="49"/>
      <c r="H139" s="2"/>
      <c r="I139" s="2"/>
      <c r="J139" s="2"/>
      <c r="K139" s="2"/>
      <c r="L139" s="2"/>
      <c r="M139" s="2"/>
      <c r="N139" s="2"/>
      <c r="O139" s="2"/>
      <c r="P139" s="2"/>
      <c r="W139" s="2"/>
      <c r="X139" s="2"/>
      <c r="Y139" s="13"/>
      <c r="Z139" s="2"/>
      <c r="AA139" s="2"/>
      <c r="AB139" s="2"/>
      <c r="AC139" s="2"/>
      <c r="AD139" s="2"/>
      <c r="AE139" s="2"/>
      <c r="AF139" s="2"/>
      <c r="AG139" s="2"/>
      <c r="AH139" s="2"/>
      <c r="AI139" s="2"/>
      <c r="AJ139" s="2"/>
      <c r="AK139" s="2"/>
      <c r="AL139" s="2"/>
    </row>
    <row r="140" spans="2:53" x14ac:dyDescent="0.35">
      <c r="G140" s="49"/>
      <c r="H140" s="2"/>
      <c r="I140" s="2"/>
      <c r="J140" s="2"/>
      <c r="K140" s="2"/>
      <c r="L140" s="2"/>
      <c r="M140" s="2"/>
      <c r="N140" s="2"/>
      <c r="O140" s="2"/>
      <c r="P140" s="2"/>
      <c r="W140" s="2"/>
      <c r="X140" s="2"/>
      <c r="Y140" s="13"/>
      <c r="Z140" s="2"/>
      <c r="AA140" s="2"/>
      <c r="AB140" s="2"/>
      <c r="AC140" s="2"/>
      <c r="AD140" s="2"/>
      <c r="AE140" s="2"/>
      <c r="AF140" s="2"/>
      <c r="AG140" s="2"/>
      <c r="AH140" s="2"/>
      <c r="AI140" s="2"/>
      <c r="AJ140" s="2"/>
      <c r="AK140" s="2"/>
      <c r="AL140" s="2"/>
    </row>
    <row r="141" spans="2:53" ht="15.5" x14ac:dyDescent="0.35">
      <c r="W141" s="199"/>
      <c r="X141" s="2"/>
      <c r="Y141" s="13"/>
      <c r="Z141" s="2"/>
      <c r="AA141" s="2"/>
      <c r="AB141" s="2"/>
      <c r="AC141" s="2"/>
      <c r="AD141" s="2"/>
      <c r="AE141" s="2"/>
      <c r="AF141" s="2"/>
      <c r="AG141" s="2"/>
      <c r="AH141" s="2"/>
      <c r="AI141" s="2"/>
      <c r="AJ141" s="2"/>
      <c r="AK141" s="2"/>
      <c r="AL141" s="2"/>
    </row>
    <row r="142" spans="2:53" x14ac:dyDescent="0.35">
      <c r="B142" s="104" t="s">
        <v>707</v>
      </c>
      <c r="W142" s="191"/>
      <c r="X142" s="2"/>
      <c r="Y142" s="13"/>
      <c r="Z142" s="2"/>
      <c r="AA142" s="2"/>
      <c r="AB142" s="2"/>
      <c r="AC142" s="2"/>
      <c r="AD142" s="2"/>
      <c r="AE142" s="2"/>
      <c r="AF142" s="2"/>
      <c r="AG142" s="2"/>
      <c r="AH142" s="2"/>
      <c r="AI142" s="2"/>
      <c r="AJ142" s="2"/>
      <c r="AK142" s="2"/>
      <c r="AL142" s="2"/>
    </row>
    <row r="143" spans="2:53" ht="18.5" x14ac:dyDescent="0.45">
      <c r="F143" s="1" t="s">
        <v>405</v>
      </c>
      <c r="G143" s="3"/>
      <c r="H143" s="3"/>
      <c r="I143" s="3"/>
      <c r="J143" s="3"/>
      <c r="K143" s="3"/>
      <c r="L143" s="3"/>
      <c r="M143" s="3"/>
      <c r="N143" s="3"/>
      <c r="O143" s="3"/>
      <c r="W143" s="191"/>
      <c r="X143" s="2"/>
      <c r="Y143" s="13"/>
      <c r="Z143" s="2"/>
      <c r="AA143" s="2"/>
      <c r="AB143" s="2"/>
      <c r="AC143" s="2"/>
      <c r="AD143" s="2"/>
      <c r="AE143" s="2"/>
      <c r="AF143" s="2"/>
      <c r="AG143" s="2"/>
      <c r="AH143" s="2"/>
      <c r="AI143" s="2"/>
      <c r="AJ143" s="2"/>
      <c r="AK143" s="2"/>
      <c r="AL143" s="2"/>
    </row>
    <row r="144" spans="2:53" ht="16" thickBot="1" x14ac:dyDescent="0.4">
      <c r="C144" s="204" t="s">
        <v>122</v>
      </c>
      <c r="D144" s="204" t="s">
        <v>406</v>
      </c>
      <c r="F144" s="9" t="s">
        <v>1</v>
      </c>
      <c r="G144" s="9" t="s">
        <v>2</v>
      </c>
      <c r="H144" s="9" t="s">
        <v>3</v>
      </c>
      <c r="I144" s="9" t="s">
        <v>4</v>
      </c>
      <c r="J144" s="9" t="s">
        <v>5</v>
      </c>
      <c r="K144" s="9" t="s">
        <v>6</v>
      </c>
      <c r="L144" s="9" t="s">
        <v>7</v>
      </c>
      <c r="M144" s="9" t="s">
        <v>8</v>
      </c>
      <c r="N144" s="9" t="s">
        <v>9</v>
      </c>
      <c r="O144" s="9" t="s">
        <v>10</v>
      </c>
      <c r="P144" s="44" t="s">
        <v>139</v>
      </c>
      <c r="R144" s="44" t="s">
        <v>138</v>
      </c>
      <c r="W144" s="191"/>
      <c r="X144" s="2"/>
      <c r="Y144" s="13"/>
      <c r="Z144" s="2"/>
      <c r="AA144" s="2"/>
      <c r="AB144" s="2"/>
      <c r="AC144" s="2"/>
      <c r="AD144" s="2"/>
      <c r="AE144" s="2"/>
      <c r="AF144" s="2"/>
      <c r="AG144" s="2"/>
      <c r="AH144" s="2"/>
      <c r="AI144" s="2"/>
      <c r="AJ144" s="2"/>
      <c r="AK144" s="2"/>
      <c r="AL144" s="2"/>
    </row>
    <row r="145" spans="2:38" x14ac:dyDescent="0.35">
      <c r="C145" s="2" t="s">
        <v>704</v>
      </c>
      <c r="D145" s="155">
        <v>0</v>
      </c>
      <c r="F145" s="2">
        <v>2.66187</v>
      </c>
      <c r="G145" s="2">
        <v>5.4934399999999997</v>
      </c>
      <c r="H145" s="2">
        <f>G145-F145</f>
        <v>2.8315699999999997</v>
      </c>
      <c r="I145" s="2">
        <f>F146-G145</f>
        <v>6.7914600000000007</v>
      </c>
      <c r="J145" s="2">
        <f>H145/N145</f>
        <v>0.29424931648347763</v>
      </c>
      <c r="K145" s="2">
        <f>I145/N145</f>
        <v>0.70575068351652237</v>
      </c>
      <c r="L145" s="2">
        <f>1/H145</f>
        <v>0.3531609672372571</v>
      </c>
      <c r="M145" s="2">
        <f>1/N145</f>
        <v>0.10391737321820674</v>
      </c>
      <c r="N145" s="2">
        <f>H145+I145</f>
        <v>9.62303</v>
      </c>
      <c r="O145" s="2">
        <v>8</v>
      </c>
      <c r="P145">
        <f>O145/H145</f>
        <v>2.8252877378980568</v>
      </c>
      <c r="R145" t="s">
        <v>708</v>
      </c>
      <c r="W145" s="191"/>
      <c r="X145" s="2"/>
      <c r="Y145" s="13"/>
      <c r="Z145" s="2"/>
      <c r="AA145" s="2"/>
      <c r="AB145" s="2"/>
      <c r="AC145" s="2"/>
      <c r="AD145" s="2"/>
      <c r="AE145" s="2"/>
      <c r="AF145" s="2"/>
      <c r="AG145" s="2"/>
      <c r="AH145" s="2"/>
      <c r="AI145" s="2"/>
      <c r="AJ145" s="2"/>
      <c r="AK145" s="2"/>
      <c r="AL145" s="2"/>
    </row>
    <row r="146" spans="2:38" x14ac:dyDescent="0.35">
      <c r="C146" s="258" t="s">
        <v>32</v>
      </c>
      <c r="D146" s="155">
        <v>0</v>
      </c>
      <c r="F146" s="2">
        <v>12.2849</v>
      </c>
      <c r="G146" s="2">
        <v>15.16029</v>
      </c>
      <c r="H146" s="2">
        <f t="shared" ref="H146:H170" si="118">G146-F146</f>
        <v>2.8753899999999994</v>
      </c>
      <c r="I146" s="2">
        <f t="shared" ref="I146:I169" si="119">F147-G146</f>
        <v>5.8953300000000013</v>
      </c>
      <c r="J146" s="2">
        <f t="shared" ref="J146:J169" si="120">H146/N146</f>
        <v>0.32783967564806527</v>
      </c>
      <c r="K146" s="2">
        <f t="shared" ref="K146:K169" si="121">I146/N146</f>
        <v>0.67216032435193473</v>
      </c>
      <c r="L146" s="2">
        <f t="shared" ref="L146:L169" si="122">1/H146</f>
        <v>0.34777890999134037</v>
      </c>
      <c r="M146" s="2">
        <f t="shared" ref="M146:M169" si="123">1/N146</f>
        <v>0.11401572504879873</v>
      </c>
      <c r="N146" s="2">
        <f t="shared" ref="N146:N169" si="124">H146+I146</f>
        <v>8.7707200000000007</v>
      </c>
      <c r="O146" s="2">
        <v>9</v>
      </c>
      <c r="P146">
        <f t="shared" ref="P146:P169" si="125">O146/H146</f>
        <v>3.1300101899220634</v>
      </c>
      <c r="W146" s="191"/>
      <c r="X146" s="2"/>
      <c r="Y146" s="13"/>
      <c r="Z146" s="2"/>
      <c r="AA146" s="2"/>
      <c r="AB146" s="2"/>
      <c r="AC146" s="2"/>
      <c r="AD146" s="2"/>
      <c r="AE146" s="2"/>
      <c r="AF146" s="2"/>
      <c r="AG146" s="2"/>
      <c r="AH146" s="2"/>
      <c r="AI146" s="2"/>
      <c r="AJ146" s="2"/>
      <c r="AK146" s="2"/>
      <c r="AL146" s="2"/>
    </row>
    <row r="147" spans="2:38" x14ac:dyDescent="0.35">
      <c r="C147" s="258" t="s">
        <v>32</v>
      </c>
      <c r="D147" s="155">
        <v>0</v>
      </c>
      <c r="F147" s="13">
        <v>21.055620000000001</v>
      </c>
      <c r="G147" s="2">
        <v>23.830490000000001</v>
      </c>
      <c r="H147" s="2">
        <f t="shared" si="118"/>
        <v>2.7748699999999999</v>
      </c>
      <c r="I147" s="2">
        <f t="shared" si="119"/>
        <v>6.8742899999999985</v>
      </c>
      <c r="J147" s="2">
        <f t="shared" si="120"/>
        <v>0.2875763278876089</v>
      </c>
      <c r="K147" s="2">
        <f t="shared" si="121"/>
        <v>0.7124236721123911</v>
      </c>
      <c r="L147" s="2">
        <f t="shared" si="122"/>
        <v>0.36037724289786549</v>
      </c>
      <c r="M147" s="2">
        <f t="shared" si="123"/>
        <v>0.10363596416682905</v>
      </c>
      <c r="N147" s="2">
        <f t="shared" si="124"/>
        <v>9.6491599999999984</v>
      </c>
      <c r="O147" s="2">
        <v>9</v>
      </c>
      <c r="P147">
        <f t="shared" si="125"/>
        <v>3.2433951860807895</v>
      </c>
      <c r="W147" s="191"/>
      <c r="X147" s="2"/>
      <c r="Y147" s="13"/>
      <c r="Z147" s="2"/>
      <c r="AA147" s="2"/>
      <c r="AB147" s="2"/>
      <c r="AC147" s="2"/>
      <c r="AD147" s="2"/>
      <c r="AE147" s="2"/>
      <c r="AF147" s="2"/>
      <c r="AG147" s="2"/>
      <c r="AH147" s="2"/>
      <c r="AI147" s="2"/>
      <c r="AJ147" s="2"/>
      <c r="AK147" s="2"/>
      <c r="AL147" s="2"/>
    </row>
    <row r="148" spans="2:38" x14ac:dyDescent="0.35">
      <c r="C148" s="258" t="s">
        <v>32</v>
      </c>
      <c r="D148" s="155">
        <v>0</v>
      </c>
      <c r="F148" s="13">
        <v>30.70478</v>
      </c>
      <c r="G148" s="2">
        <v>33.815130000000003</v>
      </c>
      <c r="H148" s="2">
        <f t="shared" si="118"/>
        <v>3.1103500000000039</v>
      </c>
      <c r="I148" s="2">
        <f t="shared" si="119"/>
        <v>6.5636099999999971</v>
      </c>
      <c r="J148" s="2">
        <f t="shared" si="120"/>
        <v>0.32151776521713998</v>
      </c>
      <c r="K148" s="2">
        <f t="shared" si="121"/>
        <v>0.67848223478285996</v>
      </c>
      <c r="L148" s="2">
        <f t="shared" si="122"/>
        <v>0.3215072258749011</v>
      </c>
      <c r="M148" s="2">
        <f t="shared" si="123"/>
        <v>0.10337028476446046</v>
      </c>
      <c r="N148" s="2">
        <f t="shared" si="124"/>
        <v>9.673960000000001</v>
      </c>
      <c r="O148" s="2">
        <v>10</v>
      </c>
      <c r="P148">
        <f t="shared" si="125"/>
        <v>3.2150722587490113</v>
      </c>
      <c r="W148" s="191"/>
      <c r="X148" s="2"/>
      <c r="Y148" s="13"/>
      <c r="Z148" s="2"/>
      <c r="AA148" s="2"/>
      <c r="AB148" s="2"/>
      <c r="AC148" s="2"/>
      <c r="AD148" s="2"/>
      <c r="AE148" s="2"/>
      <c r="AF148" s="2"/>
      <c r="AG148" s="2"/>
      <c r="AH148" s="2"/>
      <c r="AI148" s="2"/>
      <c r="AJ148" s="2"/>
      <c r="AK148" s="2"/>
      <c r="AL148" s="2"/>
    </row>
    <row r="149" spans="2:38" x14ac:dyDescent="0.35">
      <c r="C149" s="258" t="s">
        <v>32</v>
      </c>
      <c r="D149" s="155">
        <v>0</v>
      </c>
      <c r="F149" s="13">
        <v>40.378740000000001</v>
      </c>
      <c r="G149" s="2">
        <v>43.208750000000002</v>
      </c>
      <c r="H149" s="2">
        <f t="shared" si="118"/>
        <v>2.8300100000000015</v>
      </c>
      <c r="I149" s="2">
        <f t="shared" si="119"/>
        <v>5.8532499999999956</v>
      </c>
      <c r="J149" s="2">
        <f t="shared" si="120"/>
        <v>0.32591561233914479</v>
      </c>
      <c r="K149" s="2">
        <f t="shared" si="121"/>
        <v>0.67408438766085521</v>
      </c>
      <c r="L149" s="2">
        <f t="shared" si="122"/>
        <v>0.35335564185285545</v>
      </c>
      <c r="M149" s="2">
        <f t="shared" si="123"/>
        <v>0.11516412038796493</v>
      </c>
      <c r="N149" s="2">
        <f t="shared" si="124"/>
        <v>8.6832599999999971</v>
      </c>
      <c r="O149" s="2">
        <v>9</v>
      </c>
      <c r="P149">
        <f t="shared" si="125"/>
        <v>3.180200776675699</v>
      </c>
      <c r="W149" s="191"/>
      <c r="X149" s="2"/>
      <c r="Y149" s="13"/>
      <c r="Z149" s="2"/>
      <c r="AA149" s="2"/>
      <c r="AB149" s="2"/>
      <c r="AC149" s="2"/>
      <c r="AD149" s="2"/>
      <c r="AE149" s="2"/>
      <c r="AF149" s="2"/>
      <c r="AG149" s="2"/>
      <c r="AH149" s="2"/>
      <c r="AI149" s="2"/>
      <c r="AJ149" s="2"/>
      <c r="AK149" s="2"/>
      <c r="AL149" s="2"/>
    </row>
    <row r="150" spans="2:38" x14ac:dyDescent="0.35">
      <c r="C150" s="258" t="s">
        <v>32</v>
      </c>
      <c r="D150" s="155">
        <v>0</v>
      </c>
      <c r="F150" s="13">
        <v>49.061999999999998</v>
      </c>
      <c r="G150" s="2">
        <v>52.936909999999997</v>
      </c>
      <c r="H150" s="2">
        <f t="shared" si="118"/>
        <v>3.8749099999999999</v>
      </c>
      <c r="I150" s="2">
        <f t="shared" si="119"/>
        <v>6.8655000000000044</v>
      </c>
      <c r="J150" s="2">
        <f t="shared" si="120"/>
        <v>0.36077859225113362</v>
      </c>
      <c r="K150" s="2">
        <f t="shared" si="121"/>
        <v>0.63922140774886638</v>
      </c>
      <c r="L150" s="2">
        <f t="shared" si="122"/>
        <v>0.25807051002474896</v>
      </c>
      <c r="M150" s="2">
        <f t="shared" si="123"/>
        <v>9.3106315308261009E-2</v>
      </c>
      <c r="N150" s="2">
        <f t="shared" si="124"/>
        <v>10.740410000000004</v>
      </c>
      <c r="O150" s="2">
        <v>11</v>
      </c>
      <c r="P150">
        <f t="shared" si="125"/>
        <v>2.8387756102722386</v>
      </c>
      <c r="W150" s="191"/>
      <c r="X150" s="2"/>
      <c r="Y150" s="13"/>
      <c r="Z150" s="2"/>
      <c r="AA150" s="2"/>
      <c r="AB150" s="2"/>
      <c r="AC150" s="2"/>
      <c r="AD150" s="2"/>
      <c r="AE150" s="2"/>
      <c r="AF150" s="2"/>
      <c r="AG150" s="2"/>
      <c r="AH150" s="2"/>
      <c r="AI150" s="2"/>
      <c r="AJ150" s="2"/>
      <c r="AK150" s="2"/>
      <c r="AL150" s="2"/>
    </row>
    <row r="151" spans="2:38" x14ac:dyDescent="0.35">
      <c r="C151" s="258" t="s">
        <v>32</v>
      </c>
      <c r="D151" s="155">
        <v>0</v>
      </c>
      <c r="F151" s="13">
        <v>59.802410000000002</v>
      </c>
      <c r="G151" s="2">
        <v>62.611739999999998</v>
      </c>
      <c r="H151" s="2">
        <f t="shared" si="118"/>
        <v>2.8093299999999957</v>
      </c>
      <c r="I151" s="2">
        <f t="shared" si="119"/>
        <v>6.943080000000009</v>
      </c>
      <c r="J151" s="2">
        <f t="shared" si="120"/>
        <v>0.28806520644640599</v>
      </c>
      <c r="K151" s="2">
        <f t="shared" si="121"/>
        <v>0.71193479355359401</v>
      </c>
      <c r="L151" s="2">
        <f t="shared" si="122"/>
        <v>0.3559567583729934</v>
      </c>
      <c r="M151" s="2">
        <f t="shared" si="123"/>
        <v>0.1025387570867098</v>
      </c>
      <c r="N151" s="2">
        <f t="shared" si="124"/>
        <v>9.7524100000000047</v>
      </c>
      <c r="O151" s="2">
        <v>10</v>
      </c>
      <c r="P151">
        <f t="shared" si="125"/>
        <v>3.5595675837299341</v>
      </c>
      <c r="W151" s="191"/>
      <c r="X151" s="2"/>
      <c r="Y151" s="13"/>
      <c r="Z151" s="2"/>
      <c r="AA151" s="2"/>
      <c r="AB151" s="2"/>
      <c r="AC151" s="2"/>
      <c r="AD151" s="2"/>
      <c r="AE151" s="2"/>
      <c r="AF151" s="2"/>
      <c r="AG151" s="2"/>
      <c r="AH151" s="2"/>
      <c r="AI151" s="2"/>
      <c r="AJ151" s="2"/>
      <c r="AK151" s="2"/>
      <c r="AL151" s="2"/>
    </row>
    <row r="152" spans="2:38" x14ac:dyDescent="0.35">
      <c r="C152" s="258" t="s">
        <v>32</v>
      </c>
      <c r="D152" s="155">
        <v>0</v>
      </c>
      <c r="F152" s="13">
        <v>69.554820000000007</v>
      </c>
      <c r="G152" s="2">
        <v>72.47</v>
      </c>
      <c r="H152" s="2">
        <f t="shared" si="118"/>
        <v>2.9151799999999923</v>
      </c>
      <c r="I152" s="2">
        <f t="shared" si="119"/>
        <v>5.8941200000000009</v>
      </c>
      <c r="J152" s="2">
        <f t="shared" si="120"/>
        <v>0.3309207314996645</v>
      </c>
      <c r="K152" s="2">
        <f t="shared" si="121"/>
        <v>0.6690792685003355</v>
      </c>
      <c r="L152" s="2">
        <f t="shared" si="122"/>
        <v>0.34303199116349681</v>
      </c>
      <c r="M152" s="2">
        <f t="shared" si="123"/>
        <v>0.11351639744361082</v>
      </c>
      <c r="N152" s="2">
        <f t="shared" si="124"/>
        <v>8.8092999999999932</v>
      </c>
      <c r="O152" s="2">
        <v>8</v>
      </c>
      <c r="P152">
        <f t="shared" si="125"/>
        <v>2.7442559293079745</v>
      </c>
      <c r="W152" s="191"/>
      <c r="X152" s="2"/>
      <c r="Y152" s="13"/>
      <c r="Z152" s="2"/>
      <c r="AA152" s="2"/>
      <c r="AB152" s="2"/>
      <c r="AC152" s="2"/>
      <c r="AD152" s="2"/>
      <c r="AE152" s="2"/>
      <c r="AF152" s="2"/>
      <c r="AG152" s="2"/>
      <c r="AH152" s="2"/>
      <c r="AI152" s="2"/>
      <c r="AJ152" s="2"/>
      <c r="AK152" s="2"/>
      <c r="AL152" s="2"/>
    </row>
    <row r="153" spans="2:38" x14ac:dyDescent="0.35">
      <c r="C153" s="258" t="s">
        <v>32</v>
      </c>
      <c r="D153" s="155">
        <v>0</v>
      </c>
      <c r="F153" s="13">
        <v>78.36412</v>
      </c>
      <c r="G153" s="2">
        <v>81.29562</v>
      </c>
      <c r="H153" s="2">
        <f t="shared" si="118"/>
        <v>2.9314999999999998</v>
      </c>
      <c r="I153" s="2">
        <f t="shared" si="119"/>
        <v>6.9405000000000001</v>
      </c>
      <c r="J153" s="2">
        <f t="shared" si="120"/>
        <v>0.29695097244732577</v>
      </c>
      <c r="K153" s="2">
        <f t="shared" si="121"/>
        <v>0.70304902755267429</v>
      </c>
      <c r="L153" s="2">
        <f t="shared" si="122"/>
        <v>0.34112229234180458</v>
      </c>
      <c r="M153" s="2">
        <f t="shared" si="123"/>
        <v>0.1012965964343598</v>
      </c>
      <c r="N153" s="2">
        <f t="shared" si="124"/>
        <v>9.8719999999999999</v>
      </c>
      <c r="O153" s="2">
        <v>8</v>
      </c>
      <c r="P153">
        <f t="shared" si="125"/>
        <v>2.7289783387344366</v>
      </c>
      <c r="W153" s="191"/>
      <c r="X153" s="2"/>
      <c r="Y153" s="13"/>
      <c r="Z153" s="2"/>
      <c r="AA153" s="2"/>
      <c r="AB153" s="2"/>
      <c r="AC153" s="2"/>
      <c r="AD153" s="2"/>
      <c r="AE153" s="2"/>
      <c r="AF153" s="2"/>
      <c r="AG153" s="2"/>
      <c r="AH153" s="2"/>
      <c r="AI153" s="2"/>
      <c r="AJ153" s="2"/>
      <c r="AK153" s="2"/>
      <c r="AL153" s="2"/>
    </row>
    <row r="154" spans="2:38" x14ac:dyDescent="0.35">
      <c r="C154" s="258" t="s">
        <v>32</v>
      </c>
      <c r="D154" s="155">
        <v>0</v>
      </c>
      <c r="F154" s="13">
        <v>88.23612</v>
      </c>
      <c r="G154" s="2">
        <v>90.447209999999998</v>
      </c>
      <c r="H154" s="2">
        <f t="shared" si="118"/>
        <v>2.2110899999999987</v>
      </c>
      <c r="I154" s="2">
        <f t="shared" si="119"/>
        <v>12.466660000000005</v>
      </c>
      <c r="J154" s="2">
        <f t="shared" si="120"/>
        <v>0.15064229871744636</v>
      </c>
      <c r="K154" s="2">
        <f t="shared" si="121"/>
        <v>0.84935770128255361</v>
      </c>
      <c r="L154" s="2">
        <f t="shared" si="122"/>
        <v>0.45226562464666775</v>
      </c>
      <c r="M154" s="2">
        <f t="shared" si="123"/>
        <v>6.8130333327655793E-2</v>
      </c>
      <c r="N154" s="2">
        <f t="shared" si="124"/>
        <v>14.677750000000003</v>
      </c>
      <c r="O154" s="2">
        <v>7</v>
      </c>
      <c r="P154">
        <f t="shared" si="125"/>
        <v>3.1658593725266742</v>
      </c>
      <c r="W154" s="191"/>
      <c r="X154" s="2"/>
      <c r="Y154" s="13"/>
      <c r="Z154" s="13"/>
      <c r="AA154" s="2"/>
      <c r="AB154" s="2"/>
      <c r="AC154" s="2"/>
      <c r="AD154" s="2"/>
      <c r="AE154" s="2"/>
      <c r="AF154" s="2"/>
      <c r="AG154" s="2"/>
      <c r="AH154" s="2"/>
      <c r="AI154" s="2"/>
      <c r="AJ154" s="2"/>
      <c r="AK154" s="2"/>
      <c r="AL154" s="2"/>
    </row>
    <row r="155" spans="2:38" x14ac:dyDescent="0.35">
      <c r="C155" s="258" t="s">
        <v>32</v>
      </c>
      <c r="D155" s="155">
        <v>0</v>
      </c>
      <c r="F155" s="13">
        <v>102.91387</v>
      </c>
      <c r="G155" s="2">
        <v>106.10334</v>
      </c>
      <c r="H155" s="2">
        <f t="shared" si="118"/>
        <v>3.18947</v>
      </c>
      <c r="I155" s="2">
        <f t="shared" si="119"/>
        <v>6.5349199999999996</v>
      </c>
      <c r="J155" s="2">
        <f t="shared" si="120"/>
        <v>0.3279866397789476</v>
      </c>
      <c r="K155" s="2">
        <f t="shared" si="121"/>
        <v>0.6720133602210524</v>
      </c>
      <c r="L155" s="2">
        <f t="shared" si="122"/>
        <v>0.31353171530066126</v>
      </c>
      <c r="M155" s="2">
        <f t="shared" si="123"/>
        <v>0.10283421376559353</v>
      </c>
      <c r="N155" s="2">
        <f t="shared" si="124"/>
        <v>9.7243899999999996</v>
      </c>
      <c r="O155" s="2">
        <v>10</v>
      </c>
      <c r="P155">
        <f t="shared" si="125"/>
        <v>3.1353171530066124</v>
      </c>
      <c r="W155" s="191"/>
      <c r="X155" s="2"/>
      <c r="Y155" s="13"/>
      <c r="Z155" s="13"/>
      <c r="AA155" s="2"/>
      <c r="AB155" s="2"/>
      <c r="AC155" s="2"/>
      <c r="AD155" s="2"/>
      <c r="AE155" s="2"/>
      <c r="AF155" s="2"/>
      <c r="AG155" s="2"/>
      <c r="AH155" s="2"/>
      <c r="AI155" s="2"/>
      <c r="AJ155" s="2"/>
      <c r="AK155" s="2"/>
      <c r="AL155" s="2"/>
    </row>
    <row r="156" spans="2:38" x14ac:dyDescent="0.35">
      <c r="C156" s="258" t="s">
        <v>32</v>
      </c>
      <c r="D156" s="155">
        <v>0</v>
      </c>
      <c r="F156" s="13">
        <v>112.63826</v>
      </c>
      <c r="G156" s="2">
        <v>114.34684</v>
      </c>
      <c r="H156" s="2">
        <f t="shared" si="118"/>
        <v>1.7085799999999978</v>
      </c>
      <c r="I156" s="2">
        <f t="shared" si="119"/>
        <v>5.8379400000000032</v>
      </c>
      <c r="J156" s="2">
        <f t="shared" si="120"/>
        <v>0.22640634358618245</v>
      </c>
      <c r="K156" s="2">
        <f t="shared" si="121"/>
        <v>0.77359365641381761</v>
      </c>
      <c r="L156" s="2">
        <f t="shared" si="122"/>
        <v>0.58528134474241844</v>
      </c>
      <c r="M156" s="2">
        <f t="shared" si="123"/>
        <v>0.1325114092323349</v>
      </c>
      <c r="N156" s="2">
        <f t="shared" si="124"/>
        <v>7.546520000000001</v>
      </c>
      <c r="O156" s="2">
        <v>6</v>
      </c>
      <c r="P156">
        <f t="shared" si="125"/>
        <v>3.5116880684545109</v>
      </c>
      <c r="W156" s="191"/>
      <c r="X156" s="2"/>
      <c r="Y156" s="13"/>
      <c r="Z156" s="2"/>
      <c r="AA156" s="2"/>
      <c r="AB156" s="2"/>
      <c r="AC156" s="2"/>
      <c r="AD156" s="2"/>
      <c r="AE156" s="2"/>
      <c r="AF156" s="2"/>
      <c r="AG156" s="2"/>
      <c r="AH156" s="2"/>
      <c r="AI156" s="2"/>
      <c r="AJ156" s="2"/>
      <c r="AK156" s="2"/>
      <c r="AL156" s="2"/>
    </row>
    <row r="157" spans="2:38" x14ac:dyDescent="0.35">
      <c r="C157" s="258" t="s">
        <v>32</v>
      </c>
      <c r="D157" s="155">
        <v>8</v>
      </c>
      <c r="F157" s="13">
        <v>120.18478</v>
      </c>
      <c r="G157" s="2">
        <v>123.08689</v>
      </c>
      <c r="H157" s="2">
        <f t="shared" si="118"/>
        <v>2.9021099999999933</v>
      </c>
      <c r="I157" s="2">
        <f t="shared" si="119"/>
        <v>5.8788100000000014</v>
      </c>
      <c r="J157" s="2">
        <f t="shared" si="120"/>
        <v>0.33050181529953526</v>
      </c>
      <c r="K157" s="2">
        <f t="shared" si="121"/>
        <v>0.66949818470046474</v>
      </c>
      <c r="L157" s="2">
        <f t="shared" si="122"/>
        <v>0.34457687682410465</v>
      </c>
      <c r="M157" s="2">
        <f t="shared" si="123"/>
        <v>0.11388328330061094</v>
      </c>
      <c r="N157" s="2">
        <f t="shared" si="124"/>
        <v>8.7809199999999947</v>
      </c>
      <c r="O157" s="2">
        <v>11</v>
      </c>
      <c r="P157">
        <f t="shared" si="125"/>
        <v>3.7903456450651509</v>
      </c>
      <c r="R157" t="s">
        <v>709</v>
      </c>
      <c r="W157" s="191"/>
      <c r="X157" s="2"/>
      <c r="Y157" s="2"/>
      <c r="Z157" s="2"/>
      <c r="AA157" s="2"/>
      <c r="AB157" s="2"/>
      <c r="AC157" s="2"/>
      <c r="AD157" s="2"/>
      <c r="AE157" s="2"/>
      <c r="AF157" s="2"/>
      <c r="AG157" s="2"/>
      <c r="AH157" s="2"/>
      <c r="AI157" s="2"/>
      <c r="AJ157" s="2"/>
      <c r="AK157" s="2"/>
      <c r="AL157" s="2"/>
    </row>
    <row r="158" spans="2:38" x14ac:dyDescent="0.35">
      <c r="C158" s="258" t="s">
        <v>32</v>
      </c>
      <c r="D158" s="155">
        <v>8</v>
      </c>
      <c r="F158" s="13">
        <v>128.9657</v>
      </c>
      <c r="G158" s="2">
        <v>132.05760000000001</v>
      </c>
      <c r="H158" s="2">
        <f t="shared" si="118"/>
        <v>3.0919000000000096</v>
      </c>
      <c r="I158" s="2">
        <f t="shared" si="119"/>
        <v>5.8667099999999834</v>
      </c>
      <c r="J158" s="2">
        <f t="shared" si="120"/>
        <v>0.34513166663132028</v>
      </c>
      <c r="K158" s="2">
        <f t="shared" si="121"/>
        <v>0.65486833336867978</v>
      </c>
      <c r="L158" s="2">
        <f t="shared" si="122"/>
        <v>0.32342572528218794</v>
      </c>
      <c r="M158" s="2">
        <f t="shared" si="123"/>
        <v>0.11162445959808506</v>
      </c>
      <c r="N158" s="2">
        <f t="shared" si="124"/>
        <v>8.9586099999999931</v>
      </c>
      <c r="O158" s="2">
        <v>11</v>
      </c>
      <c r="P158">
        <f t="shared" si="125"/>
        <v>3.5576829781040673</v>
      </c>
      <c r="W158" s="191"/>
      <c r="X158" s="2"/>
      <c r="Y158" s="2"/>
      <c r="Z158" s="2"/>
      <c r="AA158" s="2"/>
      <c r="AB158" s="2"/>
      <c r="AC158" s="2"/>
      <c r="AD158" s="2"/>
      <c r="AE158" s="2"/>
      <c r="AF158" s="2"/>
      <c r="AG158" s="2"/>
      <c r="AH158" s="2"/>
      <c r="AI158" s="2"/>
      <c r="AJ158" s="2"/>
      <c r="AK158" s="2"/>
      <c r="AL158" s="2"/>
    </row>
    <row r="159" spans="2:38" s="2" customFormat="1" x14ac:dyDescent="0.35">
      <c r="B159"/>
      <c r="C159" s="258" t="s">
        <v>32</v>
      </c>
      <c r="D159" s="155">
        <v>8</v>
      </c>
      <c r="E159"/>
      <c r="F159" s="13">
        <v>137.92430999999999</v>
      </c>
      <c r="G159" s="2">
        <v>140.75488000000001</v>
      </c>
      <c r="H159" s="2">
        <f t="shared" si="118"/>
        <v>2.8305700000000229</v>
      </c>
      <c r="I159" s="2">
        <f t="shared" si="119"/>
        <v>6.072969999999998</v>
      </c>
      <c r="J159" s="2">
        <f t="shared" si="120"/>
        <v>0.31791512140115236</v>
      </c>
      <c r="K159" s="2">
        <f t="shared" si="121"/>
        <v>0.68208487859884759</v>
      </c>
      <c r="L159" s="2">
        <f t="shared" si="122"/>
        <v>0.35328573396877377</v>
      </c>
      <c r="M159" s="2">
        <f t="shared" si="123"/>
        <v>0.11231487700397792</v>
      </c>
      <c r="N159" s="2">
        <f t="shared" si="124"/>
        <v>8.9035400000000209</v>
      </c>
      <c r="O159" s="2">
        <v>9</v>
      </c>
      <c r="P159">
        <f t="shared" si="125"/>
        <v>3.1795716057189636</v>
      </c>
      <c r="Q159"/>
      <c r="R159"/>
      <c r="S159"/>
      <c r="T159"/>
      <c r="U159"/>
      <c r="V159"/>
      <c r="W159" s="191"/>
    </row>
    <row r="160" spans="2:38" s="2" customFormat="1" x14ac:dyDescent="0.35">
      <c r="B160"/>
      <c r="C160" s="258" t="s">
        <v>32</v>
      </c>
      <c r="D160" s="155">
        <v>8</v>
      </c>
      <c r="E160"/>
      <c r="F160" s="13">
        <v>146.82785000000001</v>
      </c>
      <c r="G160" s="2">
        <v>149.71333999999999</v>
      </c>
      <c r="H160" s="2">
        <f t="shared" si="118"/>
        <v>2.8854899999999759</v>
      </c>
      <c r="I160" s="2">
        <f t="shared" si="119"/>
        <v>5.8218200000000024</v>
      </c>
      <c r="J160" s="2">
        <f t="shared" si="120"/>
        <v>0.33138707591667038</v>
      </c>
      <c r="K160" s="2">
        <f t="shared" si="121"/>
        <v>0.66861292408332962</v>
      </c>
      <c r="L160" s="2">
        <f t="shared" si="122"/>
        <v>0.34656158919282631</v>
      </c>
      <c r="M160" s="2">
        <f t="shared" si="123"/>
        <v>0.11484603166764505</v>
      </c>
      <c r="N160" s="2">
        <f t="shared" si="124"/>
        <v>8.7073099999999783</v>
      </c>
      <c r="O160" s="2">
        <v>8</v>
      </c>
      <c r="P160">
        <f t="shared" si="125"/>
        <v>2.7724927135426105</v>
      </c>
      <c r="Q160"/>
      <c r="R160"/>
      <c r="S160"/>
      <c r="T160"/>
      <c r="U160"/>
      <c r="V160"/>
      <c r="W160" s="191"/>
    </row>
    <row r="161" spans="2:35" s="2" customFormat="1" x14ac:dyDescent="0.35">
      <c r="B161"/>
      <c r="C161" s="258" t="s">
        <v>32</v>
      </c>
      <c r="D161" s="155">
        <v>8</v>
      </c>
      <c r="E161"/>
      <c r="F161" s="13">
        <v>155.53515999999999</v>
      </c>
      <c r="G161" s="13">
        <v>157.64698000000001</v>
      </c>
      <c r="H161" s="2">
        <f t="shared" si="118"/>
        <v>2.1118200000000229</v>
      </c>
      <c r="I161" s="2">
        <f t="shared" si="119"/>
        <v>5.6951099999999997</v>
      </c>
      <c r="J161" s="2">
        <f t="shared" si="120"/>
        <v>0.27050581982930766</v>
      </c>
      <c r="K161" s="2">
        <f t="shared" si="121"/>
        <v>0.72949418017069234</v>
      </c>
      <c r="L161" s="2">
        <f t="shared" si="122"/>
        <v>0.47352520574669676</v>
      </c>
      <c r="M161" s="2">
        <f t="shared" si="123"/>
        <v>0.12809132399035178</v>
      </c>
      <c r="N161" s="2">
        <f t="shared" si="124"/>
        <v>7.8069300000000226</v>
      </c>
      <c r="O161" s="2">
        <v>7</v>
      </c>
      <c r="P161">
        <f t="shared" si="125"/>
        <v>3.3146764402268771</v>
      </c>
      <c r="Q161"/>
      <c r="R161"/>
      <c r="S161"/>
      <c r="T161"/>
      <c r="U161"/>
      <c r="V161"/>
      <c r="W161" s="191"/>
    </row>
    <row r="162" spans="2:35" s="2" customFormat="1" x14ac:dyDescent="0.35">
      <c r="B162"/>
      <c r="C162" s="258" t="s">
        <v>32</v>
      </c>
      <c r="D162" s="155">
        <v>8</v>
      </c>
      <c r="E162"/>
      <c r="F162" s="13">
        <v>163.34209000000001</v>
      </c>
      <c r="G162" s="13">
        <v>166.28536</v>
      </c>
      <c r="H162" s="2">
        <f t="shared" si="118"/>
        <v>2.9432699999999841</v>
      </c>
      <c r="I162" s="2">
        <f t="shared" si="119"/>
        <v>5.7808899999999994</v>
      </c>
      <c r="J162" s="2">
        <f t="shared" si="120"/>
        <v>0.3373700161390884</v>
      </c>
      <c r="K162" s="2">
        <f t="shared" si="121"/>
        <v>0.66262998386091154</v>
      </c>
      <c r="L162" s="2">
        <f t="shared" si="122"/>
        <v>0.33975816014161303</v>
      </c>
      <c r="M162" s="2">
        <f t="shared" si="123"/>
        <v>0.11462421597036299</v>
      </c>
      <c r="N162" s="2">
        <f t="shared" si="124"/>
        <v>8.7241599999999835</v>
      </c>
      <c r="O162" s="2">
        <v>8</v>
      </c>
      <c r="P162">
        <f t="shared" si="125"/>
        <v>2.7180652811329042</v>
      </c>
      <c r="Q162"/>
      <c r="R162"/>
      <c r="S162"/>
      <c r="T162"/>
      <c r="U162"/>
      <c r="V162"/>
      <c r="W162" s="191"/>
    </row>
    <row r="163" spans="2:35" s="2" customFormat="1" x14ac:dyDescent="0.35">
      <c r="B163"/>
      <c r="C163" s="258" t="s">
        <v>32</v>
      </c>
      <c r="D163" s="155">
        <v>8</v>
      </c>
      <c r="E163"/>
      <c r="F163" s="13">
        <v>172.06625</v>
      </c>
      <c r="G163" s="13">
        <v>174.99221</v>
      </c>
      <c r="H163" s="2">
        <f t="shared" si="118"/>
        <v>2.9259600000000034</v>
      </c>
      <c r="I163" s="2">
        <f t="shared" si="119"/>
        <v>6.8638500000000136</v>
      </c>
      <c r="J163" s="2">
        <f t="shared" si="120"/>
        <v>0.29887811918719548</v>
      </c>
      <c r="K163" s="2">
        <f t="shared" si="121"/>
        <v>0.70112188081280447</v>
      </c>
      <c r="L163" s="2">
        <f t="shared" si="122"/>
        <v>0.34176817181369495</v>
      </c>
      <c r="M163" s="2">
        <f t="shared" si="123"/>
        <v>0.10214702838972342</v>
      </c>
      <c r="N163" s="2">
        <f t="shared" si="124"/>
        <v>9.789810000000017</v>
      </c>
      <c r="O163" s="2">
        <v>8</v>
      </c>
      <c r="P163">
        <f t="shared" si="125"/>
        <v>2.7341453745095596</v>
      </c>
      <c r="Q163"/>
      <c r="R163"/>
      <c r="S163"/>
      <c r="T163"/>
      <c r="U163"/>
      <c r="V163"/>
      <c r="W163" s="191"/>
    </row>
    <row r="164" spans="2:35" s="2" customFormat="1" x14ac:dyDescent="0.35">
      <c r="B164"/>
      <c r="C164" s="258" t="s">
        <v>32</v>
      </c>
      <c r="D164" s="155">
        <v>8</v>
      </c>
      <c r="E164"/>
      <c r="F164" s="13">
        <v>181.85606000000001</v>
      </c>
      <c r="G164" s="13">
        <v>184.81181000000001</v>
      </c>
      <c r="H164" s="2">
        <f t="shared" si="118"/>
        <v>2.9557499999999948</v>
      </c>
      <c r="I164" s="2">
        <f t="shared" si="119"/>
        <v>5.8854099999999789</v>
      </c>
      <c r="J164" s="2">
        <f t="shared" si="120"/>
        <v>0.33431699007822541</v>
      </c>
      <c r="K164" s="2">
        <f t="shared" si="121"/>
        <v>0.66568300992177454</v>
      </c>
      <c r="L164" s="2">
        <f t="shared" si="122"/>
        <v>0.33832360652964621</v>
      </c>
      <c r="M164" s="2">
        <f t="shared" si="123"/>
        <v>0.11310732980740118</v>
      </c>
      <c r="N164" s="2">
        <f t="shared" si="124"/>
        <v>8.8411599999999737</v>
      </c>
      <c r="O164" s="2">
        <v>8</v>
      </c>
      <c r="P164">
        <f t="shared" si="125"/>
        <v>2.7065888522371697</v>
      </c>
      <c r="Q164"/>
      <c r="R164"/>
      <c r="S164"/>
      <c r="T164"/>
      <c r="U164"/>
      <c r="V164"/>
      <c r="W164" s="191"/>
    </row>
    <row r="165" spans="2:35" s="2" customFormat="1" x14ac:dyDescent="0.35">
      <c r="B165"/>
      <c r="C165" s="258" t="s">
        <v>32</v>
      </c>
      <c r="D165" s="155">
        <v>8</v>
      </c>
      <c r="E165"/>
      <c r="F165" s="13">
        <v>190.69721999999999</v>
      </c>
      <c r="G165" s="13">
        <v>192.93995000000001</v>
      </c>
      <c r="H165" s="2">
        <f t="shared" si="118"/>
        <v>2.242730000000023</v>
      </c>
      <c r="I165" s="2">
        <f t="shared" si="119"/>
        <v>6.5795699999999897</v>
      </c>
      <c r="J165" s="2">
        <f t="shared" si="120"/>
        <v>0.25421148680049643</v>
      </c>
      <c r="K165" s="2">
        <f t="shared" si="121"/>
        <v>0.74578851319950357</v>
      </c>
      <c r="L165" s="2">
        <f t="shared" si="122"/>
        <v>0.44588514890334091</v>
      </c>
      <c r="M165" s="2">
        <f t="shared" si="123"/>
        <v>0.11334912664497904</v>
      </c>
      <c r="N165" s="2">
        <f t="shared" si="124"/>
        <v>8.8223000000000127</v>
      </c>
      <c r="O165" s="2">
        <v>7</v>
      </c>
      <c r="P165">
        <f t="shared" si="125"/>
        <v>3.1211960423233864</v>
      </c>
      <c r="Q165"/>
      <c r="R165"/>
      <c r="S165"/>
      <c r="T165"/>
      <c r="U165"/>
      <c r="V165"/>
      <c r="W165" s="191"/>
    </row>
    <row r="166" spans="2:35" s="2" customFormat="1" x14ac:dyDescent="0.35">
      <c r="B166"/>
      <c r="C166" s="258" t="s">
        <v>32</v>
      </c>
      <c r="D166" s="155">
        <v>8</v>
      </c>
      <c r="E166"/>
      <c r="F166" s="13">
        <v>199.51952</v>
      </c>
      <c r="G166" s="13">
        <v>202.44723999999999</v>
      </c>
      <c r="H166" s="2">
        <f t="shared" si="118"/>
        <v>2.9277199999999937</v>
      </c>
      <c r="I166" s="2">
        <f t="shared" si="119"/>
        <v>8.9028399999999976</v>
      </c>
      <c r="J166" s="2">
        <f t="shared" si="120"/>
        <v>0.24747095657348392</v>
      </c>
      <c r="K166" s="2">
        <f t="shared" si="121"/>
        <v>0.75252904342651605</v>
      </c>
      <c r="L166" s="2">
        <f t="shared" si="122"/>
        <v>0.34156271774623331</v>
      </c>
      <c r="M166" s="2">
        <f t="shared" si="123"/>
        <v>8.4526852490499238E-2</v>
      </c>
      <c r="N166" s="2">
        <f t="shared" si="124"/>
        <v>11.830559999999991</v>
      </c>
      <c r="O166" s="2">
        <v>8</v>
      </c>
      <c r="P166">
        <f t="shared" si="125"/>
        <v>2.7325017419698665</v>
      </c>
      <c r="Q166"/>
      <c r="R166"/>
      <c r="S166"/>
      <c r="T166"/>
      <c r="U166"/>
      <c r="V166"/>
      <c r="W166" s="191"/>
    </row>
    <row r="167" spans="2:35" s="2" customFormat="1" x14ac:dyDescent="0.35">
      <c r="B167"/>
      <c r="C167" s="258" t="s">
        <v>32</v>
      </c>
      <c r="D167" s="155">
        <v>8</v>
      </c>
      <c r="E167"/>
      <c r="F167" s="13">
        <v>211.35007999999999</v>
      </c>
      <c r="G167" s="13">
        <v>213.50619</v>
      </c>
      <c r="H167" s="2">
        <f t="shared" si="118"/>
        <v>2.1561100000000124</v>
      </c>
      <c r="I167" s="2">
        <f t="shared" si="119"/>
        <v>5.6349799999999846</v>
      </c>
      <c r="J167" s="2">
        <f t="shared" si="120"/>
        <v>0.27674048175544286</v>
      </c>
      <c r="K167" s="2">
        <f t="shared" si="121"/>
        <v>0.72325951824455714</v>
      </c>
      <c r="L167" s="2">
        <f t="shared" si="122"/>
        <v>0.46379822921835817</v>
      </c>
      <c r="M167" s="2">
        <f t="shared" si="123"/>
        <v>0.12835174539120975</v>
      </c>
      <c r="N167" s="2">
        <f t="shared" si="124"/>
        <v>7.791089999999997</v>
      </c>
      <c r="O167" s="2">
        <v>6</v>
      </c>
      <c r="P167">
        <f t="shared" si="125"/>
        <v>2.7827893753101489</v>
      </c>
      <c r="Q167"/>
      <c r="R167"/>
      <c r="S167"/>
      <c r="T167"/>
      <c r="U167"/>
      <c r="V167"/>
      <c r="W167" s="191"/>
    </row>
    <row r="168" spans="2:35" s="2" customFormat="1" ht="15.5" x14ac:dyDescent="0.35">
      <c r="B168"/>
      <c r="C168" s="258" t="s">
        <v>326</v>
      </c>
      <c r="D168" s="155">
        <v>8</v>
      </c>
      <c r="E168"/>
      <c r="F168" s="13">
        <v>219.14116999999999</v>
      </c>
      <c r="G168" s="13">
        <v>222.14945</v>
      </c>
      <c r="H168" s="2">
        <f t="shared" si="118"/>
        <v>3.0082800000000134</v>
      </c>
      <c r="I168" s="2">
        <f t="shared" si="119"/>
        <v>5.7390399999999886</v>
      </c>
      <c r="J168" s="2">
        <f t="shared" si="120"/>
        <v>0.34390876291252781</v>
      </c>
      <c r="K168" s="2">
        <f t="shared" si="121"/>
        <v>0.65609123708747219</v>
      </c>
      <c r="L168" s="2">
        <f t="shared" si="122"/>
        <v>0.3324158655444292</v>
      </c>
      <c r="M168" s="2">
        <f t="shared" si="123"/>
        <v>0.11432072909188183</v>
      </c>
      <c r="N168" s="2">
        <f t="shared" si="124"/>
        <v>8.747320000000002</v>
      </c>
      <c r="O168" s="2">
        <v>8</v>
      </c>
      <c r="P168">
        <f t="shared" si="125"/>
        <v>2.6593269243554336</v>
      </c>
      <c r="Q168"/>
      <c r="R168"/>
      <c r="S168"/>
      <c r="T168"/>
      <c r="U168"/>
      <c r="V168"/>
      <c r="W168" s="191"/>
      <c r="Y168" s="13"/>
      <c r="Z168" s="13"/>
      <c r="AA168" s="5"/>
      <c r="AB168" s="5"/>
      <c r="AC168" s="5"/>
      <c r="AD168" s="5"/>
      <c r="AE168" s="5"/>
      <c r="AF168" s="5"/>
      <c r="AG168" s="5"/>
      <c r="AH168" s="5"/>
      <c r="AI168" s="14"/>
    </row>
    <row r="169" spans="2:35" s="2" customFormat="1" x14ac:dyDescent="0.35">
      <c r="B169"/>
      <c r="C169"/>
      <c r="D169" s="155"/>
      <c r="E169"/>
      <c r="F169" s="13">
        <v>227.88848999999999</v>
      </c>
      <c r="G169" s="13">
        <v>230.88775999999999</v>
      </c>
      <c r="H169" s="2">
        <f t="shared" si="118"/>
        <v>2.9992699999999957</v>
      </c>
      <c r="I169" s="2">
        <f t="shared" si="119"/>
        <v>6.8093700000000013</v>
      </c>
      <c r="J169" s="2">
        <f t="shared" si="120"/>
        <v>0.30577837498368748</v>
      </c>
      <c r="K169" s="2">
        <f t="shared" si="121"/>
        <v>0.69422162501631246</v>
      </c>
      <c r="L169" s="2">
        <f t="shared" si="122"/>
        <v>0.33341446418628579</v>
      </c>
      <c r="M169" s="2">
        <f t="shared" si="123"/>
        <v>0.10195093305493935</v>
      </c>
      <c r="N169" s="2">
        <f t="shared" si="124"/>
        <v>9.8086399999999969</v>
      </c>
      <c r="O169" s="2">
        <v>8</v>
      </c>
      <c r="P169">
        <f t="shared" si="125"/>
        <v>2.6673157134902863</v>
      </c>
      <c r="Q169"/>
      <c r="R169"/>
      <c r="S169"/>
      <c r="T169"/>
      <c r="U169"/>
      <c r="V169"/>
      <c r="W169" s="191"/>
      <c r="X169" s="3"/>
      <c r="Y169" s="13"/>
      <c r="Z169" s="49"/>
      <c r="AA169" s="13"/>
      <c r="AB169" s="13"/>
      <c r="AC169" s="13"/>
      <c r="AD169" s="13"/>
      <c r="AE169" s="13"/>
      <c r="AF169" s="13"/>
      <c r="AG169" s="13"/>
      <c r="AH169" s="13"/>
      <c r="AI169" s="13"/>
    </row>
    <row r="170" spans="2:35" s="2" customFormat="1" x14ac:dyDescent="0.35">
      <c r="B170"/>
      <c r="C170"/>
      <c r="D170" s="155"/>
      <c r="E170"/>
      <c r="F170" s="13">
        <v>237.69712999999999</v>
      </c>
      <c r="G170" s="13">
        <v>239.88918000000001</v>
      </c>
      <c r="H170" s="2">
        <f t="shared" si="118"/>
        <v>2.1920500000000231</v>
      </c>
      <c r="P170"/>
      <c r="Q170"/>
      <c r="R170"/>
      <c r="S170"/>
      <c r="T170"/>
      <c r="U170"/>
      <c r="V170"/>
      <c r="W170" s="191"/>
      <c r="X170" s="3"/>
      <c r="Y170" s="13"/>
      <c r="Z170" s="49"/>
    </row>
    <row r="171" spans="2:35" s="2" customFormat="1" x14ac:dyDescent="0.35">
      <c r="B171"/>
      <c r="C171"/>
      <c r="D171"/>
      <c r="E171"/>
      <c r="F171" s="13"/>
      <c r="G171" s="13"/>
      <c r="P171"/>
      <c r="Q171"/>
      <c r="R171"/>
      <c r="S171"/>
      <c r="T171"/>
      <c r="U171"/>
      <c r="V171"/>
      <c r="W171" s="191"/>
      <c r="X171" s="3"/>
      <c r="Y171" s="13"/>
      <c r="Z171" s="49"/>
    </row>
    <row r="172" spans="2:35" s="2" customFormat="1" x14ac:dyDescent="0.35">
      <c r="B172"/>
      <c r="C172"/>
      <c r="D172"/>
      <c r="E172"/>
      <c r="F172" s="13"/>
      <c r="G172"/>
      <c r="H172"/>
      <c r="I172"/>
      <c r="J172"/>
      <c r="K172"/>
      <c r="L172"/>
      <c r="M172"/>
      <c r="N172"/>
      <c r="O172"/>
      <c r="P172"/>
      <c r="Q172"/>
      <c r="R172"/>
      <c r="S172"/>
      <c r="T172"/>
      <c r="U172"/>
      <c r="V172"/>
      <c r="W172" s="191"/>
      <c r="X172" s="3"/>
    </row>
    <row r="173" spans="2:35" s="2" customFormat="1" ht="16" thickBot="1" x14ac:dyDescent="0.4">
      <c r="B173"/>
      <c r="C173"/>
      <c r="D173"/>
      <c r="E173"/>
      <c r="F173" s="13"/>
      <c r="G173" s="13"/>
      <c r="H173" s="9" t="s">
        <v>3</v>
      </c>
      <c r="I173" s="9" t="s">
        <v>4</v>
      </c>
      <c r="J173" s="9" t="s">
        <v>5</v>
      </c>
      <c r="K173" s="9" t="s">
        <v>6</v>
      </c>
      <c r="L173" s="9" t="s">
        <v>7</v>
      </c>
      <c r="M173" s="9" t="s">
        <v>8</v>
      </c>
      <c r="N173" s="9" t="s">
        <v>9</v>
      </c>
      <c r="O173" s="9" t="s">
        <v>10</v>
      </c>
      <c r="P173" s="44" t="s">
        <v>139</v>
      </c>
      <c r="Q173"/>
      <c r="R173"/>
      <c r="S173"/>
      <c r="T173"/>
      <c r="U173"/>
      <c r="V173"/>
      <c r="X173" s="3"/>
    </row>
    <row r="174" spans="2:35" s="2" customFormat="1" ht="15.5" x14ac:dyDescent="0.35">
      <c r="B174"/>
      <c r="C174"/>
      <c r="D174"/>
      <c r="E174" s="104" t="s">
        <v>413</v>
      </c>
      <c r="F174" s="13"/>
      <c r="G174" s="49" t="s">
        <v>77</v>
      </c>
      <c r="H174" s="13">
        <f>AVERAGE(H157:H169)</f>
        <v>2.7677676923076957</v>
      </c>
      <c r="I174" s="13">
        <f t="shared" ref="I174:P174" si="126">AVERAGE(I157:I169)</f>
        <v>6.2716438461538413</v>
      </c>
      <c r="J174" s="13">
        <f t="shared" si="126"/>
        <v>0.3072397451929334</v>
      </c>
      <c r="K174" s="13">
        <f t="shared" si="126"/>
        <v>0.6927602548070666</v>
      </c>
      <c r="L174" s="13">
        <f t="shared" si="126"/>
        <v>0.36756165346909159</v>
      </c>
      <c r="M174" s="13">
        <f t="shared" si="126"/>
        <v>0.11177984126166672</v>
      </c>
      <c r="N174" s="13">
        <f t="shared" si="126"/>
        <v>9.0394115384615379</v>
      </c>
      <c r="O174" s="13">
        <f t="shared" si="126"/>
        <v>8.2307692307692299</v>
      </c>
      <c r="P174" s="13">
        <f t="shared" si="126"/>
        <v>2.9797460529220334</v>
      </c>
      <c r="Q174"/>
      <c r="R174"/>
      <c r="S174"/>
      <c r="T174"/>
      <c r="U174"/>
      <c r="V174"/>
      <c r="X174" s="3"/>
      <c r="Z174" s="13"/>
      <c r="AA174" s="5"/>
      <c r="AB174" s="5"/>
      <c r="AC174" s="5"/>
      <c r="AD174" s="5"/>
      <c r="AE174" s="5"/>
      <c r="AF174" s="5"/>
      <c r="AG174" s="5"/>
      <c r="AH174" s="5"/>
      <c r="AI174" s="14"/>
    </row>
    <row r="175" spans="2:35" s="2" customFormat="1" x14ac:dyDescent="0.35">
      <c r="B175"/>
      <c r="C175"/>
      <c r="D175"/>
      <c r="E175" s="104"/>
      <c r="F175" s="13"/>
      <c r="G175" s="49" t="s">
        <v>94</v>
      </c>
      <c r="H175" s="2">
        <f>_xlfn.STDEV.S(H157:H169)</f>
        <v>0.34750980916979257</v>
      </c>
      <c r="I175" s="2">
        <f t="shared" ref="I175:P175" si="127">_xlfn.STDEV.S(I157:I169)</f>
        <v>0.89579512207069723</v>
      </c>
      <c r="J175" s="2">
        <f t="shared" si="127"/>
        <v>3.4635662195876278E-2</v>
      </c>
      <c r="K175" s="2">
        <f t="shared" si="127"/>
        <v>3.4635662195876313E-2</v>
      </c>
      <c r="L175" s="2">
        <f t="shared" si="127"/>
        <v>5.4095448423159553E-2</v>
      </c>
      <c r="M175" s="2">
        <f t="shared" si="127"/>
        <v>1.1201652602171645E-2</v>
      </c>
      <c r="N175" s="2">
        <f t="shared" si="127"/>
        <v>1.0204524642027415</v>
      </c>
      <c r="O175" s="2">
        <f t="shared" si="127"/>
        <v>1.4232501627054261</v>
      </c>
      <c r="P175" s="2">
        <f t="shared" si="127"/>
        <v>0.37746607389467363</v>
      </c>
      <c r="Q175"/>
      <c r="R175"/>
      <c r="S175"/>
      <c r="T175"/>
      <c r="U175"/>
      <c r="V175"/>
      <c r="X175" s="3"/>
      <c r="Z175" s="49"/>
      <c r="AA175" s="13"/>
      <c r="AB175" s="13"/>
      <c r="AC175" s="13"/>
      <c r="AD175" s="13"/>
      <c r="AE175" s="13"/>
      <c r="AF175" s="13"/>
      <c r="AG175" s="13"/>
      <c r="AH175" s="13"/>
      <c r="AI175" s="13"/>
    </row>
    <row r="176" spans="2:35" s="2" customFormat="1" x14ac:dyDescent="0.35">
      <c r="B176"/>
      <c r="C176"/>
      <c r="D176"/>
      <c r="E176" s="104"/>
      <c r="F176" s="13"/>
      <c r="G176" s="49" t="s">
        <v>95</v>
      </c>
      <c r="H176" s="2">
        <f>H175/(SQRT(COUNT(H157:H169)))</f>
        <v>9.6381879668337944E-2</v>
      </c>
      <c r="I176" s="2">
        <f t="shared" ref="I176:P176" si="128">I175/(SQRT(COUNT(I157:I169)))</f>
        <v>0.24844886499510943</v>
      </c>
      <c r="J176" s="2">
        <f t="shared" si="128"/>
        <v>9.6062043082216619E-3</v>
      </c>
      <c r="K176" s="2">
        <f t="shared" si="128"/>
        <v>9.6062043082216705E-3</v>
      </c>
      <c r="L176" s="2">
        <f t="shared" si="128"/>
        <v>1.5003377927609184E-2</v>
      </c>
      <c r="M176" s="2">
        <f t="shared" si="128"/>
        <v>3.1067794482357303E-3</v>
      </c>
      <c r="N176" s="2">
        <f t="shared" si="128"/>
        <v>0.28302259106588967</v>
      </c>
      <c r="O176" s="2">
        <f t="shared" si="128"/>
        <v>0.39473857226514458</v>
      </c>
      <c r="P176" s="2">
        <f t="shared" si="128"/>
        <v>0.10469025262887115</v>
      </c>
      <c r="Q176"/>
      <c r="R176"/>
      <c r="S176"/>
      <c r="T176"/>
      <c r="U176"/>
      <c r="V176"/>
      <c r="Z176" s="49"/>
    </row>
    <row r="177" spans="2:38" s="2" customFormat="1" x14ac:dyDescent="0.35">
      <c r="B177"/>
      <c r="C177"/>
      <c r="D177"/>
      <c r="E177" s="104"/>
      <c r="F177"/>
      <c r="G177"/>
      <c r="H177"/>
      <c r="I177"/>
      <c r="J177"/>
      <c r="K177"/>
      <c r="L177"/>
      <c r="M177"/>
      <c r="N177"/>
      <c r="O177"/>
      <c r="P177"/>
      <c r="Q177"/>
      <c r="R177"/>
      <c r="S177"/>
      <c r="T177"/>
      <c r="U177"/>
      <c r="V177"/>
      <c r="Z177" s="49"/>
    </row>
    <row r="178" spans="2:38" s="2" customFormat="1" x14ac:dyDescent="0.35">
      <c r="B178"/>
      <c r="C178"/>
      <c r="D178"/>
      <c r="E178" s="104"/>
      <c r="F178"/>
      <c r="G178"/>
      <c r="H178"/>
      <c r="I178"/>
      <c r="J178"/>
      <c r="K178"/>
      <c r="L178"/>
      <c r="M178"/>
      <c r="N178"/>
      <c r="O178"/>
      <c r="P178"/>
      <c r="Q178"/>
      <c r="R178"/>
      <c r="S178"/>
      <c r="T178"/>
      <c r="U178"/>
    </row>
    <row r="179" spans="2:38" s="2" customFormat="1" ht="16" thickBot="1" x14ac:dyDescent="0.4">
      <c r="B179"/>
      <c r="C179"/>
      <c r="D179"/>
      <c r="E179" s="104"/>
      <c r="F179"/>
      <c r="G179" s="13"/>
      <c r="H179" s="9" t="s">
        <v>3</v>
      </c>
      <c r="I179" s="9" t="s">
        <v>4</v>
      </c>
      <c r="J179" s="9" t="s">
        <v>5</v>
      </c>
      <c r="K179" s="9" t="s">
        <v>6</v>
      </c>
      <c r="L179" s="9" t="s">
        <v>7</v>
      </c>
      <c r="M179" s="9" t="s">
        <v>8</v>
      </c>
      <c r="N179" s="9" t="s">
        <v>9</v>
      </c>
      <c r="O179" s="9" t="s">
        <v>10</v>
      </c>
      <c r="P179" s="44" t="s">
        <v>139</v>
      </c>
      <c r="Q179"/>
      <c r="R179"/>
      <c r="S179"/>
      <c r="T179"/>
      <c r="U179"/>
    </row>
    <row r="180" spans="2:38" s="2" customFormat="1" x14ac:dyDescent="0.35">
      <c r="B180"/>
      <c r="C180"/>
      <c r="D180"/>
      <c r="E180" s="104" t="s">
        <v>410</v>
      </c>
      <c r="F180"/>
      <c r="G180" s="49" t="s">
        <v>77</v>
      </c>
      <c r="H180" s="13">
        <f>AVERAGE(H145:H156)</f>
        <v>2.8385208333333325</v>
      </c>
      <c r="I180" s="13">
        <f t="shared" ref="I180:P180" si="129">AVERAGE(I145:I156)</f>
        <v>6.9550550000000015</v>
      </c>
      <c r="J180" s="13">
        <f t="shared" si="129"/>
        <v>0.29490412352521184</v>
      </c>
      <c r="K180" s="13">
        <f t="shared" si="129"/>
        <v>0.705095876474788</v>
      </c>
      <c r="L180" s="13">
        <f t="shared" si="129"/>
        <v>0.36545335203725093</v>
      </c>
      <c r="M180" s="13">
        <f t="shared" si="129"/>
        <v>0.10450312418206548</v>
      </c>
      <c r="N180" s="13">
        <f t="shared" si="129"/>
        <v>9.7935758333333336</v>
      </c>
      <c r="O180" s="13">
        <f t="shared" si="129"/>
        <v>8.75</v>
      </c>
      <c r="P180" s="13">
        <f t="shared" si="129"/>
        <v>3.1065340171131663</v>
      </c>
      <c r="Q180"/>
      <c r="R180"/>
      <c r="S180"/>
      <c r="T180"/>
      <c r="U180"/>
    </row>
    <row r="181" spans="2:38" s="2" customFormat="1" x14ac:dyDescent="0.35">
      <c r="B181"/>
      <c r="C181"/>
      <c r="D181"/>
      <c r="E181"/>
      <c r="F181"/>
      <c r="G181" s="49" t="s">
        <v>94</v>
      </c>
      <c r="H181" s="2">
        <f>_xlfn.STDEV.S(H145:H156)</f>
        <v>0.51895874998900415</v>
      </c>
      <c r="I181" s="2">
        <f t="shared" ref="I181:P181" si="130">_xlfn.STDEV.S(I145:I156)</f>
        <v>1.7954415579790366</v>
      </c>
      <c r="J181" s="2">
        <f t="shared" si="130"/>
        <v>5.6483585073025026E-2</v>
      </c>
      <c r="K181" s="2">
        <f t="shared" si="130"/>
        <v>5.648358507302486E-2</v>
      </c>
      <c r="L181" s="2">
        <f t="shared" si="130"/>
        <v>8.1930915165890836E-2</v>
      </c>
      <c r="M181" s="2">
        <f t="shared" si="130"/>
        <v>1.520173711614194E-2</v>
      </c>
      <c r="N181" s="2">
        <f t="shared" si="130"/>
        <v>1.7353445501815139</v>
      </c>
      <c r="O181" s="2">
        <f t="shared" si="130"/>
        <v>1.4222261679238197</v>
      </c>
      <c r="P181" s="2">
        <f t="shared" si="130"/>
        <v>0.27548541840895724</v>
      </c>
      <c r="Q181"/>
      <c r="R181"/>
      <c r="S181"/>
      <c r="T181"/>
      <c r="U181"/>
    </row>
    <row r="182" spans="2:38" x14ac:dyDescent="0.35">
      <c r="G182" s="49" t="s">
        <v>95</v>
      </c>
      <c r="H182" s="2">
        <f>H181/(SQRT(COUNT(H145:H156)))</f>
        <v>0.14981048700223162</v>
      </c>
      <c r="I182" s="2">
        <f t="shared" ref="I182:P182" si="131">I181/(SQRT(COUNT(I145:I156)))</f>
        <v>0.51829933340671897</v>
      </c>
      <c r="J182" s="2">
        <f t="shared" si="131"/>
        <v>1.6305406523353064E-2</v>
      </c>
      <c r="K182" s="2">
        <f t="shared" si="131"/>
        <v>1.6305406523353015E-2</v>
      </c>
      <c r="L182" s="2">
        <f t="shared" si="131"/>
        <v>2.3651417962989734E-2</v>
      </c>
      <c r="M182" s="2">
        <f t="shared" si="131"/>
        <v>4.3883635080772376E-3</v>
      </c>
      <c r="N182" s="2">
        <f t="shared" si="131"/>
        <v>0.50095082159202353</v>
      </c>
      <c r="O182" s="2">
        <f t="shared" si="131"/>
        <v>0.41056133044967363</v>
      </c>
      <c r="P182" s="2">
        <f t="shared" si="131"/>
        <v>7.9525790238114083E-2</v>
      </c>
      <c r="V182" s="2"/>
      <c r="W182" s="2"/>
      <c r="X182" s="2"/>
      <c r="Y182" s="2"/>
      <c r="Z182" s="2"/>
      <c r="AA182" s="2"/>
      <c r="AB182" s="2"/>
      <c r="AC182" s="2"/>
      <c r="AD182" s="2"/>
      <c r="AE182" s="2"/>
      <c r="AF182" s="2"/>
      <c r="AG182" s="2"/>
      <c r="AH182" s="2"/>
      <c r="AI182" s="2"/>
      <c r="AJ182" s="2"/>
      <c r="AK182" s="2"/>
      <c r="AL182" s="2"/>
    </row>
    <row r="183" spans="2:38" x14ac:dyDescent="0.35">
      <c r="V183" s="2"/>
      <c r="W183" s="2"/>
      <c r="X183" s="2"/>
      <c r="Y183" s="2"/>
      <c r="Z183" s="2"/>
      <c r="AA183" s="2"/>
      <c r="AB183" s="2"/>
      <c r="AC183" s="2"/>
      <c r="AD183" s="2"/>
      <c r="AE183" s="2"/>
      <c r="AF183" s="2"/>
      <c r="AG183" s="2"/>
      <c r="AH183" s="2"/>
      <c r="AI183" s="2"/>
      <c r="AJ183" s="2"/>
      <c r="AK183" s="2"/>
      <c r="AL183" s="2"/>
    </row>
    <row r="184" spans="2:38" x14ac:dyDescent="0.35">
      <c r="B184" s="2"/>
      <c r="V184" s="2"/>
      <c r="W184" s="2"/>
      <c r="X184" s="2"/>
      <c r="Y184" s="2"/>
      <c r="Z184" s="2"/>
      <c r="AA184" s="2"/>
      <c r="AB184" s="2"/>
      <c r="AC184" s="2"/>
      <c r="AD184" s="2"/>
      <c r="AE184" s="2"/>
      <c r="AF184" s="2"/>
      <c r="AG184" s="2"/>
      <c r="AH184" s="2"/>
      <c r="AI184" s="2"/>
      <c r="AJ184" s="2"/>
      <c r="AK184" s="2"/>
      <c r="AL184" s="2"/>
    </row>
    <row r="185" spans="2:38" x14ac:dyDescent="0.35">
      <c r="B185" s="2"/>
      <c r="V185" s="2"/>
      <c r="W185" s="2"/>
      <c r="X185" s="2"/>
      <c r="Y185" s="2"/>
      <c r="Z185" s="2"/>
      <c r="AA185" s="2"/>
      <c r="AB185" s="2"/>
      <c r="AC185" s="2"/>
      <c r="AD185" s="2"/>
      <c r="AE185" s="2"/>
      <c r="AF185" s="2"/>
      <c r="AG185" s="2"/>
      <c r="AH185" s="2"/>
      <c r="AI185" s="2"/>
      <c r="AJ185" s="2"/>
      <c r="AK185" s="2"/>
      <c r="AL185" s="2"/>
    </row>
    <row r="186" spans="2:38" x14ac:dyDescent="0.35">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2:38" ht="18.5" x14ac:dyDescent="0.45">
      <c r="B187" s="2"/>
      <c r="C187" s="2"/>
      <c r="D187" s="2"/>
      <c r="E187" s="2"/>
      <c r="F187" s="1"/>
      <c r="G187" s="3"/>
      <c r="H187" s="3"/>
      <c r="I187" s="3"/>
      <c r="J187" s="3"/>
      <c r="K187" s="3"/>
      <c r="L187" s="3"/>
      <c r="M187" s="3"/>
      <c r="N187" s="3"/>
      <c r="O187" s="3"/>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2:38" ht="15.5" x14ac:dyDescent="0.35">
      <c r="B188" s="2"/>
      <c r="C188" s="2"/>
      <c r="D188" s="199"/>
      <c r="E188" s="2"/>
      <c r="F188" s="5"/>
      <c r="G188" s="5"/>
      <c r="H188" s="5"/>
      <c r="I188" s="5"/>
      <c r="J188" s="5"/>
      <c r="K188" s="5"/>
      <c r="L188" s="5"/>
      <c r="M188" s="5"/>
      <c r="N188" s="5"/>
      <c r="O188" s="5"/>
      <c r="P188" s="14"/>
      <c r="Q188" s="2"/>
      <c r="R188" s="14"/>
      <c r="S188" s="2"/>
      <c r="T188" s="2"/>
      <c r="U188" s="2"/>
      <c r="V188" s="2"/>
      <c r="W188" s="2"/>
      <c r="X188" s="2"/>
      <c r="Y188" s="2"/>
      <c r="Z188" s="2"/>
      <c r="AA188" s="2"/>
      <c r="AB188" s="2"/>
      <c r="AC188" s="2"/>
      <c r="AD188" s="2"/>
      <c r="AE188" s="2"/>
      <c r="AF188" s="2"/>
      <c r="AG188" s="2"/>
      <c r="AH188" s="2"/>
      <c r="AI188" s="2"/>
      <c r="AJ188" s="2"/>
      <c r="AK188" s="2"/>
      <c r="AL188" s="2"/>
    </row>
    <row r="189" spans="2:38" x14ac:dyDescent="0.35">
      <c r="B189" s="2"/>
      <c r="C189" s="2"/>
      <c r="D189" s="191"/>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2:38" x14ac:dyDescent="0.35">
      <c r="B190" s="2"/>
      <c r="C190" s="2"/>
      <c r="D190" s="191"/>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2:38" x14ac:dyDescent="0.35">
      <c r="B191" s="2"/>
      <c r="C191" s="2"/>
      <c r="D191" s="191"/>
      <c r="E191" s="2"/>
      <c r="F191" s="13"/>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2:38" x14ac:dyDescent="0.35">
      <c r="B192" s="2"/>
      <c r="C192" s="2"/>
      <c r="D192" s="191"/>
      <c r="E192" s="2"/>
      <c r="F192" s="13"/>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2:38" x14ac:dyDescent="0.35">
      <c r="B193" s="2"/>
      <c r="C193" s="2"/>
      <c r="D193" s="191"/>
      <c r="E193" s="2"/>
      <c r="F193" s="13"/>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2:38" x14ac:dyDescent="0.35">
      <c r="B194" s="2"/>
      <c r="C194" s="2"/>
      <c r="D194" s="191"/>
      <c r="E194" s="2"/>
      <c r="F194" s="13"/>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2:38" x14ac:dyDescent="0.35">
      <c r="B195" s="2"/>
      <c r="C195" s="2"/>
      <c r="D195" s="191"/>
      <c r="E195" s="2"/>
      <c r="F195" s="13"/>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2:38" x14ac:dyDescent="0.35">
      <c r="B196" s="2"/>
      <c r="C196" s="2"/>
      <c r="D196" s="191"/>
      <c r="E196" s="2"/>
      <c r="F196" s="13"/>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2:38" x14ac:dyDescent="0.35">
      <c r="B197" s="2"/>
      <c r="C197" s="2"/>
      <c r="D197" s="191"/>
      <c r="E197" s="2"/>
      <c r="F197" s="13"/>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2:38" x14ac:dyDescent="0.35">
      <c r="B198" s="2"/>
      <c r="C198" s="2"/>
      <c r="D198" s="191"/>
      <c r="E198" s="2"/>
      <c r="F198" s="13"/>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2:38" x14ac:dyDescent="0.35">
      <c r="B199" s="2"/>
      <c r="C199" s="2"/>
      <c r="D199" s="191"/>
      <c r="E199" s="2"/>
      <c r="F199" s="13"/>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2:38" x14ac:dyDescent="0.35">
      <c r="B200" s="2"/>
      <c r="C200" s="2"/>
      <c r="D200" s="191"/>
      <c r="E200" s="2"/>
      <c r="F200" s="13"/>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2:38" x14ac:dyDescent="0.35">
      <c r="B201" s="2"/>
      <c r="C201" s="2"/>
      <c r="D201" s="191"/>
      <c r="E201" s="2"/>
      <c r="F201" s="13"/>
      <c r="G201" s="2"/>
      <c r="H201" s="2"/>
      <c r="I201" s="2"/>
      <c r="J201" s="2"/>
      <c r="K201" s="2"/>
      <c r="L201" s="2"/>
      <c r="M201" s="2"/>
      <c r="N201" s="2"/>
      <c r="O201" s="2"/>
      <c r="P201" s="2"/>
      <c r="Q201" s="2"/>
      <c r="R201" s="2"/>
      <c r="S201" s="2"/>
      <c r="T201" s="2"/>
      <c r="U201" s="2"/>
      <c r="W201" s="2"/>
      <c r="X201" s="2"/>
      <c r="Y201" s="2"/>
      <c r="Z201" s="2"/>
      <c r="AA201" s="2"/>
      <c r="AB201" s="2"/>
      <c r="AC201" s="2"/>
      <c r="AD201" s="2"/>
      <c r="AE201" s="2"/>
      <c r="AF201" s="2"/>
      <c r="AG201" s="2"/>
      <c r="AH201" s="2"/>
      <c r="AI201" s="2"/>
      <c r="AJ201" s="2"/>
      <c r="AK201" s="2"/>
      <c r="AL201" s="2"/>
    </row>
    <row r="202" spans="2:38" x14ac:dyDescent="0.35">
      <c r="B202" s="2"/>
      <c r="C202" s="2"/>
      <c r="D202" s="191"/>
      <c r="E202" s="2"/>
      <c r="F202" s="13"/>
      <c r="G202" s="2"/>
      <c r="H202" s="2"/>
      <c r="I202" s="2"/>
      <c r="J202" s="2"/>
      <c r="K202" s="2"/>
      <c r="L202" s="2"/>
      <c r="M202" s="2"/>
      <c r="N202" s="2"/>
      <c r="O202" s="2"/>
      <c r="P202" s="2"/>
      <c r="Q202" s="2"/>
      <c r="R202" s="2"/>
      <c r="S202" s="2"/>
      <c r="T202" s="2"/>
      <c r="U202" s="2"/>
      <c r="W202" s="2"/>
      <c r="X202" s="2"/>
      <c r="Y202" s="2"/>
      <c r="Z202" s="2"/>
      <c r="AA202" s="2"/>
      <c r="AB202" s="2"/>
      <c r="AC202" s="2"/>
      <c r="AD202" s="2"/>
      <c r="AE202" s="2"/>
      <c r="AF202" s="2"/>
      <c r="AG202" s="2"/>
      <c r="AH202" s="2"/>
      <c r="AI202" s="2"/>
      <c r="AJ202" s="2"/>
      <c r="AK202" s="2"/>
      <c r="AL202" s="2"/>
    </row>
    <row r="203" spans="2:38" x14ac:dyDescent="0.35">
      <c r="B203" s="2"/>
      <c r="C203" s="2"/>
      <c r="D203" s="191"/>
      <c r="E203" s="2"/>
      <c r="F203" s="13"/>
      <c r="G203" s="2"/>
      <c r="H203" s="2"/>
      <c r="I203" s="2"/>
      <c r="J203" s="2"/>
      <c r="K203" s="2"/>
      <c r="L203" s="2"/>
      <c r="M203" s="2"/>
      <c r="N203" s="2"/>
      <c r="O203" s="2"/>
      <c r="P203" s="2"/>
      <c r="Q203" s="2"/>
      <c r="R203" s="2"/>
      <c r="S203" s="2"/>
      <c r="T203" s="2"/>
      <c r="U203" s="2"/>
      <c r="W203" s="2"/>
      <c r="X203" s="2"/>
      <c r="Y203" s="2"/>
      <c r="Z203" s="2"/>
      <c r="AA203" s="2"/>
      <c r="AB203" s="2"/>
      <c r="AC203" s="2"/>
      <c r="AD203" s="2"/>
      <c r="AE203" s="2"/>
      <c r="AF203" s="2"/>
      <c r="AG203" s="2"/>
      <c r="AH203" s="2"/>
      <c r="AI203" s="2"/>
      <c r="AJ203" s="2"/>
      <c r="AK203" s="2"/>
      <c r="AL203" s="2"/>
    </row>
    <row r="204" spans="2:38" x14ac:dyDescent="0.35">
      <c r="B204" s="2"/>
      <c r="C204" s="2"/>
      <c r="D204" s="191"/>
      <c r="E204" s="2"/>
      <c r="F204" s="13"/>
      <c r="G204" s="2"/>
      <c r="H204" s="2"/>
      <c r="I204" s="2"/>
      <c r="J204" s="2"/>
      <c r="K204" s="2"/>
      <c r="L204" s="2"/>
      <c r="M204" s="2"/>
      <c r="N204" s="2"/>
      <c r="O204" s="2"/>
      <c r="P204" s="2"/>
      <c r="Q204" s="2"/>
      <c r="R204" s="2"/>
      <c r="S204" s="2"/>
      <c r="T204" s="2"/>
      <c r="U204" s="2"/>
      <c r="W204" s="2"/>
      <c r="X204" s="2"/>
      <c r="Y204" s="2"/>
      <c r="Z204" s="2"/>
      <c r="AA204" s="2"/>
      <c r="AB204" s="2"/>
      <c r="AC204" s="2"/>
      <c r="AD204" s="2"/>
      <c r="AE204" s="2"/>
      <c r="AF204" s="2"/>
      <c r="AG204" s="2"/>
      <c r="AH204" s="2"/>
      <c r="AI204" s="2"/>
      <c r="AJ204" s="2"/>
      <c r="AK204" s="2"/>
      <c r="AL204" s="2"/>
    </row>
    <row r="205" spans="2:38" x14ac:dyDescent="0.35">
      <c r="B205" s="2"/>
      <c r="C205" s="2"/>
      <c r="D205" s="191"/>
      <c r="E205" s="2"/>
      <c r="F205" s="13"/>
      <c r="G205" s="13"/>
      <c r="H205" s="2"/>
      <c r="I205" s="2"/>
      <c r="J205" s="2"/>
      <c r="K205" s="2"/>
      <c r="L205" s="2"/>
      <c r="M205" s="2"/>
      <c r="N205" s="2"/>
      <c r="O205" s="2"/>
      <c r="P205" s="2"/>
      <c r="Q205" s="2"/>
      <c r="R205" s="2"/>
      <c r="S205" s="2"/>
      <c r="T205" s="2"/>
      <c r="U205" s="2"/>
      <c r="W205" s="2"/>
      <c r="X205" s="2"/>
      <c r="Y205" s="2"/>
      <c r="Z205" s="2"/>
      <c r="AA205" s="2"/>
      <c r="AB205" s="2"/>
      <c r="AC205" s="2"/>
      <c r="AD205" s="2"/>
      <c r="AE205" s="2"/>
      <c r="AF205" s="2"/>
      <c r="AG205" s="2"/>
      <c r="AH205" s="2"/>
      <c r="AI205" s="2"/>
      <c r="AJ205" s="2"/>
      <c r="AK205" s="2"/>
      <c r="AL205" s="2"/>
    </row>
    <row r="206" spans="2:38" x14ac:dyDescent="0.35">
      <c r="B206" s="2"/>
      <c r="C206" s="2"/>
      <c r="D206" s="2"/>
      <c r="E206" s="2"/>
      <c r="F206" s="2"/>
      <c r="G206" s="2"/>
      <c r="H206" s="2"/>
      <c r="I206" s="2"/>
      <c r="J206" s="2"/>
      <c r="K206" s="2"/>
      <c r="L206" s="2"/>
      <c r="M206" s="2"/>
      <c r="N206" s="2"/>
      <c r="O206" s="2"/>
      <c r="P206" s="2"/>
      <c r="Q206" s="2"/>
      <c r="R206" s="2"/>
      <c r="S206" s="2"/>
      <c r="T206" s="2"/>
      <c r="U206" s="2"/>
      <c r="W206" s="2"/>
      <c r="X206" s="2"/>
      <c r="Y206" s="2"/>
      <c r="Z206" s="2"/>
      <c r="AA206" s="2"/>
      <c r="AB206" s="2"/>
      <c r="AC206" s="2"/>
      <c r="AD206" s="2"/>
      <c r="AE206" s="2"/>
      <c r="AF206" s="2"/>
      <c r="AG206" s="2"/>
      <c r="AH206" s="2"/>
      <c r="AI206" s="2"/>
      <c r="AJ206" s="2"/>
      <c r="AK206" s="2"/>
      <c r="AL206" s="2"/>
    </row>
    <row r="207" spans="2:38" x14ac:dyDescent="0.35">
      <c r="C207" s="2"/>
      <c r="D207" s="2"/>
      <c r="E207" s="2"/>
      <c r="F207" s="2"/>
      <c r="G207" s="2"/>
      <c r="H207" s="2"/>
      <c r="I207" s="2"/>
      <c r="J207" s="2"/>
      <c r="K207" s="2"/>
      <c r="L207" s="2"/>
      <c r="M207" s="2"/>
      <c r="N207" s="2"/>
      <c r="O207" s="2"/>
      <c r="P207" s="2"/>
      <c r="Q207" s="2"/>
      <c r="R207" s="2"/>
      <c r="S207" s="2"/>
      <c r="T207" s="2"/>
      <c r="U207" s="2"/>
      <c r="W207" s="2"/>
      <c r="X207" s="2"/>
      <c r="Y207" s="2"/>
      <c r="Z207" s="2"/>
      <c r="AA207" s="2"/>
      <c r="AB207" s="2"/>
      <c r="AC207" s="2"/>
      <c r="AD207" s="2"/>
      <c r="AE207" s="2"/>
      <c r="AF207" s="2"/>
      <c r="AG207" s="2"/>
      <c r="AH207" s="2"/>
      <c r="AI207" s="2"/>
      <c r="AJ207" s="2"/>
      <c r="AK207" s="2"/>
      <c r="AL207" s="2"/>
    </row>
    <row r="208" spans="2:38" x14ac:dyDescent="0.35">
      <c r="C208" s="2"/>
      <c r="D208" s="2"/>
      <c r="E208" s="2"/>
      <c r="F208" s="2"/>
      <c r="G208" s="2"/>
      <c r="H208" s="2"/>
      <c r="I208" s="2"/>
      <c r="J208" s="2"/>
      <c r="K208" s="2"/>
      <c r="L208" s="2"/>
      <c r="M208" s="2"/>
      <c r="N208" s="2"/>
      <c r="O208" s="2"/>
      <c r="P208" s="2"/>
      <c r="Q208" s="2"/>
      <c r="R208" s="2"/>
      <c r="S208" s="2"/>
      <c r="T208" s="2"/>
      <c r="U208" s="2"/>
      <c r="W208" s="2"/>
      <c r="X208" s="2"/>
      <c r="Y208" s="2"/>
      <c r="Z208" s="2"/>
      <c r="AA208" s="2"/>
      <c r="AB208" s="2"/>
      <c r="AC208" s="2"/>
      <c r="AD208" s="2"/>
      <c r="AE208" s="2"/>
      <c r="AF208" s="2"/>
      <c r="AG208" s="2"/>
      <c r="AH208" s="2"/>
      <c r="AI208" s="2"/>
      <c r="AJ208" s="2"/>
      <c r="AK208" s="2"/>
      <c r="AL208" s="2"/>
    </row>
    <row r="209" spans="23:38" x14ac:dyDescent="0.35">
      <c r="W209" s="2"/>
      <c r="X209" s="2"/>
      <c r="Y209" s="2"/>
      <c r="Z209" s="2"/>
      <c r="AA209" s="2"/>
      <c r="AB209" s="2"/>
      <c r="AC209" s="2"/>
      <c r="AD209" s="2"/>
      <c r="AE209" s="2"/>
      <c r="AF209" s="2"/>
      <c r="AG209" s="2"/>
      <c r="AH209" s="2"/>
      <c r="AI209" s="2"/>
      <c r="AJ209" s="2"/>
      <c r="AK209" s="2"/>
      <c r="AL209" s="2"/>
    </row>
    <row r="210" spans="23:38" x14ac:dyDescent="0.35">
      <c r="W210" s="2"/>
      <c r="X210" s="2"/>
      <c r="Y210" s="2"/>
      <c r="Z210" s="2"/>
      <c r="AA210" s="2"/>
      <c r="AB210" s="2"/>
      <c r="AC210" s="2"/>
      <c r="AD210" s="2"/>
      <c r="AE210" s="2"/>
      <c r="AF210" s="2"/>
      <c r="AG210" s="2"/>
      <c r="AH210" s="2"/>
      <c r="AI210" s="2"/>
      <c r="AJ210" s="2"/>
      <c r="AK210" s="2"/>
      <c r="AL210" s="2"/>
    </row>
    <row r="211" spans="23:38" x14ac:dyDescent="0.35">
      <c r="W211" s="2"/>
      <c r="X211" s="2"/>
      <c r="Y211" s="2"/>
      <c r="Z211" s="2"/>
      <c r="AA211" s="2"/>
      <c r="AB211" s="2"/>
      <c r="AC211" s="2"/>
      <c r="AD211" s="2"/>
      <c r="AE211" s="2"/>
      <c r="AF211" s="2"/>
      <c r="AG211" s="2"/>
      <c r="AH211" s="2"/>
      <c r="AI211" s="2"/>
      <c r="AJ211" s="2"/>
      <c r="AK211" s="2"/>
      <c r="AL211" s="2"/>
    </row>
    <row r="212" spans="23:38" x14ac:dyDescent="0.35">
      <c r="W212" s="2"/>
      <c r="X212" s="2"/>
      <c r="Y212" s="2"/>
      <c r="Z212" s="2"/>
      <c r="AA212" s="2"/>
      <c r="AB212" s="2"/>
      <c r="AC212" s="2"/>
      <c r="AD212" s="2"/>
      <c r="AE212" s="2"/>
      <c r="AF212" s="2"/>
      <c r="AG212" s="2"/>
      <c r="AH212" s="2"/>
      <c r="AI212" s="2"/>
      <c r="AJ212" s="2"/>
      <c r="AK212" s="2"/>
      <c r="AL212" s="2"/>
    </row>
    <row r="213" spans="23:38" x14ac:dyDescent="0.35">
      <c r="W213" s="2"/>
      <c r="X213" s="2"/>
      <c r="Y213" s="2"/>
      <c r="Z213" s="2"/>
      <c r="AA213" s="2"/>
      <c r="AB213" s="2"/>
      <c r="AC213" s="2"/>
      <c r="AD213" s="2"/>
      <c r="AE213" s="2"/>
      <c r="AF213" s="2"/>
      <c r="AG213" s="2"/>
      <c r="AH213" s="2"/>
      <c r="AI213" s="2"/>
      <c r="AJ213" s="2"/>
      <c r="AK213" s="2"/>
      <c r="AL213" s="2"/>
    </row>
    <row r="214" spans="23:38" x14ac:dyDescent="0.35">
      <c r="W214" s="2"/>
      <c r="X214" s="2"/>
      <c r="Y214" s="2"/>
      <c r="Z214" s="2"/>
      <c r="AA214" s="2"/>
      <c r="AB214" s="2"/>
      <c r="AC214" s="2"/>
      <c r="AD214" s="2"/>
      <c r="AE214" s="2"/>
      <c r="AF214" s="2"/>
      <c r="AG214" s="2"/>
      <c r="AH214" s="2"/>
      <c r="AI214" s="2"/>
      <c r="AJ214" s="2"/>
      <c r="AK214" s="2"/>
      <c r="AL214" s="2"/>
    </row>
    <row r="215" spans="23:38" x14ac:dyDescent="0.35">
      <c r="W215" s="2"/>
      <c r="X215" s="2"/>
      <c r="Y215" s="2"/>
      <c r="Z215" s="2"/>
      <c r="AA215" s="2"/>
      <c r="AB215" s="2"/>
      <c r="AC215" s="2"/>
      <c r="AD215" s="2"/>
      <c r="AE215" s="2"/>
      <c r="AF215" s="2"/>
      <c r="AG215" s="2"/>
      <c r="AH215" s="2"/>
      <c r="AI215" s="2"/>
      <c r="AJ215" s="2"/>
      <c r="AK215" s="2"/>
      <c r="AL215" s="2"/>
    </row>
    <row r="216" spans="23:38" x14ac:dyDescent="0.35">
      <c r="W216" s="2"/>
      <c r="X216" s="2"/>
      <c r="Y216" s="2"/>
      <c r="Z216" s="2"/>
      <c r="AA216" s="2"/>
      <c r="AB216" s="2"/>
      <c r="AC216" s="2"/>
      <c r="AD216" s="2"/>
      <c r="AE216" s="2"/>
      <c r="AF216" s="2"/>
      <c r="AG216" s="2"/>
      <c r="AH216" s="2"/>
      <c r="AI216" s="2"/>
      <c r="AJ216" s="2"/>
      <c r="AK216" s="2"/>
      <c r="AL216" s="2"/>
    </row>
    <row r="217" spans="23:38" x14ac:dyDescent="0.35">
      <c r="W217" s="2"/>
      <c r="X217" s="2"/>
      <c r="Y217" s="2"/>
      <c r="Z217" s="2"/>
      <c r="AA217" s="2"/>
      <c r="AB217" s="2"/>
      <c r="AC217" s="2"/>
      <c r="AD217" s="2"/>
      <c r="AE217" s="2"/>
      <c r="AF217" s="2"/>
      <c r="AG217" s="2"/>
      <c r="AH217" s="2"/>
      <c r="AI217" s="2"/>
      <c r="AJ217" s="2"/>
      <c r="AK217" s="2"/>
      <c r="AL217" s="2"/>
    </row>
    <row r="218" spans="23:38" x14ac:dyDescent="0.35">
      <c r="W218" s="2"/>
      <c r="X218" s="2"/>
      <c r="Y218" s="2"/>
      <c r="Z218" s="2"/>
      <c r="AA218" s="2"/>
      <c r="AB218" s="2"/>
      <c r="AC218" s="2"/>
      <c r="AD218" s="2"/>
      <c r="AE218" s="2"/>
      <c r="AF218" s="2"/>
      <c r="AG218" s="2"/>
      <c r="AH218" s="2"/>
      <c r="AI218" s="2"/>
      <c r="AJ218" s="2"/>
      <c r="AK218" s="2"/>
      <c r="AL218" s="2"/>
    </row>
    <row r="219" spans="23:38" x14ac:dyDescent="0.35">
      <c r="W219" s="2"/>
      <c r="X219" s="2"/>
      <c r="Y219" s="2"/>
      <c r="Z219" s="2"/>
      <c r="AA219" s="2"/>
      <c r="AB219" s="2"/>
      <c r="AC219" s="2"/>
      <c r="AD219" s="2"/>
      <c r="AE219" s="2"/>
      <c r="AF219" s="2"/>
      <c r="AG219" s="2"/>
      <c r="AH219" s="2"/>
      <c r="AI219" s="2"/>
      <c r="AJ219" s="2"/>
      <c r="AK219" s="2"/>
      <c r="AL219" s="2"/>
    </row>
    <row r="220" spans="23:38" x14ac:dyDescent="0.35">
      <c r="W220" s="2"/>
      <c r="X220" s="2"/>
      <c r="Y220" s="2"/>
      <c r="Z220" s="2"/>
      <c r="AA220" s="2"/>
      <c r="AB220" s="2"/>
      <c r="AC220" s="2"/>
      <c r="AD220" s="2"/>
      <c r="AE220" s="2"/>
      <c r="AF220" s="2"/>
      <c r="AG220" s="2"/>
      <c r="AH220" s="2"/>
      <c r="AI220" s="2"/>
      <c r="AJ220" s="2"/>
      <c r="AK220" s="2"/>
      <c r="AL220" s="2"/>
    </row>
    <row r="221" spans="23:38" x14ac:dyDescent="0.35">
      <c r="W221" s="2"/>
      <c r="X221" s="2"/>
      <c r="Y221" s="2"/>
      <c r="Z221" s="2"/>
      <c r="AA221" s="2"/>
      <c r="AB221" s="2"/>
      <c r="AC221" s="2"/>
      <c r="AD221" s="2"/>
      <c r="AE221" s="2"/>
      <c r="AF221" s="2"/>
      <c r="AG221" s="2"/>
      <c r="AH221" s="2"/>
      <c r="AI221" s="2"/>
      <c r="AJ221" s="2"/>
      <c r="AK221" s="2"/>
      <c r="AL221" s="2"/>
    </row>
    <row r="222" spans="23:38" x14ac:dyDescent="0.35">
      <c r="W222" s="2"/>
      <c r="X222" s="2"/>
      <c r="Y222" s="2"/>
      <c r="Z222" s="2"/>
      <c r="AA222" s="2"/>
      <c r="AB222" s="2"/>
      <c r="AC222" s="2"/>
      <c r="AD222" s="2"/>
      <c r="AE222" s="2"/>
      <c r="AF222" s="2"/>
      <c r="AG222" s="2"/>
      <c r="AH222" s="2"/>
      <c r="AI222" s="2"/>
      <c r="AJ222" s="2"/>
      <c r="AK222" s="2"/>
      <c r="AL222" s="2"/>
    </row>
    <row r="223" spans="23:38" x14ac:dyDescent="0.35">
      <c r="W223" s="2"/>
      <c r="X223" s="2"/>
      <c r="Y223" s="2"/>
      <c r="Z223" s="2"/>
      <c r="AA223" s="2"/>
      <c r="AB223" s="2"/>
      <c r="AC223" s="2"/>
      <c r="AD223" s="2"/>
      <c r="AE223" s="2"/>
      <c r="AF223" s="2"/>
      <c r="AG223" s="2"/>
      <c r="AH223" s="2"/>
      <c r="AI223" s="2"/>
      <c r="AJ223" s="2"/>
      <c r="AK223" s="2"/>
      <c r="AL223" s="2"/>
    </row>
    <row r="224" spans="23:38" x14ac:dyDescent="0.35">
      <c r="W224" s="2"/>
      <c r="X224" s="2"/>
      <c r="Y224" s="2"/>
      <c r="Z224" s="2"/>
      <c r="AA224" s="2"/>
      <c r="AB224" s="2"/>
      <c r="AC224" s="2"/>
      <c r="AD224" s="2"/>
      <c r="AE224" s="2"/>
      <c r="AF224" s="2"/>
      <c r="AG224" s="2"/>
      <c r="AH224" s="2"/>
      <c r="AI224" s="2"/>
      <c r="AJ224" s="2"/>
      <c r="AK224" s="2"/>
      <c r="AL224" s="2"/>
    </row>
    <row r="225" spans="23:38" x14ac:dyDescent="0.35">
      <c r="W225" s="2"/>
      <c r="X225" s="2"/>
      <c r="Y225" s="2"/>
      <c r="Z225" s="2"/>
      <c r="AA225" s="2"/>
      <c r="AB225" s="2"/>
      <c r="AC225" s="2"/>
      <c r="AD225" s="2"/>
      <c r="AE225" s="2"/>
      <c r="AF225" s="2"/>
      <c r="AG225" s="2"/>
      <c r="AH225" s="2"/>
      <c r="AI225" s="2"/>
      <c r="AJ225" s="2"/>
      <c r="AK225" s="2"/>
      <c r="AL225" s="2"/>
    </row>
    <row r="226" spans="23:38" x14ac:dyDescent="0.35">
      <c r="W226" s="2"/>
      <c r="X226" s="2"/>
      <c r="Y226" s="2"/>
      <c r="Z226" s="2"/>
      <c r="AA226" s="2"/>
      <c r="AB226" s="2"/>
      <c r="AC226" s="2"/>
      <c r="AD226" s="2"/>
      <c r="AE226" s="2"/>
      <c r="AF226" s="2"/>
      <c r="AG226" s="2"/>
      <c r="AH226" s="2"/>
      <c r="AI226" s="2"/>
      <c r="AJ226" s="2"/>
      <c r="AK226" s="2"/>
      <c r="AL226" s="2"/>
    </row>
    <row r="227" spans="23:38" x14ac:dyDescent="0.35">
      <c r="W227" s="2"/>
      <c r="X227" s="2"/>
      <c r="Y227" s="2"/>
      <c r="Z227" s="2"/>
      <c r="AA227" s="2"/>
      <c r="AB227" s="2"/>
      <c r="AC227" s="2"/>
      <c r="AD227" s="2"/>
      <c r="AE227" s="2"/>
      <c r="AF227" s="2"/>
      <c r="AG227" s="2"/>
      <c r="AH227" s="2"/>
      <c r="AI227" s="2"/>
      <c r="AJ227" s="2"/>
      <c r="AK227" s="2"/>
      <c r="AL227" s="2"/>
    </row>
    <row r="228" spans="23:38" x14ac:dyDescent="0.35">
      <c r="W228" s="2"/>
      <c r="X228" s="2"/>
      <c r="Y228" s="2"/>
      <c r="Z228" s="2"/>
      <c r="AA228" s="2"/>
      <c r="AB228" s="2"/>
      <c r="AC228" s="2"/>
      <c r="AD228" s="2"/>
      <c r="AE228" s="2"/>
      <c r="AF228" s="2"/>
      <c r="AG228" s="2"/>
      <c r="AH228" s="2"/>
      <c r="AI228" s="2"/>
      <c r="AJ228" s="2"/>
      <c r="AK228" s="2"/>
      <c r="AL228" s="2"/>
    </row>
    <row r="229" spans="23:38" x14ac:dyDescent="0.35">
      <c r="W229" s="2"/>
      <c r="X229" s="2"/>
      <c r="Y229" s="2"/>
      <c r="Z229" s="2"/>
      <c r="AA229" s="2"/>
      <c r="AB229" s="2"/>
      <c r="AC229" s="2"/>
      <c r="AD229" s="2"/>
      <c r="AE229" s="2"/>
      <c r="AF229" s="2"/>
      <c r="AG229" s="2"/>
      <c r="AH229" s="2"/>
      <c r="AI229" s="2"/>
      <c r="AJ229" s="2"/>
      <c r="AK229" s="2"/>
      <c r="AL229" s="2"/>
    </row>
    <row r="230" spans="23:38" x14ac:dyDescent="0.35">
      <c r="W230" s="2"/>
      <c r="X230" s="2"/>
      <c r="Y230" s="2"/>
      <c r="Z230" s="2"/>
      <c r="AA230" s="2"/>
      <c r="AB230" s="2"/>
      <c r="AC230" s="2"/>
      <c r="AD230" s="2"/>
      <c r="AE230" s="2"/>
      <c r="AF230" s="2"/>
      <c r="AG230" s="2"/>
      <c r="AH230" s="2"/>
      <c r="AI230" s="2"/>
      <c r="AJ230" s="2"/>
      <c r="AK230" s="2"/>
      <c r="AL230" s="2"/>
    </row>
    <row r="231" spans="23:38" x14ac:dyDescent="0.35">
      <c r="W231" s="2"/>
      <c r="X231" s="2"/>
      <c r="Y231" s="2"/>
      <c r="Z231" s="2"/>
      <c r="AA231" s="2"/>
      <c r="AB231" s="2"/>
      <c r="AC231" s="2"/>
      <c r="AD231" s="2"/>
      <c r="AE231" s="2"/>
      <c r="AF231" s="2"/>
      <c r="AG231" s="2"/>
      <c r="AH231" s="2"/>
      <c r="AI231" s="2"/>
      <c r="AJ231" s="2"/>
      <c r="AK231" s="2"/>
      <c r="AL231" s="2"/>
    </row>
    <row r="232" spans="23:38" x14ac:dyDescent="0.35">
      <c r="W232" s="2"/>
      <c r="X232" s="2"/>
      <c r="Y232" s="2"/>
      <c r="Z232" s="2"/>
      <c r="AA232" s="2"/>
      <c r="AB232" s="2"/>
      <c r="AC232" s="2"/>
      <c r="AD232" s="2"/>
      <c r="AE232" s="2"/>
      <c r="AF232" s="2"/>
      <c r="AG232" s="2"/>
      <c r="AH232" s="2"/>
      <c r="AI232" s="2"/>
      <c r="AJ232" s="2"/>
      <c r="AK232" s="2"/>
      <c r="AL232" s="2"/>
    </row>
    <row r="233" spans="23:38" x14ac:dyDescent="0.35">
      <c r="W233" s="2"/>
      <c r="X233" s="2"/>
      <c r="Y233" s="2"/>
      <c r="Z233" s="2"/>
      <c r="AA233" s="2"/>
      <c r="AB233" s="2"/>
      <c r="AC233" s="2"/>
      <c r="AD233" s="2"/>
      <c r="AE233" s="2"/>
      <c r="AF233" s="2"/>
      <c r="AG233" s="2"/>
      <c r="AH233" s="2"/>
      <c r="AI233" s="2"/>
      <c r="AJ233" s="2"/>
      <c r="AK233" s="2"/>
      <c r="AL233" s="2"/>
    </row>
    <row r="234" spans="23:38" x14ac:dyDescent="0.35">
      <c r="W234" s="2"/>
      <c r="X234" s="2"/>
      <c r="Y234" s="2"/>
      <c r="Z234" s="2"/>
      <c r="AA234" s="2"/>
      <c r="AB234" s="2"/>
      <c r="AC234" s="2"/>
      <c r="AD234" s="2"/>
      <c r="AE234" s="2"/>
      <c r="AF234" s="2"/>
      <c r="AG234" s="2"/>
      <c r="AH234" s="2"/>
      <c r="AI234" s="2"/>
      <c r="AJ234" s="2"/>
      <c r="AK234" s="2"/>
      <c r="AL234" s="2"/>
    </row>
    <row r="235" spans="23:38" x14ac:dyDescent="0.35">
      <c r="W235" s="2"/>
      <c r="X235" s="2"/>
      <c r="Y235" s="2"/>
      <c r="Z235" s="2"/>
      <c r="AA235" s="2"/>
      <c r="AB235" s="2"/>
      <c r="AC235" s="2"/>
      <c r="AD235" s="2"/>
      <c r="AE235" s="2"/>
      <c r="AF235" s="2"/>
      <c r="AG235" s="2"/>
      <c r="AH235" s="2"/>
      <c r="AI235" s="2"/>
      <c r="AJ235" s="2"/>
      <c r="AK235" s="2"/>
      <c r="AL235" s="2"/>
    </row>
    <row r="236" spans="23:38" x14ac:dyDescent="0.35">
      <c r="W236" s="2"/>
      <c r="X236" s="2"/>
      <c r="Y236" s="2"/>
      <c r="Z236" s="2"/>
      <c r="AA236" s="2"/>
      <c r="AB236" s="2"/>
      <c r="AC236" s="2"/>
      <c r="AD236" s="2"/>
      <c r="AE236" s="2"/>
      <c r="AF236" s="2"/>
      <c r="AG236" s="2"/>
      <c r="AH236" s="2"/>
      <c r="AI236" s="2"/>
      <c r="AJ236" s="2"/>
      <c r="AK236" s="2"/>
      <c r="AL236" s="2"/>
    </row>
    <row r="237" spans="23:38" x14ac:dyDescent="0.35">
      <c r="W237" s="2"/>
      <c r="X237" s="2"/>
      <c r="Y237" s="2"/>
      <c r="Z237" s="2"/>
      <c r="AA237" s="2"/>
      <c r="AB237" s="2"/>
      <c r="AC237" s="2"/>
      <c r="AD237" s="2"/>
      <c r="AE237" s="2"/>
      <c r="AF237" s="2"/>
      <c r="AG237" s="2"/>
      <c r="AH237" s="2"/>
      <c r="AI237" s="2"/>
      <c r="AJ237" s="2"/>
      <c r="AK237" s="2"/>
      <c r="AL237" s="2"/>
    </row>
    <row r="238" spans="23:38" x14ac:dyDescent="0.35">
      <c r="W238" s="2"/>
      <c r="X238" s="2"/>
      <c r="Y238" s="2"/>
      <c r="Z238" s="2"/>
      <c r="AA238" s="2"/>
      <c r="AB238" s="2"/>
      <c r="AC238" s="2"/>
      <c r="AD238" s="2"/>
      <c r="AE238" s="2"/>
      <c r="AF238" s="2"/>
      <c r="AG238" s="2"/>
      <c r="AH238" s="2"/>
      <c r="AI238" s="2"/>
      <c r="AJ238" s="2"/>
      <c r="AK238" s="2"/>
      <c r="AL238" s="2"/>
    </row>
    <row r="239" spans="23:38" x14ac:dyDescent="0.35">
      <c r="W239" s="2"/>
      <c r="X239" s="2"/>
      <c r="Y239" s="2"/>
      <c r="Z239" s="2"/>
      <c r="AA239" s="2"/>
      <c r="AB239" s="2"/>
      <c r="AC239" s="2"/>
      <c r="AD239" s="2"/>
      <c r="AE239" s="2"/>
      <c r="AF239" s="2"/>
      <c r="AG239" s="2"/>
      <c r="AH239" s="2"/>
      <c r="AI239" s="2"/>
      <c r="AJ239" s="2"/>
      <c r="AK239" s="2"/>
      <c r="AL239" s="2"/>
    </row>
    <row r="240" spans="23:38" x14ac:dyDescent="0.35">
      <c r="W240" s="2"/>
      <c r="X240" s="2"/>
      <c r="Y240" s="2"/>
      <c r="Z240" s="2"/>
      <c r="AA240" s="2"/>
      <c r="AB240" s="2"/>
      <c r="AC240" s="2"/>
      <c r="AD240" s="2"/>
      <c r="AE240" s="2"/>
      <c r="AF240" s="2"/>
      <c r="AG240" s="2"/>
      <c r="AH240" s="2"/>
      <c r="AI240" s="2"/>
      <c r="AJ240" s="2"/>
      <c r="AK240" s="2"/>
      <c r="AL240" s="2"/>
    </row>
    <row r="241" spans="23:38" x14ac:dyDescent="0.35">
      <c r="W241" s="2"/>
      <c r="X241" s="2"/>
      <c r="Y241" s="2"/>
      <c r="Z241" s="2"/>
      <c r="AA241" s="2"/>
      <c r="AB241" s="2"/>
      <c r="AC241" s="2"/>
      <c r="AD241" s="2"/>
      <c r="AE241" s="2"/>
      <c r="AF241" s="2"/>
      <c r="AG241" s="2"/>
      <c r="AH241" s="2"/>
      <c r="AI241" s="2"/>
      <c r="AJ241" s="2"/>
      <c r="AK241" s="2"/>
      <c r="AL241" s="2"/>
    </row>
    <row r="242" spans="23:38" x14ac:dyDescent="0.35">
      <c r="W242" s="2"/>
      <c r="X242" s="2"/>
      <c r="Y242" s="2"/>
      <c r="Z242" s="2"/>
      <c r="AA242" s="2"/>
      <c r="AB242" s="2"/>
      <c r="AC242" s="2"/>
      <c r="AD242" s="2"/>
      <c r="AE242" s="2"/>
      <c r="AF242" s="2"/>
      <c r="AG242" s="2"/>
      <c r="AH242" s="2"/>
      <c r="AI242" s="2"/>
      <c r="AJ242" s="2"/>
      <c r="AK242" s="2"/>
      <c r="AL242" s="2"/>
    </row>
    <row r="243" spans="23:38" x14ac:dyDescent="0.35">
      <c r="W243" s="2"/>
      <c r="X243" s="2"/>
      <c r="Y243" s="2"/>
      <c r="Z243" s="2"/>
      <c r="AA243" s="2"/>
      <c r="AB243" s="2"/>
      <c r="AC243" s="2"/>
      <c r="AD243" s="2"/>
      <c r="AE243" s="2"/>
      <c r="AF243" s="2"/>
      <c r="AG243" s="2"/>
      <c r="AH243" s="2"/>
      <c r="AI243" s="2"/>
      <c r="AJ243" s="2"/>
      <c r="AK243" s="2"/>
      <c r="AL243" s="2"/>
    </row>
    <row r="244" spans="23:38" x14ac:dyDescent="0.35">
      <c r="W244" s="2"/>
      <c r="X244" s="2"/>
      <c r="Y244" s="2"/>
      <c r="Z244" s="2"/>
      <c r="AA244" s="2"/>
      <c r="AB244" s="2"/>
      <c r="AC244" s="2"/>
      <c r="AD244" s="2"/>
      <c r="AE244" s="2"/>
      <c r="AF244" s="2"/>
      <c r="AG244" s="2"/>
      <c r="AH244" s="2"/>
      <c r="AI244" s="2"/>
      <c r="AJ244" s="2"/>
      <c r="AK244" s="2"/>
      <c r="AL244" s="2"/>
    </row>
    <row r="245" spans="23:38" x14ac:dyDescent="0.35">
      <c r="W245" s="2"/>
      <c r="X245" s="2"/>
      <c r="Y245" s="2"/>
      <c r="Z245" s="2"/>
      <c r="AA245" s="2"/>
      <c r="AB245" s="2"/>
      <c r="AC245" s="2"/>
      <c r="AD245" s="2"/>
      <c r="AE245" s="2"/>
      <c r="AF245" s="2"/>
      <c r="AG245" s="2"/>
      <c r="AH245" s="2"/>
      <c r="AI245" s="2"/>
      <c r="AJ245" s="2"/>
      <c r="AK245" s="2"/>
      <c r="AL245" s="2"/>
    </row>
    <row r="246" spans="23:38" x14ac:dyDescent="0.35">
      <c r="W246" s="2"/>
      <c r="X246" s="2"/>
      <c r="Y246" s="2"/>
      <c r="Z246" s="2"/>
      <c r="AA246" s="2"/>
      <c r="AB246" s="2"/>
      <c r="AC246" s="2"/>
      <c r="AD246" s="2"/>
      <c r="AE246" s="2"/>
      <c r="AF246" s="2"/>
      <c r="AG246" s="2"/>
      <c r="AH246" s="2"/>
      <c r="AI246" s="2"/>
      <c r="AJ246" s="2"/>
      <c r="AK246" s="2"/>
      <c r="AL246" s="2"/>
    </row>
    <row r="247" spans="23:38" x14ac:dyDescent="0.35">
      <c r="W247" s="2"/>
      <c r="X247" s="2"/>
      <c r="Y247" s="2"/>
      <c r="Z247" s="2"/>
      <c r="AA247" s="2"/>
      <c r="AB247" s="2"/>
      <c r="AC247" s="2"/>
      <c r="AD247" s="2"/>
      <c r="AE247" s="2"/>
      <c r="AF247" s="2"/>
      <c r="AG247" s="2"/>
      <c r="AH247" s="2"/>
      <c r="AI247" s="2"/>
      <c r="AJ247" s="2"/>
      <c r="AK247" s="2"/>
      <c r="AL247" s="2"/>
    </row>
    <row r="248" spans="23:38" x14ac:dyDescent="0.35">
      <c r="W248" s="2"/>
      <c r="X248" s="2"/>
      <c r="Y248" s="2"/>
      <c r="Z248" s="2"/>
      <c r="AA248" s="2"/>
      <c r="AB248" s="2"/>
      <c r="AC248" s="2"/>
      <c r="AD248" s="2"/>
      <c r="AE248" s="2"/>
      <c r="AF248" s="2"/>
      <c r="AG248" s="2"/>
      <c r="AH248" s="2"/>
      <c r="AI248" s="2"/>
      <c r="AJ248" s="2"/>
      <c r="AK248" s="2"/>
      <c r="AL248" s="2"/>
    </row>
    <row r="249" spans="23:38" x14ac:dyDescent="0.35">
      <c r="W249" s="2"/>
      <c r="X249" s="2"/>
      <c r="Y249" s="2"/>
      <c r="Z249" s="2"/>
      <c r="AA249" s="2"/>
      <c r="AB249" s="2"/>
      <c r="AC249" s="2"/>
      <c r="AD249" s="2"/>
      <c r="AE249" s="2"/>
      <c r="AF249" s="2"/>
      <c r="AG249" s="2"/>
      <c r="AH249" s="2"/>
      <c r="AI249" s="2"/>
      <c r="AJ249" s="2"/>
      <c r="AK249" s="2"/>
      <c r="AL249" s="2"/>
    </row>
    <row r="250" spans="23:38" x14ac:dyDescent="0.35">
      <c r="W250" s="2"/>
      <c r="X250" s="2"/>
      <c r="Y250" s="2"/>
      <c r="Z250" s="2"/>
      <c r="AA250" s="2"/>
      <c r="AB250" s="2"/>
      <c r="AC250" s="2"/>
      <c r="AD250" s="2"/>
      <c r="AE250" s="2"/>
      <c r="AF250" s="2"/>
      <c r="AG250" s="2"/>
      <c r="AH250" s="2"/>
      <c r="AI250" s="2"/>
      <c r="AJ250" s="2"/>
      <c r="AK250" s="2"/>
      <c r="AL250" s="2"/>
    </row>
    <row r="251" spans="23:38" x14ac:dyDescent="0.35">
      <c r="W251" s="2"/>
      <c r="X251" s="2"/>
      <c r="Y251" s="2"/>
      <c r="Z251" s="2"/>
      <c r="AA251" s="2"/>
      <c r="AB251" s="2"/>
      <c r="AC251" s="2"/>
      <c r="AD251" s="2"/>
      <c r="AE251" s="2"/>
      <c r="AF251" s="2"/>
      <c r="AG251" s="2"/>
      <c r="AH251" s="2"/>
      <c r="AI251" s="2"/>
      <c r="AJ251" s="2"/>
      <c r="AK251" s="2"/>
      <c r="AL251" s="2"/>
    </row>
    <row r="252" spans="23:38" x14ac:dyDescent="0.35">
      <c r="W252" s="2"/>
      <c r="X252" s="2"/>
      <c r="Y252" s="2"/>
      <c r="Z252" s="2"/>
      <c r="AA252" s="2"/>
      <c r="AB252" s="2"/>
      <c r="AC252" s="2"/>
      <c r="AD252" s="2"/>
      <c r="AE252" s="2"/>
      <c r="AF252" s="2"/>
      <c r="AG252" s="2"/>
      <c r="AH252" s="2"/>
      <c r="AI252" s="2"/>
      <c r="AJ252" s="2"/>
      <c r="AK252" s="2"/>
      <c r="AL252" s="2"/>
    </row>
    <row r="253" spans="23:38" x14ac:dyDescent="0.35">
      <c r="W253" s="2"/>
      <c r="X253" s="2"/>
      <c r="Y253" s="2"/>
      <c r="Z253" s="2"/>
      <c r="AA253" s="2"/>
      <c r="AB253" s="2"/>
      <c r="AC253" s="2"/>
      <c r="AD253" s="2"/>
      <c r="AE253" s="2"/>
      <c r="AF253" s="2"/>
      <c r="AG253" s="2"/>
      <c r="AH253" s="2"/>
      <c r="AI253" s="2"/>
      <c r="AJ253" s="2"/>
      <c r="AK253" s="2"/>
      <c r="AL253" s="2"/>
    </row>
    <row r="254" spans="23:38" x14ac:dyDescent="0.35">
      <c r="W254" s="2"/>
      <c r="X254" s="2"/>
      <c r="Y254" s="2"/>
      <c r="Z254" s="2"/>
      <c r="AA254" s="2"/>
      <c r="AB254" s="2"/>
      <c r="AC254" s="2"/>
      <c r="AD254" s="2"/>
      <c r="AE254" s="2"/>
      <c r="AF254" s="2"/>
      <c r="AG254" s="2"/>
      <c r="AH254" s="2"/>
      <c r="AI254" s="2"/>
      <c r="AJ254" s="2"/>
      <c r="AK254" s="2"/>
      <c r="AL254" s="2"/>
    </row>
    <row r="255" spans="23:38" x14ac:dyDescent="0.35">
      <c r="W255" s="2"/>
      <c r="X255" s="2"/>
      <c r="Y255" s="2"/>
      <c r="Z255" s="2"/>
      <c r="AA255" s="2"/>
      <c r="AB255" s="2"/>
      <c r="AC255" s="2"/>
      <c r="AD255" s="2"/>
      <c r="AE255" s="2"/>
      <c r="AF255" s="2"/>
      <c r="AG255" s="2"/>
      <c r="AH255" s="2"/>
      <c r="AI255" s="2"/>
      <c r="AJ255" s="2"/>
      <c r="AK255" s="2"/>
      <c r="AL255" s="2"/>
    </row>
    <row r="256" spans="23:38" x14ac:dyDescent="0.35">
      <c r="W256" s="2"/>
      <c r="X256" s="2"/>
      <c r="Y256" s="2"/>
      <c r="Z256" s="2"/>
      <c r="AA256" s="2"/>
      <c r="AB256" s="2"/>
      <c r="AC256" s="2"/>
      <c r="AD256" s="2"/>
      <c r="AE256" s="2"/>
      <c r="AF256" s="2"/>
      <c r="AG256" s="2"/>
      <c r="AH256" s="2"/>
      <c r="AI256" s="2"/>
      <c r="AJ256" s="2"/>
      <c r="AK256" s="2"/>
      <c r="AL256" s="2"/>
    </row>
    <row r="257" spans="23:38" x14ac:dyDescent="0.35">
      <c r="W257" s="2"/>
      <c r="X257" s="2"/>
      <c r="Y257" s="2"/>
      <c r="Z257" s="2"/>
      <c r="AA257" s="2"/>
      <c r="AB257" s="2"/>
      <c r="AC257" s="2"/>
      <c r="AD257" s="2"/>
      <c r="AE257" s="2"/>
      <c r="AF257" s="2"/>
      <c r="AG257" s="2"/>
      <c r="AH257" s="2"/>
      <c r="AI257" s="2"/>
      <c r="AJ257" s="2"/>
      <c r="AK257" s="2"/>
      <c r="AL257" s="2"/>
    </row>
    <row r="258" spans="23:38" x14ac:dyDescent="0.35">
      <c r="W258" s="2"/>
      <c r="X258" s="2"/>
      <c r="Y258" s="2"/>
      <c r="Z258" s="2"/>
      <c r="AA258" s="2"/>
      <c r="AB258" s="2"/>
      <c r="AC258" s="2"/>
      <c r="AD258" s="2"/>
      <c r="AE258" s="2"/>
      <c r="AF258" s="2"/>
      <c r="AG258" s="2"/>
      <c r="AH258" s="2"/>
      <c r="AI258" s="2"/>
      <c r="AJ258" s="2"/>
      <c r="AK258" s="2"/>
      <c r="AL258" s="2"/>
    </row>
    <row r="259" spans="23:38" x14ac:dyDescent="0.35">
      <c r="W259" s="2"/>
      <c r="X259" s="2"/>
      <c r="Y259" s="2"/>
      <c r="Z259" s="2"/>
      <c r="AA259" s="2"/>
      <c r="AB259" s="2"/>
      <c r="AC259" s="2"/>
      <c r="AD259" s="2"/>
      <c r="AE259" s="2"/>
      <c r="AF259" s="2"/>
      <c r="AG259" s="2"/>
      <c r="AH259" s="2"/>
      <c r="AI259" s="2"/>
      <c r="AJ259" s="2"/>
      <c r="AK259" s="2"/>
      <c r="AL259" s="2"/>
    </row>
    <row r="260" spans="23:38" x14ac:dyDescent="0.35">
      <c r="W260" s="2"/>
      <c r="X260" s="2"/>
      <c r="Y260" s="2"/>
      <c r="Z260" s="2"/>
      <c r="AA260" s="2"/>
      <c r="AB260" s="2"/>
      <c r="AC260" s="2"/>
      <c r="AD260" s="2"/>
      <c r="AE260" s="2"/>
      <c r="AF260" s="2"/>
      <c r="AG260" s="2"/>
      <c r="AH260" s="2"/>
      <c r="AI260" s="2"/>
      <c r="AJ260" s="2"/>
      <c r="AK260" s="2"/>
      <c r="AL260" s="2"/>
    </row>
    <row r="261" spans="23:38" x14ac:dyDescent="0.35">
      <c r="W261" s="2"/>
      <c r="X261" s="2"/>
      <c r="Y261" s="2"/>
      <c r="Z261" s="2"/>
      <c r="AA261" s="2"/>
      <c r="AB261" s="2"/>
      <c r="AC261" s="2"/>
      <c r="AD261" s="2"/>
      <c r="AE261" s="2"/>
      <c r="AF261" s="2"/>
      <c r="AG261" s="2"/>
      <c r="AH261" s="2"/>
      <c r="AI261" s="2"/>
      <c r="AJ261" s="2"/>
      <c r="AK261" s="2"/>
      <c r="AL261" s="2"/>
    </row>
    <row r="262" spans="23:38" x14ac:dyDescent="0.35">
      <c r="W262" s="2"/>
      <c r="X262" s="2"/>
      <c r="Y262" s="2"/>
      <c r="Z262" s="2"/>
      <c r="AA262" s="2"/>
      <c r="AB262" s="2"/>
      <c r="AC262" s="2"/>
      <c r="AD262" s="2"/>
      <c r="AE262" s="2"/>
      <c r="AF262" s="2"/>
      <c r="AG262" s="2"/>
      <c r="AH262" s="2"/>
      <c r="AI262" s="2"/>
      <c r="AJ262" s="2"/>
      <c r="AK262" s="2"/>
      <c r="AL262" s="2"/>
    </row>
    <row r="263" spans="23:38" x14ac:dyDescent="0.35">
      <c r="W263" s="2"/>
      <c r="X263" s="2"/>
      <c r="Y263" s="2"/>
      <c r="Z263" s="2"/>
      <c r="AA263" s="2"/>
      <c r="AB263" s="2"/>
      <c r="AC263" s="2"/>
      <c r="AD263" s="2"/>
      <c r="AE263" s="2"/>
      <c r="AF263" s="2"/>
      <c r="AG263" s="2"/>
      <c r="AH263" s="2"/>
      <c r="AI263" s="2"/>
      <c r="AJ263" s="2"/>
      <c r="AK263" s="2"/>
      <c r="AL263" s="2"/>
    </row>
    <row r="264" spans="23:38" x14ac:dyDescent="0.35">
      <c r="W264" s="2"/>
      <c r="X264" s="2"/>
      <c r="Y264" s="2"/>
      <c r="Z264" s="2"/>
      <c r="AA264" s="2"/>
      <c r="AB264" s="2"/>
      <c r="AC264" s="2"/>
      <c r="AD264" s="2"/>
      <c r="AE264" s="2"/>
      <c r="AF264" s="2"/>
      <c r="AG264" s="2"/>
      <c r="AH264" s="2"/>
      <c r="AI264" s="2"/>
      <c r="AJ264" s="2"/>
      <c r="AK264" s="2"/>
      <c r="AL264" s="2"/>
    </row>
    <row r="265" spans="23:38" x14ac:dyDescent="0.35">
      <c r="W265" s="2"/>
      <c r="X265" s="2"/>
      <c r="Y265" s="2"/>
      <c r="Z265" s="2"/>
      <c r="AA265" s="2"/>
      <c r="AB265" s="2"/>
      <c r="AC265" s="2"/>
      <c r="AD265" s="2"/>
      <c r="AE265" s="2"/>
      <c r="AF265" s="2"/>
      <c r="AG265" s="2"/>
      <c r="AH265" s="2"/>
      <c r="AI265" s="2"/>
      <c r="AJ265" s="2"/>
      <c r="AK265" s="2"/>
      <c r="AL265" s="2"/>
    </row>
    <row r="266" spans="23:38" x14ac:dyDescent="0.35">
      <c r="W266" s="2"/>
      <c r="X266" s="2"/>
      <c r="Y266" s="2"/>
      <c r="Z266" s="2"/>
      <c r="AA266" s="2"/>
      <c r="AB266" s="2"/>
      <c r="AC266" s="2"/>
      <c r="AD266" s="2"/>
      <c r="AE266" s="2"/>
      <c r="AF266" s="2"/>
      <c r="AG266" s="2"/>
      <c r="AH266" s="2"/>
      <c r="AI266" s="2"/>
      <c r="AJ266" s="2"/>
      <c r="AK266" s="2"/>
      <c r="AL266" s="2"/>
    </row>
    <row r="267" spans="23:38" x14ac:dyDescent="0.35">
      <c r="W267" s="2"/>
      <c r="X267" s="2"/>
      <c r="Y267" s="2"/>
      <c r="Z267" s="2"/>
      <c r="AA267" s="2"/>
      <c r="AB267" s="2"/>
      <c r="AC267" s="2"/>
      <c r="AD267" s="2"/>
      <c r="AE267" s="2"/>
      <c r="AF267" s="2"/>
      <c r="AG267" s="2"/>
      <c r="AH267" s="2"/>
      <c r="AI267" s="2"/>
      <c r="AJ267" s="2"/>
      <c r="AK267" s="2"/>
      <c r="AL267" s="2"/>
    </row>
    <row r="268" spans="23:38" x14ac:dyDescent="0.35">
      <c r="W268" s="2"/>
      <c r="X268" s="2"/>
      <c r="Y268" s="2"/>
      <c r="Z268" s="2"/>
      <c r="AA268" s="2"/>
      <c r="AB268" s="2"/>
      <c r="AC268" s="2"/>
      <c r="AD268" s="2"/>
      <c r="AE268" s="2"/>
      <c r="AF268" s="2"/>
      <c r="AG268" s="2"/>
      <c r="AH268" s="2"/>
      <c r="AI268" s="2"/>
      <c r="AJ268" s="2"/>
      <c r="AK268" s="2"/>
      <c r="AL268" s="2"/>
    </row>
    <row r="269" spans="23:38" x14ac:dyDescent="0.35">
      <c r="W269" s="2"/>
      <c r="X269" s="2"/>
      <c r="Y269" s="2"/>
      <c r="Z269" s="2"/>
      <c r="AA269" s="2"/>
      <c r="AB269" s="2"/>
      <c r="AC269" s="2"/>
      <c r="AD269" s="2"/>
      <c r="AE269" s="2"/>
      <c r="AF269" s="2"/>
      <c r="AG269" s="2"/>
      <c r="AH269" s="2"/>
      <c r="AI269" s="2"/>
      <c r="AJ269" s="2"/>
      <c r="AK269" s="2"/>
      <c r="AL269" s="2"/>
    </row>
    <row r="270" spans="23:38" x14ac:dyDescent="0.35">
      <c r="W270" s="2"/>
      <c r="X270" s="2"/>
      <c r="Y270" s="2"/>
      <c r="Z270" s="2"/>
      <c r="AA270" s="2"/>
      <c r="AB270" s="2"/>
      <c r="AC270" s="2"/>
      <c r="AD270" s="2"/>
      <c r="AE270" s="2"/>
      <c r="AF270" s="2"/>
      <c r="AG270" s="2"/>
      <c r="AH270" s="2"/>
      <c r="AI270" s="2"/>
      <c r="AJ270" s="2"/>
      <c r="AK270" s="2"/>
      <c r="AL270" s="2"/>
    </row>
    <row r="271" spans="23:38" x14ac:dyDescent="0.35">
      <c r="W271" s="2"/>
      <c r="X271" s="2"/>
      <c r="Y271" s="2"/>
      <c r="Z271" s="2"/>
      <c r="AA271" s="2"/>
      <c r="AB271" s="2"/>
      <c r="AC271" s="2"/>
      <c r="AD271" s="2"/>
      <c r="AE271" s="2"/>
      <c r="AF271" s="2"/>
      <c r="AG271" s="2"/>
      <c r="AH271" s="2"/>
      <c r="AI271" s="2"/>
      <c r="AJ271" s="2"/>
      <c r="AK271" s="2"/>
      <c r="AL271" s="2"/>
    </row>
    <row r="272" spans="23:38" x14ac:dyDescent="0.35">
      <c r="W272" s="2"/>
      <c r="X272" s="2"/>
      <c r="Y272" s="2"/>
      <c r="Z272" s="2"/>
      <c r="AA272" s="2"/>
      <c r="AB272" s="2"/>
      <c r="AC272" s="2"/>
      <c r="AD272" s="2"/>
      <c r="AE272" s="2"/>
      <c r="AF272" s="2"/>
      <c r="AG272" s="2"/>
      <c r="AH272" s="2"/>
      <c r="AI272" s="2"/>
      <c r="AJ272" s="2"/>
      <c r="AK272" s="2"/>
      <c r="AL272" s="2"/>
    </row>
    <row r="273" spans="23:38" x14ac:dyDescent="0.35">
      <c r="W273" s="2"/>
      <c r="X273" s="2"/>
      <c r="Y273" s="2"/>
      <c r="Z273" s="2"/>
      <c r="AA273" s="2"/>
      <c r="AB273" s="2"/>
      <c r="AC273" s="2"/>
      <c r="AD273" s="2"/>
      <c r="AE273" s="2"/>
      <c r="AF273" s="2"/>
      <c r="AG273" s="2"/>
      <c r="AH273" s="2"/>
      <c r="AI273" s="2"/>
      <c r="AJ273" s="2"/>
      <c r="AK273" s="2"/>
      <c r="AL273" s="2"/>
    </row>
    <row r="274" spans="23:38" x14ac:dyDescent="0.35">
      <c r="W274" s="2"/>
      <c r="X274" s="2"/>
      <c r="Y274" s="2"/>
      <c r="Z274" s="2"/>
      <c r="AA274" s="2"/>
      <c r="AB274" s="2"/>
      <c r="AC274" s="2"/>
      <c r="AD274" s="2"/>
      <c r="AE274" s="2"/>
      <c r="AF274" s="2"/>
      <c r="AG274" s="2"/>
      <c r="AH274" s="2"/>
      <c r="AI274" s="2"/>
      <c r="AJ274" s="2"/>
      <c r="AK274" s="2"/>
      <c r="AL274" s="2"/>
    </row>
    <row r="275" spans="23:38" x14ac:dyDescent="0.35">
      <c r="W275" s="2"/>
      <c r="X275" s="2"/>
      <c r="Y275" s="2"/>
      <c r="Z275" s="2"/>
      <c r="AA275" s="2"/>
      <c r="AB275" s="2"/>
      <c r="AC275" s="2"/>
      <c r="AD275" s="2"/>
      <c r="AE275" s="2"/>
      <c r="AF275" s="2"/>
      <c r="AG275" s="2"/>
      <c r="AH275" s="2"/>
      <c r="AI275" s="2"/>
      <c r="AJ275" s="2"/>
      <c r="AK275" s="2"/>
      <c r="AL275" s="2"/>
    </row>
    <row r="276" spans="23:38" x14ac:dyDescent="0.35">
      <c r="W276" s="2"/>
      <c r="X276" s="2"/>
      <c r="Y276" s="2"/>
      <c r="Z276" s="2"/>
      <c r="AA276" s="2"/>
      <c r="AB276" s="2"/>
      <c r="AC276" s="2"/>
      <c r="AD276" s="2"/>
      <c r="AE276" s="2"/>
      <c r="AF276" s="2"/>
      <c r="AG276" s="2"/>
      <c r="AH276" s="2"/>
      <c r="AI276" s="2"/>
      <c r="AJ276" s="2"/>
      <c r="AK276" s="2"/>
      <c r="AL276" s="2"/>
    </row>
    <row r="277" spans="23:38" x14ac:dyDescent="0.35">
      <c r="W277" s="2"/>
      <c r="X277" s="2"/>
      <c r="Y277" s="2"/>
      <c r="Z277" s="2"/>
      <c r="AA277" s="2"/>
      <c r="AB277" s="2"/>
      <c r="AC277" s="2"/>
      <c r="AD277" s="2"/>
      <c r="AE277" s="2"/>
      <c r="AF277" s="2"/>
      <c r="AG277" s="2"/>
      <c r="AH277" s="2"/>
      <c r="AI277" s="2"/>
      <c r="AJ277" s="2"/>
      <c r="AK277" s="2"/>
      <c r="AL277" s="2"/>
    </row>
    <row r="278" spans="23:38" x14ac:dyDescent="0.35">
      <c r="W278" s="2"/>
      <c r="X278" s="2"/>
      <c r="Y278" s="2"/>
      <c r="Z278" s="2"/>
      <c r="AA278" s="2"/>
      <c r="AB278" s="2"/>
      <c r="AC278" s="2"/>
      <c r="AD278" s="2"/>
      <c r="AE278" s="2"/>
      <c r="AF278" s="2"/>
      <c r="AG278" s="2"/>
      <c r="AH278" s="2"/>
      <c r="AI278" s="2"/>
      <c r="AJ278" s="2"/>
      <c r="AK278" s="2"/>
      <c r="AL278" s="2"/>
    </row>
    <row r="279" spans="23:38" x14ac:dyDescent="0.35">
      <c r="W279" s="2"/>
      <c r="X279" s="2"/>
      <c r="Y279" s="2"/>
      <c r="Z279" s="2"/>
      <c r="AA279" s="2"/>
      <c r="AB279" s="2"/>
      <c r="AC279" s="2"/>
      <c r="AD279" s="2"/>
      <c r="AE279" s="2"/>
      <c r="AF279" s="2"/>
      <c r="AG279" s="2"/>
      <c r="AH279" s="2"/>
      <c r="AI279" s="2"/>
      <c r="AJ279" s="2"/>
      <c r="AK279" s="2"/>
      <c r="AL279" s="2"/>
    </row>
    <row r="280" spans="23:38" x14ac:dyDescent="0.35">
      <c r="W280" s="2"/>
      <c r="X280" s="2"/>
      <c r="Y280" s="2"/>
      <c r="Z280" s="2"/>
      <c r="AA280" s="2"/>
      <c r="AB280" s="2"/>
      <c r="AC280" s="2"/>
      <c r="AD280" s="2"/>
      <c r="AE280" s="2"/>
      <c r="AF280" s="2"/>
      <c r="AG280" s="2"/>
      <c r="AH280" s="2"/>
      <c r="AI280" s="2"/>
      <c r="AJ280" s="2"/>
      <c r="AK280" s="2"/>
      <c r="AL280" s="2"/>
    </row>
    <row r="281" spans="23:38" x14ac:dyDescent="0.35">
      <c r="W281" s="2"/>
      <c r="X281" s="2"/>
      <c r="Y281" s="2"/>
      <c r="Z281" s="2"/>
      <c r="AA281" s="2"/>
      <c r="AB281" s="2"/>
      <c r="AC281" s="2"/>
      <c r="AD281" s="2"/>
      <c r="AE281" s="2"/>
      <c r="AF281" s="2"/>
      <c r="AG281" s="2"/>
      <c r="AH281" s="2"/>
      <c r="AI281" s="2"/>
      <c r="AJ281" s="2"/>
      <c r="AK281" s="2"/>
      <c r="AL281" s="2"/>
    </row>
    <row r="282" spans="23:38" x14ac:dyDescent="0.35">
      <c r="W282" s="2"/>
      <c r="X282" s="2"/>
      <c r="Y282" s="2"/>
      <c r="Z282" s="2"/>
      <c r="AA282" s="2"/>
      <c r="AB282" s="2"/>
      <c r="AC282" s="2"/>
      <c r="AD282" s="2"/>
      <c r="AE282" s="2"/>
      <c r="AF282" s="2"/>
      <c r="AG282" s="2"/>
      <c r="AH282" s="2"/>
      <c r="AI282" s="2"/>
      <c r="AJ282" s="2"/>
      <c r="AK282" s="2"/>
      <c r="AL282" s="2"/>
    </row>
    <row r="283" spans="23:38" x14ac:dyDescent="0.35">
      <c r="W283" s="2"/>
      <c r="X283" s="2"/>
      <c r="Y283" s="2"/>
      <c r="Z283" s="2"/>
      <c r="AA283" s="2"/>
      <c r="AB283" s="2"/>
      <c r="AC283" s="2"/>
      <c r="AD283" s="2"/>
      <c r="AE283" s="2"/>
      <c r="AF283" s="2"/>
      <c r="AG283" s="2"/>
      <c r="AH283" s="2"/>
      <c r="AI283" s="2"/>
      <c r="AJ283" s="2"/>
      <c r="AK283" s="2"/>
      <c r="AL283" s="2"/>
    </row>
    <row r="284" spans="23:38" x14ac:dyDescent="0.35">
      <c r="W284" s="2"/>
      <c r="X284" s="2"/>
      <c r="Y284" s="2"/>
      <c r="Z284" s="2"/>
      <c r="AA284" s="2"/>
      <c r="AB284" s="2"/>
      <c r="AC284" s="2"/>
      <c r="AD284" s="2"/>
      <c r="AE284" s="2"/>
      <c r="AF284" s="2"/>
      <c r="AG284" s="2"/>
      <c r="AH284" s="2"/>
      <c r="AI284" s="2"/>
      <c r="AJ284" s="2"/>
      <c r="AK284" s="2"/>
      <c r="AL284" s="2"/>
    </row>
    <row r="285" spans="23:38" x14ac:dyDescent="0.35">
      <c r="W285" s="2"/>
      <c r="X285" s="2"/>
      <c r="Y285" s="2"/>
      <c r="Z285" s="2"/>
      <c r="AA285" s="2"/>
      <c r="AB285" s="2"/>
      <c r="AC285" s="2"/>
      <c r="AD285" s="2"/>
      <c r="AE285" s="2"/>
      <c r="AF285" s="2"/>
      <c r="AG285" s="2"/>
      <c r="AH285" s="2"/>
      <c r="AI285" s="2"/>
      <c r="AJ285" s="2"/>
      <c r="AK285" s="2"/>
      <c r="AL285" s="2"/>
    </row>
    <row r="286" spans="23:38" x14ac:dyDescent="0.35">
      <c r="W286" s="2"/>
      <c r="X286" s="2"/>
      <c r="Y286" s="2"/>
      <c r="Z286" s="2"/>
      <c r="AA286" s="2"/>
      <c r="AB286" s="2"/>
      <c r="AC286" s="2"/>
      <c r="AD286" s="2"/>
      <c r="AE286" s="2"/>
      <c r="AF286" s="2"/>
      <c r="AG286" s="2"/>
      <c r="AH286" s="2"/>
      <c r="AI286" s="2"/>
      <c r="AJ286" s="2"/>
      <c r="AK286" s="2"/>
      <c r="AL286" s="2"/>
    </row>
    <row r="287" spans="23:38" x14ac:dyDescent="0.35">
      <c r="W287" s="2"/>
      <c r="X287" s="2"/>
      <c r="Y287" s="2"/>
      <c r="Z287" s="2"/>
      <c r="AA287" s="2"/>
      <c r="AB287" s="2"/>
      <c r="AC287" s="2"/>
      <c r="AD287" s="2"/>
      <c r="AE287" s="2"/>
      <c r="AF287" s="2"/>
      <c r="AG287" s="2"/>
      <c r="AH287" s="2"/>
      <c r="AI287" s="2"/>
      <c r="AJ287" s="2"/>
      <c r="AK287" s="2"/>
      <c r="AL287" s="2"/>
    </row>
    <row r="288" spans="23:38" x14ac:dyDescent="0.35">
      <c r="W288" s="2"/>
      <c r="X288" s="2"/>
      <c r="Y288" s="2"/>
      <c r="Z288" s="2"/>
      <c r="AA288" s="2"/>
      <c r="AB288" s="2"/>
      <c r="AC288" s="2"/>
      <c r="AD288" s="2"/>
      <c r="AE288" s="2"/>
      <c r="AF288" s="2"/>
      <c r="AG288" s="2"/>
      <c r="AH288" s="2"/>
      <c r="AI288" s="2"/>
      <c r="AJ288" s="2"/>
      <c r="AK288" s="2"/>
      <c r="AL288" s="2"/>
    </row>
    <row r="289" spans="23:38" x14ac:dyDescent="0.35">
      <c r="W289" s="2"/>
      <c r="X289" s="2"/>
      <c r="Y289" s="2"/>
      <c r="Z289" s="2"/>
      <c r="AA289" s="2"/>
      <c r="AB289" s="2"/>
      <c r="AC289" s="2"/>
      <c r="AD289" s="2"/>
      <c r="AE289" s="2"/>
      <c r="AF289" s="2"/>
      <c r="AG289" s="2"/>
      <c r="AH289" s="2"/>
      <c r="AI289" s="2"/>
      <c r="AJ289" s="2"/>
      <c r="AK289" s="2"/>
      <c r="AL289" s="2"/>
    </row>
    <row r="290" spans="23:38" x14ac:dyDescent="0.35">
      <c r="W290" s="2"/>
      <c r="X290" s="2"/>
      <c r="Y290" s="2"/>
      <c r="Z290" s="2"/>
      <c r="AA290" s="2"/>
      <c r="AB290" s="2"/>
      <c r="AC290" s="2"/>
      <c r="AD290" s="2"/>
      <c r="AE290" s="2"/>
      <c r="AF290" s="2"/>
      <c r="AG290" s="2"/>
      <c r="AH290" s="2"/>
      <c r="AI290" s="2"/>
      <c r="AJ290" s="2"/>
      <c r="AK290" s="2"/>
      <c r="AL290" s="2"/>
    </row>
    <row r="291" spans="23:38" x14ac:dyDescent="0.35">
      <c r="W291" s="2"/>
      <c r="X291" s="2"/>
      <c r="Y291" s="2"/>
      <c r="Z291" s="2"/>
      <c r="AA291" s="2"/>
      <c r="AB291" s="2"/>
      <c r="AC291" s="2"/>
      <c r="AD291" s="2"/>
      <c r="AE291" s="2"/>
      <c r="AF291" s="2"/>
      <c r="AG291" s="2"/>
      <c r="AH291" s="2"/>
      <c r="AI291" s="2"/>
      <c r="AJ291" s="2"/>
      <c r="AK291" s="2"/>
      <c r="AL291" s="2"/>
    </row>
    <row r="292" spans="23:38" x14ac:dyDescent="0.35">
      <c r="W292" s="2"/>
      <c r="X292" s="2"/>
      <c r="Y292" s="2"/>
      <c r="Z292" s="2"/>
      <c r="AA292" s="2"/>
      <c r="AB292" s="2"/>
      <c r="AC292" s="2"/>
      <c r="AD292" s="2"/>
      <c r="AE292" s="2"/>
      <c r="AF292" s="2"/>
      <c r="AG292" s="2"/>
      <c r="AH292" s="2"/>
      <c r="AI292" s="2"/>
      <c r="AJ292" s="2"/>
      <c r="AK292" s="2"/>
      <c r="AL292" s="2"/>
    </row>
    <row r="293" spans="23:38" x14ac:dyDescent="0.35">
      <c r="W293" s="2"/>
      <c r="X293" s="2"/>
      <c r="Y293" s="2"/>
      <c r="Z293" s="2"/>
      <c r="AA293" s="2"/>
      <c r="AB293" s="2"/>
      <c r="AC293" s="2"/>
      <c r="AD293" s="2"/>
      <c r="AE293" s="2"/>
      <c r="AF293" s="2"/>
      <c r="AG293" s="2"/>
      <c r="AH293" s="2"/>
      <c r="AI293" s="2"/>
      <c r="AJ293" s="2"/>
      <c r="AK293" s="2"/>
      <c r="AL293" s="2"/>
    </row>
    <row r="294" spans="23:38" x14ac:dyDescent="0.35">
      <c r="W294" s="2"/>
      <c r="X294" s="2"/>
      <c r="Y294" s="2"/>
      <c r="Z294" s="2"/>
      <c r="AA294" s="2"/>
      <c r="AB294" s="2"/>
      <c r="AC294" s="2"/>
      <c r="AD294" s="2"/>
      <c r="AE294" s="2"/>
      <c r="AF294" s="2"/>
      <c r="AG294" s="2"/>
      <c r="AH294" s="2"/>
      <c r="AI294" s="2"/>
      <c r="AJ294" s="2"/>
      <c r="AK294" s="2"/>
      <c r="AL294" s="2"/>
    </row>
    <row r="295" spans="23:38" x14ac:dyDescent="0.35">
      <c r="W295" s="2"/>
      <c r="X295" s="2"/>
      <c r="Y295" s="2"/>
      <c r="Z295" s="2"/>
      <c r="AA295" s="2"/>
      <c r="AB295" s="2"/>
      <c r="AC295" s="2"/>
      <c r="AD295" s="2"/>
      <c r="AE295" s="2"/>
      <c r="AF295" s="2"/>
      <c r="AG295" s="2"/>
      <c r="AH295" s="2"/>
      <c r="AI295" s="2"/>
      <c r="AJ295" s="2"/>
      <c r="AK295" s="2"/>
      <c r="AL295" s="2"/>
    </row>
    <row r="296" spans="23:38" x14ac:dyDescent="0.35">
      <c r="W296" s="2"/>
      <c r="X296" s="2"/>
      <c r="Y296" s="2"/>
      <c r="Z296" s="2"/>
      <c r="AA296" s="2"/>
      <c r="AB296" s="2"/>
      <c r="AC296" s="2"/>
      <c r="AD296" s="2"/>
      <c r="AE296" s="2"/>
      <c r="AF296" s="2"/>
      <c r="AG296" s="2"/>
      <c r="AH296" s="2"/>
      <c r="AI296" s="2"/>
      <c r="AJ296" s="2"/>
      <c r="AK296" s="2"/>
      <c r="AL296" s="2"/>
    </row>
    <row r="297" spans="23:38" x14ac:dyDescent="0.35">
      <c r="W297" s="2"/>
    </row>
    <row r="298" spans="23:38" x14ac:dyDescent="0.35">
      <c r="W298" s="2"/>
    </row>
    <row r="299" spans="23:38" x14ac:dyDescent="0.35">
      <c r="W299" s="2"/>
    </row>
    <row r="300" spans="23:38" x14ac:dyDescent="0.35">
      <c r="W300" s="2"/>
    </row>
    <row r="301" spans="23:38" x14ac:dyDescent="0.35">
      <c r="W301" s="2"/>
    </row>
    <row r="302" spans="23:38" x14ac:dyDescent="0.35">
      <c r="W302" s="2"/>
    </row>
    <row r="303" spans="23:38" x14ac:dyDescent="0.35">
      <c r="W303" s="2"/>
    </row>
    <row r="304" spans="23:38" x14ac:dyDescent="0.35">
      <c r="W304" s="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M317"/>
  <sheetViews>
    <sheetView topLeftCell="A46" workbookViewId="0">
      <selection activeCell="AG204" sqref="AG204"/>
    </sheetView>
  </sheetViews>
  <sheetFormatPr defaultRowHeight="14.5" x14ac:dyDescent="0.35"/>
  <cols>
    <col min="22" max="22" width="8.7265625" style="287"/>
  </cols>
  <sheetData>
    <row r="4" spans="2:37" ht="18.5" x14ac:dyDescent="0.45">
      <c r="B4" s="2"/>
      <c r="C4" s="1" t="s">
        <v>450</v>
      </c>
      <c r="D4" s="2"/>
      <c r="E4" s="2"/>
      <c r="F4" s="2"/>
      <c r="G4" s="2"/>
      <c r="H4" s="2"/>
      <c r="I4" s="2"/>
      <c r="J4" s="2"/>
      <c r="K4" s="2"/>
      <c r="L4" s="2"/>
      <c r="M4" s="2"/>
      <c r="N4" s="2"/>
      <c r="O4" s="2"/>
    </row>
    <row r="5" spans="2:37" ht="18.5" x14ac:dyDescent="0.45">
      <c r="B5" s="2"/>
      <c r="C5" s="2"/>
      <c r="D5" s="2"/>
      <c r="E5" s="2"/>
      <c r="F5" s="1" t="s">
        <v>0</v>
      </c>
      <c r="G5" s="3"/>
      <c r="H5" s="3"/>
      <c r="I5" s="3"/>
      <c r="J5" s="3"/>
      <c r="K5" s="3"/>
      <c r="L5" s="3"/>
      <c r="M5" s="3"/>
      <c r="N5" s="3"/>
      <c r="O5" s="3"/>
      <c r="Y5" s="1" t="s">
        <v>91</v>
      </c>
      <c r="Z5" s="3"/>
      <c r="AA5" s="3"/>
      <c r="AB5" s="3"/>
      <c r="AC5" s="3"/>
      <c r="AD5" s="3"/>
      <c r="AE5" s="3"/>
      <c r="AF5" s="3"/>
      <c r="AG5" s="3"/>
      <c r="AH5" s="3"/>
    </row>
    <row r="6" spans="2:37" ht="16" thickBot="1" x14ac:dyDescent="0.4">
      <c r="B6" s="4"/>
      <c r="C6" s="204" t="s">
        <v>122</v>
      </c>
      <c r="E6" s="4"/>
      <c r="F6" s="9" t="s">
        <v>1</v>
      </c>
      <c r="G6" s="9" t="s">
        <v>2</v>
      </c>
      <c r="H6" s="9" t="s">
        <v>3</v>
      </c>
      <c r="I6" s="9" t="s">
        <v>4</v>
      </c>
      <c r="J6" s="9" t="s">
        <v>5</v>
      </c>
      <c r="K6" s="9" t="s">
        <v>6</v>
      </c>
      <c r="L6" s="9" t="s">
        <v>7</v>
      </c>
      <c r="M6" s="9" t="s">
        <v>8</v>
      </c>
      <c r="N6" s="9" t="s">
        <v>9</v>
      </c>
      <c r="O6" s="9" t="s">
        <v>10</v>
      </c>
      <c r="P6" s="44" t="s">
        <v>139</v>
      </c>
      <c r="R6" s="44" t="s">
        <v>138</v>
      </c>
      <c r="V6" s="204" t="s">
        <v>122</v>
      </c>
      <c r="W6" s="204" t="s">
        <v>406</v>
      </c>
      <c r="Y6" s="9" t="s">
        <v>1</v>
      </c>
      <c r="Z6" s="9" t="s">
        <v>2</v>
      </c>
      <c r="AA6" s="9" t="s">
        <v>3</v>
      </c>
      <c r="AB6" s="9" t="s">
        <v>4</v>
      </c>
      <c r="AC6" s="9" t="s">
        <v>5</v>
      </c>
      <c r="AD6" s="9" t="s">
        <v>6</v>
      </c>
      <c r="AE6" s="9" t="s">
        <v>7</v>
      </c>
      <c r="AF6" s="9" t="s">
        <v>8</v>
      </c>
      <c r="AG6" s="9" t="s">
        <v>9</v>
      </c>
      <c r="AH6" s="9" t="s">
        <v>10</v>
      </c>
      <c r="AI6" s="44" t="s">
        <v>139</v>
      </c>
      <c r="AK6" s="44" t="s">
        <v>138</v>
      </c>
    </row>
    <row r="7" spans="2:37" x14ac:dyDescent="0.35">
      <c r="B7" s="2"/>
      <c r="C7" s="270" t="s">
        <v>541</v>
      </c>
      <c r="D7" s="2"/>
      <c r="E7" s="2"/>
      <c r="F7" s="2">
        <v>2.1114600000000001</v>
      </c>
      <c r="G7" s="2">
        <v>4.3740399999999999</v>
      </c>
      <c r="H7" s="2">
        <f>G7-F7</f>
        <v>2.2625799999999998</v>
      </c>
      <c r="I7" s="2">
        <f>F8-G7</f>
        <v>20.57931</v>
      </c>
      <c r="J7" s="2">
        <f>H7/N7</f>
        <v>9.9053974955662594E-2</v>
      </c>
      <c r="K7" s="2">
        <f>I7/N7</f>
        <v>0.90094602504433741</v>
      </c>
      <c r="L7" s="2">
        <f>1/H7</f>
        <v>0.44197332249025451</v>
      </c>
      <c r="M7" s="2">
        <f>1/N7</f>
        <v>4.3779214417020658E-2</v>
      </c>
      <c r="N7" s="2">
        <f>H7+I7</f>
        <v>22.841889999999999</v>
      </c>
      <c r="O7" s="2">
        <v>19</v>
      </c>
      <c r="P7">
        <f>O7/H7</f>
        <v>8.3974931273148368</v>
      </c>
      <c r="R7" t="s">
        <v>451</v>
      </c>
      <c r="W7" s="155">
        <v>0</v>
      </c>
      <c r="Y7" s="2">
        <v>0.85716000000000003</v>
      </c>
      <c r="Z7" s="2">
        <v>2.85242</v>
      </c>
      <c r="AA7" s="2">
        <f>Z7-Y7</f>
        <v>1.99526</v>
      </c>
      <c r="AB7" s="2">
        <f>Y8-Z7</f>
        <v>3.7046199999999998</v>
      </c>
      <c r="AC7" s="2">
        <f>AA7/AG7</f>
        <v>0.35005298357158393</v>
      </c>
      <c r="AD7" s="2">
        <f>AB7/AG7</f>
        <v>0.64994701642841601</v>
      </c>
      <c r="AE7" s="2">
        <f>1/AA7</f>
        <v>0.50118781512183874</v>
      </c>
      <c r="AF7" s="2">
        <f>1/AG7</f>
        <v>0.17544229001312309</v>
      </c>
      <c r="AG7" s="2">
        <f>AA7+AB7</f>
        <v>5.6998800000000003</v>
      </c>
      <c r="AH7" s="2">
        <v>9</v>
      </c>
      <c r="AI7">
        <f>AH7/AA7</f>
        <v>4.5106903360965491</v>
      </c>
      <c r="AK7" t="s">
        <v>464</v>
      </c>
    </row>
    <row r="8" spans="2:37" x14ac:dyDescent="0.35">
      <c r="B8" s="2"/>
      <c r="C8" s="270"/>
      <c r="D8" s="2"/>
      <c r="E8" s="2"/>
      <c r="F8" s="2">
        <v>24.95335</v>
      </c>
      <c r="G8" s="2">
        <v>28.209299999999999</v>
      </c>
      <c r="H8" s="2">
        <f t="shared" ref="H8:H26" si="0">G8-F8</f>
        <v>3.2559499999999986</v>
      </c>
      <c r="I8" s="2">
        <f t="shared" ref="I8:I25" si="1">F9-G8</f>
        <v>14.194720000000004</v>
      </c>
      <c r="J8" s="2">
        <f t="shared" ref="J8:J25" si="2">H8/N8</f>
        <v>0.18658022872474225</v>
      </c>
      <c r="K8" s="2">
        <f t="shared" ref="K8:K25" si="3">I8/N8</f>
        <v>0.81341977127525777</v>
      </c>
      <c r="L8" s="2">
        <f t="shared" ref="L8:L25" si="4">1/H8</f>
        <v>0.30713002349544694</v>
      </c>
      <c r="M8" s="2">
        <f t="shared" ref="M8:M25" si="5">1/N8</f>
        <v>5.7304390032015956E-2</v>
      </c>
      <c r="N8" s="2">
        <f t="shared" ref="N8:N25" si="6">H8+I8</f>
        <v>17.450670000000002</v>
      </c>
      <c r="O8" s="2">
        <v>22</v>
      </c>
      <c r="P8">
        <f t="shared" ref="P8:P25" si="7">O8/H8</f>
        <v>6.7568605168998328</v>
      </c>
      <c r="W8" s="155">
        <v>0</v>
      </c>
      <c r="Y8" s="2">
        <v>6.5570399999999998</v>
      </c>
      <c r="Z8" s="2">
        <v>7.7683400000000002</v>
      </c>
      <c r="AA8" s="2">
        <f t="shared" ref="AA8:AA47" si="8">Z8-Y8</f>
        <v>1.2113000000000005</v>
      </c>
      <c r="AB8" s="2">
        <f t="shared" ref="AB8:AB46" si="9">Y9-Z8</f>
        <v>5.5065100000000005</v>
      </c>
      <c r="AC8" s="2">
        <f t="shared" ref="AC8:AC46" si="10">AA8/AG8</f>
        <v>0.18031173849811177</v>
      </c>
      <c r="AD8" s="2">
        <f t="shared" ref="AD8:AD46" si="11">AB8/AG8</f>
        <v>0.81968826150188823</v>
      </c>
      <c r="AE8" s="2">
        <f t="shared" ref="AE8:AE46" si="12">1/AA8</f>
        <v>0.82555931643688563</v>
      </c>
      <c r="AF8" s="2">
        <f t="shared" ref="AF8:AF46" si="13">1/AG8</f>
        <v>0.14885803558004765</v>
      </c>
      <c r="AG8" s="2">
        <f t="shared" ref="AG8:AG46" si="14">AA8+AB8</f>
        <v>6.7178100000000009</v>
      </c>
      <c r="AH8" s="2">
        <v>6</v>
      </c>
      <c r="AI8">
        <f t="shared" ref="AI8:AI46" si="15">AH8/AA8</f>
        <v>4.9533558986213135</v>
      </c>
    </row>
    <row r="9" spans="2:37" x14ac:dyDescent="0.35">
      <c r="B9" s="2"/>
      <c r="C9" s="269" t="s">
        <v>541</v>
      </c>
      <c r="D9" s="2"/>
      <c r="E9" s="2"/>
      <c r="F9" s="13">
        <v>42.404020000000003</v>
      </c>
      <c r="G9" s="2">
        <v>44.346499999999999</v>
      </c>
      <c r="H9" s="2">
        <f t="shared" si="0"/>
        <v>1.9424799999999962</v>
      </c>
      <c r="I9" s="2">
        <f t="shared" si="1"/>
        <v>6.7750500000000002</v>
      </c>
      <c r="J9" s="2">
        <f t="shared" si="2"/>
        <v>0.22282458448666045</v>
      </c>
      <c r="K9" s="2">
        <f t="shared" si="3"/>
        <v>0.77717541551333957</v>
      </c>
      <c r="L9" s="2">
        <f t="shared" si="4"/>
        <v>0.51480581524649005</v>
      </c>
      <c r="M9" s="2">
        <f t="shared" si="5"/>
        <v>0.11471139187361562</v>
      </c>
      <c r="N9" s="2">
        <f t="shared" si="6"/>
        <v>8.7175299999999964</v>
      </c>
      <c r="O9" s="2">
        <v>16</v>
      </c>
      <c r="P9">
        <f t="shared" si="7"/>
        <v>8.2368930439438408</v>
      </c>
      <c r="W9" s="155">
        <v>0</v>
      </c>
      <c r="Y9" s="13">
        <v>13.274850000000001</v>
      </c>
      <c r="Z9" s="2">
        <v>14.30735</v>
      </c>
      <c r="AA9" s="2">
        <f t="shared" si="8"/>
        <v>1.0324999999999989</v>
      </c>
      <c r="AB9" s="2">
        <f t="shared" si="9"/>
        <v>4.8062199999999997</v>
      </c>
      <c r="AC9" s="2">
        <f t="shared" si="10"/>
        <v>0.17683670393510892</v>
      </c>
      <c r="AD9" s="2">
        <f t="shared" si="11"/>
        <v>0.82316329606489114</v>
      </c>
      <c r="AE9" s="2">
        <f t="shared" si="12"/>
        <v>0.96852300242130862</v>
      </c>
      <c r="AF9" s="2">
        <f t="shared" si="13"/>
        <v>0.17127041543351973</v>
      </c>
      <c r="AG9" s="2">
        <f t="shared" si="14"/>
        <v>5.8387199999999986</v>
      </c>
      <c r="AH9" s="2">
        <v>6</v>
      </c>
      <c r="AI9">
        <f t="shared" si="15"/>
        <v>5.8111380145278515</v>
      </c>
    </row>
    <row r="10" spans="2:37" x14ac:dyDescent="0.35">
      <c r="B10" s="2"/>
      <c r="C10" s="270"/>
      <c r="D10" s="2"/>
      <c r="E10" s="2"/>
      <c r="F10" s="13">
        <v>51.121549999999999</v>
      </c>
      <c r="G10" s="2">
        <v>55.333120000000001</v>
      </c>
      <c r="H10" s="2">
        <f t="shared" si="0"/>
        <v>4.2115700000000018</v>
      </c>
      <c r="I10" s="2">
        <f t="shared" si="1"/>
        <v>8.5645299999999978</v>
      </c>
      <c r="J10" s="2">
        <f t="shared" si="2"/>
        <v>0.32964441417960111</v>
      </c>
      <c r="K10" s="2">
        <f t="shared" si="3"/>
        <v>0.67035558582039889</v>
      </c>
      <c r="L10" s="2">
        <f t="shared" si="4"/>
        <v>0.2374411442763624</v>
      </c>
      <c r="M10" s="2">
        <f t="shared" si="5"/>
        <v>7.8271146907115632E-2</v>
      </c>
      <c r="N10" s="2">
        <f t="shared" si="6"/>
        <v>12.7761</v>
      </c>
      <c r="O10" s="2">
        <v>21</v>
      </c>
      <c r="P10">
        <f t="shared" si="7"/>
        <v>4.9862640298036105</v>
      </c>
      <c r="V10" s="287" t="s">
        <v>541</v>
      </c>
      <c r="W10" s="155">
        <v>0</v>
      </c>
      <c r="Y10" s="13">
        <v>19.113569999999999</v>
      </c>
      <c r="Z10" s="2">
        <v>20.201630000000002</v>
      </c>
      <c r="AA10" s="2">
        <f t="shared" si="8"/>
        <v>1.0880600000000022</v>
      </c>
      <c r="AB10" s="2">
        <f t="shared" si="9"/>
        <v>4.665659999999999</v>
      </c>
      <c r="AC10" s="2">
        <f t="shared" si="10"/>
        <v>0.18910548306139369</v>
      </c>
      <c r="AD10" s="2">
        <f t="shared" si="11"/>
        <v>0.81089451693860637</v>
      </c>
      <c r="AE10" s="2">
        <f t="shared" si="12"/>
        <v>0.91906696321893822</v>
      </c>
      <c r="AF10" s="2">
        <f t="shared" si="13"/>
        <v>0.17380060204528544</v>
      </c>
      <c r="AG10" s="2">
        <f t="shared" si="14"/>
        <v>5.7537200000000013</v>
      </c>
      <c r="AH10" s="2">
        <v>6</v>
      </c>
      <c r="AI10">
        <f t="shared" si="15"/>
        <v>5.5144017793136291</v>
      </c>
    </row>
    <row r="11" spans="2:37" x14ac:dyDescent="0.35">
      <c r="B11" s="2"/>
      <c r="C11" s="269" t="s">
        <v>541</v>
      </c>
      <c r="D11" s="2"/>
      <c r="E11" s="2"/>
      <c r="F11" s="13">
        <v>63.897649999999999</v>
      </c>
      <c r="G11" s="2">
        <v>65.884839999999997</v>
      </c>
      <c r="H11" s="2">
        <f t="shared" si="0"/>
        <v>1.9871899999999982</v>
      </c>
      <c r="I11" s="2">
        <f t="shared" si="1"/>
        <v>8.762439999999998</v>
      </c>
      <c r="J11" s="2">
        <f t="shared" si="2"/>
        <v>0.18486124638708484</v>
      </c>
      <c r="K11" s="2">
        <f t="shared" si="3"/>
        <v>0.8151387536129151</v>
      </c>
      <c r="L11" s="2">
        <f t="shared" si="4"/>
        <v>0.50322314423885028</v>
      </c>
      <c r="M11" s="2">
        <f t="shared" si="5"/>
        <v>9.3026457654821634E-2</v>
      </c>
      <c r="N11" s="2">
        <f t="shared" si="6"/>
        <v>10.749629999999996</v>
      </c>
      <c r="O11" s="2">
        <v>20</v>
      </c>
      <c r="P11">
        <f t="shared" si="7"/>
        <v>10.064462884777006</v>
      </c>
      <c r="V11" s="287" t="s">
        <v>541</v>
      </c>
      <c r="W11" s="155">
        <v>0</v>
      </c>
      <c r="Y11" s="13">
        <v>24.867290000000001</v>
      </c>
      <c r="Z11" s="2">
        <v>27.034520000000001</v>
      </c>
      <c r="AA11" s="2">
        <f t="shared" si="8"/>
        <v>2.16723</v>
      </c>
      <c r="AB11" s="2">
        <f t="shared" si="9"/>
        <v>2.7929099999999991</v>
      </c>
      <c r="AC11" s="2">
        <f t="shared" si="10"/>
        <v>0.43692919957904419</v>
      </c>
      <c r="AD11" s="2">
        <f t="shared" si="11"/>
        <v>0.56307080042095581</v>
      </c>
      <c r="AE11" s="2">
        <f t="shared" si="12"/>
        <v>0.46141849273035163</v>
      </c>
      <c r="AF11" s="2">
        <f t="shared" si="13"/>
        <v>0.20160721269964157</v>
      </c>
      <c r="AG11" s="2">
        <f t="shared" si="14"/>
        <v>4.9601399999999991</v>
      </c>
      <c r="AH11" s="2">
        <v>9</v>
      </c>
      <c r="AI11">
        <f t="shared" si="15"/>
        <v>4.1527664345731647</v>
      </c>
    </row>
    <row r="12" spans="2:37" x14ac:dyDescent="0.35">
      <c r="B12" s="2"/>
      <c r="C12" s="270"/>
      <c r="D12" s="2"/>
      <c r="E12" s="2"/>
      <c r="F12" s="13">
        <v>74.647279999999995</v>
      </c>
      <c r="G12" s="2">
        <v>77.782929999999993</v>
      </c>
      <c r="H12" s="2">
        <f t="shared" si="0"/>
        <v>3.1356499999999983</v>
      </c>
      <c r="I12" s="2">
        <f t="shared" si="1"/>
        <v>7.556350000000009</v>
      </c>
      <c r="J12" s="2">
        <f t="shared" si="2"/>
        <v>0.29327066965955817</v>
      </c>
      <c r="K12" s="2">
        <f t="shared" si="3"/>
        <v>0.70672933034044183</v>
      </c>
      <c r="L12" s="2">
        <f t="shared" si="4"/>
        <v>0.31891314400523035</v>
      </c>
      <c r="M12" s="2">
        <f t="shared" si="5"/>
        <v>9.3527871305649019E-2</v>
      </c>
      <c r="N12" s="2">
        <f t="shared" si="6"/>
        <v>10.692000000000007</v>
      </c>
      <c r="O12" s="2">
        <v>25</v>
      </c>
      <c r="P12">
        <f t="shared" si="7"/>
        <v>7.9728286001307591</v>
      </c>
      <c r="W12" s="155">
        <v>0</v>
      </c>
      <c r="Y12" s="13">
        <v>29.82743</v>
      </c>
      <c r="Z12" s="2">
        <v>31.912949999999999</v>
      </c>
      <c r="AA12" s="2">
        <f t="shared" si="8"/>
        <v>2.0855199999999989</v>
      </c>
      <c r="AB12" s="2">
        <f t="shared" si="9"/>
        <v>4.7209200000000031</v>
      </c>
      <c r="AC12" s="2">
        <f t="shared" si="10"/>
        <v>0.30640393509676106</v>
      </c>
      <c r="AD12" s="2">
        <f t="shared" si="11"/>
        <v>0.693596064903239</v>
      </c>
      <c r="AE12" s="2">
        <f t="shared" si="12"/>
        <v>0.47949672024243378</v>
      </c>
      <c r="AF12" s="2">
        <f t="shared" si="13"/>
        <v>0.14691968194827248</v>
      </c>
      <c r="AG12" s="2">
        <f t="shared" si="14"/>
        <v>6.806440000000002</v>
      </c>
      <c r="AH12" s="2">
        <v>9</v>
      </c>
      <c r="AI12">
        <f t="shared" si="15"/>
        <v>4.3154704821819037</v>
      </c>
    </row>
    <row r="13" spans="2:37" x14ac:dyDescent="0.35">
      <c r="B13" s="2"/>
      <c r="C13" s="270"/>
      <c r="D13" s="2"/>
      <c r="E13" s="2"/>
      <c r="F13" s="13">
        <v>85.339280000000002</v>
      </c>
      <c r="G13" s="2">
        <v>88.548540000000003</v>
      </c>
      <c r="H13" s="2">
        <f t="shared" si="0"/>
        <v>3.2092600000000004</v>
      </c>
      <c r="I13" s="2">
        <f t="shared" si="1"/>
        <v>5.3384300000000025</v>
      </c>
      <c r="J13" s="2">
        <f t="shared" si="2"/>
        <v>0.37545348509363341</v>
      </c>
      <c r="K13" s="2">
        <f t="shared" si="3"/>
        <v>0.62454651490636659</v>
      </c>
      <c r="L13" s="2">
        <f t="shared" si="4"/>
        <v>0.31159831238354008</v>
      </c>
      <c r="M13" s="2">
        <f t="shared" si="5"/>
        <v>0.1169906723336948</v>
      </c>
      <c r="N13" s="2">
        <f t="shared" si="6"/>
        <v>8.5476900000000029</v>
      </c>
      <c r="O13" s="2">
        <v>15</v>
      </c>
      <c r="P13">
        <f t="shared" si="7"/>
        <v>4.6739746857531017</v>
      </c>
      <c r="W13" s="155">
        <v>0</v>
      </c>
      <c r="Y13" s="13">
        <v>36.633870000000002</v>
      </c>
      <c r="Z13" s="2">
        <v>37.649329999999999</v>
      </c>
      <c r="AA13" s="2">
        <f t="shared" si="8"/>
        <v>1.0154599999999974</v>
      </c>
      <c r="AB13" s="2">
        <f t="shared" si="9"/>
        <v>4.734259999999999</v>
      </c>
      <c r="AC13" s="2">
        <f t="shared" si="10"/>
        <v>0.17661033928608663</v>
      </c>
      <c r="AD13" s="2">
        <f t="shared" si="11"/>
        <v>0.8233896607139134</v>
      </c>
      <c r="AE13" s="2">
        <f t="shared" si="12"/>
        <v>0.98477537273748117</v>
      </c>
      <c r="AF13" s="2">
        <f t="shared" si="13"/>
        <v>0.17392151269974895</v>
      </c>
      <c r="AG13" s="2">
        <f t="shared" si="14"/>
        <v>5.7497199999999964</v>
      </c>
      <c r="AH13" s="2">
        <v>6</v>
      </c>
      <c r="AI13">
        <f t="shared" si="15"/>
        <v>5.9086522364248868</v>
      </c>
    </row>
    <row r="14" spans="2:37" x14ac:dyDescent="0.35">
      <c r="B14" s="2"/>
      <c r="C14" s="270" t="s">
        <v>541</v>
      </c>
      <c r="D14" s="2"/>
      <c r="E14" s="2"/>
      <c r="F14" s="13">
        <v>93.886970000000005</v>
      </c>
      <c r="G14" s="2">
        <v>94.99906</v>
      </c>
      <c r="H14" s="2">
        <f t="shared" si="0"/>
        <v>1.1120899999999949</v>
      </c>
      <c r="I14" s="2">
        <f t="shared" si="1"/>
        <v>5.3561499999999995</v>
      </c>
      <c r="J14" s="2">
        <f t="shared" si="2"/>
        <v>0.17193084981385909</v>
      </c>
      <c r="K14" s="2">
        <f t="shared" si="3"/>
        <v>0.82806915018614091</v>
      </c>
      <c r="L14" s="2">
        <f t="shared" si="4"/>
        <v>0.89920779793002781</v>
      </c>
      <c r="M14" s="2">
        <f t="shared" si="5"/>
        <v>0.15460156085735854</v>
      </c>
      <c r="N14" s="2">
        <f t="shared" si="6"/>
        <v>6.4682399999999944</v>
      </c>
      <c r="O14" s="2">
        <v>11</v>
      </c>
      <c r="P14">
        <f t="shared" si="7"/>
        <v>9.8912857772303049</v>
      </c>
      <c r="W14" s="155">
        <v>0</v>
      </c>
      <c r="Y14" s="13">
        <v>42.383589999999998</v>
      </c>
      <c r="Z14" s="2">
        <v>43.356650000000002</v>
      </c>
      <c r="AA14" s="2">
        <f t="shared" si="8"/>
        <v>0.97306000000000381</v>
      </c>
      <c r="AB14" s="2">
        <f t="shared" si="9"/>
        <v>4.7123999999999953</v>
      </c>
      <c r="AC14" s="2">
        <f t="shared" si="10"/>
        <v>0.17114886042642177</v>
      </c>
      <c r="AD14" s="2">
        <f t="shared" si="11"/>
        <v>0.82885113957357825</v>
      </c>
      <c r="AE14" s="2">
        <f t="shared" si="12"/>
        <v>1.027685856987232</v>
      </c>
      <c r="AF14" s="2">
        <f t="shared" si="13"/>
        <v>0.17588726329971544</v>
      </c>
      <c r="AG14" s="2">
        <f t="shared" si="14"/>
        <v>5.6854599999999991</v>
      </c>
      <c r="AH14" s="2">
        <v>6</v>
      </c>
      <c r="AI14">
        <f t="shared" si="15"/>
        <v>6.1661151419233926</v>
      </c>
    </row>
    <row r="15" spans="2:37" x14ac:dyDescent="0.35">
      <c r="B15" s="2"/>
      <c r="C15" s="270"/>
      <c r="D15" s="2"/>
      <c r="E15" s="2"/>
      <c r="F15" s="13">
        <v>100.35521</v>
      </c>
      <c r="G15" s="2">
        <v>103.53959</v>
      </c>
      <c r="H15" s="2">
        <f t="shared" si="0"/>
        <v>3.1843800000000044</v>
      </c>
      <c r="I15" s="2">
        <f t="shared" si="1"/>
        <v>13.886539999999997</v>
      </c>
      <c r="J15" s="2">
        <f t="shared" si="2"/>
        <v>0.18653827678883178</v>
      </c>
      <c r="K15" s="2">
        <f t="shared" si="3"/>
        <v>0.81346172321116816</v>
      </c>
      <c r="L15" s="2">
        <f t="shared" si="4"/>
        <v>0.31403287296114113</v>
      </c>
      <c r="M15" s="2">
        <f t="shared" si="5"/>
        <v>5.8579150977217394E-2</v>
      </c>
      <c r="N15" s="2">
        <f t="shared" si="6"/>
        <v>17.070920000000001</v>
      </c>
      <c r="O15" s="2">
        <v>23</v>
      </c>
      <c r="P15">
        <f t="shared" si="7"/>
        <v>7.2227560781062463</v>
      </c>
      <c r="V15" s="287" t="s">
        <v>541</v>
      </c>
      <c r="W15" s="155">
        <v>0</v>
      </c>
      <c r="Y15" s="13">
        <v>48.069049999999997</v>
      </c>
      <c r="Z15" s="2">
        <v>49.093919999999997</v>
      </c>
      <c r="AA15" s="2">
        <f t="shared" si="8"/>
        <v>1.0248699999999999</v>
      </c>
      <c r="AB15" s="2">
        <f t="shared" si="9"/>
        <v>3.7093699999999998</v>
      </c>
      <c r="AC15" s="2">
        <f t="shared" si="10"/>
        <v>0.21648036432458007</v>
      </c>
      <c r="AD15" s="2">
        <f t="shared" si="11"/>
        <v>0.78351963567541993</v>
      </c>
      <c r="AE15" s="2">
        <f t="shared" si="12"/>
        <v>0.97573350766438671</v>
      </c>
      <c r="AF15" s="2">
        <f t="shared" si="13"/>
        <v>0.21122714522288688</v>
      </c>
      <c r="AG15" s="2">
        <f t="shared" si="14"/>
        <v>4.7342399999999998</v>
      </c>
      <c r="AH15" s="2">
        <v>6</v>
      </c>
      <c r="AI15">
        <f t="shared" si="15"/>
        <v>5.8544010459863207</v>
      </c>
    </row>
    <row r="16" spans="2:37" x14ac:dyDescent="0.35">
      <c r="B16" s="2"/>
      <c r="C16" s="270" t="s">
        <v>541</v>
      </c>
      <c r="D16" s="2"/>
      <c r="E16" s="2"/>
      <c r="F16" s="13">
        <v>117.42613</v>
      </c>
      <c r="G16" s="2">
        <v>119.69951</v>
      </c>
      <c r="H16" s="2">
        <f t="shared" si="0"/>
        <v>2.2733800000000031</v>
      </c>
      <c r="I16" s="2">
        <f t="shared" si="1"/>
        <v>8.2081199999999939</v>
      </c>
      <c r="J16" s="2">
        <f t="shared" si="2"/>
        <v>0.21689452845489707</v>
      </c>
      <c r="K16" s="2">
        <f t="shared" si="3"/>
        <v>0.7831054715451029</v>
      </c>
      <c r="L16" s="2">
        <f t="shared" si="4"/>
        <v>0.43987366828246866</v>
      </c>
      <c r="M16" s="2">
        <f t="shared" si="5"/>
        <v>9.5406191861851869E-2</v>
      </c>
      <c r="N16" s="2">
        <f t="shared" si="6"/>
        <v>10.481499999999997</v>
      </c>
      <c r="O16" s="2">
        <v>18</v>
      </c>
      <c r="P16">
        <f t="shared" si="7"/>
        <v>7.9177260290844362</v>
      </c>
      <c r="V16" s="287" t="s">
        <v>541</v>
      </c>
      <c r="W16" s="155">
        <v>0</v>
      </c>
      <c r="Y16" s="13">
        <v>52.803289999999997</v>
      </c>
      <c r="Z16" s="2">
        <v>53.802190000000003</v>
      </c>
      <c r="AA16" s="2">
        <f t="shared" si="8"/>
        <v>0.99890000000000612</v>
      </c>
      <c r="AB16" s="2">
        <f t="shared" si="9"/>
        <v>3.6950000000000003</v>
      </c>
      <c r="AC16" s="2">
        <f t="shared" si="10"/>
        <v>0.21280811265685351</v>
      </c>
      <c r="AD16" s="2">
        <f t="shared" si="11"/>
        <v>0.78719188734314649</v>
      </c>
      <c r="AE16" s="2">
        <f t="shared" si="12"/>
        <v>1.0011012113324596</v>
      </c>
      <c r="AF16" s="2">
        <f t="shared" si="13"/>
        <v>0.21304245936215058</v>
      </c>
      <c r="AG16" s="2">
        <f t="shared" si="14"/>
        <v>4.6939000000000064</v>
      </c>
      <c r="AH16" s="2">
        <v>6</v>
      </c>
      <c r="AI16">
        <f t="shared" si="15"/>
        <v>6.0066072679947577</v>
      </c>
    </row>
    <row r="17" spans="2:38" x14ac:dyDescent="0.35">
      <c r="B17" s="2"/>
      <c r="C17" s="270"/>
      <c r="D17" s="2"/>
      <c r="E17" s="2"/>
      <c r="F17" s="13">
        <v>127.90763</v>
      </c>
      <c r="G17" s="2">
        <v>130.27364</v>
      </c>
      <c r="H17" s="2">
        <f t="shared" si="0"/>
        <v>2.3660100000000028</v>
      </c>
      <c r="I17" s="2">
        <f t="shared" si="1"/>
        <v>16.062000000000012</v>
      </c>
      <c r="J17" s="2">
        <f t="shared" si="2"/>
        <v>0.1283920510136472</v>
      </c>
      <c r="K17" s="2">
        <f t="shared" si="3"/>
        <v>0.87160794898635274</v>
      </c>
      <c r="L17" s="2">
        <f t="shared" si="4"/>
        <v>0.42265248244935516</v>
      </c>
      <c r="M17" s="2">
        <f t="shared" si="5"/>
        <v>5.426521908768224E-2</v>
      </c>
      <c r="N17" s="2">
        <f t="shared" si="6"/>
        <v>18.428010000000015</v>
      </c>
      <c r="O17" s="2">
        <v>19</v>
      </c>
      <c r="P17">
        <f t="shared" si="7"/>
        <v>8.0303971665377478</v>
      </c>
      <c r="R17" t="s">
        <v>452</v>
      </c>
      <c r="W17" s="155">
        <v>0</v>
      </c>
      <c r="Y17" s="13">
        <v>57.497190000000003</v>
      </c>
      <c r="Z17" s="2">
        <v>59.469230000000003</v>
      </c>
      <c r="AA17" s="2">
        <f t="shared" si="8"/>
        <v>1.9720399999999998</v>
      </c>
      <c r="AB17" s="2">
        <f t="shared" si="9"/>
        <v>6.5741899999999944</v>
      </c>
      <c r="AC17" s="2">
        <f t="shared" si="10"/>
        <v>0.23074969899008113</v>
      </c>
      <c r="AD17" s="2">
        <f t="shared" si="11"/>
        <v>0.76925030100991887</v>
      </c>
      <c r="AE17" s="2">
        <f t="shared" si="12"/>
        <v>0.5070891056976532</v>
      </c>
      <c r="AF17" s="2">
        <f t="shared" si="13"/>
        <v>0.11701065850088292</v>
      </c>
      <c r="AG17" s="2">
        <f t="shared" si="14"/>
        <v>8.5462299999999942</v>
      </c>
      <c r="AH17" s="2">
        <v>9</v>
      </c>
      <c r="AI17">
        <f t="shared" si="15"/>
        <v>4.5638019512788794</v>
      </c>
    </row>
    <row r="18" spans="2:38" x14ac:dyDescent="0.35">
      <c r="B18" s="2"/>
      <c r="C18" s="270" t="s">
        <v>541</v>
      </c>
      <c r="D18" s="2"/>
      <c r="E18" s="2"/>
      <c r="F18" s="13">
        <v>146.33564000000001</v>
      </c>
      <c r="G18" s="2">
        <v>147.50375</v>
      </c>
      <c r="H18" s="2">
        <f t="shared" si="0"/>
        <v>1.1681099999999844</v>
      </c>
      <c r="I18" s="2">
        <f t="shared" si="1"/>
        <v>5.2857500000000073</v>
      </c>
      <c r="J18" s="2">
        <f t="shared" si="2"/>
        <v>0.18099400978638921</v>
      </c>
      <c r="K18" s="2">
        <f t="shared" si="3"/>
        <v>0.81900599021361076</v>
      </c>
      <c r="L18" s="2">
        <f t="shared" si="4"/>
        <v>0.85608375923501501</v>
      </c>
      <c r="M18" s="2">
        <f t="shared" si="5"/>
        <v>0.15494603229695117</v>
      </c>
      <c r="N18" s="2">
        <f t="shared" si="6"/>
        <v>6.4538599999999917</v>
      </c>
      <c r="O18" s="2">
        <v>9</v>
      </c>
      <c r="P18">
        <f t="shared" si="7"/>
        <v>7.7047538331151344</v>
      </c>
      <c r="W18" s="155">
        <v>0</v>
      </c>
      <c r="Y18" s="13">
        <v>66.043419999999998</v>
      </c>
      <c r="Z18" s="2">
        <v>67.210549999999998</v>
      </c>
      <c r="AA18" s="2">
        <f t="shared" si="8"/>
        <v>1.1671300000000002</v>
      </c>
      <c r="AB18" s="2">
        <f t="shared" si="9"/>
        <v>4.5633700000000061</v>
      </c>
      <c r="AC18" s="2">
        <f t="shared" si="10"/>
        <v>0.20366983683797207</v>
      </c>
      <c r="AD18" s="2">
        <f t="shared" si="11"/>
        <v>0.79633016316202798</v>
      </c>
      <c r="AE18" s="2">
        <f t="shared" si="12"/>
        <v>0.85680258411659349</v>
      </c>
      <c r="AF18" s="2">
        <f t="shared" si="13"/>
        <v>0.17450484250937945</v>
      </c>
      <c r="AG18" s="2">
        <f t="shared" si="14"/>
        <v>5.7305000000000064</v>
      </c>
      <c r="AH18" s="2">
        <v>6</v>
      </c>
      <c r="AI18">
        <f t="shared" si="15"/>
        <v>5.1408155046995612</v>
      </c>
    </row>
    <row r="19" spans="2:38" x14ac:dyDescent="0.35">
      <c r="B19" s="2"/>
      <c r="C19" s="270"/>
      <c r="D19" s="2"/>
      <c r="E19" s="2"/>
      <c r="F19" s="13">
        <v>152.7895</v>
      </c>
      <c r="G19" s="2">
        <v>155.04927000000001</v>
      </c>
      <c r="H19" s="2">
        <f t="shared" si="0"/>
        <v>2.2597700000000032</v>
      </c>
      <c r="I19" s="2">
        <f t="shared" si="1"/>
        <v>9.4967599999999948</v>
      </c>
      <c r="J19" s="2">
        <f t="shared" si="2"/>
        <v>0.19221402913955082</v>
      </c>
      <c r="K19" s="2">
        <f t="shared" si="3"/>
        <v>0.80778597086044912</v>
      </c>
      <c r="L19" s="2">
        <f t="shared" si="4"/>
        <v>0.44252291162374868</v>
      </c>
      <c r="M19" s="2">
        <f t="shared" si="5"/>
        <v>8.505911182976611E-2</v>
      </c>
      <c r="N19" s="2">
        <f t="shared" si="6"/>
        <v>11.756529999999998</v>
      </c>
      <c r="O19" s="2">
        <v>22</v>
      </c>
      <c r="P19">
        <f t="shared" si="7"/>
        <v>9.7355040557224708</v>
      </c>
      <c r="W19" s="155">
        <v>0</v>
      </c>
      <c r="Y19" s="13">
        <v>71.773920000000004</v>
      </c>
      <c r="Z19" s="2">
        <v>72.794939999999997</v>
      </c>
      <c r="AA19" s="2">
        <f t="shared" si="8"/>
        <v>1.0210199999999929</v>
      </c>
      <c r="AB19" s="2">
        <f t="shared" si="9"/>
        <v>3.7654300000000092</v>
      </c>
      <c r="AC19" s="2">
        <f t="shared" si="10"/>
        <v>0.21331466953587574</v>
      </c>
      <c r="AD19" s="2">
        <f t="shared" si="11"/>
        <v>0.78668533046412426</v>
      </c>
      <c r="AE19" s="2">
        <f t="shared" si="12"/>
        <v>0.97941274411863322</v>
      </c>
      <c r="AF19" s="2">
        <f t="shared" si="13"/>
        <v>0.20892310585089149</v>
      </c>
      <c r="AG19" s="2">
        <f t="shared" si="14"/>
        <v>4.7864500000000021</v>
      </c>
      <c r="AH19" s="2">
        <v>6</v>
      </c>
      <c r="AI19">
        <f t="shared" si="15"/>
        <v>5.8764764647117991</v>
      </c>
    </row>
    <row r="20" spans="2:38" x14ac:dyDescent="0.35">
      <c r="B20" s="2"/>
      <c r="C20" s="270" t="s">
        <v>541</v>
      </c>
      <c r="D20" s="2"/>
      <c r="E20" s="2"/>
      <c r="F20" s="13">
        <v>164.54603</v>
      </c>
      <c r="G20">
        <v>165.70533</v>
      </c>
      <c r="H20" s="2">
        <f t="shared" si="0"/>
        <v>1.1593000000000018</v>
      </c>
      <c r="I20" s="2">
        <f t="shared" si="1"/>
        <v>9.4676800000000014</v>
      </c>
      <c r="J20" s="2">
        <f t="shared" si="2"/>
        <v>0.1090902589446862</v>
      </c>
      <c r="K20" s="2">
        <f t="shared" si="3"/>
        <v>0.89090974105531384</v>
      </c>
      <c r="L20" s="2">
        <f t="shared" si="4"/>
        <v>0.86258949365996596</v>
      </c>
      <c r="M20" s="2">
        <f t="shared" si="5"/>
        <v>9.410011122633144E-2</v>
      </c>
      <c r="N20" s="2">
        <f t="shared" si="6"/>
        <v>10.626980000000003</v>
      </c>
      <c r="O20" s="2">
        <v>12</v>
      </c>
      <c r="P20">
        <f t="shared" si="7"/>
        <v>10.351073923919591</v>
      </c>
      <c r="W20" s="155">
        <v>0</v>
      </c>
      <c r="Y20" s="13">
        <v>76.560370000000006</v>
      </c>
      <c r="Z20" s="2">
        <v>78.600769999999997</v>
      </c>
      <c r="AA20" s="2">
        <f t="shared" si="8"/>
        <v>2.0403999999999911</v>
      </c>
      <c r="AB20" s="2">
        <f t="shared" si="9"/>
        <v>4.7890900000000016</v>
      </c>
      <c r="AC20" s="2">
        <f t="shared" si="10"/>
        <v>0.2987631580103336</v>
      </c>
      <c r="AD20" s="2">
        <f t="shared" si="11"/>
        <v>0.7012368419896664</v>
      </c>
      <c r="AE20" s="2">
        <f t="shared" si="12"/>
        <v>0.49009998039600294</v>
      </c>
      <c r="AF20" s="2">
        <f t="shared" si="13"/>
        <v>0.14642381788391243</v>
      </c>
      <c r="AG20" s="2">
        <f t="shared" si="14"/>
        <v>6.8294899999999927</v>
      </c>
      <c r="AH20" s="2">
        <v>7</v>
      </c>
      <c r="AI20">
        <f t="shared" si="15"/>
        <v>3.4306998627720207</v>
      </c>
    </row>
    <row r="21" spans="2:38" x14ac:dyDescent="0.35">
      <c r="B21" s="2"/>
      <c r="C21" s="270"/>
      <c r="D21" s="2"/>
      <c r="E21" s="2"/>
      <c r="F21" s="13">
        <v>175.17301</v>
      </c>
      <c r="G21">
        <v>178.31704999999999</v>
      </c>
      <c r="H21" s="2">
        <f t="shared" si="0"/>
        <v>3.1440399999999897</v>
      </c>
      <c r="I21" s="2">
        <f t="shared" si="1"/>
        <v>11.664770000000004</v>
      </c>
      <c r="J21" s="2">
        <f t="shared" si="2"/>
        <v>0.21230875404573299</v>
      </c>
      <c r="K21" s="2">
        <f t="shared" si="3"/>
        <v>0.78769124595426698</v>
      </c>
      <c r="L21" s="2">
        <f t="shared" si="4"/>
        <v>0.31806211116907013</v>
      </c>
      <c r="M21" s="2">
        <f t="shared" si="5"/>
        <v>6.7527370531460698E-2</v>
      </c>
      <c r="N21" s="2">
        <f t="shared" si="6"/>
        <v>14.808809999999994</v>
      </c>
      <c r="O21" s="2">
        <v>27</v>
      </c>
      <c r="P21">
        <f t="shared" si="7"/>
        <v>8.5876770015648933</v>
      </c>
      <c r="V21" s="287" t="s">
        <v>541</v>
      </c>
      <c r="W21" s="155">
        <v>0</v>
      </c>
      <c r="Y21" s="13">
        <v>83.389859999999999</v>
      </c>
      <c r="Z21" s="2">
        <v>85.420789999999997</v>
      </c>
      <c r="AA21" s="2">
        <f t="shared" si="8"/>
        <v>2.0309299999999979</v>
      </c>
      <c r="AB21" s="2">
        <f t="shared" si="9"/>
        <v>2.8062299999999993</v>
      </c>
      <c r="AC21" s="2">
        <f t="shared" si="10"/>
        <v>0.41986000049615874</v>
      </c>
      <c r="AD21" s="2">
        <f t="shared" si="11"/>
        <v>0.58013999950384132</v>
      </c>
      <c r="AE21" s="2">
        <f t="shared" si="12"/>
        <v>0.49238526192434057</v>
      </c>
      <c r="AF21" s="2">
        <f t="shared" si="13"/>
        <v>0.20673287631585488</v>
      </c>
      <c r="AG21" s="2">
        <f t="shared" si="14"/>
        <v>4.8371599999999972</v>
      </c>
      <c r="AH21" s="2">
        <v>9</v>
      </c>
      <c r="AI21">
        <f t="shared" si="15"/>
        <v>4.4314673573190655</v>
      </c>
    </row>
    <row r="22" spans="2:38" x14ac:dyDescent="0.35">
      <c r="B22" s="2"/>
      <c r="C22" s="270" t="s">
        <v>541</v>
      </c>
      <c r="D22" s="2"/>
      <c r="E22" s="2"/>
      <c r="F22" s="13">
        <v>189.98182</v>
      </c>
      <c r="G22">
        <v>192.11213000000001</v>
      </c>
      <c r="H22" s="2">
        <f t="shared" si="0"/>
        <v>2.1303100000000086</v>
      </c>
      <c r="I22" s="2">
        <f t="shared" si="1"/>
        <v>8.6408699999999783</v>
      </c>
      <c r="J22" s="2">
        <f t="shared" si="2"/>
        <v>0.19777870205492909</v>
      </c>
      <c r="K22" s="2">
        <f t="shared" si="3"/>
        <v>0.80222129794507091</v>
      </c>
      <c r="L22" s="2">
        <f t="shared" si="4"/>
        <v>0.46941524942379087</v>
      </c>
      <c r="M22" s="2">
        <f t="shared" si="5"/>
        <v>9.2840338755828172E-2</v>
      </c>
      <c r="N22" s="2">
        <f t="shared" si="6"/>
        <v>10.771179999999987</v>
      </c>
      <c r="O22" s="2">
        <v>11</v>
      </c>
      <c r="P22">
        <f t="shared" si="7"/>
        <v>5.1635677436616998</v>
      </c>
      <c r="V22" s="287" t="s">
        <v>541</v>
      </c>
      <c r="W22" s="155">
        <v>0</v>
      </c>
      <c r="Y22" s="13">
        <v>88.227019999999996</v>
      </c>
      <c r="Z22" s="2">
        <v>89.385689999999997</v>
      </c>
      <c r="AA22" s="2">
        <f t="shared" si="8"/>
        <v>1.1586700000000008</v>
      </c>
      <c r="AB22" s="2">
        <f t="shared" si="9"/>
        <v>5.6355599999999981</v>
      </c>
      <c r="AC22" s="2">
        <f t="shared" si="10"/>
        <v>0.17053735301866452</v>
      </c>
      <c r="AD22" s="2">
        <f t="shared" si="11"/>
        <v>0.82946264698133554</v>
      </c>
      <c r="AE22" s="2">
        <f t="shared" si="12"/>
        <v>0.86305850673617113</v>
      </c>
      <c r="AF22" s="2">
        <f t="shared" si="13"/>
        <v>0.14718371323902785</v>
      </c>
      <c r="AG22" s="2">
        <f t="shared" si="14"/>
        <v>6.7942299999999989</v>
      </c>
      <c r="AH22" s="2">
        <v>7</v>
      </c>
      <c r="AI22">
        <f t="shared" si="15"/>
        <v>6.0414095471531972</v>
      </c>
    </row>
    <row r="23" spans="2:38" x14ac:dyDescent="0.35">
      <c r="B23" s="2"/>
      <c r="C23" s="270"/>
      <c r="D23" s="2"/>
      <c r="E23" s="2"/>
      <c r="F23" s="13">
        <v>200.75299999999999</v>
      </c>
      <c r="G23">
        <v>203.70524</v>
      </c>
      <c r="H23" s="2">
        <f t="shared" si="0"/>
        <v>2.9522400000000175</v>
      </c>
      <c r="I23" s="2">
        <f t="shared" si="1"/>
        <v>6.596919999999983</v>
      </c>
      <c r="J23" s="2">
        <f t="shared" si="2"/>
        <v>0.3091622718647522</v>
      </c>
      <c r="K23" s="2">
        <f t="shared" si="3"/>
        <v>0.6908377281352478</v>
      </c>
      <c r="L23" s="2">
        <f t="shared" si="4"/>
        <v>0.33872584884697521</v>
      </c>
      <c r="M23" s="2">
        <f t="shared" si="5"/>
        <v>0.10472125296884752</v>
      </c>
      <c r="N23" s="2">
        <f t="shared" si="6"/>
        <v>9.5491600000000005</v>
      </c>
      <c r="O23" s="2">
        <v>27</v>
      </c>
      <c r="P23">
        <f t="shared" si="7"/>
        <v>9.1455979188683312</v>
      </c>
      <c r="W23" s="155">
        <v>0</v>
      </c>
      <c r="Y23" s="13">
        <v>95.021249999999995</v>
      </c>
      <c r="Z23" s="13">
        <v>96.003010000000003</v>
      </c>
      <c r="AA23" s="2">
        <f t="shared" si="8"/>
        <v>0.9817600000000084</v>
      </c>
      <c r="AB23" s="2">
        <f t="shared" si="9"/>
        <v>4.6639299999999935</v>
      </c>
      <c r="AC23" s="2">
        <f t="shared" si="10"/>
        <v>0.17389548487430379</v>
      </c>
      <c r="AD23" s="2">
        <f t="shared" si="11"/>
        <v>0.82610451512569627</v>
      </c>
      <c r="AE23" s="2">
        <f t="shared" si="12"/>
        <v>1.0185788787483616</v>
      </c>
      <c r="AF23" s="2">
        <f t="shared" si="13"/>
        <v>0.17712626800267101</v>
      </c>
      <c r="AG23" s="2">
        <f t="shared" si="14"/>
        <v>5.6456900000000019</v>
      </c>
      <c r="AH23" s="2">
        <v>11</v>
      </c>
      <c r="AI23">
        <f t="shared" si="15"/>
        <v>11.204367666231978</v>
      </c>
    </row>
    <row r="24" spans="2:38" x14ac:dyDescent="0.35">
      <c r="B24" s="2"/>
      <c r="C24" s="270" t="s">
        <v>541</v>
      </c>
      <c r="D24" s="2"/>
      <c r="E24" s="2"/>
      <c r="F24" s="13">
        <v>210.30215999999999</v>
      </c>
      <c r="G24" s="13">
        <v>212.26953</v>
      </c>
      <c r="H24" s="2">
        <f t="shared" si="0"/>
        <v>1.9673700000000167</v>
      </c>
      <c r="I24" s="2">
        <f t="shared" si="1"/>
        <v>11.748140000000006</v>
      </c>
      <c r="J24" s="2">
        <f t="shared" si="2"/>
        <v>0.14344125737942034</v>
      </c>
      <c r="K24" s="2">
        <f t="shared" si="3"/>
        <v>0.85655874262057963</v>
      </c>
      <c r="L24" s="2">
        <f t="shared" si="4"/>
        <v>0.50829279698276963</v>
      </c>
      <c r="M24" s="2">
        <f t="shared" si="5"/>
        <v>7.2910157916110913E-2</v>
      </c>
      <c r="N24" s="2">
        <f t="shared" si="6"/>
        <v>13.715510000000023</v>
      </c>
      <c r="O24" s="2">
        <v>19</v>
      </c>
      <c r="P24">
        <f t="shared" si="7"/>
        <v>9.6575631426726236</v>
      </c>
      <c r="W24" s="155">
        <v>0</v>
      </c>
      <c r="Y24" s="13">
        <v>100.66694</v>
      </c>
      <c r="Z24" s="13">
        <v>101.71792000000001</v>
      </c>
      <c r="AA24" s="2">
        <f t="shared" si="8"/>
        <v>1.0509800000000098</v>
      </c>
      <c r="AB24" s="2">
        <f t="shared" si="9"/>
        <v>3.7909699999999873</v>
      </c>
      <c r="AC24" s="2">
        <f t="shared" si="10"/>
        <v>0.21705717737688543</v>
      </c>
      <c r="AD24" s="2">
        <f t="shared" si="11"/>
        <v>0.78294282262311454</v>
      </c>
      <c r="AE24" s="2">
        <f t="shared" si="12"/>
        <v>0.95149289234808532</v>
      </c>
      <c r="AF24" s="2">
        <f t="shared" si="13"/>
        <v>0.2065283615072441</v>
      </c>
      <c r="AG24" s="2">
        <f t="shared" si="14"/>
        <v>4.8419499999999971</v>
      </c>
      <c r="AH24" s="2">
        <v>6</v>
      </c>
      <c r="AI24">
        <f t="shared" si="15"/>
        <v>5.7089573540885121</v>
      </c>
    </row>
    <row r="25" spans="2:38" x14ac:dyDescent="0.35">
      <c r="B25" s="2"/>
      <c r="C25" s="270"/>
      <c r="D25" s="2"/>
      <c r="E25" s="2"/>
      <c r="F25" s="13">
        <v>224.01767000000001</v>
      </c>
      <c r="G25">
        <v>227.26164</v>
      </c>
      <c r="H25" s="2">
        <f t="shared" si="0"/>
        <v>3.2439699999999903</v>
      </c>
      <c r="I25" s="2">
        <f t="shared" si="1"/>
        <v>7.322969999999998</v>
      </c>
      <c r="J25" s="2">
        <f t="shared" si="2"/>
        <v>0.30699237432974863</v>
      </c>
      <c r="K25" s="2">
        <f t="shared" si="3"/>
        <v>0.69300762567025143</v>
      </c>
      <c r="L25" s="2">
        <f t="shared" si="4"/>
        <v>0.30826425645120115</v>
      </c>
      <c r="M25" s="2">
        <f t="shared" si="5"/>
        <v>9.4634776008948776E-2</v>
      </c>
      <c r="N25" s="2">
        <f t="shared" si="6"/>
        <v>10.566939999999988</v>
      </c>
      <c r="O25" s="2">
        <v>27</v>
      </c>
      <c r="P25">
        <f t="shared" si="7"/>
        <v>8.3231349241824315</v>
      </c>
      <c r="W25" s="155">
        <v>0</v>
      </c>
      <c r="Y25">
        <v>105.50888999999999</v>
      </c>
      <c r="Z25">
        <v>106.75574</v>
      </c>
      <c r="AA25" s="2">
        <f t="shared" si="8"/>
        <v>1.2468500000000091</v>
      </c>
      <c r="AB25" s="2">
        <f t="shared" si="9"/>
        <v>4.399249999999995</v>
      </c>
      <c r="AC25" s="2">
        <f t="shared" si="10"/>
        <v>0.22083384991410146</v>
      </c>
      <c r="AD25" s="2">
        <f t="shared" si="11"/>
        <v>0.77916615008589851</v>
      </c>
      <c r="AE25" s="2">
        <f t="shared" si="12"/>
        <v>0.80202109315474412</v>
      </c>
      <c r="AF25" s="2">
        <f t="shared" si="13"/>
        <v>0.17711340571367834</v>
      </c>
      <c r="AG25" s="2">
        <f t="shared" si="14"/>
        <v>5.6461000000000041</v>
      </c>
      <c r="AH25" s="2">
        <v>7</v>
      </c>
      <c r="AI25">
        <f t="shared" si="15"/>
        <v>5.6141476520832088</v>
      </c>
    </row>
    <row r="26" spans="2:38" x14ac:dyDescent="0.35">
      <c r="B26" s="2"/>
      <c r="C26" s="2"/>
      <c r="D26" s="2"/>
      <c r="E26" s="2"/>
      <c r="F26" s="13">
        <v>234.58461</v>
      </c>
      <c r="G26">
        <v>236.66493</v>
      </c>
      <c r="H26" s="2">
        <f t="shared" si="0"/>
        <v>2.0803200000000004</v>
      </c>
      <c r="I26" s="2"/>
      <c r="J26" s="2"/>
      <c r="K26" s="2"/>
      <c r="L26" s="2"/>
      <c r="M26" s="2"/>
      <c r="N26" s="2"/>
      <c r="O26" s="2"/>
      <c r="V26" s="287" t="s">
        <v>541</v>
      </c>
      <c r="W26" s="155">
        <v>0</v>
      </c>
      <c r="Y26">
        <v>111.15499</v>
      </c>
      <c r="Z26">
        <v>112.14072</v>
      </c>
      <c r="AA26" s="2">
        <f t="shared" si="8"/>
        <v>0.98573000000000377</v>
      </c>
      <c r="AB26" s="2">
        <f t="shared" si="9"/>
        <v>3.8228299999999962</v>
      </c>
      <c r="AC26" s="2">
        <f t="shared" si="10"/>
        <v>0.20499484253082081</v>
      </c>
      <c r="AD26" s="2">
        <f t="shared" si="11"/>
        <v>0.79500515746917921</v>
      </c>
      <c r="AE26" s="2">
        <f t="shared" si="12"/>
        <v>1.0144765808081282</v>
      </c>
      <c r="AF26" s="2">
        <f t="shared" si="13"/>
        <v>0.20796246693396775</v>
      </c>
      <c r="AG26" s="2">
        <f t="shared" si="14"/>
        <v>4.8085599999999999</v>
      </c>
      <c r="AH26" s="2">
        <v>6</v>
      </c>
      <c r="AI26">
        <f t="shared" si="15"/>
        <v>6.0868594848487687</v>
      </c>
    </row>
    <row r="27" spans="2:38" x14ac:dyDescent="0.35">
      <c r="B27" s="2"/>
      <c r="C27" s="2"/>
      <c r="D27" s="2"/>
      <c r="E27" s="2"/>
      <c r="F27" s="13"/>
      <c r="V27" s="287" t="s">
        <v>541</v>
      </c>
      <c r="W27" s="155">
        <v>0</v>
      </c>
      <c r="Y27">
        <v>115.96355</v>
      </c>
      <c r="Z27">
        <v>117.90497999999999</v>
      </c>
      <c r="AA27" s="2">
        <f t="shared" si="8"/>
        <v>1.9414299999999969</v>
      </c>
      <c r="AB27" s="2">
        <f t="shared" si="9"/>
        <v>8.3972400000000107</v>
      </c>
      <c r="AC27" s="2">
        <f t="shared" si="10"/>
        <v>0.18778334157101401</v>
      </c>
      <c r="AD27" s="2">
        <f t="shared" si="11"/>
        <v>0.81221665842898594</v>
      </c>
      <c r="AE27" s="2">
        <f t="shared" si="12"/>
        <v>0.51508424202778447</v>
      </c>
      <c r="AF27" s="2">
        <f t="shared" si="13"/>
        <v>9.6724240158550301E-2</v>
      </c>
      <c r="AG27" s="2">
        <f t="shared" si="14"/>
        <v>10.338670000000008</v>
      </c>
      <c r="AH27" s="2">
        <v>10</v>
      </c>
      <c r="AI27">
        <f t="shared" si="15"/>
        <v>5.1508424202778444</v>
      </c>
    </row>
    <row r="28" spans="2:38" ht="16" thickBot="1" x14ac:dyDescent="0.4">
      <c r="B28" s="2"/>
      <c r="C28" s="2"/>
      <c r="D28" s="2"/>
      <c r="E28" s="2"/>
      <c r="F28" s="13"/>
      <c r="G28" s="13"/>
      <c r="H28" s="9" t="s">
        <v>3</v>
      </c>
      <c r="I28" s="9" t="s">
        <v>4</v>
      </c>
      <c r="J28" s="9" t="s">
        <v>5</v>
      </c>
      <c r="K28" s="9" t="s">
        <v>6</v>
      </c>
      <c r="L28" s="9" t="s">
        <v>7</v>
      </c>
      <c r="M28" s="9" t="s">
        <v>8</v>
      </c>
      <c r="N28" s="9" t="s">
        <v>9</v>
      </c>
      <c r="O28" s="9" t="s">
        <v>10</v>
      </c>
      <c r="P28" s="44" t="s">
        <v>139</v>
      </c>
      <c r="W28" s="155">
        <v>0</v>
      </c>
      <c r="Y28">
        <v>126.30222000000001</v>
      </c>
      <c r="Z28">
        <v>127.20988</v>
      </c>
      <c r="AA28" s="2">
        <f t="shared" si="8"/>
        <v>0.90765999999999281</v>
      </c>
      <c r="AB28" s="2">
        <f t="shared" si="9"/>
        <v>4.8652099999999905</v>
      </c>
      <c r="AC28" s="2">
        <f t="shared" si="10"/>
        <v>0.15722855356174578</v>
      </c>
      <c r="AD28" s="2">
        <f t="shared" si="11"/>
        <v>0.84277144643825419</v>
      </c>
      <c r="AE28" s="2">
        <f t="shared" si="12"/>
        <v>1.101734129519873</v>
      </c>
      <c r="AF28" s="2">
        <f t="shared" si="13"/>
        <v>0.17322406359401873</v>
      </c>
      <c r="AG28" s="2">
        <f t="shared" si="14"/>
        <v>5.7728699999999833</v>
      </c>
      <c r="AH28" s="2">
        <v>5</v>
      </c>
      <c r="AI28">
        <f t="shared" si="15"/>
        <v>5.5086706475993648</v>
      </c>
      <c r="AK28" t="s">
        <v>465</v>
      </c>
    </row>
    <row r="29" spans="2:38" x14ac:dyDescent="0.35">
      <c r="B29" s="2"/>
      <c r="C29" s="2"/>
      <c r="D29" s="2"/>
      <c r="E29" s="2"/>
      <c r="F29" s="13"/>
      <c r="G29" s="49" t="s">
        <v>77</v>
      </c>
      <c r="H29" s="13">
        <f>AVERAGE(H7:H25)</f>
        <v>2.4718763157894741</v>
      </c>
      <c r="I29" s="13">
        <f t="shared" ref="I29:P29" si="16">AVERAGE(I7:I25)</f>
        <v>9.7635526315789463</v>
      </c>
      <c r="J29" s="13">
        <f t="shared" si="16"/>
        <v>0.21302241932123089</v>
      </c>
      <c r="K29" s="13">
        <f t="shared" si="16"/>
        <v>0.78697758067876911</v>
      </c>
      <c r="L29" s="13">
        <f t="shared" si="16"/>
        <v>0.46393727132377388</v>
      </c>
      <c r="M29" s="13">
        <f t="shared" si="16"/>
        <v>9.0905390465383581E-2</v>
      </c>
      <c r="N29" s="13">
        <f t="shared" si="16"/>
        <v>12.235428947368421</v>
      </c>
      <c r="O29" s="13">
        <f t="shared" si="16"/>
        <v>19.105263157894736</v>
      </c>
      <c r="P29" s="13">
        <f t="shared" si="16"/>
        <v>8.0431481306994161</v>
      </c>
      <c r="W29" s="155">
        <v>0</v>
      </c>
      <c r="Y29" s="13">
        <v>132.07508999999999</v>
      </c>
      <c r="Z29">
        <v>133.03299000000001</v>
      </c>
      <c r="AA29" s="2">
        <f t="shared" si="8"/>
        <v>0.95790000000002351</v>
      </c>
      <c r="AB29" s="2">
        <f t="shared" si="9"/>
        <v>4.8962299999999743</v>
      </c>
      <c r="AC29" s="2">
        <f t="shared" si="10"/>
        <v>0.16362807112244243</v>
      </c>
      <c r="AD29" s="2">
        <f t="shared" si="11"/>
        <v>0.83637192887755762</v>
      </c>
      <c r="AE29" s="2">
        <f t="shared" si="12"/>
        <v>1.0439503079653152</v>
      </c>
      <c r="AF29" s="2">
        <f t="shared" si="13"/>
        <v>0.17081957524004426</v>
      </c>
      <c r="AG29" s="2">
        <f t="shared" si="14"/>
        <v>5.8541299999999978</v>
      </c>
      <c r="AH29" s="2">
        <v>6</v>
      </c>
      <c r="AI29">
        <f t="shared" si="15"/>
        <v>6.2637018477918911</v>
      </c>
    </row>
    <row r="30" spans="2:38" x14ac:dyDescent="0.35">
      <c r="B30" s="2"/>
      <c r="C30" s="2"/>
      <c r="D30" s="2"/>
      <c r="E30" s="2"/>
      <c r="F30" s="13"/>
      <c r="G30" s="49" t="s">
        <v>94</v>
      </c>
      <c r="H30" s="2">
        <f>_xlfn.STDEV.S(H7:H25)</f>
        <v>0.84028564173943388</v>
      </c>
      <c r="I30" s="2">
        <f t="shared" ref="I30:P30" si="17">_xlfn.STDEV.S(I7:I25)</f>
        <v>4.0549108762912356</v>
      </c>
      <c r="J30" s="2">
        <f t="shared" si="17"/>
        <v>7.6730776026947001E-2</v>
      </c>
      <c r="K30" s="2">
        <f t="shared" si="17"/>
        <v>7.6730776026946973E-2</v>
      </c>
      <c r="L30" s="2">
        <f t="shared" si="17"/>
        <v>0.19934710475332398</v>
      </c>
      <c r="M30" s="2">
        <f t="shared" si="17"/>
        <v>3.023748469998359E-2</v>
      </c>
      <c r="N30" s="2">
        <f t="shared" si="17"/>
        <v>4.2545367632797335</v>
      </c>
      <c r="O30" s="2">
        <f t="shared" si="17"/>
        <v>5.6262750341797139</v>
      </c>
      <c r="P30" s="2">
        <f t="shared" si="17"/>
        <v>1.6915218387353457</v>
      </c>
      <c r="V30" s="287" t="s">
        <v>541</v>
      </c>
      <c r="W30" s="155">
        <v>0</v>
      </c>
      <c r="Y30">
        <v>137.92921999999999</v>
      </c>
      <c r="Z30" s="141">
        <v>139.19050999999999</v>
      </c>
      <c r="AA30" s="2">
        <f t="shared" si="8"/>
        <v>1.2612900000000025</v>
      </c>
      <c r="AB30" s="2">
        <f t="shared" si="9"/>
        <v>5.5838300000000061</v>
      </c>
      <c r="AC30" s="2">
        <f t="shared" si="10"/>
        <v>0.18426119629750842</v>
      </c>
      <c r="AD30" s="2">
        <f t="shared" si="11"/>
        <v>0.81573880370249152</v>
      </c>
      <c r="AE30" s="2">
        <f t="shared" si="12"/>
        <v>0.79283907745244797</v>
      </c>
      <c r="AF30" s="2">
        <f t="shared" si="13"/>
        <v>0.14608947688280099</v>
      </c>
      <c r="AG30" s="2">
        <f t="shared" si="14"/>
        <v>6.8451200000000085</v>
      </c>
      <c r="AH30" s="2">
        <v>7</v>
      </c>
      <c r="AI30">
        <f t="shared" si="15"/>
        <v>5.5498735421671359</v>
      </c>
    </row>
    <row r="31" spans="2:38" x14ac:dyDescent="0.35">
      <c r="G31" s="49" t="s">
        <v>95</v>
      </c>
      <c r="H31" s="2">
        <f>H30/(SQRT(COUNT(H7:H25)))</f>
        <v>0.19277474716054815</v>
      </c>
      <c r="I31" s="2">
        <f t="shared" ref="I31:P31" si="18">I30/(SQRT(COUNT(I7:I25)))</f>
        <v>0.9302603544640764</v>
      </c>
      <c r="J31" s="2">
        <f t="shared" si="18"/>
        <v>1.7603247292679751E-2</v>
      </c>
      <c r="K31" s="2">
        <f t="shared" si="18"/>
        <v>1.7603247292679747E-2</v>
      </c>
      <c r="L31" s="2">
        <f t="shared" si="18"/>
        <v>4.5733362331955567E-2</v>
      </c>
      <c r="M31" s="2">
        <f t="shared" si="18"/>
        <v>6.9369547428466179E-3</v>
      </c>
      <c r="N31" s="2">
        <f t="shared" si="18"/>
        <v>0.97605767382710451</v>
      </c>
      <c r="O31" s="2">
        <f t="shared" si="18"/>
        <v>1.2907560159239588</v>
      </c>
      <c r="P31" s="2">
        <f t="shared" si="18"/>
        <v>0.38806172399155131</v>
      </c>
      <c r="V31" s="287" t="s">
        <v>541</v>
      </c>
      <c r="W31" s="155">
        <v>0</v>
      </c>
      <c r="Y31" s="2">
        <v>144.77434</v>
      </c>
      <c r="Z31" s="45">
        <v>146.83081999999999</v>
      </c>
      <c r="AA31" s="2">
        <f t="shared" si="8"/>
        <v>2.0564799999999934</v>
      </c>
      <c r="AB31" s="2">
        <f t="shared" si="9"/>
        <v>3.7355200000000082</v>
      </c>
      <c r="AC31" s="2">
        <f t="shared" si="10"/>
        <v>0.35505524861878329</v>
      </c>
      <c r="AD31" s="2">
        <f t="shared" si="11"/>
        <v>0.64494475138121665</v>
      </c>
      <c r="AE31" s="2">
        <f t="shared" si="12"/>
        <v>0.48626779740138643</v>
      </c>
      <c r="AF31" s="2">
        <f t="shared" si="13"/>
        <v>0.17265193370165741</v>
      </c>
      <c r="AG31" s="2">
        <f t="shared" si="14"/>
        <v>5.7920000000000016</v>
      </c>
      <c r="AH31" s="2">
        <v>9</v>
      </c>
      <c r="AI31">
        <f t="shared" si="15"/>
        <v>4.3764101766124783</v>
      </c>
      <c r="AJ31" s="2"/>
      <c r="AK31" s="2"/>
      <c r="AL31" s="2"/>
    </row>
    <row r="32" spans="2:38" x14ac:dyDescent="0.35">
      <c r="G32" s="49"/>
      <c r="H32" s="2"/>
      <c r="I32" s="2"/>
      <c r="J32" s="2"/>
      <c r="K32" s="2"/>
      <c r="L32" s="2"/>
      <c r="M32" s="2"/>
      <c r="N32" s="2"/>
      <c r="O32" s="2"/>
      <c r="P32" s="2"/>
      <c r="W32" s="155">
        <v>0</v>
      </c>
      <c r="Y32" s="2">
        <v>150.56634</v>
      </c>
      <c r="Z32" s="45">
        <v>151.59961000000001</v>
      </c>
      <c r="AA32" s="2">
        <f t="shared" si="8"/>
        <v>1.0332700000000159</v>
      </c>
      <c r="AB32" s="2">
        <f t="shared" si="9"/>
        <v>5.6807699999999954</v>
      </c>
      <c r="AC32" s="2">
        <f t="shared" si="10"/>
        <v>0.1538969085677199</v>
      </c>
      <c r="AD32" s="2">
        <f t="shared" si="11"/>
        <v>0.84610309143228013</v>
      </c>
      <c r="AE32" s="2">
        <f t="shared" si="12"/>
        <v>0.96780125233480563</v>
      </c>
      <c r="AF32" s="2">
        <f t="shared" si="13"/>
        <v>0.1489416208422944</v>
      </c>
      <c r="AG32" s="2">
        <f t="shared" si="14"/>
        <v>6.7140400000000113</v>
      </c>
      <c r="AH32" s="2">
        <v>6</v>
      </c>
      <c r="AI32">
        <f t="shared" si="15"/>
        <v>5.8068075140088338</v>
      </c>
      <c r="AJ32" s="2"/>
      <c r="AK32" s="2"/>
      <c r="AL32" s="2"/>
    </row>
    <row r="33" spans="3:38" x14ac:dyDescent="0.35">
      <c r="G33" s="49"/>
      <c r="H33" s="2"/>
      <c r="I33" s="2"/>
      <c r="J33" s="2"/>
      <c r="K33" s="2"/>
      <c r="L33" s="2"/>
      <c r="M33" s="2"/>
      <c r="N33" s="2"/>
      <c r="O33" s="2"/>
      <c r="P33" s="2"/>
      <c r="W33" s="155">
        <v>0</v>
      </c>
      <c r="Y33" s="2">
        <v>157.28038000000001</v>
      </c>
      <c r="Z33" s="45">
        <v>158.24509</v>
      </c>
      <c r="AA33" s="2">
        <f t="shared" si="8"/>
        <v>0.96470999999999663</v>
      </c>
      <c r="AB33" s="2">
        <f t="shared" si="9"/>
        <v>3.7771999999999935</v>
      </c>
      <c r="AC33" s="2">
        <f t="shared" si="10"/>
        <v>0.20344333823290586</v>
      </c>
      <c r="AD33" s="2">
        <f t="shared" si="11"/>
        <v>0.79655666176709417</v>
      </c>
      <c r="AE33" s="2">
        <f t="shared" si="12"/>
        <v>1.0365809414228147</v>
      </c>
      <c r="AF33" s="2">
        <f t="shared" si="13"/>
        <v>0.21088548707166566</v>
      </c>
      <c r="AG33" s="2">
        <f t="shared" si="14"/>
        <v>4.7419099999999901</v>
      </c>
      <c r="AH33" s="2">
        <v>5</v>
      </c>
      <c r="AI33">
        <f t="shared" si="15"/>
        <v>5.1829047071140728</v>
      </c>
      <c r="AJ33" s="2"/>
      <c r="AK33" s="2"/>
      <c r="AL33" s="2"/>
    </row>
    <row r="34" spans="3:38" ht="16" thickBot="1" x14ac:dyDescent="0.4">
      <c r="E34" s="104" t="s">
        <v>81</v>
      </c>
      <c r="F34" s="13"/>
      <c r="G34" s="13"/>
      <c r="H34" s="9" t="s">
        <v>3</v>
      </c>
      <c r="I34" s="9" t="s">
        <v>4</v>
      </c>
      <c r="J34" s="9" t="s">
        <v>5</v>
      </c>
      <c r="K34" s="9" t="s">
        <v>6</v>
      </c>
      <c r="L34" s="9" t="s">
        <v>7</v>
      </c>
      <c r="M34" s="9" t="s">
        <v>8</v>
      </c>
      <c r="N34" s="9" t="s">
        <v>9</v>
      </c>
      <c r="O34" s="9" t="s">
        <v>10</v>
      </c>
      <c r="P34" s="44" t="s">
        <v>139</v>
      </c>
      <c r="W34" s="155">
        <v>0</v>
      </c>
      <c r="Y34">
        <v>162.02229</v>
      </c>
      <c r="Z34">
        <v>162.97833</v>
      </c>
      <c r="AA34" s="2">
        <f t="shared" si="8"/>
        <v>0.95604000000000156</v>
      </c>
      <c r="AB34" s="2">
        <f t="shared" si="9"/>
        <v>4.860430000000008</v>
      </c>
      <c r="AC34" s="2">
        <f t="shared" si="10"/>
        <v>0.16436773506955249</v>
      </c>
      <c r="AD34" s="2">
        <f t="shared" si="11"/>
        <v>0.83563226493044751</v>
      </c>
      <c r="AE34" s="2">
        <f t="shared" si="12"/>
        <v>1.0459813396928981</v>
      </c>
      <c r="AF34" s="2">
        <f t="shared" si="13"/>
        <v>0.17192558373033787</v>
      </c>
      <c r="AG34" s="2">
        <f t="shared" si="14"/>
        <v>5.8164700000000096</v>
      </c>
      <c r="AH34" s="2">
        <v>6</v>
      </c>
      <c r="AI34">
        <f t="shared" si="15"/>
        <v>6.2758880381573894</v>
      </c>
      <c r="AJ34" s="2"/>
      <c r="AK34" s="2"/>
      <c r="AL34" s="2"/>
    </row>
    <row r="35" spans="3:38" x14ac:dyDescent="0.35">
      <c r="F35" s="13"/>
      <c r="G35" s="49" t="s">
        <v>77</v>
      </c>
      <c r="H35" s="13">
        <f>AVERAGE(H7,H9,H11,H14,H16,H18,H20,H22,H24)</f>
        <v>1.7780900000000004</v>
      </c>
      <c r="I35" s="13">
        <f t="shared" ref="I35:P35" si="19">AVERAGE(I7,I9,I11,I14,I16,I18,I20,I22,I24)</f>
        <v>9.4248344444444427</v>
      </c>
      <c r="J35" s="13">
        <f t="shared" si="19"/>
        <v>0.16965215691817656</v>
      </c>
      <c r="K35" s="13">
        <f t="shared" si="19"/>
        <v>0.83034784308182341</v>
      </c>
      <c r="L35" s="13">
        <f t="shared" si="19"/>
        <v>0.6106072274988481</v>
      </c>
      <c r="M35" s="13">
        <f t="shared" si="19"/>
        <v>0.10181349520665445</v>
      </c>
      <c r="N35" s="13">
        <f t="shared" si="19"/>
        <v>11.202924444444442</v>
      </c>
      <c r="O35" s="13">
        <f t="shared" si="19"/>
        <v>15</v>
      </c>
      <c r="P35" s="13">
        <f t="shared" si="19"/>
        <v>8.5983132784132756</v>
      </c>
      <c r="V35" s="287" t="s">
        <v>541</v>
      </c>
      <c r="W35" s="155">
        <v>0</v>
      </c>
      <c r="Y35">
        <v>167.83876000000001</v>
      </c>
      <c r="Z35">
        <v>168.83239</v>
      </c>
      <c r="AA35" s="2">
        <f t="shared" si="8"/>
        <v>0.99362999999999602</v>
      </c>
      <c r="AB35" s="2">
        <f t="shared" si="9"/>
        <v>3.8594899999999939</v>
      </c>
      <c r="AC35" s="2">
        <f t="shared" si="10"/>
        <v>0.20474045562442267</v>
      </c>
      <c r="AD35" s="2">
        <f t="shared" si="11"/>
        <v>0.79525954437557733</v>
      </c>
      <c r="AE35" s="2">
        <f t="shared" si="12"/>
        <v>1.0064108370318972</v>
      </c>
      <c r="AF35" s="2">
        <f t="shared" si="13"/>
        <v>0.2060530133192672</v>
      </c>
      <c r="AG35" s="2">
        <f t="shared" si="14"/>
        <v>4.8531199999999899</v>
      </c>
      <c r="AH35" s="2">
        <v>7</v>
      </c>
      <c r="AI35">
        <f t="shared" si="15"/>
        <v>7.0448758592232803</v>
      </c>
      <c r="AJ35" s="2"/>
      <c r="AK35" s="2"/>
      <c r="AL35" s="2"/>
    </row>
    <row r="36" spans="3:38" x14ac:dyDescent="0.35">
      <c r="E36" s="104"/>
      <c r="F36" s="13"/>
      <c r="G36" s="49" t="s">
        <v>94</v>
      </c>
      <c r="H36" s="2">
        <f>_xlfn.STDEV.S(H7,H9,H11,H14,H16,H18,H20,H22,H24)</f>
        <v>0.48851920862951226</v>
      </c>
      <c r="I36" s="2">
        <f t="shared" ref="I36:P36" si="20">_xlfn.STDEV.S(I7,I9,I11,I14,I16,I18,I20,I22,I24)</f>
        <v>4.6511186934411546</v>
      </c>
      <c r="J36" s="2">
        <f t="shared" si="20"/>
        <v>4.4094012874104659E-2</v>
      </c>
      <c r="K36" s="2">
        <f t="shared" si="20"/>
        <v>4.4094012874104749E-2</v>
      </c>
      <c r="L36" s="2">
        <f t="shared" si="20"/>
        <v>0.19866557666055451</v>
      </c>
      <c r="M36" s="2">
        <f t="shared" si="20"/>
        <v>3.5773003366253629E-2</v>
      </c>
      <c r="N36" s="2">
        <f t="shared" si="20"/>
        <v>4.9265947311330409</v>
      </c>
      <c r="O36" s="2">
        <f t="shared" si="20"/>
        <v>4.2426406871192848</v>
      </c>
      <c r="P36" s="2">
        <f t="shared" si="20"/>
        <v>1.6296330261750809</v>
      </c>
      <c r="V36" s="287" t="s">
        <v>541</v>
      </c>
      <c r="W36" s="155">
        <v>0</v>
      </c>
      <c r="Y36">
        <v>172.69188</v>
      </c>
      <c r="Z36">
        <v>174.67576</v>
      </c>
      <c r="AA36" s="2">
        <f t="shared" si="8"/>
        <v>1.9838799999999992</v>
      </c>
      <c r="AB36" s="2">
        <f t="shared" si="9"/>
        <v>3.8626700000000085</v>
      </c>
      <c r="AC36" s="2">
        <f t="shared" si="10"/>
        <v>0.33932490100999679</v>
      </c>
      <c r="AD36" s="2">
        <f t="shared" si="11"/>
        <v>0.66067509899000321</v>
      </c>
      <c r="AE36" s="2">
        <f t="shared" si="12"/>
        <v>0.50406274573058873</v>
      </c>
      <c r="AF36" s="2">
        <f t="shared" si="13"/>
        <v>0.17104104129785919</v>
      </c>
      <c r="AG36" s="2">
        <f t="shared" si="14"/>
        <v>5.8465500000000077</v>
      </c>
      <c r="AH36" s="2">
        <v>8</v>
      </c>
      <c r="AI36">
        <f t="shared" si="15"/>
        <v>4.0325019658447099</v>
      </c>
      <c r="AJ36" s="2"/>
      <c r="AK36" s="2"/>
      <c r="AL36" s="2"/>
    </row>
    <row r="37" spans="3:38" x14ac:dyDescent="0.35">
      <c r="E37" s="104"/>
      <c r="F37" s="13"/>
      <c r="G37" s="49" t="s">
        <v>95</v>
      </c>
      <c r="H37" s="2">
        <f>H36/(SQRT(COUNT(H7,H9,H11,H14,H16,H18,H20,H22,H24)))</f>
        <v>0.16283973620983741</v>
      </c>
      <c r="I37" s="2">
        <f t="shared" ref="I37:P37" si="21">I36/(SQRT(COUNT(I7,I9,I11,I14,I16,I18,I20,I22,I24)))</f>
        <v>1.5503728978137181</v>
      </c>
      <c r="J37" s="2">
        <f t="shared" si="21"/>
        <v>1.469800429136822E-2</v>
      </c>
      <c r="K37" s="2">
        <f t="shared" si="21"/>
        <v>1.469800429136825E-2</v>
      </c>
      <c r="L37" s="2">
        <f t="shared" si="21"/>
        <v>6.6221858886851503E-2</v>
      </c>
      <c r="M37" s="2">
        <f t="shared" si="21"/>
        <v>1.1924334455417877E-2</v>
      </c>
      <c r="N37" s="2">
        <f t="shared" si="21"/>
        <v>1.6421982437110136</v>
      </c>
      <c r="O37" s="2">
        <f t="shared" si="21"/>
        <v>1.4142135623730949</v>
      </c>
      <c r="P37" s="2">
        <f t="shared" si="21"/>
        <v>0.54321100872502692</v>
      </c>
      <c r="W37" s="155">
        <v>0</v>
      </c>
      <c r="Y37">
        <v>178.53843000000001</v>
      </c>
      <c r="Z37">
        <v>180.66168999999999</v>
      </c>
      <c r="AA37" s="2">
        <f t="shared" si="8"/>
        <v>2.1232599999999877</v>
      </c>
      <c r="AB37" s="2">
        <f t="shared" si="9"/>
        <v>3.7247700000000066</v>
      </c>
      <c r="AC37" s="2">
        <f t="shared" si="10"/>
        <v>0.36307269285554106</v>
      </c>
      <c r="AD37" s="2">
        <f t="shared" si="11"/>
        <v>0.63692730714445889</v>
      </c>
      <c r="AE37" s="2">
        <f t="shared" si="12"/>
        <v>0.47097387978862965</v>
      </c>
      <c r="AF37" s="2">
        <f t="shared" si="13"/>
        <v>0.17099775479947965</v>
      </c>
      <c r="AG37" s="2">
        <f t="shared" si="14"/>
        <v>5.8480299999999943</v>
      </c>
      <c r="AH37" s="2">
        <v>10</v>
      </c>
      <c r="AI37">
        <f t="shared" si="15"/>
        <v>4.7097387978862963</v>
      </c>
      <c r="AL37" s="2"/>
    </row>
    <row r="38" spans="3:38" x14ac:dyDescent="0.35">
      <c r="E38" s="104"/>
      <c r="F38" s="13"/>
      <c r="G38" s="49"/>
      <c r="H38" s="2"/>
      <c r="I38" s="2"/>
      <c r="J38" s="2"/>
      <c r="K38" s="2"/>
      <c r="L38" s="2"/>
      <c r="M38" s="2"/>
      <c r="N38" s="2"/>
      <c r="O38" s="2"/>
      <c r="P38" s="2"/>
      <c r="W38" s="155">
        <v>0</v>
      </c>
      <c r="Y38">
        <v>184.38646</v>
      </c>
      <c r="Z38">
        <v>185.38373000000001</v>
      </c>
      <c r="AA38" s="2">
        <f t="shared" si="8"/>
        <v>0.99727000000001453</v>
      </c>
      <c r="AB38" s="2">
        <f t="shared" si="9"/>
        <v>4.8993899999999826</v>
      </c>
      <c r="AC38" s="2">
        <f t="shared" si="10"/>
        <v>0.16912455525670719</v>
      </c>
      <c r="AD38" s="2">
        <f t="shared" si="11"/>
        <v>0.83087544474329278</v>
      </c>
      <c r="AE38" s="2">
        <f t="shared" si="12"/>
        <v>1.0027374733021002</v>
      </c>
      <c r="AF38" s="2">
        <f t="shared" si="13"/>
        <v>0.16958752921145198</v>
      </c>
      <c r="AG38" s="2">
        <f t="shared" si="14"/>
        <v>5.8966599999999971</v>
      </c>
      <c r="AH38" s="2">
        <v>6</v>
      </c>
      <c r="AI38">
        <f t="shared" si="15"/>
        <v>6.0164248398126006</v>
      </c>
      <c r="AL38" s="2"/>
    </row>
    <row r="39" spans="3:38" x14ac:dyDescent="0.35">
      <c r="E39" s="104"/>
      <c r="F39" s="13"/>
      <c r="G39" s="49"/>
      <c r="H39" s="2"/>
      <c r="I39" s="2"/>
      <c r="J39" s="2"/>
      <c r="K39" s="2"/>
      <c r="L39" s="2"/>
      <c r="M39" s="2"/>
      <c r="N39" s="2"/>
      <c r="O39" s="2"/>
      <c r="P39" s="2"/>
      <c r="W39" s="155">
        <v>0</v>
      </c>
      <c r="Y39">
        <v>190.28312</v>
      </c>
      <c r="Z39">
        <v>191.27712</v>
      </c>
      <c r="AA39" s="2">
        <f t="shared" si="8"/>
        <v>0.99399999999999977</v>
      </c>
      <c r="AB39" s="2">
        <f t="shared" si="9"/>
        <v>4.8659600000000012</v>
      </c>
      <c r="AC39" s="2">
        <f t="shared" si="10"/>
        <v>0.16962573123366023</v>
      </c>
      <c r="AD39" s="2">
        <f t="shared" si="11"/>
        <v>0.8303742687663398</v>
      </c>
      <c r="AE39" s="2">
        <f t="shared" si="12"/>
        <v>1.0060362173038231</v>
      </c>
      <c r="AF39" s="2">
        <f t="shared" si="13"/>
        <v>0.1706496290077065</v>
      </c>
      <c r="AG39" s="2">
        <f t="shared" si="14"/>
        <v>5.8599600000000009</v>
      </c>
      <c r="AH39" s="2">
        <v>6</v>
      </c>
      <c r="AI39">
        <f t="shared" si="15"/>
        <v>6.036217303822939</v>
      </c>
      <c r="AL39" s="2"/>
    </row>
    <row r="40" spans="3:38" ht="16" thickBot="1" x14ac:dyDescent="0.4">
      <c r="E40" s="104" t="s">
        <v>82</v>
      </c>
      <c r="F40" s="13"/>
      <c r="G40" s="13"/>
      <c r="H40" s="9" t="s">
        <v>3</v>
      </c>
      <c r="I40" s="9" t="s">
        <v>4</v>
      </c>
      <c r="J40" s="9" t="s">
        <v>5</v>
      </c>
      <c r="K40" s="9" t="s">
        <v>6</v>
      </c>
      <c r="L40" s="9" t="s">
        <v>7</v>
      </c>
      <c r="M40" s="9" t="s">
        <v>8</v>
      </c>
      <c r="N40" s="9" t="s">
        <v>9</v>
      </c>
      <c r="O40" s="9" t="s">
        <v>10</v>
      </c>
      <c r="P40" s="44" t="s">
        <v>139</v>
      </c>
      <c r="V40" s="287" t="s">
        <v>541</v>
      </c>
      <c r="W40" s="155">
        <v>0</v>
      </c>
      <c r="Y40">
        <v>196.14308</v>
      </c>
      <c r="Z40">
        <v>198.03858</v>
      </c>
      <c r="AA40" s="2">
        <f t="shared" si="8"/>
        <v>1.8954999999999984</v>
      </c>
      <c r="AB40" s="2">
        <f t="shared" si="9"/>
        <v>4.9741700000000151</v>
      </c>
      <c r="AC40" s="2">
        <f t="shared" si="10"/>
        <v>0.27592300649084961</v>
      </c>
      <c r="AD40" s="2">
        <f t="shared" si="11"/>
        <v>0.72407699350915045</v>
      </c>
      <c r="AE40" s="2">
        <f t="shared" si="12"/>
        <v>0.5275652862041682</v>
      </c>
      <c r="AF40" s="2">
        <f t="shared" si="13"/>
        <v>0.14556739988965964</v>
      </c>
      <c r="AG40" s="2">
        <f t="shared" si="14"/>
        <v>6.8696700000000135</v>
      </c>
      <c r="AH40" s="2">
        <v>9</v>
      </c>
      <c r="AI40">
        <f t="shared" si="15"/>
        <v>4.7480875758375136</v>
      </c>
      <c r="AL40" s="2"/>
    </row>
    <row r="41" spans="3:38" x14ac:dyDescent="0.35">
      <c r="E41" s="104"/>
      <c r="F41" s="13"/>
      <c r="G41" s="49" t="s">
        <v>77</v>
      </c>
      <c r="H41" s="13">
        <f>AVERAGE(H8,H10,H12:H13,H15,H17,H19,H21,H23,H25)</f>
        <v>3.0962840000000007</v>
      </c>
      <c r="I41" s="13">
        <f t="shared" ref="I41:P41" si="22">AVERAGE(I8,I10,I12:I13,I15,I17,I19,I21,I23,I25)</f>
        <v>10.068398999999999</v>
      </c>
      <c r="J41" s="13">
        <f t="shared" si="22"/>
        <v>0.25205565548397985</v>
      </c>
      <c r="K41" s="13">
        <f t="shared" si="22"/>
        <v>0.74794434451602021</v>
      </c>
      <c r="L41" s="13">
        <f t="shared" si="22"/>
        <v>0.33193431076620711</v>
      </c>
      <c r="M41" s="13">
        <f t="shared" si="22"/>
        <v>8.1088096198239812E-2</v>
      </c>
      <c r="N41" s="13">
        <f t="shared" si="22"/>
        <v>13.164683000000002</v>
      </c>
      <c r="O41" s="13">
        <f t="shared" si="22"/>
        <v>22.8</v>
      </c>
      <c r="P41" s="13">
        <f t="shared" si="22"/>
        <v>7.5434994977569421</v>
      </c>
      <c r="V41" s="287" t="s">
        <v>541</v>
      </c>
      <c r="W41" s="155">
        <v>0</v>
      </c>
      <c r="Y41">
        <v>203.01275000000001</v>
      </c>
      <c r="Z41">
        <v>204.09281999999999</v>
      </c>
      <c r="AA41" s="2">
        <f t="shared" si="8"/>
        <v>1.0800699999999779</v>
      </c>
      <c r="AB41" s="2">
        <f t="shared" si="9"/>
        <v>3.8194500000000176</v>
      </c>
      <c r="AC41" s="2">
        <f t="shared" si="10"/>
        <v>0.22044404349813429</v>
      </c>
      <c r="AD41" s="2">
        <f t="shared" si="11"/>
        <v>0.77955595650186571</v>
      </c>
      <c r="AE41" s="2">
        <f t="shared" si="12"/>
        <v>0.92586591609804969</v>
      </c>
      <c r="AF41" s="2">
        <f t="shared" si="13"/>
        <v>0.2041016262817584</v>
      </c>
      <c r="AG41" s="2">
        <f t="shared" si="14"/>
        <v>4.8995199999999954</v>
      </c>
      <c r="AH41" s="2">
        <v>10</v>
      </c>
      <c r="AI41">
        <f t="shared" si="15"/>
        <v>9.2586591609804962</v>
      </c>
      <c r="AL41" s="2"/>
    </row>
    <row r="42" spans="3:38" x14ac:dyDescent="0.35">
      <c r="E42" s="104"/>
      <c r="F42" s="13"/>
      <c r="G42" s="49" t="s">
        <v>94</v>
      </c>
      <c r="H42" s="2">
        <f>_xlfn.STDEV.S(H8,H10,H12:H13,H15,H17,H19,H21,H23,H25)</f>
        <v>0.53430396139276226</v>
      </c>
      <c r="I42" s="2">
        <f t="shared" ref="I42:P42" si="23">_xlfn.STDEV.S(I8,I10,I12:I13,I15,I17,I19,I21,I23,I25)</f>
        <v>3.6657016288243627</v>
      </c>
      <c r="J42" s="2">
        <f t="shared" si="23"/>
        <v>8.0455652271756287E-2</v>
      </c>
      <c r="K42" s="2">
        <f t="shared" si="23"/>
        <v>8.0455652271755218E-2</v>
      </c>
      <c r="L42" s="2">
        <f t="shared" si="23"/>
        <v>5.935414987402677E-2</v>
      </c>
      <c r="M42" s="2">
        <f t="shared" si="23"/>
        <v>2.1564278822574529E-2</v>
      </c>
      <c r="N42" s="2">
        <f t="shared" si="23"/>
        <v>3.5499466228038798</v>
      </c>
      <c r="O42" s="2">
        <f t="shared" si="23"/>
        <v>3.9101008796307197</v>
      </c>
      <c r="P42" s="2">
        <f t="shared" si="23"/>
        <v>1.6662145160476873</v>
      </c>
      <c r="W42" s="155">
        <v>0</v>
      </c>
      <c r="Y42">
        <v>207.91227000000001</v>
      </c>
      <c r="Z42">
        <v>209.92188999999999</v>
      </c>
      <c r="AA42" s="2">
        <f t="shared" si="8"/>
        <v>2.009619999999984</v>
      </c>
      <c r="AB42" s="2">
        <f t="shared" si="9"/>
        <v>5.7278200000000083</v>
      </c>
      <c r="AC42" s="2">
        <f t="shared" si="10"/>
        <v>0.25972673132198582</v>
      </c>
      <c r="AD42" s="2">
        <f t="shared" si="11"/>
        <v>0.74027326867801413</v>
      </c>
      <c r="AE42" s="2">
        <f t="shared" si="12"/>
        <v>0.49760651267404182</v>
      </c>
      <c r="AF42" s="2">
        <f t="shared" si="13"/>
        <v>0.1292417130213612</v>
      </c>
      <c r="AG42" s="2">
        <f t="shared" si="14"/>
        <v>7.7374399999999923</v>
      </c>
      <c r="AH42" s="2">
        <v>12</v>
      </c>
      <c r="AI42">
        <f t="shared" si="15"/>
        <v>5.9712781520885025</v>
      </c>
      <c r="AL42" s="2"/>
    </row>
    <row r="43" spans="3:38" x14ac:dyDescent="0.35">
      <c r="E43" s="104"/>
      <c r="F43" s="13"/>
      <c r="G43" s="49" t="s">
        <v>95</v>
      </c>
      <c r="H43" s="2">
        <f>H42/(SQRT(COUNT(H8,H10,H12:H13,H15,H17,H19,H21,H23,H25)))</f>
        <v>0.16896174808518002</v>
      </c>
      <c r="I43" s="2">
        <f t="shared" ref="I43:P43" si="24">I42/(SQRT(COUNT(I8,I10,I12:I13,I15,I17,I19,I21,I23,I25)))</f>
        <v>1.1591966369674123</v>
      </c>
      <c r="J43" s="2">
        <f t="shared" si="24"/>
        <v>2.544231118132502E-2</v>
      </c>
      <c r="K43" s="2">
        <f t="shared" si="24"/>
        <v>2.5442311181324683E-2</v>
      </c>
      <c r="L43" s="2">
        <f t="shared" si="24"/>
        <v>1.8769430218492068E-2</v>
      </c>
      <c r="M43" s="2">
        <f t="shared" si="24"/>
        <v>6.8192237178269508E-3</v>
      </c>
      <c r="N43" s="2">
        <f t="shared" si="24"/>
        <v>1.1225916900082893</v>
      </c>
      <c r="O43" s="2">
        <f t="shared" si="24"/>
        <v>1.2364824660660954</v>
      </c>
      <c r="P43" s="2">
        <f t="shared" si="24"/>
        <v>0.52690329411458692</v>
      </c>
      <c r="W43" s="155">
        <v>0</v>
      </c>
      <c r="Y43">
        <v>215.64971</v>
      </c>
      <c r="Z43">
        <v>216.73239000000001</v>
      </c>
      <c r="AA43" s="2">
        <f t="shared" si="8"/>
        <v>1.0826800000000105</v>
      </c>
      <c r="AB43" s="2">
        <f t="shared" si="9"/>
        <v>3.7820299999999918</v>
      </c>
      <c r="AC43" s="2">
        <f t="shared" si="10"/>
        <v>0.22255797365105218</v>
      </c>
      <c r="AD43" s="2">
        <f t="shared" si="11"/>
        <v>0.77744202634894788</v>
      </c>
      <c r="AE43" s="2">
        <f t="shared" si="12"/>
        <v>0.92363394539475219</v>
      </c>
      <c r="AF43" s="2">
        <f t="shared" si="13"/>
        <v>0.20556209928238262</v>
      </c>
      <c r="AG43" s="2">
        <f t="shared" si="14"/>
        <v>4.8647100000000023</v>
      </c>
      <c r="AH43" s="2">
        <v>10</v>
      </c>
      <c r="AI43">
        <f t="shared" si="15"/>
        <v>9.2363394539475223</v>
      </c>
      <c r="AL43" s="2"/>
    </row>
    <row r="44" spans="3:38" x14ac:dyDescent="0.35">
      <c r="W44" s="155">
        <v>0</v>
      </c>
      <c r="Y44">
        <v>220.51442</v>
      </c>
      <c r="Z44">
        <v>221.61151000000001</v>
      </c>
      <c r="AA44" s="2">
        <f t="shared" si="8"/>
        <v>1.0970900000000086</v>
      </c>
      <c r="AB44" s="2">
        <f t="shared" si="9"/>
        <v>3.774029999999982</v>
      </c>
      <c r="AC44" s="2">
        <f t="shared" si="10"/>
        <v>0.22522335725664955</v>
      </c>
      <c r="AD44" s="2">
        <f t="shared" si="11"/>
        <v>0.77477664274335045</v>
      </c>
      <c r="AE44" s="2">
        <f t="shared" si="12"/>
        <v>0.91150224685303138</v>
      </c>
      <c r="AF44" s="2">
        <f t="shared" si="13"/>
        <v>0.20529159618321904</v>
      </c>
      <c r="AG44" s="2">
        <f t="shared" si="14"/>
        <v>4.8711199999999906</v>
      </c>
      <c r="AH44" s="2">
        <v>6</v>
      </c>
      <c r="AI44">
        <f t="shared" si="15"/>
        <v>5.4690134811181883</v>
      </c>
      <c r="AL44" s="2"/>
    </row>
    <row r="45" spans="3:38" x14ac:dyDescent="0.35">
      <c r="W45" s="155">
        <v>0</v>
      </c>
      <c r="Y45">
        <v>225.38553999999999</v>
      </c>
      <c r="Z45">
        <v>226.48562999999999</v>
      </c>
      <c r="AA45" s="2">
        <f t="shared" si="8"/>
        <v>1.1000899999999945</v>
      </c>
      <c r="AB45" s="2">
        <f t="shared" si="9"/>
        <v>4.7179400000000271</v>
      </c>
      <c r="AC45" s="2">
        <f t="shared" si="10"/>
        <v>0.1890829026319889</v>
      </c>
      <c r="AD45" s="2">
        <f t="shared" si="11"/>
        <v>0.8109170973680111</v>
      </c>
      <c r="AE45" s="2">
        <f t="shared" si="12"/>
        <v>0.90901653501077639</v>
      </c>
      <c r="AF45" s="2">
        <f t="shared" si="13"/>
        <v>0.17187948498031055</v>
      </c>
      <c r="AG45" s="2">
        <f t="shared" si="14"/>
        <v>5.8180300000000216</v>
      </c>
      <c r="AH45" s="2">
        <v>12</v>
      </c>
      <c r="AI45">
        <f t="shared" si="15"/>
        <v>10.908198420129317</v>
      </c>
      <c r="AL45" s="2"/>
    </row>
    <row r="46" spans="3:38" ht="18.5" x14ac:dyDescent="0.45">
      <c r="F46" s="1" t="s">
        <v>405</v>
      </c>
      <c r="G46" s="3"/>
      <c r="H46" s="3"/>
      <c r="I46" s="3"/>
      <c r="J46" s="3"/>
      <c r="K46" s="3"/>
      <c r="L46" s="3"/>
      <c r="M46" s="3"/>
      <c r="N46" s="3"/>
      <c r="O46" s="3"/>
      <c r="V46" s="287" t="s">
        <v>541</v>
      </c>
      <c r="W46" s="155">
        <v>0</v>
      </c>
      <c r="Y46">
        <v>231.20357000000001</v>
      </c>
      <c r="Z46">
        <v>232.44015999999999</v>
      </c>
      <c r="AA46" s="2">
        <f t="shared" si="8"/>
        <v>1.2365899999999783</v>
      </c>
      <c r="AB46" s="2">
        <f t="shared" si="9"/>
        <v>4.6612200000000144</v>
      </c>
      <c r="AC46" s="2">
        <f t="shared" si="10"/>
        <v>0.20966935184415569</v>
      </c>
      <c r="AD46" s="2">
        <f t="shared" si="11"/>
        <v>0.79033064815584431</v>
      </c>
      <c r="AE46" s="2">
        <f t="shared" si="12"/>
        <v>0.80867547044696908</v>
      </c>
      <c r="AF46" s="2">
        <f t="shared" si="13"/>
        <v>0.16955446174088368</v>
      </c>
      <c r="AG46" s="2">
        <f t="shared" si="14"/>
        <v>5.8978099999999927</v>
      </c>
      <c r="AH46" s="2">
        <v>8</v>
      </c>
      <c r="AI46">
        <f t="shared" si="15"/>
        <v>6.4694037635757526</v>
      </c>
      <c r="AL46" s="2"/>
    </row>
    <row r="47" spans="3:38" ht="16" thickBot="1" x14ac:dyDescent="0.4">
      <c r="C47" s="204" t="s">
        <v>122</v>
      </c>
      <c r="D47" s="204" t="s">
        <v>406</v>
      </c>
      <c r="F47" s="9" t="s">
        <v>1</v>
      </c>
      <c r="G47" s="9" t="s">
        <v>2</v>
      </c>
      <c r="H47" s="9" t="s">
        <v>3</v>
      </c>
      <c r="I47" s="9" t="s">
        <v>4</v>
      </c>
      <c r="J47" s="9" t="s">
        <v>5</v>
      </c>
      <c r="K47" s="9" t="s">
        <v>6</v>
      </c>
      <c r="L47" s="9" t="s">
        <v>7</v>
      </c>
      <c r="M47" s="9" t="s">
        <v>8</v>
      </c>
      <c r="N47" s="9" t="s">
        <v>9</v>
      </c>
      <c r="O47" s="9" t="s">
        <v>10</v>
      </c>
      <c r="P47" s="44" t="s">
        <v>139</v>
      </c>
      <c r="R47" s="44" t="s">
        <v>138</v>
      </c>
      <c r="V47" s="287" t="s">
        <v>541</v>
      </c>
      <c r="W47" s="155">
        <v>0</v>
      </c>
      <c r="Y47">
        <v>237.10138000000001</v>
      </c>
      <c r="Z47">
        <v>239.30667</v>
      </c>
      <c r="AA47" s="2">
        <f t="shared" si="8"/>
        <v>2.2052899999999909</v>
      </c>
      <c r="AB47" s="2"/>
      <c r="AC47" s="2"/>
      <c r="AD47" s="2"/>
      <c r="AE47" s="2"/>
      <c r="AF47" s="2"/>
      <c r="AG47" s="2"/>
      <c r="AH47" s="2"/>
      <c r="AL47" s="2"/>
    </row>
    <row r="48" spans="3:38" x14ac:dyDescent="0.35">
      <c r="C48" s="271" t="s">
        <v>541</v>
      </c>
      <c r="D48" s="155">
        <v>4</v>
      </c>
      <c r="F48" s="2">
        <v>2.77684</v>
      </c>
      <c r="G48" s="2">
        <v>4.7704700000000004</v>
      </c>
      <c r="H48" s="2">
        <f>G48-F48</f>
        <v>1.9936300000000005</v>
      </c>
      <c r="I48" s="2">
        <f>F49-G48</f>
        <v>7.6675099999999992</v>
      </c>
      <c r="J48" s="2">
        <f>H48/N48</f>
        <v>0.20635556466421154</v>
      </c>
      <c r="K48" s="2">
        <f>I48/N48</f>
        <v>0.79364443533578843</v>
      </c>
      <c r="L48" s="2">
        <f>1/H48</f>
        <v>0.5015975883187952</v>
      </c>
      <c r="M48" s="2">
        <f>1/N48</f>
        <v>0.1035074535717317</v>
      </c>
      <c r="N48" s="2">
        <f>H48+I48</f>
        <v>9.6611399999999996</v>
      </c>
      <c r="O48" s="2">
        <v>10</v>
      </c>
      <c r="P48">
        <f>O48/H48</f>
        <v>5.0159758831879522</v>
      </c>
      <c r="R48" t="s">
        <v>453</v>
      </c>
      <c r="AL48" s="2"/>
    </row>
    <row r="49" spans="3:38" x14ac:dyDescent="0.35">
      <c r="C49" s="271"/>
      <c r="D49" s="155">
        <v>4</v>
      </c>
      <c r="F49" s="2">
        <v>12.43798</v>
      </c>
      <c r="G49" s="2">
        <v>14.934609999999999</v>
      </c>
      <c r="H49" s="2">
        <f t="shared" ref="H49:H70" si="25">G49-F49</f>
        <v>2.4966299999999997</v>
      </c>
      <c r="I49" s="2">
        <f t="shared" ref="I49:I69" si="26">F50-G49</f>
        <v>9.2971800000000009</v>
      </c>
      <c r="J49" s="2">
        <f t="shared" ref="J49:J69" si="27">H49/N49</f>
        <v>0.21168986103727291</v>
      </c>
      <c r="K49" s="2">
        <f t="shared" ref="K49:K69" si="28">I49/N49</f>
        <v>0.78831013896272706</v>
      </c>
      <c r="L49" s="2">
        <f t="shared" ref="L49:L69" si="29">1/H49</f>
        <v>0.40053992782270503</v>
      </c>
      <c r="M49" s="2">
        <f t="shared" ref="M49:M69" si="30">1/N49</f>
        <v>8.4790241660667759E-2</v>
      </c>
      <c r="N49" s="2">
        <f t="shared" ref="N49:N69" si="31">H49+I49</f>
        <v>11.793810000000001</v>
      </c>
      <c r="O49" s="2">
        <v>13</v>
      </c>
      <c r="P49">
        <f t="shared" ref="P49:P69" si="32">O49/H49</f>
        <v>5.2070190616951662</v>
      </c>
      <c r="AL49" s="2"/>
    </row>
    <row r="50" spans="3:38" ht="16" thickBot="1" x14ac:dyDescent="0.4">
      <c r="C50" s="271"/>
      <c r="D50" s="155">
        <v>4</v>
      </c>
      <c r="F50" s="13">
        <v>24.23179</v>
      </c>
      <c r="G50" s="2">
        <v>26.43365</v>
      </c>
      <c r="H50" s="2">
        <f t="shared" si="25"/>
        <v>2.2018599999999999</v>
      </c>
      <c r="I50" s="2">
        <f t="shared" si="26"/>
        <v>5.2004699999999993</v>
      </c>
      <c r="J50" s="2">
        <f t="shared" si="27"/>
        <v>0.29745499052325419</v>
      </c>
      <c r="K50" s="2">
        <f t="shared" si="28"/>
        <v>0.70254500947674581</v>
      </c>
      <c r="L50" s="2">
        <f t="shared" si="29"/>
        <v>0.45416148165641779</v>
      </c>
      <c r="M50" s="2">
        <f t="shared" si="30"/>
        <v>0.13509259922213682</v>
      </c>
      <c r="N50" s="2">
        <f t="shared" si="31"/>
        <v>7.4023299999999992</v>
      </c>
      <c r="O50" s="2">
        <v>10</v>
      </c>
      <c r="P50">
        <f t="shared" si="32"/>
        <v>4.5416148165641781</v>
      </c>
      <c r="X50" s="104"/>
      <c r="Z50" s="13"/>
      <c r="AA50" s="9" t="s">
        <v>3</v>
      </c>
      <c r="AB50" s="9" t="s">
        <v>4</v>
      </c>
      <c r="AC50" s="9" t="s">
        <v>5</v>
      </c>
      <c r="AD50" s="9" t="s">
        <v>6</v>
      </c>
      <c r="AE50" s="9" t="s">
        <v>7</v>
      </c>
      <c r="AF50" s="9" t="s">
        <v>8</v>
      </c>
      <c r="AG50" s="9" t="s">
        <v>9</v>
      </c>
      <c r="AH50" s="9" t="s">
        <v>10</v>
      </c>
      <c r="AI50" s="44" t="s">
        <v>139</v>
      </c>
      <c r="AL50" s="2"/>
    </row>
    <row r="51" spans="3:38" x14ac:dyDescent="0.35">
      <c r="C51" s="271" t="s">
        <v>541</v>
      </c>
      <c r="D51" s="155">
        <v>4</v>
      </c>
      <c r="F51" s="13">
        <v>31.634119999999999</v>
      </c>
      <c r="G51" s="2">
        <v>33.721719999999998</v>
      </c>
      <c r="H51" s="2">
        <f t="shared" si="25"/>
        <v>2.0875999999999983</v>
      </c>
      <c r="I51" s="2">
        <f t="shared" si="26"/>
        <v>7.5062100000000029</v>
      </c>
      <c r="J51" s="2">
        <f t="shared" si="27"/>
        <v>0.21759863912251734</v>
      </c>
      <c r="K51" s="2">
        <f t="shared" si="28"/>
        <v>0.78240136087748269</v>
      </c>
      <c r="L51" s="2">
        <f t="shared" si="29"/>
        <v>0.47901896915117875</v>
      </c>
      <c r="M51" s="2">
        <f t="shared" si="30"/>
        <v>0.10423387580116761</v>
      </c>
      <c r="N51" s="2">
        <f t="shared" si="31"/>
        <v>9.5938100000000013</v>
      </c>
      <c r="O51" s="2">
        <v>8</v>
      </c>
      <c r="P51">
        <f t="shared" si="32"/>
        <v>3.83215175320943</v>
      </c>
      <c r="X51" s="104" t="s">
        <v>410</v>
      </c>
      <c r="Z51" s="49" t="s">
        <v>77</v>
      </c>
      <c r="AA51" s="13">
        <f>AVERAGE(AA7:AA46)</f>
        <v>1.3480032499999999</v>
      </c>
      <c r="AB51" s="13">
        <f t="shared" ref="AB51:AI51" si="33">AVERAGE(AB7:AB46)</f>
        <v>4.5581022500000001</v>
      </c>
      <c r="AC51" s="13">
        <f t="shared" si="33"/>
        <v>0.22971359719344897</v>
      </c>
      <c r="AD51" s="13">
        <f t="shared" si="33"/>
        <v>0.77028640280655103</v>
      </c>
      <c r="AE51" s="13">
        <f t="shared" si="33"/>
        <v>0.81510730101495477</v>
      </c>
      <c r="AF51" s="13">
        <f t="shared" si="33"/>
        <v>0.17430688662496532</v>
      </c>
      <c r="AG51" s="13">
        <f t="shared" si="33"/>
        <v>5.9061055000000007</v>
      </c>
      <c r="AH51" s="13">
        <f t="shared" si="33"/>
        <v>7.5250000000000004</v>
      </c>
      <c r="AI51" s="13">
        <f t="shared" si="33"/>
        <v>5.8827109787706711</v>
      </c>
    </row>
    <row r="52" spans="3:38" x14ac:dyDescent="0.35">
      <c r="C52" s="271"/>
      <c r="D52" s="155">
        <v>4</v>
      </c>
      <c r="F52" s="13">
        <v>41.227930000000001</v>
      </c>
      <c r="G52" s="2">
        <v>43.610909999999997</v>
      </c>
      <c r="H52" s="2">
        <f t="shared" si="25"/>
        <v>2.3829799999999963</v>
      </c>
      <c r="I52" s="2">
        <f t="shared" si="26"/>
        <v>7.0538900000000027</v>
      </c>
      <c r="J52" s="2">
        <f t="shared" si="27"/>
        <v>0.25251804888697171</v>
      </c>
      <c r="K52" s="2">
        <f t="shared" si="28"/>
        <v>0.74748195111302829</v>
      </c>
      <c r="L52" s="2">
        <f t="shared" si="29"/>
        <v>0.41964263233430477</v>
      </c>
      <c r="M52" s="2">
        <f t="shared" si="30"/>
        <v>0.10596733874685146</v>
      </c>
      <c r="N52" s="2">
        <f t="shared" si="31"/>
        <v>9.436869999999999</v>
      </c>
      <c r="O52" s="2">
        <v>12</v>
      </c>
      <c r="P52">
        <f t="shared" si="32"/>
        <v>5.0357115880116572</v>
      </c>
      <c r="Z52" s="49" t="s">
        <v>94</v>
      </c>
      <c r="AA52" s="2">
        <f>_xlfn.STDEV.S(AA7:AA46)</f>
        <v>0.45783433135369689</v>
      </c>
      <c r="AB52" s="2">
        <f t="shared" ref="AB52:AI52" si="34">_xlfn.STDEV.S(AB7:AB46)</f>
        <v>1.0172989024976926</v>
      </c>
      <c r="AC52" s="2">
        <f t="shared" si="34"/>
        <v>7.3214072457960619E-2</v>
      </c>
      <c r="AD52" s="2">
        <f t="shared" si="34"/>
        <v>7.321407245796055E-2</v>
      </c>
      <c r="AE52" s="2">
        <f t="shared" si="34"/>
        <v>0.22353026872806758</v>
      </c>
      <c r="AF52" s="2">
        <f t="shared" si="34"/>
        <v>2.7663709777697637E-2</v>
      </c>
      <c r="AG52" s="2">
        <f t="shared" si="34"/>
        <v>1.132476031446026</v>
      </c>
      <c r="AH52" s="2">
        <f t="shared" si="34"/>
        <v>1.9346701832479654</v>
      </c>
      <c r="AI52" s="2">
        <f t="shared" si="34"/>
        <v>1.6570153625273445</v>
      </c>
    </row>
    <row r="53" spans="3:38" x14ac:dyDescent="0.35">
      <c r="C53" s="271" t="s">
        <v>541</v>
      </c>
      <c r="D53" s="155">
        <v>4</v>
      </c>
      <c r="F53" s="13">
        <v>50.6648</v>
      </c>
      <c r="G53" s="2">
        <v>52.795969999999997</v>
      </c>
      <c r="H53" s="2">
        <f t="shared" si="25"/>
        <v>2.1311699999999973</v>
      </c>
      <c r="I53" s="2">
        <f t="shared" si="26"/>
        <v>10.691970000000005</v>
      </c>
      <c r="J53" s="2">
        <f t="shared" si="27"/>
        <v>0.16619720286918782</v>
      </c>
      <c r="K53" s="2">
        <f t="shared" si="28"/>
        <v>0.83380279713081218</v>
      </c>
      <c r="L53" s="2">
        <f t="shared" si="29"/>
        <v>0.46922582431246745</v>
      </c>
      <c r="M53" s="2">
        <f t="shared" si="30"/>
        <v>7.7984019514721031E-2</v>
      </c>
      <c r="N53" s="2">
        <f t="shared" si="31"/>
        <v>12.823140000000002</v>
      </c>
      <c r="O53" s="2">
        <v>9</v>
      </c>
      <c r="P53">
        <f t="shared" si="32"/>
        <v>4.223032418812207</v>
      </c>
      <c r="Z53" s="49" t="s">
        <v>95</v>
      </c>
      <c r="AA53" s="2">
        <f>AA52/(SQRT(COUNT(AA7:AA46)))</f>
        <v>7.2389963904896146E-2</v>
      </c>
      <c r="AB53" s="2">
        <f t="shared" ref="AB53:AI53" si="35">AB52/(SQRT(COUNT(AB7:AB46)))</f>
        <v>0.16084907965411319</v>
      </c>
      <c r="AC53" s="2">
        <f t="shared" si="35"/>
        <v>1.1576161287187893E-2</v>
      </c>
      <c r="AD53" s="2">
        <f t="shared" si="35"/>
        <v>1.1576161287187883E-2</v>
      </c>
      <c r="AE53" s="2">
        <f t="shared" si="35"/>
        <v>3.5343238758510129E-2</v>
      </c>
      <c r="AF53" s="2">
        <f t="shared" si="35"/>
        <v>4.3740165713697394E-3</v>
      </c>
      <c r="AG53" s="2">
        <f t="shared" si="35"/>
        <v>0.17906018274589555</v>
      </c>
      <c r="AH53" s="2">
        <f t="shared" si="35"/>
        <v>0.30589821501394526</v>
      </c>
      <c r="AI53" s="2">
        <f t="shared" si="35"/>
        <v>0.26199713317380147</v>
      </c>
    </row>
    <row r="54" spans="3:38" x14ac:dyDescent="0.35">
      <c r="C54" s="271"/>
      <c r="D54" s="155">
        <v>4</v>
      </c>
      <c r="F54" s="13">
        <v>63.487940000000002</v>
      </c>
      <c r="G54" s="2">
        <v>65.945660000000004</v>
      </c>
      <c r="H54" s="2">
        <f t="shared" si="25"/>
        <v>2.4577200000000019</v>
      </c>
      <c r="I54" s="2">
        <f t="shared" si="26"/>
        <v>11.336699999999993</v>
      </c>
      <c r="J54" s="2">
        <f t="shared" si="27"/>
        <v>0.17816769389361806</v>
      </c>
      <c r="K54" s="2">
        <f t="shared" si="28"/>
        <v>0.82183230610638192</v>
      </c>
      <c r="L54" s="2">
        <f t="shared" si="29"/>
        <v>0.40688117442182153</v>
      </c>
      <c r="M54" s="2">
        <f t="shared" si="30"/>
        <v>7.2493080535462912E-2</v>
      </c>
      <c r="N54" s="2">
        <f t="shared" si="31"/>
        <v>13.794419999999995</v>
      </c>
      <c r="O54" s="2">
        <v>12</v>
      </c>
      <c r="P54">
        <f t="shared" si="32"/>
        <v>4.8825740930618586</v>
      </c>
    </row>
    <row r="55" spans="3:38" x14ac:dyDescent="0.35">
      <c r="C55" s="271" t="s">
        <v>541</v>
      </c>
      <c r="D55" s="155">
        <v>4</v>
      </c>
      <c r="F55" s="13">
        <v>77.282359999999997</v>
      </c>
      <c r="G55" s="2">
        <v>79.65795</v>
      </c>
      <c r="H55" s="2">
        <f t="shared" si="25"/>
        <v>2.3755900000000025</v>
      </c>
      <c r="I55" s="2">
        <f t="shared" si="26"/>
        <v>8.2146800000000013</v>
      </c>
      <c r="J55" s="2">
        <f t="shared" si="27"/>
        <v>0.22431817130252596</v>
      </c>
      <c r="K55" s="2">
        <f t="shared" si="28"/>
        <v>0.77568182869747404</v>
      </c>
      <c r="L55" s="2">
        <f t="shared" si="29"/>
        <v>0.42094805921897255</v>
      </c>
      <c r="M55" s="2">
        <f t="shared" si="30"/>
        <v>9.4426298857347324E-2</v>
      </c>
      <c r="N55" s="2">
        <f t="shared" si="31"/>
        <v>10.590270000000004</v>
      </c>
      <c r="O55" s="2">
        <v>13</v>
      </c>
      <c r="P55">
        <f t="shared" si="32"/>
        <v>5.4723247698466428</v>
      </c>
    </row>
    <row r="56" spans="3:38" ht="16" thickBot="1" x14ac:dyDescent="0.4">
      <c r="C56" s="271"/>
      <c r="D56" s="155">
        <v>4</v>
      </c>
      <c r="F56" s="13">
        <v>87.872630000000001</v>
      </c>
      <c r="G56" s="2">
        <v>90.286490000000001</v>
      </c>
      <c r="H56" s="2">
        <f t="shared" si="25"/>
        <v>2.4138599999999997</v>
      </c>
      <c r="I56" s="2">
        <f t="shared" si="26"/>
        <v>6.1633700000000005</v>
      </c>
      <c r="J56" s="2">
        <f t="shared" si="27"/>
        <v>0.28142652114960187</v>
      </c>
      <c r="K56" s="2">
        <f t="shared" si="28"/>
        <v>0.71857347885039813</v>
      </c>
      <c r="L56" s="2">
        <f t="shared" si="29"/>
        <v>0.41427423297125771</v>
      </c>
      <c r="M56" s="2">
        <f t="shared" si="30"/>
        <v>0.11658775618702075</v>
      </c>
      <c r="N56" s="2">
        <f t="shared" si="31"/>
        <v>8.5772300000000001</v>
      </c>
      <c r="O56" s="2">
        <v>11</v>
      </c>
      <c r="P56">
        <f t="shared" si="32"/>
        <v>4.5570165626838346</v>
      </c>
      <c r="X56" s="104" t="s">
        <v>81</v>
      </c>
      <c r="Y56" s="13"/>
      <c r="Z56" s="13"/>
      <c r="AA56" s="9" t="s">
        <v>3</v>
      </c>
      <c r="AB56" s="9" t="s">
        <v>4</v>
      </c>
      <c r="AC56" s="9" t="s">
        <v>5</v>
      </c>
      <c r="AD56" s="9" t="s">
        <v>6</v>
      </c>
      <c r="AE56" s="9" t="s">
        <v>7</v>
      </c>
      <c r="AF56" s="9" t="s">
        <v>8</v>
      </c>
      <c r="AG56" s="9" t="s">
        <v>9</v>
      </c>
      <c r="AH56" s="9" t="s">
        <v>10</v>
      </c>
      <c r="AI56" s="44" t="s">
        <v>139</v>
      </c>
    </row>
    <row r="57" spans="3:38" x14ac:dyDescent="0.35">
      <c r="C57" s="271"/>
      <c r="D57" s="155">
        <v>4</v>
      </c>
      <c r="F57" s="13">
        <v>96.449860000000001</v>
      </c>
      <c r="G57" s="2">
        <v>98.399259999999998</v>
      </c>
      <c r="H57" s="2">
        <f t="shared" si="25"/>
        <v>1.9493999999999971</v>
      </c>
      <c r="I57" s="2">
        <f t="shared" si="26"/>
        <v>6.3733600000000052</v>
      </c>
      <c r="J57" s="2">
        <f t="shared" si="27"/>
        <v>0.23422518491461927</v>
      </c>
      <c r="K57" s="2">
        <f t="shared" si="28"/>
        <v>0.7657748150853807</v>
      </c>
      <c r="L57" s="2">
        <f t="shared" si="29"/>
        <v>0.51297835231353317</v>
      </c>
      <c r="M57" s="2">
        <f t="shared" si="30"/>
        <v>0.120152449427834</v>
      </c>
      <c r="N57" s="2">
        <f t="shared" si="31"/>
        <v>8.3227600000000024</v>
      </c>
      <c r="O57" s="2">
        <v>7</v>
      </c>
      <c r="P57">
        <f t="shared" si="32"/>
        <v>3.590848466194732</v>
      </c>
      <c r="Y57" s="13"/>
      <c r="Z57" s="49" t="s">
        <v>77</v>
      </c>
      <c r="AA57" s="13">
        <f>AVERAGE(AA26:AA27,AA30:AA31,AA35:AA36,AA40:AA41,AA10:AA11,AA15:AA16,AA21:AA22)</f>
        <v>1.4761907142857125</v>
      </c>
      <c r="AB57" s="13">
        <f t="shared" ref="AB57:AI57" si="36">AVERAGE(AB26:AB27,AB30:AB31,AB35:AB36,AB40:AB41,AB10:AB11,AB15:AB16,AB21:AB22)</f>
        <v>4.3828521428571472</v>
      </c>
      <c r="AC57" s="13">
        <f t="shared" si="36"/>
        <v>0.25844625348415884</v>
      </c>
      <c r="AD57" s="13">
        <f t="shared" si="36"/>
        <v>0.74155374651584105</v>
      </c>
      <c r="AE57" s="13">
        <f t="shared" si="36"/>
        <v>0.74895260188293566</v>
      </c>
      <c r="AF57" s="13">
        <f t="shared" si="36"/>
        <v>0.17884180052502627</v>
      </c>
      <c r="AG57" s="13">
        <f t="shared" si="36"/>
        <v>5.8590428571428586</v>
      </c>
      <c r="AH57" s="13">
        <f t="shared" si="36"/>
        <v>7.7857142857142856</v>
      </c>
      <c r="AI57" s="13">
        <f t="shared" si="36"/>
        <v>5.5892259727237397</v>
      </c>
    </row>
    <row r="58" spans="3:38" x14ac:dyDescent="0.35">
      <c r="C58" s="271" t="s">
        <v>541</v>
      </c>
      <c r="D58" s="155">
        <v>4</v>
      </c>
      <c r="F58" s="13">
        <v>104.77262</v>
      </c>
      <c r="G58" s="2">
        <v>106.087</v>
      </c>
      <c r="H58" s="2">
        <f t="shared" si="25"/>
        <v>1.3143799999999999</v>
      </c>
      <c r="I58" s="2">
        <f t="shared" si="26"/>
        <v>8.2940899999999971</v>
      </c>
      <c r="J58" s="2">
        <f t="shared" si="27"/>
        <v>0.13679389122305635</v>
      </c>
      <c r="K58" s="2">
        <f t="shared" si="28"/>
        <v>0.86320610877694359</v>
      </c>
      <c r="L58" s="2">
        <f t="shared" si="29"/>
        <v>0.76081498501194489</v>
      </c>
      <c r="M58" s="2">
        <f t="shared" si="30"/>
        <v>0.10407484230059524</v>
      </c>
      <c r="N58" s="2">
        <f t="shared" si="31"/>
        <v>9.608469999999997</v>
      </c>
      <c r="O58" s="2">
        <v>8</v>
      </c>
      <c r="P58">
        <f t="shared" si="32"/>
        <v>6.0865198800955591</v>
      </c>
      <c r="X58" s="104"/>
      <c r="Y58" s="13"/>
      <c r="Z58" s="49" t="s">
        <v>94</v>
      </c>
      <c r="AA58" s="2">
        <f>_xlfn.STDEV.S(AA26:AA27,AA30:AA31,AA35:AA36,AA40:AA41,AA10:AA11,AA15:AA16,AA21:AA22)</f>
        <v>0.49079958830877823</v>
      </c>
      <c r="AB58" s="2">
        <f t="shared" ref="AB58:AI58" si="37">_xlfn.STDEV.S(AB26:AB27,AB30:AB31,AB35:AB36,AB40:AB41,AB10:AB11,AB15:AB16,AB21:AB22)</f>
        <v>1.4435939922300707</v>
      </c>
      <c r="AC58" s="2">
        <f t="shared" si="37"/>
        <v>9.1211059998504526E-2</v>
      </c>
      <c r="AD58" s="2">
        <f t="shared" si="37"/>
        <v>9.1211059998504193E-2</v>
      </c>
      <c r="AE58" s="2">
        <f t="shared" si="37"/>
        <v>0.233396886957768</v>
      </c>
      <c r="AF58" s="2">
        <f t="shared" si="37"/>
        <v>3.4852659602872982E-2</v>
      </c>
      <c r="AG58" s="2">
        <f t="shared" si="37"/>
        <v>1.530766093056926</v>
      </c>
      <c r="AH58" s="2">
        <f t="shared" si="37"/>
        <v>1.5281246137553173</v>
      </c>
      <c r="AI58" s="2">
        <f t="shared" si="37"/>
        <v>1.3724000481554346</v>
      </c>
    </row>
    <row r="59" spans="3:38" x14ac:dyDescent="0.35">
      <c r="C59" s="271"/>
      <c r="D59" s="155">
        <v>4</v>
      </c>
      <c r="F59" s="13">
        <v>114.38109</v>
      </c>
      <c r="G59" s="2">
        <v>116.60624</v>
      </c>
      <c r="H59" s="2">
        <f t="shared" si="25"/>
        <v>2.2251499999999993</v>
      </c>
      <c r="I59" s="2">
        <f t="shared" si="26"/>
        <v>8.184899999999999</v>
      </c>
      <c r="J59" s="2">
        <f t="shared" si="27"/>
        <v>0.21375017411059502</v>
      </c>
      <c r="K59" s="2">
        <f t="shared" si="28"/>
        <v>0.78624982588940495</v>
      </c>
      <c r="L59" s="2">
        <f t="shared" si="29"/>
        <v>0.44940790508505057</v>
      </c>
      <c r="M59" s="2">
        <f t="shared" si="30"/>
        <v>9.6061017958607317E-2</v>
      </c>
      <c r="N59" s="2">
        <f t="shared" si="31"/>
        <v>10.410049999999998</v>
      </c>
      <c r="O59" s="2">
        <v>8</v>
      </c>
      <c r="P59">
        <f t="shared" si="32"/>
        <v>3.5952632406804046</v>
      </c>
      <c r="X59" s="104"/>
      <c r="Y59" s="13"/>
      <c r="Z59" s="49" t="s">
        <v>95</v>
      </c>
      <c r="AA59" s="2">
        <f>AA58/(SQRT(COUNT(AA26:AA27,AA30:AA31,AA35:AA36,AA40:AA41,AA10:AA11,AA15:AA16,AA21:AA22)))</f>
        <v>0.13117170750151066</v>
      </c>
      <c r="AB59" s="2">
        <f t="shared" ref="AB59:AI59" si="38">AB58/(SQRT(COUNT(AB26:AB27,AB30:AB31,AB35:AB36,AB40:AB41,AB10:AB11,AB15:AB16,AB21:AB22)))</f>
        <v>0.38581672318072341</v>
      </c>
      <c r="AC59" s="2">
        <f t="shared" si="38"/>
        <v>2.4377181171348974E-2</v>
      </c>
      <c r="AD59" s="2">
        <f t="shared" si="38"/>
        <v>2.4377181171348884E-2</v>
      </c>
      <c r="AE59" s="2">
        <f t="shared" si="38"/>
        <v>6.2377941866826804E-2</v>
      </c>
      <c r="AF59" s="2">
        <f t="shared" si="38"/>
        <v>9.3147650894148167E-3</v>
      </c>
      <c r="AG59" s="2">
        <f t="shared" si="38"/>
        <v>0.40911444710782385</v>
      </c>
      <c r="AH59" s="2">
        <f t="shared" si="38"/>
        <v>0.40840848206918995</v>
      </c>
      <c r="AI59" s="2">
        <f t="shared" si="38"/>
        <v>0.36678934127069246</v>
      </c>
    </row>
    <row r="60" spans="3:38" x14ac:dyDescent="0.35">
      <c r="C60" s="271"/>
      <c r="D60" s="155">
        <v>0</v>
      </c>
      <c r="F60" s="13">
        <v>124.79114</v>
      </c>
      <c r="G60" s="2">
        <v>126.71584</v>
      </c>
      <c r="H60" s="2">
        <f t="shared" si="25"/>
        <v>1.9247000000000014</v>
      </c>
      <c r="I60" s="2">
        <f t="shared" si="26"/>
        <v>5.436089999999993</v>
      </c>
      <c r="J60" s="2">
        <f t="shared" si="27"/>
        <v>0.26148008569732362</v>
      </c>
      <c r="K60" s="2">
        <f t="shared" si="28"/>
        <v>0.73851991430267638</v>
      </c>
      <c r="L60" s="2">
        <f t="shared" si="29"/>
        <v>0.5195614901023532</v>
      </c>
      <c r="M60" s="2">
        <f t="shared" si="30"/>
        <v>0.1358549829569925</v>
      </c>
      <c r="N60" s="2">
        <f t="shared" si="31"/>
        <v>7.3607899999999944</v>
      </c>
      <c r="O60" s="2">
        <v>9</v>
      </c>
      <c r="P60">
        <f t="shared" si="32"/>
        <v>4.6760534109211793</v>
      </c>
      <c r="R60" t="s">
        <v>454</v>
      </c>
      <c r="X60" s="104"/>
      <c r="Y60" s="13"/>
      <c r="Z60" s="49"/>
      <c r="AA60" s="2"/>
      <c r="AB60" s="2"/>
      <c r="AC60" s="2"/>
      <c r="AD60" s="2"/>
      <c r="AE60" s="2"/>
      <c r="AF60" s="2"/>
      <c r="AG60" s="2"/>
      <c r="AH60" s="2"/>
      <c r="AI60" s="2"/>
    </row>
    <row r="61" spans="3:38" x14ac:dyDescent="0.35">
      <c r="C61" s="271" t="s">
        <v>541</v>
      </c>
      <c r="D61" s="155">
        <v>0</v>
      </c>
      <c r="F61" s="13">
        <v>132.15192999999999</v>
      </c>
      <c r="G61" s="2">
        <v>134.25387000000001</v>
      </c>
      <c r="H61" s="2">
        <f t="shared" si="25"/>
        <v>2.1019400000000132</v>
      </c>
      <c r="I61" s="2">
        <f t="shared" si="26"/>
        <v>7.2811299999999903</v>
      </c>
      <c r="J61" s="2">
        <f t="shared" si="27"/>
        <v>0.22401410199433794</v>
      </c>
      <c r="K61" s="2">
        <f t="shared" si="28"/>
        <v>0.77598589800566209</v>
      </c>
      <c r="L61" s="2">
        <f t="shared" si="29"/>
        <v>0.47575097291073659</v>
      </c>
      <c r="M61" s="2">
        <f t="shared" si="30"/>
        <v>0.10657492696953125</v>
      </c>
      <c r="N61" s="2">
        <f t="shared" si="31"/>
        <v>9.3830700000000036</v>
      </c>
      <c r="O61" s="2">
        <v>10</v>
      </c>
      <c r="P61">
        <f t="shared" si="32"/>
        <v>4.7575097291073662</v>
      </c>
      <c r="X61" s="104"/>
      <c r="Y61" s="13"/>
      <c r="Z61" s="49"/>
      <c r="AA61" s="2"/>
      <c r="AB61" s="2"/>
      <c r="AC61" s="2"/>
      <c r="AD61" s="2"/>
      <c r="AE61" s="2"/>
      <c r="AF61" s="2"/>
      <c r="AG61" s="2"/>
      <c r="AH61" s="2"/>
      <c r="AI61" s="2"/>
    </row>
    <row r="62" spans="3:38" ht="16" thickBot="1" x14ac:dyDescent="0.4">
      <c r="C62" s="271"/>
      <c r="D62" s="155">
        <v>0</v>
      </c>
      <c r="F62" s="13">
        <v>141.535</v>
      </c>
      <c r="G62" s="2">
        <v>143.76373000000001</v>
      </c>
      <c r="H62" s="2">
        <f t="shared" si="25"/>
        <v>2.228730000000013</v>
      </c>
      <c r="I62" s="2">
        <f t="shared" si="26"/>
        <v>7.1912499999999966</v>
      </c>
      <c r="J62" s="2">
        <f t="shared" si="27"/>
        <v>0.23659604372833176</v>
      </c>
      <c r="K62" s="2">
        <f t="shared" si="28"/>
        <v>0.76340395627166824</v>
      </c>
      <c r="L62" s="2">
        <f t="shared" si="29"/>
        <v>0.44868602298169546</v>
      </c>
      <c r="M62" s="2">
        <f t="shared" si="30"/>
        <v>0.10615733791366849</v>
      </c>
      <c r="N62" s="2">
        <f t="shared" si="31"/>
        <v>9.4199800000000096</v>
      </c>
      <c r="O62" s="2">
        <v>10</v>
      </c>
      <c r="P62">
        <f t="shared" si="32"/>
        <v>4.4868602298169549</v>
      </c>
      <c r="X62" s="104" t="s">
        <v>82</v>
      </c>
      <c r="Y62" s="13"/>
      <c r="Z62" s="13"/>
      <c r="AA62" s="9" t="s">
        <v>3</v>
      </c>
      <c r="AB62" s="9" t="s">
        <v>4</v>
      </c>
      <c r="AC62" s="9" t="s">
        <v>5</v>
      </c>
      <c r="AD62" s="9" t="s">
        <v>6</v>
      </c>
      <c r="AE62" s="9" t="s">
        <v>7</v>
      </c>
      <c r="AF62" s="9" t="s">
        <v>8</v>
      </c>
      <c r="AG62" s="9" t="s">
        <v>9</v>
      </c>
      <c r="AH62" s="9" t="s">
        <v>10</v>
      </c>
      <c r="AI62" s="44" t="s">
        <v>139</v>
      </c>
    </row>
    <row r="63" spans="3:38" x14ac:dyDescent="0.35">
      <c r="C63" s="271"/>
      <c r="D63" s="155">
        <v>0</v>
      </c>
      <c r="F63" s="13">
        <v>150.95498000000001</v>
      </c>
      <c r="G63" s="2">
        <v>152.05989</v>
      </c>
      <c r="H63" s="2">
        <f t="shared" si="25"/>
        <v>1.1049099999999896</v>
      </c>
      <c r="I63" s="2">
        <f t="shared" si="26"/>
        <v>8.2683700000000044</v>
      </c>
      <c r="J63" s="2">
        <f t="shared" si="27"/>
        <v>0.117878693477629</v>
      </c>
      <c r="K63" s="2">
        <f t="shared" si="28"/>
        <v>0.88212130652237097</v>
      </c>
      <c r="L63" s="2">
        <f t="shared" si="29"/>
        <v>0.90505109013404661</v>
      </c>
      <c r="M63" s="2">
        <f t="shared" si="30"/>
        <v>0.10668624003550525</v>
      </c>
      <c r="N63" s="2">
        <f t="shared" si="31"/>
        <v>9.3732799999999941</v>
      </c>
      <c r="O63" s="2">
        <v>7</v>
      </c>
      <c r="P63">
        <f t="shared" si="32"/>
        <v>6.3353576309383257</v>
      </c>
      <c r="X63" s="104"/>
      <c r="Y63" s="13"/>
      <c r="Z63" s="49" t="s">
        <v>77</v>
      </c>
      <c r="AA63" s="13">
        <f>AVERAGE(AA7:AA9,AA12:AA14,AA17:AA20,AA23:AA25,AA28:AA29,AA32:AA34,AA37:AA39,AA42:AA45)</f>
        <v>1.2806748000000017</v>
      </c>
      <c r="AB63" s="13">
        <f t="shared" ref="AB63:AI63" si="39">AVERAGE(AB7:AB9,AB12:AB14,AB17:AB20,AB23:AB25,AB28:AB29,AB32:AB34,AB37:AB39,AB42:AB45)</f>
        <v>4.6521175999999977</v>
      </c>
      <c r="AC63" s="13">
        <f t="shared" si="39"/>
        <v>0.21442507948462311</v>
      </c>
      <c r="AD63" s="13">
        <f t="shared" si="39"/>
        <v>0.78557492051537692</v>
      </c>
      <c r="AE63" s="13">
        <f t="shared" si="39"/>
        <v>0.85241120575160467</v>
      </c>
      <c r="AF63" s="13">
        <f t="shared" si="39"/>
        <v>0.17195743183629439</v>
      </c>
      <c r="AG63" s="13">
        <f t="shared" si="39"/>
        <v>5.9327923999999994</v>
      </c>
      <c r="AH63" s="13">
        <f t="shared" si="39"/>
        <v>7.36</v>
      </c>
      <c r="AI63" s="13">
        <f t="shared" si="39"/>
        <v>6.0235948707647511</v>
      </c>
    </row>
    <row r="64" spans="3:38" x14ac:dyDescent="0.35">
      <c r="C64" s="271" t="s">
        <v>541</v>
      </c>
      <c r="D64" s="155">
        <v>0</v>
      </c>
      <c r="F64" s="13">
        <v>160.32826</v>
      </c>
      <c r="G64" s="13">
        <v>162.39600999999999</v>
      </c>
      <c r="H64" s="2">
        <f t="shared" si="25"/>
        <v>2.0677499999999895</v>
      </c>
      <c r="I64" s="2">
        <f t="shared" si="26"/>
        <v>7.4975300000000118</v>
      </c>
      <c r="J64" s="2">
        <f t="shared" si="27"/>
        <v>0.21617244868942564</v>
      </c>
      <c r="K64" s="2">
        <f t="shared" si="28"/>
        <v>0.78382755131057436</v>
      </c>
      <c r="L64" s="2">
        <f t="shared" si="29"/>
        <v>0.48361745859025757</v>
      </c>
      <c r="M64" s="2">
        <f t="shared" si="30"/>
        <v>0.10454477025241288</v>
      </c>
      <c r="N64" s="2">
        <f t="shared" si="31"/>
        <v>9.5652800000000013</v>
      </c>
      <c r="O64" s="2">
        <v>9</v>
      </c>
      <c r="P64">
        <f t="shared" si="32"/>
        <v>4.352557127312318</v>
      </c>
      <c r="X64" s="104"/>
      <c r="Y64" s="13"/>
      <c r="Z64" s="49" t="s">
        <v>94</v>
      </c>
      <c r="AA64" s="2">
        <f>_xlfn.STDEV.S(AA7:AA9,AA12:AA14,AA17:AA20,AA23:AA25,AA28:AA29,AA32:AA34,AA37:AA39,AA42:AA45)</f>
        <v>0.44194618716648743</v>
      </c>
      <c r="AB64" s="2">
        <f t="shared" ref="AB64:AI64" si="40">_xlfn.STDEV.S(AB7:AB9,AB12:AB14,AB17:AB20,AB23:AB25,AB28:AB29,AB32:AB34,AB37:AB39,AB42:AB45)</f>
        <v>0.7247952703653584</v>
      </c>
      <c r="AC64" s="2">
        <f t="shared" si="40"/>
        <v>5.8841457228446567E-2</v>
      </c>
      <c r="AD64" s="2">
        <f t="shared" si="40"/>
        <v>5.8841457228446289E-2</v>
      </c>
      <c r="AE64" s="2">
        <f t="shared" si="40"/>
        <v>0.21836522839486414</v>
      </c>
      <c r="AF64" s="2">
        <f t="shared" si="40"/>
        <v>2.381023068389914E-2</v>
      </c>
      <c r="AG64" s="2">
        <f t="shared" si="40"/>
        <v>0.90153830628210163</v>
      </c>
      <c r="AH64" s="2">
        <f t="shared" si="40"/>
        <v>2.1771541057077242</v>
      </c>
      <c r="AI64" s="2">
        <f t="shared" si="40"/>
        <v>1.8320156075793399</v>
      </c>
    </row>
    <row r="65" spans="3:38" x14ac:dyDescent="0.35">
      <c r="C65" s="271"/>
      <c r="D65" s="155">
        <v>0</v>
      </c>
      <c r="F65" s="13">
        <v>169.89354</v>
      </c>
      <c r="G65" s="13">
        <v>173.29947999999999</v>
      </c>
      <c r="H65" s="2">
        <f t="shared" si="25"/>
        <v>3.4059399999999869</v>
      </c>
      <c r="I65" s="2">
        <f t="shared" si="26"/>
        <v>12.448860000000025</v>
      </c>
      <c r="J65" s="2">
        <f t="shared" si="27"/>
        <v>0.21482074829073747</v>
      </c>
      <c r="K65" s="2">
        <f t="shared" si="28"/>
        <v>0.7851792517092625</v>
      </c>
      <c r="L65" s="2">
        <f t="shared" si="29"/>
        <v>0.29360470237291436</v>
      </c>
      <c r="M65" s="2">
        <f t="shared" si="30"/>
        <v>6.3072381865428725E-2</v>
      </c>
      <c r="N65" s="2">
        <f t="shared" si="31"/>
        <v>15.854800000000012</v>
      </c>
      <c r="O65" s="2">
        <v>13</v>
      </c>
      <c r="P65">
        <f t="shared" si="32"/>
        <v>3.8168611308478866</v>
      </c>
      <c r="W65" s="155"/>
      <c r="X65" s="104"/>
      <c r="Y65" s="13"/>
      <c r="Z65" s="49" t="s">
        <v>95</v>
      </c>
      <c r="AA65" s="2">
        <f>AA64/(SQRT(COUNT(AA7:AA9,AA12:AA14,AA17:AA20,AA23:AA25,AA28:AA29,AA32:AA34,AA37:AA39,AA42:AA45)))</f>
        <v>8.8389237433297491E-2</v>
      </c>
      <c r="AB65" s="2">
        <f t="shared" ref="AB65:AI65" si="41">AB64/(SQRT(COUNT(AB7:AB9,AB12:AB14,AB17:AB20,AB23:AB25,AB28:AB29,AB32:AB34,AB37:AB39,AB42:AB45)))</f>
        <v>0.14495905407307169</v>
      </c>
      <c r="AC65" s="2">
        <f t="shared" si="41"/>
        <v>1.1768291445689314E-2</v>
      </c>
      <c r="AD65" s="2">
        <f t="shared" si="41"/>
        <v>1.1768291445689258E-2</v>
      </c>
      <c r="AE65" s="2">
        <f t="shared" si="41"/>
        <v>4.367304567897283E-2</v>
      </c>
      <c r="AF65" s="2">
        <f t="shared" si="41"/>
        <v>4.7620461367798277E-3</v>
      </c>
      <c r="AG65" s="2">
        <f t="shared" si="41"/>
        <v>0.18030766125642034</v>
      </c>
      <c r="AH65" s="2">
        <f t="shared" si="41"/>
        <v>0.43543082114154485</v>
      </c>
      <c r="AI65" s="2">
        <f t="shared" si="41"/>
        <v>0.36640312151586796</v>
      </c>
    </row>
    <row r="66" spans="3:38" x14ac:dyDescent="0.35">
      <c r="C66" s="271" t="s">
        <v>541</v>
      </c>
      <c r="D66" s="155">
        <v>0</v>
      </c>
      <c r="F66" s="13">
        <v>185.74834000000001</v>
      </c>
      <c r="G66" s="13">
        <v>187.93665999999999</v>
      </c>
      <c r="H66" s="2">
        <f t="shared" si="25"/>
        <v>2.1883199999999761</v>
      </c>
      <c r="I66" s="2">
        <f t="shared" si="26"/>
        <v>7.2906100000000151</v>
      </c>
      <c r="J66" s="2">
        <f t="shared" si="27"/>
        <v>0.23086150019042004</v>
      </c>
      <c r="K66" s="2">
        <f t="shared" si="28"/>
        <v>0.76913849980957993</v>
      </c>
      <c r="L66" s="2">
        <f t="shared" si="29"/>
        <v>0.45697155809022949</v>
      </c>
      <c r="M66" s="2">
        <f t="shared" si="30"/>
        <v>0.10549713944506404</v>
      </c>
      <c r="N66" s="2">
        <f t="shared" si="31"/>
        <v>9.4789299999999912</v>
      </c>
      <c r="O66" s="2">
        <v>11</v>
      </c>
      <c r="P66">
        <f t="shared" si="32"/>
        <v>5.0266871389925241</v>
      </c>
      <c r="W66" s="155"/>
      <c r="AA66" s="2"/>
      <c r="AB66" s="2"/>
      <c r="AC66" s="2"/>
      <c r="AD66" s="2"/>
      <c r="AE66" s="2"/>
      <c r="AF66" s="2"/>
      <c r="AG66" s="2"/>
      <c r="AH66" s="2"/>
    </row>
    <row r="67" spans="3:38" x14ac:dyDescent="0.35">
      <c r="C67" s="271"/>
      <c r="D67" s="155">
        <v>0</v>
      </c>
      <c r="F67" s="13">
        <v>195.22727</v>
      </c>
      <c r="G67" s="13">
        <v>198.36318</v>
      </c>
      <c r="H67" s="2">
        <f t="shared" si="25"/>
        <v>3.1359099999999955</v>
      </c>
      <c r="I67" s="2">
        <f t="shared" si="26"/>
        <v>6.1560200000000123</v>
      </c>
      <c r="J67" s="2">
        <f t="shared" si="27"/>
        <v>0.33748747569127113</v>
      </c>
      <c r="K67" s="2">
        <f t="shared" si="28"/>
        <v>0.66251252430872887</v>
      </c>
      <c r="L67" s="2">
        <f t="shared" si="29"/>
        <v>0.31888670274338277</v>
      </c>
      <c r="M67" s="2">
        <f t="shared" si="30"/>
        <v>0.107620268340377</v>
      </c>
      <c r="N67" s="2">
        <f t="shared" si="31"/>
        <v>9.2919300000000078</v>
      </c>
      <c r="O67" s="2">
        <v>14</v>
      </c>
      <c r="P67">
        <f t="shared" si="32"/>
        <v>4.4644138384073582</v>
      </c>
    </row>
    <row r="68" spans="3:38" x14ac:dyDescent="0.35">
      <c r="C68" s="271" t="s">
        <v>541</v>
      </c>
      <c r="D68" s="155">
        <v>0</v>
      </c>
      <c r="F68" s="13">
        <v>204.51920000000001</v>
      </c>
      <c r="G68" s="13">
        <v>207.49538999999999</v>
      </c>
      <c r="H68" s="2">
        <f t="shared" si="25"/>
        <v>2.9761899999999741</v>
      </c>
      <c r="I68" s="2">
        <f t="shared" si="26"/>
        <v>10.45723000000001</v>
      </c>
      <c r="J68" s="2">
        <f t="shared" si="27"/>
        <v>0.22155117609662897</v>
      </c>
      <c r="K68" s="2">
        <f t="shared" si="28"/>
        <v>0.778448823903371</v>
      </c>
      <c r="L68" s="2">
        <f t="shared" si="29"/>
        <v>0.33600005376001152</v>
      </c>
      <c r="M68" s="2">
        <f t="shared" si="30"/>
        <v>7.4441207079061114E-2</v>
      </c>
      <c r="N68" s="2">
        <f t="shared" si="31"/>
        <v>13.433419999999984</v>
      </c>
      <c r="O68" s="2">
        <v>11</v>
      </c>
      <c r="P68">
        <f t="shared" si="32"/>
        <v>3.6960005913601268</v>
      </c>
    </row>
    <row r="69" spans="3:38" x14ac:dyDescent="0.35">
      <c r="F69" s="13">
        <v>217.95262</v>
      </c>
      <c r="G69" s="13">
        <v>221.19942</v>
      </c>
      <c r="H69" s="2">
        <f t="shared" si="25"/>
        <v>3.2468000000000075</v>
      </c>
      <c r="I69" s="2">
        <f t="shared" si="26"/>
        <v>9.5378299999999854</v>
      </c>
      <c r="J69" s="2">
        <f t="shared" si="27"/>
        <v>0.25396120184940896</v>
      </c>
      <c r="K69" s="2">
        <f t="shared" si="28"/>
        <v>0.74603879815059104</v>
      </c>
      <c r="L69" s="2">
        <f t="shared" si="29"/>
        <v>0.30799556486386526</v>
      </c>
      <c r="M69" s="2">
        <f t="shared" si="30"/>
        <v>7.8218923817114816E-2</v>
      </c>
      <c r="N69" s="2">
        <f t="shared" si="31"/>
        <v>12.784629999999993</v>
      </c>
      <c r="O69" s="2">
        <v>12</v>
      </c>
      <c r="P69">
        <f t="shared" si="32"/>
        <v>3.6959467783663831</v>
      </c>
    </row>
    <row r="70" spans="3:38" x14ac:dyDescent="0.35">
      <c r="F70" s="13">
        <v>230.73724999999999</v>
      </c>
      <c r="G70">
        <v>232.52315999999999</v>
      </c>
      <c r="H70" s="2">
        <f t="shared" si="25"/>
        <v>1.7859100000000012</v>
      </c>
      <c r="I70" s="2"/>
      <c r="J70" s="2"/>
      <c r="K70" s="2"/>
      <c r="L70" s="2"/>
      <c r="M70" s="2"/>
      <c r="N70" s="2"/>
      <c r="O70" s="2"/>
    </row>
    <row r="71" spans="3:38" ht="19" thickBot="1" x14ac:dyDescent="0.5">
      <c r="F71" s="13"/>
      <c r="G71" s="13"/>
      <c r="H71" s="9" t="s">
        <v>3</v>
      </c>
      <c r="I71" s="9" t="s">
        <v>4</v>
      </c>
      <c r="J71" s="9" t="s">
        <v>5</v>
      </c>
      <c r="K71" s="9" t="s">
        <v>6</v>
      </c>
      <c r="L71" s="9" t="s">
        <v>7</v>
      </c>
      <c r="M71" s="9" t="s">
        <v>8</v>
      </c>
      <c r="N71" s="9" t="s">
        <v>9</v>
      </c>
      <c r="O71" s="9" t="s">
        <v>10</v>
      </c>
      <c r="P71" s="44" t="s">
        <v>139</v>
      </c>
      <c r="Y71" s="1" t="s">
        <v>91</v>
      </c>
      <c r="Z71" s="3"/>
      <c r="AA71" s="3"/>
      <c r="AB71" s="3"/>
      <c r="AC71" s="3"/>
      <c r="AD71" s="3"/>
      <c r="AE71" s="3"/>
      <c r="AF71" s="3"/>
      <c r="AG71" s="3"/>
      <c r="AH71" s="3"/>
    </row>
    <row r="72" spans="3:38" ht="16" thickBot="1" x14ac:dyDescent="0.4">
      <c r="E72" s="104" t="s">
        <v>447</v>
      </c>
      <c r="F72" s="13"/>
      <c r="G72" s="49" t="s">
        <v>77</v>
      </c>
      <c r="H72" s="13">
        <f>AVERAGE(H48:H59)</f>
        <v>2.1691641666666661</v>
      </c>
      <c r="I72" s="13">
        <f t="shared" ref="I72:N72" si="42">AVERAGE(I48:I59)</f>
        <v>7.9986941666666675</v>
      </c>
      <c r="J72" s="13">
        <f t="shared" si="42"/>
        <v>0.21837466197478597</v>
      </c>
      <c r="K72" s="13">
        <f t="shared" si="42"/>
        <v>0.78162533802521394</v>
      </c>
      <c r="L72" s="13">
        <f t="shared" si="42"/>
        <v>0.47412426105153743</v>
      </c>
      <c r="M72" s="13">
        <f t="shared" si="42"/>
        <v>0.10128091448201199</v>
      </c>
      <c r="N72" s="13">
        <f t="shared" si="42"/>
        <v>10.167858333333333</v>
      </c>
      <c r="O72" s="13">
        <f>AVERAGE(O48:O59)</f>
        <v>10.083333333333334</v>
      </c>
      <c r="P72" s="13">
        <f>AVERAGE(P48:P59)</f>
        <v>4.6700043778369684</v>
      </c>
      <c r="V72" s="204" t="s">
        <v>122</v>
      </c>
      <c r="W72" s="204" t="s">
        <v>406</v>
      </c>
      <c r="Y72" s="9" t="s">
        <v>1</v>
      </c>
      <c r="Z72" s="9" t="s">
        <v>2</v>
      </c>
      <c r="AA72" s="9" t="s">
        <v>3</v>
      </c>
      <c r="AB72" s="9" t="s">
        <v>4</v>
      </c>
      <c r="AC72" s="9" t="s">
        <v>5</v>
      </c>
      <c r="AD72" s="9" t="s">
        <v>6</v>
      </c>
      <c r="AE72" s="9" t="s">
        <v>7</v>
      </c>
      <c r="AF72" s="9" t="s">
        <v>8</v>
      </c>
      <c r="AG72" s="9" t="s">
        <v>9</v>
      </c>
      <c r="AH72" s="9" t="s">
        <v>10</v>
      </c>
      <c r="AI72" s="44" t="s">
        <v>139</v>
      </c>
      <c r="AK72" s="44" t="s">
        <v>138</v>
      </c>
    </row>
    <row r="73" spans="3:38" x14ac:dyDescent="0.35">
      <c r="E73" s="104"/>
      <c r="F73" s="13"/>
      <c r="G73" s="49" t="s">
        <v>94</v>
      </c>
      <c r="H73" s="2">
        <f>_xlfn.STDEV.S(H48:H59)</f>
        <v>0.32484505849175888</v>
      </c>
      <c r="I73" s="2">
        <f t="shared" ref="I73:P73" si="43">_xlfn.STDEV.S(I48:I59)</f>
        <v>1.792299875099324</v>
      </c>
      <c r="J73" s="2">
        <f t="shared" si="43"/>
        <v>4.5614205920979034E-2</v>
      </c>
      <c r="K73" s="2">
        <f t="shared" si="43"/>
        <v>4.5614205920978791E-2</v>
      </c>
      <c r="L73" s="2">
        <f t="shared" si="43"/>
        <v>9.762061441837605E-2</v>
      </c>
      <c r="M73" s="2">
        <f t="shared" si="43"/>
        <v>1.7824320424898128E-2</v>
      </c>
      <c r="N73" s="2">
        <f t="shared" si="43"/>
        <v>1.8610716614497986</v>
      </c>
      <c r="O73" s="2">
        <f t="shared" si="43"/>
        <v>2.1087839379532705</v>
      </c>
      <c r="P73" s="2">
        <f t="shared" si="43"/>
        <v>0.76799147440033744</v>
      </c>
      <c r="W73" s="155">
        <v>-1</v>
      </c>
      <c r="Y73" s="2">
        <v>5.8068499999999998</v>
      </c>
      <c r="Z73" s="2">
        <v>7.89276</v>
      </c>
      <c r="AA73" s="2">
        <f>Z73-Y73</f>
        <v>2.0859100000000002</v>
      </c>
      <c r="AB73" s="2">
        <f>Y74-Z73</f>
        <v>5.8666100000000005</v>
      </c>
      <c r="AC73" s="2">
        <f>AA73/AG73</f>
        <v>0.26229547363602984</v>
      </c>
      <c r="AD73" s="2">
        <f>AB73/AG73</f>
        <v>0.73770452636397021</v>
      </c>
      <c r="AE73" s="2">
        <f>1/AA73</f>
        <v>0.4794070693366444</v>
      </c>
      <c r="AF73" s="2">
        <f>1/AG73</f>
        <v>0.12574630431611614</v>
      </c>
      <c r="AG73" s="2">
        <f>AA73+AB73</f>
        <v>7.9525200000000007</v>
      </c>
      <c r="AH73" s="2">
        <v>15</v>
      </c>
      <c r="AI73">
        <f>AH73/AA73</f>
        <v>7.1911060400496662</v>
      </c>
      <c r="AK73" t="s">
        <v>466</v>
      </c>
    </row>
    <row r="74" spans="3:38" x14ac:dyDescent="0.35">
      <c r="E74" s="104"/>
      <c r="F74" s="13"/>
      <c r="G74" s="49" t="s">
        <v>95</v>
      </c>
      <c r="H74" s="2">
        <f>H73/(SQRT(COUNT(H48:H59)))</f>
        <v>9.3774690982568368E-2</v>
      </c>
      <c r="I74" s="2">
        <f t="shared" ref="I74:P74" si="44">I73/(SQRT(COUNT(I48:I59)))</f>
        <v>0.51739240767856365</v>
      </c>
      <c r="J74" s="2">
        <f t="shared" si="44"/>
        <v>1.3167687033674134E-2</v>
      </c>
      <c r="K74" s="2">
        <f t="shared" si="44"/>
        <v>1.3167687033674064E-2</v>
      </c>
      <c r="L74" s="2">
        <f t="shared" si="44"/>
        <v>2.8180644006453041E-2</v>
      </c>
      <c r="M74" s="2">
        <f t="shared" si="44"/>
        <v>5.1454380977185394E-3</v>
      </c>
      <c r="N74" s="2">
        <f t="shared" si="44"/>
        <v>0.5372451123596127</v>
      </c>
      <c r="O74" s="2">
        <f t="shared" si="44"/>
        <v>0.60875348712003996</v>
      </c>
      <c r="P74" s="2">
        <f t="shared" si="44"/>
        <v>0.22170004224018622</v>
      </c>
      <c r="W74" s="155">
        <v>-1</v>
      </c>
      <c r="Y74" s="2">
        <v>13.759370000000001</v>
      </c>
      <c r="Z74" s="2">
        <v>14.6953</v>
      </c>
      <c r="AA74" s="2">
        <f t="shared" ref="AA74:AA105" si="45">Z74-Y74</f>
        <v>0.93592999999999904</v>
      </c>
      <c r="AB74" s="2">
        <f t="shared" ref="AB74:AB104" si="46">Y75-Z74</f>
        <v>4.9053199999999997</v>
      </c>
      <c r="AC74" s="2">
        <f t="shared" ref="AC74:AC104" si="47">AA74/AG74</f>
        <v>0.16022769099079806</v>
      </c>
      <c r="AD74" s="2">
        <f t="shared" ref="AD74:AD104" si="48">AB74/AG74</f>
        <v>0.83977230900920197</v>
      </c>
      <c r="AE74" s="2">
        <f t="shared" ref="AE74:AE104" si="49">1/AA74</f>
        <v>1.0684559742715813</v>
      </c>
      <c r="AF74" s="2">
        <f t="shared" ref="AF74:AF104" si="50">1/AG74</f>
        <v>0.17119623368285902</v>
      </c>
      <c r="AG74" s="2">
        <f t="shared" ref="AG74:AG104" si="51">AA74+AB74</f>
        <v>5.8412499999999987</v>
      </c>
      <c r="AH74" s="2">
        <v>13</v>
      </c>
      <c r="AI74">
        <f t="shared" ref="AI74:AI104" si="52">AH74/AA74</f>
        <v>13.889927665530555</v>
      </c>
    </row>
    <row r="75" spans="3:38" x14ac:dyDescent="0.35">
      <c r="E75" s="104"/>
      <c r="F75" s="13"/>
      <c r="G75" s="49"/>
      <c r="H75" s="2"/>
      <c r="I75" s="2"/>
      <c r="J75" s="2"/>
      <c r="K75" s="2"/>
      <c r="L75" s="2"/>
      <c r="M75" s="2"/>
      <c r="N75" s="2"/>
      <c r="O75" s="2"/>
      <c r="P75" s="2"/>
      <c r="V75" s="287" t="s">
        <v>541</v>
      </c>
      <c r="W75" s="155">
        <v>-1</v>
      </c>
      <c r="Y75" s="13">
        <v>19.600619999999999</v>
      </c>
      <c r="Z75" s="2">
        <v>20.655830000000002</v>
      </c>
      <c r="AA75" s="2">
        <f t="shared" si="45"/>
        <v>1.0552100000000024</v>
      </c>
      <c r="AB75" s="2">
        <f t="shared" si="46"/>
        <v>5.7761199999999988</v>
      </c>
      <c r="AC75" s="2">
        <f t="shared" si="47"/>
        <v>0.15446626059639956</v>
      </c>
      <c r="AD75" s="2">
        <f t="shared" si="48"/>
        <v>0.84553373940360044</v>
      </c>
      <c r="AE75" s="2">
        <f t="shared" si="49"/>
        <v>0.94767866111958543</v>
      </c>
      <c r="AF75" s="2">
        <f t="shared" si="50"/>
        <v>0.1463843790301449</v>
      </c>
      <c r="AG75" s="2">
        <f t="shared" si="51"/>
        <v>6.8313300000000012</v>
      </c>
      <c r="AH75" s="2">
        <v>15</v>
      </c>
      <c r="AI75">
        <f t="shared" si="52"/>
        <v>14.215179916793781</v>
      </c>
    </row>
    <row r="76" spans="3:38" ht="16" thickBot="1" x14ac:dyDescent="0.4">
      <c r="E76" s="104" t="s">
        <v>81</v>
      </c>
      <c r="F76" s="13"/>
      <c r="G76" s="13"/>
      <c r="H76" s="9" t="s">
        <v>3</v>
      </c>
      <c r="I76" s="9" t="s">
        <v>4</v>
      </c>
      <c r="J76" s="9" t="s">
        <v>5</v>
      </c>
      <c r="K76" s="9" t="s">
        <v>6</v>
      </c>
      <c r="L76" s="9" t="s">
        <v>7</v>
      </c>
      <c r="M76" s="9" t="s">
        <v>8</v>
      </c>
      <c r="N76" s="9" t="s">
        <v>9</v>
      </c>
      <c r="O76" s="9" t="s">
        <v>10</v>
      </c>
      <c r="P76" s="44" t="s">
        <v>139</v>
      </c>
      <c r="V76" s="287" t="s">
        <v>541</v>
      </c>
      <c r="W76" s="155">
        <v>-1</v>
      </c>
      <c r="Y76" s="13">
        <v>26.431950000000001</v>
      </c>
      <c r="Z76" s="2">
        <v>28.479489999999998</v>
      </c>
      <c r="AA76" s="2">
        <f t="shared" si="45"/>
        <v>2.0475399999999979</v>
      </c>
      <c r="AB76" s="2">
        <f t="shared" si="46"/>
        <v>3.835480000000004</v>
      </c>
      <c r="AC76" s="2">
        <f t="shared" si="47"/>
        <v>0.34804233199955076</v>
      </c>
      <c r="AD76" s="2">
        <f t="shared" si="48"/>
        <v>0.65195766800044919</v>
      </c>
      <c r="AE76" s="2">
        <f t="shared" si="49"/>
        <v>0.48839094718540349</v>
      </c>
      <c r="AF76" s="2">
        <f t="shared" si="50"/>
        <v>0.16998072418587726</v>
      </c>
      <c r="AG76" s="2">
        <f t="shared" si="51"/>
        <v>5.8830200000000019</v>
      </c>
      <c r="AH76" s="2">
        <v>22</v>
      </c>
      <c r="AI76">
        <f t="shared" si="52"/>
        <v>10.744600838078876</v>
      </c>
    </row>
    <row r="77" spans="3:38" x14ac:dyDescent="0.35">
      <c r="F77" s="13"/>
      <c r="G77" s="49" t="s">
        <v>77</v>
      </c>
      <c r="H77" s="13">
        <f>AVERAGE(H48,H51,H53,H55,H58)</f>
        <v>1.9804739999999996</v>
      </c>
      <c r="I77" s="13">
        <f t="shared" ref="I77:P77" si="53">AVERAGE(I48,I51,I53,I55,I58)</f>
        <v>8.4748920000000005</v>
      </c>
      <c r="J77" s="13">
        <f t="shared" si="53"/>
        <v>0.19025269383629978</v>
      </c>
      <c r="K77" s="13">
        <f t="shared" si="53"/>
        <v>0.80974730616370016</v>
      </c>
      <c r="L77" s="13">
        <f t="shared" si="53"/>
        <v>0.52632108520267173</v>
      </c>
      <c r="M77" s="13">
        <f t="shared" si="53"/>
        <v>9.6845298009112596E-2</v>
      </c>
      <c r="N77" s="13">
        <f t="shared" si="53"/>
        <v>10.455366000000001</v>
      </c>
      <c r="O77" s="13">
        <f t="shared" si="53"/>
        <v>9.6</v>
      </c>
      <c r="P77" s="13">
        <f t="shared" si="53"/>
        <v>4.9260009410303578</v>
      </c>
      <c r="W77" s="155">
        <v>-1</v>
      </c>
      <c r="Y77" s="13">
        <v>32.314970000000002</v>
      </c>
      <c r="Z77" s="2">
        <v>34.177630000000001</v>
      </c>
      <c r="AA77" s="2">
        <f t="shared" si="45"/>
        <v>1.8626599999999982</v>
      </c>
      <c r="AB77" s="2">
        <f t="shared" si="46"/>
        <v>4.9739500000000021</v>
      </c>
      <c r="AC77" s="2">
        <f t="shared" si="47"/>
        <v>0.27245374535040001</v>
      </c>
      <c r="AD77" s="2">
        <f t="shared" si="48"/>
        <v>0.72754625464959999</v>
      </c>
      <c r="AE77" s="2">
        <f t="shared" si="49"/>
        <v>0.53686663159138059</v>
      </c>
      <c r="AF77" s="2">
        <f t="shared" si="50"/>
        <v>0.14627132453072503</v>
      </c>
      <c r="AG77" s="2">
        <f t="shared" si="51"/>
        <v>6.8366100000000003</v>
      </c>
      <c r="AH77" s="2">
        <v>18</v>
      </c>
      <c r="AI77">
        <f t="shared" si="52"/>
        <v>9.6635993686448511</v>
      </c>
    </row>
    <row r="78" spans="3:38" x14ac:dyDescent="0.35">
      <c r="E78" s="104"/>
      <c r="F78" s="13"/>
      <c r="G78" s="49" t="s">
        <v>94</v>
      </c>
      <c r="H78" s="2">
        <f>_xlfn.STDEV.S(H48,H51,H53,H55,H58)</f>
        <v>0.3981696293415673</v>
      </c>
      <c r="I78" s="2">
        <f t="shared" ref="I78:P78" si="54">_xlfn.STDEV.S(I48,I51,I53,I55,I58)</f>
        <v>1.2851113781770043</v>
      </c>
      <c r="J78" s="2">
        <f t="shared" si="54"/>
        <v>3.7430168814773318E-2</v>
      </c>
      <c r="K78" s="2">
        <f t="shared" si="54"/>
        <v>3.7430168814773263E-2</v>
      </c>
      <c r="L78" s="2">
        <f t="shared" si="54"/>
        <v>0.13434979898566948</v>
      </c>
      <c r="M78" s="2">
        <f t="shared" si="54"/>
        <v>1.1322997533024593E-2</v>
      </c>
      <c r="N78" s="2">
        <f t="shared" si="54"/>
        <v>1.3887817790531383</v>
      </c>
      <c r="O78" s="2">
        <f t="shared" si="54"/>
        <v>2.0736441353327715</v>
      </c>
      <c r="P78" s="2">
        <f t="shared" si="54"/>
        <v>0.91433585363965642</v>
      </c>
      <c r="W78" s="155">
        <v>-1</v>
      </c>
      <c r="Y78" s="13">
        <v>39.151580000000003</v>
      </c>
      <c r="Z78" s="2">
        <v>40.229239999999997</v>
      </c>
      <c r="AA78" s="2">
        <f t="shared" si="45"/>
        <v>1.0776599999999945</v>
      </c>
      <c r="AB78" s="2">
        <f t="shared" si="46"/>
        <v>5.7287600000000012</v>
      </c>
      <c r="AC78" s="2">
        <f t="shared" si="47"/>
        <v>0.15832992968403289</v>
      </c>
      <c r="AD78" s="2">
        <f t="shared" si="48"/>
        <v>0.84167007031596708</v>
      </c>
      <c r="AE78" s="2">
        <f t="shared" si="49"/>
        <v>0.92793645491157239</v>
      </c>
      <c r="AF78" s="2">
        <f t="shared" si="50"/>
        <v>0.14692011365740001</v>
      </c>
      <c r="AG78" s="2">
        <f t="shared" si="51"/>
        <v>6.8064199999999957</v>
      </c>
      <c r="AH78" s="2">
        <v>14</v>
      </c>
      <c r="AI78">
        <f t="shared" si="52"/>
        <v>12.991110368762014</v>
      </c>
    </row>
    <row r="79" spans="3:38" x14ac:dyDescent="0.35">
      <c r="E79" s="104"/>
      <c r="F79" s="13"/>
      <c r="G79" s="49" t="s">
        <v>95</v>
      </c>
      <c r="H79" s="2">
        <f>H78/(SQRT(COUNT(H48,H51,H53,H55,H58)))</f>
        <v>0.17806687155672785</v>
      </c>
      <c r="I79" s="2">
        <f t="shared" ref="I79:P79" si="55">I78/(SQRT(COUNT(I48,I51,I53,I55,I58)))</f>
        <v>0.57471928005244421</v>
      </c>
      <c r="J79" s="2">
        <f t="shared" si="55"/>
        <v>1.6739280375825175E-2</v>
      </c>
      <c r="K79" s="2">
        <f t="shared" si="55"/>
        <v>1.6739280375825148E-2</v>
      </c>
      <c r="L79" s="2">
        <f t="shared" si="55"/>
        <v>6.0083056659077851E-2</v>
      </c>
      <c r="M79" s="2">
        <f t="shared" si="55"/>
        <v>5.0637984385810816E-3</v>
      </c>
      <c r="N79" s="2">
        <f t="shared" si="55"/>
        <v>0.62108209277518212</v>
      </c>
      <c r="O79" s="2">
        <f t="shared" si="55"/>
        <v>0.92736184954957002</v>
      </c>
      <c r="P79" s="2">
        <f t="shared" si="55"/>
        <v>0.40890342460071405</v>
      </c>
      <c r="V79" s="287" t="s">
        <v>541</v>
      </c>
      <c r="W79" s="155">
        <v>-1</v>
      </c>
      <c r="Y79" s="13">
        <v>45.957999999999998</v>
      </c>
      <c r="Z79" s="2">
        <v>47.131019999999999</v>
      </c>
      <c r="AA79" s="2">
        <f t="shared" si="45"/>
        <v>1.1730200000000011</v>
      </c>
      <c r="AB79" s="2">
        <f t="shared" si="46"/>
        <v>5.8299200000000013</v>
      </c>
      <c r="AC79" s="2">
        <f t="shared" si="47"/>
        <v>0.16750393406197978</v>
      </c>
      <c r="AD79" s="2">
        <f t="shared" si="48"/>
        <v>0.83249606593802017</v>
      </c>
      <c r="AE79" s="2">
        <f t="shared" si="49"/>
        <v>0.85250038362517189</v>
      </c>
      <c r="AF79" s="2">
        <f t="shared" si="50"/>
        <v>0.14279716804656326</v>
      </c>
      <c r="AG79" s="2">
        <f t="shared" si="51"/>
        <v>7.0029400000000024</v>
      </c>
      <c r="AH79" s="2">
        <v>17</v>
      </c>
      <c r="AI79">
        <f t="shared" si="52"/>
        <v>14.492506521627922</v>
      </c>
      <c r="AL79" s="2"/>
    </row>
    <row r="80" spans="3:38" x14ac:dyDescent="0.35">
      <c r="E80" s="104"/>
      <c r="F80" s="13"/>
      <c r="G80" s="49"/>
      <c r="H80" s="2"/>
      <c r="I80" s="2"/>
      <c r="J80" s="2"/>
      <c r="K80" s="2"/>
      <c r="L80" s="2"/>
      <c r="M80" s="2"/>
      <c r="N80" s="2"/>
      <c r="O80" s="2"/>
      <c r="P80" s="2"/>
      <c r="V80" s="287" t="s">
        <v>541</v>
      </c>
      <c r="W80" s="155">
        <v>-1</v>
      </c>
      <c r="Y80" s="13">
        <v>52.960940000000001</v>
      </c>
      <c r="Z80" s="2">
        <v>54.998919999999998</v>
      </c>
      <c r="AA80" s="2">
        <f t="shared" si="45"/>
        <v>2.0379799999999975</v>
      </c>
      <c r="AB80" s="2">
        <f t="shared" si="46"/>
        <v>3.8255800000000022</v>
      </c>
      <c r="AC80" s="2">
        <f t="shared" si="47"/>
        <v>0.34756700707420024</v>
      </c>
      <c r="AD80" s="2">
        <f t="shared" si="48"/>
        <v>0.6524329929257997</v>
      </c>
      <c r="AE80" s="2">
        <f t="shared" si="49"/>
        <v>0.49068194977379626</v>
      </c>
      <c r="AF80" s="2">
        <f t="shared" si="50"/>
        <v>0.1705448567082114</v>
      </c>
      <c r="AG80" s="2">
        <f t="shared" si="51"/>
        <v>5.8635599999999997</v>
      </c>
      <c r="AH80" s="2">
        <v>17</v>
      </c>
      <c r="AI80">
        <f t="shared" si="52"/>
        <v>8.3415931461545352</v>
      </c>
      <c r="AL80" s="2"/>
    </row>
    <row r="81" spans="5:38" x14ac:dyDescent="0.35">
      <c r="E81" s="104"/>
      <c r="F81" s="13"/>
      <c r="G81" s="49"/>
      <c r="H81" s="2"/>
      <c r="I81" s="2"/>
      <c r="J81" s="2"/>
      <c r="K81" s="2"/>
      <c r="L81" s="2"/>
      <c r="M81" s="2"/>
      <c r="N81" s="2"/>
      <c r="O81" s="2"/>
      <c r="P81" s="2"/>
      <c r="W81" s="155">
        <v>-1</v>
      </c>
      <c r="Y81" s="13">
        <v>58.8245</v>
      </c>
      <c r="Z81" s="2">
        <v>59.827759999999998</v>
      </c>
      <c r="AA81" s="2">
        <f t="shared" si="45"/>
        <v>1.0032599999999974</v>
      </c>
      <c r="AB81" s="2">
        <f t="shared" si="46"/>
        <v>6.9371100000000041</v>
      </c>
      <c r="AC81" s="2">
        <f t="shared" si="47"/>
        <v>0.12634927591535372</v>
      </c>
      <c r="AD81" s="2">
        <f t="shared" si="48"/>
        <v>0.87365072408464628</v>
      </c>
      <c r="AE81" s="2">
        <f t="shared" si="49"/>
        <v>0.99675059306660552</v>
      </c>
      <c r="AF81" s="2">
        <f t="shared" si="50"/>
        <v>0.125938715702165</v>
      </c>
      <c r="AG81" s="2">
        <f t="shared" si="51"/>
        <v>7.9403700000000015</v>
      </c>
      <c r="AH81" s="2">
        <v>11</v>
      </c>
      <c r="AI81">
        <f t="shared" si="52"/>
        <v>10.96425652373266</v>
      </c>
      <c r="AL81" s="2"/>
    </row>
    <row r="82" spans="5:38" ht="16" thickBot="1" x14ac:dyDescent="0.4">
      <c r="E82" s="104" t="s">
        <v>82</v>
      </c>
      <c r="F82" s="13"/>
      <c r="G82" s="13"/>
      <c r="H82" s="9" t="s">
        <v>3</v>
      </c>
      <c r="I82" s="9" t="s">
        <v>4</v>
      </c>
      <c r="J82" s="9" t="s">
        <v>5</v>
      </c>
      <c r="K82" s="9" t="s">
        <v>6</v>
      </c>
      <c r="L82" s="9" t="s">
        <v>7</v>
      </c>
      <c r="M82" s="9" t="s">
        <v>8</v>
      </c>
      <c r="N82" s="9" t="s">
        <v>9</v>
      </c>
      <c r="O82" s="9" t="s">
        <v>10</v>
      </c>
      <c r="P82" s="44" t="s">
        <v>139</v>
      </c>
      <c r="W82" s="155">
        <v>-1</v>
      </c>
      <c r="Y82" s="13">
        <v>66.764870000000002</v>
      </c>
      <c r="Z82" s="2">
        <v>67.786940000000001</v>
      </c>
      <c r="AA82" s="2">
        <f t="shared" si="45"/>
        <v>1.0220699999999994</v>
      </c>
      <c r="AB82" s="2">
        <f t="shared" si="46"/>
        <v>4.9205299999999994</v>
      </c>
      <c r="AC82" s="2">
        <f t="shared" si="47"/>
        <v>0.17199037458351557</v>
      </c>
      <c r="AD82" s="2">
        <f t="shared" si="48"/>
        <v>0.82800962541648448</v>
      </c>
      <c r="AE82" s="2">
        <f t="shared" si="49"/>
        <v>0.97840656706487872</v>
      </c>
      <c r="AF82" s="2">
        <f t="shared" si="50"/>
        <v>0.16827651196446003</v>
      </c>
      <c r="AG82" s="2">
        <f t="shared" si="51"/>
        <v>5.9425999999999988</v>
      </c>
      <c r="AH82" s="2">
        <v>12</v>
      </c>
      <c r="AI82">
        <f t="shared" si="52"/>
        <v>11.740878804778545</v>
      </c>
      <c r="AL82" s="2"/>
    </row>
    <row r="83" spans="5:38" x14ac:dyDescent="0.35">
      <c r="E83" s="104"/>
      <c r="F83" s="13"/>
      <c r="G83" s="49" t="s">
        <v>77</v>
      </c>
      <c r="H83" s="13">
        <f>AVERAGE(H49:H50,H52,H54,H56:H57,H59)</f>
        <v>2.3039428571428564</v>
      </c>
      <c r="I83" s="13">
        <f t="shared" ref="I83:P83" si="56">AVERAGE(I49:I50,I52,I54,I56:I57,I59)</f>
        <v>7.6585528571428574</v>
      </c>
      <c r="J83" s="13">
        <f t="shared" si="56"/>
        <v>0.23846178207370472</v>
      </c>
      <c r="K83" s="13">
        <f t="shared" si="56"/>
        <v>0.76153821792629528</v>
      </c>
      <c r="L83" s="13">
        <f t="shared" si="56"/>
        <v>0.43684081522929868</v>
      </c>
      <c r="M83" s="13">
        <f t="shared" si="56"/>
        <v>0.10444921196265443</v>
      </c>
      <c r="N83" s="13">
        <f t="shared" si="56"/>
        <v>9.9624957142857138</v>
      </c>
      <c r="O83" s="13">
        <f t="shared" si="56"/>
        <v>10.428571428571429</v>
      </c>
      <c r="P83" s="13">
        <f t="shared" si="56"/>
        <v>4.4871496898416909</v>
      </c>
      <c r="V83" s="287" t="s">
        <v>541</v>
      </c>
      <c r="W83" s="155">
        <v>-1</v>
      </c>
      <c r="Y83" s="13">
        <v>72.707470000000001</v>
      </c>
      <c r="Z83" s="2">
        <v>73.735640000000004</v>
      </c>
      <c r="AA83" s="2">
        <f t="shared" si="45"/>
        <v>1.0281700000000029</v>
      </c>
      <c r="AB83" s="2">
        <f t="shared" si="46"/>
        <v>5.7851799999999969</v>
      </c>
      <c r="AC83" s="2">
        <f t="shared" si="47"/>
        <v>0.15090520815751474</v>
      </c>
      <c r="AD83" s="2">
        <f t="shared" si="48"/>
        <v>0.84909479184248526</v>
      </c>
      <c r="AE83" s="2">
        <f t="shared" si="49"/>
        <v>0.97260180709415478</v>
      </c>
      <c r="AF83" s="2">
        <f t="shared" si="50"/>
        <v>0.14677067815391842</v>
      </c>
      <c r="AG83" s="2">
        <f t="shared" si="51"/>
        <v>6.8133499999999998</v>
      </c>
      <c r="AH83" s="2">
        <v>10</v>
      </c>
      <c r="AI83">
        <f t="shared" si="52"/>
        <v>9.7260180709415476</v>
      </c>
      <c r="AL83" s="2"/>
    </row>
    <row r="84" spans="5:38" x14ac:dyDescent="0.35">
      <c r="E84" s="104"/>
      <c r="F84" s="13"/>
      <c r="G84" s="49" t="s">
        <v>94</v>
      </c>
      <c r="H84" s="2">
        <f>_xlfn.STDEV.S(H49:H50,H52,H54,H56:H57,H59)</f>
        <v>0.19210858671719108</v>
      </c>
      <c r="I84" s="2">
        <f t="shared" ref="I84:P84" si="57">_xlfn.STDEV.S(I49:I50,I52,I54,I56:I57,I59)</f>
        <v>2.1128964161525938</v>
      </c>
      <c r="J84" s="2">
        <f t="shared" si="57"/>
        <v>4.1841907287665139E-2</v>
      </c>
      <c r="K84" s="2">
        <f t="shared" si="57"/>
        <v>4.1841907287665285E-2</v>
      </c>
      <c r="L84" s="2">
        <f t="shared" si="57"/>
        <v>3.9317562699327055E-2</v>
      </c>
      <c r="M84" s="2">
        <f t="shared" si="57"/>
        <v>2.1653671983515383E-2</v>
      </c>
      <c r="N84" s="2">
        <f t="shared" si="57"/>
        <v>2.2239636452053833</v>
      </c>
      <c r="O84" s="2">
        <f t="shared" si="57"/>
        <v>2.2253945610567456</v>
      </c>
      <c r="P84" s="2">
        <f t="shared" si="57"/>
        <v>0.65601799759060575</v>
      </c>
      <c r="V84" s="287" t="s">
        <v>541</v>
      </c>
      <c r="W84" s="155">
        <v>-1</v>
      </c>
      <c r="Y84" s="13">
        <v>79.520820000000001</v>
      </c>
      <c r="Z84" s="2">
        <v>81.59281</v>
      </c>
      <c r="AA84" s="2">
        <f t="shared" si="45"/>
        <v>2.0719899999999996</v>
      </c>
      <c r="AB84" s="2">
        <f t="shared" si="46"/>
        <v>3.7848000000000042</v>
      </c>
      <c r="AC84" s="2">
        <f t="shared" si="47"/>
        <v>0.35377570307284334</v>
      </c>
      <c r="AD84" s="2">
        <f t="shared" si="48"/>
        <v>0.64622429692715666</v>
      </c>
      <c r="AE84" s="2">
        <f t="shared" si="49"/>
        <v>0.48262781191028925</v>
      </c>
      <c r="AF84" s="2">
        <f t="shared" si="50"/>
        <v>0.17074199348107058</v>
      </c>
      <c r="AG84" s="2">
        <f t="shared" si="51"/>
        <v>5.8567900000000037</v>
      </c>
      <c r="AH84" s="2">
        <v>15</v>
      </c>
      <c r="AI84">
        <f t="shared" si="52"/>
        <v>7.2394171786543389</v>
      </c>
      <c r="AL84" s="2"/>
    </row>
    <row r="85" spans="5:38" x14ac:dyDescent="0.35">
      <c r="E85" s="104"/>
      <c r="F85" s="13"/>
      <c r="G85" s="49" t="s">
        <v>95</v>
      </c>
      <c r="H85" s="2">
        <f>H84/(SQRT(COUNT(H49:H50,H52,H54,H56:H57,H59)))</f>
        <v>7.2610220739110554E-2</v>
      </c>
      <c r="I85" s="2">
        <f t="shared" ref="I85:P85" si="58">I84/(SQRT(COUNT(I49:I50,I52,I54,I56:I57,I59)))</f>
        <v>0.79859978045419999</v>
      </c>
      <c r="J85" s="2">
        <f t="shared" si="58"/>
        <v>1.5814754437683296E-2</v>
      </c>
      <c r="K85" s="2">
        <f t="shared" si="58"/>
        <v>1.5814754437683352E-2</v>
      </c>
      <c r="L85" s="2">
        <f t="shared" si="58"/>
        <v>1.48606418656584E-2</v>
      </c>
      <c r="M85" s="2">
        <f t="shared" si="58"/>
        <v>8.18431871996406E-3</v>
      </c>
      <c r="N85" s="2">
        <f t="shared" si="58"/>
        <v>0.8405792471517326</v>
      </c>
      <c r="O85" s="2">
        <f t="shared" si="58"/>
        <v>0.84112008250741332</v>
      </c>
      <c r="P85" s="2">
        <f t="shared" si="58"/>
        <v>0.24795149674390179</v>
      </c>
      <c r="W85" s="155">
        <v>-1</v>
      </c>
      <c r="Y85" s="13">
        <v>85.377610000000004</v>
      </c>
      <c r="Z85" s="2">
        <v>86.628799999999998</v>
      </c>
      <c r="AA85" s="2">
        <f t="shared" si="45"/>
        <v>1.251189999999994</v>
      </c>
      <c r="AB85" s="2">
        <f t="shared" si="46"/>
        <v>6.6843400000000059</v>
      </c>
      <c r="AC85" s="2">
        <f t="shared" si="47"/>
        <v>0.15766936801952661</v>
      </c>
      <c r="AD85" s="2">
        <f t="shared" si="48"/>
        <v>0.84233063198047342</v>
      </c>
      <c r="AE85" s="2">
        <f t="shared" si="49"/>
        <v>0.79923912435361921</v>
      </c>
      <c r="AF85" s="2">
        <f t="shared" si="50"/>
        <v>0.12601552763331497</v>
      </c>
      <c r="AG85" s="2">
        <f t="shared" si="51"/>
        <v>7.93553</v>
      </c>
      <c r="AH85" s="2">
        <v>16</v>
      </c>
      <c r="AI85">
        <f t="shared" si="52"/>
        <v>12.787825989657907</v>
      </c>
      <c r="AL85" s="2"/>
    </row>
    <row r="86" spans="5:38" x14ac:dyDescent="0.35">
      <c r="E86" s="104"/>
      <c r="F86" s="13"/>
      <c r="G86" s="49"/>
      <c r="H86" s="2"/>
      <c r="I86" s="2"/>
      <c r="J86" s="2"/>
      <c r="K86" s="2"/>
      <c r="L86" s="2"/>
      <c r="M86" s="2"/>
      <c r="N86" s="2"/>
      <c r="O86" s="2"/>
      <c r="P86" s="2"/>
      <c r="W86" s="155">
        <v>-1</v>
      </c>
      <c r="Y86" s="13">
        <v>93.313140000000004</v>
      </c>
      <c r="Z86" s="2">
        <v>94.509929999999997</v>
      </c>
      <c r="AA86" s="2">
        <f t="shared" si="45"/>
        <v>1.1967899999999929</v>
      </c>
      <c r="AB86" s="2">
        <f t="shared" si="46"/>
        <v>5.6093299999999999</v>
      </c>
      <c r="AC86" s="2">
        <f t="shared" si="47"/>
        <v>0.17584027316591452</v>
      </c>
      <c r="AD86" s="2">
        <f t="shared" si="48"/>
        <v>0.82415972683408545</v>
      </c>
      <c r="AE86" s="2">
        <f t="shared" si="49"/>
        <v>0.83556847901470255</v>
      </c>
      <c r="AF86" s="2">
        <f t="shared" si="50"/>
        <v>0.14692658959877303</v>
      </c>
      <c r="AG86" s="2">
        <f t="shared" si="51"/>
        <v>6.8061199999999928</v>
      </c>
      <c r="AH86" s="2">
        <v>10</v>
      </c>
      <c r="AI86">
        <f t="shared" si="52"/>
        <v>8.3556847901470253</v>
      </c>
      <c r="AL86" s="2"/>
    </row>
    <row r="87" spans="5:38" x14ac:dyDescent="0.35">
      <c r="E87" s="104"/>
      <c r="V87" s="287" t="s">
        <v>541</v>
      </c>
      <c r="W87" s="155">
        <v>-1</v>
      </c>
      <c r="Y87" s="13">
        <v>100.11926</v>
      </c>
      <c r="Z87" s="2">
        <v>101.17981</v>
      </c>
      <c r="AA87" s="2">
        <f t="shared" si="45"/>
        <v>1.0605500000000063</v>
      </c>
      <c r="AB87" s="2">
        <f t="shared" si="46"/>
        <v>4.8402399999999943</v>
      </c>
      <c r="AC87" s="2">
        <f t="shared" si="47"/>
        <v>0.17973017172277037</v>
      </c>
      <c r="AD87" s="2">
        <f t="shared" si="48"/>
        <v>0.82026982827722961</v>
      </c>
      <c r="AE87" s="2">
        <f t="shared" si="49"/>
        <v>0.94290698222619773</v>
      </c>
      <c r="AF87" s="2">
        <f t="shared" si="50"/>
        <v>0.16946883383411371</v>
      </c>
      <c r="AG87" s="2">
        <f t="shared" si="51"/>
        <v>5.9007900000000006</v>
      </c>
      <c r="AH87" s="2">
        <v>13</v>
      </c>
      <c r="AI87">
        <f t="shared" si="52"/>
        <v>12.257790768940572</v>
      </c>
      <c r="AL87" s="2"/>
    </row>
    <row r="88" spans="5:38" ht="16" thickBot="1" x14ac:dyDescent="0.4">
      <c r="E88" s="104"/>
      <c r="G88" s="13"/>
      <c r="H88" s="9" t="s">
        <v>3</v>
      </c>
      <c r="I88" s="9" t="s">
        <v>4</v>
      </c>
      <c r="J88" s="9" t="s">
        <v>5</v>
      </c>
      <c r="K88" s="9" t="s">
        <v>6</v>
      </c>
      <c r="L88" s="9" t="s">
        <v>7</v>
      </c>
      <c r="M88" s="9" t="s">
        <v>8</v>
      </c>
      <c r="N88" s="9" t="s">
        <v>9</v>
      </c>
      <c r="O88" s="9" t="s">
        <v>10</v>
      </c>
      <c r="P88" s="44" t="s">
        <v>139</v>
      </c>
      <c r="V88" s="287" t="s">
        <v>541</v>
      </c>
      <c r="W88" s="155">
        <v>-1</v>
      </c>
      <c r="Y88" s="13">
        <v>106.02005</v>
      </c>
      <c r="Z88" s="2">
        <v>108.07794</v>
      </c>
      <c r="AA88" s="2">
        <f t="shared" si="45"/>
        <v>2.0578900000000004</v>
      </c>
      <c r="AB88" s="2">
        <f t="shared" si="46"/>
        <v>4.9073300000000017</v>
      </c>
      <c r="AC88" s="2">
        <f t="shared" si="47"/>
        <v>0.29545226137867858</v>
      </c>
      <c r="AD88" s="2">
        <f t="shared" si="48"/>
        <v>0.70454773862132136</v>
      </c>
      <c r="AE88" s="2">
        <f t="shared" si="49"/>
        <v>0.48593462235590812</v>
      </c>
      <c r="AF88" s="2">
        <f t="shared" si="50"/>
        <v>0.14357048305724726</v>
      </c>
      <c r="AG88" s="2">
        <f t="shared" si="51"/>
        <v>6.9652200000000022</v>
      </c>
      <c r="AH88" s="2">
        <v>15</v>
      </c>
      <c r="AI88">
        <f t="shared" si="52"/>
        <v>7.2890193353386223</v>
      </c>
      <c r="AL88" s="2"/>
    </row>
    <row r="89" spans="5:38" x14ac:dyDescent="0.35">
      <c r="E89" s="104" t="s">
        <v>410</v>
      </c>
      <c r="G89" s="49" t="s">
        <v>77</v>
      </c>
      <c r="H89" s="13">
        <f t="shared" ref="H89:P89" si="59">AVERAGE(H60:H69)</f>
        <v>2.4381189999999946</v>
      </c>
      <c r="I89" s="13">
        <f t="shared" si="59"/>
        <v>8.1564920000000036</v>
      </c>
      <c r="J89" s="13">
        <f t="shared" si="59"/>
        <v>0.23148234757055147</v>
      </c>
      <c r="K89" s="13">
        <f t="shared" si="59"/>
        <v>0.76851765242944869</v>
      </c>
      <c r="L89" s="13">
        <f t="shared" si="59"/>
        <v>0.45461256165494923</v>
      </c>
      <c r="M89" s="13">
        <f t="shared" si="59"/>
        <v>9.8866817867515597E-2</v>
      </c>
      <c r="N89" s="13">
        <f t="shared" si="59"/>
        <v>10.594610999999999</v>
      </c>
      <c r="O89" s="13">
        <f t="shared" si="59"/>
        <v>10.6</v>
      </c>
      <c r="P89" s="13">
        <f t="shared" si="59"/>
        <v>4.5308247606070422</v>
      </c>
      <c r="W89" s="155">
        <v>-1</v>
      </c>
      <c r="Y89" s="13">
        <v>112.98527</v>
      </c>
      <c r="Z89" s="13">
        <v>114.18246000000001</v>
      </c>
      <c r="AA89" s="2">
        <f t="shared" si="45"/>
        <v>1.1971900000000062</v>
      </c>
      <c r="AB89" s="2">
        <f t="shared" si="46"/>
        <v>6.6001899999999978</v>
      </c>
      <c r="AC89" s="2">
        <f t="shared" si="47"/>
        <v>0.15353747027847886</v>
      </c>
      <c r="AD89" s="2">
        <f t="shared" si="48"/>
        <v>0.84646252972152114</v>
      </c>
      <c r="AE89" s="2">
        <f t="shared" si="49"/>
        <v>0.83528930244989918</v>
      </c>
      <c r="AF89" s="2">
        <f t="shared" si="50"/>
        <v>0.12824820644883275</v>
      </c>
      <c r="AG89" s="2">
        <f t="shared" si="51"/>
        <v>7.797380000000004</v>
      </c>
      <c r="AH89" s="2">
        <v>13</v>
      </c>
      <c r="AI89">
        <f t="shared" si="52"/>
        <v>10.858760931848689</v>
      </c>
      <c r="AL89" s="2"/>
    </row>
    <row r="90" spans="5:38" x14ac:dyDescent="0.35">
      <c r="G90" s="49" t="s">
        <v>94</v>
      </c>
      <c r="H90" s="2">
        <f t="shared" ref="H90:P90" si="60">_xlfn.STDEV.S(H60:H69)</f>
        <v>0.72759522062522142</v>
      </c>
      <c r="I90" s="2">
        <f t="shared" si="60"/>
        <v>2.1061507363634875</v>
      </c>
      <c r="J90" s="2">
        <f t="shared" si="60"/>
        <v>5.3996893621117988E-2</v>
      </c>
      <c r="K90" s="2">
        <f t="shared" si="60"/>
        <v>5.3996893621118064E-2</v>
      </c>
      <c r="L90" s="2">
        <f t="shared" si="60"/>
        <v>0.17899489339437838</v>
      </c>
      <c r="M90" s="2">
        <f t="shared" si="60"/>
        <v>2.1078807658405339E-2</v>
      </c>
      <c r="N90" s="2">
        <f t="shared" si="60"/>
        <v>2.5673741344479257</v>
      </c>
      <c r="O90" s="2">
        <f t="shared" si="60"/>
        <v>2.0655911179772914</v>
      </c>
      <c r="P90" s="2">
        <f t="shared" si="60"/>
        <v>0.78290876134122256</v>
      </c>
      <c r="V90" s="287" t="s">
        <v>541</v>
      </c>
      <c r="W90" s="155">
        <v>0</v>
      </c>
      <c r="Y90" s="13">
        <v>120.78265</v>
      </c>
      <c r="Z90" s="13">
        <v>122.76588</v>
      </c>
      <c r="AA90" s="2">
        <f t="shared" si="45"/>
        <v>1.9832299999999918</v>
      </c>
      <c r="AB90" s="2">
        <f t="shared" si="46"/>
        <v>5.863260000000011</v>
      </c>
      <c r="AC90" s="2">
        <f t="shared" si="47"/>
        <v>0.25275377907828739</v>
      </c>
      <c r="AD90" s="2">
        <f t="shared" si="48"/>
        <v>0.74724622092171267</v>
      </c>
      <c r="AE90" s="2">
        <f t="shared" si="49"/>
        <v>0.5042279513722584</v>
      </c>
      <c r="AF90" s="2">
        <f t="shared" si="50"/>
        <v>0.12744552022624125</v>
      </c>
      <c r="AG90" s="2">
        <f t="shared" si="51"/>
        <v>7.8464900000000029</v>
      </c>
      <c r="AH90" s="2">
        <v>11</v>
      </c>
      <c r="AI90">
        <f t="shared" si="52"/>
        <v>5.5465074650948427</v>
      </c>
      <c r="AK90" t="s">
        <v>467</v>
      </c>
      <c r="AL90" s="2"/>
    </row>
    <row r="91" spans="5:38" x14ac:dyDescent="0.35">
      <c r="G91" s="49" t="s">
        <v>95</v>
      </c>
      <c r="H91" s="2">
        <f t="shared" ref="H91:P91" si="61">H90/(SQRT(COUNT(H60:H69)))</f>
        <v>0.23008581118284208</v>
      </c>
      <c r="I91" s="2">
        <f t="shared" si="61"/>
        <v>0.66602334225494375</v>
      </c>
      <c r="J91" s="2">
        <f t="shared" si="61"/>
        <v>1.7075317041654988E-2</v>
      </c>
      <c r="K91" s="2">
        <f t="shared" si="61"/>
        <v>1.7075317041655012E-2</v>
      </c>
      <c r="L91" s="2">
        <f t="shared" si="61"/>
        <v>5.6603155266526331E-2</v>
      </c>
      <c r="M91" s="2">
        <f t="shared" si="61"/>
        <v>6.6657042561161341E-3</v>
      </c>
      <c r="N91" s="2">
        <f t="shared" si="61"/>
        <v>0.81187498706588046</v>
      </c>
      <c r="O91" s="2">
        <f t="shared" si="61"/>
        <v>0.65319726474218154</v>
      </c>
      <c r="P91" s="2">
        <f t="shared" si="61"/>
        <v>0.24757748859394452</v>
      </c>
      <c r="V91" s="287" t="s">
        <v>541</v>
      </c>
      <c r="W91" s="155">
        <v>0</v>
      </c>
      <c r="Y91" s="13">
        <v>128.62914000000001</v>
      </c>
      <c r="Z91" s="13">
        <v>129.79355000000001</v>
      </c>
      <c r="AA91" s="2">
        <f t="shared" si="45"/>
        <v>1.1644100000000037</v>
      </c>
      <c r="AB91" s="2">
        <f t="shared" si="46"/>
        <v>3.8361899999999878</v>
      </c>
      <c r="AC91" s="2">
        <f t="shared" si="47"/>
        <v>0.23285405751309957</v>
      </c>
      <c r="AD91" s="2">
        <f t="shared" si="48"/>
        <v>0.76714594248690038</v>
      </c>
      <c r="AE91" s="2">
        <f t="shared" si="49"/>
        <v>0.85880402950850376</v>
      </c>
      <c r="AF91" s="2">
        <f t="shared" si="50"/>
        <v>0.19997600287965478</v>
      </c>
      <c r="AG91" s="2">
        <f t="shared" si="51"/>
        <v>5.0005999999999915</v>
      </c>
      <c r="AH91" s="2">
        <v>12</v>
      </c>
      <c r="AI91">
        <f t="shared" si="52"/>
        <v>10.305648354102045</v>
      </c>
      <c r="AL91" s="2"/>
    </row>
    <row r="92" spans="5:38" x14ac:dyDescent="0.35">
      <c r="G92" s="49"/>
      <c r="H92" s="2"/>
      <c r="I92" s="2"/>
      <c r="J92" s="2"/>
      <c r="K92" s="2"/>
      <c r="L92" s="2"/>
      <c r="M92" s="2"/>
      <c r="N92" s="2"/>
      <c r="O92" s="2"/>
      <c r="P92" s="2"/>
      <c r="W92" s="155">
        <v>0</v>
      </c>
      <c r="Y92" s="13">
        <v>133.62974</v>
      </c>
      <c r="Z92" s="13">
        <v>135.62307000000001</v>
      </c>
      <c r="AA92" s="2">
        <f t="shared" si="45"/>
        <v>1.9933300000000145</v>
      </c>
      <c r="AB92" s="2">
        <f t="shared" si="46"/>
        <v>7.894709999999975</v>
      </c>
      <c r="AC92" s="2">
        <f t="shared" si="47"/>
        <v>0.20159000165857102</v>
      </c>
      <c r="AD92" s="2">
        <f t="shared" si="48"/>
        <v>0.79840999834142901</v>
      </c>
      <c r="AE92" s="2">
        <f t="shared" si="49"/>
        <v>0.5016730797208655</v>
      </c>
      <c r="AF92" s="2">
        <f t="shared" si="50"/>
        <v>0.1011322769729897</v>
      </c>
      <c r="AG92" s="2">
        <f t="shared" si="51"/>
        <v>9.8880399999999895</v>
      </c>
      <c r="AH92" s="2">
        <v>20</v>
      </c>
      <c r="AI92">
        <f t="shared" si="52"/>
        <v>10.033461594417309</v>
      </c>
      <c r="AL92" s="2"/>
    </row>
    <row r="93" spans="5:38" x14ac:dyDescent="0.35">
      <c r="G93" s="49"/>
      <c r="H93" s="2"/>
      <c r="I93" s="2"/>
      <c r="J93" s="2"/>
      <c r="K93" s="2"/>
      <c r="L93" s="2"/>
      <c r="M93" s="2"/>
      <c r="N93" s="2"/>
      <c r="O93" s="2"/>
      <c r="P93" s="2"/>
      <c r="W93" s="155">
        <v>0</v>
      </c>
      <c r="Y93" s="13">
        <v>143.51777999999999</v>
      </c>
      <c r="Z93">
        <v>144.73454000000001</v>
      </c>
      <c r="AA93" s="2">
        <f t="shared" si="45"/>
        <v>1.216760000000022</v>
      </c>
      <c r="AB93" s="2">
        <f t="shared" si="46"/>
        <v>5.7185999999999808</v>
      </c>
      <c r="AC93" s="2">
        <f t="shared" si="47"/>
        <v>0.17544294744613423</v>
      </c>
      <c r="AD93" s="2">
        <f t="shared" si="48"/>
        <v>0.8245570525538658</v>
      </c>
      <c r="AE93" s="2">
        <f t="shared" si="49"/>
        <v>0.8218547618264751</v>
      </c>
      <c r="AF93" s="2">
        <f t="shared" si="50"/>
        <v>0.14418862178747743</v>
      </c>
      <c r="AG93" s="2">
        <f t="shared" si="51"/>
        <v>6.9353600000000029</v>
      </c>
      <c r="AH93" s="2">
        <v>12</v>
      </c>
      <c r="AI93">
        <f t="shared" si="52"/>
        <v>9.8622571419177021</v>
      </c>
      <c r="AL93" s="2"/>
    </row>
    <row r="94" spans="5:38" ht="16" thickBot="1" x14ac:dyDescent="0.4">
      <c r="E94" s="104" t="s">
        <v>81</v>
      </c>
      <c r="F94" s="13"/>
      <c r="G94" s="13"/>
      <c r="H94" s="9" t="s">
        <v>3</v>
      </c>
      <c r="I94" s="9" t="s">
        <v>4</v>
      </c>
      <c r="J94" s="9" t="s">
        <v>5</v>
      </c>
      <c r="K94" s="9" t="s">
        <v>6</v>
      </c>
      <c r="L94" s="9" t="s">
        <v>7</v>
      </c>
      <c r="M94" s="9" t="s">
        <v>8</v>
      </c>
      <c r="N94" s="9" t="s">
        <v>9</v>
      </c>
      <c r="O94" s="9" t="s">
        <v>10</v>
      </c>
      <c r="P94" s="44" t="s">
        <v>139</v>
      </c>
      <c r="V94" s="287" t="s">
        <v>541</v>
      </c>
      <c r="W94" s="155">
        <v>0</v>
      </c>
      <c r="Y94">
        <v>150.45313999999999</v>
      </c>
      <c r="Z94">
        <v>151.42814999999999</v>
      </c>
      <c r="AA94" s="2">
        <f t="shared" si="45"/>
        <v>0.97500999999999749</v>
      </c>
      <c r="AB94" s="2">
        <f t="shared" si="46"/>
        <v>5.9541900000000112</v>
      </c>
      <c r="AC94" s="2">
        <f t="shared" si="47"/>
        <v>0.1407103273105115</v>
      </c>
      <c r="AD94" s="2">
        <f t="shared" si="48"/>
        <v>0.85928967268948853</v>
      </c>
      <c r="AE94" s="2">
        <f t="shared" si="49"/>
        <v>1.0256305063537836</v>
      </c>
      <c r="AF94" s="2">
        <f t="shared" si="50"/>
        <v>0.14431680424868654</v>
      </c>
      <c r="AG94" s="2">
        <f t="shared" si="51"/>
        <v>6.9292000000000087</v>
      </c>
      <c r="AH94" s="2">
        <v>8</v>
      </c>
      <c r="AI94">
        <f t="shared" si="52"/>
        <v>8.2050440508302689</v>
      </c>
      <c r="AL94" s="2"/>
    </row>
    <row r="95" spans="5:38" x14ac:dyDescent="0.35">
      <c r="F95" s="13"/>
      <c r="G95" s="49" t="s">
        <v>77</v>
      </c>
      <c r="H95" s="13">
        <f>AVERAGE(H61,H64,H66,H68)</f>
        <v>2.3335499999999882</v>
      </c>
      <c r="I95" s="13">
        <f t="shared" ref="I95:P95" si="62">AVERAGE(I61,I64,I66,I68)</f>
        <v>8.1316250000000068</v>
      </c>
      <c r="J95" s="13">
        <f t="shared" si="62"/>
        <v>0.22314980674270316</v>
      </c>
      <c r="K95" s="13">
        <f t="shared" si="62"/>
        <v>0.77685019325729676</v>
      </c>
      <c r="L95" s="13">
        <f t="shared" si="62"/>
        <v>0.43808501083780882</v>
      </c>
      <c r="M95" s="13">
        <f t="shared" si="62"/>
        <v>9.7764510936517321E-2</v>
      </c>
      <c r="N95" s="13">
        <f t="shared" si="62"/>
        <v>10.465174999999995</v>
      </c>
      <c r="O95" s="13">
        <f t="shared" si="62"/>
        <v>10.25</v>
      </c>
      <c r="P95" s="13">
        <f t="shared" si="62"/>
        <v>4.4581886466930847</v>
      </c>
      <c r="V95" s="287" t="s">
        <v>541</v>
      </c>
      <c r="W95" s="155">
        <v>0</v>
      </c>
      <c r="Y95">
        <v>157.38234</v>
      </c>
      <c r="Z95">
        <v>159.44954999999999</v>
      </c>
      <c r="AA95" s="2">
        <f t="shared" si="45"/>
        <v>2.0672099999999887</v>
      </c>
      <c r="AB95" s="2">
        <f t="shared" si="46"/>
        <v>3.92804000000001</v>
      </c>
      <c r="AC95" s="2">
        <f t="shared" si="47"/>
        <v>0.34480797297860627</v>
      </c>
      <c r="AD95" s="2">
        <f t="shared" si="48"/>
        <v>0.65519202702139379</v>
      </c>
      <c r="AE95" s="2">
        <f t="shared" si="49"/>
        <v>0.48374378993909933</v>
      </c>
      <c r="AF95" s="2">
        <f t="shared" si="50"/>
        <v>0.16679871564988955</v>
      </c>
      <c r="AG95" s="2">
        <f t="shared" si="51"/>
        <v>5.9952499999999986</v>
      </c>
      <c r="AH95" s="2">
        <v>17</v>
      </c>
      <c r="AI95">
        <f t="shared" si="52"/>
        <v>8.2236444289646879</v>
      </c>
      <c r="AL95" s="2"/>
    </row>
    <row r="96" spans="5:38" x14ac:dyDescent="0.35">
      <c r="E96" s="104"/>
      <c r="F96" s="13"/>
      <c r="G96" s="49" t="s">
        <v>94</v>
      </c>
      <c r="H96" s="2">
        <f>_xlfn.STDEV.S(H61,H64,H66,H68)</f>
        <v>0.43142042703916778</v>
      </c>
      <c r="I96" s="2">
        <f t="shared" ref="I96:P96" si="63">_xlfn.STDEV.S(I61,I64,I66,I68)</f>
        <v>1.553615467256938</v>
      </c>
      <c r="J96" s="2">
        <f t="shared" si="63"/>
        <v>6.0952540953259152E-3</v>
      </c>
      <c r="K96" s="2">
        <f t="shared" si="63"/>
        <v>6.0952540953259238E-3</v>
      </c>
      <c r="L96" s="2">
        <f t="shared" si="63"/>
        <v>6.8968516068087765E-2</v>
      </c>
      <c r="M96" s="2">
        <f t="shared" si="63"/>
        <v>1.5570970784807688E-2</v>
      </c>
      <c r="N96" s="2">
        <f t="shared" si="63"/>
        <v>1.9802289280198444</v>
      </c>
      <c r="O96" s="2">
        <f t="shared" si="63"/>
        <v>0.9574271077563381</v>
      </c>
      <c r="P96" s="2">
        <f t="shared" si="63"/>
        <v>0.57875507073467436</v>
      </c>
      <c r="W96" s="155">
        <v>0</v>
      </c>
      <c r="Y96">
        <v>163.37759</v>
      </c>
      <c r="Z96">
        <v>165.45098999999999</v>
      </c>
      <c r="AA96" s="2">
        <f t="shared" si="45"/>
        <v>2.0733999999999924</v>
      </c>
      <c r="AB96" s="2">
        <f t="shared" si="46"/>
        <v>12.885900000000021</v>
      </c>
      <c r="AC96" s="2">
        <f t="shared" si="47"/>
        <v>0.13860274210691614</v>
      </c>
      <c r="AD96" s="2">
        <f t="shared" si="48"/>
        <v>0.86139725789308386</v>
      </c>
      <c r="AE96" s="2">
        <f t="shared" si="49"/>
        <v>0.48229960451432607</v>
      </c>
      <c r="AF96" s="2">
        <f t="shared" si="50"/>
        <v>6.6848047702766783E-2</v>
      </c>
      <c r="AG96" s="2">
        <f t="shared" si="51"/>
        <v>14.959300000000013</v>
      </c>
      <c r="AH96" s="2">
        <v>19</v>
      </c>
      <c r="AI96">
        <f t="shared" si="52"/>
        <v>9.1636924857721951</v>
      </c>
      <c r="AL96" s="2"/>
    </row>
    <row r="97" spans="3:38" x14ac:dyDescent="0.35">
      <c r="E97" s="104"/>
      <c r="F97" s="13"/>
      <c r="G97" s="49" t="s">
        <v>95</v>
      </c>
      <c r="H97" s="2">
        <f>H96/(SQRT(COUNT(H61,H64,H66,H68)))</f>
        <v>0.21571021351958389</v>
      </c>
      <c r="I97" s="2">
        <f t="shared" ref="I97:P97" si="64">I96/(SQRT(COUNT(I61,I64,I66,I68)))</f>
        <v>0.776807733628469</v>
      </c>
      <c r="J97" s="2">
        <f t="shared" si="64"/>
        <v>3.0476270476629576E-3</v>
      </c>
      <c r="K97" s="2">
        <f t="shared" si="64"/>
        <v>3.0476270476629619E-3</v>
      </c>
      <c r="L97" s="2">
        <f t="shared" si="64"/>
        <v>3.4484258034043883E-2</v>
      </c>
      <c r="M97" s="2">
        <f t="shared" si="64"/>
        <v>7.7854853924038438E-3</v>
      </c>
      <c r="N97" s="2">
        <f t="shared" si="64"/>
        <v>0.9901144640099222</v>
      </c>
      <c r="O97" s="2">
        <f t="shared" si="64"/>
        <v>0.47871355387816905</v>
      </c>
      <c r="P97" s="2">
        <f t="shared" si="64"/>
        <v>0.28937753536733718</v>
      </c>
      <c r="V97" s="287" t="s">
        <v>541</v>
      </c>
      <c r="W97" s="155">
        <v>0</v>
      </c>
      <c r="Y97">
        <v>178.33689000000001</v>
      </c>
      <c r="Z97">
        <v>179.58243999999999</v>
      </c>
      <c r="AA97" s="2">
        <f t="shared" si="45"/>
        <v>1.2455499999999802</v>
      </c>
      <c r="AB97" s="2">
        <f t="shared" si="46"/>
        <v>6.651600000000002</v>
      </c>
      <c r="AC97" s="2">
        <f t="shared" si="47"/>
        <v>0.15772145647480204</v>
      </c>
      <c r="AD97" s="2">
        <f t="shared" si="48"/>
        <v>0.84227854352519793</v>
      </c>
      <c r="AE97" s="2">
        <f t="shared" si="49"/>
        <v>0.80285817510338076</v>
      </c>
      <c r="AF97" s="2">
        <f t="shared" si="50"/>
        <v>0.12662796072000687</v>
      </c>
      <c r="AG97" s="2">
        <f t="shared" si="51"/>
        <v>7.8971499999999821</v>
      </c>
      <c r="AH97" s="2">
        <v>15</v>
      </c>
      <c r="AI97">
        <f t="shared" si="52"/>
        <v>12.042872626550711</v>
      </c>
      <c r="AL97" s="2"/>
    </row>
    <row r="98" spans="3:38" x14ac:dyDescent="0.35">
      <c r="E98" s="104"/>
      <c r="F98" s="13"/>
      <c r="G98" s="49"/>
      <c r="H98" s="2"/>
      <c r="I98" s="2"/>
      <c r="J98" s="2"/>
      <c r="K98" s="2"/>
      <c r="L98" s="2"/>
      <c r="M98" s="2"/>
      <c r="N98" s="2"/>
      <c r="O98" s="2"/>
      <c r="P98" s="2"/>
      <c r="V98" s="287" t="s">
        <v>541</v>
      </c>
      <c r="W98" s="155">
        <v>0</v>
      </c>
      <c r="Y98">
        <v>186.23403999999999</v>
      </c>
      <c r="Z98">
        <v>188.32433</v>
      </c>
      <c r="AA98" s="2">
        <f t="shared" si="45"/>
        <v>2.0902900000000102</v>
      </c>
      <c r="AB98" s="2">
        <f t="shared" si="46"/>
        <v>3.9332399999999836</v>
      </c>
      <c r="AC98" s="2">
        <f t="shared" si="47"/>
        <v>0.34702076689250527</v>
      </c>
      <c r="AD98" s="2">
        <f t="shared" si="48"/>
        <v>0.65297923310749473</v>
      </c>
      <c r="AE98" s="2">
        <f t="shared" si="49"/>
        <v>0.47840251831085406</v>
      </c>
      <c r="AF98" s="2">
        <f t="shared" si="50"/>
        <v>0.16601560878753838</v>
      </c>
      <c r="AG98" s="2">
        <f t="shared" si="51"/>
        <v>6.0235299999999938</v>
      </c>
      <c r="AH98" s="2">
        <v>17</v>
      </c>
      <c r="AI98">
        <f t="shared" si="52"/>
        <v>8.1328428112845188</v>
      </c>
      <c r="AL98" s="2"/>
    </row>
    <row r="99" spans="3:38" x14ac:dyDescent="0.35">
      <c r="E99" s="104"/>
      <c r="F99" s="13"/>
      <c r="G99" s="49"/>
      <c r="H99" s="2"/>
      <c r="I99" s="2"/>
      <c r="J99" s="2"/>
      <c r="K99" s="2"/>
      <c r="L99" s="2"/>
      <c r="M99" s="2"/>
      <c r="N99" s="2"/>
      <c r="O99" s="2"/>
      <c r="P99" s="2"/>
      <c r="W99" s="155">
        <v>0</v>
      </c>
      <c r="X99" s="2"/>
      <c r="Y99" s="13">
        <v>192.25756999999999</v>
      </c>
      <c r="Z99" s="2">
        <v>193.33476999999999</v>
      </c>
      <c r="AA99" s="2">
        <f t="shared" si="45"/>
        <v>1.0772000000000048</v>
      </c>
      <c r="AB99" s="2">
        <f t="shared" si="46"/>
        <v>7.7907700000000091</v>
      </c>
      <c r="AC99" s="2">
        <f t="shared" si="47"/>
        <v>0.12147086650045084</v>
      </c>
      <c r="AD99" s="2">
        <f t="shared" si="48"/>
        <v>0.8785291334995492</v>
      </c>
      <c r="AE99" s="2">
        <f t="shared" si="49"/>
        <v>0.92833271444485288</v>
      </c>
      <c r="AF99" s="2">
        <f t="shared" si="50"/>
        <v>0.11276537922433189</v>
      </c>
      <c r="AG99" s="2">
        <f t="shared" si="51"/>
        <v>8.8679700000000139</v>
      </c>
      <c r="AH99" s="2">
        <v>13</v>
      </c>
      <c r="AI99">
        <f t="shared" si="52"/>
        <v>12.068325287783088</v>
      </c>
      <c r="AJ99" s="2"/>
      <c r="AK99" s="2"/>
      <c r="AL99" s="2"/>
    </row>
    <row r="100" spans="3:38" ht="16" thickBot="1" x14ac:dyDescent="0.4">
      <c r="E100" s="104" t="s">
        <v>82</v>
      </c>
      <c r="F100" s="13"/>
      <c r="G100" s="13"/>
      <c r="H100" s="9" t="s">
        <v>3</v>
      </c>
      <c r="I100" s="9" t="s">
        <v>4</v>
      </c>
      <c r="J100" s="9" t="s">
        <v>5</v>
      </c>
      <c r="K100" s="9" t="s">
        <v>6</v>
      </c>
      <c r="L100" s="9" t="s">
        <v>7</v>
      </c>
      <c r="M100" s="9" t="s">
        <v>8</v>
      </c>
      <c r="N100" s="9" t="s">
        <v>9</v>
      </c>
      <c r="O100" s="9" t="s">
        <v>10</v>
      </c>
      <c r="P100" s="44" t="s">
        <v>139</v>
      </c>
      <c r="V100" s="287" t="s">
        <v>541</v>
      </c>
      <c r="W100" s="155">
        <v>0</v>
      </c>
      <c r="X100" s="2"/>
      <c r="Y100" s="13">
        <v>201.12554</v>
      </c>
      <c r="Z100" s="2">
        <v>202.28554</v>
      </c>
      <c r="AA100" s="2">
        <f t="shared" si="45"/>
        <v>1.1599999999999966</v>
      </c>
      <c r="AB100" s="2">
        <f t="shared" si="46"/>
        <v>5.8592299999999966</v>
      </c>
      <c r="AC100" s="2">
        <f t="shared" si="47"/>
        <v>0.16526029208331935</v>
      </c>
      <c r="AD100" s="2">
        <f t="shared" si="48"/>
        <v>0.83473970791668062</v>
      </c>
      <c r="AE100" s="2">
        <f t="shared" si="49"/>
        <v>0.86206896551724388</v>
      </c>
      <c r="AF100" s="2">
        <f t="shared" si="50"/>
        <v>0.1424657690373447</v>
      </c>
      <c r="AG100" s="2">
        <f t="shared" si="51"/>
        <v>7.0192299999999932</v>
      </c>
      <c r="AH100" s="2">
        <v>14</v>
      </c>
      <c r="AI100">
        <f t="shared" si="52"/>
        <v>12.068965517241415</v>
      </c>
      <c r="AJ100" s="2"/>
      <c r="AK100" s="2"/>
      <c r="AL100" s="2"/>
    </row>
    <row r="101" spans="3:38" x14ac:dyDescent="0.35">
      <c r="E101" s="104"/>
      <c r="F101" s="13"/>
      <c r="G101" s="49" t="s">
        <v>77</v>
      </c>
      <c r="H101" s="13">
        <f>AVERAGE(H60,H62:H63,H65,H67,H69)</f>
        <v>2.5078316666666658</v>
      </c>
      <c r="I101" s="13">
        <f t="shared" ref="I101:P101" si="65">AVERAGE(I60,I62:I63,I65,I67,I69)</f>
        <v>8.1730700000000027</v>
      </c>
      <c r="J101" s="13">
        <f t="shared" si="65"/>
        <v>0.23703737478911702</v>
      </c>
      <c r="K101" s="13">
        <f t="shared" si="65"/>
        <v>0.76296262521088298</v>
      </c>
      <c r="L101" s="13">
        <f t="shared" si="65"/>
        <v>0.46563092886637625</v>
      </c>
      <c r="M101" s="13">
        <f t="shared" si="65"/>
        <v>9.9601689154847795E-2</v>
      </c>
      <c r="N101" s="13">
        <f t="shared" si="65"/>
        <v>10.680901666666669</v>
      </c>
      <c r="O101" s="13">
        <f t="shared" si="65"/>
        <v>10.833333333333334</v>
      </c>
      <c r="P101" s="13">
        <f t="shared" si="65"/>
        <v>4.5792488365496817</v>
      </c>
      <c r="V101" s="287" t="s">
        <v>541</v>
      </c>
      <c r="W101" s="155">
        <v>0</v>
      </c>
      <c r="X101" s="2"/>
      <c r="Y101" s="13">
        <v>208.14476999999999</v>
      </c>
      <c r="Z101" s="13">
        <v>210.37980999999999</v>
      </c>
      <c r="AA101" s="2">
        <f t="shared" si="45"/>
        <v>2.2350399999999979</v>
      </c>
      <c r="AB101" s="2">
        <f t="shared" si="46"/>
        <v>3.7096700000000169</v>
      </c>
      <c r="AC101" s="2">
        <f t="shared" si="47"/>
        <v>0.37597124165854889</v>
      </c>
      <c r="AD101" s="2">
        <f t="shared" si="48"/>
        <v>0.62402875834145111</v>
      </c>
      <c r="AE101" s="2">
        <f t="shared" si="49"/>
        <v>0.44741928556088523</v>
      </c>
      <c r="AF101" s="2">
        <f t="shared" si="50"/>
        <v>0.1682167843343069</v>
      </c>
      <c r="AG101" s="2">
        <f t="shared" si="51"/>
        <v>5.9447100000000148</v>
      </c>
      <c r="AH101" s="2">
        <v>21</v>
      </c>
      <c r="AI101">
        <f t="shared" si="52"/>
        <v>9.3958049967785904</v>
      </c>
      <c r="AJ101" s="2"/>
      <c r="AK101" s="2"/>
      <c r="AL101" s="2"/>
    </row>
    <row r="102" spans="3:38" x14ac:dyDescent="0.35">
      <c r="E102" s="104"/>
      <c r="F102" s="13"/>
      <c r="G102" s="49" t="s">
        <v>94</v>
      </c>
      <c r="H102" s="2">
        <f>_xlfn.STDEV.S(H60,H62:H63,H65,H67,H69)</f>
        <v>0.90920675895896674</v>
      </c>
      <c r="I102" s="2">
        <f t="shared" ref="I102:P102" si="66">_xlfn.STDEV.S(I60,I62:I63,I65,I67,I69)</f>
        <v>2.5564644651158424</v>
      </c>
      <c r="J102" s="2">
        <f t="shared" si="66"/>
        <v>7.1647260112481875E-2</v>
      </c>
      <c r="K102" s="2">
        <f t="shared" si="66"/>
        <v>7.1647260112481959E-2</v>
      </c>
      <c r="L102" s="2">
        <f t="shared" si="66"/>
        <v>0.23335017115288084</v>
      </c>
      <c r="M102" s="2">
        <f t="shared" si="66"/>
        <v>2.5547521445424968E-2</v>
      </c>
      <c r="N102" s="2">
        <f t="shared" si="66"/>
        <v>3.0804895230038847</v>
      </c>
      <c r="O102" s="2">
        <f t="shared" si="66"/>
        <v>2.6394443859772219</v>
      </c>
      <c r="P102" s="2">
        <f t="shared" si="66"/>
        <v>0.94619971407698211</v>
      </c>
      <c r="W102" s="155">
        <v>0</v>
      </c>
      <c r="X102" s="2"/>
      <c r="Y102" s="13">
        <v>214.08948000000001</v>
      </c>
      <c r="Z102" s="13">
        <v>216.15661</v>
      </c>
      <c r="AA102" s="2">
        <f t="shared" si="45"/>
        <v>2.0671299999999917</v>
      </c>
      <c r="AB102" s="2">
        <f t="shared" si="46"/>
        <v>5.9462900000000047</v>
      </c>
      <c r="AC102" s="2">
        <f t="shared" si="47"/>
        <v>0.25795852457502449</v>
      </c>
      <c r="AD102" s="2">
        <f t="shared" si="48"/>
        <v>0.74204147542497556</v>
      </c>
      <c r="AE102" s="2">
        <f t="shared" si="49"/>
        <v>0.48376251130795067</v>
      </c>
      <c r="AF102" s="2">
        <f t="shared" si="50"/>
        <v>0.12479066366170755</v>
      </c>
      <c r="AG102" s="2">
        <f t="shared" si="51"/>
        <v>8.0134199999999964</v>
      </c>
      <c r="AH102" s="2">
        <v>21</v>
      </c>
      <c r="AI102">
        <f t="shared" si="52"/>
        <v>10.159012737466963</v>
      </c>
      <c r="AJ102" s="2"/>
      <c r="AK102" s="2"/>
      <c r="AL102" s="2"/>
    </row>
    <row r="103" spans="3:38" x14ac:dyDescent="0.35">
      <c r="E103" s="104"/>
      <c r="F103" s="13"/>
      <c r="G103" s="49" t="s">
        <v>95</v>
      </c>
      <c r="H103" s="2">
        <f>H102/(SQRT(COUNT(H60,H62:H63,H65,H67,H69)))</f>
        <v>0.37118210502318777</v>
      </c>
      <c r="I103" s="2">
        <f t="shared" ref="I103:P103" si="67">I102/(SQRT(COUNT(I60,I62:I63,I65,I67,I69)))</f>
        <v>1.0436722475151567</v>
      </c>
      <c r="J103" s="2">
        <f t="shared" si="67"/>
        <v>2.924987145734045E-2</v>
      </c>
      <c r="K103" s="2">
        <f t="shared" si="67"/>
        <v>2.9249871457340485E-2</v>
      </c>
      <c r="L103" s="2">
        <f t="shared" si="67"/>
        <v>9.5264808452613453E-2</v>
      </c>
      <c r="M103" s="2">
        <f t="shared" si="67"/>
        <v>1.0429731955683622E-2</v>
      </c>
      <c r="N103" s="2">
        <f t="shared" si="67"/>
        <v>1.2576045815581769</v>
      </c>
      <c r="O103" s="2">
        <f t="shared" si="67"/>
        <v>1.0775486583496416</v>
      </c>
      <c r="P103" s="2">
        <f t="shared" si="67"/>
        <v>0.38628441570932398</v>
      </c>
      <c r="W103" s="155">
        <v>0</v>
      </c>
      <c r="X103" s="2"/>
      <c r="Y103" s="13">
        <v>222.10290000000001</v>
      </c>
      <c r="Z103" s="2">
        <v>223.30278000000001</v>
      </c>
      <c r="AA103" s="2">
        <f t="shared" si="45"/>
        <v>1.1998800000000074</v>
      </c>
      <c r="AB103" s="2">
        <f t="shared" si="46"/>
        <v>5.8088599999999815</v>
      </c>
      <c r="AC103" s="2">
        <f t="shared" si="47"/>
        <v>0.17119767604448294</v>
      </c>
      <c r="AD103" s="2">
        <f t="shared" si="48"/>
        <v>0.82880232395551712</v>
      </c>
      <c r="AE103" s="2">
        <f t="shared" si="49"/>
        <v>0.83341667500082828</v>
      </c>
      <c r="AF103" s="2">
        <f t="shared" si="50"/>
        <v>0.14267899793686192</v>
      </c>
      <c r="AG103" s="2">
        <f t="shared" si="51"/>
        <v>7.0087399999999889</v>
      </c>
      <c r="AH103" s="2">
        <v>10</v>
      </c>
      <c r="AI103">
        <f t="shared" si="52"/>
        <v>8.3341667500082828</v>
      </c>
      <c r="AJ103" s="2"/>
      <c r="AK103" s="2"/>
      <c r="AL103" s="2"/>
    </row>
    <row r="104" spans="3:38" x14ac:dyDescent="0.35">
      <c r="G104" s="49"/>
      <c r="H104" s="2"/>
      <c r="I104" s="2"/>
      <c r="J104" s="2"/>
      <c r="K104" s="2"/>
      <c r="L104" s="2"/>
      <c r="M104" s="2"/>
      <c r="N104" s="2"/>
      <c r="O104" s="2"/>
      <c r="P104" s="2"/>
      <c r="V104" s="287" t="s">
        <v>541</v>
      </c>
      <c r="W104" s="155">
        <v>0</v>
      </c>
      <c r="X104" s="2"/>
      <c r="Y104" s="2">
        <v>229.11163999999999</v>
      </c>
      <c r="Z104" s="2">
        <v>230.24932000000001</v>
      </c>
      <c r="AA104" s="2">
        <f t="shared" si="45"/>
        <v>1.1376800000000173</v>
      </c>
      <c r="AB104" s="2">
        <f t="shared" si="46"/>
        <v>4.916499999999985</v>
      </c>
      <c r="AC104" s="2">
        <f t="shared" si="47"/>
        <v>0.18791644780961533</v>
      </c>
      <c r="AD104" s="2">
        <f t="shared" si="48"/>
        <v>0.81208355219038464</v>
      </c>
      <c r="AE104" s="2">
        <f t="shared" si="49"/>
        <v>0.87898178749734968</v>
      </c>
      <c r="AF104" s="2">
        <f t="shared" si="50"/>
        <v>0.16517513519584809</v>
      </c>
      <c r="AG104" s="2">
        <f t="shared" si="51"/>
        <v>6.0541800000000023</v>
      </c>
      <c r="AH104" s="2">
        <v>10</v>
      </c>
      <c r="AI104">
        <f t="shared" si="52"/>
        <v>8.7898178749734974</v>
      </c>
      <c r="AJ104" s="2"/>
      <c r="AK104" s="2"/>
      <c r="AL104" s="2"/>
    </row>
    <row r="105" spans="3:38" x14ac:dyDescent="0.35">
      <c r="G105" s="49"/>
      <c r="H105" s="2"/>
      <c r="I105" s="2"/>
      <c r="J105" s="2"/>
      <c r="K105" s="2"/>
      <c r="L105" s="2"/>
      <c r="M105" s="2"/>
      <c r="N105" s="2"/>
      <c r="O105" s="2"/>
      <c r="P105" s="2"/>
      <c r="W105" s="206"/>
      <c r="X105" s="2"/>
      <c r="Y105" s="2">
        <v>235.16582</v>
      </c>
      <c r="Z105" s="2">
        <v>237.47152</v>
      </c>
      <c r="AA105" s="2">
        <f t="shared" si="45"/>
        <v>2.3057000000000016</v>
      </c>
      <c r="AB105" s="2"/>
      <c r="AC105" s="2"/>
      <c r="AD105" s="2"/>
      <c r="AE105" s="2"/>
      <c r="AF105" s="2"/>
      <c r="AG105" s="2"/>
      <c r="AH105" s="2">
        <v>20</v>
      </c>
      <c r="AJ105" s="2"/>
      <c r="AK105" s="2"/>
      <c r="AL105" s="2"/>
    </row>
    <row r="106" spans="3:38" x14ac:dyDescent="0.35">
      <c r="W106" s="206"/>
      <c r="X106" s="2"/>
      <c r="Y106" s="2"/>
      <c r="Z106" s="2"/>
      <c r="AA106" s="2"/>
      <c r="AB106" s="2"/>
      <c r="AC106" s="2"/>
      <c r="AD106" s="2"/>
      <c r="AE106" s="2"/>
      <c r="AF106" s="2"/>
      <c r="AG106" s="2"/>
      <c r="AH106" s="2"/>
      <c r="AI106" s="2"/>
      <c r="AJ106" s="2"/>
      <c r="AK106" s="2"/>
      <c r="AL106" s="2"/>
    </row>
    <row r="107" spans="3:38" x14ac:dyDescent="0.35">
      <c r="W107" s="206"/>
      <c r="X107" s="2"/>
      <c r="Y107" s="2"/>
      <c r="Z107" s="2"/>
      <c r="AA107" s="2"/>
      <c r="AB107" s="2"/>
      <c r="AC107" s="2"/>
      <c r="AD107" s="2"/>
      <c r="AE107" s="2"/>
      <c r="AF107" s="2"/>
      <c r="AG107" s="2"/>
      <c r="AH107" s="2"/>
      <c r="AI107" s="2"/>
      <c r="AJ107" s="2"/>
      <c r="AK107" s="2"/>
      <c r="AL107" s="2"/>
    </row>
    <row r="108" spans="3:38" ht="16" thickBot="1" x14ac:dyDescent="0.4">
      <c r="W108" s="206"/>
      <c r="Y108" s="13"/>
      <c r="Z108" s="13"/>
      <c r="AA108" s="9" t="s">
        <v>3</v>
      </c>
      <c r="AB108" s="9" t="s">
        <v>4</v>
      </c>
      <c r="AC108" s="9" t="s">
        <v>5</v>
      </c>
      <c r="AD108" s="9" t="s">
        <v>6</v>
      </c>
      <c r="AE108" s="9" t="s">
        <v>7</v>
      </c>
      <c r="AF108" s="9" t="s">
        <v>8</v>
      </c>
      <c r="AG108" s="9" t="s">
        <v>9</v>
      </c>
      <c r="AH108" s="9" t="s">
        <v>10</v>
      </c>
      <c r="AI108" s="44" t="s">
        <v>139</v>
      </c>
      <c r="AJ108" s="2"/>
      <c r="AK108" s="2"/>
      <c r="AL108" s="2"/>
    </row>
    <row r="109" spans="3:38" ht="18.5" x14ac:dyDescent="0.45">
      <c r="F109" s="1" t="s">
        <v>405</v>
      </c>
      <c r="G109" s="3"/>
      <c r="H109" s="3"/>
      <c r="I109" s="3"/>
      <c r="J109" s="3"/>
      <c r="K109" s="3"/>
      <c r="L109" s="3"/>
      <c r="M109" s="3"/>
      <c r="N109" s="3"/>
      <c r="O109" s="3"/>
      <c r="W109" s="206"/>
      <c r="X109" s="104" t="s">
        <v>470</v>
      </c>
      <c r="Y109" s="13"/>
      <c r="Z109" s="49" t="s">
        <v>77</v>
      </c>
      <c r="AA109" s="13">
        <f>AVERAGE(AA73:AA89)</f>
        <v>1.4214711764705876</v>
      </c>
      <c r="AB109" s="13">
        <f t="shared" ref="AB109:AI109" si="68">AVERAGE(AB73:AB89)</f>
        <v>5.3418111764705891</v>
      </c>
      <c r="AC109" s="13">
        <f t="shared" si="68"/>
        <v>0.2138903811581169</v>
      </c>
      <c r="AD109" s="13">
        <f t="shared" si="68"/>
        <v>0.78610961884188324</v>
      </c>
      <c r="AE109" s="13">
        <f t="shared" si="68"/>
        <v>0.77183784478537576</v>
      </c>
      <c r="AF109" s="13">
        <f t="shared" si="68"/>
        <v>0.14975286141363489</v>
      </c>
      <c r="AG109" s="13">
        <f t="shared" si="68"/>
        <v>6.763282352941177</v>
      </c>
      <c r="AH109" s="13">
        <f t="shared" si="68"/>
        <v>14.470588235294118</v>
      </c>
      <c r="AI109" s="13">
        <f t="shared" si="68"/>
        <v>10.749957427040123</v>
      </c>
      <c r="AJ109" s="2"/>
      <c r="AK109" s="2"/>
      <c r="AL109" s="2"/>
    </row>
    <row r="110" spans="3:38" ht="16" thickBot="1" x14ac:dyDescent="0.4">
      <c r="C110" s="204" t="s">
        <v>122</v>
      </c>
      <c r="D110" s="204" t="s">
        <v>406</v>
      </c>
      <c r="F110" s="9" t="s">
        <v>1</v>
      </c>
      <c r="G110" s="9" t="s">
        <v>2</v>
      </c>
      <c r="H110" s="9" t="s">
        <v>3</v>
      </c>
      <c r="I110" s="9" t="s">
        <v>4</v>
      </c>
      <c r="J110" s="9" t="s">
        <v>5</v>
      </c>
      <c r="K110" s="9" t="s">
        <v>6</v>
      </c>
      <c r="L110" s="9" t="s">
        <v>7</v>
      </c>
      <c r="M110" s="9" t="s">
        <v>8</v>
      </c>
      <c r="N110" s="9" t="s">
        <v>9</v>
      </c>
      <c r="O110" s="9" t="s">
        <v>10</v>
      </c>
      <c r="P110" s="44" t="s">
        <v>139</v>
      </c>
      <c r="R110" s="44" t="s">
        <v>138</v>
      </c>
      <c r="W110" s="206"/>
      <c r="X110" s="104"/>
      <c r="Y110" s="13"/>
      <c r="Z110" s="49" t="s">
        <v>94</v>
      </c>
      <c r="AA110" s="2">
        <f>_xlfn.STDEV.S(AA73:AA89)</f>
        <v>0.47006370838007633</v>
      </c>
      <c r="AB110" s="2">
        <f t="shared" ref="AB110:AI110" si="69">_xlfn.STDEV.S(AB73:AB89)</f>
        <v>0.96782569481080938</v>
      </c>
      <c r="AC110" s="2">
        <f t="shared" si="69"/>
        <v>7.9965977750724671E-2</v>
      </c>
      <c r="AD110" s="2">
        <f t="shared" si="69"/>
        <v>7.9965977750724629E-2</v>
      </c>
      <c r="AE110" s="2">
        <f t="shared" si="69"/>
        <v>0.22177442734187183</v>
      </c>
      <c r="AF110" s="2">
        <f t="shared" si="69"/>
        <v>1.7280764291734835E-2</v>
      </c>
      <c r="AG110" s="2">
        <f t="shared" si="69"/>
        <v>0.79181024669368372</v>
      </c>
      <c r="AH110" s="2">
        <f t="shared" si="69"/>
        <v>3.0642626979997862</v>
      </c>
      <c r="AI110" s="2">
        <f t="shared" si="69"/>
        <v>2.48861909734328</v>
      </c>
      <c r="AJ110" s="2"/>
      <c r="AK110" s="2"/>
      <c r="AL110" s="2"/>
    </row>
    <row r="111" spans="3:38" x14ac:dyDescent="0.35">
      <c r="C111" s="271" t="s">
        <v>541</v>
      </c>
      <c r="D111" s="155">
        <v>6</v>
      </c>
      <c r="F111" s="2">
        <v>0.79679</v>
      </c>
      <c r="G111" s="2">
        <v>2.9843799999999998</v>
      </c>
      <c r="H111" s="2">
        <f t="shared" ref="H111:H126" si="70">G111-F111</f>
        <v>2.1875899999999997</v>
      </c>
      <c r="I111" s="2">
        <f t="shared" ref="I111:I125" si="71">F112-G111</f>
        <v>4.1387</v>
      </c>
      <c r="J111" s="2">
        <f>H111/N111</f>
        <v>0.34579350614657239</v>
      </c>
      <c r="K111" s="2">
        <f>I111/N111</f>
        <v>0.65420649385342755</v>
      </c>
      <c r="L111" s="2">
        <f>1/H111</f>
        <v>0.45712404975338161</v>
      </c>
      <c r="M111" s="2">
        <f>1/N111</f>
        <v>0.15807052790814205</v>
      </c>
      <c r="N111" s="2">
        <f>H111+I111</f>
        <v>6.3262900000000002</v>
      </c>
      <c r="O111" s="2">
        <v>9</v>
      </c>
      <c r="P111">
        <f>O111/H111</f>
        <v>4.1141164477804351</v>
      </c>
      <c r="R111" t="s">
        <v>455</v>
      </c>
      <c r="W111" s="206"/>
      <c r="X111" s="104"/>
      <c r="Y111" s="13"/>
      <c r="Z111" s="49" t="s">
        <v>95</v>
      </c>
      <c r="AA111" s="2">
        <f>AA110/(SQRT(COUNT(AA73:AA89)))</f>
        <v>0.11400719531885836</v>
      </c>
      <c r="AB111" s="2">
        <f t="shared" ref="AB111:AI111" si="72">AB110/(SQRT(COUNT(AB73:AB89)))</f>
        <v>0.23473220981716289</v>
      </c>
      <c r="AC111" s="2">
        <f t="shared" si="72"/>
        <v>1.9394598395413503E-2</v>
      </c>
      <c r="AD111" s="2">
        <f t="shared" si="72"/>
        <v>1.9394598395413493E-2</v>
      </c>
      <c r="AE111" s="2">
        <f t="shared" si="72"/>
        <v>5.37881993524357E-2</v>
      </c>
      <c r="AF111" s="2">
        <f t="shared" si="72"/>
        <v>4.1912009686014516E-3</v>
      </c>
      <c r="AG111" s="2">
        <f t="shared" si="72"/>
        <v>0.19204219309202558</v>
      </c>
      <c r="AH111" s="2">
        <f t="shared" si="72"/>
        <v>0.7431928687348982</v>
      </c>
      <c r="AI111" s="2">
        <f t="shared" si="72"/>
        <v>0.60357878825150724</v>
      </c>
      <c r="AJ111" s="2"/>
      <c r="AK111" s="2"/>
      <c r="AL111" s="2"/>
    </row>
    <row r="112" spans="3:38" x14ac:dyDescent="0.35">
      <c r="C112" s="271"/>
      <c r="D112" s="155">
        <v>6</v>
      </c>
      <c r="F112" s="2">
        <v>7.1230799999999999</v>
      </c>
      <c r="G112" s="2">
        <v>11.37663</v>
      </c>
      <c r="H112" s="2">
        <f t="shared" si="70"/>
        <v>4.2535500000000006</v>
      </c>
      <c r="I112" s="2">
        <f t="shared" si="71"/>
        <v>8.194840000000001</v>
      </c>
      <c r="J112" s="2">
        <f t="shared" ref="J112:J125" si="73">H112/N112</f>
        <v>0.34169478944666742</v>
      </c>
      <c r="K112" s="2">
        <f t="shared" ref="K112:K125" si="74">I112/N112</f>
        <v>0.65830521055333258</v>
      </c>
      <c r="L112" s="2">
        <f t="shared" ref="L112:L125" si="75">1/H112</f>
        <v>0.23509774188618915</v>
      </c>
      <c r="M112" s="2">
        <f t="shared" ref="M112:M125" si="76">1/N112</f>
        <v>8.0331673413188365E-2</v>
      </c>
      <c r="N112" s="2">
        <f t="shared" ref="N112:N125" si="77">H112+I112</f>
        <v>12.448390000000002</v>
      </c>
      <c r="O112" s="2">
        <v>19</v>
      </c>
      <c r="P112">
        <f t="shared" ref="P112:P125" si="78">O112/H112</f>
        <v>4.4668570958375939</v>
      </c>
      <c r="W112" s="286"/>
      <c r="X112" s="104"/>
      <c r="Y112" s="13"/>
      <c r="Z112" s="49"/>
      <c r="AA112" s="2"/>
      <c r="AB112" s="2"/>
      <c r="AC112" s="2"/>
      <c r="AD112" s="2"/>
      <c r="AE112" s="2"/>
      <c r="AF112" s="2"/>
      <c r="AG112" s="2"/>
      <c r="AH112" s="2"/>
      <c r="AI112" s="2"/>
      <c r="AJ112" s="2"/>
      <c r="AK112" s="2"/>
      <c r="AL112" s="2"/>
    </row>
    <row r="113" spans="3:38" x14ac:dyDescent="0.35">
      <c r="C113" s="271" t="s">
        <v>541</v>
      </c>
      <c r="D113" s="155">
        <v>6</v>
      </c>
      <c r="F113" s="13">
        <v>19.571470000000001</v>
      </c>
      <c r="G113" s="2">
        <v>21.55228</v>
      </c>
      <c r="H113" s="2">
        <f t="shared" si="70"/>
        <v>1.9808099999999982</v>
      </c>
      <c r="I113" s="2">
        <f t="shared" si="71"/>
        <v>8.429590000000001</v>
      </c>
      <c r="J113" s="2">
        <f t="shared" si="73"/>
        <v>0.1902722277722276</v>
      </c>
      <c r="K113" s="2">
        <f t="shared" si="74"/>
        <v>0.80972777222777237</v>
      </c>
      <c r="L113" s="2">
        <f t="shared" si="75"/>
        <v>0.50484397796860925</v>
      </c>
      <c r="M113" s="2">
        <f t="shared" si="76"/>
        <v>9.6057788365480679E-2</v>
      </c>
      <c r="N113" s="2">
        <f t="shared" si="77"/>
        <v>10.410399999999999</v>
      </c>
      <c r="O113" s="2">
        <v>8</v>
      </c>
      <c r="P113">
        <f t="shared" si="78"/>
        <v>4.038751823748874</v>
      </c>
      <c r="W113" s="286"/>
      <c r="X113" s="104"/>
      <c r="Y113" s="13"/>
      <c r="Z113" s="49"/>
      <c r="AA113" s="2"/>
      <c r="AB113" s="2"/>
      <c r="AC113" s="2"/>
      <c r="AD113" s="2"/>
      <c r="AE113" s="2"/>
      <c r="AF113" s="2"/>
      <c r="AG113" s="2"/>
      <c r="AH113" s="2"/>
      <c r="AI113" s="2"/>
      <c r="AJ113" s="2"/>
      <c r="AK113" s="2"/>
      <c r="AL113" s="2"/>
    </row>
    <row r="114" spans="3:38" ht="16" thickBot="1" x14ac:dyDescent="0.4">
      <c r="C114" s="271"/>
      <c r="D114" s="155">
        <v>6</v>
      </c>
      <c r="F114" s="13">
        <v>29.981870000000001</v>
      </c>
      <c r="G114" s="2">
        <v>34.165089999999999</v>
      </c>
      <c r="H114" s="2">
        <f t="shared" si="70"/>
        <v>4.1832199999999986</v>
      </c>
      <c r="I114" s="2">
        <f t="shared" si="71"/>
        <v>14.604280000000003</v>
      </c>
      <c r="J114" s="2">
        <f t="shared" si="73"/>
        <v>0.22265974717232193</v>
      </c>
      <c r="K114" s="2">
        <f t="shared" si="74"/>
        <v>0.77734025282767805</v>
      </c>
      <c r="L114" s="2">
        <f t="shared" si="75"/>
        <v>0.239050300964329</v>
      </c>
      <c r="M114" s="2">
        <f t="shared" si="76"/>
        <v>5.3226879574184961E-2</v>
      </c>
      <c r="N114" s="2">
        <f t="shared" si="77"/>
        <v>18.787500000000001</v>
      </c>
      <c r="O114" s="2">
        <v>15</v>
      </c>
      <c r="P114">
        <f t="shared" si="78"/>
        <v>3.5857545144649348</v>
      </c>
      <c r="W114" s="286"/>
      <c r="X114" s="104" t="s">
        <v>81</v>
      </c>
      <c r="Y114" s="13"/>
      <c r="Z114" s="13"/>
      <c r="AA114" s="9" t="s">
        <v>3</v>
      </c>
      <c r="AB114" s="9" t="s">
        <v>4</v>
      </c>
      <c r="AC114" s="9" t="s">
        <v>5</v>
      </c>
      <c r="AD114" s="9" t="s">
        <v>6</v>
      </c>
      <c r="AE114" s="9" t="s">
        <v>7</v>
      </c>
      <c r="AF114" s="9" t="s">
        <v>8</v>
      </c>
      <c r="AG114" s="9" t="s">
        <v>9</v>
      </c>
      <c r="AH114" s="9" t="s">
        <v>10</v>
      </c>
      <c r="AI114" s="44" t="s">
        <v>139</v>
      </c>
      <c r="AJ114" s="2"/>
      <c r="AK114" s="2"/>
      <c r="AL114" s="2"/>
    </row>
    <row r="115" spans="3:38" x14ac:dyDescent="0.35">
      <c r="C115" s="271" t="s">
        <v>541</v>
      </c>
      <c r="D115" s="155">
        <v>6</v>
      </c>
      <c r="F115" s="13">
        <v>48.769370000000002</v>
      </c>
      <c r="G115" s="2">
        <v>50.723170000000003</v>
      </c>
      <c r="H115" s="2">
        <f t="shared" si="70"/>
        <v>1.9538000000000011</v>
      </c>
      <c r="I115" s="2">
        <f t="shared" si="71"/>
        <v>7.6008099999999956</v>
      </c>
      <c r="J115" s="2">
        <f t="shared" si="73"/>
        <v>0.20448767662939688</v>
      </c>
      <c r="K115" s="2">
        <f t="shared" si="74"/>
        <v>0.79551232337060307</v>
      </c>
      <c r="L115" s="2">
        <f t="shared" si="75"/>
        <v>0.51182311393182489</v>
      </c>
      <c r="M115" s="2">
        <f t="shared" si="76"/>
        <v>0.10466151941314196</v>
      </c>
      <c r="N115" s="2">
        <f t="shared" si="77"/>
        <v>9.5546099999999967</v>
      </c>
      <c r="O115" s="2">
        <v>8</v>
      </c>
      <c r="P115">
        <f t="shared" si="78"/>
        <v>4.0945849114545991</v>
      </c>
      <c r="W115" s="286"/>
      <c r="Y115" s="13"/>
      <c r="Z115" s="49" t="s">
        <v>77</v>
      </c>
      <c r="AA115" s="13">
        <f>AVERAGE(AA83:AA84,AA87:AA88,AA75:AA76,AA79:AA80)</f>
        <v>1.566543750000001</v>
      </c>
      <c r="AB115" s="13">
        <f t="shared" ref="AB115:AI115" si="79">AVERAGE(AB83:AB84,AB87:AB88,AB75:AB76,AB79:AB80)</f>
        <v>4.8230812500000004</v>
      </c>
      <c r="AC115" s="13">
        <f t="shared" si="79"/>
        <v>0.24968035975799216</v>
      </c>
      <c r="AD115" s="13">
        <f t="shared" si="79"/>
        <v>0.7503196402420077</v>
      </c>
      <c r="AE115" s="13">
        <f t="shared" si="79"/>
        <v>0.70791539566131334</v>
      </c>
      <c r="AF115" s="13">
        <f t="shared" si="79"/>
        <v>0.15753238956214333</v>
      </c>
      <c r="AG115" s="13">
        <f t="shared" si="79"/>
        <v>6.3896250000000014</v>
      </c>
      <c r="AH115" s="13">
        <f t="shared" si="79"/>
        <v>15.5</v>
      </c>
      <c r="AI115" s="13">
        <f t="shared" si="79"/>
        <v>10.538265722066274</v>
      </c>
      <c r="AJ115" s="2"/>
      <c r="AK115" s="2"/>
      <c r="AL115" s="2"/>
    </row>
    <row r="116" spans="3:38" x14ac:dyDescent="0.35">
      <c r="C116" s="271" t="s">
        <v>541</v>
      </c>
      <c r="D116" s="155">
        <v>6</v>
      </c>
      <c r="F116" s="13">
        <v>58.323979999999999</v>
      </c>
      <c r="G116" s="2">
        <v>61.50188</v>
      </c>
      <c r="H116" s="2">
        <f t="shared" si="70"/>
        <v>3.1779000000000011</v>
      </c>
      <c r="I116" s="2">
        <f t="shared" si="71"/>
        <v>19.747259999999997</v>
      </c>
      <c r="J116" s="2">
        <f t="shared" si="73"/>
        <v>0.1386206246761201</v>
      </c>
      <c r="K116" s="2">
        <f t="shared" si="74"/>
        <v>0.86137937532387987</v>
      </c>
      <c r="L116" s="2">
        <f t="shared" si="75"/>
        <v>0.31467321186947345</v>
      </c>
      <c r="M116" s="2">
        <f t="shared" si="76"/>
        <v>4.3620197198187494E-2</v>
      </c>
      <c r="N116" s="2">
        <f t="shared" si="77"/>
        <v>22.925159999999998</v>
      </c>
      <c r="O116" s="2">
        <v>13</v>
      </c>
      <c r="P116">
        <f t="shared" si="78"/>
        <v>4.0907517543031551</v>
      </c>
      <c r="W116" s="286"/>
      <c r="X116" s="104"/>
      <c r="Y116" s="13"/>
      <c r="Z116" s="49" t="s">
        <v>94</v>
      </c>
      <c r="AA116" s="2">
        <f>_xlfn.STDEV.S(AA83:AA84,AA87:AA88,AA75:AA76,AA79:AA80)</f>
        <v>0.52272714745259374</v>
      </c>
      <c r="AB116" s="2">
        <f t="shared" ref="AB116:AI116" si="80">_xlfn.STDEV.S(AB83:AB84,AB87:AB88,AB75:AB76,AB79:AB80)</f>
        <v>0.91833905454260678</v>
      </c>
      <c r="AC116" s="2">
        <f t="shared" si="80"/>
        <v>9.4608992160254424E-2</v>
      </c>
      <c r="AD116" s="2">
        <f t="shared" si="80"/>
        <v>9.4608992160255298E-2</v>
      </c>
      <c r="AE116" s="2">
        <f t="shared" si="80"/>
        <v>0.23877140800405058</v>
      </c>
      <c r="AF116" s="2">
        <f t="shared" si="80"/>
        <v>1.3593127629719395E-2</v>
      </c>
      <c r="AG116" s="2">
        <f t="shared" si="80"/>
        <v>0.55270463315796958</v>
      </c>
      <c r="AH116" s="2">
        <f t="shared" si="80"/>
        <v>3.4641016151377544</v>
      </c>
      <c r="AI116" s="2">
        <f t="shared" si="80"/>
        <v>2.9051722179044916</v>
      </c>
      <c r="AJ116" s="2"/>
      <c r="AK116" s="2"/>
      <c r="AL116" s="2"/>
    </row>
    <row r="117" spans="3:38" x14ac:dyDescent="0.35">
      <c r="C117" s="271" t="s">
        <v>541</v>
      </c>
      <c r="D117" s="155">
        <v>6</v>
      </c>
      <c r="F117" s="13">
        <v>81.249139999999997</v>
      </c>
      <c r="G117" s="2">
        <v>83.433909999999997</v>
      </c>
      <c r="H117" s="2">
        <f t="shared" si="70"/>
        <v>2.1847700000000003</v>
      </c>
      <c r="I117" s="2">
        <f t="shared" si="71"/>
        <v>20.804370000000006</v>
      </c>
      <c r="J117" s="2">
        <f t="shared" si="73"/>
        <v>9.5034872987854249E-2</v>
      </c>
      <c r="K117" s="2">
        <f t="shared" si="74"/>
        <v>0.90496512701214571</v>
      </c>
      <c r="L117" s="2">
        <f t="shared" si="75"/>
        <v>0.45771408432008853</v>
      </c>
      <c r="M117" s="2">
        <f t="shared" si="76"/>
        <v>4.3498799868111629E-2</v>
      </c>
      <c r="N117" s="2">
        <f t="shared" si="77"/>
        <v>22.989140000000006</v>
      </c>
      <c r="O117" s="2">
        <v>12</v>
      </c>
      <c r="P117">
        <f t="shared" si="78"/>
        <v>5.4925690118410628</v>
      </c>
      <c r="W117" s="286"/>
      <c r="X117" s="104"/>
      <c r="Y117" s="13"/>
      <c r="Z117" s="49" t="s">
        <v>95</v>
      </c>
      <c r="AA117" s="2">
        <f>AA116/(SQRT(COUNT(AA83:AA84,AA87:AA88,AA75:AA76,AA79:AA80)))</f>
        <v>0.18481195533701467</v>
      </c>
      <c r="AB117" s="2">
        <f t="shared" ref="AB117:AI117" si="81">AB116/(SQRT(COUNT(AB83:AB84,AB87:AB88,AB75:AB76,AB79:AB80)))</f>
        <v>0.32468188644775997</v>
      </c>
      <c r="AC117" s="2">
        <f t="shared" si="81"/>
        <v>3.3449329958870407E-2</v>
      </c>
      <c r="AD117" s="2">
        <f t="shared" si="81"/>
        <v>3.3449329958870712E-2</v>
      </c>
      <c r="AE117" s="2">
        <f t="shared" si="81"/>
        <v>8.4418440876562029E-2</v>
      </c>
      <c r="AF117" s="2">
        <f t="shared" si="81"/>
        <v>4.8058963622544023E-3</v>
      </c>
      <c r="AG117" s="2">
        <f t="shared" si="81"/>
        <v>0.1954105970496117</v>
      </c>
      <c r="AH117" s="2">
        <f t="shared" si="81"/>
        <v>1.2247448713915889</v>
      </c>
      <c r="AI117" s="2">
        <f t="shared" si="81"/>
        <v>1.027133487897514</v>
      </c>
      <c r="AJ117" s="2"/>
      <c r="AK117" s="2"/>
      <c r="AL117" s="2"/>
    </row>
    <row r="118" spans="3:38" x14ac:dyDescent="0.35">
      <c r="C118" s="271" t="s">
        <v>541</v>
      </c>
      <c r="D118" s="155">
        <v>6</v>
      </c>
      <c r="F118" s="13">
        <v>104.23828</v>
      </c>
      <c r="G118" s="2">
        <v>106.34554</v>
      </c>
      <c r="H118" s="2">
        <f t="shared" si="70"/>
        <v>2.1072599999999966</v>
      </c>
      <c r="I118" s="2">
        <f t="shared" si="71"/>
        <v>19.240089999999995</v>
      </c>
      <c r="J118" s="2">
        <f t="shared" si="73"/>
        <v>9.8712955003782549E-2</v>
      </c>
      <c r="K118" s="2">
        <f t="shared" si="74"/>
        <v>0.90128704499621748</v>
      </c>
      <c r="L118" s="2">
        <f t="shared" si="75"/>
        <v>0.47454988942987653</v>
      </c>
      <c r="M118" s="2">
        <f t="shared" si="76"/>
        <v>4.6844221882341386E-2</v>
      </c>
      <c r="N118" s="2">
        <f t="shared" si="77"/>
        <v>21.347349999999992</v>
      </c>
      <c r="O118" s="2">
        <v>11</v>
      </c>
      <c r="P118">
        <f t="shared" si="78"/>
        <v>5.2200487837286422</v>
      </c>
      <c r="W118" s="286"/>
      <c r="X118" s="104"/>
      <c r="Y118" s="13"/>
      <c r="Z118" s="49"/>
      <c r="AA118" s="2"/>
      <c r="AB118" s="2"/>
      <c r="AC118" s="2"/>
      <c r="AD118" s="2"/>
      <c r="AE118" s="2"/>
      <c r="AF118" s="2"/>
      <c r="AG118" s="2"/>
      <c r="AH118" s="2"/>
      <c r="AI118" s="2"/>
      <c r="AJ118" s="2"/>
      <c r="AK118" s="2"/>
      <c r="AL118" s="2"/>
    </row>
    <row r="119" spans="3:38" x14ac:dyDescent="0.35">
      <c r="C119" s="271" t="s">
        <v>541</v>
      </c>
      <c r="D119" s="155">
        <v>0</v>
      </c>
      <c r="F119" s="13">
        <v>125.58562999999999</v>
      </c>
      <c r="G119" s="2">
        <v>127.95229999999999</v>
      </c>
      <c r="H119" s="2">
        <f t="shared" si="70"/>
        <v>2.3666699999999992</v>
      </c>
      <c r="I119" s="2">
        <f t="shared" si="71"/>
        <v>19.417919999999995</v>
      </c>
      <c r="J119" s="2">
        <f t="shared" si="73"/>
        <v>0.10863963930466443</v>
      </c>
      <c r="K119" s="2">
        <f t="shared" si="74"/>
        <v>0.89136036069533553</v>
      </c>
      <c r="L119" s="2">
        <f t="shared" si="75"/>
        <v>0.42253461614842813</v>
      </c>
      <c r="M119" s="2">
        <f t="shared" si="76"/>
        <v>4.5904008292100069E-2</v>
      </c>
      <c r="N119" s="2">
        <f t="shared" si="77"/>
        <v>21.784589999999994</v>
      </c>
      <c r="O119" s="2">
        <v>11</v>
      </c>
      <c r="P119">
        <f t="shared" si="78"/>
        <v>4.6478807776327091</v>
      </c>
      <c r="R119" t="s">
        <v>456</v>
      </c>
      <c r="W119" s="286"/>
      <c r="X119" s="104"/>
      <c r="Y119" s="13"/>
      <c r="Z119" s="49"/>
      <c r="AA119" s="2"/>
      <c r="AB119" s="2"/>
      <c r="AC119" s="2"/>
      <c r="AD119" s="2"/>
      <c r="AE119" s="2"/>
      <c r="AF119" s="2"/>
      <c r="AG119" s="2"/>
      <c r="AH119" s="2"/>
      <c r="AI119" s="2"/>
      <c r="AJ119" s="2"/>
      <c r="AK119" s="2"/>
      <c r="AL119" s="2"/>
    </row>
    <row r="120" spans="3:38" ht="16" thickBot="1" x14ac:dyDescent="0.4">
      <c r="C120" s="271" t="s">
        <v>541</v>
      </c>
      <c r="D120" s="155">
        <v>0</v>
      </c>
      <c r="F120" s="13">
        <v>147.37021999999999</v>
      </c>
      <c r="G120" s="2">
        <v>149.34378000000001</v>
      </c>
      <c r="H120" s="2">
        <f t="shared" si="70"/>
        <v>1.9735600000000204</v>
      </c>
      <c r="I120" s="2">
        <f t="shared" si="71"/>
        <v>22.608249999999998</v>
      </c>
      <c r="J120" s="2">
        <f t="shared" si="73"/>
        <v>8.0285381751792034E-2</v>
      </c>
      <c r="K120" s="2">
        <f t="shared" si="74"/>
        <v>0.91971461824820799</v>
      </c>
      <c r="L120" s="2">
        <f t="shared" si="75"/>
        <v>0.50669855489571625</v>
      </c>
      <c r="M120" s="2">
        <f t="shared" si="76"/>
        <v>4.068048691288393E-2</v>
      </c>
      <c r="N120" s="2">
        <f t="shared" si="77"/>
        <v>24.581810000000019</v>
      </c>
      <c r="O120" s="2">
        <v>8</v>
      </c>
      <c r="P120">
        <f t="shared" si="78"/>
        <v>4.05358843916573</v>
      </c>
      <c r="W120" s="286"/>
      <c r="X120" s="104" t="s">
        <v>82</v>
      </c>
      <c r="Y120" s="13"/>
      <c r="Z120" s="13"/>
      <c r="AA120" s="9" t="s">
        <v>3</v>
      </c>
      <c r="AB120" s="9" t="s">
        <v>4</v>
      </c>
      <c r="AC120" s="9" t="s">
        <v>5</v>
      </c>
      <c r="AD120" s="9" t="s">
        <v>6</v>
      </c>
      <c r="AE120" s="9" t="s">
        <v>7</v>
      </c>
      <c r="AF120" s="9" t="s">
        <v>8</v>
      </c>
      <c r="AG120" s="9" t="s">
        <v>9</v>
      </c>
      <c r="AH120" s="9" t="s">
        <v>10</v>
      </c>
      <c r="AI120" s="44" t="s">
        <v>139</v>
      </c>
      <c r="AJ120" s="2"/>
      <c r="AK120" s="2"/>
      <c r="AL120" s="2"/>
    </row>
    <row r="121" spans="3:38" x14ac:dyDescent="0.35">
      <c r="C121" s="271"/>
      <c r="D121" s="155">
        <v>0</v>
      </c>
      <c r="F121" s="13">
        <v>171.95203000000001</v>
      </c>
      <c r="G121" s="2">
        <v>174.04965999999999</v>
      </c>
      <c r="H121" s="2">
        <f t="shared" si="70"/>
        <v>2.097629999999981</v>
      </c>
      <c r="I121" s="2">
        <f t="shared" si="71"/>
        <v>9.1965300000000241</v>
      </c>
      <c r="J121" s="2">
        <f t="shared" si="73"/>
        <v>0.18572695977389908</v>
      </c>
      <c r="K121" s="2">
        <f t="shared" si="74"/>
        <v>0.81427304022610092</v>
      </c>
      <c r="L121" s="2">
        <f t="shared" si="75"/>
        <v>0.47672849835290737</v>
      </c>
      <c r="M121" s="2">
        <f t="shared" si="76"/>
        <v>8.8541334636661737E-2</v>
      </c>
      <c r="N121" s="2">
        <f t="shared" si="77"/>
        <v>11.294160000000005</v>
      </c>
      <c r="O121" s="2">
        <v>11</v>
      </c>
      <c r="P121">
        <f t="shared" si="78"/>
        <v>5.2440134818819812</v>
      </c>
      <c r="W121" s="286"/>
      <c r="X121" s="104"/>
      <c r="Y121" s="13"/>
      <c r="Z121" s="49" t="s">
        <v>77</v>
      </c>
      <c r="AA121" s="13">
        <f>AVERAGE(AA73:AA74,AA77:AA78,AA81:AA82,AA85:AA86,AA89)</f>
        <v>1.2925177777777757</v>
      </c>
      <c r="AB121" s="13">
        <f t="shared" ref="AB121:AI121" si="82">AVERAGE(AB73:AB74,AB77:AB78,AB81:AB82,AB85:AB86,AB89)</f>
        <v>5.8029044444444464</v>
      </c>
      <c r="AC121" s="13">
        <f t="shared" si="82"/>
        <v>0.18207706684711669</v>
      </c>
      <c r="AD121" s="13">
        <f t="shared" si="82"/>
        <v>0.81792293315288334</v>
      </c>
      <c r="AE121" s="13">
        <f t="shared" si="82"/>
        <v>0.82865779956232044</v>
      </c>
      <c r="AF121" s="13">
        <f t="shared" si="82"/>
        <v>0.14283772528162733</v>
      </c>
      <c r="AG121" s="13">
        <f t="shared" si="82"/>
        <v>7.0954222222222212</v>
      </c>
      <c r="AH121" s="13">
        <f t="shared" si="82"/>
        <v>13.555555555555555</v>
      </c>
      <c r="AI121" s="13">
        <f t="shared" si="82"/>
        <v>10.938127831461323</v>
      </c>
      <c r="AJ121" s="2"/>
      <c r="AK121" s="2"/>
      <c r="AL121" s="2"/>
    </row>
    <row r="122" spans="3:38" x14ac:dyDescent="0.35">
      <c r="C122" s="271" t="s">
        <v>541</v>
      </c>
      <c r="D122" s="155">
        <v>0</v>
      </c>
      <c r="F122" s="13">
        <v>183.24619000000001</v>
      </c>
      <c r="G122" s="2">
        <v>185.33729</v>
      </c>
      <c r="H122" s="2">
        <f t="shared" si="70"/>
        <v>2.0910999999999831</v>
      </c>
      <c r="I122" s="2">
        <f t="shared" si="71"/>
        <v>10.114570000000015</v>
      </c>
      <c r="J122" s="2">
        <f t="shared" si="73"/>
        <v>0.17132201673484401</v>
      </c>
      <c r="K122" s="2">
        <f t="shared" si="74"/>
        <v>0.82867798326515596</v>
      </c>
      <c r="L122" s="2">
        <f t="shared" si="75"/>
        <v>0.4782172062550849</v>
      </c>
      <c r="M122" s="2">
        <f t="shared" si="76"/>
        <v>8.1929136212924011E-2</v>
      </c>
      <c r="N122" s="2">
        <f t="shared" si="77"/>
        <v>12.205669999999998</v>
      </c>
      <c r="O122" s="2">
        <v>7</v>
      </c>
      <c r="P122">
        <f t="shared" si="78"/>
        <v>3.3475204437855943</v>
      </c>
      <c r="W122" s="286"/>
      <c r="X122" s="104"/>
      <c r="Y122" s="13"/>
      <c r="Z122" s="49" t="s">
        <v>94</v>
      </c>
      <c r="AA122" s="2">
        <f>_xlfn.STDEV.S(AA73:AA74,AA77:AA78,AA81:AA82,AA85:AA86,AA89)</f>
        <v>0.40382906658565898</v>
      </c>
      <c r="AB122" s="2">
        <f t="shared" ref="AB122:AI122" si="83">_xlfn.STDEV.S(AB73:AB74,AB77:AB78,AB81:AB82,AB85:AB86,AB89)</f>
        <v>0.79194775443382182</v>
      </c>
      <c r="AC122" s="2">
        <f t="shared" si="83"/>
        <v>5.0374508095025083E-2</v>
      </c>
      <c r="AD122" s="2">
        <f t="shared" si="83"/>
        <v>5.0374508095025194E-2</v>
      </c>
      <c r="AE122" s="2">
        <f t="shared" si="83"/>
        <v>0.20190178541791942</v>
      </c>
      <c r="AF122" s="2">
        <f t="shared" si="83"/>
        <v>1.7923604428148412E-2</v>
      </c>
      <c r="AG122" s="2">
        <f t="shared" si="83"/>
        <v>0.85023732080782055</v>
      </c>
      <c r="AH122" s="2">
        <f t="shared" si="83"/>
        <v>2.5055493963954834</v>
      </c>
      <c r="AI122" s="2">
        <f t="shared" si="83"/>
        <v>2.2173813650131269</v>
      </c>
      <c r="AJ122" s="2"/>
      <c r="AK122" s="2"/>
      <c r="AL122" s="2"/>
    </row>
    <row r="123" spans="3:38" x14ac:dyDescent="0.35">
      <c r="C123" s="271"/>
      <c r="D123" s="155">
        <v>0</v>
      </c>
      <c r="F123" s="13">
        <v>195.45186000000001</v>
      </c>
      <c r="G123" s="2">
        <v>197.67028999999999</v>
      </c>
      <c r="H123" s="2">
        <f t="shared" si="70"/>
        <v>2.2184299999999837</v>
      </c>
      <c r="I123" s="2">
        <f t="shared" si="71"/>
        <v>12.118930000000006</v>
      </c>
      <c r="J123" s="2">
        <f t="shared" si="73"/>
        <v>0.15473071751005663</v>
      </c>
      <c r="K123" s="2">
        <f t="shared" si="74"/>
        <v>0.84526928248994337</v>
      </c>
      <c r="L123" s="2">
        <f t="shared" si="75"/>
        <v>0.45076923770414545</v>
      </c>
      <c r="M123" s="2">
        <f t="shared" si="76"/>
        <v>6.9747847581423689E-2</v>
      </c>
      <c r="N123" s="2">
        <f t="shared" si="77"/>
        <v>14.33735999999999</v>
      </c>
      <c r="O123" s="2">
        <v>12</v>
      </c>
      <c r="P123">
        <f t="shared" si="78"/>
        <v>5.4092308524497454</v>
      </c>
      <c r="W123" s="286"/>
      <c r="X123" s="104"/>
      <c r="Y123" s="13"/>
      <c r="Z123" s="49" t="s">
        <v>95</v>
      </c>
      <c r="AA123" s="2">
        <f>AA122/(SQRT(COUNT(AA73:AA74,AA77:AA78,AA81:AA82,AA85:AA86,AA89)))</f>
        <v>0.13460968886188632</v>
      </c>
      <c r="AB123" s="2">
        <f t="shared" ref="AB123:AI123" si="84">AB122/(SQRT(COUNT(AB73:AB74,AB77:AB78,AB81:AB82,AB85:AB86,AB89)))</f>
        <v>0.26398258481127396</v>
      </c>
      <c r="AC123" s="2">
        <f t="shared" si="84"/>
        <v>1.6791502698341693E-2</v>
      </c>
      <c r="AD123" s="2">
        <f t="shared" si="84"/>
        <v>1.6791502698341731E-2</v>
      </c>
      <c r="AE123" s="2">
        <f t="shared" si="84"/>
        <v>6.7300595139306474E-2</v>
      </c>
      <c r="AF123" s="2">
        <f t="shared" si="84"/>
        <v>5.9745348093828039E-3</v>
      </c>
      <c r="AG123" s="2">
        <f t="shared" si="84"/>
        <v>0.28341244026927354</v>
      </c>
      <c r="AH123" s="2">
        <f t="shared" si="84"/>
        <v>0.83518313213182782</v>
      </c>
      <c r="AI123" s="2">
        <f t="shared" si="84"/>
        <v>0.73912712167104233</v>
      </c>
      <c r="AJ123" s="2"/>
      <c r="AK123" s="2"/>
      <c r="AL123" s="2"/>
    </row>
    <row r="124" spans="3:38" x14ac:dyDescent="0.35">
      <c r="C124" s="271" t="s">
        <v>541</v>
      </c>
      <c r="D124" s="155">
        <v>0</v>
      </c>
      <c r="F124" s="13">
        <v>209.78922</v>
      </c>
      <c r="G124" s="2">
        <v>211.87968000000001</v>
      </c>
      <c r="H124" s="2">
        <f t="shared" si="70"/>
        <v>2.0904600000000073</v>
      </c>
      <c r="I124" s="2">
        <f t="shared" si="71"/>
        <v>9.3005100000000027</v>
      </c>
      <c r="J124" s="2">
        <f t="shared" si="73"/>
        <v>0.1835190506164098</v>
      </c>
      <c r="K124" s="2">
        <f t="shared" si="74"/>
        <v>0.81648094938359017</v>
      </c>
      <c r="L124" s="2">
        <f t="shared" si="75"/>
        <v>0.47836361375008202</v>
      </c>
      <c r="M124" s="2">
        <f t="shared" si="76"/>
        <v>8.778883624485001E-2</v>
      </c>
      <c r="N124" s="2">
        <f t="shared" si="77"/>
        <v>11.39097000000001</v>
      </c>
      <c r="O124" s="2">
        <v>8</v>
      </c>
      <c r="P124">
        <f t="shared" si="78"/>
        <v>3.8269089100006561</v>
      </c>
      <c r="W124" s="286"/>
      <c r="X124" s="104"/>
      <c r="Y124" s="13"/>
      <c r="Z124" s="49"/>
      <c r="AA124" s="2"/>
      <c r="AB124" s="2"/>
      <c r="AC124" s="2"/>
      <c r="AD124" s="2"/>
      <c r="AE124" s="2"/>
      <c r="AF124" s="2"/>
      <c r="AG124" s="2"/>
      <c r="AH124" s="2"/>
      <c r="AI124" s="2"/>
      <c r="AJ124" s="2"/>
      <c r="AK124" s="2"/>
      <c r="AL124" s="2"/>
    </row>
    <row r="125" spans="3:38" x14ac:dyDescent="0.35">
      <c r="C125" s="271"/>
      <c r="D125" s="155">
        <v>0</v>
      </c>
      <c r="F125" s="13">
        <v>221.18019000000001</v>
      </c>
      <c r="G125" s="2">
        <v>223.35468</v>
      </c>
      <c r="H125" s="2">
        <f t="shared" si="70"/>
        <v>2.1744899999999916</v>
      </c>
      <c r="I125" s="2">
        <f t="shared" si="71"/>
        <v>13.094529999999992</v>
      </c>
      <c r="J125" s="2">
        <f t="shared" si="73"/>
        <v>0.14241189021954218</v>
      </c>
      <c r="K125" s="2">
        <f t="shared" si="74"/>
        <v>0.85758810978045785</v>
      </c>
      <c r="L125" s="2">
        <f t="shared" si="75"/>
        <v>0.4598779483924984</v>
      </c>
      <c r="M125" s="2">
        <f t="shared" si="76"/>
        <v>6.5492087900860765E-2</v>
      </c>
      <c r="N125" s="2">
        <f t="shared" si="77"/>
        <v>15.269019999999983</v>
      </c>
      <c r="O125" s="2">
        <v>12</v>
      </c>
      <c r="P125">
        <f t="shared" si="78"/>
        <v>5.5185353807099808</v>
      </c>
      <c r="W125" s="286"/>
      <c r="X125" s="104"/>
      <c r="Y125" s="13"/>
      <c r="Z125" s="49"/>
      <c r="AA125" s="2"/>
      <c r="AB125" s="2"/>
      <c r="AC125" s="2"/>
      <c r="AD125" s="2"/>
      <c r="AE125" s="2"/>
      <c r="AF125" s="2"/>
      <c r="AG125" s="2"/>
      <c r="AH125" s="2"/>
      <c r="AI125" s="2"/>
      <c r="AJ125" s="2"/>
      <c r="AK125" s="2"/>
      <c r="AL125" s="2"/>
    </row>
    <row r="126" spans="3:38" x14ac:dyDescent="0.35">
      <c r="C126" s="271"/>
      <c r="D126" s="155">
        <v>0</v>
      </c>
      <c r="F126" s="13">
        <v>236.44920999999999</v>
      </c>
      <c r="G126" s="13">
        <v>238.57975999999999</v>
      </c>
      <c r="H126" s="2">
        <f t="shared" si="70"/>
        <v>2.1305499999999995</v>
      </c>
      <c r="I126" s="2"/>
      <c r="J126" s="2"/>
      <c r="K126" s="2"/>
      <c r="L126" s="2"/>
      <c r="M126" s="2"/>
      <c r="N126" s="2"/>
      <c r="O126" s="2"/>
      <c r="W126" s="2"/>
      <c r="X126" s="2"/>
      <c r="Y126" s="2"/>
      <c r="Z126" s="2"/>
      <c r="AA126" s="2"/>
      <c r="AB126" s="2"/>
      <c r="AC126" s="2"/>
      <c r="AD126" s="2"/>
      <c r="AE126" s="2"/>
      <c r="AF126" s="2"/>
      <c r="AG126" s="2"/>
      <c r="AH126" s="2"/>
      <c r="AI126" s="2"/>
      <c r="AJ126" s="2"/>
      <c r="AK126" s="2"/>
      <c r="AL126" s="2"/>
    </row>
    <row r="127" spans="3:38" x14ac:dyDescent="0.35">
      <c r="D127" s="155"/>
      <c r="F127" s="13"/>
      <c r="G127" s="13"/>
      <c r="H127" s="2"/>
      <c r="I127" s="2"/>
      <c r="J127" s="2"/>
      <c r="K127" s="2"/>
      <c r="L127" s="2"/>
      <c r="M127" s="2"/>
      <c r="N127" s="2"/>
      <c r="O127" s="2"/>
      <c r="W127" s="2"/>
      <c r="X127" s="2"/>
      <c r="Y127" s="2"/>
      <c r="Z127" s="2"/>
      <c r="AA127" s="2"/>
      <c r="AB127" s="2"/>
      <c r="AC127" s="2"/>
      <c r="AD127" s="2"/>
      <c r="AE127" s="2"/>
      <c r="AF127" s="2"/>
      <c r="AG127" s="2"/>
      <c r="AH127" s="2"/>
      <c r="AI127" s="2"/>
      <c r="AJ127" s="2"/>
      <c r="AK127" s="2"/>
      <c r="AL127" s="2"/>
    </row>
    <row r="128" spans="3:38" ht="16" thickBot="1" x14ac:dyDescent="0.4">
      <c r="D128" s="155"/>
      <c r="F128" s="13"/>
      <c r="G128" s="13"/>
      <c r="H128" s="2"/>
      <c r="I128" s="2"/>
      <c r="J128" s="2"/>
      <c r="K128" s="2"/>
      <c r="L128" s="2"/>
      <c r="M128" s="2"/>
      <c r="N128" s="2"/>
      <c r="O128" s="2"/>
      <c r="W128" s="2"/>
      <c r="Y128" s="13"/>
      <c r="Z128" s="13"/>
      <c r="AA128" s="9" t="s">
        <v>3</v>
      </c>
      <c r="AB128" s="9" t="s">
        <v>4</v>
      </c>
      <c r="AC128" s="9" t="s">
        <v>5</v>
      </c>
      <c r="AD128" s="9" t="s">
        <v>6</v>
      </c>
      <c r="AE128" s="9" t="s">
        <v>7</v>
      </c>
      <c r="AF128" s="9" t="s">
        <v>8</v>
      </c>
      <c r="AG128" s="9" t="s">
        <v>9</v>
      </c>
      <c r="AH128" s="9" t="s">
        <v>10</v>
      </c>
      <c r="AI128" s="44" t="s">
        <v>139</v>
      </c>
      <c r="AJ128" s="2"/>
      <c r="AK128" s="2"/>
      <c r="AL128" s="2"/>
    </row>
    <row r="129" spans="5:38" x14ac:dyDescent="0.35">
      <c r="F129" s="13"/>
      <c r="W129" s="2"/>
      <c r="X129" s="104" t="s">
        <v>410</v>
      </c>
      <c r="Y129" s="13"/>
      <c r="Z129" s="49" t="s">
        <v>77</v>
      </c>
      <c r="AA129" s="13">
        <f t="shared" ref="AA129:AI129" si="85">AVERAGE(AA90:AA104)</f>
        <v>1.5790746666666677</v>
      </c>
      <c r="AB129" s="13">
        <f t="shared" si="85"/>
        <v>6.0464699999999985</v>
      </c>
      <c r="AC129" s="13">
        <f t="shared" si="85"/>
        <v>0.21808527334205832</v>
      </c>
      <c r="AD129" s="13">
        <f t="shared" si="85"/>
        <v>0.78191472665794171</v>
      </c>
      <c r="AE129" s="13">
        <f t="shared" si="85"/>
        <v>0.69289842373191068</v>
      </c>
      <c r="AF129" s="13">
        <f t="shared" si="85"/>
        <v>0.13996281922437684</v>
      </c>
      <c r="AG129" s="13">
        <f t="shared" si="85"/>
        <v>7.6255446666666664</v>
      </c>
      <c r="AH129" s="13">
        <f t="shared" si="85"/>
        <v>14.666666666666666</v>
      </c>
      <c r="AI129" s="13">
        <f t="shared" si="85"/>
        <v>9.4888042748790742</v>
      </c>
      <c r="AJ129" s="2"/>
      <c r="AK129" s="2"/>
      <c r="AL129" s="2"/>
    </row>
    <row r="130" spans="5:38" ht="16" thickBot="1" x14ac:dyDescent="0.4">
      <c r="F130" s="13"/>
      <c r="G130" s="13"/>
      <c r="H130" s="9" t="s">
        <v>3</v>
      </c>
      <c r="I130" s="9" t="s">
        <v>4</v>
      </c>
      <c r="J130" s="9" t="s">
        <v>5</v>
      </c>
      <c r="K130" s="9" t="s">
        <v>6</v>
      </c>
      <c r="L130" s="9" t="s">
        <v>7</v>
      </c>
      <c r="M130" s="9" t="s">
        <v>8</v>
      </c>
      <c r="N130" s="9" t="s">
        <v>9</v>
      </c>
      <c r="O130" s="9" t="s">
        <v>10</v>
      </c>
      <c r="P130" s="44" t="s">
        <v>139</v>
      </c>
      <c r="W130" s="2"/>
      <c r="X130" s="104"/>
      <c r="Y130" s="13"/>
      <c r="Z130" s="49" t="s">
        <v>94</v>
      </c>
      <c r="AA130" s="2">
        <f t="shared" ref="AA130:AI130" si="86">_xlfn.STDEV.S(AA90:AA104)</f>
        <v>0.48498036999842242</v>
      </c>
      <c r="AB130" s="2">
        <f t="shared" si="86"/>
        <v>2.3057379210507531</v>
      </c>
      <c r="AC130" s="2">
        <f t="shared" si="86"/>
        <v>8.1894058731561123E-2</v>
      </c>
      <c r="AD130" s="2">
        <f t="shared" si="86"/>
        <v>8.1894058731558805E-2</v>
      </c>
      <c r="AE130" s="2">
        <f t="shared" si="86"/>
        <v>0.20970116509012776</v>
      </c>
      <c r="AF130" s="2">
        <f t="shared" si="86"/>
        <v>3.2340683015438007E-2</v>
      </c>
      <c r="AG130" s="2">
        <f t="shared" si="86"/>
        <v>2.388033578843439</v>
      </c>
      <c r="AH130" s="2">
        <f t="shared" si="86"/>
        <v>4.287301293465668</v>
      </c>
      <c r="AI130" s="2">
        <f t="shared" si="86"/>
        <v>1.7718448784955576</v>
      </c>
      <c r="AJ130" s="2"/>
      <c r="AK130" s="2"/>
      <c r="AL130" s="2"/>
    </row>
    <row r="131" spans="5:38" x14ac:dyDescent="0.35">
      <c r="E131" s="104" t="s">
        <v>409</v>
      </c>
      <c r="F131" s="13"/>
      <c r="G131" s="49" t="s">
        <v>77</v>
      </c>
      <c r="H131" s="13">
        <f t="shared" ref="H131:P131" si="87">AVERAGE(H111:H118)</f>
        <v>2.7536124999999996</v>
      </c>
      <c r="I131" s="13">
        <f t="shared" si="87"/>
        <v>12.8449925</v>
      </c>
      <c r="J131" s="13">
        <f t="shared" si="87"/>
        <v>0.20465954997936789</v>
      </c>
      <c r="K131" s="13">
        <f t="shared" si="87"/>
        <v>0.79534045002063214</v>
      </c>
      <c r="L131" s="13">
        <f t="shared" si="87"/>
        <v>0.39935954626547154</v>
      </c>
      <c r="M131" s="13">
        <f t="shared" si="87"/>
        <v>7.8288950952847325E-2</v>
      </c>
      <c r="N131" s="13">
        <f t="shared" si="87"/>
        <v>15.598604999999999</v>
      </c>
      <c r="O131" s="13">
        <f t="shared" si="87"/>
        <v>11.875</v>
      </c>
      <c r="P131" s="13">
        <f t="shared" si="87"/>
        <v>4.3879292928949125</v>
      </c>
      <c r="W131" s="2"/>
      <c r="X131" s="104"/>
      <c r="Y131" s="13"/>
      <c r="Z131" s="49" t="s">
        <v>95</v>
      </c>
      <c r="AA131" s="2">
        <f t="shared" ref="AA131:AI131" si="88">AA130/(SQRT(COUNT(AA90:AA104)))</f>
        <v>0.12522139308276006</v>
      </c>
      <c r="AB131" s="2">
        <f t="shared" si="88"/>
        <v>0.59533897126323188</v>
      </c>
      <c r="AC131" s="2">
        <f t="shared" si="88"/>
        <v>2.1144955041377887E-2</v>
      </c>
      <c r="AD131" s="2">
        <f t="shared" si="88"/>
        <v>2.114495504137729E-2</v>
      </c>
      <c r="AE131" s="2">
        <f t="shared" si="88"/>
        <v>5.4144608004957129E-2</v>
      </c>
      <c r="AF131" s="2">
        <f t="shared" si="88"/>
        <v>8.3503284482509647E-3</v>
      </c>
      <c r="AG131" s="2">
        <f t="shared" si="88"/>
        <v>0.61658761873631573</v>
      </c>
      <c r="AH131" s="2">
        <f t="shared" si="88"/>
        <v>1.1069764339844033</v>
      </c>
      <c r="AI131" s="2">
        <f t="shared" si="88"/>
        <v>0.45748838043174656</v>
      </c>
      <c r="AJ131" s="2"/>
      <c r="AK131" s="2"/>
      <c r="AL131" s="2"/>
    </row>
    <row r="132" spans="5:38" x14ac:dyDescent="0.35">
      <c r="E132" s="104"/>
      <c r="F132" s="13"/>
      <c r="G132" s="49" t="s">
        <v>94</v>
      </c>
      <c r="H132" s="2">
        <f t="shared" ref="H132:P132" si="89">_xlfn.STDEV.S(H111:H118)</f>
        <v>0.98359897057039647</v>
      </c>
      <c r="I132" s="2">
        <f t="shared" si="89"/>
        <v>6.5400527310057477</v>
      </c>
      <c r="J132" s="2">
        <f t="shared" si="89"/>
        <v>9.7710850813301414E-2</v>
      </c>
      <c r="K132" s="2">
        <f t="shared" si="89"/>
        <v>9.7710850813300359E-2</v>
      </c>
      <c r="L132" s="2">
        <f t="shared" si="89"/>
        <v>0.11712226017793909</v>
      </c>
      <c r="M132" s="2">
        <f t="shared" si="89"/>
        <v>4.0372678516576332E-2</v>
      </c>
      <c r="N132" s="2">
        <f t="shared" si="89"/>
        <v>6.6640031173655077</v>
      </c>
      <c r="O132" s="2">
        <f t="shared" si="89"/>
        <v>3.7961446607992015</v>
      </c>
      <c r="P132" s="2">
        <f t="shared" si="89"/>
        <v>0.6473715563282807</v>
      </c>
      <c r="W132" s="2"/>
      <c r="X132" s="3"/>
      <c r="Y132" s="13"/>
      <c r="Z132" s="49"/>
      <c r="AA132" s="2"/>
      <c r="AB132" s="2"/>
      <c r="AC132" s="2"/>
      <c r="AD132" s="2"/>
      <c r="AE132" s="2"/>
      <c r="AF132" s="2"/>
      <c r="AG132" s="2"/>
      <c r="AH132" s="2"/>
      <c r="AI132" s="2"/>
      <c r="AJ132" s="2"/>
      <c r="AK132" s="2"/>
      <c r="AL132" s="2"/>
    </row>
    <row r="133" spans="5:38" x14ac:dyDescent="0.35">
      <c r="E133" s="104"/>
      <c r="F133" s="13"/>
      <c r="G133" s="49" t="s">
        <v>95</v>
      </c>
      <c r="H133" s="2">
        <f t="shared" ref="H133:P133" si="90">H132/(SQRT(COUNT(H111:H118)))</f>
        <v>0.34775475102921732</v>
      </c>
      <c r="I133" s="2">
        <f t="shared" si="90"/>
        <v>2.3122578177058819</v>
      </c>
      <c r="J133" s="2">
        <f t="shared" si="90"/>
        <v>3.4546002602796257E-2</v>
      </c>
      <c r="K133" s="2">
        <f t="shared" si="90"/>
        <v>3.4546002602795882E-2</v>
      </c>
      <c r="L133" s="2">
        <f t="shared" si="90"/>
        <v>4.1408972199857931E-2</v>
      </c>
      <c r="M133" s="2">
        <f t="shared" si="90"/>
        <v>1.4273897376867784E-2</v>
      </c>
      <c r="N133" s="2">
        <f t="shared" si="90"/>
        <v>2.356080897068721</v>
      </c>
      <c r="O133" s="2">
        <f t="shared" si="90"/>
        <v>1.3421398160081108</v>
      </c>
      <c r="P133" s="2">
        <f t="shared" si="90"/>
        <v>0.22888040871350815</v>
      </c>
      <c r="W133" s="2"/>
      <c r="X133" s="3"/>
      <c r="Y133" s="2"/>
      <c r="Z133" s="2"/>
      <c r="AA133" s="2"/>
      <c r="AB133" s="2"/>
      <c r="AC133" s="2"/>
      <c r="AD133" s="2"/>
      <c r="AE133" s="2"/>
      <c r="AF133" s="2"/>
      <c r="AG133" s="2"/>
      <c r="AH133" s="2"/>
      <c r="AI133" s="2"/>
      <c r="AJ133" s="2"/>
      <c r="AK133" s="2"/>
      <c r="AL133" s="2"/>
    </row>
    <row r="134" spans="5:38" ht="16" thickBot="1" x14ac:dyDescent="0.4">
      <c r="E134" s="104"/>
      <c r="F134" s="13"/>
      <c r="G134" s="49"/>
      <c r="H134" s="2"/>
      <c r="I134" s="2"/>
      <c r="J134" s="2"/>
      <c r="K134" s="2"/>
      <c r="L134" s="2"/>
      <c r="M134" s="2"/>
      <c r="N134" s="2"/>
      <c r="O134" s="2"/>
      <c r="P134" s="2"/>
      <c r="W134" s="2"/>
      <c r="X134" s="104" t="s">
        <v>81</v>
      </c>
      <c r="Y134" s="13"/>
      <c r="Z134" s="13"/>
      <c r="AA134" s="9" t="s">
        <v>3</v>
      </c>
      <c r="AB134" s="9" t="s">
        <v>4</v>
      </c>
      <c r="AC134" s="9" t="s">
        <v>5</v>
      </c>
      <c r="AD134" s="9" t="s">
        <v>6</v>
      </c>
      <c r="AE134" s="9" t="s">
        <v>7</v>
      </c>
      <c r="AF134" s="9" t="s">
        <v>8</v>
      </c>
      <c r="AG134" s="9" t="s">
        <v>9</v>
      </c>
      <c r="AH134" s="9" t="s">
        <v>10</v>
      </c>
      <c r="AI134" s="44" t="s">
        <v>139</v>
      </c>
      <c r="AJ134" s="2"/>
      <c r="AK134" s="2"/>
      <c r="AL134" s="2"/>
    </row>
    <row r="135" spans="5:38" ht="16" thickBot="1" x14ac:dyDescent="0.4">
      <c r="E135" s="104" t="s">
        <v>81</v>
      </c>
      <c r="F135" s="13"/>
      <c r="G135" s="13"/>
      <c r="H135" s="9" t="s">
        <v>3</v>
      </c>
      <c r="I135" s="9" t="s">
        <v>4</v>
      </c>
      <c r="J135" s="9" t="s">
        <v>5</v>
      </c>
      <c r="K135" s="9" t="s">
        <v>6</v>
      </c>
      <c r="L135" s="9" t="s">
        <v>7</v>
      </c>
      <c r="M135" s="9" t="s">
        <v>8</v>
      </c>
      <c r="N135" s="9" t="s">
        <v>9</v>
      </c>
      <c r="O135" s="9" t="s">
        <v>10</v>
      </c>
      <c r="P135" s="44" t="s">
        <v>139</v>
      </c>
      <c r="W135" s="2"/>
      <c r="Y135" s="13"/>
      <c r="Z135" s="49" t="s">
        <v>77</v>
      </c>
      <c r="AA135" s="13">
        <f>AVERAGE(AA90:AA91,AA94:AA95,AA97:AA98,AA100:AA101,AA104)</f>
        <v>1.5620466666666648</v>
      </c>
      <c r="AB135" s="13">
        <f t="shared" ref="AB135:AI135" si="91">AVERAGE(AB90:AB91,AB94:AB95,AB97:AB98,AB100:AB101,AB104)</f>
        <v>4.9613244444444451</v>
      </c>
      <c r="AC135" s="13">
        <f t="shared" si="91"/>
        <v>0.24500181575547725</v>
      </c>
      <c r="AD135" s="13">
        <f t="shared" si="91"/>
        <v>0.7549981842445227</v>
      </c>
      <c r="AE135" s="13">
        <f t="shared" si="91"/>
        <v>0.70468188990703995</v>
      </c>
      <c r="AF135" s="13">
        <f t="shared" si="91"/>
        <v>0.15633758900883526</v>
      </c>
      <c r="AG135" s="13">
        <f t="shared" si="91"/>
        <v>6.5233711111111097</v>
      </c>
      <c r="AH135" s="13">
        <f t="shared" si="91"/>
        <v>13.888888888888889</v>
      </c>
      <c r="AI135" s="13">
        <f t="shared" si="91"/>
        <v>9.190127569535619</v>
      </c>
      <c r="AJ135" s="2"/>
      <c r="AK135" s="2"/>
      <c r="AL135" s="2"/>
    </row>
    <row r="136" spans="5:38" x14ac:dyDescent="0.35">
      <c r="F136" s="13"/>
      <c r="G136" s="49" t="s">
        <v>77</v>
      </c>
      <c r="H136" s="13">
        <f>AVERAGE(H111,H113,H115:H118)</f>
        <v>2.2653549999999996</v>
      </c>
      <c r="I136" s="13">
        <f t="shared" ref="I136:P136" si="92">AVERAGE(I111,I113,I115:I118)</f>
        <v>13.326803333333332</v>
      </c>
      <c r="J136" s="13">
        <f t="shared" si="92"/>
        <v>0.17882031053599232</v>
      </c>
      <c r="K136" s="13">
        <f t="shared" si="92"/>
        <v>0.82117968946400766</v>
      </c>
      <c r="L136" s="13">
        <f t="shared" si="92"/>
        <v>0.45345472121220903</v>
      </c>
      <c r="M136" s="13">
        <f t="shared" si="92"/>
        <v>8.2125509105900871E-2</v>
      </c>
      <c r="N136" s="13">
        <f t="shared" si="92"/>
        <v>15.592158333333332</v>
      </c>
      <c r="O136" s="13">
        <f t="shared" si="92"/>
        <v>10.166666666666666</v>
      </c>
      <c r="P136" s="13">
        <f t="shared" si="92"/>
        <v>4.5084704554761279</v>
      </c>
      <c r="W136" s="2"/>
      <c r="X136" s="104"/>
      <c r="Y136" s="13"/>
      <c r="Z136" s="49" t="s">
        <v>94</v>
      </c>
      <c r="AA136" s="2">
        <f>_xlfn.STDEV.S(AA90:AA91,AA94:AA95,AA97:AA98,AA100:AA101,AA104)</f>
        <v>0.51346520527198269</v>
      </c>
      <c r="AB136" s="2">
        <f t="shared" ref="AB136:AI136" si="93">_xlfn.STDEV.S(AB90:AB91,AB94:AB95,AB97:AB98,AB100:AB101,AB104)</f>
        <v>1.1413668102007288</v>
      </c>
      <c r="AC136" s="2">
        <f t="shared" si="93"/>
        <v>9.0720596067750153E-2</v>
      </c>
      <c r="AD136" s="2">
        <f t="shared" si="93"/>
        <v>9.0720596067750833E-2</v>
      </c>
      <c r="AE136" s="2">
        <f t="shared" si="93"/>
        <v>0.22302836261756304</v>
      </c>
      <c r="AF136" s="2">
        <f t="shared" si="93"/>
        <v>2.3401303953936071E-2</v>
      </c>
      <c r="AG136" s="2">
        <f t="shared" si="93"/>
        <v>0.96508154033019888</v>
      </c>
      <c r="AH136" s="2">
        <f t="shared" si="93"/>
        <v>4.0756730868791617</v>
      </c>
      <c r="AI136" s="2">
        <f t="shared" si="93"/>
        <v>2.0667334640459911</v>
      </c>
      <c r="AJ136" s="2"/>
      <c r="AK136" s="2"/>
      <c r="AL136" s="2"/>
    </row>
    <row r="137" spans="5:38" x14ac:dyDescent="0.35">
      <c r="E137" s="104"/>
      <c r="F137" s="13"/>
      <c r="G137" s="49" t="s">
        <v>94</v>
      </c>
      <c r="H137" s="2">
        <f>_xlfn.STDEV.S(H111,H113,H115:H118)</f>
        <v>0.45788778506310956</v>
      </c>
      <c r="I137" s="2">
        <f t="shared" ref="I137:P137" si="94">_xlfn.STDEV.S(I111,I113,I115:I118)</f>
        <v>7.3931612617977338</v>
      </c>
      <c r="J137" s="2">
        <f t="shared" si="94"/>
        <v>9.3512791469078357E-2</v>
      </c>
      <c r="K137" s="2">
        <f t="shared" si="94"/>
        <v>9.3512791469078649E-2</v>
      </c>
      <c r="L137" s="2">
        <f t="shared" si="94"/>
        <v>7.1811760293497645E-2</v>
      </c>
      <c r="M137" s="2">
        <f t="shared" si="94"/>
        <v>4.6236515843238152E-2</v>
      </c>
      <c r="N137" s="2">
        <f t="shared" si="94"/>
        <v>7.6258692306317881</v>
      </c>
      <c r="O137" s="2">
        <f t="shared" si="94"/>
        <v>2.1369760566432827</v>
      </c>
      <c r="P137" s="2">
        <f t="shared" si="94"/>
        <v>0.66283248549165064</v>
      </c>
      <c r="W137" s="2"/>
      <c r="X137" s="104"/>
      <c r="Y137" s="13"/>
      <c r="Z137" s="49" t="s">
        <v>95</v>
      </c>
      <c r="AA137" s="2">
        <f>AA136/(SQRT(COUNT(AA90:AA91,AA94:AA95,AA97:AA98,AA100:AA101,AA104)))</f>
        <v>0.17115506842399422</v>
      </c>
      <c r="AB137" s="2">
        <f t="shared" ref="AB137:AI137" si="95">AB136/(SQRT(COUNT(AB90:AB91,AB94:AB95,AB97:AB98,AB100:AB101,AB104)))</f>
        <v>0.38045560340024293</v>
      </c>
      <c r="AC137" s="2">
        <f t="shared" si="95"/>
        <v>3.0240198689250052E-2</v>
      </c>
      <c r="AD137" s="2">
        <f t="shared" si="95"/>
        <v>3.0240198689250278E-2</v>
      </c>
      <c r="AE137" s="2">
        <f t="shared" si="95"/>
        <v>7.4342787539187674E-2</v>
      </c>
      <c r="AF137" s="2">
        <f t="shared" si="95"/>
        <v>7.8004346513120236E-3</v>
      </c>
      <c r="AG137" s="2">
        <f t="shared" si="95"/>
        <v>0.32169384677673296</v>
      </c>
      <c r="AH137" s="2">
        <f t="shared" si="95"/>
        <v>1.3585576956263872</v>
      </c>
      <c r="AI137" s="2">
        <f t="shared" si="95"/>
        <v>0.68891115468199704</v>
      </c>
      <c r="AJ137" s="2"/>
      <c r="AK137" s="2"/>
      <c r="AL137" s="2"/>
    </row>
    <row r="138" spans="5:38" x14ac:dyDescent="0.35">
      <c r="E138" s="104"/>
      <c r="F138" s="13"/>
      <c r="G138" s="49" t="s">
        <v>95</v>
      </c>
      <c r="H138" s="2">
        <f>H137/(SQRT(COUNT(H111,H113,H115:H118)))</f>
        <v>0.18693190547629926</v>
      </c>
      <c r="I138" s="2">
        <f t="shared" ref="I138:P138" si="96">I137/(SQRT(COUNT(I111,I113,I115:I118)))</f>
        <v>3.0182454462525814</v>
      </c>
      <c r="J138" s="2">
        <f t="shared" si="96"/>
        <v>3.8176437253754955E-2</v>
      </c>
      <c r="K138" s="2">
        <f t="shared" si="96"/>
        <v>3.8176437253755073E-2</v>
      </c>
      <c r="L138" s="2">
        <f t="shared" si="96"/>
        <v>2.9317028375021134E-2</v>
      </c>
      <c r="M138" s="2">
        <f t="shared" si="96"/>
        <v>1.8875978550007295E-2</v>
      </c>
      <c r="N138" s="2">
        <f t="shared" si="96"/>
        <v>3.1132480767064021</v>
      </c>
      <c r="O138" s="2">
        <f t="shared" si="96"/>
        <v>0.87241682188682756</v>
      </c>
      <c r="P138" s="2">
        <f t="shared" si="96"/>
        <v>0.27060022906587966</v>
      </c>
      <c r="W138" s="2"/>
      <c r="X138" s="104"/>
      <c r="Y138" s="13"/>
      <c r="Z138" s="49"/>
      <c r="AA138" s="2"/>
      <c r="AB138" s="2"/>
      <c r="AC138" s="2"/>
      <c r="AD138" s="2"/>
      <c r="AE138" s="2"/>
      <c r="AF138" s="2"/>
      <c r="AG138" s="2"/>
      <c r="AH138" s="2"/>
      <c r="AI138" s="2"/>
      <c r="AJ138" s="2"/>
      <c r="AK138" s="2"/>
      <c r="AL138" s="2"/>
    </row>
    <row r="139" spans="5:38" x14ac:dyDescent="0.35">
      <c r="E139" s="104"/>
      <c r="F139" s="13"/>
      <c r="G139" s="49"/>
      <c r="H139" s="2"/>
      <c r="I139" s="2"/>
      <c r="J139" s="2"/>
      <c r="K139" s="2"/>
      <c r="L139" s="2"/>
      <c r="M139" s="2"/>
      <c r="N139" s="2"/>
      <c r="O139" s="2"/>
      <c r="P139" s="2"/>
      <c r="W139" s="2"/>
      <c r="X139" s="104"/>
      <c r="Y139" s="13"/>
      <c r="Z139" s="49"/>
      <c r="AA139" s="2"/>
      <c r="AB139" s="2"/>
      <c r="AC139" s="2"/>
      <c r="AD139" s="2"/>
      <c r="AE139" s="2"/>
      <c r="AF139" s="2"/>
      <c r="AG139" s="2"/>
      <c r="AH139" s="2"/>
      <c r="AI139" s="2"/>
      <c r="AJ139" s="2"/>
      <c r="AK139" s="2"/>
      <c r="AL139" s="2"/>
    </row>
    <row r="140" spans="5:38" ht="16" thickBot="1" x14ac:dyDescent="0.4">
      <c r="E140" s="104"/>
      <c r="F140" s="13"/>
      <c r="G140" s="49"/>
      <c r="H140" s="2"/>
      <c r="I140" s="2"/>
      <c r="J140" s="2"/>
      <c r="K140" s="2"/>
      <c r="L140" s="2"/>
      <c r="M140" s="2"/>
      <c r="N140" s="2"/>
      <c r="O140" s="2"/>
      <c r="P140" s="2"/>
      <c r="W140" s="2"/>
      <c r="X140" s="104" t="s">
        <v>82</v>
      </c>
      <c r="Y140" s="13"/>
      <c r="Z140" s="13"/>
      <c r="AA140" s="9" t="s">
        <v>3</v>
      </c>
      <c r="AB140" s="9" t="s">
        <v>4</v>
      </c>
      <c r="AC140" s="9" t="s">
        <v>5</v>
      </c>
      <c r="AD140" s="9" t="s">
        <v>6</v>
      </c>
      <c r="AE140" s="9" t="s">
        <v>7</v>
      </c>
      <c r="AF140" s="9" t="s">
        <v>8</v>
      </c>
      <c r="AG140" s="9" t="s">
        <v>9</v>
      </c>
      <c r="AH140" s="9" t="s">
        <v>10</v>
      </c>
      <c r="AI140" s="44" t="s">
        <v>139</v>
      </c>
      <c r="AJ140" s="2"/>
      <c r="AK140" s="2"/>
      <c r="AL140" s="2"/>
    </row>
    <row r="141" spans="5:38" ht="16" thickBot="1" x14ac:dyDescent="0.4">
      <c r="E141" s="104" t="s">
        <v>82</v>
      </c>
      <c r="F141" s="13"/>
      <c r="G141" s="13"/>
      <c r="H141" s="9" t="s">
        <v>3</v>
      </c>
      <c r="I141" s="9" t="s">
        <v>4</v>
      </c>
      <c r="J141" s="9" t="s">
        <v>5</v>
      </c>
      <c r="K141" s="9" t="s">
        <v>6</v>
      </c>
      <c r="L141" s="9" t="s">
        <v>7</v>
      </c>
      <c r="M141" s="9" t="s">
        <v>8</v>
      </c>
      <c r="N141" s="9" t="s">
        <v>9</v>
      </c>
      <c r="O141" s="9" t="s">
        <v>10</v>
      </c>
      <c r="P141" s="44" t="s">
        <v>139</v>
      </c>
      <c r="W141" s="2"/>
      <c r="X141" s="104"/>
      <c r="Y141" s="13"/>
      <c r="Z141" s="49" t="s">
        <v>77</v>
      </c>
      <c r="AA141" s="13">
        <f>AVERAGE(AA92:AA93,AA96,AA99,AA102:AA103)</f>
        <v>1.6046166666666721</v>
      </c>
      <c r="AB141" s="13">
        <f t="shared" ref="AB141:AI141" si="97">AVERAGE(AB92:AB93,AB96,AB99,AB102:AB103)</f>
        <v>7.6741883333333289</v>
      </c>
      <c r="AC141" s="13">
        <f t="shared" si="97"/>
        <v>0.17771045972192992</v>
      </c>
      <c r="AD141" s="13">
        <f t="shared" si="97"/>
        <v>0.82228954027807</v>
      </c>
      <c r="AE141" s="13">
        <f t="shared" si="97"/>
        <v>0.67522322446921645</v>
      </c>
      <c r="AF141" s="13">
        <f t="shared" si="97"/>
        <v>0.1154006645476892</v>
      </c>
      <c r="AG141" s="13">
        <f t="shared" si="97"/>
        <v>9.2788050000000002</v>
      </c>
      <c r="AH141" s="13">
        <f t="shared" si="97"/>
        <v>15.833333333333334</v>
      </c>
      <c r="AI141" s="13">
        <f t="shared" si="97"/>
        <v>9.9368193328942578</v>
      </c>
      <c r="AJ141" s="2"/>
      <c r="AK141" s="2"/>
      <c r="AL141" s="2"/>
    </row>
    <row r="142" spans="5:38" x14ac:dyDescent="0.35">
      <c r="E142" s="104"/>
      <c r="F142" s="13"/>
      <c r="G142" s="49" t="s">
        <v>77</v>
      </c>
      <c r="H142" s="13">
        <f>AVERAGE(H112,H114)</f>
        <v>4.2183849999999996</v>
      </c>
      <c r="I142" s="13">
        <f t="shared" ref="I142:P142" si="98">AVERAGE(I112,I114)</f>
        <v>11.399560000000001</v>
      </c>
      <c r="J142" s="13">
        <f t="shared" si="98"/>
        <v>0.28217726830949469</v>
      </c>
      <c r="K142" s="13">
        <f t="shared" si="98"/>
        <v>0.71782273169050526</v>
      </c>
      <c r="L142" s="13">
        <f t="shared" si="98"/>
        <v>0.23707402142525907</v>
      </c>
      <c r="M142" s="13">
        <f t="shared" si="98"/>
        <v>6.677927649368666E-2</v>
      </c>
      <c r="N142" s="13">
        <f t="shared" si="98"/>
        <v>15.617945000000002</v>
      </c>
      <c r="O142" s="13">
        <f t="shared" si="98"/>
        <v>17</v>
      </c>
      <c r="P142" s="13">
        <f t="shared" si="98"/>
        <v>4.0263058051512646</v>
      </c>
      <c r="W142" s="2"/>
      <c r="X142" s="104"/>
      <c r="Y142" s="13"/>
      <c r="Z142" s="49" t="s">
        <v>94</v>
      </c>
      <c r="AA142" s="2">
        <f>_xlfn.STDEV.S(AA92:AA93,AA96,AA99,AA102:AA103)</f>
        <v>0.48521899306051502</v>
      </c>
      <c r="AB142" s="2">
        <f t="shared" ref="AB142:AI142" si="99">_xlfn.STDEV.S(AB92:AB93,AB96,AB99,AB102:AB103)</f>
        <v>2.7391081671917816</v>
      </c>
      <c r="AC142" s="2">
        <f t="shared" si="99"/>
        <v>4.8476484653269772E-2</v>
      </c>
      <c r="AD142" s="2">
        <f t="shared" si="99"/>
        <v>4.8476484653269709E-2</v>
      </c>
      <c r="AE142" s="2">
        <f t="shared" si="99"/>
        <v>0.20716504049548029</v>
      </c>
      <c r="AF142" s="2">
        <f t="shared" si="99"/>
        <v>2.908234603019225E-2</v>
      </c>
      <c r="AG142" s="2">
        <f t="shared" si="99"/>
        <v>3.0018029548239866</v>
      </c>
      <c r="AH142" s="2">
        <f t="shared" si="99"/>
        <v>4.7081489639418432</v>
      </c>
      <c r="AI142" s="2">
        <f t="shared" si="99"/>
        <v>1.2469007350202084</v>
      </c>
      <c r="AJ142" s="2"/>
      <c r="AK142" s="2"/>
      <c r="AL142" s="2"/>
    </row>
    <row r="143" spans="5:38" ht="15.5" x14ac:dyDescent="0.35">
      <c r="E143" s="104"/>
      <c r="F143" s="13"/>
      <c r="G143" s="49" t="s">
        <v>94</v>
      </c>
      <c r="H143" s="2">
        <f>_xlfn.STDEV.S(H112,H114)</f>
        <v>4.97308199208513E-2</v>
      </c>
      <c r="I143" s="2">
        <f t="shared" ref="I143:P143" si="100">_xlfn.STDEV.S(I112,I114)</f>
        <v>4.5321584876083101</v>
      </c>
      <c r="J143" s="2">
        <f t="shared" si="100"/>
        <v>8.4170485591016933E-2</v>
      </c>
      <c r="K143" s="2">
        <f t="shared" si="100"/>
        <v>8.4170485591017044E-2</v>
      </c>
      <c r="L143" s="2">
        <f t="shared" si="100"/>
        <v>2.7948813271931371E-3</v>
      </c>
      <c r="M143" s="2">
        <f t="shared" si="100"/>
        <v>1.9165983526222685E-2</v>
      </c>
      <c r="N143" s="2">
        <f t="shared" si="100"/>
        <v>4.4824276676874426</v>
      </c>
      <c r="O143" s="2">
        <f t="shared" si="100"/>
        <v>2.8284271247461903</v>
      </c>
      <c r="P143" s="2">
        <f t="shared" si="100"/>
        <v>0.62303361020957437</v>
      </c>
      <c r="W143" s="199"/>
      <c r="X143" s="104"/>
      <c r="Y143" s="13"/>
      <c r="Z143" s="49" t="s">
        <v>95</v>
      </c>
      <c r="AA143" s="2">
        <f>AA142/(SQRT(COUNT(AA92:AA93,AA96,AA99,AA102:AA103)))</f>
        <v>0.1980898244175523</v>
      </c>
      <c r="AB143" s="2">
        <f t="shared" ref="AB143:AI143" si="101">AB142/(SQRT(COUNT(AB92:AB93,AB96,AB99,AB102:AB103)))</f>
        <v>1.1182362266516501</v>
      </c>
      <c r="AC143" s="2">
        <f t="shared" si="101"/>
        <v>1.9790441987395078E-2</v>
      </c>
      <c r="AD143" s="2">
        <f t="shared" si="101"/>
        <v>1.9790441987395054E-2</v>
      </c>
      <c r="AE143" s="2">
        <f t="shared" si="101"/>
        <v>8.4574773626156785E-2</v>
      </c>
      <c r="AF143" s="2">
        <f t="shared" si="101"/>
        <v>1.18728180495045E-2</v>
      </c>
      <c r="AG143" s="2">
        <f t="shared" si="101"/>
        <v>1.2254809246162652</v>
      </c>
      <c r="AH143" s="2">
        <f t="shared" si="101"/>
        <v>1.9220937657784656</v>
      </c>
      <c r="AI143" s="2">
        <f t="shared" si="101"/>
        <v>0.50904509345013438</v>
      </c>
      <c r="AJ143" s="2"/>
      <c r="AK143" s="14"/>
      <c r="AL143" s="2"/>
    </row>
    <row r="144" spans="5:38" x14ac:dyDescent="0.35">
      <c r="E144" s="104"/>
      <c r="F144" s="13"/>
      <c r="G144" s="49" t="s">
        <v>95</v>
      </c>
      <c r="H144" s="2">
        <f>H143/(SQRT(COUNT(H112,H114)))</f>
        <v>3.5165000000000994E-2</v>
      </c>
      <c r="I144" s="2">
        <f t="shared" ref="I144:P144" si="102">I143/(SQRT(COUNT(I112,I114)))</f>
        <v>3.2047200000000031</v>
      </c>
      <c r="J144" s="2">
        <f t="shared" si="102"/>
        <v>5.9517521137172659E-2</v>
      </c>
      <c r="K144" s="2">
        <f t="shared" si="102"/>
        <v>5.9517521137172735E-2</v>
      </c>
      <c r="L144" s="2">
        <f t="shared" si="102"/>
        <v>1.976279539069925E-3</v>
      </c>
      <c r="M144" s="2">
        <f t="shared" si="102"/>
        <v>1.3552396919501717E-2</v>
      </c>
      <c r="N144" s="2">
        <f t="shared" si="102"/>
        <v>3.169554999999991</v>
      </c>
      <c r="O144" s="2">
        <f t="shared" si="102"/>
        <v>2</v>
      </c>
      <c r="P144" s="2">
        <f t="shared" si="102"/>
        <v>0.4405512906863262</v>
      </c>
      <c r="W144" s="206"/>
      <c r="X144" s="2"/>
      <c r="Y144" s="2"/>
      <c r="Z144" s="2"/>
      <c r="AA144" s="2"/>
      <c r="AB144" s="2"/>
      <c r="AC144" s="2"/>
      <c r="AD144" s="2"/>
      <c r="AE144" s="2"/>
      <c r="AF144" s="2"/>
      <c r="AG144" s="2"/>
      <c r="AH144" s="2"/>
      <c r="AI144" s="2"/>
      <c r="AJ144" s="2"/>
      <c r="AK144" s="2"/>
      <c r="AL144" s="2"/>
    </row>
    <row r="145" spans="2:39" x14ac:dyDescent="0.35">
      <c r="E145" s="104"/>
      <c r="F145" s="13"/>
      <c r="G145" s="49"/>
      <c r="H145" s="2"/>
      <c r="I145" s="2"/>
      <c r="J145" s="2"/>
      <c r="K145" s="2"/>
      <c r="L145" s="2"/>
      <c r="M145" s="2"/>
      <c r="N145" s="2"/>
      <c r="O145" s="2"/>
      <c r="P145" s="2"/>
      <c r="W145" s="206"/>
      <c r="X145" s="2"/>
      <c r="Y145" s="13"/>
      <c r="Z145" s="2"/>
      <c r="AA145" s="2"/>
      <c r="AB145" s="2"/>
      <c r="AC145" s="2"/>
      <c r="AD145" s="2"/>
      <c r="AE145" s="2"/>
      <c r="AF145" s="2"/>
      <c r="AG145" s="2"/>
      <c r="AH145" s="2"/>
      <c r="AI145" s="2"/>
      <c r="AJ145" s="2"/>
      <c r="AK145" s="2"/>
      <c r="AL145" s="2"/>
    </row>
    <row r="146" spans="2:39" x14ac:dyDescent="0.35">
      <c r="E146" s="104"/>
      <c r="W146" s="206"/>
      <c r="X146" s="2"/>
      <c r="Y146" s="13"/>
      <c r="Z146" s="2"/>
      <c r="AA146" s="2"/>
      <c r="AB146" s="2"/>
      <c r="AC146" s="2"/>
      <c r="AD146" s="2"/>
      <c r="AE146" s="2"/>
      <c r="AF146" s="2"/>
      <c r="AG146" s="2"/>
      <c r="AH146" s="2"/>
      <c r="AI146" s="2"/>
      <c r="AJ146" s="2"/>
      <c r="AK146" s="2"/>
      <c r="AL146" s="2"/>
      <c r="AM146" s="2"/>
    </row>
    <row r="147" spans="2:39" ht="16" thickBot="1" x14ac:dyDescent="0.4">
      <c r="E147" s="104"/>
      <c r="G147" s="13"/>
      <c r="H147" s="9" t="s">
        <v>3</v>
      </c>
      <c r="I147" s="9" t="s">
        <v>4</v>
      </c>
      <c r="J147" s="9" t="s">
        <v>5</v>
      </c>
      <c r="K147" s="9" t="s">
        <v>6</v>
      </c>
      <c r="L147" s="9" t="s">
        <v>7</v>
      </c>
      <c r="M147" s="9" t="s">
        <v>8</v>
      </c>
      <c r="N147" s="9" t="s">
        <v>9</v>
      </c>
      <c r="O147" s="9" t="s">
        <v>10</v>
      </c>
      <c r="P147" s="44" t="s">
        <v>139</v>
      </c>
      <c r="W147" s="206"/>
      <c r="X147" s="2"/>
      <c r="Y147" s="13"/>
      <c r="Z147" s="2"/>
      <c r="AA147" s="2"/>
      <c r="AB147" s="2"/>
      <c r="AC147" s="2"/>
      <c r="AD147" s="2"/>
      <c r="AE147" s="2"/>
      <c r="AF147" s="2"/>
      <c r="AG147" s="2"/>
      <c r="AH147" s="2"/>
      <c r="AI147" s="2"/>
      <c r="AJ147" s="2"/>
      <c r="AK147" s="2"/>
      <c r="AL147" s="2"/>
      <c r="AM147" s="2"/>
    </row>
    <row r="148" spans="2:39" ht="18.5" x14ac:dyDescent="0.45">
      <c r="E148" s="104" t="s">
        <v>410</v>
      </c>
      <c r="G148" s="49" t="s">
        <v>77</v>
      </c>
      <c r="H148" s="13">
        <f t="shared" ref="H148:P148" si="103">AVERAGE(H119:H125)</f>
        <v>2.1446199999999953</v>
      </c>
      <c r="I148" s="13">
        <f t="shared" si="103"/>
        <v>13.69303428571429</v>
      </c>
      <c r="J148" s="13">
        <f t="shared" si="103"/>
        <v>0.14666223655874402</v>
      </c>
      <c r="K148" s="13">
        <f t="shared" si="103"/>
        <v>0.85333776344125589</v>
      </c>
      <c r="L148" s="13">
        <f t="shared" si="103"/>
        <v>0.46759852507126615</v>
      </c>
      <c r="M148" s="13">
        <f t="shared" si="103"/>
        <v>6.8583391111672026E-2</v>
      </c>
      <c r="N148" s="13">
        <f t="shared" si="103"/>
        <v>15.837654285714285</v>
      </c>
      <c r="O148" s="13">
        <f t="shared" si="103"/>
        <v>9.8571428571428577</v>
      </c>
      <c r="P148" s="13">
        <f t="shared" si="103"/>
        <v>4.578239755089486</v>
      </c>
      <c r="Y148" s="1" t="s">
        <v>91</v>
      </c>
      <c r="Z148" s="3"/>
      <c r="AA148" s="3"/>
      <c r="AB148" s="3"/>
      <c r="AC148" s="3"/>
      <c r="AD148" s="3"/>
      <c r="AE148" s="3"/>
      <c r="AF148" s="3"/>
      <c r="AG148" s="3"/>
      <c r="AH148" s="3"/>
      <c r="AL148" s="2"/>
      <c r="AM148" s="2"/>
    </row>
    <row r="149" spans="2:39" ht="16" thickBot="1" x14ac:dyDescent="0.4">
      <c r="G149" s="49" t="s">
        <v>94</v>
      </c>
      <c r="H149" s="2">
        <f t="shared" ref="H149:P149" si="104">_xlfn.STDEV.S(H119:H125)</f>
        <v>0.1244411609288988</v>
      </c>
      <c r="I149" s="2">
        <f t="shared" si="104"/>
        <v>5.2821969291885029</v>
      </c>
      <c r="J149" s="2">
        <f t="shared" si="104"/>
        <v>3.9638686249600437E-2</v>
      </c>
      <c r="K149" s="2">
        <f t="shared" si="104"/>
        <v>3.9638686249600465E-2</v>
      </c>
      <c r="L149" s="2">
        <f t="shared" si="104"/>
        <v>2.6502831212552952E-2</v>
      </c>
      <c r="M149" s="2">
        <f t="shared" si="104"/>
        <v>1.9361112773772209E-2</v>
      </c>
      <c r="N149" s="2">
        <f t="shared" si="104"/>
        <v>5.2916314868064971</v>
      </c>
      <c r="O149" s="2">
        <f t="shared" si="104"/>
        <v>2.1157009420498167</v>
      </c>
      <c r="P149" s="2">
        <f t="shared" si="104"/>
        <v>0.85413051891575409</v>
      </c>
      <c r="V149" s="204" t="s">
        <v>122</v>
      </c>
      <c r="W149" s="204" t="s">
        <v>406</v>
      </c>
      <c r="Y149" s="9" t="s">
        <v>1</v>
      </c>
      <c r="Z149" s="9" t="s">
        <v>2</v>
      </c>
      <c r="AA149" s="9" t="s">
        <v>3</v>
      </c>
      <c r="AB149" s="9" t="s">
        <v>4</v>
      </c>
      <c r="AC149" s="9" t="s">
        <v>5</v>
      </c>
      <c r="AD149" s="9" t="s">
        <v>6</v>
      </c>
      <c r="AE149" s="9" t="s">
        <v>7</v>
      </c>
      <c r="AF149" s="9" t="s">
        <v>8</v>
      </c>
      <c r="AG149" s="9" t="s">
        <v>9</v>
      </c>
      <c r="AH149" s="9" t="s">
        <v>10</v>
      </c>
      <c r="AI149" s="44" t="s">
        <v>139</v>
      </c>
      <c r="AK149" s="44" t="s">
        <v>138</v>
      </c>
      <c r="AL149" s="2"/>
      <c r="AM149" s="2"/>
    </row>
    <row r="150" spans="2:39" x14ac:dyDescent="0.35">
      <c r="G150" s="49" t="s">
        <v>95</v>
      </c>
      <c r="H150" s="2">
        <f t="shared" ref="H150:P150" si="105">H149/(SQRT(COUNT(H119:H125)))</f>
        <v>4.7034337811147672E-2</v>
      </c>
      <c r="I150" s="2">
        <f t="shared" si="105"/>
        <v>1.9964827786716908</v>
      </c>
      <c r="J150" s="2">
        <f t="shared" si="105"/>
        <v>1.498201515910833E-2</v>
      </c>
      <c r="K150" s="2">
        <f t="shared" si="105"/>
        <v>1.4982015159108341E-2</v>
      </c>
      <c r="L150" s="2">
        <f t="shared" si="105"/>
        <v>1.0017128632505075E-2</v>
      </c>
      <c r="M150" s="2">
        <f t="shared" si="105"/>
        <v>7.31781278641103E-3</v>
      </c>
      <c r="N150" s="2">
        <f t="shared" si="105"/>
        <v>2.0000487062698511</v>
      </c>
      <c r="O150" s="2">
        <f t="shared" si="105"/>
        <v>0.79965979160698453</v>
      </c>
      <c r="P150" s="2">
        <f t="shared" si="105"/>
        <v>0.32283099146309074</v>
      </c>
      <c r="W150" s="155">
        <v>-2</v>
      </c>
      <c r="Y150" s="2">
        <v>2.7967900000000001</v>
      </c>
      <c r="Z150" s="2">
        <v>3.8873500000000001</v>
      </c>
      <c r="AA150" s="2">
        <f>Z150-Y150</f>
        <v>1.09056</v>
      </c>
      <c r="AB150" s="2">
        <f>Y151-Z150</f>
        <v>4.8237199999999998</v>
      </c>
      <c r="AC150" s="2">
        <f>AA150/AG150</f>
        <v>0.18439438105737302</v>
      </c>
      <c r="AD150" s="2">
        <f>AB150/AG150</f>
        <v>0.81560561894262695</v>
      </c>
      <c r="AE150" s="2">
        <f>1/AA150</f>
        <v>0.91696009389671362</v>
      </c>
      <c r="AF150" s="2">
        <f>1/AG150</f>
        <v>0.16908228896839514</v>
      </c>
      <c r="AG150" s="2">
        <f>AA150+AB150</f>
        <v>5.9142799999999998</v>
      </c>
      <c r="AH150" s="2">
        <v>9</v>
      </c>
      <c r="AI150">
        <f>AH150/AA150</f>
        <v>8.2526408450704221</v>
      </c>
      <c r="AK150" t="s">
        <v>468</v>
      </c>
      <c r="AL150" s="2"/>
      <c r="AM150" s="2"/>
    </row>
    <row r="151" spans="2:39" x14ac:dyDescent="0.35">
      <c r="G151" s="49"/>
      <c r="H151" s="2"/>
      <c r="I151" s="2"/>
      <c r="J151" s="2"/>
      <c r="K151" s="2"/>
      <c r="L151" s="2"/>
      <c r="M151" s="2"/>
      <c r="N151" s="2"/>
      <c r="O151" s="2"/>
      <c r="P151" s="2"/>
      <c r="V151" s="287" t="s">
        <v>541</v>
      </c>
      <c r="W151" s="155">
        <v>-2</v>
      </c>
      <c r="Y151" s="2">
        <v>8.7110699999999994</v>
      </c>
      <c r="Z151" s="2">
        <v>9.8555100000000007</v>
      </c>
      <c r="AA151" s="2">
        <f t="shared" ref="AA151:AA196" si="106">Z151-Y151</f>
        <v>1.1444400000000012</v>
      </c>
      <c r="AB151" s="2">
        <f t="shared" ref="AB151:AB195" si="107">Y152-Z151</f>
        <v>7.6401999999999983</v>
      </c>
      <c r="AC151" s="2">
        <f t="shared" ref="AC151:AC195" si="108">AA151/AG151</f>
        <v>0.13027739326825019</v>
      </c>
      <c r="AD151" s="2">
        <f t="shared" ref="AD151:AD195" si="109">AB151/AG151</f>
        <v>0.86972260673174984</v>
      </c>
      <c r="AE151" s="2">
        <f t="shared" ref="AE151:AE195" si="110">1/AA151</f>
        <v>0.87378980112544036</v>
      </c>
      <c r="AF151" s="2">
        <f t="shared" ref="AF151:AF195" si="111">1/AG151</f>
        <v>0.1138350575550051</v>
      </c>
      <c r="AG151" s="2">
        <f t="shared" ref="AG151:AG195" si="112">AA151+AB151</f>
        <v>8.7846399999999996</v>
      </c>
      <c r="AH151" s="2">
        <v>10</v>
      </c>
      <c r="AI151">
        <f t="shared" ref="AI151:AI195" si="113">AH151/AA151</f>
        <v>8.7378980112544031</v>
      </c>
      <c r="AL151" s="2"/>
      <c r="AM151" s="2"/>
    </row>
    <row r="152" spans="2:39" x14ac:dyDescent="0.35">
      <c r="G152" s="49"/>
      <c r="H152" s="2"/>
      <c r="I152" s="2"/>
      <c r="J152" s="2"/>
      <c r="K152" s="2"/>
      <c r="L152" s="2"/>
      <c r="M152" s="2"/>
      <c r="N152" s="2"/>
      <c r="O152" s="2"/>
      <c r="P152" s="2"/>
      <c r="V152" s="287" t="s">
        <v>541</v>
      </c>
      <c r="W152" s="155">
        <v>-2</v>
      </c>
      <c r="Y152" s="13">
        <v>17.495709999999999</v>
      </c>
      <c r="Z152" s="2">
        <v>19.576460000000001</v>
      </c>
      <c r="AA152" s="2">
        <f t="shared" si="106"/>
        <v>2.0807500000000019</v>
      </c>
      <c r="AB152" s="2">
        <f t="shared" si="107"/>
        <v>4.9600100000000005</v>
      </c>
      <c r="AC152" s="2">
        <f t="shared" si="108"/>
        <v>0.29552917582760968</v>
      </c>
      <c r="AD152" s="2">
        <f t="shared" si="109"/>
        <v>0.70447082417239026</v>
      </c>
      <c r="AE152" s="2">
        <f t="shared" si="110"/>
        <v>0.48059593896431529</v>
      </c>
      <c r="AF152" s="2">
        <f t="shared" si="111"/>
        <v>0.14203012174822033</v>
      </c>
      <c r="AG152" s="2">
        <f t="shared" si="112"/>
        <v>7.0407600000000023</v>
      </c>
      <c r="AH152" s="2">
        <v>20</v>
      </c>
      <c r="AI152">
        <f t="shared" si="113"/>
        <v>9.6119187792863059</v>
      </c>
      <c r="AL152" s="2"/>
      <c r="AM152" s="2"/>
    </row>
    <row r="153" spans="2:39" ht="16" thickBot="1" x14ac:dyDescent="0.4">
      <c r="E153" s="104" t="s">
        <v>81</v>
      </c>
      <c r="F153" s="13"/>
      <c r="G153" s="13"/>
      <c r="H153" s="9" t="s">
        <v>3</v>
      </c>
      <c r="I153" s="9" t="s">
        <v>4</v>
      </c>
      <c r="J153" s="9" t="s">
        <v>5</v>
      </c>
      <c r="K153" s="9" t="s">
        <v>6</v>
      </c>
      <c r="L153" s="9" t="s">
        <v>7</v>
      </c>
      <c r="M153" s="9" t="s">
        <v>8</v>
      </c>
      <c r="N153" s="9" t="s">
        <v>9</v>
      </c>
      <c r="O153" s="9" t="s">
        <v>10</v>
      </c>
      <c r="P153" s="44" t="s">
        <v>139</v>
      </c>
      <c r="W153" s="155">
        <v>-2</v>
      </c>
      <c r="Y153" s="13">
        <v>24.536470000000001</v>
      </c>
      <c r="Z153" s="2">
        <v>26.495370000000001</v>
      </c>
      <c r="AA153" s="2">
        <f t="shared" si="106"/>
        <v>1.9588999999999999</v>
      </c>
      <c r="AB153" s="2">
        <f t="shared" si="107"/>
        <v>5.9602900000000005</v>
      </c>
      <c r="AC153" s="2">
        <f t="shared" si="108"/>
        <v>0.24736115688599464</v>
      </c>
      <c r="AD153" s="2">
        <f t="shared" si="109"/>
        <v>0.75263884311400542</v>
      </c>
      <c r="AE153" s="2">
        <f t="shared" si="110"/>
        <v>0.51049058144877235</v>
      </c>
      <c r="AF153" s="2">
        <f t="shared" si="111"/>
        <v>0.12627554080657238</v>
      </c>
      <c r="AG153" s="2">
        <f t="shared" si="112"/>
        <v>7.9191900000000004</v>
      </c>
      <c r="AH153" s="2">
        <v>10</v>
      </c>
      <c r="AI153">
        <f t="shared" si="113"/>
        <v>5.1049058144877231</v>
      </c>
      <c r="AL153" s="2"/>
      <c r="AM153" s="2"/>
    </row>
    <row r="154" spans="2:39" x14ac:dyDescent="0.35">
      <c r="F154" s="13"/>
      <c r="G154" s="49" t="s">
        <v>77</v>
      </c>
      <c r="H154" s="13">
        <f>AVERAGE(H119:H120,H122,H124)</f>
        <v>2.1304475000000025</v>
      </c>
      <c r="I154" s="13">
        <f t="shared" ref="I154:P154" si="114">AVERAGE(I119:I120,I122,I124)</f>
        <v>15.360312500000003</v>
      </c>
      <c r="J154" s="13">
        <f t="shared" si="114"/>
        <v>0.13594152210192759</v>
      </c>
      <c r="K154" s="13">
        <f t="shared" si="114"/>
        <v>0.86405847789807244</v>
      </c>
      <c r="L154" s="13">
        <f t="shared" si="114"/>
        <v>0.47145349776232781</v>
      </c>
      <c r="M154" s="13">
        <f t="shared" si="114"/>
        <v>6.4075616915689498E-2</v>
      </c>
      <c r="N154" s="13">
        <f t="shared" si="114"/>
        <v>17.490760000000005</v>
      </c>
      <c r="O154" s="13">
        <f t="shared" si="114"/>
        <v>8.5</v>
      </c>
      <c r="P154" s="13">
        <f t="shared" si="114"/>
        <v>3.9689746426461725</v>
      </c>
      <c r="V154" s="287" t="s">
        <v>541</v>
      </c>
      <c r="W154" s="155">
        <v>-2</v>
      </c>
      <c r="Y154" s="13">
        <v>32.455660000000002</v>
      </c>
      <c r="Z154" s="2">
        <v>33.704810000000002</v>
      </c>
      <c r="AA154" s="2">
        <f t="shared" si="106"/>
        <v>1.2491500000000002</v>
      </c>
      <c r="AB154" s="2">
        <f t="shared" si="107"/>
        <v>6.8531300000000002</v>
      </c>
      <c r="AC154" s="2">
        <f t="shared" si="108"/>
        <v>0.15417265263604815</v>
      </c>
      <c r="AD154" s="2">
        <f t="shared" si="109"/>
        <v>0.84582734736395182</v>
      </c>
      <c r="AE154" s="2">
        <f t="shared" si="110"/>
        <v>0.80054437017171665</v>
      </c>
      <c r="AF154" s="2">
        <f t="shared" si="111"/>
        <v>0.12342204910222801</v>
      </c>
      <c r="AG154" s="2">
        <f t="shared" si="112"/>
        <v>8.1022800000000004</v>
      </c>
      <c r="AH154" s="2">
        <v>8</v>
      </c>
      <c r="AI154">
        <f t="shared" si="113"/>
        <v>6.4043549613737332</v>
      </c>
      <c r="AL154" s="2"/>
      <c r="AM154" s="2"/>
    </row>
    <row r="155" spans="2:39" x14ac:dyDescent="0.35">
      <c r="E155" s="104"/>
      <c r="F155" s="13"/>
      <c r="G155" s="49" t="s">
        <v>94</v>
      </c>
      <c r="H155" s="2">
        <f>_xlfn.STDEV.S(H119:H120,H122,H124)</f>
        <v>0.16689515978101738</v>
      </c>
      <c r="I155" s="2">
        <f t="shared" ref="I155:P155" si="115">_xlfn.STDEV.S(I119:I120,I122,I124)</f>
        <v>6.6642278208175156</v>
      </c>
      <c r="J155" s="2">
        <f t="shared" si="115"/>
        <v>4.9525748801223457E-2</v>
      </c>
      <c r="K155" s="2">
        <f t="shared" si="115"/>
        <v>4.9525748801223533E-2</v>
      </c>
      <c r="L155" s="2">
        <f t="shared" si="115"/>
        <v>3.5255110675521256E-2</v>
      </c>
      <c r="M155" s="2">
        <f t="shared" si="115"/>
        <v>2.4211597703488307E-2</v>
      </c>
      <c r="N155" s="2">
        <f t="shared" si="115"/>
        <v>6.6798098905981851</v>
      </c>
      <c r="O155" s="2">
        <f t="shared" si="115"/>
        <v>1.7320508075688772</v>
      </c>
      <c r="P155" s="2">
        <f t="shared" si="115"/>
        <v>0.5398953689859296</v>
      </c>
      <c r="V155" s="287" t="s">
        <v>541</v>
      </c>
      <c r="W155" s="155">
        <v>-2</v>
      </c>
      <c r="Y155" s="13">
        <v>40.557940000000002</v>
      </c>
      <c r="Z155" s="2">
        <v>42.83475</v>
      </c>
      <c r="AA155" s="2">
        <f t="shared" si="106"/>
        <v>2.2768099999999976</v>
      </c>
      <c r="AB155" s="2">
        <f t="shared" si="107"/>
        <v>5.840449999999997</v>
      </c>
      <c r="AC155" s="2">
        <f t="shared" si="108"/>
        <v>0.28048996828979228</v>
      </c>
      <c r="AD155" s="2">
        <f t="shared" si="109"/>
        <v>0.71951003171020778</v>
      </c>
      <c r="AE155" s="2">
        <f t="shared" si="110"/>
        <v>0.43921100135716246</v>
      </c>
      <c r="AF155" s="2">
        <f t="shared" si="111"/>
        <v>0.1231942798431984</v>
      </c>
      <c r="AG155" s="2">
        <f t="shared" si="112"/>
        <v>8.1172599999999946</v>
      </c>
      <c r="AH155" s="2">
        <v>17</v>
      </c>
      <c r="AI155">
        <f t="shared" si="113"/>
        <v>7.4665870230717619</v>
      </c>
      <c r="AL155" s="2"/>
      <c r="AM155" s="2"/>
    </row>
    <row r="156" spans="2:39" x14ac:dyDescent="0.35">
      <c r="E156" s="104"/>
      <c r="F156" s="13"/>
      <c r="G156" s="49" t="s">
        <v>95</v>
      </c>
      <c r="H156" s="2">
        <f>H155/(SQRT(COUNT(H119:H120,H122,H124)))</f>
        <v>8.3447579890508689E-2</v>
      </c>
      <c r="I156" s="2">
        <f t="shared" ref="I156:P156" si="116">I155/(SQRT(COUNT(I119:I120,I122,I124)))</f>
        <v>3.3321139104087578</v>
      </c>
      <c r="J156" s="2">
        <f t="shared" si="116"/>
        <v>2.4762874400611729E-2</v>
      </c>
      <c r="K156" s="2">
        <f t="shared" si="116"/>
        <v>2.4762874400611767E-2</v>
      </c>
      <c r="L156" s="2">
        <f t="shared" si="116"/>
        <v>1.7627555337760628E-2</v>
      </c>
      <c r="M156" s="2">
        <f t="shared" si="116"/>
        <v>1.2105798851744154E-2</v>
      </c>
      <c r="N156" s="2">
        <f t="shared" si="116"/>
        <v>3.3399049452990925</v>
      </c>
      <c r="O156" s="2">
        <f t="shared" si="116"/>
        <v>0.8660254037844386</v>
      </c>
      <c r="P156" s="2">
        <f t="shared" si="116"/>
        <v>0.2699476844929648</v>
      </c>
      <c r="U156" s="2"/>
      <c r="W156" s="155">
        <v>-2</v>
      </c>
      <c r="Y156" s="13">
        <v>48.675199999999997</v>
      </c>
      <c r="Z156" s="2">
        <v>49.932369999999999</v>
      </c>
      <c r="AA156" s="2">
        <f t="shared" si="106"/>
        <v>1.2571700000000021</v>
      </c>
      <c r="AB156" s="2">
        <f t="shared" si="107"/>
        <v>5.6672500000000028</v>
      </c>
      <c r="AC156" s="2">
        <f t="shared" si="108"/>
        <v>0.18155600035815292</v>
      </c>
      <c r="AD156" s="2">
        <f t="shared" si="109"/>
        <v>0.81844399964184711</v>
      </c>
      <c r="AE156" s="2">
        <f t="shared" si="110"/>
        <v>0.79543737123857416</v>
      </c>
      <c r="AF156" s="2">
        <f t="shared" si="111"/>
        <v>0.14441642765747878</v>
      </c>
      <c r="AG156" s="2">
        <f t="shared" si="112"/>
        <v>6.9244200000000049</v>
      </c>
      <c r="AH156" s="2">
        <v>10</v>
      </c>
      <c r="AI156">
        <f t="shared" si="113"/>
        <v>7.9543737123857419</v>
      </c>
      <c r="AL156" s="2"/>
      <c r="AM156" s="2"/>
    </row>
    <row r="157" spans="2:39" x14ac:dyDescent="0.35">
      <c r="E157" s="104"/>
      <c r="F157" s="13"/>
      <c r="G157" s="49"/>
      <c r="H157" s="2"/>
      <c r="I157" s="2"/>
      <c r="J157" s="2"/>
      <c r="K157" s="2"/>
      <c r="L157" s="2"/>
      <c r="M157" s="2"/>
      <c r="N157" s="2"/>
      <c r="O157" s="2"/>
      <c r="P157" s="2"/>
      <c r="U157" s="2"/>
      <c r="V157" s="287" t="s">
        <v>541</v>
      </c>
      <c r="W157" s="155">
        <v>-2</v>
      </c>
      <c r="Y157" s="13">
        <v>55.599620000000002</v>
      </c>
      <c r="Z157" s="2">
        <v>56.714120000000001</v>
      </c>
      <c r="AA157" s="2">
        <f t="shared" si="106"/>
        <v>1.1144999999999996</v>
      </c>
      <c r="AB157" s="2">
        <f t="shared" si="107"/>
        <v>5.72607</v>
      </c>
      <c r="AC157" s="2">
        <f t="shared" si="108"/>
        <v>0.16292501940627749</v>
      </c>
      <c r="AD157" s="2">
        <f t="shared" si="109"/>
        <v>0.83707498059372254</v>
      </c>
      <c r="AE157" s="2">
        <f t="shared" si="110"/>
        <v>0.89726334679228381</v>
      </c>
      <c r="AF157" s="2">
        <f t="shared" si="111"/>
        <v>0.14618664818867436</v>
      </c>
      <c r="AG157" s="2">
        <f t="shared" si="112"/>
        <v>6.8405699999999996</v>
      </c>
      <c r="AH157" s="2">
        <v>12</v>
      </c>
      <c r="AI157">
        <f t="shared" si="113"/>
        <v>10.767160161507407</v>
      </c>
      <c r="AL157" s="2"/>
      <c r="AM157" s="2"/>
    </row>
    <row r="158" spans="2:39" x14ac:dyDescent="0.35">
      <c r="E158" s="104"/>
      <c r="F158" s="13"/>
      <c r="G158" s="49"/>
      <c r="H158" s="2"/>
      <c r="I158" s="2"/>
      <c r="J158" s="2"/>
      <c r="K158" s="2"/>
      <c r="L158" s="2"/>
      <c r="M158" s="2"/>
      <c r="N158" s="2"/>
      <c r="O158" s="2"/>
      <c r="P158" s="2"/>
      <c r="U158" s="2"/>
      <c r="V158" s="287" t="s">
        <v>541</v>
      </c>
      <c r="W158" s="155">
        <v>-2</v>
      </c>
      <c r="Y158" s="13">
        <v>62.440190000000001</v>
      </c>
      <c r="Z158" s="2">
        <v>63.60904</v>
      </c>
      <c r="AA158" s="2">
        <f t="shared" si="106"/>
        <v>1.1688499999999991</v>
      </c>
      <c r="AB158" s="2">
        <f t="shared" si="107"/>
        <v>3.7688199999999981</v>
      </c>
      <c r="AC158" s="2">
        <f t="shared" si="108"/>
        <v>0.23672096353138217</v>
      </c>
      <c r="AD158" s="2">
        <f t="shared" si="109"/>
        <v>0.76327903646861783</v>
      </c>
      <c r="AE158" s="2">
        <f t="shared" si="110"/>
        <v>0.85554177182701019</v>
      </c>
      <c r="AF158" s="2">
        <f t="shared" si="111"/>
        <v>0.20252467256823575</v>
      </c>
      <c r="AG158" s="2">
        <f t="shared" si="112"/>
        <v>4.9376699999999971</v>
      </c>
      <c r="AH158" s="2">
        <v>10</v>
      </c>
      <c r="AI158">
        <f t="shared" si="113"/>
        <v>8.5554177182701014</v>
      </c>
      <c r="AL158" s="2"/>
      <c r="AM158" s="2"/>
    </row>
    <row r="159" spans="2:39" s="2" customFormat="1" ht="16" thickBot="1" x14ac:dyDescent="0.4">
      <c r="B159"/>
      <c r="C159"/>
      <c r="D159"/>
      <c r="E159" s="104" t="s">
        <v>82</v>
      </c>
      <c r="F159" s="13"/>
      <c r="G159" s="13"/>
      <c r="H159" s="9" t="s">
        <v>3</v>
      </c>
      <c r="I159" s="9" t="s">
        <v>4</v>
      </c>
      <c r="J159" s="9" t="s">
        <v>5</v>
      </c>
      <c r="K159" s="9" t="s">
        <v>6</v>
      </c>
      <c r="L159" s="9" t="s">
        <v>7</v>
      </c>
      <c r="M159" s="9" t="s">
        <v>8</v>
      </c>
      <c r="N159" s="9" t="s">
        <v>9</v>
      </c>
      <c r="O159" s="9" t="s">
        <v>10</v>
      </c>
      <c r="P159" s="44" t="s">
        <v>139</v>
      </c>
      <c r="Q159"/>
      <c r="R159"/>
      <c r="S159"/>
      <c r="T159"/>
      <c r="V159" s="287"/>
      <c r="W159" s="155">
        <v>-2</v>
      </c>
      <c r="X159"/>
      <c r="Y159" s="13">
        <v>67.377859999999998</v>
      </c>
      <c r="Z159" s="2">
        <v>69.466539999999995</v>
      </c>
      <c r="AA159" s="2">
        <f t="shared" si="106"/>
        <v>2.0886799999999965</v>
      </c>
      <c r="AB159" s="2">
        <f t="shared" si="107"/>
        <v>5.7513100000000037</v>
      </c>
      <c r="AC159" s="2">
        <f t="shared" si="108"/>
        <v>0.26641360511939383</v>
      </c>
      <c r="AD159" s="2">
        <f t="shared" si="109"/>
        <v>0.73358639488060617</v>
      </c>
      <c r="AE159" s="2">
        <f t="shared" si="110"/>
        <v>0.47877128138345831</v>
      </c>
      <c r="AF159" s="2">
        <f t="shared" si="111"/>
        <v>0.12755118310099886</v>
      </c>
      <c r="AG159" s="2">
        <f t="shared" si="112"/>
        <v>7.8399900000000002</v>
      </c>
      <c r="AH159" s="2">
        <v>19</v>
      </c>
      <c r="AI159">
        <f t="shared" si="113"/>
        <v>9.0966543462857068</v>
      </c>
      <c r="AJ159"/>
      <c r="AK159"/>
    </row>
    <row r="160" spans="2:39" s="2" customFormat="1" x14ac:dyDescent="0.35">
      <c r="B160"/>
      <c r="C160"/>
      <c r="D160"/>
      <c r="E160" s="104"/>
      <c r="F160" s="13"/>
      <c r="G160" s="49" t="s">
        <v>77</v>
      </c>
      <c r="H160" s="13">
        <f>AVERAGE(H121,H123,H125)</f>
        <v>2.1635166666666521</v>
      </c>
      <c r="I160" s="13">
        <f t="shared" ref="I160:P160" si="117">AVERAGE(I121,I123,I125)</f>
        <v>11.469996666666674</v>
      </c>
      <c r="J160" s="13">
        <f t="shared" si="117"/>
        <v>0.16095652250116596</v>
      </c>
      <c r="K160" s="13">
        <f t="shared" si="117"/>
        <v>0.83904347749883401</v>
      </c>
      <c r="L160" s="13">
        <f t="shared" si="117"/>
        <v>0.46245856148318376</v>
      </c>
      <c r="M160" s="13">
        <f t="shared" si="117"/>
        <v>7.4593756706315392E-2</v>
      </c>
      <c r="N160" s="13">
        <f t="shared" si="117"/>
        <v>13.633513333333326</v>
      </c>
      <c r="O160" s="13">
        <f t="shared" si="117"/>
        <v>11.666666666666666</v>
      </c>
      <c r="P160" s="13">
        <f t="shared" si="117"/>
        <v>5.3905932383472361</v>
      </c>
      <c r="Q160"/>
      <c r="R160"/>
      <c r="S160"/>
      <c r="T160"/>
      <c r="V160" s="286"/>
      <c r="W160" s="155">
        <v>-2</v>
      </c>
      <c r="X160"/>
      <c r="Y160" s="13">
        <v>75.217849999999999</v>
      </c>
      <c r="Z160" s="2">
        <v>76.297160000000005</v>
      </c>
      <c r="AA160" s="2">
        <f t="shared" si="106"/>
        <v>1.0793100000000067</v>
      </c>
      <c r="AB160" s="2">
        <f t="shared" si="107"/>
        <v>6.9233299999999929</v>
      </c>
      <c r="AC160" s="2">
        <f t="shared" si="108"/>
        <v>0.13486924314976143</v>
      </c>
      <c r="AD160" s="2">
        <f t="shared" si="109"/>
        <v>0.86513075685023855</v>
      </c>
      <c r="AE160" s="2">
        <f t="shared" si="110"/>
        <v>0.92651786789707669</v>
      </c>
      <c r="AF160" s="2">
        <f t="shared" si="111"/>
        <v>0.12495876360800937</v>
      </c>
      <c r="AG160" s="2">
        <f t="shared" si="112"/>
        <v>8.0026399999999995</v>
      </c>
      <c r="AH160" s="2">
        <v>8</v>
      </c>
      <c r="AI160">
        <f t="shared" si="113"/>
        <v>7.4121429431766135</v>
      </c>
      <c r="AJ160"/>
      <c r="AK160"/>
    </row>
    <row r="161" spans="2:39" s="2" customFormat="1" x14ac:dyDescent="0.35">
      <c r="B161"/>
      <c r="C161"/>
      <c r="D161"/>
      <c r="E161" s="104"/>
      <c r="F161" s="13"/>
      <c r="G161" s="49" t="s">
        <v>94</v>
      </c>
      <c r="H161" s="2">
        <f>_xlfn.STDEV.S(H121,H123,H125)</f>
        <v>6.1143033399837114E-2</v>
      </c>
      <c r="I161" s="2">
        <f t="shared" ref="I161:P161" si="118">_xlfn.STDEV.S(I121,I123,I125)</f>
        <v>2.0284074672839392</v>
      </c>
      <c r="J161" s="2">
        <f t="shared" si="118"/>
        <v>2.231858639038746E-2</v>
      </c>
      <c r="K161" s="2">
        <f t="shared" si="118"/>
        <v>2.2318586390387411E-2</v>
      </c>
      <c r="L161" s="2">
        <f t="shared" si="118"/>
        <v>1.3170629305407244E-2</v>
      </c>
      <c r="M161" s="2">
        <f t="shared" si="118"/>
        <v>1.22649529231461E-2</v>
      </c>
      <c r="N161" s="2">
        <f t="shared" si="118"/>
        <v>2.0788044887707153</v>
      </c>
      <c r="O161" s="2">
        <f t="shared" si="118"/>
        <v>0.57735026918962573</v>
      </c>
      <c r="P161" s="2">
        <f t="shared" si="118"/>
        <v>0.1382066884365882</v>
      </c>
      <c r="Q161"/>
      <c r="R161"/>
      <c r="S161"/>
      <c r="T161"/>
      <c r="V161" s="286" t="s">
        <v>541</v>
      </c>
      <c r="W161" s="155">
        <v>-2</v>
      </c>
      <c r="X161"/>
      <c r="Y161" s="13">
        <v>83.220489999999998</v>
      </c>
      <c r="Z161" s="2">
        <v>84.199489999999997</v>
      </c>
      <c r="AA161" s="2">
        <f t="shared" si="106"/>
        <v>0.9789999999999992</v>
      </c>
      <c r="AB161" s="2">
        <f t="shared" si="107"/>
        <v>5.9646699999999981</v>
      </c>
      <c r="AC161" s="2">
        <f t="shared" si="108"/>
        <v>0.14099172339699317</v>
      </c>
      <c r="AD161" s="2">
        <f t="shared" si="109"/>
        <v>0.85900827660300683</v>
      </c>
      <c r="AE161" s="2">
        <f t="shared" si="110"/>
        <v>1.0214504596527076</v>
      </c>
      <c r="AF161" s="2">
        <f t="shared" si="111"/>
        <v>0.1440160606710861</v>
      </c>
      <c r="AG161" s="2">
        <f t="shared" si="112"/>
        <v>6.9436699999999973</v>
      </c>
      <c r="AH161" s="2">
        <v>8</v>
      </c>
      <c r="AI161">
        <f t="shared" si="113"/>
        <v>8.1716036772216611</v>
      </c>
      <c r="AJ161"/>
      <c r="AK161"/>
    </row>
    <row r="162" spans="2:39" s="2" customFormat="1" x14ac:dyDescent="0.35">
      <c r="B162"/>
      <c r="C162"/>
      <c r="D162"/>
      <c r="E162" s="104"/>
      <c r="F162" s="13"/>
      <c r="G162" s="49" t="s">
        <v>95</v>
      </c>
      <c r="H162" s="2">
        <f>H161/(SQRT(COUNT(H121,H123,H125)))</f>
        <v>3.5300946792466238E-2</v>
      </c>
      <c r="I162" s="2">
        <f t="shared" ref="I162:P162" si="119">I161/(SQRT(COUNT(I121,I123,I125)))</f>
        <v>1.1711015972626293</v>
      </c>
      <c r="J162" s="2">
        <f t="shared" si="119"/>
        <v>1.2885641860422119E-2</v>
      </c>
      <c r="K162" s="2">
        <f t="shared" si="119"/>
        <v>1.2885641860422091E-2</v>
      </c>
      <c r="L162" s="2">
        <f t="shared" si="119"/>
        <v>7.6040663748736465E-3</v>
      </c>
      <c r="M162" s="2">
        <f t="shared" si="119"/>
        <v>7.0811738717764892E-3</v>
      </c>
      <c r="N162" s="2">
        <f t="shared" si="119"/>
        <v>1.2001983311843749</v>
      </c>
      <c r="O162" s="2">
        <f t="shared" si="119"/>
        <v>0.33333333333333331</v>
      </c>
      <c r="P162" s="2">
        <f t="shared" si="119"/>
        <v>7.9793668772670939E-2</v>
      </c>
      <c r="Q162"/>
      <c r="R162"/>
      <c r="S162"/>
      <c r="T162"/>
      <c r="V162" s="286" t="s">
        <v>541</v>
      </c>
      <c r="W162" s="155">
        <v>-2</v>
      </c>
      <c r="X162"/>
      <c r="Y162" s="13">
        <v>90.164159999999995</v>
      </c>
      <c r="Z162" s="2">
        <v>91.302229999999994</v>
      </c>
      <c r="AA162" s="2">
        <f t="shared" si="106"/>
        <v>1.138069999999999</v>
      </c>
      <c r="AB162" s="2">
        <f t="shared" si="107"/>
        <v>4.8816100000000091</v>
      </c>
      <c r="AC162" s="2">
        <f t="shared" si="108"/>
        <v>0.18905822236397907</v>
      </c>
      <c r="AD162" s="2">
        <f t="shared" si="109"/>
        <v>0.81094177763602093</v>
      </c>
      <c r="AE162" s="2">
        <f t="shared" si="110"/>
        <v>0.87868057325120674</v>
      </c>
      <c r="AF162" s="2">
        <f t="shared" si="111"/>
        <v>0.16612178720463525</v>
      </c>
      <c r="AG162" s="2">
        <f t="shared" si="112"/>
        <v>6.0196800000000081</v>
      </c>
      <c r="AH162" s="2">
        <v>11</v>
      </c>
      <c r="AI162">
        <f t="shared" si="113"/>
        <v>9.6654863057632738</v>
      </c>
      <c r="AJ162"/>
      <c r="AK162"/>
    </row>
    <row r="163" spans="2:39" s="2" customFormat="1" x14ac:dyDescent="0.35">
      <c r="B163"/>
      <c r="C163"/>
      <c r="D163"/>
      <c r="E163"/>
      <c r="F163"/>
      <c r="G163"/>
      <c r="H163"/>
      <c r="I163"/>
      <c r="J163"/>
      <c r="K163"/>
      <c r="L163"/>
      <c r="M163"/>
      <c r="N163"/>
      <c r="O163"/>
      <c r="P163"/>
      <c r="Q163"/>
      <c r="R163"/>
      <c r="S163"/>
      <c r="T163"/>
      <c r="V163" s="286"/>
      <c r="W163" s="155">
        <v>-2</v>
      </c>
      <c r="X163"/>
      <c r="Y163" s="13">
        <v>96.183840000000004</v>
      </c>
      <c r="Z163" s="2">
        <v>97.222070000000002</v>
      </c>
      <c r="AA163" s="2">
        <f t="shared" si="106"/>
        <v>1.0382299999999987</v>
      </c>
      <c r="AB163" s="2">
        <f t="shared" si="107"/>
        <v>7.9466800000000006</v>
      </c>
      <c r="AC163" s="2">
        <f t="shared" si="108"/>
        <v>0.11555263213543583</v>
      </c>
      <c r="AD163" s="2">
        <f t="shared" si="109"/>
        <v>0.88444736786456413</v>
      </c>
      <c r="AE163" s="2">
        <f t="shared" si="110"/>
        <v>0.96317771592036572</v>
      </c>
      <c r="AF163" s="2">
        <f t="shared" si="111"/>
        <v>0.11129772028879534</v>
      </c>
      <c r="AG163" s="2">
        <f t="shared" si="112"/>
        <v>8.9849099999999993</v>
      </c>
      <c r="AH163" s="2">
        <v>10</v>
      </c>
      <c r="AI163">
        <f t="shared" si="113"/>
        <v>9.6317771592036578</v>
      </c>
      <c r="AJ163"/>
      <c r="AK163"/>
    </row>
    <row r="164" spans="2:39" s="2" customFormat="1" x14ac:dyDescent="0.35">
      <c r="B164"/>
      <c r="C164"/>
      <c r="D164"/>
      <c r="E164"/>
      <c r="F164"/>
      <c r="G164"/>
      <c r="H164"/>
      <c r="I164"/>
      <c r="J164"/>
      <c r="K164"/>
      <c r="L164"/>
      <c r="M164"/>
      <c r="N164"/>
      <c r="O164"/>
      <c r="P164"/>
      <c r="Q164"/>
      <c r="R164"/>
      <c r="S164"/>
      <c r="T164"/>
      <c r="V164" s="286"/>
      <c r="W164" s="155">
        <v>-2</v>
      </c>
      <c r="X164"/>
      <c r="Y164" s="13">
        <v>105.16875</v>
      </c>
      <c r="Z164" s="2">
        <v>106.29644999999999</v>
      </c>
      <c r="AA164" s="2">
        <f t="shared" si="106"/>
        <v>1.1276999999999902</v>
      </c>
      <c r="AB164" s="2">
        <f t="shared" si="107"/>
        <v>5.8476500000000016</v>
      </c>
      <c r="AC164" s="2">
        <f t="shared" si="108"/>
        <v>0.16166930691649758</v>
      </c>
      <c r="AD164" s="2">
        <f t="shared" si="109"/>
        <v>0.83833069308350239</v>
      </c>
      <c r="AE164" s="2">
        <f t="shared" si="110"/>
        <v>0.88676066329698389</v>
      </c>
      <c r="AF164" s="2">
        <f t="shared" si="111"/>
        <v>0.14336198183603707</v>
      </c>
      <c r="AG164" s="2">
        <f t="shared" si="112"/>
        <v>6.9753499999999917</v>
      </c>
      <c r="AH164" s="2">
        <v>9</v>
      </c>
      <c r="AI164">
        <f t="shared" si="113"/>
        <v>7.9808459696728553</v>
      </c>
      <c r="AJ164"/>
      <c r="AK164"/>
    </row>
    <row r="165" spans="2:39" s="2" customFormat="1" x14ac:dyDescent="0.35">
      <c r="B165"/>
      <c r="C165"/>
      <c r="D165"/>
      <c r="E165"/>
      <c r="F165"/>
      <c r="G165"/>
      <c r="H165"/>
      <c r="I165"/>
      <c r="J165"/>
      <c r="K165"/>
      <c r="L165"/>
      <c r="M165"/>
      <c r="N165"/>
      <c r="O165"/>
      <c r="P165"/>
      <c r="Q165"/>
      <c r="R165"/>
      <c r="S165"/>
      <c r="T165"/>
      <c r="V165" s="286" t="s">
        <v>541</v>
      </c>
      <c r="W165" s="155">
        <v>-2</v>
      </c>
      <c r="X165"/>
      <c r="Y165" s="13">
        <v>112.14409999999999</v>
      </c>
      <c r="Z165" s="2">
        <v>113.42599</v>
      </c>
      <c r="AA165" s="2">
        <f t="shared" si="106"/>
        <v>1.2818900000000042</v>
      </c>
      <c r="AB165" s="2">
        <f t="shared" si="107"/>
        <v>4.6343200000000024</v>
      </c>
      <c r="AC165" s="2">
        <f t="shared" si="108"/>
        <v>0.21667418837397637</v>
      </c>
      <c r="AD165" s="2">
        <f t="shared" si="109"/>
        <v>0.78332581162602366</v>
      </c>
      <c r="AE165" s="2">
        <f t="shared" si="110"/>
        <v>0.7800981363455497</v>
      </c>
      <c r="AF165" s="2">
        <f t="shared" si="111"/>
        <v>0.16902713054472354</v>
      </c>
      <c r="AG165" s="2">
        <f t="shared" si="112"/>
        <v>5.9162100000000066</v>
      </c>
      <c r="AH165" s="2">
        <v>13</v>
      </c>
      <c r="AI165">
        <f t="shared" si="113"/>
        <v>10.141275772492147</v>
      </c>
      <c r="AJ165"/>
      <c r="AK165"/>
    </row>
    <row r="166" spans="2:39" s="2" customFormat="1" x14ac:dyDescent="0.35">
      <c r="B166"/>
      <c r="C166"/>
      <c r="D166"/>
      <c r="E166"/>
      <c r="F166"/>
      <c r="G166"/>
      <c r="H166"/>
      <c r="I166"/>
      <c r="J166"/>
      <c r="K166"/>
      <c r="L166"/>
      <c r="M166"/>
      <c r="N166"/>
      <c r="O166"/>
      <c r="P166"/>
      <c r="Q166"/>
      <c r="R166"/>
      <c r="S166"/>
      <c r="T166"/>
      <c r="V166" s="286" t="s">
        <v>541</v>
      </c>
      <c r="W166" s="155">
        <v>-2</v>
      </c>
      <c r="X166"/>
      <c r="Y166" s="13">
        <v>118.06031</v>
      </c>
      <c r="Z166" s="13">
        <v>119.79185</v>
      </c>
      <c r="AA166" s="2">
        <f t="shared" si="106"/>
        <v>1.7315399999999954</v>
      </c>
      <c r="AB166" s="2">
        <f t="shared" si="107"/>
        <v>12.894070000000013</v>
      </c>
      <c r="AC166" s="2">
        <f t="shared" si="108"/>
        <v>0.11839095941981184</v>
      </c>
      <c r="AD166" s="2">
        <f t="shared" si="109"/>
        <v>0.88160904058018819</v>
      </c>
      <c r="AE166" s="2">
        <f t="shared" si="110"/>
        <v>0.57752058860898547</v>
      </c>
      <c r="AF166" s="2">
        <f t="shared" si="111"/>
        <v>6.837321657011225E-2</v>
      </c>
      <c r="AG166" s="2">
        <f t="shared" si="112"/>
        <v>14.625610000000009</v>
      </c>
      <c r="AH166" s="2">
        <v>14</v>
      </c>
      <c r="AI166">
        <f t="shared" si="113"/>
        <v>8.0852882405257969</v>
      </c>
      <c r="AJ166"/>
      <c r="AK166"/>
    </row>
    <row r="167" spans="2:39" s="2" customFormat="1" ht="18.5" x14ac:dyDescent="0.45">
      <c r="B167"/>
      <c r="C167"/>
      <c r="D167"/>
      <c r="E167"/>
      <c r="F167" s="1" t="s">
        <v>405</v>
      </c>
      <c r="G167" s="3"/>
      <c r="H167" s="3"/>
      <c r="I167" s="3"/>
      <c r="J167" s="3"/>
      <c r="K167" s="3"/>
      <c r="L167" s="3"/>
      <c r="M167" s="3"/>
      <c r="N167" s="3"/>
      <c r="O167" s="3"/>
      <c r="P167"/>
      <c r="Q167"/>
      <c r="R167"/>
      <c r="S167"/>
      <c r="T167"/>
      <c r="V167" s="286" t="s">
        <v>541</v>
      </c>
      <c r="W167" s="155">
        <v>-2</v>
      </c>
      <c r="X167"/>
      <c r="Y167" s="13">
        <v>132.68592000000001</v>
      </c>
      <c r="Z167" s="13">
        <v>133.71406999999999</v>
      </c>
      <c r="AA167" s="2">
        <f t="shared" si="106"/>
        <v>1.0281499999999824</v>
      </c>
      <c r="AB167" s="2">
        <f t="shared" si="107"/>
        <v>7.8764299999999992</v>
      </c>
      <c r="AC167" s="2">
        <f t="shared" si="108"/>
        <v>0.11546305384419978</v>
      </c>
      <c r="AD167" s="2">
        <f t="shared" si="109"/>
        <v>0.88453694615580025</v>
      </c>
      <c r="AE167" s="2">
        <f t="shared" si="110"/>
        <v>0.97262072654769938</v>
      </c>
      <c r="AF167" s="2">
        <f t="shared" si="111"/>
        <v>0.11230175931936173</v>
      </c>
      <c r="AG167" s="2">
        <f t="shared" si="112"/>
        <v>8.9045799999999815</v>
      </c>
      <c r="AH167" s="2">
        <v>13</v>
      </c>
      <c r="AI167">
        <f t="shared" si="113"/>
        <v>12.644069445120092</v>
      </c>
      <c r="AJ167"/>
      <c r="AK167" t="s">
        <v>469</v>
      </c>
    </row>
    <row r="168" spans="2:39" s="2" customFormat="1" ht="16" thickBot="1" x14ac:dyDescent="0.4">
      <c r="B168"/>
      <c r="C168" s="204" t="s">
        <v>122</v>
      </c>
      <c r="D168" s="204" t="s">
        <v>406</v>
      </c>
      <c r="E168"/>
      <c r="F168" s="9" t="s">
        <v>1</v>
      </c>
      <c r="G168" s="9" t="s">
        <v>2</v>
      </c>
      <c r="H168" s="9" t="s">
        <v>3</v>
      </c>
      <c r="I168" s="9" t="s">
        <v>4</v>
      </c>
      <c r="J168" s="9" t="s">
        <v>5</v>
      </c>
      <c r="K168" s="9" t="s">
        <v>6</v>
      </c>
      <c r="L168" s="9" t="s">
        <v>7</v>
      </c>
      <c r="M168" s="9" t="s">
        <v>8</v>
      </c>
      <c r="N168" s="9" t="s">
        <v>9</v>
      </c>
      <c r="O168" s="9" t="s">
        <v>10</v>
      </c>
      <c r="P168" s="44" t="s">
        <v>139</v>
      </c>
      <c r="Q168"/>
      <c r="R168" s="44" t="s">
        <v>138</v>
      </c>
      <c r="S168"/>
      <c r="T168"/>
      <c r="V168" s="286" t="s">
        <v>541</v>
      </c>
      <c r="W168" s="155">
        <v>-2</v>
      </c>
      <c r="X168"/>
      <c r="Y168" s="13">
        <v>141.59049999999999</v>
      </c>
      <c r="Z168" s="13">
        <v>143.63890000000001</v>
      </c>
      <c r="AA168" s="2">
        <f t="shared" si="106"/>
        <v>2.0484000000000151</v>
      </c>
      <c r="AB168" s="2">
        <f t="shared" si="107"/>
        <v>10.913639999999987</v>
      </c>
      <c r="AC168" s="2">
        <f t="shared" si="108"/>
        <v>0.15803068035587106</v>
      </c>
      <c r="AD168" s="2">
        <f t="shared" si="109"/>
        <v>0.84196931964412891</v>
      </c>
      <c r="AE168" s="2">
        <f t="shared" si="110"/>
        <v>0.48818590119117</v>
      </c>
      <c r="AF168" s="2">
        <f t="shared" si="111"/>
        <v>7.7148350105384636E-2</v>
      </c>
      <c r="AG168" s="2">
        <f t="shared" si="112"/>
        <v>12.962040000000002</v>
      </c>
      <c r="AH168" s="2">
        <v>15</v>
      </c>
      <c r="AI168">
        <f t="shared" si="113"/>
        <v>7.3227885178675498</v>
      </c>
      <c r="AJ168"/>
      <c r="AK168"/>
    </row>
    <row r="169" spans="2:39" s="2" customFormat="1" x14ac:dyDescent="0.35">
      <c r="B169"/>
      <c r="C169" s="271" t="s">
        <v>541</v>
      </c>
      <c r="D169" s="155">
        <v>8</v>
      </c>
      <c r="E169"/>
      <c r="F169" s="2">
        <v>6.1322599999999996</v>
      </c>
      <c r="G169" s="2">
        <v>9.1869200000000006</v>
      </c>
      <c r="H169" s="2">
        <f t="shared" ref="H169:H181" si="120">G169-F169</f>
        <v>3.054660000000001</v>
      </c>
      <c r="I169" s="2">
        <f t="shared" ref="I169:I180" si="121">F170-G169</f>
        <v>19.604489999999998</v>
      </c>
      <c r="J169" s="2">
        <f>H169/N169</f>
        <v>0.13480911684683675</v>
      </c>
      <c r="K169" s="2">
        <f>I169/N169</f>
        <v>0.86519088315316317</v>
      </c>
      <c r="L169" s="2">
        <f>1/H169</f>
        <v>0.32736867605560016</v>
      </c>
      <c r="M169" s="2">
        <f>1/N169</f>
        <v>4.4132282102373653E-2</v>
      </c>
      <c r="N169" s="2">
        <f>H169+I169</f>
        <v>22.65915</v>
      </c>
      <c r="O169" s="2">
        <v>13</v>
      </c>
      <c r="P169">
        <f>O169/H169</f>
        <v>4.2557927887228022</v>
      </c>
      <c r="Q169"/>
      <c r="R169" t="s">
        <v>458</v>
      </c>
      <c r="S169"/>
      <c r="T169"/>
      <c r="V169" s="286"/>
      <c r="W169" s="155">
        <v>-2</v>
      </c>
      <c r="X169"/>
      <c r="Y169" s="13">
        <v>154.55253999999999</v>
      </c>
      <c r="Z169" s="13">
        <v>155.69799</v>
      </c>
      <c r="AA169" s="2">
        <f t="shared" si="106"/>
        <v>1.145450000000011</v>
      </c>
      <c r="AB169" s="2">
        <f t="shared" si="107"/>
        <v>6.9424999999999955</v>
      </c>
      <c r="AC169" s="2">
        <f t="shared" si="108"/>
        <v>0.14162426820146143</v>
      </c>
      <c r="AD169" s="2">
        <f t="shared" si="109"/>
        <v>0.85837573179853854</v>
      </c>
      <c r="AE169" s="2">
        <f t="shared" si="110"/>
        <v>0.87301933737831461</v>
      </c>
      <c r="AF169" s="2">
        <f t="shared" si="111"/>
        <v>0.12364072478192857</v>
      </c>
      <c r="AG169" s="2">
        <f t="shared" si="112"/>
        <v>8.0879500000000064</v>
      </c>
      <c r="AH169" s="2">
        <v>10</v>
      </c>
      <c r="AI169">
        <f t="shared" si="113"/>
        <v>8.7301933737831465</v>
      </c>
      <c r="AJ169"/>
      <c r="AK169"/>
    </row>
    <row r="170" spans="2:39" s="2" customFormat="1" x14ac:dyDescent="0.35">
      <c r="B170"/>
      <c r="C170" s="271"/>
      <c r="D170" s="155">
        <v>8</v>
      </c>
      <c r="E170"/>
      <c r="F170" s="2">
        <v>28.791409999999999</v>
      </c>
      <c r="G170" s="2">
        <v>32.018070000000002</v>
      </c>
      <c r="H170" s="2">
        <f t="shared" si="120"/>
        <v>3.2266600000000025</v>
      </c>
      <c r="I170" s="2">
        <f t="shared" si="121"/>
        <v>8.9043300000000016</v>
      </c>
      <c r="J170" s="2">
        <f t="shared" ref="J170:J180" si="122">H170/N170</f>
        <v>0.26598488664156855</v>
      </c>
      <c r="K170" s="2">
        <f t="shared" ref="K170:K180" si="123">I170/N170</f>
        <v>0.7340151133584315</v>
      </c>
      <c r="L170" s="2">
        <f t="shared" ref="L170:L180" si="124">1/H170</f>
        <v>0.309917995698338</v>
      </c>
      <c r="M170" s="2">
        <f t="shared" ref="M170:M180" si="125">1/N170</f>
        <v>8.2433502954004548E-2</v>
      </c>
      <c r="N170" s="2">
        <f t="shared" ref="N170:N180" si="126">H170+I170</f>
        <v>12.130990000000004</v>
      </c>
      <c r="O170" s="2">
        <v>15</v>
      </c>
      <c r="P170">
        <f t="shared" ref="P170:P180" si="127">O170/H170</f>
        <v>4.6487699354750696</v>
      </c>
      <c r="Q170"/>
      <c r="R170"/>
      <c r="S170"/>
      <c r="T170"/>
      <c r="V170" s="286" t="s">
        <v>541</v>
      </c>
      <c r="W170" s="155">
        <v>-2</v>
      </c>
      <c r="X170"/>
      <c r="Y170" s="13">
        <v>162.64049</v>
      </c>
      <c r="Z170">
        <v>163.72015999999999</v>
      </c>
      <c r="AA170" s="2">
        <f t="shared" si="106"/>
        <v>1.079669999999993</v>
      </c>
      <c r="AB170" s="2">
        <f t="shared" si="107"/>
        <v>6.8454000000000121</v>
      </c>
      <c r="AC170" s="2">
        <f t="shared" si="108"/>
        <v>0.1362347588097004</v>
      </c>
      <c r="AD170" s="2">
        <f t="shared" si="109"/>
        <v>0.86376524119029963</v>
      </c>
      <c r="AE170" s="2">
        <f t="shared" si="110"/>
        <v>0.92620893421138539</v>
      </c>
      <c r="AF170" s="2">
        <f t="shared" si="111"/>
        <v>0.12618185075967775</v>
      </c>
      <c r="AG170" s="2">
        <f t="shared" si="112"/>
        <v>7.9250700000000052</v>
      </c>
      <c r="AH170" s="2">
        <v>9</v>
      </c>
      <c r="AI170">
        <f t="shared" si="113"/>
        <v>8.3358804079024686</v>
      </c>
      <c r="AJ170"/>
      <c r="AK170"/>
    </row>
    <row r="171" spans="2:39" s="2" customFormat="1" x14ac:dyDescent="0.35">
      <c r="B171"/>
      <c r="C171" s="271" t="s">
        <v>541</v>
      </c>
      <c r="D171" s="155">
        <v>8</v>
      </c>
      <c r="E171"/>
      <c r="F171" s="13">
        <v>40.922400000000003</v>
      </c>
      <c r="G171" s="2">
        <v>42.887270000000001</v>
      </c>
      <c r="H171" s="2">
        <f t="shared" si="120"/>
        <v>1.9648699999999977</v>
      </c>
      <c r="I171" s="2">
        <f t="shared" si="121"/>
        <v>8.2311399999999963</v>
      </c>
      <c r="J171" s="2">
        <f t="shared" si="122"/>
        <v>0.19270969722469858</v>
      </c>
      <c r="K171" s="2">
        <f t="shared" si="123"/>
        <v>0.80729030277530145</v>
      </c>
      <c r="L171" s="2">
        <f t="shared" si="124"/>
        <v>0.50893952271651621</v>
      </c>
      <c r="M171" s="2">
        <f t="shared" si="125"/>
        <v>9.8077581328382429E-2</v>
      </c>
      <c r="N171" s="2">
        <f t="shared" si="126"/>
        <v>10.196009999999994</v>
      </c>
      <c r="O171" s="2">
        <v>8</v>
      </c>
      <c r="P171">
        <f t="shared" si="127"/>
        <v>4.0715161817321297</v>
      </c>
      <c r="Q171"/>
      <c r="R171"/>
      <c r="S171"/>
      <c r="T171"/>
      <c r="V171" s="286" t="s">
        <v>541</v>
      </c>
      <c r="W171" s="155">
        <v>-2</v>
      </c>
      <c r="X171"/>
      <c r="Y171">
        <v>170.56556</v>
      </c>
      <c r="Z171">
        <v>172.73584</v>
      </c>
      <c r="AA171" s="2">
        <f t="shared" si="106"/>
        <v>2.1702799999999911</v>
      </c>
      <c r="AB171" s="2">
        <f t="shared" si="107"/>
        <v>10.735690000000005</v>
      </c>
      <c r="AC171" s="2">
        <f t="shared" si="108"/>
        <v>0.16816093637285626</v>
      </c>
      <c r="AD171" s="2">
        <f t="shared" si="109"/>
        <v>0.83183906362714377</v>
      </c>
      <c r="AE171" s="2">
        <f t="shared" si="110"/>
        <v>0.46077003888899315</v>
      </c>
      <c r="AF171" s="2">
        <f t="shared" si="111"/>
        <v>7.7483521192130492E-2</v>
      </c>
      <c r="AG171" s="2">
        <f t="shared" si="112"/>
        <v>12.905969999999996</v>
      </c>
      <c r="AH171" s="2">
        <v>16</v>
      </c>
      <c r="AI171">
        <f t="shared" si="113"/>
        <v>7.3723206222238904</v>
      </c>
      <c r="AJ171"/>
      <c r="AK171"/>
    </row>
    <row r="172" spans="2:39" s="2" customFormat="1" x14ac:dyDescent="0.35">
      <c r="B172"/>
      <c r="C172" s="271" t="s">
        <v>541</v>
      </c>
      <c r="D172" s="155">
        <v>8</v>
      </c>
      <c r="E172"/>
      <c r="F172" s="13">
        <v>51.118409999999997</v>
      </c>
      <c r="G172" s="2">
        <v>54.077959999999997</v>
      </c>
      <c r="H172" s="2">
        <f t="shared" si="120"/>
        <v>2.9595500000000001</v>
      </c>
      <c r="I172" s="2">
        <f t="shared" si="121"/>
        <v>23.736960000000003</v>
      </c>
      <c r="J172" s="2">
        <f t="shared" si="122"/>
        <v>0.11085905985464016</v>
      </c>
      <c r="K172" s="2">
        <f t="shared" si="123"/>
        <v>0.88914094014535983</v>
      </c>
      <c r="L172" s="2">
        <f t="shared" si="124"/>
        <v>0.33788920612931017</v>
      </c>
      <c r="M172" s="2">
        <f t="shared" si="125"/>
        <v>3.7458079726526046E-2</v>
      </c>
      <c r="N172" s="2">
        <f t="shared" si="126"/>
        <v>26.696510000000004</v>
      </c>
      <c r="O172" s="2">
        <v>11</v>
      </c>
      <c r="P172">
        <f t="shared" si="127"/>
        <v>3.7167812674224119</v>
      </c>
      <c r="Q172"/>
      <c r="R172"/>
      <c r="S172"/>
      <c r="T172"/>
      <c r="V172" s="286"/>
      <c r="W172" s="155">
        <v>-2</v>
      </c>
      <c r="X172"/>
      <c r="Y172">
        <v>183.47153</v>
      </c>
      <c r="Z172">
        <v>184.54043999999999</v>
      </c>
      <c r="AA172" s="2">
        <f t="shared" si="106"/>
        <v>1.0689099999999883</v>
      </c>
      <c r="AB172" s="2">
        <f t="shared" si="107"/>
        <v>4.8826200000000028</v>
      </c>
      <c r="AC172" s="2">
        <f t="shared" si="108"/>
        <v>0.1796025559814014</v>
      </c>
      <c r="AD172" s="2">
        <f t="shared" si="109"/>
        <v>0.8203974440185986</v>
      </c>
      <c r="AE172" s="2">
        <f t="shared" si="110"/>
        <v>0.93553245829865095</v>
      </c>
      <c r="AF172" s="2">
        <f t="shared" si="111"/>
        <v>0.16802402071400152</v>
      </c>
      <c r="AG172" s="2">
        <f t="shared" si="112"/>
        <v>5.9515299999999911</v>
      </c>
      <c r="AH172" s="2">
        <v>12</v>
      </c>
      <c r="AI172">
        <f t="shared" si="113"/>
        <v>11.226389499583812</v>
      </c>
      <c r="AJ172"/>
      <c r="AK172"/>
    </row>
    <row r="173" spans="2:39" s="2" customFormat="1" x14ac:dyDescent="0.35">
      <c r="B173"/>
      <c r="C173" s="271"/>
      <c r="D173" s="155">
        <v>8</v>
      </c>
      <c r="E173"/>
      <c r="F173" s="13">
        <v>77.814920000000001</v>
      </c>
      <c r="G173" s="2">
        <v>79.912559999999999</v>
      </c>
      <c r="H173" s="2">
        <f t="shared" si="120"/>
        <v>2.0976399999999984</v>
      </c>
      <c r="I173" s="2">
        <f t="shared" si="121"/>
        <v>11.183210000000003</v>
      </c>
      <c r="J173" s="2">
        <f t="shared" si="122"/>
        <v>0.15794470986420284</v>
      </c>
      <c r="K173" s="2">
        <f t="shared" si="123"/>
        <v>0.84205529013579716</v>
      </c>
      <c r="L173" s="2">
        <f t="shared" si="124"/>
        <v>0.47672622566312656</v>
      </c>
      <c r="M173" s="2">
        <f t="shared" si="125"/>
        <v>7.5296385397019008E-2</v>
      </c>
      <c r="N173" s="2">
        <f t="shared" si="126"/>
        <v>13.280850000000001</v>
      </c>
      <c r="O173" s="2">
        <v>11</v>
      </c>
      <c r="P173">
        <f t="shared" si="127"/>
        <v>5.2439884822943919</v>
      </c>
      <c r="Q173"/>
      <c r="R173"/>
      <c r="S173"/>
      <c r="T173"/>
      <c r="V173" s="286" t="s">
        <v>541</v>
      </c>
      <c r="W173" s="155">
        <v>-2</v>
      </c>
      <c r="X173"/>
      <c r="Y173">
        <v>189.42305999999999</v>
      </c>
      <c r="Z173">
        <v>191.67988</v>
      </c>
      <c r="AA173" s="2">
        <f t="shared" si="106"/>
        <v>2.2568200000000047</v>
      </c>
      <c r="AB173" s="2">
        <f t="shared" si="107"/>
        <v>6.729219999999998</v>
      </c>
      <c r="AC173" s="2">
        <f t="shared" si="108"/>
        <v>0.25114733519993276</v>
      </c>
      <c r="AD173" s="2">
        <f t="shared" si="109"/>
        <v>0.74885266480006718</v>
      </c>
      <c r="AE173" s="2">
        <f t="shared" si="110"/>
        <v>0.44310135500394265</v>
      </c>
      <c r="AF173" s="2">
        <f t="shared" si="111"/>
        <v>0.11128372453271961</v>
      </c>
      <c r="AG173" s="2">
        <f t="shared" si="112"/>
        <v>8.9860400000000027</v>
      </c>
      <c r="AH173" s="2">
        <v>18</v>
      </c>
      <c r="AI173">
        <f t="shared" si="113"/>
        <v>7.9758243900709678</v>
      </c>
      <c r="AJ173"/>
      <c r="AK173"/>
    </row>
    <row r="174" spans="2:39" s="2" customFormat="1" x14ac:dyDescent="0.35">
      <c r="B174"/>
      <c r="C174" s="271" t="s">
        <v>541</v>
      </c>
      <c r="D174" s="155">
        <v>8</v>
      </c>
      <c r="E174"/>
      <c r="F174" s="13">
        <v>91.095770000000002</v>
      </c>
      <c r="G174" s="2">
        <v>93.25188</v>
      </c>
      <c r="H174" s="2">
        <f t="shared" si="120"/>
        <v>2.1561099999999982</v>
      </c>
      <c r="I174" s="2">
        <f t="shared" si="121"/>
        <v>6.8346399999999932</v>
      </c>
      <c r="J174" s="2">
        <f t="shared" si="122"/>
        <v>0.23981425353835889</v>
      </c>
      <c r="K174" s="2">
        <f t="shared" si="123"/>
        <v>0.76018574646164105</v>
      </c>
      <c r="L174" s="2">
        <f t="shared" si="124"/>
        <v>0.46379822921836122</v>
      </c>
      <c r="M174" s="2">
        <f t="shared" si="125"/>
        <v>0.11122542613241397</v>
      </c>
      <c r="N174" s="2">
        <f t="shared" si="126"/>
        <v>8.9907499999999914</v>
      </c>
      <c r="O174" s="2">
        <v>7</v>
      </c>
      <c r="P174">
        <f t="shared" si="127"/>
        <v>3.2465876045285285</v>
      </c>
      <c r="Q174"/>
      <c r="R174"/>
      <c r="S174"/>
      <c r="T174"/>
      <c r="V174" s="286" t="s">
        <v>541</v>
      </c>
      <c r="W174" s="155">
        <v>-2</v>
      </c>
      <c r="X174"/>
      <c r="Y174">
        <v>198.4091</v>
      </c>
      <c r="Z174">
        <v>200.53370000000001</v>
      </c>
      <c r="AA174" s="2">
        <f t="shared" si="106"/>
        <v>2.1246000000000151</v>
      </c>
      <c r="AB174" s="2">
        <f t="shared" si="107"/>
        <v>4.8286200000000008</v>
      </c>
      <c r="AC174" s="2">
        <f t="shared" si="108"/>
        <v>0.30555627464685575</v>
      </c>
      <c r="AD174" s="2">
        <f t="shared" si="109"/>
        <v>0.69444372535314425</v>
      </c>
      <c r="AE174" s="2">
        <f t="shared" si="110"/>
        <v>0.47067683328626231</v>
      </c>
      <c r="AF174" s="2">
        <f t="shared" si="111"/>
        <v>0.14381825974152948</v>
      </c>
      <c r="AG174" s="2">
        <f t="shared" si="112"/>
        <v>6.9532200000000159</v>
      </c>
      <c r="AH174" s="2">
        <v>20</v>
      </c>
      <c r="AI174">
        <f t="shared" si="113"/>
        <v>9.4135366657252462</v>
      </c>
      <c r="AJ174"/>
      <c r="AK174"/>
    </row>
    <row r="175" spans="2:39" s="2" customFormat="1" x14ac:dyDescent="0.35">
      <c r="B175"/>
      <c r="C175" s="271"/>
      <c r="D175" s="155">
        <v>8</v>
      </c>
      <c r="E175"/>
      <c r="F175" s="13">
        <v>100.08651999999999</v>
      </c>
      <c r="G175" s="2">
        <v>103.2991</v>
      </c>
      <c r="H175" s="2">
        <f t="shared" si="120"/>
        <v>3.2125800000000027</v>
      </c>
      <c r="I175" s="2">
        <f t="shared" si="121"/>
        <v>7.9769900000000007</v>
      </c>
      <c r="J175" s="2">
        <f t="shared" si="122"/>
        <v>0.28710486640684152</v>
      </c>
      <c r="K175" s="2">
        <f t="shared" si="123"/>
        <v>0.71289513359315848</v>
      </c>
      <c r="L175" s="2">
        <f t="shared" si="124"/>
        <v>0.31127629506502535</v>
      </c>
      <c r="M175" s="2">
        <f t="shared" si="125"/>
        <v>8.9368939110260684E-2</v>
      </c>
      <c r="N175" s="2">
        <f t="shared" si="126"/>
        <v>11.189570000000003</v>
      </c>
      <c r="O175" s="2">
        <v>14</v>
      </c>
      <c r="P175">
        <f t="shared" si="127"/>
        <v>4.3578681309103553</v>
      </c>
      <c r="Q175"/>
      <c r="R175"/>
      <c r="S175"/>
      <c r="T175"/>
      <c r="V175" s="286"/>
      <c r="W175" s="155">
        <v>-2</v>
      </c>
      <c r="X175"/>
      <c r="Y175">
        <v>205.36232000000001</v>
      </c>
      <c r="Z175">
        <v>206.53752</v>
      </c>
      <c r="AA175" s="2">
        <f t="shared" si="106"/>
        <v>1.1751999999999896</v>
      </c>
      <c r="AB175" s="2">
        <f t="shared" si="107"/>
        <v>8.0078800000000001</v>
      </c>
      <c r="AC175" s="2">
        <f t="shared" si="108"/>
        <v>0.12797449221829613</v>
      </c>
      <c r="AD175" s="2">
        <f t="shared" si="109"/>
        <v>0.87202550778170385</v>
      </c>
      <c r="AE175" s="2">
        <f t="shared" si="110"/>
        <v>0.85091899251192038</v>
      </c>
      <c r="AF175" s="2">
        <f t="shared" si="111"/>
        <v>0.10889592598561715</v>
      </c>
      <c r="AG175" s="2">
        <f t="shared" si="112"/>
        <v>9.1830799999999897</v>
      </c>
      <c r="AH175" s="2">
        <v>9</v>
      </c>
      <c r="AI175">
        <f t="shared" si="113"/>
        <v>7.6582709326072838</v>
      </c>
      <c r="AJ175"/>
      <c r="AK175"/>
    </row>
    <row r="176" spans="2:39" s="2" customFormat="1" x14ac:dyDescent="0.35">
      <c r="B176"/>
      <c r="C176" s="271" t="s">
        <v>541</v>
      </c>
      <c r="D176" s="155">
        <v>8</v>
      </c>
      <c r="E176"/>
      <c r="F176" s="13">
        <v>111.27609</v>
      </c>
      <c r="G176" s="2">
        <v>113.22884000000001</v>
      </c>
      <c r="H176" s="2">
        <f t="shared" si="120"/>
        <v>1.9527500000000089</v>
      </c>
      <c r="I176" s="2">
        <f t="shared" si="121"/>
        <v>9.9752299999999963</v>
      </c>
      <c r="J176" s="2">
        <f t="shared" si="122"/>
        <v>0.16371170977818608</v>
      </c>
      <c r="K176" s="2">
        <f t="shared" si="123"/>
        <v>0.83628829022181395</v>
      </c>
      <c r="L176" s="2">
        <f t="shared" si="124"/>
        <v>0.51209832287799029</v>
      </c>
      <c r="M176" s="2">
        <f t="shared" si="125"/>
        <v>8.3836492012897376E-2</v>
      </c>
      <c r="N176" s="2">
        <f t="shared" si="126"/>
        <v>11.927980000000005</v>
      </c>
      <c r="O176" s="2">
        <v>7</v>
      </c>
      <c r="P176">
        <f t="shared" si="127"/>
        <v>3.5846882601459318</v>
      </c>
      <c r="Q176"/>
      <c r="R176"/>
      <c r="S176"/>
      <c r="T176"/>
      <c r="V176" s="286" t="s">
        <v>541</v>
      </c>
      <c r="W176" s="155">
        <v>-2</v>
      </c>
      <c r="Y176" s="13">
        <v>214.5454</v>
      </c>
      <c r="Z176" s="2">
        <v>215.59918999999999</v>
      </c>
      <c r="AA176" s="2">
        <f t="shared" si="106"/>
        <v>1.0537899999999922</v>
      </c>
      <c r="AB176" s="2">
        <f t="shared" si="107"/>
        <v>7.9410500000000184</v>
      </c>
      <c r="AC176" s="2">
        <f t="shared" si="108"/>
        <v>0.11715494661383538</v>
      </c>
      <c r="AD176" s="2">
        <f t="shared" si="109"/>
        <v>0.88284505338616459</v>
      </c>
      <c r="AE176" s="2">
        <f t="shared" si="110"/>
        <v>0.94895567428046135</v>
      </c>
      <c r="AF176" s="2">
        <f t="shared" si="111"/>
        <v>0.1111748513592236</v>
      </c>
      <c r="AG176" s="2">
        <f t="shared" si="112"/>
        <v>8.9948400000000106</v>
      </c>
      <c r="AH176" s="2">
        <v>9</v>
      </c>
      <c r="AI176">
        <f t="shared" si="113"/>
        <v>8.5406010685241522</v>
      </c>
      <c r="AM176"/>
    </row>
    <row r="177" spans="2:39" s="2" customFormat="1" x14ac:dyDescent="0.35">
      <c r="B177"/>
      <c r="C177" s="271" t="s">
        <v>541</v>
      </c>
      <c r="D177" s="155">
        <v>0</v>
      </c>
      <c r="E177"/>
      <c r="F177" s="13">
        <v>123.20407</v>
      </c>
      <c r="G177" s="2">
        <v>125.2363</v>
      </c>
      <c r="H177" s="2">
        <f t="shared" si="120"/>
        <v>2.0322299999999984</v>
      </c>
      <c r="I177" s="2">
        <f t="shared" si="121"/>
        <v>23.438510000000008</v>
      </c>
      <c r="J177" s="2">
        <f t="shared" si="122"/>
        <v>7.9786845611866705E-2</v>
      </c>
      <c r="K177" s="2">
        <f t="shared" si="123"/>
        <v>0.92021315438813334</v>
      </c>
      <c r="L177" s="2">
        <f t="shared" si="124"/>
        <v>0.49207028731984115</v>
      </c>
      <c r="M177" s="2">
        <f t="shared" si="125"/>
        <v>3.9260736044575056E-2</v>
      </c>
      <c r="N177" s="2">
        <f t="shared" si="126"/>
        <v>25.470740000000006</v>
      </c>
      <c r="O177" s="2">
        <v>11</v>
      </c>
      <c r="P177">
        <f t="shared" si="127"/>
        <v>5.4127731605182525</v>
      </c>
      <c r="Q177"/>
      <c r="R177" t="s">
        <v>457</v>
      </c>
      <c r="S177"/>
      <c r="T177"/>
      <c r="V177" s="286" t="s">
        <v>541</v>
      </c>
      <c r="W177" s="155">
        <v>-2</v>
      </c>
      <c r="Y177" s="13">
        <v>223.54024000000001</v>
      </c>
      <c r="Z177" s="2">
        <v>224.77704</v>
      </c>
      <c r="AA177" s="2">
        <f t="shared" si="106"/>
        <v>1.2367999999999881</v>
      </c>
      <c r="AB177" s="2">
        <f t="shared" si="107"/>
        <v>4.6598799999999869</v>
      </c>
      <c r="AC177" s="2">
        <f t="shared" si="108"/>
        <v>0.20974514472550543</v>
      </c>
      <c r="AD177" s="2">
        <f t="shared" si="109"/>
        <v>0.79025485527449457</v>
      </c>
      <c r="AE177" s="2">
        <f t="shared" si="110"/>
        <v>0.80853816300130144</v>
      </c>
      <c r="AF177" s="2">
        <f t="shared" si="111"/>
        <v>0.16958695401480225</v>
      </c>
      <c r="AG177" s="2">
        <f t="shared" si="112"/>
        <v>5.8966799999999751</v>
      </c>
      <c r="AH177" s="2">
        <v>11</v>
      </c>
      <c r="AI177">
        <f t="shared" si="113"/>
        <v>8.8939197930143159</v>
      </c>
      <c r="AM177"/>
    </row>
    <row r="178" spans="2:39" s="2" customFormat="1" x14ac:dyDescent="0.35">
      <c r="B178"/>
      <c r="C178" s="271" t="s">
        <v>541</v>
      </c>
      <c r="D178" s="155">
        <v>0</v>
      </c>
      <c r="E178"/>
      <c r="F178" s="13">
        <v>148.67481000000001</v>
      </c>
      <c r="G178" s="2">
        <v>151.71082999999999</v>
      </c>
      <c r="H178" s="2">
        <f t="shared" si="120"/>
        <v>3.0360199999999793</v>
      </c>
      <c r="I178" s="2">
        <f t="shared" si="121"/>
        <v>20.253710000000012</v>
      </c>
      <c r="J178" s="2">
        <f t="shared" si="122"/>
        <v>0.13035874610826234</v>
      </c>
      <c r="K178" s="2">
        <f t="shared" si="123"/>
        <v>0.86964125389173763</v>
      </c>
      <c r="L178" s="2">
        <f t="shared" si="124"/>
        <v>0.32937859434391303</v>
      </c>
      <c r="M178" s="2">
        <f t="shared" si="125"/>
        <v>4.2937380553574489E-2</v>
      </c>
      <c r="N178" s="2">
        <f t="shared" si="126"/>
        <v>23.289729999999992</v>
      </c>
      <c r="O178" s="2">
        <v>10</v>
      </c>
      <c r="P178">
        <f t="shared" si="127"/>
        <v>3.2937859434391301</v>
      </c>
      <c r="Q178"/>
      <c r="R178"/>
      <c r="S178"/>
      <c r="T178"/>
      <c r="V178" s="286"/>
      <c r="W178" s="155">
        <v>-2</v>
      </c>
      <c r="Y178" s="13">
        <v>229.43691999999999</v>
      </c>
      <c r="Z178" s="13">
        <v>230.68536</v>
      </c>
      <c r="AA178" s="2">
        <f t="shared" si="106"/>
        <v>1.2484400000000164</v>
      </c>
      <c r="AB178" s="2">
        <f t="shared" si="107"/>
        <v>8.7931000000000097</v>
      </c>
      <c r="AC178" s="2">
        <f t="shared" si="108"/>
        <v>0.12432754338478094</v>
      </c>
      <c r="AD178" s="2">
        <f t="shared" si="109"/>
        <v>0.87567245661521909</v>
      </c>
      <c r="AE178" s="2">
        <f t="shared" si="110"/>
        <v>0.80099964756014452</v>
      </c>
      <c r="AF178" s="2">
        <f t="shared" si="111"/>
        <v>9.9586318433228113E-2</v>
      </c>
      <c r="AG178" s="2">
        <f t="shared" si="112"/>
        <v>10.041540000000026</v>
      </c>
      <c r="AH178" s="2">
        <v>12</v>
      </c>
      <c r="AI178">
        <f t="shared" si="113"/>
        <v>9.6119957707217338</v>
      </c>
      <c r="AM178"/>
    </row>
    <row r="179" spans="2:39" s="2" customFormat="1" x14ac:dyDescent="0.35">
      <c r="B179"/>
      <c r="C179" s="271" t="s">
        <v>541</v>
      </c>
      <c r="D179" s="155">
        <v>0</v>
      </c>
      <c r="E179"/>
      <c r="F179" s="13">
        <v>171.96454</v>
      </c>
      <c r="G179" s="2">
        <v>175.05095</v>
      </c>
      <c r="H179" s="2">
        <f t="shared" si="120"/>
        <v>3.0864100000000008</v>
      </c>
      <c r="I179" s="2">
        <f t="shared" si="121"/>
        <v>22.459879999999998</v>
      </c>
      <c r="J179" s="2">
        <f t="shared" si="122"/>
        <v>0.12081636903049331</v>
      </c>
      <c r="K179" s="2">
        <f t="shared" si="123"/>
        <v>0.87918363096950669</v>
      </c>
      <c r="L179" s="2">
        <f t="shared" si="124"/>
        <v>0.32400102384323526</v>
      </c>
      <c r="M179" s="2">
        <f t="shared" si="125"/>
        <v>3.9144627262901972E-2</v>
      </c>
      <c r="N179" s="2">
        <f t="shared" si="126"/>
        <v>25.546289999999999</v>
      </c>
      <c r="O179" s="2">
        <v>13</v>
      </c>
      <c r="P179">
        <f t="shared" si="127"/>
        <v>4.2120133099620585</v>
      </c>
      <c r="Q179"/>
      <c r="R179"/>
      <c r="S179"/>
      <c r="T179"/>
      <c r="V179" s="286" t="s">
        <v>541</v>
      </c>
      <c r="W179" s="155">
        <v>-2</v>
      </c>
      <c r="Y179" s="13">
        <v>239.47846000000001</v>
      </c>
      <c r="Z179" s="13">
        <v>240.446</v>
      </c>
      <c r="AA179" s="2">
        <f t="shared" si="106"/>
        <v>0.96753999999998541</v>
      </c>
      <c r="AB179" s="2">
        <f t="shared" si="107"/>
        <v>6.8371500000000083</v>
      </c>
      <c r="AC179" s="2">
        <f t="shared" si="108"/>
        <v>0.12396904937928171</v>
      </c>
      <c r="AD179" s="2">
        <f t="shared" si="109"/>
        <v>0.87603095062071834</v>
      </c>
      <c r="AE179" s="2">
        <f t="shared" si="110"/>
        <v>1.033549000558132</v>
      </c>
      <c r="AF179" s="2">
        <f t="shared" si="111"/>
        <v>0.12812808708609832</v>
      </c>
      <c r="AG179" s="2">
        <f t="shared" si="112"/>
        <v>7.8046899999999937</v>
      </c>
      <c r="AH179" s="2">
        <v>28</v>
      </c>
      <c r="AI179">
        <f t="shared" si="113"/>
        <v>28.939372015627697</v>
      </c>
      <c r="AM179"/>
    </row>
    <row r="180" spans="2:39" s="2" customFormat="1" x14ac:dyDescent="0.35">
      <c r="B180"/>
      <c r="C180" s="271" t="s">
        <v>541</v>
      </c>
      <c r="D180" s="155">
        <v>0</v>
      </c>
      <c r="E180"/>
      <c r="F180" s="13">
        <v>197.51083</v>
      </c>
      <c r="G180" s="2">
        <v>200.48194000000001</v>
      </c>
      <c r="H180" s="2">
        <f t="shared" si="120"/>
        <v>2.9711100000000101</v>
      </c>
      <c r="I180" s="2">
        <f t="shared" si="121"/>
        <v>20.310739999999981</v>
      </c>
      <c r="J180" s="2">
        <f t="shared" si="122"/>
        <v>0.12761485878484791</v>
      </c>
      <c r="K180" s="2">
        <f t="shared" si="123"/>
        <v>0.87238514121515209</v>
      </c>
      <c r="L180" s="2">
        <f t="shared" si="124"/>
        <v>0.33657454621336691</v>
      </c>
      <c r="M180" s="2">
        <f t="shared" si="125"/>
        <v>4.2951913185593084E-2</v>
      </c>
      <c r="N180" s="2">
        <f t="shared" si="126"/>
        <v>23.281849999999991</v>
      </c>
      <c r="O180" s="2">
        <v>13</v>
      </c>
      <c r="P180">
        <f t="shared" si="127"/>
        <v>4.3754691007737696</v>
      </c>
      <c r="Q180"/>
      <c r="R180"/>
      <c r="S180"/>
      <c r="T180"/>
      <c r="V180" s="286" t="s">
        <v>541</v>
      </c>
      <c r="W180" s="155">
        <v>-2</v>
      </c>
      <c r="Y180" s="13">
        <v>247.28315000000001</v>
      </c>
      <c r="Z180" s="2">
        <v>249.46062000000001</v>
      </c>
      <c r="AA180" s="2">
        <f t="shared" si="106"/>
        <v>2.1774699999999996</v>
      </c>
      <c r="AB180" s="2">
        <f t="shared" si="107"/>
        <v>19.972609999999975</v>
      </c>
      <c r="AC180" s="2">
        <f t="shared" si="108"/>
        <v>9.8305288287897932E-2</v>
      </c>
      <c r="AD180" s="2">
        <f t="shared" si="109"/>
        <v>0.90169471171210203</v>
      </c>
      <c r="AE180" s="2">
        <f t="shared" si="110"/>
        <v>0.45924857747753134</v>
      </c>
      <c r="AF180" s="2">
        <f t="shared" si="111"/>
        <v>4.5146563804735744E-2</v>
      </c>
      <c r="AG180" s="2">
        <f t="shared" si="112"/>
        <v>22.150079999999974</v>
      </c>
      <c r="AH180" s="2">
        <v>21</v>
      </c>
      <c r="AI180">
        <f t="shared" si="113"/>
        <v>9.6442201270281576</v>
      </c>
      <c r="AK180" t="s">
        <v>471</v>
      </c>
      <c r="AM180"/>
    </row>
    <row r="181" spans="2:39" s="2" customFormat="1" x14ac:dyDescent="0.35">
      <c r="B181"/>
      <c r="C181" s="271"/>
      <c r="D181" s="155">
        <v>0</v>
      </c>
      <c r="E181"/>
      <c r="F181" s="13">
        <v>220.79267999999999</v>
      </c>
      <c r="G181" s="2">
        <v>223.97248999999999</v>
      </c>
      <c r="H181" s="2">
        <f t="shared" si="120"/>
        <v>3.1798100000000034</v>
      </c>
      <c r="P181"/>
      <c r="Q181"/>
      <c r="R181"/>
      <c r="S181"/>
      <c r="T181"/>
      <c r="V181" s="286" t="s">
        <v>541</v>
      </c>
      <c r="W181" s="155">
        <v>-2</v>
      </c>
      <c r="Y181" s="2">
        <v>269.43322999999998</v>
      </c>
      <c r="Z181" s="2">
        <v>271.61471</v>
      </c>
      <c r="AA181" s="2">
        <f t="shared" si="106"/>
        <v>2.1814800000000218</v>
      </c>
      <c r="AB181" s="2">
        <f t="shared" si="107"/>
        <v>20.873449999999991</v>
      </c>
      <c r="AC181" s="2">
        <f t="shared" si="108"/>
        <v>9.4620976945062107E-2</v>
      </c>
      <c r="AD181" s="2">
        <f t="shared" si="109"/>
        <v>0.90537902305493789</v>
      </c>
      <c r="AE181" s="2">
        <f t="shared" si="110"/>
        <v>0.4584043860131608</v>
      </c>
      <c r="AF181" s="2">
        <f t="shared" si="111"/>
        <v>4.3374670840466638E-2</v>
      </c>
      <c r="AG181" s="2">
        <f t="shared" si="112"/>
        <v>23.054930000000013</v>
      </c>
      <c r="AH181" s="2">
        <v>20</v>
      </c>
      <c r="AI181">
        <f t="shared" si="113"/>
        <v>9.1680877202632161</v>
      </c>
      <c r="AM181"/>
    </row>
    <row r="182" spans="2:39" s="2" customFormat="1" x14ac:dyDescent="0.35">
      <c r="B182"/>
      <c r="C182"/>
      <c r="D182" s="155"/>
      <c r="E182"/>
      <c r="F182" s="13"/>
      <c r="P182"/>
      <c r="Q182"/>
      <c r="R182"/>
      <c r="S182"/>
      <c r="T182"/>
      <c r="V182" s="286" t="s">
        <v>541</v>
      </c>
      <c r="W182" s="155">
        <v>-2</v>
      </c>
      <c r="Y182" s="2">
        <v>292.48815999999999</v>
      </c>
      <c r="Z182" s="2">
        <v>294.60329999999999</v>
      </c>
      <c r="AA182" s="2">
        <f t="shared" si="106"/>
        <v>2.1151399999999967</v>
      </c>
      <c r="AB182" s="2">
        <f t="shared" si="107"/>
        <v>23.112450000000024</v>
      </c>
      <c r="AC182" s="2">
        <f t="shared" si="108"/>
        <v>8.3842332937866637E-2</v>
      </c>
      <c r="AD182" s="2">
        <f t="shared" si="109"/>
        <v>0.91615766706213342</v>
      </c>
      <c r="AE182" s="2">
        <f t="shared" si="110"/>
        <v>0.47278194351201414</v>
      </c>
      <c r="AF182" s="2">
        <f t="shared" si="111"/>
        <v>3.9639141114945944E-2</v>
      </c>
      <c r="AG182" s="2">
        <f t="shared" si="112"/>
        <v>25.227590000000021</v>
      </c>
      <c r="AH182" s="2">
        <v>19</v>
      </c>
      <c r="AI182">
        <f t="shared" si="113"/>
        <v>8.9828569267282692</v>
      </c>
      <c r="AM182"/>
    </row>
    <row r="183" spans="2:39" s="2" customFormat="1" ht="16" thickBot="1" x14ac:dyDescent="0.4">
      <c r="B183"/>
      <c r="C183"/>
      <c r="D183" s="155"/>
      <c r="E183"/>
      <c r="F183" s="13"/>
      <c r="G183" s="13"/>
      <c r="H183" s="9" t="s">
        <v>3</v>
      </c>
      <c r="I183" s="9" t="s">
        <v>4</v>
      </c>
      <c r="J183" s="9" t="s">
        <v>5</v>
      </c>
      <c r="K183" s="9" t="s">
        <v>6</v>
      </c>
      <c r="L183" s="9" t="s">
        <v>7</v>
      </c>
      <c r="M183" s="9" t="s">
        <v>8</v>
      </c>
      <c r="N183" s="9" t="s">
        <v>9</v>
      </c>
      <c r="O183" s="9" t="s">
        <v>10</v>
      </c>
      <c r="P183" s="44" t="s">
        <v>139</v>
      </c>
      <c r="Q183"/>
      <c r="R183"/>
      <c r="S183"/>
      <c r="T183"/>
      <c r="V183" s="286" t="s">
        <v>541</v>
      </c>
      <c r="W183" s="155">
        <v>-2</v>
      </c>
      <c r="Y183" s="2">
        <v>317.71575000000001</v>
      </c>
      <c r="Z183" s="2">
        <v>319.85881000000001</v>
      </c>
      <c r="AA183" s="2">
        <f t="shared" si="106"/>
        <v>2.1430599999999913</v>
      </c>
      <c r="AB183" s="2">
        <f t="shared" si="107"/>
        <v>3.9373899999999935</v>
      </c>
      <c r="AC183" s="2">
        <f t="shared" si="108"/>
        <v>0.35245088768100991</v>
      </c>
      <c r="AD183" s="2">
        <f t="shared" si="109"/>
        <v>0.64754911231899015</v>
      </c>
      <c r="AE183" s="2">
        <f t="shared" si="110"/>
        <v>0.4666224930706579</v>
      </c>
      <c r="AF183" s="2">
        <f t="shared" si="111"/>
        <v>0.16446151189467925</v>
      </c>
      <c r="AG183" s="2">
        <f t="shared" si="112"/>
        <v>6.0804499999999848</v>
      </c>
      <c r="AH183" s="2">
        <v>15</v>
      </c>
      <c r="AI183">
        <f t="shared" si="113"/>
        <v>6.9993373960598682</v>
      </c>
      <c r="AM183"/>
    </row>
    <row r="184" spans="2:39" s="2" customFormat="1" x14ac:dyDescent="0.35">
      <c r="B184"/>
      <c r="C184"/>
      <c r="D184" s="155"/>
      <c r="E184" s="104" t="s">
        <v>413</v>
      </c>
      <c r="F184" s="13"/>
      <c r="G184" s="49" t="s">
        <v>77</v>
      </c>
      <c r="H184" s="13">
        <f>AVERAGE(H169:H176)</f>
        <v>2.5781025000000013</v>
      </c>
      <c r="I184" s="13">
        <f t="shared" ref="I184:P184" si="128">AVERAGE(I169:I176)</f>
        <v>12.05587375</v>
      </c>
      <c r="J184" s="13">
        <f t="shared" si="128"/>
        <v>0.1941172875194167</v>
      </c>
      <c r="K184" s="13">
        <f t="shared" si="128"/>
        <v>0.8058827124805833</v>
      </c>
      <c r="L184" s="13">
        <f t="shared" si="128"/>
        <v>0.40600180917803352</v>
      </c>
      <c r="M184" s="13">
        <f t="shared" si="128"/>
        <v>7.7728586095484706E-2</v>
      </c>
      <c r="N184" s="13">
        <f t="shared" si="128"/>
        <v>14.63397625</v>
      </c>
      <c r="O184" s="13">
        <f t="shared" si="128"/>
        <v>10.75</v>
      </c>
      <c r="P184" s="13">
        <f t="shared" si="128"/>
        <v>4.1407490814039525</v>
      </c>
      <c r="Q184"/>
      <c r="R184"/>
      <c r="S184"/>
      <c r="T184"/>
      <c r="V184" s="286" t="s">
        <v>541</v>
      </c>
      <c r="W184" s="155">
        <v>-2</v>
      </c>
      <c r="Y184" s="2">
        <v>323.7962</v>
      </c>
      <c r="Z184" s="2">
        <v>325.12815999999998</v>
      </c>
      <c r="AA184" s="2">
        <f t="shared" si="106"/>
        <v>1.3319599999999809</v>
      </c>
      <c r="AB184" s="2">
        <f t="shared" si="107"/>
        <v>8.7602899999999977</v>
      </c>
      <c r="AC184" s="2">
        <f t="shared" si="108"/>
        <v>0.13197849835269476</v>
      </c>
      <c r="AD184" s="2">
        <f t="shared" si="109"/>
        <v>0.86802150164730518</v>
      </c>
      <c r="AE184" s="2">
        <f t="shared" si="110"/>
        <v>0.75077329649540103</v>
      </c>
      <c r="AF184" s="2">
        <f t="shared" si="111"/>
        <v>9.9085932274765504E-2</v>
      </c>
      <c r="AG184" s="2">
        <f t="shared" si="112"/>
        <v>10.092249999999979</v>
      </c>
      <c r="AH184" s="2">
        <v>13</v>
      </c>
      <c r="AI184">
        <f t="shared" si="113"/>
        <v>9.7600528544402128</v>
      </c>
      <c r="AM184"/>
    </row>
    <row r="185" spans="2:39" s="2" customFormat="1" x14ac:dyDescent="0.35">
      <c r="B185"/>
      <c r="C185"/>
      <c r="D185" s="155"/>
      <c r="E185" s="104"/>
      <c r="F185" s="13"/>
      <c r="G185" s="49" t="s">
        <v>94</v>
      </c>
      <c r="H185" s="2">
        <f>_xlfn.STDEV.S(H169:H176)</f>
        <v>0.58209467898885814</v>
      </c>
      <c r="I185" s="2">
        <f t="shared" ref="I185:P185" si="129">_xlfn.STDEV.S(I169:I176)</f>
        <v>6.1757520593433766</v>
      </c>
      <c r="J185" s="2">
        <f t="shared" si="129"/>
        <v>6.3901913406529925E-2</v>
      </c>
      <c r="K185" s="2">
        <f t="shared" si="129"/>
        <v>6.3901913406530023E-2</v>
      </c>
      <c r="L185" s="2">
        <f t="shared" si="129"/>
        <v>9.198022372844869E-2</v>
      </c>
      <c r="M185" s="2">
        <f t="shared" si="129"/>
        <v>2.5319110231900158E-2</v>
      </c>
      <c r="N185" s="2">
        <f t="shared" si="129"/>
        <v>6.4224152340353751</v>
      </c>
      <c r="O185" s="2">
        <f t="shared" si="129"/>
        <v>3.1509635714446826</v>
      </c>
      <c r="P185" s="2">
        <f t="shared" si="129"/>
        <v>0.63570752320948143</v>
      </c>
      <c r="Q185"/>
      <c r="R185"/>
      <c r="S185"/>
      <c r="T185"/>
      <c r="V185" s="286" t="s">
        <v>541</v>
      </c>
      <c r="W185" s="155">
        <v>-2</v>
      </c>
      <c r="Y185" s="2">
        <v>333.88844999999998</v>
      </c>
      <c r="Z185" s="2">
        <v>335.02339000000001</v>
      </c>
      <c r="AA185" s="2">
        <f t="shared" si="106"/>
        <v>1.1349400000000287</v>
      </c>
      <c r="AB185" s="2">
        <f t="shared" si="107"/>
        <v>7.8711599999999748</v>
      </c>
      <c r="AC185" s="2">
        <f t="shared" si="108"/>
        <v>0.12601903154528912</v>
      </c>
      <c r="AD185" s="2">
        <f t="shared" si="109"/>
        <v>0.87398096845471085</v>
      </c>
      <c r="AE185" s="2">
        <f t="shared" si="110"/>
        <v>0.88110384689937327</v>
      </c>
      <c r="AF185" s="2">
        <f t="shared" si="111"/>
        <v>0.11103585347708771</v>
      </c>
      <c r="AG185" s="2">
        <f t="shared" si="112"/>
        <v>9.0061000000000035</v>
      </c>
      <c r="AH185" s="2">
        <v>11</v>
      </c>
      <c r="AI185">
        <f t="shared" si="113"/>
        <v>9.6921423158931059</v>
      </c>
      <c r="AM185"/>
    </row>
    <row r="186" spans="2:39" s="2" customFormat="1" x14ac:dyDescent="0.35">
      <c r="B186"/>
      <c r="C186"/>
      <c r="D186" s="155"/>
      <c r="E186" s="104"/>
      <c r="F186" s="13"/>
      <c r="G186" s="49" t="s">
        <v>95</v>
      </c>
      <c r="H186" s="2">
        <f>H185/(SQRT(COUNT(H169:H176)))</f>
        <v>0.20580154740281406</v>
      </c>
      <c r="I186" s="2">
        <f t="shared" ref="I186:P186" si="130">I185/(SQRT(COUNT(I169:I176)))</f>
        <v>2.1834580800442436</v>
      </c>
      <c r="J186" s="2">
        <f t="shared" si="130"/>
        <v>2.2592738150276431E-2</v>
      </c>
      <c r="K186" s="2">
        <f t="shared" si="130"/>
        <v>2.2592738150276466E-2</v>
      </c>
      <c r="L186" s="2">
        <f t="shared" si="130"/>
        <v>3.2519919966720927E-2</v>
      </c>
      <c r="M186" s="2">
        <f t="shared" si="130"/>
        <v>8.9516572692931503E-3</v>
      </c>
      <c r="N186" s="2">
        <f t="shared" si="130"/>
        <v>2.2706666817911003</v>
      </c>
      <c r="O186" s="2">
        <f t="shared" si="130"/>
        <v>1.1140338543201587</v>
      </c>
      <c r="P186" s="2">
        <f t="shared" si="130"/>
        <v>0.22475655025636443</v>
      </c>
      <c r="Q186"/>
      <c r="R186"/>
      <c r="S186"/>
      <c r="T186"/>
      <c r="U186"/>
      <c r="V186" s="286" t="s">
        <v>541</v>
      </c>
      <c r="W186" s="155">
        <v>-2</v>
      </c>
      <c r="Y186" s="2">
        <v>342.89454999999998</v>
      </c>
      <c r="Z186" s="2">
        <v>345.08526000000001</v>
      </c>
      <c r="AA186" s="2">
        <f t="shared" si="106"/>
        <v>2.1907100000000241</v>
      </c>
      <c r="AB186" s="2">
        <f t="shared" si="107"/>
        <v>23.652460000000019</v>
      </c>
      <c r="AC186" s="2">
        <f t="shared" si="108"/>
        <v>8.4769399419654029E-2</v>
      </c>
      <c r="AD186" s="2">
        <f t="shared" si="109"/>
        <v>0.915230600580346</v>
      </c>
      <c r="AE186" s="2">
        <f t="shared" si="110"/>
        <v>0.45647301559767789</v>
      </c>
      <c r="AF186" s="2">
        <f t="shared" si="111"/>
        <v>3.8694943383493524E-2</v>
      </c>
      <c r="AG186" s="2">
        <f t="shared" si="112"/>
        <v>25.843170000000043</v>
      </c>
      <c r="AH186" s="2">
        <v>21</v>
      </c>
      <c r="AI186">
        <f t="shared" si="113"/>
        <v>9.5859333275512366</v>
      </c>
      <c r="AM186"/>
    </row>
    <row r="187" spans="2:39" s="2" customFormat="1" x14ac:dyDescent="0.35">
      <c r="B187"/>
      <c r="C187"/>
      <c r="D187" s="271"/>
      <c r="E187" s="104"/>
      <c r="F187" s="13"/>
      <c r="G187" s="49"/>
      <c r="Q187"/>
      <c r="R187"/>
      <c r="S187"/>
      <c r="T187"/>
      <c r="U187"/>
      <c r="V187" s="286" t="s">
        <v>541</v>
      </c>
      <c r="W187" s="155">
        <v>0</v>
      </c>
      <c r="Y187" s="2">
        <v>368.73772000000002</v>
      </c>
      <c r="Z187" s="2">
        <v>370.93808999999999</v>
      </c>
      <c r="AA187" s="2">
        <f t="shared" si="106"/>
        <v>2.200369999999964</v>
      </c>
      <c r="AB187" s="2">
        <f t="shared" si="107"/>
        <v>15.035799999999995</v>
      </c>
      <c r="AC187" s="2">
        <f t="shared" si="108"/>
        <v>0.12766003120182554</v>
      </c>
      <c r="AD187" s="2">
        <f t="shared" si="109"/>
        <v>0.87233996879817444</v>
      </c>
      <c r="AE187" s="2">
        <f t="shared" si="110"/>
        <v>0.45446902111918286</v>
      </c>
      <c r="AF187" s="2">
        <f t="shared" si="111"/>
        <v>5.801752941633799E-2</v>
      </c>
      <c r="AG187" s="2">
        <f t="shared" si="112"/>
        <v>17.236169999999959</v>
      </c>
      <c r="AH187" s="2">
        <v>24</v>
      </c>
      <c r="AI187">
        <f t="shared" si="113"/>
        <v>10.907256506860389</v>
      </c>
      <c r="AK187" t="s">
        <v>472</v>
      </c>
      <c r="AM187"/>
    </row>
    <row r="188" spans="2:39" s="2" customFormat="1" x14ac:dyDescent="0.35">
      <c r="B188"/>
      <c r="C188"/>
      <c r="D188" s="271"/>
      <c r="E188" s="104"/>
      <c r="F188" s="13"/>
      <c r="G188" s="49"/>
      <c r="Q188"/>
      <c r="R188"/>
      <c r="S188"/>
      <c r="T188"/>
      <c r="U188"/>
      <c r="V188" s="286" t="s">
        <v>541</v>
      </c>
      <c r="W188" s="155">
        <v>0</v>
      </c>
      <c r="Y188" s="2">
        <v>385.97388999999998</v>
      </c>
      <c r="Z188" s="2">
        <v>387.13954000000001</v>
      </c>
      <c r="AA188" s="2">
        <f t="shared" si="106"/>
        <v>1.1656500000000278</v>
      </c>
      <c r="AB188" s="2">
        <f t="shared" si="107"/>
        <v>5.8156199999999671</v>
      </c>
      <c r="AC188" s="2">
        <f t="shared" si="108"/>
        <v>0.16696818773661937</v>
      </c>
      <c r="AD188" s="2">
        <f t="shared" si="109"/>
        <v>0.83303181226338063</v>
      </c>
      <c r="AE188" s="2">
        <f t="shared" si="110"/>
        <v>0.85789044738984788</v>
      </c>
      <c r="AF188" s="2">
        <f t="shared" si="111"/>
        <v>0.14324041327724049</v>
      </c>
      <c r="AG188" s="2">
        <f t="shared" si="112"/>
        <v>6.981269999999995</v>
      </c>
      <c r="AH188" s="2">
        <v>11</v>
      </c>
      <c r="AI188">
        <f t="shared" si="113"/>
        <v>9.4367949212883264</v>
      </c>
      <c r="AM188"/>
    </row>
    <row r="189" spans="2:39" ht="16" thickBot="1" x14ac:dyDescent="0.4">
      <c r="D189" s="271"/>
      <c r="E189" s="104" t="s">
        <v>81</v>
      </c>
      <c r="F189" s="13"/>
      <c r="G189" s="13"/>
      <c r="H189" s="9" t="s">
        <v>3</v>
      </c>
      <c r="I189" s="9" t="s">
        <v>4</v>
      </c>
      <c r="J189" s="9" t="s">
        <v>5</v>
      </c>
      <c r="K189" s="9" t="s">
        <v>6</v>
      </c>
      <c r="L189" s="9" t="s">
        <v>7</v>
      </c>
      <c r="M189" s="9" t="s">
        <v>8</v>
      </c>
      <c r="N189" s="9" t="s">
        <v>9</v>
      </c>
      <c r="O189" s="9" t="s">
        <v>10</v>
      </c>
      <c r="P189" s="44" t="s">
        <v>139</v>
      </c>
      <c r="V189" s="286" t="s">
        <v>541</v>
      </c>
      <c r="W189" s="155">
        <v>0</v>
      </c>
      <c r="X189" s="2"/>
      <c r="Y189" s="2">
        <v>392.95515999999998</v>
      </c>
      <c r="Z189" s="2">
        <v>394.94837000000001</v>
      </c>
      <c r="AA189" s="2">
        <f t="shared" si="106"/>
        <v>1.9932100000000332</v>
      </c>
      <c r="AB189" s="2">
        <f t="shared" si="107"/>
        <v>5.0358799999999633</v>
      </c>
      <c r="AC189" s="2">
        <f t="shared" si="108"/>
        <v>0.28356586698989972</v>
      </c>
      <c r="AD189" s="2">
        <f t="shared" si="109"/>
        <v>0.71643413301010028</v>
      </c>
      <c r="AE189" s="2">
        <f t="shared" si="110"/>
        <v>0.50170328264456998</v>
      </c>
      <c r="AF189" s="2">
        <f t="shared" si="111"/>
        <v>0.14226592631478618</v>
      </c>
      <c r="AG189" s="2">
        <f t="shared" si="112"/>
        <v>7.0290899999999965</v>
      </c>
      <c r="AH189" s="2">
        <v>17</v>
      </c>
      <c r="AI189">
        <f t="shared" si="113"/>
        <v>8.5289558049576897</v>
      </c>
      <c r="AJ189" s="2"/>
      <c r="AK189" s="2"/>
      <c r="AL189" s="2"/>
    </row>
    <row r="190" spans="2:39" x14ac:dyDescent="0.35">
      <c r="D190" s="271"/>
      <c r="F190" s="13"/>
      <c r="G190" s="49" t="s">
        <v>77</v>
      </c>
      <c r="H190" s="13">
        <f>AVERAGE(H169,H171:H172,H174,H176)</f>
        <v>2.4175880000000012</v>
      </c>
      <c r="I190" s="13">
        <f t="shared" ref="I190:P190" si="131">AVERAGE(I169,I171:I172,I174,I176)</f>
        <v>13.676491999999996</v>
      </c>
      <c r="J190" s="13">
        <f t="shared" si="131"/>
        <v>0.16838076744854408</v>
      </c>
      <c r="K190" s="13">
        <f t="shared" si="131"/>
        <v>0.83161923255145587</v>
      </c>
      <c r="L190" s="13">
        <f t="shared" si="131"/>
        <v>0.43001879139955557</v>
      </c>
      <c r="M190" s="13">
        <f t="shared" si="131"/>
        <v>7.4945972260518703E-2</v>
      </c>
      <c r="N190" s="13">
        <f t="shared" si="131"/>
        <v>16.094079999999998</v>
      </c>
      <c r="O190" s="13">
        <f t="shared" si="131"/>
        <v>9.1999999999999993</v>
      </c>
      <c r="P190" s="13">
        <f t="shared" si="131"/>
        <v>3.775073220510361</v>
      </c>
      <c r="W190" s="155">
        <v>0</v>
      </c>
      <c r="Y190">
        <v>399.98424999999997</v>
      </c>
      <c r="Z190">
        <v>400.98615999999998</v>
      </c>
      <c r="AA190" s="2">
        <f t="shared" si="106"/>
        <v>1.0019100000000094</v>
      </c>
      <c r="AB190" s="2">
        <f t="shared" si="107"/>
        <v>7.9098600000000374</v>
      </c>
      <c r="AC190" s="2">
        <f t="shared" si="108"/>
        <v>0.11242547776704337</v>
      </c>
      <c r="AD190" s="2">
        <f t="shared" si="109"/>
        <v>0.88757452223295663</v>
      </c>
      <c r="AE190" s="2">
        <f t="shared" si="110"/>
        <v>0.99809364114540289</v>
      </c>
      <c r="AF190" s="2">
        <f t="shared" si="111"/>
        <v>0.11221115446201986</v>
      </c>
      <c r="AG190" s="2">
        <f t="shared" si="112"/>
        <v>8.9117700000000468</v>
      </c>
      <c r="AH190">
        <v>9</v>
      </c>
      <c r="AI190">
        <f t="shared" si="113"/>
        <v>8.9828427703086255</v>
      </c>
      <c r="AJ190" s="2"/>
      <c r="AK190" s="2"/>
      <c r="AL190" s="2"/>
    </row>
    <row r="191" spans="2:39" x14ac:dyDescent="0.35">
      <c r="D191" s="271"/>
      <c r="E191" s="104"/>
      <c r="F191" s="13"/>
      <c r="G191" s="49" t="s">
        <v>94</v>
      </c>
      <c r="H191" s="2">
        <f>_xlfn.STDEV.S(H169,H171:H172,H174,H176)</f>
        <v>0.54520231127536367</v>
      </c>
      <c r="I191" s="2">
        <f t="shared" ref="I191:P191" si="132">_xlfn.STDEV.S(I169,I171:I172,I174,I176)</f>
        <v>7.5252294691504353</v>
      </c>
      <c r="J191" s="2">
        <f t="shared" si="132"/>
        <v>5.0379168381305281E-2</v>
      </c>
      <c r="K191" s="2">
        <f t="shared" si="132"/>
        <v>5.0379168381305309E-2</v>
      </c>
      <c r="L191" s="2">
        <f t="shared" si="132"/>
        <v>9.1010285683642181E-2</v>
      </c>
      <c r="M191" s="2">
        <f t="shared" si="132"/>
        <v>3.2730479069902237E-2</v>
      </c>
      <c r="N191" s="2">
        <f t="shared" si="132"/>
        <v>8.0329412738050046</v>
      </c>
      <c r="O191" s="2">
        <f t="shared" si="132"/>
        <v>2.6832815729997481</v>
      </c>
      <c r="P191" s="2">
        <f t="shared" si="132"/>
        <v>0.39934670517851933</v>
      </c>
      <c r="V191" s="287" t="s">
        <v>541</v>
      </c>
      <c r="W191" s="155">
        <v>0</v>
      </c>
      <c r="Y191">
        <v>408.89602000000002</v>
      </c>
      <c r="Z191">
        <v>410.04930000000002</v>
      </c>
      <c r="AA191" s="2">
        <f t="shared" si="106"/>
        <v>1.1532799999999952</v>
      </c>
      <c r="AB191" s="2">
        <f t="shared" si="107"/>
        <v>7.8640499999999633</v>
      </c>
      <c r="AC191" s="2">
        <f t="shared" si="108"/>
        <v>0.12789595146235089</v>
      </c>
      <c r="AD191" s="2">
        <f t="shared" si="109"/>
        <v>0.87210404853764911</v>
      </c>
      <c r="AE191" s="2">
        <f t="shared" si="110"/>
        <v>0.86709211986681822</v>
      </c>
      <c r="AF191" s="2">
        <f t="shared" si="111"/>
        <v>0.11089757167587352</v>
      </c>
      <c r="AG191" s="2">
        <f t="shared" si="112"/>
        <v>9.0173299999999585</v>
      </c>
      <c r="AH191">
        <v>14</v>
      </c>
      <c r="AI191">
        <f t="shared" si="113"/>
        <v>12.139289678135455</v>
      </c>
      <c r="AJ191" s="2"/>
      <c r="AK191" s="2"/>
      <c r="AL191" s="2"/>
    </row>
    <row r="192" spans="2:39" x14ac:dyDescent="0.35">
      <c r="D192" s="271"/>
      <c r="E192" s="104"/>
      <c r="F192" s="13"/>
      <c r="G192" s="49" t="s">
        <v>95</v>
      </c>
      <c r="H192" s="2">
        <f>H191/(SQRT(COUNT(H169,H171:H172,H174,H176)))</f>
        <v>0.24382188590034262</v>
      </c>
      <c r="I192" s="2">
        <f t="shared" ref="I192:P192" si="133">I191/(SQRT(COUNT(I169,I171:I172,I174,I176)))</f>
        <v>3.365384927861006</v>
      </c>
      <c r="J192" s="2">
        <f t="shared" si="133"/>
        <v>2.253024903010133E-2</v>
      </c>
      <c r="K192" s="2">
        <f t="shared" si="133"/>
        <v>2.2530249030101344E-2</v>
      </c>
      <c r="L192" s="2">
        <f t="shared" si="133"/>
        <v>4.0701037088059965E-2</v>
      </c>
      <c r="M192" s="2">
        <f t="shared" si="133"/>
        <v>1.4637515227287097E-2</v>
      </c>
      <c r="N192" s="2">
        <f t="shared" si="133"/>
        <v>3.592440549498348</v>
      </c>
      <c r="O192" s="2">
        <f t="shared" si="133"/>
        <v>1.2000000000000002</v>
      </c>
      <c r="P192" s="2">
        <f t="shared" si="133"/>
        <v>0.1785932758739473</v>
      </c>
      <c r="V192" s="287" t="s">
        <v>541</v>
      </c>
      <c r="W192" s="155">
        <v>0</v>
      </c>
      <c r="Y192">
        <v>417.91334999999998</v>
      </c>
      <c r="Z192">
        <v>420.13994000000002</v>
      </c>
      <c r="AA192" s="2">
        <f t="shared" si="106"/>
        <v>2.2265900000000443</v>
      </c>
      <c r="AB192" s="2">
        <f t="shared" si="107"/>
        <v>20.954549999999983</v>
      </c>
      <c r="AC192" s="2">
        <f t="shared" si="108"/>
        <v>9.6051790377869317E-2</v>
      </c>
      <c r="AD192" s="2">
        <f t="shared" si="109"/>
        <v>0.90394820962213063</v>
      </c>
      <c r="AE192" s="2">
        <f t="shared" si="110"/>
        <v>0.44911726002541114</v>
      </c>
      <c r="AF192" s="2">
        <f t="shared" si="111"/>
        <v>4.3138516915043813E-2</v>
      </c>
      <c r="AG192" s="2">
        <f t="shared" si="112"/>
        <v>23.181140000000028</v>
      </c>
      <c r="AH192">
        <v>19</v>
      </c>
      <c r="AI192">
        <f t="shared" si="113"/>
        <v>8.5332279404828117</v>
      </c>
      <c r="AJ192" s="2"/>
      <c r="AK192" s="2"/>
      <c r="AL192" s="2"/>
    </row>
    <row r="193" spans="4:38" x14ac:dyDescent="0.35">
      <c r="D193" s="271"/>
      <c r="E193" s="104"/>
      <c r="F193" s="13"/>
      <c r="G193" s="49"/>
      <c r="H193" s="2"/>
      <c r="I193" s="2"/>
      <c r="J193" s="2"/>
      <c r="K193" s="2"/>
      <c r="L193" s="2"/>
      <c r="M193" s="2"/>
      <c r="N193" s="2"/>
      <c r="O193" s="2"/>
      <c r="P193" s="2"/>
      <c r="V193" s="287" t="s">
        <v>541</v>
      </c>
      <c r="W193" s="155">
        <v>0</v>
      </c>
      <c r="Y193">
        <v>441.09449000000001</v>
      </c>
      <c r="Z193">
        <v>442.18734999999998</v>
      </c>
      <c r="AA193" s="2">
        <f t="shared" si="106"/>
        <v>1.0928599999999733</v>
      </c>
      <c r="AB193" s="2">
        <f t="shared" si="107"/>
        <v>6.7663400000000138</v>
      </c>
      <c r="AC193" s="2">
        <f t="shared" si="108"/>
        <v>0.13905486563517599</v>
      </c>
      <c r="AD193" s="2">
        <f t="shared" si="109"/>
        <v>0.86094513436482401</v>
      </c>
      <c r="AE193" s="2">
        <f t="shared" si="110"/>
        <v>0.91503028750253868</v>
      </c>
      <c r="AF193" s="2">
        <f t="shared" si="111"/>
        <v>0.12723941368078195</v>
      </c>
      <c r="AG193" s="2">
        <f t="shared" si="112"/>
        <v>7.8591999999999871</v>
      </c>
      <c r="AH193">
        <v>11</v>
      </c>
      <c r="AI193">
        <f t="shared" si="113"/>
        <v>10.065333162527926</v>
      </c>
      <c r="AJ193" s="2"/>
      <c r="AK193" s="2"/>
      <c r="AL193" s="2"/>
    </row>
    <row r="194" spans="4:38" x14ac:dyDescent="0.35">
      <c r="D194" s="271"/>
      <c r="E194" s="104"/>
      <c r="F194" s="13"/>
      <c r="G194" s="49"/>
      <c r="H194" s="2"/>
      <c r="I194" s="2"/>
      <c r="J194" s="2"/>
      <c r="K194" s="2"/>
      <c r="L194" s="2"/>
      <c r="M194" s="2"/>
      <c r="N194" s="2"/>
      <c r="O194" s="2"/>
      <c r="P194" s="2"/>
      <c r="V194" s="287" t="s">
        <v>541</v>
      </c>
      <c r="W194" s="155">
        <v>0</v>
      </c>
      <c r="Y194">
        <v>448.95368999999999</v>
      </c>
      <c r="Z194">
        <v>451.10554000000002</v>
      </c>
      <c r="AA194" s="2">
        <f t="shared" si="106"/>
        <v>2.1518500000000245</v>
      </c>
      <c r="AB194" s="2">
        <f t="shared" si="107"/>
        <v>10.75</v>
      </c>
      <c r="AC194" s="2">
        <f t="shared" si="108"/>
        <v>0.16678615857415954</v>
      </c>
      <c r="AD194" s="2">
        <f t="shared" si="109"/>
        <v>0.83321384142584043</v>
      </c>
      <c r="AE194" s="2">
        <f t="shared" si="110"/>
        <v>0.46471640681273724</v>
      </c>
      <c r="AF194" s="2">
        <f t="shared" si="111"/>
        <v>7.7508264318682837E-2</v>
      </c>
      <c r="AG194" s="2">
        <f t="shared" si="112"/>
        <v>12.901850000000024</v>
      </c>
      <c r="AH194">
        <v>20</v>
      </c>
      <c r="AI194">
        <f t="shared" si="113"/>
        <v>9.2943281362547445</v>
      </c>
      <c r="AJ194" s="2"/>
      <c r="AK194" s="2"/>
      <c r="AL194" s="2"/>
    </row>
    <row r="195" spans="4:38" ht="16" thickBot="1" x14ac:dyDescent="0.4">
      <c r="D195" s="271"/>
      <c r="E195" s="104" t="s">
        <v>82</v>
      </c>
      <c r="F195" s="13"/>
      <c r="G195" s="13"/>
      <c r="H195" s="9" t="s">
        <v>3</v>
      </c>
      <c r="I195" s="9" t="s">
        <v>4</v>
      </c>
      <c r="J195" s="9" t="s">
        <v>5</v>
      </c>
      <c r="K195" s="9" t="s">
        <v>6</v>
      </c>
      <c r="L195" s="9" t="s">
        <v>7</v>
      </c>
      <c r="M195" s="9" t="s">
        <v>8</v>
      </c>
      <c r="N195" s="9" t="s">
        <v>9</v>
      </c>
      <c r="O195" s="9" t="s">
        <v>10</v>
      </c>
      <c r="P195" s="44" t="s">
        <v>139</v>
      </c>
      <c r="V195" s="287" t="s">
        <v>541</v>
      </c>
      <c r="W195" s="155">
        <v>0</v>
      </c>
      <c r="Y195">
        <v>461.85554000000002</v>
      </c>
      <c r="Z195">
        <v>462.80628000000002</v>
      </c>
      <c r="AA195" s="2">
        <f t="shared" si="106"/>
        <v>0.95073999999999614</v>
      </c>
      <c r="AB195" s="2">
        <f t="shared" si="107"/>
        <v>7.9750099999999975</v>
      </c>
      <c r="AC195" s="2">
        <f t="shared" si="108"/>
        <v>0.10651653922639519</v>
      </c>
      <c r="AD195" s="2">
        <f t="shared" si="109"/>
        <v>0.89348346077360485</v>
      </c>
      <c r="AE195" s="2">
        <f t="shared" si="110"/>
        <v>1.0518122725456003</v>
      </c>
      <c r="AF195" s="2">
        <f t="shared" si="111"/>
        <v>0.1120354031874073</v>
      </c>
      <c r="AG195" s="2">
        <f t="shared" si="112"/>
        <v>8.9257499999999936</v>
      </c>
      <c r="AH195">
        <v>8</v>
      </c>
      <c r="AI195">
        <f t="shared" si="113"/>
        <v>8.4144981803648022</v>
      </c>
      <c r="AJ195" s="2"/>
      <c r="AK195" s="2"/>
      <c r="AL195" s="2"/>
    </row>
    <row r="196" spans="4:38" x14ac:dyDescent="0.35">
      <c r="D196" s="271"/>
      <c r="E196" s="104"/>
      <c r="F196" s="13"/>
      <c r="G196" s="49" t="s">
        <v>77</v>
      </c>
      <c r="H196" s="13">
        <f>AVERAGE(H170,H173,H175)</f>
        <v>2.8456266666666679</v>
      </c>
      <c r="I196" s="13">
        <f t="shared" ref="I196:P196" si="134">AVERAGE(I170,I173,I175)</f>
        <v>9.354843333333335</v>
      </c>
      <c r="J196" s="13">
        <f t="shared" si="134"/>
        <v>0.23701148763753763</v>
      </c>
      <c r="K196" s="13">
        <f t="shared" si="134"/>
        <v>0.76298851236246235</v>
      </c>
      <c r="L196" s="13">
        <f t="shared" si="134"/>
        <v>0.36597350547549667</v>
      </c>
      <c r="M196" s="13">
        <f t="shared" si="134"/>
        <v>8.2366275820428089E-2</v>
      </c>
      <c r="N196" s="13">
        <f t="shared" si="134"/>
        <v>12.200470000000003</v>
      </c>
      <c r="O196" s="13">
        <f t="shared" si="134"/>
        <v>13.333333333333334</v>
      </c>
      <c r="P196" s="13">
        <f t="shared" si="134"/>
        <v>4.7502088495599386</v>
      </c>
      <c r="V196" s="287" t="s">
        <v>541</v>
      </c>
      <c r="W196" s="155">
        <v>0</v>
      </c>
      <c r="Y196">
        <v>470.78129000000001</v>
      </c>
      <c r="Z196">
        <v>472.85842000000002</v>
      </c>
      <c r="AA196" s="2">
        <f t="shared" si="106"/>
        <v>2.077130000000011</v>
      </c>
      <c r="AJ196" s="2"/>
      <c r="AK196" s="2"/>
      <c r="AL196" s="2"/>
    </row>
    <row r="197" spans="4:38" x14ac:dyDescent="0.35">
      <c r="D197" s="271"/>
      <c r="E197" s="104"/>
      <c r="F197" s="13"/>
      <c r="G197" s="49" t="s">
        <v>94</v>
      </c>
      <c r="H197" s="2">
        <f>_xlfn.STDEV.S(H170,H173,H175)</f>
        <v>0.64781370912735214</v>
      </c>
      <c r="I197" s="2">
        <f t="shared" ref="I197:P197" si="135">_xlfn.STDEV.S(I170,I173,I175)</f>
        <v>1.6499040486444445</v>
      </c>
      <c r="J197" s="2">
        <f t="shared" si="135"/>
        <v>6.9283330584743369E-2</v>
      </c>
      <c r="K197" s="2">
        <f t="shared" si="135"/>
        <v>6.928333058474323E-2</v>
      </c>
      <c r="L197" s="2">
        <f t="shared" si="135"/>
        <v>9.5917073641828429E-2</v>
      </c>
      <c r="M197" s="2">
        <f t="shared" si="135"/>
        <v>7.0365177196277063E-3</v>
      </c>
      <c r="N197" s="2">
        <f t="shared" si="135"/>
        <v>1.0473698546358861</v>
      </c>
      <c r="O197" s="2">
        <f t="shared" si="135"/>
        <v>2.0816659994661282</v>
      </c>
      <c r="P197" s="2">
        <f t="shared" si="135"/>
        <v>0.4516854096074836</v>
      </c>
      <c r="W197" s="2"/>
      <c r="AJ197" s="2"/>
      <c r="AK197" s="2"/>
      <c r="AL197" s="2"/>
    </row>
    <row r="198" spans="4:38" x14ac:dyDescent="0.35">
      <c r="D198" s="271"/>
      <c r="E198" s="104"/>
      <c r="F198" s="13"/>
      <c r="G198" s="49" t="s">
        <v>95</v>
      </c>
      <c r="H198" s="2">
        <f>H197/(SQRT(COUNT(H170,H173,H175)))</f>
        <v>0.37401541934940669</v>
      </c>
      <c r="I198" s="2">
        <f t="shared" ref="I198:P198" si="136">I197/(SQRT(COUNT(I170,I173,I175)))</f>
        <v>0.95257254662192348</v>
      </c>
      <c r="J198" s="2">
        <f t="shared" si="136"/>
        <v>4.0000749563455416E-2</v>
      </c>
      <c r="K198" s="2">
        <f t="shared" si="136"/>
        <v>4.000074956345534E-2</v>
      </c>
      <c r="L198" s="2">
        <f t="shared" si="136"/>
        <v>5.5377748286990804E-2</v>
      </c>
      <c r="M198" s="2">
        <f t="shared" si="136"/>
        <v>4.0625353995846283E-3</v>
      </c>
      <c r="N198" s="2">
        <f t="shared" si="136"/>
        <v>0.60469926751512804</v>
      </c>
      <c r="O198" s="2">
        <f t="shared" si="136"/>
        <v>1.2018504251546605</v>
      </c>
      <c r="P198" s="2">
        <f t="shared" si="136"/>
        <v>0.26078069282590705</v>
      </c>
      <c r="W198" s="2"/>
      <c r="AJ198" s="2"/>
      <c r="AK198" s="2"/>
      <c r="AL198" s="2"/>
    </row>
    <row r="199" spans="4:38" x14ac:dyDescent="0.35">
      <c r="D199" s="271"/>
      <c r="E199" s="104"/>
      <c r="F199" s="13"/>
      <c r="G199" s="49"/>
      <c r="H199" s="2"/>
      <c r="I199" s="2"/>
      <c r="J199" s="2"/>
      <c r="K199" s="2"/>
      <c r="L199" s="2"/>
      <c r="M199" s="2"/>
      <c r="N199" s="2"/>
      <c r="O199" s="2"/>
      <c r="P199" s="2"/>
      <c r="W199" s="2"/>
      <c r="AJ199" s="2"/>
      <c r="AK199" s="2"/>
      <c r="AL199" s="2"/>
    </row>
    <row r="200" spans="4:38" x14ac:dyDescent="0.35">
      <c r="D200" s="155"/>
      <c r="E200" s="104"/>
      <c r="W200" s="2"/>
      <c r="AJ200" s="2"/>
      <c r="AK200" s="2"/>
      <c r="AL200" s="2"/>
    </row>
    <row r="201" spans="4:38" ht="16" thickBot="1" x14ac:dyDescent="0.4">
      <c r="D201" s="155"/>
      <c r="E201" s="104"/>
      <c r="G201" s="13"/>
      <c r="H201" s="9" t="s">
        <v>3</v>
      </c>
      <c r="I201" s="9" t="s">
        <v>4</v>
      </c>
      <c r="J201" s="9" t="s">
        <v>5</v>
      </c>
      <c r="K201" s="9" t="s">
        <v>6</v>
      </c>
      <c r="L201" s="9" t="s">
        <v>7</v>
      </c>
      <c r="M201" s="9" t="s">
        <v>8</v>
      </c>
      <c r="N201" s="9" t="s">
        <v>9</v>
      </c>
      <c r="O201" s="9" t="s">
        <v>10</v>
      </c>
      <c r="P201" s="44" t="s">
        <v>139</v>
      </c>
      <c r="W201" s="2"/>
      <c r="AJ201" s="2"/>
      <c r="AK201" s="2"/>
      <c r="AL201" s="2"/>
    </row>
    <row r="202" spans="4:38" ht="16" thickBot="1" x14ac:dyDescent="0.4">
      <c r="D202" s="155"/>
      <c r="E202" s="104" t="s">
        <v>410</v>
      </c>
      <c r="G202" s="49" t="s">
        <v>77</v>
      </c>
      <c r="H202" s="13">
        <f t="shared" ref="H202:P202" si="137">AVERAGE(H177:H180)</f>
        <v>2.7814424999999972</v>
      </c>
      <c r="I202" s="13">
        <f t="shared" si="137"/>
        <v>21.61571</v>
      </c>
      <c r="J202" s="13">
        <f t="shared" si="137"/>
        <v>0.11464420488386756</v>
      </c>
      <c r="K202" s="13">
        <f t="shared" si="137"/>
        <v>0.88535579511613238</v>
      </c>
      <c r="L202" s="13">
        <f t="shared" si="137"/>
        <v>0.37050611293008912</v>
      </c>
      <c r="M202" s="13">
        <f t="shared" si="137"/>
        <v>4.1073664261661147E-2</v>
      </c>
      <c r="N202" s="13">
        <f t="shared" si="137"/>
        <v>24.397152499999997</v>
      </c>
      <c r="O202" s="13">
        <f t="shared" si="137"/>
        <v>11.75</v>
      </c>
      <c r="P202" s="13">
        <f t="shared" si="137"/>
        <v>4.3235103786733022</v>
      </c>
      <c r="W202" s="2"/>
      <c r="Y202" s="13"/>
      <c r="Z202" s="13"/>
      <c r="AA202" s="9" t="s">
        <v>3</v>
      </c>
      <c r="AB202" s="9" t="s">
        <v>4</v>
      </c>
      <c r="AC202" s="9" t="s">
        <v>5</v>
      </c>
      <c r="AD202" s="9" t="s">
        <v>6</v>
      </c>
      <c r="AE202" s="9" t="s">
        <v>7</v>
      </c>
      <c r="AF202" s="9" t="s">
        <v>8</v>
      </c>
      <c r="AG202" s="9" t="s">
        <v>9</v>
      </c>
      <c r="AH202" s="9" t="s">
        <v>10</v>
      </c>
      <c r="AI202" s="44" t="s">
        <v>139</v>
      </c>
      <c r="AJ202" s="2"/>
      <c r="AK202" s="2"/>
      <c r="AL202" s="2"/>
    </row>
    <row r="203" spans="4:38" x14ac:dyDescent="0.35">
      <c r="D203" s="155"/>
      <c r="G203" s="49" t="s">
        <v>94</v>
      </c>
      <c r="H203" s="2">
        <f t="shared" ref="H203:P203" si="138">_xlfn.STDEV.S(H177:H180)</f>
        <v>0.50169978083677425</v>
      </c>
      <c r="I203" s="2">
        <f t="shared" si="138"/>
        <v>1.5909340579043538</v>
      </c>
      <c r="J203" s="2">
        <f t="shared" si="138"/>
        <v>2.3581884107526676E-2</v>
      </c>
      <c r="K203" s="2">
        <f t="shared" si="138"/>
        <v>2.358188410752669E-2</v>
      </c>
      <c r="L203" s="2">
        <f t="shared" si="138"/>
        <v>8.1206312995451904E-2</v>
      </c>
      <c r="M203" s="2">
        <f t="shared" si="138"/>
        <v>2.1609527142662063E-3</v>
      </c>
      <c r="N203" s="2">
        <f t="shared" si="138"/>
        <v>1.2836655034282425</v>
      </c>
      <c r="O203" s="2">
        <f t="shared" si="138"/>
        <v>1.5</v>
      </c>
      <c r="P203" s="2">
        <f t="shared" si="138"/>
        <v>0.86832350453128249</v>
      </c>
      <c r="W203" s="2"/>
      <c r="X203" s="104" t="s">
        <v>426</v>
      </c>
      <c r="Y203" s="13"/>
      <c r="Z203" s="49" t="s">
        <v>77</v>
      </c>
      <c r="AA203" s="13">
        <f>AVERAGE(AA150:AA186)</f>
        <v>1.5049827027027027</v>
      </c>
      <c r="AB203" s="13">
        <f t="shared" ref="AB203:AI203" si="139">AVERAGE(AB150:AB186)</f>
        <v>8.3853127027027021</v>
      </c>
      <c r="AC203" s="13">
        <f t="shared" si="139"/>
        <v>0.17156821748757248</v>
      </c>
      <c r="AD203" s="13">
        <f t="shared" si="139"/>
        <v>0.82843178251242755</v>
      </c>
      <c r="AE203" s="13">
        <f t="shared" si="139"/>
        <v>0.73084584283682474</v>
      </c>
      <c r="AF203" s="13">
        <f t="shared" si="139"/>
        <v>0.12011805121833195</v>
      </c>
      <c r="AG203" s="13">
        <f t="shared" si="139"/>
        <v>9.8902954054054071</v>
      </c>
      <c r="AH203" s="13">
        <f t="shared" si="139"/>
        <v>13.513513513513514</v>
      </c>
      <c r="AI203" s="13">
        <f t="shared" si="139"/>
        <v>9.2848141786969105</v>
      </c>
      <c r="AJ203" s="2"/>
      <c r="AK203" s="2"/>
      <c r="AL203" s="2"/>
    </row>
    <row r="204" spans="4:38" x14ac:dyDescent="0.35">
      <c r="D204" s="155"/>
      <c r="G204" s="49" t="s">
        <v>95</v>
      </c>
      <c r="H204" s="2">
        <f t="shared" ref="H204:P204" si="140">H203/(SQRT(COUNT(H177:H180)))</f>
        <v>0.25084989041838712</v>
      </c>
      <c r="I204" s="2">
        <f t="shared" si="140"/>
        <v>0.79546702895217691</v>
      </c>
      <c r="J204" s="2">
        <f t="shared" si="140"/>
        <v>1.1790942053763338E-2</v>
      </c>
      <c r="K204" s="2">
        <f t="shared" si="140"/>
        <v>1.1790942053763345E-2</v>
      </c>
      <c r="L204" s="2">
        <f t="shared" si="140"/>
        <v>4.0603156497725952E-2</v>
      </c>
      <c r="M204" s="2">
        <f t="shared" si="140"/>
        <v>1.0804763571331032E-3</v>
      </c>
      <c r="N204" s="2">
        <f t="shared" si="140"/>
        <v>0.64183275171412124</v>
      </c>
      <c r="O204" s="2">
        <f t="shared" si="140"/>
        <v>0.75</v>
      </c>
      <c r="P204" s="2">
        <f t="shared" si="140"/>
        <v>0.43416175226564124</v>
      </c>
      <c r="W204" s="2"/>
      <c r="X204" s="104"/>
      <c r="Y204" s="13"/>
      <c r="Z204" s="49" t="s">
        <v>94</v>
      </c>
      <c r="AA204" s="2">
        <f>_xlfn.STDEV.S(AA150:AA186)</f>
        <v>0.4916504111586758</v>
      </c>
      <c r="AB204" s="2">
        <f t="shared" ref="AB204:AI204" si="141">_xlfn.STDEV.S(AB150:AB186)</f>
        <v>5.1777974557348934</v>
      </c>
      <c r="AC204" s="2">
        <f t="shared" si="141"/>
        <v>6.7243427817435031E-2</v>
      </c>
      <c r="AD204" s="2">
        <f t="shared" si="141"/>
        <v>6.7243427817435059E-2</v>
      </c>
      <c r="AE204" s="2">
        <f t="shared" si="141"/>
        <v>0.21109554922048804</v>
      </c>
      <c r="AF204" s="2">
        <f t="shared" si="141"/>
        <v>3.9597283246317443E-2</v>
      </c>
      <c r="AG204" s="2">
        <f t="shared" si="141"/>
        <v>5.423290864358199</v>
      </c>
      <c r="AH204" s="2">
        <f t="shared" si="141"/>
        <v>4.8455112195700245</v>
      </c>
      <c r="AI204" s="2">
        <f t="shared" si="141"/>
        <v>3.5946160332620973</v>
      </c>
      <c r="AJ204" s="2"/>
      <c r="AK204" s="2"/>
      <c r="AL204" s="2"/>
    </row>
    <row r="205" spans="4:38" x14ac:dyDescent="0.35">
      <c r="D205" s="271"/>
      <c r="G205" s="49"/>
      <c r="H205" s="2"/>
      <c r="I205" s="2"/>
      <c r="J205" s="2"/>
      <c r="K205" s="2"/>
      <c r="L205" s="2"/>
      <c r="M205" s="2"/>
      <c r="N205" s="2"/>
      <c r="O205" s="2"/>
      <c r="P205" s="2"/>
      <c r="W205" s="2"/>
      <c r="X205" s="104"/>
      <c r="Y205" s="13"/>
      <c r="Z205" s="49" t="s">
        <v>95</v>
      </c>
      <c r="AA205" s="2">
        <f>AA204/(SQRT(COUNT(AA150:AA186)))</f>
        <v>8.0826829702748834E-2</v>
      </c>
      <c r="AB205" s="2">
        <f t="shared" ref="AB205:AI205" si="142">AB204/(SQRT(COUNT(AB150:AB186)))</f>
        <v>0.85122465819507209</v>
      </c>
      <c r="AC205" s="2">
        <f t="shared" si="142"/>
        <v>1.1054751436127212E-2</v>
      </c>
      <c r="AD205" s="2">
        <f t="shared" si="142"/>
        <v>1.1054751436127216E-2</v>
      </c>
      <c r="AE205" s="2">
        <f t="shared" si="142"/>
        <v>3.470389451651644E-2</v>
      </c>
      <c r="AF205" s="2">
        <f t="shared" si="142"/>
        <v>6.5097532657379786E-3</v>
      </c>
      <c r="AG205" s="2">
        <f t="shared" si="142"/>
        <v>0.89158352596288382</v>
      </c>
      <c r="AH205" s="2">
        <f t="shared" si="142"/>
        <v>0.7965971374740588</v>
      </c>
      <c r="AI205" s="2">
        <f t="shared" si="142"/>
        <v>0.59095123561988938</v>
      </c>
      <c r="AJ205" s="2"/>
      <c r="AK205" s="2"/>
      <c r="AL205" s="2"/>
    </row>
    <row r="206" spans="4:38" x14ac:dyDescent="0.35">
      <c r="F206" s="13"/>
      <c r="G206" s="13"/>
      <c r="H206" s="2"/>
      <c r="I206" s="2"/>
      <c r="J206" s="2"/>
      <c r="K206" s="2"/>
      <c r="L206" s="2"/>
      <c r="M206" s="2"/>
      <c r="N206" s="2"/>
      <c r="O206" s="2"/>
      <c r="W206" s="2"/>
      <c r="X206" s="104"/>
      <c r="Y206" s="13"/>
      <c r="Z206" s="49"/>
      <c r="AA206" s="2"/>
      <c r="AB206" s="2"/>
      <c r="AC206" s="2"/>
      <c r="AD206" s="2"/>
      <c r="AE206" s="2"/>
      <c r="AF206" s="2"/>
      <c r="AG206" s="2"/>
      <c r="AH206" s="2"/>
      <c r="AI206" s="2"/>
      <c r="AJ206" s="2"/>
      <c r="AK206" s="2"/>
      <c r="AL206" s="2"/>
    </row>
    <row r="207" spans="4:38" x14ac:dyDescent="0.35">
      <c r="F207" s="13"/>
      <c r="T207" s="2"/>
      <c r="W207" s="2"/>
      <c r="X207" s="104"/>
      <c r="Y207" s="13"/>
      <c r="Z207" s="49"/>
      <c r="AA207" s="2"/>
      <c r="AB207" s="2"/>
      <c r="AC207" s="2"/>
      <c r="AD207" s="2"/>
      <c r="AE207" s="2"/>
      <c r="AF207" s="2"/>
      <c r="AG207" s="2"/>
      <c r="AH207" s="2"/>
      <c r="AI207" s="2"/>
      <c r="AJ207" s="2"/>
      <c r="AK207" s="2"/>
      <c r="AL207" s="2"/>
    </row>
    <row r="208" spans="4:38" ht="19" thickBot="1" x14ac:dyDescent="0.5">
      <c r="F208" s="1" t="s">
        <v>405</v>
      </c>
      <c r="G208" s="3"/>
      <c r="H208" s="3"/>
      <c r="I208" s="3"/>
      <c r="J208" s="3"/>
      <c r="K208" s="3"/>
      <c r="L208" s="3"/>
      <c r="M208" s="3"/>
      <c r="N208" s="3"/>
      <c r="O208" s="3"/>
      <c r="T208" s="2"/>
      <c r="W208" s="2"/>
      <c r="X208" s="104" t="s">
        <v>81</v>
      </c>
      <c r="Y208" s="13"/>
      <c r="Z208" s="13"/>
      <c r="AA208" s="9" t="s">
        <v>3</v>
      </c>
      <c r="AB208" s="9" t="s">
        <v>4</v>
      </c>
      <c r="AC208" s="9" t="s">
        <v>5</v>
      </c>
      <c r="AD208" s="9" t="s">
        <v>6</v>
      </c>
      <c r="AE208" s="9" t="s">
        <v>7</v>
      </c>
      <c r="AF208" s="9" t="s">
        <v>8</v>
      </c>
      <c r="AG208" s="9" t="s">
        <v>9</v>
      </c>
      <c r="AH208" s="9" t="s">
        <v>10</v>
      </c>
      <c r="AI208" s="44" t="s">
        <v>139</v>
      </c>
      <c r="AJ208" s="2"/>
      <c r="AK208" s="2"/>
      <c r="AL208" s="2"/>
    </row>
    <row r="209" spans="2:38" ht="16" thickBot="1" x14ac:dyDescent="0.4">
      <c r="C209" s="204" t="s">
        <v>122</v>
      </c>
      <c r="D209" s="204" t="s">
        <v>406</v>
      </c>
      <c r="F209" s="9" t="s">
        <v>1</v>
      </c>
      <c r="G209" s="9" t="s">
        <v>2</v>
      </c>
      <c r="H209" s="9" t="s">
        <v>3</v>
      </c>
      <c r="I209" s="9" t="s">
        <v>4</v>
      </c>
      <c r="J209" s="9" t="s">
        <v>5</v>
      </c>
      <c r="K209" s="9" t="s">
        <v>6</v>
      </c>
      <c r="L209" s="9" t="s">
        <v>7</v>
      </c>
      <c r="M209" s="9" t="s">
        <v>8</v>
      </c>
      <c r="N209" s="9" t="s">
        <v>9</v>
      </c>
      <c r="O209" s="9" t="s">
        <v>10</v>
      </c>
      <c r="P209" s="44" t="s">
        <v>139</v>
      </c>
      <c r="R209" s="44" t="s">
        <v>138</v>
      </c>
      <c r="T209" s="2"/>
      <c r="W209" s="2"/>
      <c r="Y209" s="13"/>
      <c r="Z209" s="49" t="s">
        <v>77</v>
      </c>
      <c r="AA209" s="13">
        <f>AVERAGE(AA151:AA152,AA154:AA155,AA157:AA158,AA161:AA162,AA165:AA168,AA170:AA171,AA173:AA174,AA176:AA177,AA179:AA186)</f>
        <v>1.5925311538461542</v>
      </c>
      <c r="AB209" s="13">
        <f t="shared" ref="AB209:AI209" si="143">AVERAGE(AB151:AB152,AB154:AB155,AB157:AB158,AB161:AB162,AB165:AB168,AB170:AB171,AB173:AB174,AB176:AB177,AB179:AB186)</f>
        <v>9.1811630769230774</v>
      </c>
      <c r="AC209" s="13">
        <f t="shared" si="143"/>
        <v>0.17241072544737052</v>
      </c>
      <c r="AD209" s="13">
        <f t="shared" si="143"/>
        <v>0.82758927455262943</v>
      </c>
      <c r="AE209" s="13">
        <f t="shared" si="143"/>
        <v>0.69625808362044395</v>
      </c>
      <c r="AF209" s="13">
        <f t="shared" si="143"/>
        <v>0.11527988457297006</v>
      </c>
      <c r="AG209" s="13">
        <f t="shared" si="143"/>
        <v>10.77369423076923</v>
      </c>
      <c r="AH209" s="13">
        <f t="shared" si="143"/>
        <v>14.692307692307692</v>
      </c>
      <c r="AI209" s="13">
        <f t="shared" si="143"/>
        <v>9.6491513171079628</v>
      </c>
      <c r="AJ209" s="2"/>
      <c r="AK209" s="2"/>
      <c r="AL209" s="2"/>
    </row>
    <row r="210" spans="2:38" x14ac:dyDescent="0.35">
      <c r="C210" s="285" t="s">
        <v>541</v>
      </c>
      <c r="D210" s="155">
        <v>10</v>
      </c>
      <c r="F210" s="2">
        <v>0.54208999999999996</v>
      </c>
      <c r="G210" s="2">
        <v>2.69095</v>
      </c>
      <c r="H210" s="2">
        <f>G210-F210</f>
        <v>2.14886</v>
      </c>
      <c r="I210" s="2">
        <f>F211-G210</f>
        <v>8.0509899999999988</v>
      </c>
      <c r="J210" s="2">
        <f>H210/N210</f>
        <v>0.2106756471908901</v>
      </c>
      <c r="K210" s="2">
        <f>I210/N210</f>
        <v>0.78932435280910995</v>
      </c>
      <c r="L210" s="2">
        <f>1/H210</f>
        <v>0.46536302969946858</v>
      </c>
      <c r="M210" s="2">
        <f>1/N210</f>
        <v>9.8040657460648953E-2</v>
      </c>
      <c r="N210" s="2">
        <f>H210+I210</f>
        <v>10.199849999999998</v>
      </c>
      <c r="O210" s="2">
        <v>23</v>
      </c>
      <c r="P210">
        <f>O210/H210</f>
        <v>10.703349683087778</v>
      </c>
      <c r="R210" t="s">
        <v>460</v>
      </c>
      <c r="T210" s="2"/>
      <c r="W210" s="2"/>
      <c r="X210" s="104"/>
      <c r="Y210" s="13"/>
      <c r="Z210" s="49" t="s">
        <v>94</v>
      </c>
      <c r="AA210" s="2">
        <f>_xlfn.STDEV.S(AA151:AA152,AA154:AA155,AA157:AA158,AA161:AA162,AA165:AA168,AA170:AA171,AA173:AA174,AA176:AA177,AA179:AA186)</f>
        <v>0.51719819265985389</v>
      </c>
      <c r="AB210" s="2">
        <f t="shared" ref="AB210:AI210" si="144">_xlfn.STDEV.S(AB151:AB152,AB154:AB155,AB157:AB158,AB161:AB162,AB165:AB168,AB170:AB171,AB173:AB174,AB176:AB177,AB179:AB186)</f>
        <v>5.9744688233413852</v>
      </c>
      <c r="AC210" s="2">
        <f t="shared" si="144"/>
        <v>7.4318680403460013E-2</v>
      </c>
      <c r="AD210" s="2">
        <f t="shared" si="144"/>
        <v>7.4318680403460013E-2</v>
      </c>
      <c r="AE210" s="2">
        <f t="shared" si="144"/>
        <v>0.22128452849984162</v>
      </c>
      <c r="AF210" s="2">
        <f t="shared" si="144"/>
        <v>4.4389163475926578E-2</v>
      </c>
      <c r="AG210" s="2">
        <f t="shared" si="144"/>
        <v>6.2407866144095561</v>
      </c>
      <c r="AH210" s="2">
        <f t="shared" si="144"/>
        <v>5.0340379876932273</v>
      </c>
      <c r="AI210" s="2">
        <f t="shared" si="144"/>
        <v>4.1434967055346537</v>
      </c>
      <c r="AJ210" s="2"/>
      <c r="AK210" s="2"/>
      <c r="AL210" s="2"/>
    </row>
    <row r="211" spans="2:38" x14ac:dyDescent="0.35">
      <c r="C211" s="285"/>
      <c r="D211" s="155">
        <v>10</v>
      </c>
      <c r="F211" s="2">
        <v>10.74194</v>
      </c>
      <c r="G211" s="2">
        <v>14.025589999999999</v>
      </c>
      <c r="H211" s="2">
        <f t="shared" ref="H211:H231" si="145">G211-F211</f>
        <v>3.2836499999999997</v>
      </c>
      <c r="I211" s="2">
        <f t="shared" ref="I211:I230" si="146">F212-G211</f>
        <v>20.137659999999997</v>
      </c>
      <c r="J211" s="2">
        <f t="shared" ref="J211:J230" si="147">H211/N211</f>
        <v>0.14019924590042146</v>
      </c>
      <c r="K211" s="2">
        <f t="shared" ref="K211:K230" si="148">I211/N211</f>
        <v>0.85980075409957846</v>
      </c>
      <c r="L211" s="2">
        <f t="shared" ref="L211:L230" si="149">1/H211</f>
        <v>0.30453915612199839</v>
      </c>
      <c r="M211" s="2">
        <f t="shared" ref="M211:M230" si="150">1/N211</f>
        <v>4.2696160035454893E-2</v>
      </c>
      <c r="N211" s="2">
        <f t="shared" ref="N211:N230" si="151">H211+I211</f>
        <v>23.421309999999998</v>
      </c>
      <c r="O211" s="2">
        <v>31</v>
      </c>
      <c r="P211">
        <f t="shared" ref="P211:P230" si="152">O211/H211</f>
        <v>9.4407138397819512</v>
      </c>
      <c r="T211" s="2"/>
      <c r="W211" s="2"/>
      <c r="X211" s="104"/>
      <c r="Y211" s="13"/>
      <c r="Z211" s="49" t="s">
        <v>95</v>
      </c>
      <c r="AA211" s="2">
        <f>AA210/(SQRT(COUNT(AA151:AA152,AA154:AA155,AA157:AA158,AA161:AA162,AA165:AA168,AA170:AA171,AA173:AA174,AA176:AA177,AA179:AA186)))</f>
        <v>0.10143091064490445</v>
      </c>
      <c r="AB211" s="2">
        <f t="shared" ref="AB211:AI211" si="153">AB210/(SQRT(COUNT(AB151:AB152,AB154:AB155,AB157:AB158,AB161:AB162,AB165:AB168,AB170:AB171,AB173:AB174,AB176:AB177,AB179:AB186)))</f>
        <v>1.1716897351372866</v>
      </c>
      <c r="AC211" s="2">
        <f t="shared" si="153"/>
        <v>1.4575092369296475E-2</v>
      </c>
      <c r="AD211" s="2">
        <f t="shared" si="153"/>
        <v>1.4575092369296475E-2</v>
      </c>
      <c r="AE211" s="2">
        <f t="shared" si="153"/>
        <v>4.3397466495264277E-2</v>
      </c>
      <c r="AF211" s="2">
        <f t="shared" si="153"/>
        <v>8.7054311829157602E-3</v>
      </c>
      <c r="AG211" s="2">
        <f t="shared" si="153"/>
        <v>1.2239189510401145</v>
      </c>
      <c r="AH211" s="2">
        <f t="shared" si="153"/>
        <v>0.98725607428519702</v>
      </c>
      <c r="AI211" s="2">
        <f t="shared" si="153"/>
        <v>0.81260655984725449</v>
      </c>
      <c r="AJ211" s="2"/>
      <c r="AK211" s="2"/>
      <c r="AL211" s="2"/>
    </row>
    <row r="212" spans="2:38" x14ac:dyDescent="0.35">
      <c r="C212" s="285" t="s">
        <v>541</v>
      </c>
      <c r="D212" s="155">
        <v>10</v>
      </c>
      <c r="F212" s="13">
        <v>34.163249999999998</v>
      </c>
      <c r="G212" s="2">
        <v>35.933129999999998</v>
      </c>
      <c r="H212" s="2">
        <f t="shared" si="145"/>
        <v>1.7698800000000006</v>
      </c>
      <c r="I212" s="2">
        <f t="shared" si="146"/>
        <v>8.2899999999999991</v>
      </c>
      <c r="J212" s="2">
        <f t="shared" si="147"/>
        <v>0.17593450418891682</v>
      </c>
      <c r="K212" s="2">
        <f t="shared" si="148"/>
        <v>0.82406549581108313</v>
      </c>
      <c r="L212" s="2">
        <f t="shared" si="149"/>
        <v>0.56501005717901764</v>
      </c>
      <c r="M212" s="2">
        <f t="shared" si="150"/>
        <v>9.9404764271542004E-2</v>
      </c>
      <c r="N212" s="2">
        <f t="shared" si="151"/>
        <v>10.05988</v>
      </c>
      <c r="O212" s="2">
        <v>16</v>
      </c>
      <c r="P212">
        <f t="shared" si="152"/>
        <v>9.0401609148642823</v>
      </c>
      <c r="T212" s="2"/>
      <c r="W212" s="2"/>
      <c r="X212" s="104"/>
      <c r="Y212" s="13"/>
      <c r="Z212" s="49"/>
      <c r="AA212" s="2"/>
      <c r="AB212" s="2"/>
      <c r="AC212" s="2"/>
      <c r="AD212" s="2"/>
      <c r="AE212" s="2"/>
      <c r="AF212" s="2"/>
      <c r="AG212" s="2"/>
      <c r="AH212" s="2"/>
      <c r="AI212" s="2"/>
      <c r="AJ212" s="2"/>
      <c r="AK212" s="2"/>
      <c r="AL212" s="2"/>
    </row>
    <row r="213" spans="2:38" x14ac:dyDescent="0.35">
      <c r="C213" s="285" t="s">
        <v>541</v>
      </c>
      <c r="D213" s="155">
        <v>10</v>
      </c>
      <c r="F213" s="13">
        <v>44.223129999999998</v>
      </c>
      <c r="G213" s="2">
        <v>46.438160000000003</v>
      </c>
      <c r="H213" s="2">
        <f t="shared" si="145"/>
        <v>2.2150300000000058</v>
      </c>
      <c r="I213" s="2">
        <f t="shared" si="146"/>
        <v>19.997099999999996</v>
      </c>
      <c r="J213" s="2">
        <f t="shared" si="147"/>
        <v>9.9721638582162347E-2</v>
      </c>
      <c r="K213" s="2">
        <f t="shared" si="148"/>
        <v>0.90027836141783768</v>
      </c>
      <c r="L213" s="2">
        <f t="shared" si="149"/>
        <v>0.45146115402500075</v>
      </c>
      <c r="M213" s="2">
        <f t="shared" si="150"/>
        <v>4.5020446035567048E-2</v>
      </c>
      <c r="N213" s="2">
        <f t="shared" si="151"/>
        <v>22.212130000000002</v>
      </c>
      <c r="O213" s="2">
        <v>19</v>
      </c>
      <c r="P213">
        <f t="shared" si="152"/>
        <v>8.5777619264750147</v>
      </c>
      <c r="T213" s="2"/>
      <c r="W213" s="2"/>
      <c r="X213" s="104"/>
      <c r="Y213" s="13"/>
      <c r="Z213" s="49"/>
      <c r="AA213" s="2"/>
      <c r="AB213" s="2"/>
      <c r="AC213" s="2"/>
      <c r="AD213" s="2"/>
      <c r="AE213" s="2"/>
      <c r="AF213" s="2"/>
      <c r="AG213" s="2"/>
      <c r="AH213" s="2"/>
      <c r="AI213" s="2"/>
      <c r="AJ213" s="2"/>
      <c r="AK213" s="2"/>
      <c r="AL213" s="2"/>
    </row>
    <row r="214" spans="2:38" ht="16" thickBot="1" x14ac:dyDescent="0.4">
      <c r="C214" s="285"/>
      <c r="D214" s="155">
        <v>10</v>
      </c>
      <c r="F214" s="13">
        <v>66.43526</v>
      </c>
      <c r="G214" s="2">
        <v>70.363020000000006</v>
      </c>
      <c r="H214" s="2">
        <f t="shared" si="145"/>
        <v>3.9277600000000064</v>
      </c>
      <c r="I214" s="2">
        <f t="shared" si="146"/>
        <v>6.2375399999999956</v>
      </c>
      <c r="J214" s="2">
        <f t="shared" si="147"/>
        <v>0.38638898999537696</v>
      </c>
      <c r="K214" s="2">
        <f t="shared" si="148"/>
        <v>0.61361101000462304</v>
      </c>
      <c r="L214" s="2">
        <f t="shared" si="149"/>
        <v>0.25459804061347902</v>
      </c>
      <c r="M214" s="2">
        <f t="shared" si="150"/>
        <v>9.8373879767444133E-2</v>
      </c>
      <c r="N214" s="2">
        <f t="shared" si="151"/>
        <v>10.165300000000002</v>
      </c>
      <c r="O214" s="2">
        <v>30</v>
      </c>
      <c r="P214">
        <f t="shared" si="152"/>
        <v>7.6379412184043707</v>
      </c>
      <c r="T214" s="2"/>
      <c r="W214" s="2"/>
      <c r="X214" s="104" t="s">
        <v>82</v>
      </c>
      <c r="Y214" s="13"/>
      <c r="Z214" s="13"/>
      <c r="AA214" s="9" t="s">
        <v>3</v>
      </c>
      <c r="AB214" s="9" t="s">
        <v>4</v>
      </c>
      <c r="AC214" s="9" t="s">
        <v>5</v>
      </c>
      <c r="AD214" s="9" t="s">
        <v>6</v>
      </c>
      <c r="AE214" s="9" t="s">
        <v>7</v>
      </c>
      <c r="AF214" s="9" t="s">
        <v>8</v>
      </c>
      <c r="AG214" s="9" t="s">
        <v>9</v>
      </c>
      <c r="AH214" s="9" t="s">
        <v>10</v>
      </c>
      <c r="AI214" s="44" t="s">
        <v>139</v>
      </c>
      <c r="AJ214" s="2"/>
      <c r="AK214" s="2"/>
      <c r="AL214" s="2"/>
    </row>
    <row r="215" spans="2:38" x14ac:dyDescent="0.35">
      <c r="C215" s="285"/>
      <c r="D215" s="155">
        <v>10</v>
      </c>
      <c r="F215" s="13">
        <v>76.600560000000002</v>
      </c>
      <c r="G215" s="2">
        <v>78.754080000000002</v>
      </c>
      <c r="H215" s="2">
        <f t="shared" si="145"/>
        <v>2.1535200000000003</v>
      </c>
      <c r="I215" s="2">
        <f t="shared" si="146"/>
        <v>6.9444500000000033</v>
      </c>
      <c r="J215" s="2">
        <f t="shared" si="147"/>
        <v>0.23670335250610844</v>
      </c>
      <c r="K215" s="2">
        <f t="shared" si="148"/>
        <v>0.76329664749389159</v>
      </c>
      <c r="L215" s="2">
        <f t="shared" si="149"/>
        <v>0.46435603105613127</v>
      </c>
      <c r="M215" s="2">
        <f t="shared" si="150"/>
        <v>0.10991462930741688</v>
      </c>
      <c r="N215" s="2">
        <f t="shared" si="151"/>
        <v>9.0979700000000037</v>
      </c>
      <c r="O215" s="2">
        <v>15</v>
      </c>
      <c r="P215">
        <f t="shared" si="152"/>
        <v>6.9653404658419698</v>
      </c>
      <c r="T215" s="2"/>
      <c r="W215" s="2"/>
      <c r="X215" s="104"/>
      <c r="Y215" s="13"/>
      <c r="Z215" s="49" t="s">
        <v>77</v>
      </c>
      <c r="AA215" s="13">
        <f>AVERAGE(AA150,AA153,AA156,AA159:AA160,AA163:AA164,AA169,AA172,AA175,AA178)</f>
        <v>1.2980499999999999</v>
      </c>
      <c r="AB215" s="13">
        <f t="shared" ref="AB215:AI215" si="154">AVERAGE(AB150,AB153,AB156,AB159:AB160,AB163:AB164,AB169,AB172,AB175,AB178)</f>
        <v>6.5042118181818189</v>
      </c>
      <c r="AC215" s="13">
        <f t="shared" si="154"/>
        <v>0.16957683503714083</v>
      </c>
      <c r="AD215" s="13">
        <f t="shared" si="154"/>
        <v>0.83042316496285917</v>
      </c>
      <c r="AE215" s="13">
        <f t="shared" si="154"/>
        <v>0.81259872825736146</v>
      </c>
      <c r="AF215" s="13">
        <f t="shared" si="154"/>
        <v>0.13155371783464204</v>
      </c>
      <c r="AG215" s="13">
        <f t="shared" si="154"/>
        <v>7.8022618181818189</v>
      </c>
      <c r="AH215" s="13">
        <f t="shared" si="154"/>
        <v>10.727272727272727</v>
      </c>
      <c r="AI215" s="13">
        <f t="shared" si="154"/>
        <v>8.4236536697253364</v>
      </c>
      <c r="AJ215" s="2"/>
      <c r="AK215" s="2"/>
      <c r="AL215" s="2"/>
    </row>
    <row r="216" spans="2:38" x14ac:dyDescent="0.35">
      <c r="B216" s="2"/>
      <c r="C216" s="285" t="s">
        <v>541</v>
      </c>
      <c r="D216" s="155">
        <v>10</v>
      </c>
      <c r="F216" s="13">
        <v>85.698530000000005</v>
      </c>
      <c r="G216" s="2">
        <v>88.042640000000006</v>
      </c>
      <c r="H216" s="2">
        <f t="shared" si="145"/>
        <v>2.3441100000000006</v>
      </c>
      <c r="I216" s="2">
        <f t="shared" si="146"/>
        <v>7.8307599999999979</v>
      </c>
      <c r="J216" s="2">
        <f t="shared" si="147"/>
        <v>0.2303823046387817</v>
      </c>
      <c r="K216" s="2">
        <f t="shared" si="148"/>
        <v>0.76961769536121827</v>
      </c>
      <c r="L216" s="2">
        <f t="shared" si="149"/>
        <v>0.42660114073145022</v>
      </c>
      <c r="M216" s="2">
        <f t="shared" si="150"/>
        <v>9.828135396324475E-2</v>
      </c>
      <c r="N216" s="2">
        <f t="shared" si="151"/>
        <v>10.174869999999999</v>
      </c>
      <c r="O216" s="2">
        <v>22</v>
      </c>
      <c r="P216">
        <f t="shared" si="152"/>
        <v>9.3852250960919044</v>
      </c>
      <c r="T216" s="2"/>
      <c r="W216" s="2"/>
      <c r="X216" s="104"/>
      <c r="Y216" s="13"/>
      <c r="Z216" s="49" t="s">
        <v>94</v>
      </c>
      <c r="AA216" s="2">
        <f>_xlfn.STDEV.S(AA150,AA153,AA156,AA159:AA160,AA163:AA164,AA169,AA172,AA175,AA178)</f>
        <v>0.3666414748224755</v>
      </c>
      <c r="AB216" s="2">
        <f t="shared" ref="AB216:AI216" si="155">_xlfn.STDEV.S(AB150,AB153,AB156,AB159:AB160,AB163:AB164,AB169,AB172,AB175,AB178)</f>
        <v>1.3189541887481777</v>
      </c>
      <c r="AC216" s="2">
        <f t="shared" si="155"/>
        <v>4.9635366089387907E-2</v>
      </c>
      <c r="AD216" s="2">
        <f t="shared" si="155"/>
        <v>4.96353660893879E-2</v>
      </c>
      <c r="AE216" s="2">
        <f t="shared" si="155"/>
        <v>0.16595596744075355</v>
      </c>
      <c r="AF216" s="2">
        <f t="shared" si="155"/>
        <v>2.2669241178399458E-2</v>
      </c>
      <c r="AG216" s="2">
        <f t="shared" si="155"/>
        <v>1.3000238512644218</v>
      </c>
      <c r="AH216" s="2">
        <f t="shared" si="155"/>
        <v>3.0030287741181945</v>
      </c>
      <c r="AI216" s="2">
        <f t="shared" si="155"/>
        <v>1.5602097193084452</v>
      </c>
      <c r="AJ216" s="2"/>
      <c r="AK216" s="2"/>
      <c r="AL216" s="2"/>
    </row>
    <row r="217" spans="2:38" x14ac:dyDescent="0.35">
      <c r="B217" s="2"/>
      <c r="C217" s="285"/>
      <c r="D217" s="155">
        <v>10</v>
      </c>
      <c r="F217" s="13">
        <v>95.873400000000004</v>
      </c>
      <c r="G217" s="2">
        <v>99.227050000000006</v>
      </c>
      <c r="H217" s="2">
        <f t="shared" si="145"/>
        <v>3.3536500000000018</v>
      </c>
      <c r="I217" s="2">
        <f t="shared" si="146"/>
        <v>13.905279999999991</v>
      </c>
      <c r="J217" s="2">
        <f t="shared" si="147"/>
        <v>0.19431390010852373</v>
      </c>
      <c r="K217" s="2">
        <f t="shared" si="148"/>
        <v>0.80568609989147633</v>
      </c>
      <c r="L217" s="2">
        <f t="shared" si="149"/>
        <v>0.29818257719201452</v>
      </c>
      <c r="M217" s="2">
        <f t="shared" si="150"/>
        <v>5.794101951859127E-2</v>
      </c>
      <c r="N217" s="2">
        <f t="shared" si="151"/>
        <v>17.258929999999992</v>
      </c>
      <c r="O217" s="2">
        <v>30</v>
      </c>
      <c r="P217">
        <f t="shared" si="152"/>
        <v>8.945477315760435</v>
      </c>
      <c r="T217" s="2"/>
      <c r="W217" s="2"/>
      <c r="X217" s="104"/>
      <c r="Y217" s="13"/>
      <c r="Z217" s="49" t="s">
        <v>95</v>
      </c>
      <c r="AA217" s="2">
        <f>AA216/(SQRT(COUNT(AA150,AA153,AA156,AA159:AA160,AA163:AA164,AA169,AA172,AA175,AA178)))</f>
        <v>0.11054656405169885</v>
      </c>
      <c r="AB217" s="2">
        <f t="shared" ref="AB217:AI217" si="156">AB216/(SQRT(COUNT(AB150,AB153,AB156,AB159:AB160,AB163:AB164,AB169,AB172,AB175,AB178)))</f>
        <v>0.39767965088593649</v>
      </c>
      <c r="AC217" s="2">
        <f t="shared" si="156"/>
        <v>1.4965625968220882E-2</v>
      </c>
      <c r="AD217" s="2">
        <f t="shared" si="156"/>
        <v>1.4965625968220878E-2</v>
      </c>
      <c r="AE217" s="2">
        <f t="shared" si="156"/>
        <v>5.0037606883765164E-2</v>
      </c>
      <c r="AF217" s="2">
        <f t="shared" si="156"/>
        <v>6.8350333882568276E-3</v>
      </c>
      <c r="AG217" s="2">
        <f t="shared" si="156"/>
        <v>0.39197193937789843</v>
      </c>
      <c r="AH217" s="2">
        <f t="shared" si="156"/>
        <v>0.90544724349008998</v>
      </c>
      <c r="AI217" s="2">
        <f t="shared" si="156"/>
        <v>0.47042093029198451</v>
      </c>
      <c r="AJ217" s="2"/>
      <c r="AK217" s="2"/>
      <c r="AL217" s="2"/>
    </row>
    <row r="218" spans="2:38" x14ac:dyDescent="0.35">
      <c r="B218" s="2"/>
      <c r="C218" s="285" t="s">
        <v>541</v>
      </c>
      <c r="D218" s="155">
        <v>10</v>
      </c>
      <c r="F218" s="13">
        <v>113.13233</v>
      </c>
      <c r="G218" s="2">
        <v>115.2471</v>
      </c>
      <c r="H218" s="2">
        <f t="shared" si="145"/>
        <v>2.1147700000000071</v>
      </c>
      <c r="I218" s="2">
        <f t="shared" si="146"/>
        <v>7.8245699999999943</v>
      </c>
      <c r="J218" s="2">
        <f t="shared" si="147"/>
        <v>0.21276764855614225</v>
      </c>
      <c r="K218" s="2">
        <f t="shared" si="148"/>
        <v>0.78723235144385773</v>
      </c>
      <c r="L218" s="2">
        <f t="shared" si="149"/>
        <v>0.47286466140525762</v>
      </c>
      <c r="M218" s="2">
        <f t="shared" si="150"/>
        <v>0.10061030209249305</v>
      </c>
      <c r="N218" s="2">
        <f t="shared" si="151"/>
        <v>9.9393400000000014</v>
      </c>
      <c r="O218" s="2">
        <v>17</v>
      </c>
      <c r="P218">
        <f t="shared" si="152"/>
        <v>8.0386992438893792</v>
      </c>
      <c r="T218" s="2"/>
      <c r="W218" s="2"/>
      <c r="X218" s="104"/>
      <c r="Y218" s="13"/>
      <c r="Z218" s="49"/>
      <c r="AA218" s="2"/>
      <c r="AB218" s="2"/>
      <c r="AC218" s="2"/>
      <c r="AD218" s="2"/>
      <c r="AE218" s="2"/>
      <c r="AF218" s="2"/>
      <c r="AG218" s="2"/>
      <c r="AH218" s="2"/>
      <c r="AI218" s="2"/>
      <c r="AJ218" s="2"/>
      <c r="AK218" s="2"/>
      <c r="AL218" s="2"/>
    </row>
    <row r="219" spans="2:38" x14ac:dyDescent="0.35">
      <c r="B219" s="2"/>
      <c r="C219" s="285"/>
      <c r="D219" s="155">
        <v>12</v>
      </c>
      <c r="F219" s="13">
        <v>123.07167</v>
      </c>
      <c r="G219" s="2">
        <v>127.00745999999999</v>
      </c>
      <c r="H219" s="2">
        <f t="shared" si="145"/>
        <v>3.9357899999999972</v>
      </c>
      <c r="I219" s="2">
        <f t="shared" si="146"/>
        <v>8.290779999999998</v>
      </c>
      <c r="J219" s="2">
        <f t="shared" si="147"/>
        <v>0.32190467154729402</v>
      </c>
      <c r="K219" s="2">
        <f t="shared" si="148"/>
        <v>0.67809532845270593</v>
      </c>
      <c r="L219" s="2">
        <f t="shared" si="149"/>
        <v>0.25407859667309501</v>
      </c>
      <c r="M219" s="2">
        <f t="shared" si="150"/>
        <v>8.1789087209250044E-2</v>
      </c>
      <c r="N219" s="2">
        <f t="shared" si="151"/>
        <v>12.226569999999995</v>
      </c>
      <c r="O219" s="2">
        <v>31</v>
      </c>
      <c r="P219">
        <f t="shared" si="152"/>
        <v>7.8764364968659457</v>
      </c>
      <c r="R219" t="s">
        <v>461</v>
      </c>
      <c r="T219" s="2"/>
      <c r="W219" s="2"/>
      <c r="X219" s="2"/>
      <c r="Y219" s="2"/>
      <c r="Z219" s="2"/>
      <c r="AA219" s="2"/>
      <c r="AB219" s="2"/>
      <c r="AC219" s="2"/>
      <c r="AD219" s="2"/>
      <c r="AE219" s="2"/>
      <c r="AF219" s="2"/>
      <c r="AG219" s="2"/>
      <c r="AH219" s="2"/>
      <c r="AI219" s="2"/>
      <c r="AJ219" s="2"/>
      <c r="AK219" s="2"/>
      <c r="AL219" s="2"/>
    </row>
    <row r="220" spans="2:38" x14ac:dyDescent="0.35">
      <c r="B220" s="2"/>
      <c r="C220" s="285" t="s">
        <v>541</v>
      </c>
      <c r="D220" s="155">
        <v>12</v>
      </c>
      <c r="F220" s="13">
        <v>135.29823999999999</v>
      </c>
      <c r="G220" s="2">
        <v>137.43932000000001</v>
      </c>
      <c r="H220" s="2">
        <f t="shared" si="145"/>
        <v>2.1410800000000165</v>
      </c>
      <c r="I220" s="2">
        <f t="shared" si="146"/>
        <v>10.171009999999995</v>
      </c>
      <c r="J220" s="2">
        <f t="shared" si="147"/>
        <v>0.17390061313716959</v>
      </c>
      <c r="K220" s="2">
        <f t="shared" si="148"/>
        <v>0.82609938686283035</v>
      </c>
      <c r="L220" s="2">
        <f t="shared" si="149"/>
        <v>0.46705401012572734</v>
      </c>
      <c r="M220" s="2">
        <f t="shared" si="150"/>
        <v>8.1220978729037802E-2</v>
      </c>
      <c r="N220" s="2">
        <f t="shared" si="151"/>
        <v>12.312090000000012</v>
      </c>
      <c r="O220" s="2">
        <v>17</v>
      </c>
      <c r="P220">
        <f t="shared" si="152"/>
        <v>7.9399181721373644</v>
      </c>
      <c r="T220" s="2"/>
      <c r="W220" s="2"/>
      <c r="X220" s="2"/>
      <c r="Y220" s="2"/>
      <c r="Z220" s="2"/>
      <c r="AA220" s="2"/>
      <c r="AB220" s="2"/>
      <c r="AC220" s="2"/>
      <c r="AD220" s="2"/>
      <c r="AE220" s="2"/>
      <c r="AF220" s="2"/>
      <c r="AG220" s="2"/>
      <c r="AH220" s="2"/>
      <c r="AI220" s="2"/>
      <c r="AJ220" s="2"/>
      <c r="AK220" s="2"/>
      <c r="AL220" s="2"/>
    </row>
    <row r="221" spans="2:38" ht="16" thickBot="1" x14ac:dyDescent="0.4">
      <c r="B221" s="2"/>
      <c r="C221" s="284"/>
      <c r="D221" s="155">
        <v>12</v>
      </c>
      <c r="F221" s="13">
        <v>147.61033</v>
      </c>
      <c r="G221" s="2">
        <v>150.74486999999999</v>
      </c>
      <c r="H221" s="2">
        <f t="shared" si="145"/>
        <v>3.134539999999987</v>
      </c>
      <c r="I221" s="2">
        <f t="shared" si="146"/>
        <v>6.749430000000018</v>
      </c>
      <c r="J221" s="2">
        <f t="shared" si="147"/>
        <v>0.31713370234834642</v>
      </c>
      <c r="K221" s="2">
        <f t="shared" si="148"/>
        <v>0.68286629765165363</v>
      </c>
      <c r="L221" s="2">
        <f t="shared" si="149"/>
        <v>0.31902607719155096</v>
      </c>
      <c r="M221" s="2">
        <f t="shared" si="150"/>
        <v>0.10117392100542591</v>
      </c>
      <c r="N221" s="2">
        <f t="shared" si="151"/>
        <v>9.883970000000005</v>
      </c>
      <c r="O221" s="2">
        <v>25</v>
      </c>
      <c r="P221">
        <f t="shared" si="152"/>
        <v>7.975651929788774</v>
      </c>
      <c r="T221" s="2"/>
      <c r="W221" s="2"/>
      <c r="Y221" s="13"/>
      <c r="Z221" s="13"/>
      <c r="AA221" s="9" t="s">
        <v>3</v>
      </c>
      <c r="AB221" s="9" t="s">
        <v>4</v>
      </c>
      <c r="AC221" s="9" t="s">
        <v>5</v>
      </c>
      <c r="AD221" s="9" t="s">
        <v>6</v>
      </c>
      <c r="AE221" s="9" t="s">
        <v>7</v>
      </c>
      <c r="AF221" s="9" t="s">
        <v>8</v>
      </c>
      <c r="AG221" s="9" t="s">
        <v>9</v>
      </c>
      <c r="AH221" s="9" t="s">
        <v>10</v>
      </c>
      <c r="AI221" s="44" t="s">
        <v>139</v>
      </c>
      <c r="AJ221" s="2"/>
      <c r="AK221" s="2"/>
      <c r="AL221" s="2"/>
    </row>
    <row r="222" spans="2:38" x14ac:dyDescent="0.35">
      <c r="B222" s="2"/>
      <c r="C222" s="284" t="s">
        <v>541</v>
      </c>
      <c r="D222" s="155">
        <v>12</v>
      </c>
      <c r="F222" s="13">
        <v>157.49430000000001</v>
      </c>
      <c r="G222" s="2">
        <v>159.62029999999999</v>
      </c>
      <c r="H222" s="2">
        <f t="shared" si="145"/>
        <v>2.1259999999999764</v>
      </c>
      <c r="I222" s="2">
        <f t="shared" si="146"/>
        <v>8.9929000000000201</v>
      </c>
      <c r="J222" s="2">
        <f t="shared" si="147"/>
        <v>0.19120596461880016</v>
      </c>
      <c r="K222" s="2">
        <f t="shared" si="148"/>
        <v>0.80879403538119987</v>
      </c>
      <c r="L222" s="2">
        <f t="shared" si="149"/>
        <v>0.4703668861712188</v>
      </c>
      <c r="M222" s="2">
        <f t="shared" si="150"/>
        <v>8.9936954195109262E-2</v>
      </c>
      <c r="N222" s="2">
        <f t="shared" si="151"/>
        <v>11.118899999999996</v>
      </c>
      <c r="O222" s="2">
        <v>12</v>
      </c>
      <c r="P222">
        <f t="shared" si="152"/>
        <v>5.6444026340546252</v>
      </c>
      <c r="T222" s="2"/>
      <c r="W222" s="2"/>
      <c r="X222" s="104" t="s">
        <v>410</v>
      </c>
      <c r="Y222" s="13"/>
      <c r="Z222" s="49" t="s">
        <v>77</v>
      </c>
      <c r="AA222" s="13">
        <f t="shared" ref="AA222:AI222" si="157">AVERAGE(AA187:AA195)</f>
        <v>1.5484955555555631</v>
      </c>
      <c r="AB222" s="13">
        <f t="shared" si="157"/>
        <v>9.7896788888888793</v>
      </c>
      <c r="AC222" s="13">
        <f t="shared" si="157"/>
        <v>0.147436096552371</v>
      </c>
      <c r="AD222" s="13">
        <f t="shared" si="157"/>
        <v>0.85256390344762911</v>
      </c>
      <c r="AE222" s="13">
        <f t="shared" si="157"/>
        <v>0.7288805265613455</v>
      </c>
      <c r="AF222" s="13">
        <f t="shared" si="157"/>
        <v>0.10295046591646378</v>
      </c>
      <c r="AG222" s="13">
        <f t="shared" si="157"/>
        <v>11.338174444444443</v>
      </c>
      <c r="AH222" s="13">
        <f t="shared" si="157"/>
        <v>14.777777777777779</v>
      </c>
      <c r="AI222" s="13">
        <f t="shared" si="157"/>
        <v>9.5891696779089752</v>
      </c>
      <c r="AJ222" s="2"/>
      <c r="AK222" s="2"/>
      <c r="AL222" s="2"/>
    </row>
    <row r="223" spans="2:38" x14ac:dyDescent="0.35">
      <c r="B223" s="2"/>
      <c r="C223" s="284"/>
      <c r="D223" s="155">
        <v>12</v>
      </c>
      <c r="F223" s="13">
        <v>168.61320000000001</v>
      </c>
      <c r="G223" s="2">
        <v>171.86194</v>
      </c>
      <c r="H223" s="2">
        <f t="shared" si="145"/>
        <v>3.248739999999998</v>
      </c>
      <c r="I223" s="2">
        <f t="shared" si="146"/>
        <v>17.199809999999985</v>
      </c>
      <c r="J223" s="2">
        <f t="shared" si="147"/>
        <v>0.15887385658151804</v>
      </c>
      <c r="K223" s="2">
        <f t="shared" si="148"/>
        <v>0.84112614341848191</v>
      </c>
      <c r="L223" s="2">
        <f t="shared" si="149"/>
        <v>0.30781164389886562</v>
      </c>
      <c r="M223" s="2">
        <f t="shared" si="150"/>
        <v>4.8903222966909674E-2</v>
      </c>
      <c r="N223" s="2">
        <f t="shared" si="151"/>
        <v>20.448549999999983</v>
      </c>
      <c r="O223" s="2">
        <v>27</v>
      </c>
      <c r="P223">
        <f t="shared" si="152"/>
        <v>8.3109143852693705</v>
      </c>
      <c r="T223" s="2"/>
      <c r="W223" s="2"/>
      <c r="X223" s="104"/>
      <c r="Y223" s="13"/>
      <c r="Z223" s="49" t="s">
        <v>94</v>
      </c>
      <c r="AA223" s="2">
        <f t="shared" ref="AA223:AI223" si="158">_xlfn.STDEV.S(AA187:AA195)</f>
        <v>0.57151084609374359</v>
      </c>
      <c r="AB223" s="2">
        <f t="shared" si="158"/>
        <v>5.1376729300711741</v>
      </c>
      <c r="AC223" s="2">
        <f t="shared" si="158"/>
        <v>5.6646819712966728E-2</v>
      </c>
      <c r="AD223" s="2">
        <f t="shared" si="158"/>
        <v>5.6646819712966714E-2</v>
      </c>
      <c r="AE223" s="2">
        <f t="shared" si="158"/>
        <v>0.25547007976992953</v>
      </c>
      <c r="AF223" s="2">
        <f t="shared" si="158"/>
        <v>3.5766840166005925E-2</v>
      </c>
      <c r="AG223" s="2">
        <f t="shared" si="158"/>
        <v>5.5253382634281181</v>
      </c>
      <c r="AH223" s="2">
        <f t="shared" si="158"/>
        <v>5.5176484524156173</v>
      </c>
      <c r="AI223" s="2">
        <f t="shared" si="158"/>
        <v>1.2531908286796758</v>
      </c>
      <c r="AJ223" s="2"/>
      <c r="AK223" s="2"/>
      <c r="AL223" s="2"/>
    </row>
    <row r="224" spans="2:38" x14ac:dyDescent="0.35">
      <c r="B224" s="2"/>
      <c r="C224" s="284" t="s">
        <v>541</v>
      </c>
      <c r="D224" s="155">
        <v>12</v>
      </c>
      <c r="F224" s="13">
        <v>189.06174999999999</v>
      </c>
      <c r="G224" s="2">
        <v>191.34751</v>
      </c>
      <c r="H224" s="2">
        <f t="shared" si="145"/>
        <v>2.2857600000000105</v>
      </c>
      <c r="I224" s="2">
        <f t="shared" si="146"/>
        <v>6.9228300000000047</v>
      </c>
      <c r="J224" s="2">
        <f t="shared" si="147"/>
        <v>0.24822041159395811</v>
      </c>
      <c r="K224" s="2">
        <f t="shared" si="148"/>
        <v>0.75177958840604187</v>
      </c>
      <c r="L224" s="2">
        <f t="shared" si="149"/>
        <v>0.43749125017499452</v>
      </c>
      <c r="M224" s="2">
        <f t="shared" si="150"/>
        <v>0.10859425818719243</v>
      </c>
      <c r="N224" s="2">
        <f t="shared" si="151"/>
        <v>9.2085900000000152</v>
      </c>
      <c r="O224" s="2">
        <v>21</v>
      </c>
      <c r="P224">
        <f t="shared" si="152"/>
        <v>9.1873162536748847</v>
      </c>
      <c r="T224" s="2"/>
      <c r="W224" s="2"/>
      <c r="X224" s="104"/>
      <c r="Y224" s="13"/>
      <c r="Z224" s="49" t="s">
        <v>95</v>
      </c>
      <c r="AA224" s="2">
        <f t="shared" ref="AA224:AI224" si="159">AA223/(SQRT(COUNT(AA187:AA195)))</f>
        <v>0.19050361536458119</v>
      </c>
      <c r="AB224" s="2">
        <f t="shared" si="159"/>
        <v>1.712557643357058</v>
      </c>
      <c r="AC224" s="2">
        <f t="shared" si="159"/>
        <v>1.8882273237655577E-2</v>
      </c>
      <c r="AD224" s="2">
        <f t="shared" si="159"/>
        <v>1.888227323765557E-2</v>
      </c>
      <c r="AE224" s="2">
        <f t="shared" si="159"/>
        <v>8.5156693256643171E-2</v>
      </c>
      <c r="AF224" s="2">
        <f t="shared" si="159"/>
        <v>1.1922280055335308E-2</v>
      </c>
      <c r="AG224" s="2">
        <f t="shared" si="159"/>
        <v>1.8417794211427061</v>
      </c>
      <c r="AH224" s="2">
        <f t="shared" si="159"/>
        <v>1.8392161508052058</v>
      </c>
      <c r="AI224" s="2">
        <f t="shared" si="159"/>
        <v>0.41773027622655862</v>
      </c>
      <c r="AJ224" s="2"/>
      <c r="AK224" s="2"/>
      <c r="AL224" s="2"/>
    </row>
    <row r="225" spans="2:38" x14ac:dyDescent="0.35">
      <c r="B225" s="2"/>
      <c r="C225" s="284"/>
      <c r="D225" s="155">
        <v>12</v>
      </c>
      <c r="F225" s="13">
        <v>198.27034</v>
      </c>
      <c r="G225" s="2">
        <v>202.24455</v>
      </c>
      <c r="H225" s="2">
        <f t="shared" si="145"/>
        <v>3.9742099999999994</v>
      </c>
      <c r="I225" s="2">
        <f t="shared" si="146"/>
        <v>9.1183800000000019</v>
      </c>
      <c r="J225" s="2">
        <f t="shared" si="147"/>
        <v>0.30354650989605564</v>
      </c>
      <c r="K225" s="2">
        <f t="shared" si="148"/>
        <v>0.69645349010394442</v>
      </c>
      <c r="L225" s="2">
        <f t="shared" si="149"/>
        <v>0.25162233500494441</v>
      </c>
      <c r="M225" s="2">
        <f t="shared" si="150"/>
        <v>7.6379081602646989E-2</v>
      </c>
      <c r="N225" s="2">
        <f t="shared" si="151"/>
        <v>13.092590000000001</v>
      </c>
      <c r="O225" s="2">
        <v>30</v>
      </c>
      <c r="P225">
        <f t="shared" si="152"/>
        <v>7.548670050148333</v>
      </c>
      <c r="T225" s="2"/>
      <c r="W225" s="2"/>
      <c r="X225" s="2"/>
      <c r="Y225" s="2"/>
      <c r="Z225" s="2"/>
      <c r="AA225" s="2"/>
      <c r="AB225" s="2"/>
      <c r="AC225" s="2"/>
      <c r="AD225" s="2"/>
      <c r="AE225" s="2"/>
      <c r="AF225" s="2"/>
      <c r="AG225" s="2"/>
      <c r="AH225" s="2"/>
      <c r="AI225" s="2"/>
      <c r="AJ225" s="2"/>
      <c r="AK225" s="2"/>
      <c r="AL225" s="2"/>
    </row>
    <row r="226" spans="2:38" x14ac:dyDescent="0.35">
      <c r="B226" s="2"/>
      <c r="C226" s="284" t="s">
        <v>541</v>
      </c>
      <c r="D226" s="155">
        <v>12</v>
      </c>
      <c r="F226" s="13">
        <v>211.36293000000001</v>
      </c>
      <c r="G226" s="2">
        <v>213.57638</v>
      </c>
      <c r="H226" s="2">
        <f t="shared" si="145"/>
        <v>2.2134499999999946</v>
      </c>
      <c r="I226" s="2">
        <f t="shared" si="146"/>
        <v>6.9480900000000076</v>
      </c>
      <c r="J226" s="2">
        <f t="shared" si="147"/>
        <v>0.2416023943572799</v>
      </c>
      <c r="K226" s="2">
        <f t="shared" si="148"/>
        <v>0.75839760564272007</v>
      </c>
      <c r="L226" s="2">
        <f t="shared" si="149"/>
        <v>0.4517834150308353</v>
      </c>
      <c r="M226" s="2">
        <f t="shared" si="150"/>
        <v>0.10915195480235852</v>
      </c>
      <c r="N226" s="2">
        <f t="shared" si="151"/>
        <v>9.1615400000000022</v>
      </c>
      <c r="O226" s="2">
        <v>19</v>
      </c>
      <c r="P226">
        <f t="shared" si="152"/>
        <v>8.5838848855858707</v>
      </c>
      <c r="T226" s="2"/>
      <c r="W226" s="2"/>
      <c r="X226" s="2"/>
      <c r="Y226" s="2"/>
      <c r="Z226" s="2"/>
      <c r="AA226" s="2"/>
      <c r="AB226" s="2"/>
      <c r="AC226" s="2"/>
      <c r="AD226" s="2"/>
      <c r="AE226" s="2"/>
      <c r="AF226" s="2"/>
      <c r="AG226" s="2"/>
      <c r="AH226" s="2"/>
      <c r="AI226" s="2"/>
      <c r="AJ226" s="2"/>
      <c r="AK226" s="2"/>
      <c r="AL226" s="2"/>
    </row>
    <row r="227" spans="2:38" x14ac:dyDescent="0.35">
      <c r="B227" s="2"/>
      <c r="C227" s="284"/>
      <c r="D227" s="155">
        <v>12</v>
      </c>
      <c r="F227" s="13">
        <v>220.52447000000001</v>
      </c>
      <c r="G227" s="2">
        <v>223.81804</v>
      </c>
      <c r="H227" s="2">
        <f t="shared" si="145"/>
        <v>3.2935699999999883</v>
      </c>
      <c r="I227" s="2">
        <f t="shared" si="146"/>
        <v>21.769599999999997</v>
      </c>
      <c r="J227" s="2">
        <f t="shared" si="147"/>
        <v>0.13141075131358046</v>
      </c>
      <c r="K227" s="2">
        <f t="shared" si="148"/>
        <v>0.86858924868641951</v>
      </c>
      <c r="L227" s="2">
        <f t="shared" si="149"/>
        <v>0.30362190571325448</v>
      </c>
      <c r="M227" s="2">
        <f t="shared" si="150"/>
        <v>3.9899182745039855E-2</v>
      </c>
      <c r="N227" s="2">
        <f t="shared" si="151"/>
        <v>25.063169999999985</v>
      </c>
      <c r="O227" s="2">
        <v>25</v>
      </c>
      <c r="P227">
        <f t="shared" si="152"/>
        <v>7.5905476428313623</v>
      </c>
      <c r="S227" s="2"/>
      <c r="T227" s="2"/>
      <c r="W227" s="2"/>
      <c r="X227" s="2"/>
      <c r="Y227" s="2"/>
      <c r="Z227" s="2"/>
      <c r="AA227" s="2"/>
      <c r="AB227" s="2"/>
      <c r="AC227" s="2"/>
      <c r="AD227" s="2"/>
      <c r="AE227" s="2"/>
      <c r="AF227" s="2"/>
      <c r="AG227" s="2"/>
      <c r="AH227" s="2"/>
      <c r="AI227" s="2"/>
      <c r="AJ227" s="2"/>
      <c r="AK227" s="2"/>
      <c r="AL227" s="2"/>
    </row>
    <row r="228" spans="2:38" x14ac:dyDescent="0.35">
      <c r="B228" s="2"/>
      <c r="C228" s="284" t="s">
        <v>541</v>
      </c>
      <c r="D228" s="155">
        <v>0</v>
      </c>
      <c r="F228" s="13">
        <v>245.58763999999999</v>
      </c>
      <c r="G228" s="2">
        <v>247.90741</v>
      </c>
      <c r="H228" s="2">
        <f t="shared" si="145"/>
        <v>2.3197700000000054</v>
      </c>
      <c r="I228" s="2">
        <f t="shared" si="146"/>
        <v>41.410940000000011</v>
      </c>
      <c r="J228" s="2">
        <f t="shared" si="147"/>
        <v>5.3046703335024849E-2</v>
      </c>
      <c r="K228" s="2">
        <f t="shared" si="148"/>
        <v>0.94695329666497519</v>
      </c>
      <c r="L228" s="2">
        <f t="shared" si="149"/>
        <v>0.43107721886221378</v>
      </c>
      <c r="M228" s="2">
        <f t="shared" si="150"/>
        <v>2.2867225343471433E-2</v>
      </c>
      <c r="N228" s="2">
        <f t="shared" si="151"/>
        <v>43.730710000000016</v>
      </c>
      <c r="O228" s="2">
        <v>17</v>
      </c>
      <c r="P228">
        <f t="shared" si="152"/>
        <v>7.3283127206576344</v>
      </c>
      <c r="R228" t="s">
        <v>462</v>
      </c>
      <c r="S228" s="2"/>
      <c r="T228" s="2"/>
      <c r="W228" s="2"/>
      <c r="X228" s="2"/>
      <c r="Y228" s="2"/>
      <c r="Z228" s="2"/>
      <c r="AA228" s="2"/>
      <c r="AB228" s="2"/>
      <c r="AC228" s="2"/>
      <c r="AD228" s="2"/>
      <c r="AE228" s="2"/>
      <c r="AF228" s="2"/>
      <c r="AG228" s="2"/>
      <c r="AH228" s="2"/>
      <c r="AI228" s="2"/>
      <c r="AJ228" s="2"/>
      <c r="AK228" s="2"/>
      <c r="AL228" s="2"/>
    </row>
    <row r="229" spans="2:38" x14ac:dyDescent="0.35">
      <c r="B229" s="2"/>
      <c r="C229" s="284" t="s">
        <v>541</v>
      </c>
      <c r="D229" s="155">
        <v>0</v>
      </c>
      <c r="F229" s="13">
        <v>289.31835000000001</v>
      </c>
      <c r="G229" s="2">
        <v>290.54453000000001</v>
      </c>
      <c r="H229" s="2">
        <f t="shared" si="145"/>
        <v>1.2261799999999994</v>
      </c>
      <c r="I229" s="2">
        <f t="shared" si="146"/>
        <v>23.891970000000015</v>
      </c>
      <c r="J229" s="2">
        <f t="shared" si="147"/>
        <v>4.8816493252886804E-2</v>
      </c>
      <c r="K229" s="2">
        <f t="shared" si="148"/>
        <v>0.95118350674711316</v>
      </c>
      <c r="L229" s="2">
        <f t="shared" si="149"/>
        <v>0.81554094831101509</v>
      </c>
      <c r="M229" s="2">
        <f t="shared" si="150"/>
        <v>3.9811849200677575E-2</v>
      </c>
      <c r="N229" s="2">
        <f t="shared" si="151"/>
        <v>25.118150000000014</v>
      </c>
      <c r="O229" s="2">
        <v>15</v>
      </c>
      <c r="P229">
        <f t="shared" si="152"/>
        <v>12.233114224665227</v>
      </c>
      <c r="S229" s="2"/>
      <c r="T229" s="2"/>
      <c r="W229" s="2"/>
      <c r="X229" s="2"/>
      <c r="Y229" s="2"/>
      <c r="Z229" s="2"/>
      <c r="AA229" s="2"/>
      <c r="AB229" s="2"/>
      <c r="AC229" s="2"/>
      <c r="AD229" s="2"/>
      <c r="AE229" s="2"/>
      <c r="AF229" s="2"/>
      <c r="AG229" s="2"/>
      <c r="AH229" s="2"/>
      <c r="AI229" s="2"/>
      <c r="AJ229" s="2"/>
      <c r="AK229" s="2"/>
      <c r="AL229" s="2"/>
    </row>
    <row r="230" spans="2:38" ht="18.5" x14ac:dyDescent="0.45">
      <c r="B230" s="2"/>
      <c r="C230" s="284" t="s">
        <v>541</v>
      </c>
      <c r="D230" s="155">
        <v>0</v>
      </c>
      <c r="F230" s="13">
        <v>314.43650000000002</v>
      </c>
      <c r="G230" s="2">
        <v>315.64780000000002</v>
      </c>
      <c r="H230" s="2">
        <f t="shared" si="145"/>
        <v>1.2112999999999943</v>
      </c>
      <c r="I230" s="2">
        <f t="shared" si="146"/>
        <v>24.79122000000001</v>
      </c>
      <c r="J230" s="2">
        <f t="shared" si="147"/>
        <v>4.6583946479033342E-2</v>
      </c>
      <c r="K230" s="2">
        <f t="shared" si="148"/>
        <v>0.9534160535209667</v>
      </c>
      <c r="L230" s="2">
        <f t="shared" si="149"/>
        <v>0.82555931643688985</v>
      </c>
      <c r="M230" s="2">
        <f t="shared" si="150"/>
        <v>3.8457811012163431E-2</v>
      </c>
      <c r="N230" s="2">
        <f t="shared" si="151"/>
        <v>26.002520000000004</v>
      </c>
      <c r="O230" s="2">
        <v>12</v>
      </c>
      <c r="P230">
        <f t="shared" si="152"/>
        <v>9.9067117972426786</v>
      </c>
      <c r="S230" s="2"/>
      <c r="T230" s="2"/>
      <c r="Y230" s="1" t="s">
        <v>91</v>
      </c>
      <c r="Z230" s="3"/>
      <c r="AA230" s="3"/>
      <c r="AB230" s="3"/>
      <c r="AC230" s="3"/>
      <c r="AD230" s="3"/>
      <c r="AE230" s="3"/>
      <c r="AF230" s="3"/>
      <c r="AG230" s="3"/>
      <c r="AH230" s="3"/>
      <c r="AL230" s="2"/>
    </row>
    <row r="231" spans="2:38" ht="16" thickBot="1" x14ac:dyDescent="0.4">
      <c r="B231" s="2"/>
      <c r="C231" s="284"/>
      <c r="D231" s="155">
        <v>0</v>
      </c>
      <c r="E231" s="2"/>
      <c r="F231" s="2">
        <v>340.43902000000003</v>
      </c>
      <c r="G231" s="2">
        <v>341.46553999999998</v>
      </c>
      <c r="H231" s="2">
        <f t="shared" si="145"/>
        <v>1.0265199999999481</v>
      </c>
      <c r="I231" s="2"/>
      <c r="J231" s="2"/>
      <c r="K231" s="2"/>
      <c r="L231" s="2"/>
      <c r="M231" s="2"/>
      <c r="N231" s="2"/>
      <c r="O231" s="2"/>
      <c r="S231" s="2"/>
      <c r="T231" s="2"/>
      <c r="V231" s="204" t="s">
        <v>122</v>
      </c>
      <c r="W231" s="204" t="s">
        <v>406</v>
      </c>
      <c r="Y231" s="9" t="s">
        <v>1</v>
      </c>
      <c r="Z231" s="9" t="s">
        <v>2</v>
      </c>
      <c r="AA231" s="9" t="s">
        <v>3</v>
      </c>
      <c r="AB231" s="9" t="s">
        <v>4</v>
      </c>
      <c r="AC231" s="9" t="s">
        <v>5</v>
      </c>
      <c r="AD231" s="9" t="s">
        <v>6</v>
      </c>
      <c r="AE231" s="9" t="s">
        <v>7</v>
      </c>
      <c r="AF231" s="9" t="s">
        <v>8</v>
      </c>
      <c r="AG231" s="9" t="s">
        <v>9</v>
      </c>
      <c r="AH231" s="9" t="s">
        <v>10</v>
      </c>
      <c r="AI231" s="44" t="s">
        <v>139</v>
      </c>
      <c r="AK231" s="44" t="s">
        <v>138</v>
      </c>
      <c r="AL231" s="2"/>
    </row>
    <row r="232" spans="2:38" x14ac:dyDescent="0.35">
      <c r="B232" s="2"/>
      <c r="C232" s="2"/>
      <c r="D232" s="155"/>
      <c r="E232" s="2"/>
      <c r="F232" s="2"/>
      <c r="G232" s="2"/>
      <c r="H232" s="2"/>
      <c r="I232" s="2"/>
      <c r="J232" s="2"/>
      <c r="K232" s="2"/>
      <c r="L232" s="2"/>
      <c r="M232" s="2"/>
      <c r="N232" s="2"/>
      <c r="O232" s="2"/>
      <c r="P232" s="2"/>
      <c r="S232" s="2"/>
      <c r="T232" s="2"/>
      <c r="V232" s="287" t="s">
        <v>541</v>
      </c>
      <c r="W232" s="155">
        <v>-3</v>
      </c>
      <c r="Y232" s="2">
        <v>1.5778300000000001</v>
      </c>
      <c r="Z232" s="2">
        <v>3.7773099999999999</v>
      </c>
      <c r="AA232" s="2">
        <f t="shared" ref="AA232:AA247" si="160">Z232-Y232</f>
        <v>2.1994799999999999</v>
      </c>
      <c r="AB232" s="2">
        <f t="shared" ref="AB232:AB247" si="161">Y233-Z232</f>
        <v>15.94022</v>
      </c>
      <c r="AC232" s="2">
        <f>AA232/AG232</f>
        <v>0.12125228090872504</v>
      </c>
      <c r="AD232" s="2">
        <f>AB232/AG232</f>
        <v>0.87874771909127491</v>
      </c>
      <c r="AE232" s="2">
        <f>1/AA232</f>
        <v>0.45465291796242752</v>
      </c>
      <c r="AF232" s="2">
        <f>1/AG232</f>
        <v>5.5127703324751781E-2</v>
      </c>
      <c r="AG232" s="2">
        <f>AA232+AB232</f>
        <v>18.139700000000001</v>
      </c>
      <c r="AH232" s="2">
        <v>19</v>
      </c>
      <c r="AI232">
        <f>AH232/AA232</f>
        <v>8.6384054412861229</v>
      </c>
      <c r="AK232" t="s">
        <v>474</v>
      </c>
      <c r="AL232" s="2"/>
    </row>
    <row r="233" spans="2:38" ht="16" thickBot="1" x14ac:dyDescent="0.4">
      <c r="B233" s="2"/>
      <c r="C233" s="2"/>
      <c r="D233" s="155"/>
      <c r="F233" s="13"/>
      <c r="G233" s="13"/>
      <c r="H233" s="9" t="s">
        <v>3</v>
      </c>
      <c r="I233" s="9" t="s">
        <v>4</v>
      </c>
      <c r="J233" s="9" t="s">
        <v>5</v>
      </c>
      <c r="K233" s="9" t="s">
        <v>6</v>
      </c>
      <c r="L233" s="9" t="s">
        <v>7</v>
      </c>
      <c r="M233" s="9" t="s">
        <v>8</v>
      </c>
      <c r="N233" s="9" t="s">
        <v>9</v>
      </c>
      <c r="O233" s="9" t="s">
        <v>10</v>
      </c>
      <c r="P233" s="44" t="s">
        <v>139</v>
      </c>
      <c r="S233" s="2"/>
      <c r="T233" s="2"/>
      <c r="V233" s="287" t="s">
        <v>541</v>
      </c>
      <c r="W233" s="155">
        <v>-3</v>
      </c>
      <c r="Y233" s="2">
        <v>19.71753</v>
      </c>
      <c r="Z233" s="2">
        <v>20.881910000000001</v>
      </c>
      <c r="AA233" s="2">
        <f t="shared" si="160"/>
        <v>1.1643800000000013</v>
      </c>
      <c r="AB233" s="2">
        <f t="shared" si="161"/>
        <v>7.8900799999999975</v>
      </c>
      <c r="AC233" s="2">
        <f t="shared" ref="AC233:AC247" si="162">AA233/AG233</f>
        <v>0.12859739840918194</v>
      </c>
      <c r="AD233" s="2">
        <f t="shared" ref="AD233:AD247" si="163">AB233/AG233</f>
        <v>0.87140260159081806</v>
      </c>
      <c r="AE233" s="2">
        <f t="shared" ref="AE233:AE247" si="164">1/AA233</f>
        <v>0.85882615640941862</v>
      </c>
      <c r="AF233" s="2">
        <f t="shared" ref="AF233:AF247" si="165">1/AG233</f>
        <v>0.1104428094000084</v>
      </c>
      <c r="AG233" s="2">
        <f t="shared" ref="AG233:AG247" si="166">AA233+AB233</f>
        <v>9.0544599999999988</v>
      </c>
      <c r="AH233" s="2">
        <v>11</v>
      </c>
      <c r="AI233">
        <f t="shared" ref="AI233:AI247" si="167">AH233/AA233</f>
        <v>9.447087720503605</v>
      </c>
      <c r="AL233" s="2"/>
    </row>
    <row r="234" spans="2:38" x14ac:dyDescent="0.35">
      <c r="B234" s="2"/>
      <c r="C234" s="2"/>
      <c r="D234" s="155"/>
      <c r="E234" s="104" t="s">
        <v>414</v>
      </c>
      <c r="F234" s="13"/>
      <c r="G234" s="49" t="s">
        <v>77</v>
      </c>
      <c r="H234" s="13">
        <f>AVERAGE(H210:H218)</f>
        <v>2.5901366666666692</v>
      </c>
      <c r="I234" s="13">
        <f t="shared" ref="I234:P234" si="168">AVERAGE(I210:I218)</f>
        <v>11.024261111111109</v>
      </c>
      <c r="J234" s="13">
        <f t="shared" si="168"/>
        <v>0.20967635907414708</v>
      </c>
      <c r="K234" s="13">
        <f t="shared" si="168"/>
        <v>0.79032364092585294</v>
      </c>
      <c r="L234" s="13">
        <f t="shared" si="168"/>
        <v>0.41144176089153534</v>
      </c>
      <c r="M234" s="13">
        <f t="shared" si="168"/>
        <v>8.3364801383600334E-2</v>
      </c>
      <c r="N234" s="13">
        <f t="shared" si="168"/>
        <v>13.614397777777777</v>
      </c>
      <c r="O234" s="13">
        <f t="shared" si="168"/>
        <v>22.555555555555557</v>
      </c>
      <c r="P234" s="13">
        <f t="shared" si="168"/>
        <v>8.7482966337996757</v>
      </c>
      <c r="S234" s="2"/>
      <c r="T234" s="2"/>
      <c r="V234" s="287" t="s">
        <v>541</v>
      </c>
      <c r="W234" s="155">
        <v>-3</v>
      </c>
      <c r="Y234" s="13">
        <v>28.771989999999999</v>
      </c>
      <c r="Z234" s="2">
        <v>30.603750000000002</v>
      </c>
      <c r="AA234" s="2">
        <f t="shared" si="160"/>
        <v>1.8317600000000027</v>
      </c>
      <c r="AB234" s="2">
        <f t="shared" si="161"/>
        <v>23.629549999999998</v>
      </c>
      <c r="AC234" s="2">
        <f t="shared" si="162"/>
        <v>7.1942881179326693E-2</v>
      </c>
      <c r="AD234" s="2">
        <f t="shared" si="163"/>
        <v>0.92805711882067332</v>
      </c>
      <c r="AE234" s="2">
        <f t="shared" si="164"/>
        <v>0.54592304668733815</v>
      </c>
      <c r="AF234" s="2">
        <f t="shared" si="165"/>
        <v>3.9275276880883191E-2</v>
      </c>
      <c r="AG234" s="2">
        <f t="shared" si="166"/>
        <v>25.461310000000001</v>
      </c>
      <c r="AH234" s="2">
        <v>15</v>
      </c>
      <c r="AI234">
        <f t="shared" si="167"/>
        <v>8.1888457003100719</v>
      </c>
      <c r="AL234" s="2"/>
    </row>
    <row r="235" spans="2:38" x14ac:dyDescent="0.35">
      <c r="B235" s="2"/>
      <c r="C235" s="2"/>
      <c r="D235" s="155"/>
      <c r="E235" s="104"/>
      <c r="F235" s="13"/>
      <c r="G235" s="49" t="s">
        <v>94</v>
      </c>
      <c r="H235" s="2">
        <f>_xlfn.STDEV.S(H210:H218)</f>
        <v>0.73642186829289602</v>
      </c>
      <c r="I235" s="2">
        <f t="shared" ref="I235:P235" si="169">_xlfn.STDEV.S(I210:I218)</f>
        <v>5.5697475486673609</v>
      </c>
      <c r="J235" s="2">
        <f t="shared" si="169"/>
        <v>7.9599568827501424E-2</v>
      </c>
      <c r="K235" s="2">
        <f t="shared" si="169"/>
        <v>7.9599568827501369E-2</v>
      </c>
      <c r="L235" s="2">
        <f t="shared" si="169"/>
        <v>0.10231723850506826</v>
      </c>
      <c r="M235" s="2">
        <f t="shared" si="169"/>
        <v>2.6677083924688608E-2</v>
      </c>
      <c r="N235" s="2">
        <f t="shared" si="169"/>
        <v>5.7587289323920636</v>
      </c>
      <c r="O235" s="2">
        <f t="shared" si="169"/>
        <v>6.3857480202226764</v>
      </c>
      <c r="P235" s="2">
        <f t="shared" si="169"/>
        <v>1.1054325650042289</v>
      </c>
      <c r="S235" s="2"/>
      <c r="T235" s="2"/>
      <c r="V235" s="287" t="s">
        <v>541</v>
      </c>
      <c r="W235" s="155">
        <v>-3</v>
      </c>
      <c r="Y235" s="13">
        <v>54.2333</v>
      </c>
      <c r="Z235" s="2">
        <v>56.332830000000001</v>
      </c>
      <c r="AA235" s="2">
        <f t="shared" si="160"/>
        <v>2.0995300000000015</v>
      </c>
      <c r="AB235" s="2">
        <f t="shared" si="161"/>
        <v>23.064089999999993</v>
      </c>
      <c r="AC235" s="2">
        <f t="shared" si="162"/>
        <v>8.3435133736719985E-2</v>
      </c>
      <c r="AD235" s="2">
        <f t="shared" si="163"/>
        <v>0.91656486626328004</v>
      </c>
      <c r="AE235" s="2">
        <f t="shared" si="164"/>
        <v>0.47629707601225002</v>
      </c>
      <c r="AF235" s="2">
        <f t="shared" si="165"/>
        <v>3.9739910235490769E-2</v>
      </c>
      <c r="AG235" s="2">
        <f t="shared" si="166"/>
        <v>25.163619999999995</v>
      </c>
      <c r="AH235" s="2">
        <v>18</v>
      </c>
      <c r="AI235">
        <f t="shared" si="167"/>
        <v>8.5733473682205013</v>
      </c>
      <c r="AL235" s="2"/>
    </row>
    <row r="236" spans="2:38" x14ac:dyDescent="0.35">
      <c r="B236" s="2"/>
      <c r="C236" s="2"/>
      <c r="D236" s="155"/>
      <c r="E236" s="104"/>
      <c r="F236" s="13"/>
      <c r="G236" s="49" t="s">
        <v>95</v>
      </c>
      <c r="H236" s="2">
        <f>H235/(SQRT(COUNT(H210:H218)))</f>
        <v>0.24547395609763201</v>
      </c>
      <c r="I236" s="2">
        <f t="shared" ref="I236:P236" si="170">I235/(SQRT(COUNT(I210:I218)))</f>
        <v>1.8565825162224536</v>
      </c>
      <c r="J236" s="2">
        <f t="shared" si="170"/>
        <v>2.6533189609167143E-2</v>
      </c>
      <c r="K236" s="2">
        <f t="shared" si="170"/>
        <v>2.6533189609167122E-2</v>
      </c>
      <c r="L236" s="2">
        <f t="shared" si="170"/>
        <v>3.4105746168356085E-2</v>
      </c>
      <c r="M236" s="2">
        <f t="shared" si="170"/>
        <v>8.8923613082295353E-3</v>
      </c>
      <c r="N236" s="2">
        <f t="shared" si="170"/>
        <v>1.9195763107973545</v>
      </c>
      <c r="O236" s="2">
        <f t="shared" si="170"/>
        <v>2.1285826734075588</v>
      </c>
      <c r="P236" s="2">
        <f t="shared" si="170"/>
        <v>0.36847752166807629</v>
      </c>
      <c r="S236" s="2"/>
      <c r="T236" s="2"/>
      <c r="V236" s="287" t="s">
        <v>541</v>
      </c>
      <c r="W236" s="155">
        <v>-3</v>
      </c>
      <c r="Y236" s="13">
        <v>79.396919999999994</v>
      </c>
      <c r="Z236" s="2">
        <v>80.623189999999994</v>
      </c>
      <c r="AA236" s="2">
        <f t="shared" si="160"/>
        <v>1.2262699999999995</v>
      </c>
      <c r="AB236" s="2">
        <f t="shared" si="161"/>
        <v>7.9716400000000078</v>
      </c>
      <c r="AC236" s="2">
        <f t="shared" si="162"/>
        <v>0.13332050433196221</v>
      </c>
      <c r="AD236" s="2">
        <f t="shared" si="163"/>
        <v>0.86667949566803781</v>
      </c>
      <c r="AE236" s="2">
        <f t="shared" si="164"/>
        <v>0.81548109307085748</v>
      </c>
      <c r="AF236" s="2">
        <f t="shared" si="165"/>
        <v>0.10872035060138653</v>
      </c>
      <c r="AG236" s="2">
        <f t="shared" si="166"/>
        <v>9.1979100000000074</v>
      </c>
      <c r="AH236" s="2">
        <v>11</v>
      </c>
      <c r="AI236">
        <f t="shared" si="167"/>
        <v>8.9702920237794324</v>
      </c>
      <c r="AL236" s="2"/>
    </row>
    <row r="237" spans="2:38" x14ac:dyDescent="0.35">
      <c r="B237" s="2"/>
      <c r="C237" s="2"/>
      <c r="D237" s="285"/>
      <c r="E237" s="104"/>
      <c r="F237" s="13"/>
      <c r="G237" s="49"/>
      <c r="H237" s="2"/>
      <c r="I237" s="2"/>
      <c r="J237" s="2"/>
      <c r="K237" s="2"/>
      <c r="L237" s="2"/>
      <c r="M237" s="2"/>
      <c r="N237" s="2"/>
      <c r="O237" s="2"/>
      <c r="P237" s="2"/>
      <c r="S237" s="2"/>
      <c r="T237" s="2"/>
      <c r="V237" s="287" t="s">
        <v>541</v>
      </c>
      <c r="W237" s="155">
        <v>-3</v>
      </c>
      <c r="Y237" s="13">
        <v>88.594830000000002</v>
      </c>
      <c r="Z237" s="2">
        <v>90.673990000000003</v>
      </c>
      <c r="AA237" s="2">
        <f t="shared" si="160"/>
        <v>2.0791600000000017</v>
      </c>
      <c r="AB237" s="2">
        <f t="shared" si="161"/>
        <v>19.413609999999991</v>
      </c>
      <c r="AC237" s="2">
        <f t="shared" si="162"/>
        <v>9.6737647125056586E-2</v>
      </c>
      <c r="AD237" s="2">
        <f t="shared" si="163"/>
        <v>0.90326235287494339</v>
      </c>
      <c r="AE237" s="2">
        <f t="shared" si="164"/>
        <v>0.48096346601512108</v>
      </c>
      <c r="AF237" s="2">
        <f t="shared" si="165"/>
        <v>4.652727405541493E-2</v>
      </c>
      <c r="AG237" s="2">
        <f t="shared" si="166"/>
        <v>21.492769999999993</v>
      </c>
      <c r="AH237" s="2">
        <v>16</v>
      </c>
      <c r="AI237">
        <f t="shared" si="167"/>
        <v>7.6954154562419372</v>
      </c>
      <c r="AL237" s="2"/>
    </row>
    <row r="238" spans="2:38" ht="16" thickBot="1" x14ac:dyDescent="0.4">
      <c r="B238" s="2"/>
      <c r="C238" s="2"/>
      <c r="D238" s="285"/>
      <c r="E238" s="104" t="s">
        <v>81</v>
      </c>
      <c r="F238" s="13"/>
      <c r="G238" s="13"/>
      <c r="H238" s="9" t="s">
        <v>3</v>
      </c>
      <c r="I238" s="9" t="s">
        <v>4</v>
      </c>
      <c r="J238" s="9" t="s">
        <v>5</v>
      </c>
      <c r="K238" s="9" t="s">
        <v>6</v>
      </c>
      <c r="L238" s="9" t="s">
        <v>7</v>
      </c>
      <c r="M238" s="9" t="s">
        <v>8</v>
      </c>
      <c r="N238" s="9" t="s">
        <v>9</v>
      </c>
      <c r="O238" s="9" t="s">
        <v>10</v>
      </c>
      <c r="P238" s="44" t="s">
        <v>139</v>
      </c>
      <c r="S238" s="2"/>
      <c r="T238" s="2"/>
      <c r="V238" s="287" t="s">
        <v>541</v>
      </c>
      <c r="W238" s="155">
        <v>-3</v>
      </c>
      <c r="Y238" s="13">
        <v>110.08759999999999</v>
      </c>
      <c r="Z238" s="2">
        <v>111.48698</v>
      </c>
      <c r="AA238" s="2">
        <f t="shared" si="160"/>
        <v>1.3993800000000078</v>
      </c>
      <c r="AB238" s="2">
        <f t="shared" si="161"/>
        <v>7.734099999999998</v>
      </c>
      <c r="AC238" s="2">
        <f t="shared" si="162"/>
        <v>0.15321432794509945</v>
      </c>
      <c r="AD238" s="2">
        <f t="shared" si="163"/>
        <v>0.84678567205490052</v>
      </c>
      <c r="AE238" s="2">
        <f t="shared" si="164"/>
        <v>0.71460218096585226</v>
      </c>
      <c r="AF238" s="2">
        <f t="shared" si="165"/>
        <v>0.1094872929047854</v>
      </c>
      <c r="AG238" s="2">
        <f t="shared" si="166"/>
        <v>9.1334800000000058</v>
      </c>
      <c r="AH238" s="2">
        <v>14</v>
      </c>
      <c r="AI238">
        <f t="shared" si="167"/>
        <v>10.004430533521932</v>
      </c>
      <c r="AL238" s="2"/>
    </row>
    <row r="239" spans="2:38" x14ac:dyDescent="0.35">
      <c r="B239" s="2"/>
      <c r="C239" s="2"/>
      <c r="D239" s="285"/>
      <c r="E239" s="104"/>
      <c r="F239" s="13"/>
      <c r="G239" s="49" t="s">
        <v>77</v>
      </c>
      <c r="H239" s="13">
        <f>AVERAGE(H210,H212:H213,H216,H218)</f>
        <v>2.1185300000000025</v>
      </c>
      <c r="I239" s="13">
        <f t="shared" ref="I239:P239" si="171">AVERAGE(I210,I212:I213,I216,I218)</f>
        <v>10.398683999999998</v>
      </c>
      <c r="J239" s="13">
        <f t="shared" si="171"/>
        <v>0.18589634863137866</v>
      </c>
      <c r="K239" s="13">
        <f t="shared" si="171"/>
        <v>0.81410365136862128</v>
      </c>
      <c r="L239" s="13">
        <f t="shared" si="171"/>
        <v>0.47626000860803896</v>
      </c>
      <c r="M239" s="13">
        <f t="shared" si="171"/>
        <v>8.8271504764699166E-2</v>
      </c>
      <c r="N239" s="13">
        <f t="shared" si="171"/>
        <v>12.517213999999999</v>
      </c>
      <c r="O239" s="13">
        <f t="shared" si="171"/>
        <v>19.399999999999999</v>
      </c>
      <c r="P239" s="13">
        <f t="shared" si="171"/>
        <v>9.1490393728816706</v>
      </c>
      <c r="S239" s="2"/>
      <c r="T239" s="2"/>
      <c r="V239" s="287" t="s">
        <v>541</v>
      </c>
      <c r="W239" s="155">
        <v>-3</v>
      </c>
      <c r="Y239" s="13">
        <v>119.22108</v>
      </c>
      <c r="Z239" s="2">
        <v>119.99353000000001</v>
      </c>
      <c r="AA239" s="2">
        <f t="shared" si="160"/>
        <v>0.7724500000000063</v>
      </c>
      <c r="AB239" s="2">
        <f t="shared" si="161"/>
        <v>8.0386299999999977</v>
      </c>
      <c r="AC239" s="2">
        <f t="shared" si="162"/>
        <v>8.7668027075001695E-2</v>
      </c>
      <c r="AD239" s="2">
        <f t="shared" si="163"/>
        <v>0.91233197292499835</v>
      </c>
      <c r="AE239" s="2">
        <f t="shared" si="164"/>
        <v>1.2945821736034588</v>
      </c>
      <c r="AF239" s="2">
        <f t="shared" si="165"/>
        <v>0.11349346504628258</v>
      </c>
      <c r="AG239" s="2">
        <f t="shared" si="166"/>
        <v>8.811080000000004</v>
      </c>
      <c r="AH239" s="2">
        <v>7</v>
      </c>
      <c r="AI239">
        <f t="shared" si="167"/>
        <v>9.0620752152242119</v>
      </c>
      <c r="AL239" s="2"/>
    </row>
    <row r="240" spans="2:38" x14ac:dyDescent="0.35">
      <c r="B240" s="2"/>
      <c r="C240" s="2"/>
      <c r="D240" s="285"/>
      <c r="E240" s="104"/>
      <c r="F240" s="13"/>
      <c r="G240" s="49" t="s">
        <v>94</v>
      </c>
      <c r="H240" s="2">
        <f>_xlfn.STDEV.S(H210,H212:H213,H216,H218)</f>
        <v>0.21371093526069329</v>
      </c>
      <c r="I240" s="2">
        <f t="shared" ref="I240:P240" si="172">_xlfn.STDEV.S(I210,I212:I213,I216,I218)</f>
        <v>5.3690804984028686</v>
      </c>
      <c r="J240" s="2">
        <f t="shared" si="172"/>
        <v>5.2058620024456326E-2</v>
      </c>
      <c r="K240" s="2">
        <f t="shared" si="172"/>
        <v>5.2058620024456374E-2</v>
      </c>
      <c r="L240" s="2">
        <f t="shared" si="172"/>
        <v>5.2649382714157977E-2</v>
      </c>
      <c r="M240" s="2">
        <f t="shared" si="172"/>
        <v>2.4199601718356455E-2</v>
      </c>
      <c r="N240" s="2">
        <f t="shared" si="172"/>
        <v>5.4206104895417493</v>
      </c>
      <c r="O240" s="2">
        <f t="shared" si="172"/>
        <v>3.0495901363953832</v>
      </c>
      <c r="P240" s="2">
        <f t="shared" si="172"/>
        <v>1.0053272946788421</v>
      </c>
      <c r="S240" s="2"/>
      <c r="T240" s="2"/>
      <c r="V240" s="287" t="s">
        <v>541</v>
      </c>
      <c r="W240" s="155">
        <v>0</v>
      </c>
      <c r="Y240" s="13">
        <v>128.03216</v>
      </c>
      <c r="Z240" s="2">
        <v>129.15065999999999</v>
      </c>
      <c r="AA240" s="2">
        <f t="shared" si="160"/>
        <v>1.1184999999999832</v>
      </c>
      <c r="AB240" s="2">
        <f t="shared" si="161"/>
        <v>13.063890000000015</v>
      </c>
      <c r="AC240" s="2">
        <f t="shared" si="162"/>
        <v>7.8865409849819629E-2</v>
      </c>
      <c r="AD240" s="2">
        <f t="shared" si="163"/>
        <v>0.9211345901501804</v>
      </c>
      <c r="AE240" s="2">
        <f t="shared" si="164"/>
        <v>0.89405453732679041</v>
      </c>
      <c r="AF240" s="2">
        <f t="shared" si="165"/>
        <v>7.0509977514368175E-2</v>
      </c>
      <c r="AG240" s="2">
        <f t="shared" si="166"/>
        <v>14.182389999999998</v>
      </c>
      <c r="AH240" s="2">
        <v>13</v>
      </c>
      <c r="AI240">
        <f t="shared" si="167"/>
        <v>11.622708985248275</v>
      </c>
      <c r="AK240" t="s">
        <v>475</v>
      </c>
      <c r="AL240" s="2"/>
    </row>
    <row r="241" spans="2:38" x14ac:dyDescent="0.35">
      <c r="B241" s="2"/>
      <c r="C241" s="2"/>
      <c r="D241" s="285"/>
      <c r="E241" s="104"/>
      <c r="F241" s="13"/>
      <c r="G241" s="49" t="s">
        <v>95</v>
      </c>
      <c r="H241" s="2">
        <f>H240/(SQRT(COUNT(H210,H212:H213,H216,H218)))</f>
        <v>9.5574435755593379E-2</v>
      </c>
      <c r="I241" s="2">
        <f t="shared" ref="I241:P241" si="173">I240/(SQRT(COUNT(I210,I212:I213,I216,I218)))</f>
        <v>2.4011257942194528</v>
      </c>
      <c r="J241" s="2">
        <f t="shared" si="173"/>
        <v>2.328132263790322E-2</v>
      </c>
      <c r="K241" s="2">
        <f t="shared" si="173"/>
        <v>2.3281322637903241E-2</v>
      </c>
      <c r="L241" s="2">
        <f t="shared" si="173"/>
        <v>2.3545519744451921E-2</v>
      </c>
      <c r="M241" s="2">
        <f t="shared" si="173"/>
        <v>1.0822390894133151E-2</v>
      </c>
      <c r="N241" s="2">
        <f t="shared" si="173"/>
        <v>2.4241707068327529</v>
      </c>
      <c r="O241" s="2">
        <f t="shared" si="173"/>
        <v>1.3638181696985865</v>
      </c>
      <c r="P241" s="2">
        <f t="shared" si="173"/>
        <v>0.44959603410757065</v>
      </c>
      <c r="S241" s="2"/>
      <c r="T241" s="2"/>
      <c r="V241" s="287" t="s">
        <v>541</v>
      </c>
      <c r="W241" s="155">
        <v>0</v>
      </c>
      <c r="Y241" s="13">
        <v>142.21455</v>
      </c>
      <c r="Z241" s="2">
        <v>143.34719999999999</v>
      </c>
      <c r="AA241" s="2">
        <f t="shared" si="160"/>
        <v>1.1326499999999839</v>
      </c>
      <c r="AB241" s="2">
        <f t="shared" si="161"/>
        <v>5.1073500000000251</v>
      </c>
      <c r="AC241" s="2">
        <f t="shared" si="162"/>
        <v>0.18151442307692023</v>
      </c>
      <c r="AD241" s="2">
        <f t="shared" si="163"/>
        <v>0.81848557692307977</v>
      </c>
      <c r="AE241" s="2">
        <f t="shared" si="164"/>
        <v>0.88288526905929821</v>
      </c>
      <c r="AF241" s="2">
        <f t="shared" si="165"/>
        <v>0.16025641025641002</v>
      </c>
      <c r="AG241" s="2">
        <f t="shared" si="166"/>
        <v>6.2400000000000091</v>
      </c>
      <c r="AH241" s="2">
        <v>16</v>
      </c>
      <c r="AI241">
        <f t="shared" si="167"/>
        <v>14.126164304948771</v>
      </c>
      <c r="AL241" s="2"/>
    </row>
    <row r="242" spans="2:38" x14ac:dyDescent="0.35">
      <c r="B242" s="2"/>
      <c r="C242" s="2"/>
      <c r="D242" s="285"/>
      <c r="E242" s="104"/>
      <c r="F242" s="13"/>
      <c r="G242" s="49"/>
      <c r="H242" s="2"/>
      <c r="I242" s="2"/>
      <c r="J242" s="2"/>
      <c r="K242" s="2"/>
      <c r="L242" s="2"/>
      <c r="M242" s="2"/>
      <c r="N242" s="2"/>
      <c r="O242" s="2"/>
      <c r="P242" s="2"/>
      <c r="S242" s="2"/>
      <c r="T242" s="2"/>
      <c r="V242" s="287" t="s">
        <v>541</v>
      </c>
      <c r="W242" s="155">
        <v>0</v>
      </c>
      <c r="Y242" s="13">
        <v>148.45455000000001</v>
      </c>
      <c r="Z242" s="2">
        <v>150.52510000000001</v>
      </c>
      <c r="AA242" s="2">
        <f t="shared" si="160"/>
        <v>2.0705499999999972</v>
      </c>
      <c r="AB242" s="2">
        <f t="shared" si="161"/>
        <v>21.551639999999992</v>
      </c>
      <c r="AC242" s="2">
        <f t="shared" si="162"/>
        <v>8.765275361852555E-2</v>
      </c>
      <c r="AD242" s="2">
        <f t="shared" si="163"/>
        <v>0.91234724638147446</v>
      </c>
      <c r="AE242" s="2">
        <f t="shared" si="164"/>
        <v>0.4829634638139631</v>
      </c>
      <c r="AF242" s="2">
        <f t="shared" si="165"/>
        <v>4.2333077500434989E-2</v>
      </c>
      <c r="AG242" s="2">
        <f t="shared" si="166"/>
        <v>23.622189999999989</v>
      </c>
      <c r="AH242" s="2">
        <v>17</v>
      </c>
      <c r="AI242">
        <f t="shared" si="167"/>
        <v>8.2103788848373735</v>
      </c>
      <c r="AL242" s="2"/>
    </row>
    <row r="243" spans="2:38" x14ac:dyDescent="0.35">
      <c r="B243" s="2"/>
      <c r="C243" s="2"/>
      <c r="D243" s="285"/>
      <c r="E243" s="104"/>
      <c r="S243" s="2"/>
      <c r="T243" s="2"/>
      <c r="V243" s="287" t="s">
        <v>541</v>
      </c>
      <c r="W243" s="155">
        <v>0</v>
      </c>
      <c r="Y243" s="13">
        <v>172.07674</v>
      </c>
      <c r="Z243" s="2">
        <v>173.25418999999999</v>
      </c>
      <c r="AA243" s="2">
        <f t="shared" si="160"/>
        <v>1.1774499999999932</v>
      </c>
      <c r="AB243" s="2">
        <f t="shared" si="161"/>
        <v>6.8944299999999998</v>
      </c>
      <c r="AC243" s="2">
        <f t="shared" si="162"/>
        <v>0.14587060263532092</v>
      </c>
      <c r="AD243" s="2">
        <f t="shared" si="163"/>
        <v>0.85412939736467908</v>
      </c>
      <c r="AE243" s="2">
        <f t="shared" si="164"/>
        <v>0.84929296360780138</v>
      </c>
      <c r="AF243" s="2">
        <f t="shared" si="165"/>
        <v>0.12388687641540767</v>
      </c>
      <c r="AG243" s="2">
        <f t="shared" si="166"/>
        <v>8.0718799999999931</v>
      </c>
      <c r="AH243" s="2">
        <v>25</v>
      </c>
      <c r="AI243">
        <f t="shared" si="167"/>
        <v>21.232324090195036</v>
      </c>
      <c r="AL243" s="2"/>
    </row>
    <row r="244" spans="2:38" ht="16" thickBot="1" x14ac:dyDescent="0.4">
      <c r="B244" s="2"/>
      <c r="C244" s="2"/>
      <c r="D244" s="285"/>
      <c r="E244" s="104" t="s">
        <v>82</v>
      </c>
      <c r="F244" s="13"/>
      <c r="G244" s="13"/>
      <c r="H244" s="9" t="s">
        <v>3</v>
      </c>
      <c r="I244" s="9" t="s">
        <v>4</v>
      </c>
      <c r="J244" s="9" t="s">
        <v>5</v>
      </c>
      <c r="K244" s="9" t="s">
        <v>6</v>
      </c>
      <c r="L244" s="9" t="s">
        <v>7</v>
      </c>
      <c r="M244" s="9" t="s">
        <v>8</v>
      </c>
      <c r="N244" s="9" t="s">
        <v>9</v>
      </c>
      <c r="O244" s="9" t="s">
        <v>10</v>
      </c>
      <c r="P244" s="44" t="s">
        <v>139</v>
      </c>
      <c r="S244" s="2"/>
      <c r="V244" s="287" t="s">
        <v>541</v>
      </c>
      <c r="W244" s="155">
        <v>0</v>
      </c>
      <c r="Y244" s="13">
        <v>180.14861999999999</v>
      </c>
      <c r="Z244" s="2">
        <v>182.12963999999999</v>
      </c>
      <c r="AA244" s="2">
        <f t="shared" si="160"/>
        <v>1.9810200000000009</v>
      </c>
      <c r="AB244" s="2">
        <f t="shared" si="161"/>
        <v>21.066810000000004</v>
      </c>
      <c r="AC244" s="2">
        <f t="shared" si="162"/>
        <v>8.5952560392887331E-2</v>
      </c>
      <c r="AD244" s="2">
        <f t="shared" si="163"/>
        <v>0.91404743960711266</v>
      </c>
      <c r="AE244" s="2">
        <f t="shared" si="164"/>
        <v>0.50479046147943962</v>
      </c>
      <c r="AF244" s="2">
        <f t="shared" si="165"/>
        <v>4.3388032626065005E-2</v>
      </c>
      <c r="AG244" s="2">
        <f t="shared" si="166"/>
        <v>23.047830000000005</v>
      </c>
      <c r="AH244" s="2">
        <v>30</v>
      </c>
      <c r="AI244">
        <f t="shared" si="167"/>
        <v>15.143713844383189</v>
      </c>
      <c r="AL244" s="2"/>
    </row>
    <row r="245" spans="2:38" x14ac:dyDescent="0.35">
      <c r="B245" s="2"/>
      <c r="C245" s="2"/>
      <c r="D245" s="285"/>
      <c r="E245" s="104"/>
      <c r="F245" s="13"/>
      <c r="G245" s="49" t="s">
        <v>77</v>
      </c>
      <c r="H245" s="13">
        <f>AVERAGE(H211,H214:H215,H217)</f>
        <v>3.1796450000000021</v>
      </c>
      <c r="I245" s="13">
        <f t="shared" ref="I245:P245" si="174">AVERAGE(I211,I214:I215,I217)</f>
        <v>11.806232499999997</v>
      </c>
      <c r="J245" s="13">
        <f t="shared" si="174"/>
        <v>0.23940137212760765</v>
      </c>
      <c r="K245" s="13">
        <f t="shared" si="174"/>
        <v>0.76059862787239241</v>
      </c>
      <c r="L245" s="13">
        <f t="shared" si="174"/>
        <v>0.33041895124590581</v>
      </c>
      <c r="M245" s="13">
        <f t="shared" si="174"/>
        <v>7.7231422157226795E-2</v>
      </c>
      <c r="N245" s="13">
        <f t="shared" si="174"/>
        <v>14.985877499999999</v>
      </c>
      <c r="O245" s="13">
        <f t="shared" si="174"/>
        <v>26.5</v>
      </c>
      <c r="P245" s="13">
        <f t="shared" si="174"/>
        <v>8.2473682099471812</v>
      </c>
      <c r="S245" s="2"/>
      <c r="V245" s="287" t="s">
        <v>541</v>
      </c>
      <c r="W245" s="155">
        <v>0</v>
      </c>
      <c r="Y245" s="13">
        <v>203.19645</v>
      </c>
      <c r="Z245" s="2">
        <v>205.27280999999999</v>
      </c>
      <c r="AA245" s="2">
        <f t="shared" si="160"/>
        <v>2.076359999999994</v>
      </c>
      <c r="AB245" s="2">
        <f t="shared" si="161"/>
        <v>17.537990000000008</v>
      </c>
      <c r="AC245" s="2">
        <f t="shared" si="162"/>
        <v>0.10585923061432032</v>
      </c>
      <c r="AD245" s="2">
        <f t="shared" si="163"/>
        <v>0.89414076938567966</v>
      </c>
      <c r="AE245" s="2">
        <f t="shared" si="164"/>
        <v>0.48161205185998712</v>
      </c>
      <c r="AF245" s="2">
        <f t="shared" si="165"/>
        <v>5.098308126448238E-2</v>
      </c>
      <c r="AG245" s="2">
        <f t="shared" si="166"/>
        <v>19.614350000000002</v>
      </c>
      <c r="AH245" s="2">
        <v>18</v>
      </c>
      <c r="AI245">
        <f t="shared" si="167"/>
        <v>8.6690169334797691</v>
      </c>
      <c r="AL245" s="2"/>
    </row>
    <row r="246" spans="2:38" x14ac:dyDescent="0.35">
      <c r="C246" s="2"/>
      <c r="D246" s="285"/>
      <c r="E246" s="104"/>
      <c r="F246" s="13"/>
      <c r="G246" s="49" t="s">
        <v>94</v>
      </c>
      <c r="H246" s="2">
        <f>_xlfn.STDEV.S(H211,H214:H215,H217)</f>
        <v>0.74245164801038488</v>
      </c>
      <c r="I246" s="2">
        <f t="shared" ref="I246:P246" si="175">_xlfn.STDEV.S(I211,I214:I215,I217)</f>
        <v>6.5438507988256918</v>
      </c>
      <c r="J246" s="2">
        <f t="shared" si="175"/>
        <v>0.10565128347127899</v>
      </c>
      <c r="K246" s="2">
        <f t="shared" si="175"/>
        <v>0.10565128347127832</v>
      </c>
      <c r="L246" s="2">
        <f t="shared" si="175"/>
        <v>9.2008875378083207E-2</v>
      </c>
      <c r="M246" s="2">
        <f t="shared" si="175"/>
        <v>3.2041637011874839E-2</v>
      </c>
      <c r="N246" s="2">
        <f t="shared" si="175"/>
        <v>6.6890136615167908</v>
      </c>
      <c r="O246" s="2">
        <f t="shared" si="175"/>
        <v>7.6811457478686078</v>
      </c>
      <c r="P246" s="2">
        <f t="shared" si="175"/>
        <v>1.1440318338434474</v>
      </c>
      <c r="S246" s="2"/>
      <c r="V246" s="287" t="s">
        <v>541</v>
      </c>
      <c r="W246" s="155">
        <v>0</v>
      </c>
      <c r="Y246" s="13">
        <v>222.8108</v>
      </c>
      <c r="Z246" s="2">
        <v>224.22327000000001</v>
      </c>
      <c r="AA246" s="2">
        <f t="shared" si="160"/>
        <v>1.4124700000000132</v>
      </c>
      <c r="AB246" s="2">
        <f t="shared" si="161"/>
        <v>9.8285299999999722</v>
      </c>
      <c r="AC246" s="2">
        <f t="shared" si="162"/>
        <v>0.12565341161818477</v>
      </c>
      <c r="AD246" s="2">
        <f t="shared" si="163"/>
        <v>0.87434658838181523</v>
      </c>
      <c r="AE246" s="2">
        <f t="shared" si="164"/>
        <v>0.70797963850558998</v>
      </c>
      <c r="AF246" s="2">
        <f t="shared" si="165"/>
        <v>8.8960056934436552E-2</v>
      </c>
      <c r="AG246" s="2">
        <f t="shared" si="166"/>
        <v>11.240999999999985</v>
      </c>
      <c r="AH246" s="2">
        <v>29</v>
      </c>
      <c r="AI246">
        <f t="shared" si="167"/>
        <v>20.531409516662109</v>
      </c>
      <c r="AL246" s="2"/>
    </row>
    <row r="247" spans="2:38" x14ac:dyDescent="0.35">
      <c r="C247" s="2"/>
      <c r="D247" s="285"/>
      <c r="E247" s="104"/>
      <c r="F247" s="13"/>
      <c r="G247" s="49" t="s">
        <v>95</v>
      </c>
      <c r="H247" s="2">
        <f>H246/(SQRT(COUNT(H211,H214:H215,H217)))</f>
        <v>0.37122582400519244</v>
      </c>
      <c r="I247" s="2">
        <f t="shared" ref="I247:P247" si="176">I246/(SQRT(COUNT(I211,I214:I215,I217)))</f>
        <v>3.2719253994128459</v>
      </c>
      <c r="J247" s="2">
        <f t="shared" si="176"/>
        <v>5.2825641735639493E-2</v>
      </c>
      <c r="K247" s="2">
        <f t="shared" si="176"/>
        <v>5.282564173563916E-2</v>
      </c>
      <c r="L247" s="2">
        <f t="shared" si="176"/>
        <v>4.6004437689041604E-2</v>
      </c>
      <c r="M247" s="2">
        <f t="shared" si="176"/>
        <v>1.602081850593742E-2</v>
      </c>
      <c r="N247" s="2">
        <f t="shared" si="176"/>
        <v>3.3445068307583954</v>
      </c>
      <c r="O247" s="2">
        <f t="shared" si="176"/>
        <v>3.8405728739343039</v>
      </c>
      <c r="P247" s="2">
        <f t="shared" si="176"/>
        <v>0.57201591692172371</v>
      </c>
      <c r="S247" s="2"/>
      <c r="V247" s="287" t="s">
        <v>541</v>
      </c>
      <c r="W247" s="155">
        <v>0</v>
      </c>
      <c r="Y247" s="13">
        <v>234.05179999999999</v>
      </c>
      <c r="Z247" s="2">
        <v>235.93595999999999</v>
      </c>
      <c r="AA247" s="2">
        <f t="shared" si="160"/>
        <v>1.8841600000000085</v>
      </c>
      <c r="AB247" s="2">
        <f t="shared" si="161"/>
        <v>-235.93595999999999</v>
      </c>
      <c r="AC247" s="2">
        <f t="shared" si="162"/>
        <v>-8.0501837627397384E-3</v>
      </c>
      <c r="AD247" s="2">
        <f t="shared" si="163"/>
        <v>1.0080501837627398</v>
      </c>
      <c r="AE247" s="2">
        <f t="shared" si="164"/>
        <v>0.53074048913043237</v>
      </c>
      <c r="AF247" s="2">
        <f t="shared" si="165"/>
        <v>-4.2725584678263533E-3</v>
      </c>
      <c r="AG247" s="2">
        <f t="shared" si="166"/>
        <v>-234.05179999999999</v>
      </c>
      <c r="AH247" s="2">
        <v>36</v>
      </c>
      <c r="AI247">
        <f t="shared" si="167"/>
        <v>19.106657608695567</v>
      </c>
      <c r="AL247" s="2"/>
    </row>
    <row r="248" spans="2:38" x14ac:dyDescent="0.35">
      <c r="C248" s="2"/>
      <c r="D248" s="285"/>
      <c r="E248" s="104"/>
      <c r="F248" s="13"/>
      <c r="G248" s="49"/>
      <c r="H248" s="2"/>
      <c r="I248" s="2"/>
      <c r="J248" s="2"/>
      <c r="K248" s="2"/>
      <c r="L248" s="2"/>
      <c r="M248" s="2"/>
      <c r="N248" s="2"/>
      <c r="O248" s="2"/>
      <c r="P248" s="2"/>
      <c r="S248" s="2"/>
      <c r="W248" s="155"/>
      <c r="Y248" s="13"/>
      <c r="Z248" s="13"/>
      <c r="AA248" s="2"/>
      <c r="AB248" s="2"/>
      <c r="AC248" s="2"/>
      <c r="AD248" s="2"/>
      <c r="AE248" s="2"/>
      <c r="AF248" s="2"/>
      <c r="AG248" s="2"/>
      <c r="AH248" s="2"/>
      <c r="AL248" s="2"/>
    </row>
    <row r="249" spans="2:38" x14ac:dyDescent="0.35">
      <c r="C249" s="2"/>
      <c r="D249" s="285"/>
      <c r="E249" s="104"/>
      <c r="F249" s="13"/>
      <c r="G249" s="49"/>
      <c r="H249" s="2"/>
      <c r="I249" s="2"/>
      <c r="J249" s="2"/>
      <c r="K249" s="2"/>
      <c r="L249" s="2"/>
      <c r="M249" s="2"/>
      <c r="N249" s="2"/>
      <c r="O249" s="2"/>
      <c r="P249" s="2"/>
      <c r="S249" s="2"/>
      <c r="W249" s="155"/>
      <c r="Y249" s="13"/>
      <c r="Z249" s="13"/>
      <c r="AA249" s="2"/>
      <c r="AB249" s="2"/>
      <c r="AC249" s="2"/>
      <c r="AD249" s="2"/>
      <c r="AE249" s="2"/>
      <c r="AF249" s="2"/>
      <c r="AG249" s="2"/>
      <c r="AH249" s="2"/>
      <c r="AL249" s="2"/>
    </row>
    <row r="250" spans="2:38" ht="16" thickBot="1" x14ac:dyDescent="0.4">
      <c r="C250" s="2"/>
      <c r="D250" s="155"/>
      <c r="E250" s="104"/>
      <c r="S250" s="2"/>
      <c r="W250" s="155"/>
      <c r="Y250" s="13"/>
      <c r="Z250" s="13"/>
      <c r="AA250" s="9" t="s">
        <v>3</v>
      </c>
      <c r="AB250" s="9" t="s">
        <v>4</v>
      </c>
      <c r="AC250" s="9" t="s">
        <v>5</v>
      </c>
      <c r="AD250" s="9" t="s">
        <v>6</v>
      </c>
      <c r="AE250" s="9" t="s">
        <v>7</v>
      </c>
      <c r="AF250" s="9" t="s">
        <v>8</v>
      </c>
      <c r="AG250" s="9" t="s">
        <v>9</v>
      </c>
      <c r="AH250" s="9" t="s">
        <v>10</v>
      </c>
      <c r="AI250" s="44" t="s">
        <v>139</v>
      </c>
      <c r="AL250" s="2"/>
    </row>
    <row r="251" spans="2:38" x14ac:dyDescent="0.35">
      <c r="C251" s="2"/>
      <c r="D251" s="155"/>
      <c r="E251" s="104"/>
      <c r="S251" s="2"/>
      <c r="W251" s="155"/>
      <c r="X251" s="104" t="s">
        <v>473</v>
      </c>
      <c r="Y251" s="13"/>
      <c r="Z251" s="49" t="s">
        <v>77</v>
      </c>
      <c r="AA251" s="13">
        <f>AVERAGE(AA232:AA239)</f>
        <v>1.5965512500000025</v>
      </c>
      <c r="AB251" s="13">
        <f t="shared" ref="AB251:AI251" si="177">AVERAGE(AB232:AB239)</f>
        <v>14.210239999999997</v>
      </c>
      <c r="AC251" s="13">
        <f t="shared" si="177"/>
        <v>0.1095210250888842</v>
      </c>
      <c r="AD251" s="13">
        <f t="shared" si="177"/>
        <v>0.89047897491111572</v>
      </c>
      <c r="AE251" s="13">
        <f t="shared" si="177"/>
        <v>0.70516601384084043</v>
      </c>
      <c r="AF251" s="13">
        <f t="shared" si="177"/>
        <v>7.785176030612545E-2</v>
      </c>
      <c r="AG251" s="13">
        <f t="shared" si="177"/>
        <v>15.80679125</v>
      </c>
      <c r="AH251" s="13">
        <f t="shared" si="177"/>
        <v>13.875</v>
      </c>
      <c r="AI251" s="13">
        <f t="shared" si="177"/>
        <v>8.8224874323859765</v>
      </c>
      <c r="AL251" s="2"/>
    </row>
    <row r="252" spans="2:38" ht="16" thickBot="1" x14ac:dyDescent="0.4">
      <c r="C252" s="2"/>
      <c r="D252" s="155"/>
      <c r="E252" s="104"/>
      <c r="G252" s="13"/>
      <c r="H252" s="9" t="s">
        <v>3</v>
      </c>
      <c r="I252" s="9" t="s">
        <v>4</v>
      </c>
      <c r="J252" s="9" t="s">
        <v>5</v>
      </c>
      <c r="K252" s="9" t="s">
        <v>6</v>
      </c>
      <c r="L252" s="9" t="s">
        <v>7</v>
      </c>
      <c r="M252" s="9" t="s">
        <v>8</v>
      </c>
      <c r="N252" s="9" t="s">
        <v>9</v>
      </c>
      <c r="O252" s="9" t="s">
        <v>10</v>
      </c>
      <c r="P252" s="44" t="s">
        <v>139</v>
      </c>
      <c r="S252" s="2"/>
      <c r="W252" s="155"/>
      <c r="X252" s="104"/>
      <c r="Y252" s="13"/>
      <c r="Z252" s="49" t="s">
        <v>94</v>
      </c>
      <c r="AA252" s="2">
        <f>_xlfn.STDEV.S(AA232:AA239)</f>
        <v>0.52734437483454921</v>
      </c>
      <c r="AB252" s="2">
        <f t="shared" ref="AB252:AI252" si="178">_xlfn.STDEV.S(AB232:AB239)</f>
        <v>7.1321772124966971</v>
      </c>
      <c r="AC252" s="2">
        <f t="shared" si="178"/>
        <v>2.8562235833295969E-2</v>
      </c>
      <c r="AD252" s="2">
        <f t="shared" si="178"/>
        <v>2.8562235833296003E-2</v>
      </c>
      <c r="AE252" s="2">
        <f t="shared" si="178"/>
        <v>0.28636744969352496</v>
      </c>
      <c r="AF252" s="2">
        <f t="shared" si="178"/>
        <v>3.5303680061655636E-2</v>
      </c>
      <c r="AG252" s="2">
        <f t="shared" si="178"/>
        <v>7.5713476980303565</v>
      </c>
      <c r="AH252" s="2">
        <f t="shared" si="178"/>
        <v>4.0155946010522525</v>
      </c>
      <c r="AI252" s="2">
        <f t="shared" si="178"/>
        <v>0.72052694528963379</v>
      </c>
      <c r="AL252" s="2"/>
    </row>
    <row r="253" spans="2:38" x14ac:dyDescent="0.35">
      <c r="C253" s="2"/>
      <c r="D253" s="155"/>
      <c r="E253" s="104" t="s">
        <v>419</v>
      </c>
      <c r="G253" s="49" t="s">
        <v>77</v>
      </c>
      <c r="H253" s="13">
        <f t="shared" ref="H253:P253" si="179">AVERAGE(H219:H227)</f>
        <v>2.928126666666663</v>
      </c>
      <c r="I253" s="13">
        <f t="shared" si="179"/>
        <v>10.684758888888892</v>
      </c>
      <c r="J253" s="13">
        <f t="shared" si="179"/>
        <v>0.23197765282155583</v>
      </c>
      <c r="K253" s="13">
        <f t="shared" si="179"/>
        <v>0.7680223471784442</v>
      </c>
      <c r="L253" s="13">
        <f t="shared" si="179"/>
        <v>0.3625395688871651</v>
      </c>
      <c r="M253" s="13">
        <f t="shared" si="179"/>
        <v>8.1894293493663395E-2</v>
      </c>
      <c r="N253" s="13">
        <f t="shared" si="179"/>
        <v>13.612885555555556</v>
      </c>
      <c r="O253" s="13">
        <f t="shared" si="179"/>
        <v>23</v>
      </c>
      <c r="P253" s="13">
        <f t="shared" si="179"/>
        <v>7.850860272261837</v>
      </c>
      <c r="S253" s="2"/>
      <c r="W253" s="155"/>
      <c r="X253" s="104"/>
      <c r="Y253" s="13"/>
      <c r="Z253" s="49" t="s">
        <v>95</v>
      </c>
      <c r="AA253" s="2">
        <f>AA252/(SQRT(COUNT(AA232:AA239)))</f>
        <v>0.18644439173304514</v>
      </c>
      <c r="AB253" s="2">
        <f t="shared" ref="AB253:AI253" si="180">AB252/(SQRT(COUNT(AB232:AB239)))</f>
        <v>2.5216054357902911</v>
      </c>
      <c r="AC253" s="2">
        <f t="shared" si="180"/>
        <v>1.0098275321786488E-2</v>
      </c>
      <c r="AD253" s="2">
        <f t="shared" si="180"/>
        <v>1.0098275321786501E-2</v>
      </c>
      <c r="AE253" s="2">
        <f t="shared" si="180"/>
        <v>0.10124618279469449</v>
      </c>
      <c r="AF253" s="2">
        <f t="shared" si="180"/>
        <v>1.2481735786218506E-2</v>
      </c>
      <c r="AG253" s="2">
        <f t="shared" si="180"/>
        <v>2.6768756499992108</v>
      </c>
      <c r="AH253" s="2">
        <f t="shared" si="180"/>
        <v>1.4197270864500682</v>
      </c>
      <c r="AI253" s="2">
        <f t="shared" si="180"/>
        <v>0.25474474452096429</v>
      </c>
      <c r="AL253" s="2"/>
    </row>
    <row r="254" spans="2:38" x14ac:dyDescent="0.35">
      <c r="C254" s="2"/>
      <c r="D254" s="206"/>
      <c r="G254" s="49" t="s">
        <v>94</v>
      </c>
      <c r="H254" s="2">
        <f t="shared" ref="H254:P254" si="181">_xlfn.STDEV.S(H219:H227)</f>
        <v>0.75621353254222945</v>
      </c>
      <c r="I254" s="2">
        <f t="shared" si="181"/>
        <v>5.2468110840977555</v>
      </c>
      <c r="J254" s="2">
        <f t="shared" si="181"/>
        <v>7.1859346498951218E-2</v>
      </c>
      <c r="K254" s="2">
        <f t="shared" si="181"/>
        <v>7.1859346498951385E-2</v>
      </c>
      <c r="L254" s="2">
        <f t="shared" si="181"/>
        <v>9.2573277336875426E-2</v>
      </c>
      <c r="M254" s="2">
        <f t="shared" si="181"/>
        <v>2.4431380147859682E-2</v>
      </c>
      <c r="N254" s="2">
        <f t="shared" si="181"/>
        <v>5.4892741025706409</v>
      </c>
      <c r="O254" s="2">
        <f t="shared" si="181"/>
        <v>6.2649820430708338</v>
      </c>
      <c r="P254" s="2">
        <f t="shared" si="181"/>
        <v>0.97383165742706335</v>
      </c>
      <c r="Q254" s="2"/>
      <c r="R254" s="2"/>
      <c r="S254" s="2"/>
      <c r="W254" s="155"/>
      <c r="X254" s="2"/>
      <c r="Y254" s="2"/>
      <c r="Z254" s="2"/>
      <c r="AA254" s="2"/>
      <c r="AB254" s="2"/>
      <c r="AC254" s="2"/>
      <c r="AD254" s="2"/>
      <c r="AE254" s="2"/>
      <c r="AF254" s="2"/>
      <c r="AG254" s="2"/>
      <c r="AH254" s="2"/>
      <c r="AI254" s="2"/>
      <c r="AL254" s="2"/>
    </row>
    <row r="255" spans="2:38" x14ac:dyDescent="0.35">
      <c r="C255" s="2"/>
      <c r="D255" s="206"/>
      <c r="G255" s="49" t="s">
        <v>95</v>
      </c>
      <c r="H255" s="2">
        <f t="shared" ref="H255:P255" si="182">H254/(SQRT(COUNT(H219:H227)))</f>
        <v>0.25207117751407648</v>
      </c>
      <c r="I255" s="2">
        <f t="shared" si="182"/>
        <v>1.7489370280325851</v>
      </c>
      <c r="J255" s="2">
        <f t="shared" si="182"/>
        <v>2.3953115499650405E-2</v>
      </c>
      <c r="K255" s="2">
        <f t="shared" si="182"/>
        <v>2.395311549965046E-2</v>
      </c>
      <c r="L255" s="2">
        <f t="shared" si="182"/>
        <v>3.085775911229181E-2</v>
      </c>
      <c r="M255" s="2">
        <f t="shared" si="182"/>
        <v>8.143793382619894E-3</v>
      </c>
      <c r="N255" s="2">
        <f t="shared" si="182"/>
        <v>1.8297580341902135</v>
      </c>
      <c r="O255" s="2">
        <f t="shared" si="182"/>
        <v>2.0883273476902779</v>
      </c>
      <c r="P255" s="2">
        <f t="shared" si="182"/>
        <v>0.32461055247568776</v>
      </c>
      <c r="Q255" s="2"/>
      <c r="R255" s="2"/>
      <c r="S255" s="2"/>
      <c r="W255" s="155"/>
      <c r="X255" s="2"/>
      <c r="Y255" s="2"/>
      <c r="Z255" s="2"/>
      <c r="AA255" s="2"/>
      <c r="AB255" s="2"/>
      <c r="AC255" s="2"/>
      <c r="AD255" s="2"/>
      <c r="AE255" s="2"/>
      <c r="AF255" s="2"/>
      <c r="AG255" s="2"/>
      <c r="AH255" s="2"/>
      <c r="AI255" s="2"/>
      <c r="AL255" s="2"/>
    </row>
    <row r="256" spans="2:38" ht="16" thickBot="1" x14ac:dyDescent="0.4">
      <c r="C256" s="2"/>
      <c r="D256" s="284"/>
      <c r="G256" s="49"/>
      <c r="H256" s="2"/>
      <c r="I256" s="2"/>
      <c r="J256" s="2"/>
      <c r="K256" s="2"/>
      <c r="L256" s="2"/>
      <c r="M256" s="2"/>
      <c r="N256" s="2"/>
      <c r="O256" s="2"/>
      <c r="P256" s="2"/>
      <c r="Q256" s="2"/>
      <c r="R256" s="2"/>
      <c r="S256" s="2"/>
      <c r="W256" s="155"/>
      <c r="Y256" s="13"/>
      <c r="Z256" s="13"/>
      <c r="AA256" s="9" t="s">
        <v>3</v>
      </c>
      <c r="AB256" s="9" t="s">
        <v>4</v>
      </c>
      <c r="AC256" s="9" t="s">
        <v>5</v>
      </c>
      <c r="AD256" s="9" t="s">
        <v>6</v>
      </c>
      <c r="AE256" s="9" t="s">
        <v>7</v>
      </c>
      <c r="AF256" s="9" t="s">
        <v>8</v>
      </c>
      <c r="AG256" s="9" t="s">
        <v>9</v>
      </c>
      <c r="AH256" s="9" t="s">
        <v>10</v>
      </c>
      <c r="AI256" s="44" t="s">
        <v>139</v>
      </c>
      <c r="AL256" s="2"/>
    </row>
    <row r="257" spans="3:38" x14ac:dyDescent="0.35">
      <c r="C257" s="2"/>
      <c r="D257" s="284"/>
      <c r="G257" s="49"/>
      <c r="H257" s="2"/>
      <c r="I257" s="2"/>
      <c r="J257" s="2"/>
      <c r="K257" s="2"/>
      <c r="L257" s="2"/>
      <c r="M257" s="2"/>
      <c r="N257" s="2"/>
      <c r="O257" s="2"/>
      <c r="P257" s="2"/>
      <c r="Q257" s="2"/>
      <c r="R257" s="2"/>
      <c r="S257" s="2"/>
      <c r="W257" s="155"/>
      <c r="X257" s="104" t="s">
        <v>410</v>
      </c>
      <c r="Y257" s="13"/>
      <c r="Z257" s="49" t="s">
        <v>77</v>
      </c>
      <c r="AA257" s="13">
        <f>AVERAGE(AA240:AA246)</f>
        <v>1.5669999999999951</v>
      </c>
      <c r="AB257" s="13">
        <f t="shared" ref="AB257:AI257" si="183">AVERAGE(AB240:AB246)</f>
        <v>13.578662857142859</v>
      </c>
      <c r="AC257" s="13">
        <f t="shared" si="183"/>
        <v>0.11590977025799697</v>
      </c>
      <c r="AD257" s="13">
        <f t="shared" si="183"/>
        <v>0.88409022974200302</v>
      </c>
      <c r="AE257" s="13">
        <f t="shared" si="183"/>
        <v>0.6862254836646956</v>
      </c>
      <c r="AF257" s="13">
        <f t="shared" si="183"/>
        <v>8.2902501787372115E-2</v>
      </c>
      <c r="AG257" s="13">
        <f t="shared" si="183"/>
        <v>15.145662857142854</v>
      </c>
      <c r="AH257" s="13">
        <f t="shared" si="183"/>
        <v>21.142857142857142</v>
      </c>
      <c r="AI257" s="13">
        <f t="shared" si="183"/>
        <v>14.219388079964931</v>
      </c>
      <c r="AL257" s="2"/>
    </row>
    <row r="258" spans="3:38" ht="16" thickBot="1" x14ac:dyDescent="0.4">
      <c r="C258" s="2"/>
      <c r="D258" s="284"/>
      <c r="E258" s="104" t="s">
        <v>81</v>
      </c>
      <c r="F258" s="13"/>
      <c r="G258" s="13"/>
      <c r="H258" s="9" t="s">
        <v>3</v>
      </c>
      <c r="I258" s="9" t="s">
        <v>4</v>
      </c>
      <c r="J258" s="9" t="s">
        <v>5</v>
      </c>
      <c r="K258" s="9" t="s">
        <v>6</v>
      </c>
      <c r="L258" s="9" t="s">
        <v>7</v>
      </c>
      <c r="M258" s="9" t="s">
        <v>8</v>
      </c>
      <c r="N258" s="9" t="s">
        <v>9</v>
      </c>
      <c r="O258" s="9" t="s">
        <v>10</v>
      </c>
      <c r="P258" s="44" t="s">
        <v>139</v>
      </c>
      <c r="Q258" s="2"/>
      <c r="R258" s="2"/>
      <c r="S258" s="2"/>
      <c r="W258" s="155"/>
      <c r="X258" s="104"/>
      <c r="Y258" s="13"/>
      <c r="Z258" s="49" t="s">
        <v>94</v>
      </c>
      <c r="AA258" s="2">
        <f>_xlfn.STDEV.S(AA240:AA246)</f>
        <v>0.45641057327805512</v>
      </c>
      <c r="AB258" s="2">
        <f t="shared" ref="AB258:AI258" si="184">_xlfn.STDEV.S(AB240:AB246)</f>
        <v>6.6594241684315616</v>
      </c>
      <c r="AC258" s="2">
        <f t="shared" si="184"/>
        <v>3.7562729517069515E-2</v>
      </c>
      <c r="AD258" s="2">
        <f t="shared" si="184"/>
        <v>3.7562729517069536E-2</v>
      </c>
      <c r="AE258" s="2">
        <f t="shared" si="184"/>
        <v>0.1936633700821413</v>
      </c>
      <c r="AF258" s="2">
        <f t="shared" si="184"/>
        <v>4.4869692105575135E-2</v>
      </c>
      <c r="AG258" s="2">
        <f t="shared" si="184"/>
        <v>7.0685741631338752</v>
      </c>
      <c r="AH258" s="2">
        <f t="shared" si="184"/>
        <v>6.7682733255627152</v>
      </c>
      <c r="AI258" s="2">
        <f t="shared" si="184"/>
        <v>5.2208477693395006</v>
      </c>
      <c r="AJ258" s="2"/>
      <c r="AK258" s="2"/>
      <c r="AL258" s="2"/>
    </row>
    <row r="259" spans="3:38" x14ac:dyDescent="0.35">
      <c r="C259" s="2"/>
      <c r="D259" s="284"/>
      <c r="E259" s="104"/>
      <c r="F259" s="13"/>
      <c r="G259" s="49" t="s">
        <v>77</v>
      </c>
      <c r="H259" s="13">
        <f>AVERAGE(H220,H222,H224,H226)</f>
        <v>2.1915724999999995</v>
      </c>
      <c r="I259" s="13">
        <f t="shared" ref="I259:P259" si="185">AVERAGE(I220,I222,I224,I226)</f>
        <v>8.258707500000007</v>
      </c>
      <c r="J259" s="13">
        <f t="shared" si="185"/>
        <v>0.21373234592680196</v>
      </c>
      <c r="K259" s="13">
        <f t="shared" si="185"/>
        <v>0.78626765407319799</v>
      </c>
      <c r="L259" s="13">
        <f t="shared" si="185"/>
        <v>0.456673890375694</v>
      </c>
      <c r="M259" s="13">
        <f t="shared" si="185"/>
        <v>9.7226036478424496E-2</v>
      </c>
      <c r="N259" s="13">
        <f t="shared" si="185"/>
        <v>10.450280000000006</v>
      </c>
      <c r="O259" s="13">
        <f t="shared" si="185"/>
        <v>17.25</v>
      </c>
      <c r="P259" s="13">
        <f t="shared" si="185"/>
        <v>7.8388804863631867</v>
      </c>
      <c r="Q259" s="2"/>
      <c r="R259" s="2"/>
      <c r="S259" s="2"/>
      <c r="W259" s="155"/>
      <c r="X259" s="104"/>
      <c r="Y259" s="13"/>
      <c r="Z259" s="49" t="s">
        <v>95</v>
      </c>
      <c r="AA259" s="2">
        <f>AA258/(SQRT(COUNT(AA240:AA246)))</f>
        <v>0.17250698180487939</v>
      </c>
      <c r="AB259" s="2">
        <f t="shared" ref="AB259:AI259" si="186">AB258/(SQRT(COUNT(AB240:AB246)))</f>
        <v>2.5170257463661465</v>
      </c>
      <c r="AC259" s="2">
        <f t="shared" si="186"/>
        <v>1.4197377266707324E-2</v>
      </c>
      <c r="AD259" s="2">
        <f t="shared" si="186"/>
        <v>1.419737726670733E-2</v>
      </c>
      <c r="AE259" s="2">
        <f t="shared" si="186"/>
        <v>7.3197873614287479E-2</v>
      </c>
      <c r="AF259" s="2">
        <f t="shared" si="186"/>
        <v>1.6959149530769987E-2</v>
      </c>
      <c r="AG259" s="2">
        <f t="shared" si="186"/>
        <v>2.6716699084955344</v>
      </c>
      <c r="AH259" s="2">
        <f t="shared" si="186"/>
        <v>2.5581668606787216</v>
      </c>
      <c r="AI259" s="2">
        <f t="shared" si="186"/>
        <v>1.9732949757998037</v>
      </c>
      <c r="AJ259" s="2"/>
      <c r="AK259" s="2"/>
      <c r="AL259" s="2"/>
    </row>
    <row r="260" spans="3:38" x14ac:dyDescent="0.35">
      <c r="C260" s="2"/>
      <c r="D260" s="284"/>
      <c r="E260" s="104"/>
      <c r="F260" s="13"/>
      <c r="G260" s="49" t="s">
        <v>94</v>
      </c>
      <c r="H260" s="2">
        <f>_xlfn.STDEV.S(H220,H222,H224,H226)</f>
        <v>7.3482776836941335E-2</v>
      </c>
      <c r="I260" s="2">
        <f t="shared" ref="I260:P260" si="187">_xlfn.STDEV.S(I220,I222,I224,I226)</f>
        <v>1.6018974587318793</v>
      </c>
      <c r="J260" s="2">
        <f t="shared" si="187"/>
        <v>3.6788454098341715E-2</v>
      </c>
      <c r="K260" s="2">
        <f t="shared" si="187"/>
        <v>3.6788454098341909E-2</v>
      </c>
      <c r="L260" s="2">
        <f t="shared" si="187"/>
        <v>1.5134237719482874E-2</v>
      </c>
      <c r="M260" s="2">
        <f t="shared" si="187"/>
        <v>1.3913501677423492E-2</v>
      </c>
      <c r="N260" s="2">
        <f t="shared" si="187"/>
        <v>1.5401335466121071</v>
      </c>
      <c r="O260" s="2">
        <f t="shared" si="187"/>
        <v>3.8622100754188224</v>
      </c>
      <c r="P260" s="2">
        <f t="shared" si="187"/>
        <v>1.5491128893279533</v>
      </c>
      <c r="Q260" s="2"/>
      <c r="R260" s="2"/>
      <c r="S260" s="2"/>
      <c r="W260" s="155"/>
      <c r="X260" s="2"/>
      <c r="Y260" s="13"/>
      <c r="Z260" s="13"/>
      <c r="AA260" s="2"/>
      <c r="AB260" s="2"/>
      <c r="AC260" s="2"/>
      <c r="AD260" s="2"/>
      <c r="AE260" s="2"/>
      <c r="AF260" s="2"/>
      <c r="AG260" s="2"/>
      <c r="AH260" s="2"/>
      <c r="AJ260" s="2"/>
      <c r="AK260" s="2"/>
      <c r="AL260" s="2"/>
    </row>
    <row r="261" spans="3:38" x14ac:dyDescent="0.35">
      <c r="C261" s="2"/>
      <c r="D261" s="284"/>
      <c r="E261" s="104"/>
      <c r="F261" s="13"/>
      <c r="G261" s="49" t="s">
        <v>95</v>
      </c>
      <c r="H261" s="2">
        <f>H260/(SQRT(COUNT(H220,H222,H224,H226)))</f>
        <v>3.6741388418470668E-2</v>
      </c>
      <c r="I261" s="2">
        <f t="shared" ref="I261:P261" si="188">I260/(SQRT(COUNT(I220,I222,I224,I226)))</f>
        <v>0.80094872936593964</v>
      </c>
      <c r="J261" s="2">
        <f t="shared" si="188"/>
        <v>1.8394227049170857E-2</v>
      </c>
      <c r="K261" s="2">
        <f t="shared" si="188"/>
        <v>1.8394227049170955E-2</v>
      </c>
      <c r="L261" s="2">
        <f t="shared" si="188"/>
        <v>7.5671188597414372E-3</v>
      </c>
      <c r="M261" s="2">
        <f t="shared" si="188"/>
        <v>6.9567508387117461E-3</v>
      </c>
      <c r="N261" s="2">
        <f t="shared" si="188"/>
        <v>0.77006677330605355</v>
      </c>
      <c r="O261" s="2">
        <f t="shared" si="188"/>
        <v>1.9311050377094112</v>
      </c>
      <c r="P261" s="2">
        <f t="shared" si="188"/>
        <v>0.77455644466397666</v>
      </c>
      <c r="Q261" s="2"/>
      <c r="R261" s="2"/>
      <c r="S261" s="2"/>
      <c r="W261" s="155"/>
      <c r="X261" s="2"/>
      <c r="Y261" s="13"/>
      <c r="Z261" s="13"/>
      <c r="AA261" s="2"/>
      <c r="AB261" s="2"/>
      <c r="AC261" s="2"/>
      <c r="AD261" s="2"/>
      <c r="AE261" s="2"/>
      <c r="AF261" s="2"/>
      <c r="AG261" s="2"/>
      <c r="AH261" s="2"/>
      <c r="AJ261" s="2"/>
      <c r="AK261" s="2"/>
      <c r="AL261" s="2"/>
    </row>
    <row r="262" spans="3:38" x14ac:dyDescent="0.35">
      <c r="C262" s="2"/>
      <c r="D262" s="284"/>
      <c r="E262" s="104"/>
      <c r="F262" s="13"/>
      <c r="G262" s="49"/>
      <c r="H262" s="2"/>
      <c r="I262" s="2"/>
      <c r="J262" s="2"/>
      <c r="K262" s="2"/>
      <c r="L262" s="2"/>
      <c r="M262" s="2"/>
      <c r="N262" s="2"/>
      <c r="O262" s="2"/>
      <c r="P262" s="2"/>
      <c r="Q262" s="2"/>
      <c r="R262" s="2"/>
      <c r="S262" s="2"/>
      <c r="W262" s="155"/>
      <c r="X262" s="2"/>
      <c r="Y262" s="13"/>
      <c r="Z262" s="2"/>
      <c r="AA262" s="2"/>
      <c r="AB262" s="2"/>
      <c r="AC262" s="2"/>
      <c r="AD262" s="2"/>
      <c r="AE262" s="2"/>
      <c r="AF262" s="2"/>
      <c r="AG262" s="2"/>
      <c r="AH262" s="2"/>
      <c r="AJ262" s="2"/>
      <c r="AK262" s="2"/>
      <c r="AL262" s="2"/>
    </row>
    <row r="263" spans="3:38" x14ac:dyDescent="0.35">
      <c r="C263" s="2"/>
      <c r="D263" s="284"/>
      <c r="E263" s="104"/>
      <c r="Q263" s="2"/>
      <c r="R263" s="2"/>
      <c r="S263" s="2"/>
      <c r="W263" s="155"/>
      <c r="X263" s="2"/>
      <c r="Y263" s="2"/>
      <c r="Z263" s="2"/>
      <c r="AA263" s="2"/>
      <c r="AB263" s="2"/>
      <c r="AC263" s="2"/>
      <c r="AD263" s="2"/>
      <c r="AE263" s="2"/>
      <c r="AF263" s="2"/>
      <c r="AG263" s="2"/>
      <c r="AH263" s="2"/>
      <c r="AJ263" s="2"/>
      <c r="AK263" s="2"/>
      <c r="AL263" s="2"/>
    </row>
    <row r="264" spans="3:38" ht="16" thickBot="1" x14ac:dyDescent="0.4">
      <c r="C264" s="2"/>
      <c r="D264" s="284"/>
      <c r="E264" s="104" t="s">
        <v>82</v>
      </c>
      <c r="F264" s="13"/>
      <c r="G264" s="13"/>
      <c r="H264" s="9" t="s">
        <v>3</v>
      </c>
      <c r="I264" s="9" t="s">
        <v>4</v>
      </c>
      <c r="J264" s="9" t="s">
        <v>5</v>
      </c>
      <c r="K264" s="9" t="s">
        <v>6</v>
      </c>
      <c r="L264" s="9" t="s">
        <v>7</v>
      </c>
      <c r="M264" s="9" t="s">
        <v>8</v>
      </c>
      <c r="N264" s="9" t="s">
        <v>9</v>
      </c>
      <c r="O264" s="9" t="s">
        <v>10</v>
      </c>
      <c r="P264" s="44" t="s">
        <v>139</v>
      </c>
      <c r="Q264" s="2"/>
      <c r="R264" s="2"/>
      <c r="S264" s="2"/>
      <c r="W264" s="206"/>
      <c r="X264" s="2"/>
      <c r="Y264" s="2"/>
      <c r="Z264" s="2"/>
      <c r="AA264" s="2"/>
      <c r="AB264" s="2"/>
      <c r="AC264" s="2"/>
      <c r="AD264" s="2"/>
      <c r="AE264" s="2"/>
      <c r="AF264" s="2"/>
      <c r="AG264" s="2"/>
      <c r="AH264" s="2"/>
      <c r="AJ264" s="2"/>
      <c r="AK264" s="2"/>
      <c r="AL264" s="2"/>
    </row>
    <row r="265" spans="3:38" x14ac:dyDescent="0.35">
      <c r="C265" s="2"/>
      <c r="D265" s="284"/>
      <c r="E265" s="104"/>
      <c r="F265" s="13"/>
      <c r="G265" s="49" t="s">
        <v>77</v>
      </c>
      <c r="H265" s="13">
        <f>AVERAGE(H219,H221,H223,H225,H227)</f>
        <v>3.5173699999999939</v>
      </c>
      <c r="I265" s="13">
        <f t="shared" ref="I265:P265" si="189">AVERAGE(I219,I221,I223,I225,I227)</f>
        <v>12.6256</v>
      </c>
      <c r="J265" s="13">
        <f t="shared" si="189"/>
        <v>0.24657389833735893</v>
      </c>
      <c r="K265" s="13">
        <f t="shared" si="189"/>
        <v>0.75342610166264112</v>
      </c>
      <c r="L265" s="13">
        <f t="shared" si="189"/>
        <v>0.28723211169634211</v>
      </c>
      <c r="M265" s="13">
        <f t="shared" si="189"/>
        <v>6.9628899105854486E-2</v>
      </c>
      <c r="N265" s="13">
        <f t="shared" si="189"/>
        <v>16.142969999999995</v>
      </c>
      <c r="O265" s="13">
        <f t="shared" si="189"/>
        <v>27.6</v>
      </c>
      <c r="P265" s="13">
        <f t="shared" si="189"/>
        <v>7.8604441009807573</v>
      </c>
      <c r="Q265" s="2"/>
      <c r="R265" s="2"/>
      <c r="S265" s="2"/>
      <c r="W265" s="206"/>
      <c r="X265" s="2"/>
      <c r="Y265" s="2"/>
      <c r="Z265" s="2"/>
      <c r="AA265" s="2"/>
      <c r="AB265" s="2"/>
      <c r="AC265" s="2"/>
      <c r="AD265" s="2"/>
      <c r="AE265" s="2"/>
      <c r="AF265" s="2"/>
      <c r="AG265" s="2"/>
      <c r="AH265" s="2"/>
      <c r="AI265" s="2"/>
      <c r="AJ265" s="2"/>
      <c r="AK265" s="2"/>
      <c r="AL265" s="2"/>
    </row>
    <row r="266" spans="3:38" x14ac:dyDescent="0.35">
      <c r="C266" s="2"/>
      <c r="D266" s="284"/>
      <c r="E266" s="104"/>
      <c r="F266" s="13"/>
      <c r="G266" s="49" t="s">
        <v>94</v>
      </c>
      <c r="H266" s="2">
        <f>_xlfn.STDEV.S(H219,H221,H223,H225,H227)</f>
        <v>0.40391379272067562</v>
      </c>
      <c r="I266" s="2">
        <f t="shared" ref="I266:P266" si="190">_xlfn.STDEV.S(I219,I221,I223,I225,I227)</f>
        <v>6.522207516512327</v>
      </c>
      <c r="J266" s="2">
        <f t="shared" si="190"/>
        <v>9.3344975170989261E-2</v>
      </c>
      <c r="K266" s="2">
        <f t="shared" si="190"/>
        <v>9.3344975170989039E-2</v>
      </c>
      <c r="L266" s="2">
        <f t="shared" si="190"/>
        <v>3.1899100653113764E-2</v>
      </c>
      <c r="M266" s="2">
        <f t="shared" si="190"/>
        <v>2.5009664289056956E-2</v>
      </c>
      <c r="N266" s="2">
        <f t="shared" si="190"/>
        <v>6.3625088463749799</v>
      </c>
      <c r="O266" s="2">
        <f t="shared" si="190"/>
        <v>2.7928480087537886</v>
      </c>
      <c r="P266" s="2">
        <f t="shared" si="190"/>
        <v>0.31084531300387863</v>
      </c>
      <c r="Q266" s="2"/>
      <c r="R266" s="2"/>
      <c r="S266" s="2"/>
      <c r="W266" s="206"/>
      <c r="X266" s="2"/>
      <c r="Y266" s="2"/>
      <c r="Z266" s="2"/>
      <c r="AA266" s="2"/>
      <c r="AB266" s="2"/>
      <c r="AC266" s="2"/>
      <c r="AD266" s="2"/>
      <c r="AE266" s="2"/>
      <c r="AF266" s="2"/>
      <c r="AG266" s="2"/>
      <c r="AH266" s="2"/>
      <c r="AI266" s="2"/>
      <c r="AJ266" s="2"/>
      <c r="AK266" s="2"/>
      <c r="AL266" s="2"/>
    </row>
    <row r="267" spans="3:38" x14ac:dyDescent="0.35">
      <c r="C267" s="2"/>
      <c r="D267" s="284"/>
      <c r="E267" s="104"/>
      <c r="F267" s="13"/>
      <c r="G267" s="49" t="s">
        <v>95</v>
      </c>
      <c r="H267" s="2">
        <f>H266/(SQRT(COUNT(H219,H221,H223,H225,H227)))</f>
        <v>0.18063573951463807</v>
      </c>
      <c r="I267" s="2">
        <f t="shared" ref="I267:P267" si="191">I266/(SQRT(COUNT(I219,I221,I223,I225,I227)))</f>
        <v>2.9168198740563289</v>
      </c>
      <c r="J267" s="2">
        <f t="shared" si="191"/>
        <v>4.1745141968072406E-2</v>
      </c>
      <c r="K267" s="2">
        <f t="shared" si="191"/>
        <v>4.1745141968072309E-2</v>
      </c>
      <c r="L267" s="2">
        <f t="shared" si="191"/>
        <v>1.4265711496294062E-2</v>
      </c>
      <c r="M267" s="2">
        <f t="shared" si="191"/>
        <v>1.118466188895606E-2</v>
      </c>
      <c r="N267" s="2">
        <f t="shared" si="191"/>
        <v>2.8454004575876444</v>
      </c>
      <c r="O267" s="2">
        <f t="shared" si="191"/>
        <v>1.2489995996796797</v>
      </c>
      <c r="P267" s="2">
        <f t="shared" si="191"/>
        <v>0.13901425007277438</v>
      </c>
      <c r="Q267" s="2"/>
      <c r="R267" s="2"/>
      <c r="S267" s="2"/>
      <c r="W267" s="206"/>
      <c r="AJ267" s="2"/>
      <c r="AK267" s="2"/>
      <c r="AL267" s="2"/>
    </row>
    <row r="268" spans="3:38" x14ac:dyDescent="0.35">
      <c r="C268" s="2"/>
      <c r="D268" s="284"/>
      <c r="G268" s="49"/>
      <c r="H268" s="2"/>
      <c r="I268" s="2"/>
      <c r="J268" s="2"/>
      <c r="K268" s="2"/>
      <c r="L268" s="2"/>
      <c r="M268" s="2"/>
      <c r="N268" s="2"/>
      <c r="O268" s="2"/>
      <c r="P268" s="2"/>
      <c r="Q268" s="2"/>
      <c r="R268" s="2"/>
      <c r="S268" s="2"/>
      <c r="W268" s="206"/>
      <c r="AJ268" s="2"/>
      <c r="AK268" s="2"/>
      <c r="AL268" s="2"/>
    </row>
    <row r="269" spans="3:38" x14ac:dyDescent="0.35">
      <c r="C269" s="2"/>
      <c r="D269" s="284"/>
      <c r="G269" s="49"/>
      <c r="H269" s="2"/>
      <c r="I269" s="2"/>
      <c r="J269" s="2"/>
      <c r="K269" s="2"/>
      <c r="L269" s="2"/>
      <c r="M269" s="2"/>
      <c r="N269" s="2"/>
      <c r="O269" s="2"/>
      <c r="P269" s="2"/>
      <c r="Q269" s="2"/>
      <c r="R269" s="2"/>
      <c r="S269" s="2"/>
      <c r="W269" s="206"/>
      <c r="AJ269" s="2"/>
      <c r="AK269" s="2"/>
      <c r="AL269" s="2"/>
    </row>
    <row r="270" spans="3:38" x14ac:dyDescent="0.35">
      <c r="C270" s="2"/>
      <c r="D270" s="206"/>
      <c r="E270" s="2"/>
      <c r="F270" s="13"/>
      <c r="G270" s="2"/>
      <c r="H270" s="2"/>
      <c r="I270" s="2"/>
      <c r="J270" s="2"/>
      <c r="K270" s="2"/>
      <c r="L270" s="2"/>
      <c r="M270" s="2"/>
      <c r="N270" s="2"/>
      <c r="O270" s="2"/>
      <c r="P270" s="2"/>
      <c r="Q270" s="2"/>
      <c r="R270" s="2"/>
      <c r="S270" s="2"/>
      <c r="W270" s="206"/>
      <c r="AJ270" s="2"/>
      <c r="AK270" s="2"/>
      <c r="AL270" s="2"/>
    </row>
    <row r="271" spans="3:38" ht="16" thickBot="1" x14ac:dyDescent="0.4">
      <c r="C271" s="2"/>
      <c r="D271" s="206"/>
      <c r="E271" s="104"/>
      <c r="G271" s="13"/>
      <c r="H271" s="9" t="s">
        <v>3</v>
      </c>
      <c r="I271" s="9" t="s">
        <v>4</v>
      </c>
      <c r="J271" s="9" t="s">
        <v>5</v>
      </c>
      <c r="K271" s="9" t="s">
        <v>6</v>
      </c>
      <c r="L271" s="9" t="s">
        <v>7</v>
      </c>
      <c r="M271" s="9" t="s">
        <v>8</v>
      </c>
      <c r="N271" s="9" t="s">
        <v>9</v>
      </c>
      <c r="O271" s="9" t="s">
        <v>10</v>
      </c>
      <c r="P271" s="44" t="s">
        <v>139</v>
      </c>
      <c r="Q271" s="2"/>
      <c r="R271" s="2"/>
      <c r="S271" s="2"/>
      <c r="W271" s="2"/>
      <c r="AJ271" s="2"/>
      <c r="AK271" s="2"/>
      <c r="AL271" s="2"/>
    </row>
    <row r="272" spans="3:38" x14ac:dyDescent="0.35">
      <c r="C272" s="2"/>
      <c r="D272" s="206"/>
      <c r="E272" s="104" t="s">
        <v>410</v>
      </c>
      <c r="G272" s="49" t="s">
        <v>77</v>
      </c>
      <c r="H272" s="13">
        <f t="shared" ref="H272:P272" si="192">AVERAGE(H228:H230)</f>
        <v>1.5857499999999998</v>
      </c>
      <c r="I272" s="13">
        <f t="shared" si="192"/>
        <v>30.031376666666677</v>
      </c>
      <c r="J272" s="13">
        <f t="shared" si="192"/>
        <v>4.9482381022315003E-2</v>
      </c>
      <c r="K272" s="13">
        <f t="shared" si="192"/>
        <v>0.95051761897768505</v>
      </c>
      <c r="L272" s="13">
        <f t="shared" si="192"/>
        <v>0.69072582787003955</v>
      </c>
      <c r="M272" s="13">
        <f t="shared" si="192"/>
        <v>3.3712295185437481E-2</v>
      </c>
      <c r="N272" s="13">
        <f t="shared" si="192"/>
        <v>31.617126666666678</v>
      </c>
      <c r="O272" s="13">
        <f t="shared" si="192"/>
        <v>14.666666666666666</v>
      </c>
      <c r="P272" s="13">
        <f t="shared" si="192"/>
        <v>9.8227129141885126</v>
      </c>
      <c r="Q272" s="2"/>
      <c r="R272" s="2"/>
      <c r="S272" s="2"/>
      <c r="W272" s="2"/>
      <c r="AJ272" s="2"/>
      <c r="AK272" s="2"/>
      <c r="AL272" s="2"/>
    </row>
    <row r="273" spans="3:38" x14ac:dyDescent="0.35">
      <c r="C273" s="2"/>
      <c r="D273" s="206"/>
      <c r="G273" s="49" t="s">
        <v>94</v>
      </c>
      <c r="H273" s="2">
        <f t="shared" ref="H273:P273" si="193">_xlfn.STDEV.S(H228:H230)</f>
        <v>0.63572350428468993</v>
      </c>
      <c r="I273" s="2">
        <f t="shared" si="193"/>
        <v>9.8652424645131518</v>
      </c>
      <c r="J273" s="2">
        <f t="shared" si="193"/>
        <v>3.2824322439346477E-3</v>
      </c>
      <c r="K273" s="2">
        <f t="shared" si="193"/>
        <v>3.2824322439346438E-3</v>
      </c>
      <c r="L273" s="2">
        <f t="shared" si="193"/>
        <v>0.22491807851915879</v>
      </c>
      <c r="M273" s="2">
        <f t="shared" si="193"/>
        <v>9.4164754426393476E-3</v>
      </c>
      <c r="N273" s="2">
        <f t="shared" si="193"/>
        <v>10.499985878773032</v>
      </c>
      <c r="O273" s="2">
        <f t="shared" si="193"/>
        <v>2.5166114784235796</v>
      </c>
      <c r="P273" s="2">
        <f t="shared" si="193"/>
        <v>2.4534794288305277</v>
      </c>
      <c r="Q273" s="2"/>
      <c r="R273" s="2"/>
      <c r="S273" s="2"/>
      <c r="W273" s="2"/>
      <c r="AJ273" s="2"/>
      <c r="AK273" s="2"/>
      <c r="AL273" s="2"/>
    </row>
    <row r="274" spans="3:38" x14ac:dyDescent="0.35">
      <c r="C274" s="2"/>
      <c r="D274" s="206"/>
      <c r="G274" s="49" t="s">
        <v>95</v>
      </c>
      <c r="H274" s="2">
        <f t="shared" ref="H274:P274" si="194">H273/(SQRT(COUNT(H228:H230)))</f>
        <v>0.36703513632893797</v>
      </c>
      <c r="I274" s="2">
        <f t="shared" si="194"/>
        <v>5.6957003925075957</v>
      </c>
      <c r="J274" s="2">
        <f t="shared" si="194"/>
        <v>1.8951131396323763E-3</v>
      </c>
      <c r="K274" s="2">
        <f t="shared" si="194"/>
        <v>1.8951131396323742E-3</v>
      </c>
      <c r="L274" s="2">
        <f t="shared" si="194"/>
        <v>0.12985651317864971</v>
      </c>
      <c r="M274" s="2">
        <f t="shared" si="194"/>
        <v>5.4366046316253278E-3</v>
      </c>
      <c r="N274" s="2">
        <f t="shared" si="194"/>
        <v>6.0621696735968795</v>
      </c>
      <c r="O274" s="2">
        <f t="shared" si="194"/>
        <v>1.4529663145135558</v>
      </c>
      <c r="P274" s="2">
        <f t="shared" si="194"/>
        <v>1.4165170086865144</v>
      </c>
      <c r="Q274" s="2"/>
      <c r="R274" s="2"/>
      <c r="S274" s="2"/>
      <c r="W274" s="2"/>
      <c r="AJ274" s="2"/>
      <c r="AK274" s="2"/>
      <c r="AL274" s="2"/>
    </row>
    <row r="275" spans="3:38" x14ac:dyDescent="0.35">
      <c r="C275" s="2"/>
      <c r="D275" s="2"/>
      <c r="E275" s="2"/>
      <c r="F275" s="2"/>
      <c r="G275" s="2"/>
      <c r="H275" s="2"/>
      <c r="I275" s="2"/>
      <c r="J275" s="2"/>
      <c r="K275" s="2"/>
      <c r="L275" s="2"/>
      <c r="M275" s="2"/>
      <c r="N275" s="2"/>
      <c r="O275" s="2"/>
      <c r="P275" s="2"/>
      <c r="Q275" s="2"/>
      <c r="R275" s="2"/>
      <c r="S275" s="2"/>
      <c r="W275" s="2"/>
      <c r="AJ275" s="2"/>
      <c r="AK275" s="2"/>
      <c r="AL275" s="2"/>
    </row>
    <row r="276" spans="3:38" x14ac:dyDescent="0.35">
      <c r="C276" s="2"/>
      <c r="D276" s="2"/>
      <c r="E276" s="2"/>
      <c r="F276" s="2"/>
      <c r="G276" s="2"/>
      <c r="H276" s="2"/>
      <c r="I276" s="2"/>
      <c r="J276" s="2"/>
      <c r="K276" s="2"/>
      <c r="L276" s="2"/>
      <c r="M276" s="2"/>
      <c r="N276" s="2"/>
      <c r="O276" s="2"/>
      <c r="P276" s="2"/>
      <c r="Q276" s="2"/>
      <c r="R276" s="2"/>
      <c r="S276" s="2"/>
      <c r="W276" s="2"/>
      <c r="AJ276" s="2"/>
      <c r="AK276" s="2"/>
      <c r="AL276" s="2"/>
    </row>
    <row r="277" spans="3:38" x14ac:dyDescent="0.35">
      <c r="C277" s="2"/>
      <c r="D277" s="2"/>
      <c r="E277" s="2"/>
      <c r="F277" s="2"/>
      <c r="G277" s="2"/>
      <c r="H277" s="2"/>
      <c r="I277" s="2"/>
      <c r="J277" s="2"/>
      <c r="K277" s="2"/>
      <c r="L277" s="2"/>
      <c r="M277" s="2"/>
      <c r="N277" s="2"/>
      <c r="O277" s="2"/>
      <c r="P277" s="2"/>
      <c r="Q277" s="2"/>
      <c r="R277" s="2"/>
      <c r="S277" s="2"/>
      <c r="W277" s="2"/>
      <c r="X277" s="3"/>
      <c r="Y277" s="13"/>
      <c r="Z277" s="49"/>
      <c r="AA277" s="2"/>
      <c r="AB277" s="2"/>
      <c r="AC277" s="2"/>
      <c r="AD277" s="2"/>
      <c r="AE277" s="2"/>
      <c r="AF277" s="2"/>
      <c r="AG277" s="2"/>
      <c r="AH277" s="2"/>
      <c r="AI277" s="2"/>
      <c r="AJ277" s="2"/>
      <c r="AK277" s="2"/>
      <c r="AL277" s="2"/>
    </row>
    <row r="278" spans="3:38" x14ac:dyDescent="0.35">
      <c r="S278" s="2"/>
      <c r="W278" s="2"/>
      <c r="X278" s="3"/>
      <c r="Y278" s="2"/>
      <c r="Z278" s="2"/>
      <c r="AA278" s="2"/>
      <c r="AB278" s="2"/>
      <c r="AC278" s="2"/>
      <c r="AD278" s="2"/>
      <c r="AE278" s="2"/>
      <c r="AF278" s="2"/>
      <c r="AG278" s="2"/>
      <c r="AH278" s="2"/>
      <c r="AI278" s="2"/>
      <c r="AJ278" s="2"/>
      <c r="AK278" s="2"/>
      <c r="AL278" s="2"/>
    </row>
    <row r="279" spans="3:38" ht="18.5" x14ac:dyDescent="0.45">
      <c r="F279" s="1" t="s">
        <v>405</v>
      </c>
      <c r="G279" s="3"/>
      <c r="H279" s="3"/>
      <c r="I279" s="3"/>
      <c r="J279" s="3"/>
      <c r="K279" s="3"/>
      <c r="L279" s="3"/>
      <c r="M279" s="3"/>
      <c r="N279" s="3"/>
      <c r="O279" s="3"/>
      <c r="S279" s="2"/>
      <c r="W279" s="2"/>
      <c r="X279" s="3"/>
      <c r="Y279" s="2"/>
      <c r="Z279" s="2"/>
      <c r="AA279" s="2"/>
      <c r="AB279" s="2"/>
      <c r="AC279" s="2"/>
      <c r="AD279" s="2"/>
      <c r="AE279" s="2"/>
      <c r="AF279" s="2"/>
      <c r="AG279" s="2"/>
      <c r="AH279" s="2"/>
      <c r="AI279" s="2"/>
      <c r="AJ279" s="2"/>
      <c r="AK279" s="2"/>
      <c r="AL279" s="2"/>
    </row>
    <row r="280" spans="3:38" ht="16" thickBot="1" x14ac:dyDescent="0.4">
      <c r="C280" s="204" t="s">
        <v>122</v>
      </c>
      <c r="D280" s="204" t="s">
        <v>406</v>
      </c>
      <c r="F280" s="9" t="s">
        <v>1</v>
      </c>
      <c r="G280" s="9" t="s">
        <v>2</v>
      </c>
      <c r="H280" s="9" t="s">
        <v>3</v>
      </c>
      <c r="I280" s="9" t="s">
        <v>4</v>
      </c>
      <c r="J280" s="9" t="s">
        <v>5</v>
      </c>
      <c r="K280" s="9" t="s">
        <v>6</v>
      </c>
      <c r="L280" s="9" t="s">
        <v>7</v>
      </c>
      <c r="M280" s="9" t="s">
        <v>8</v>
      </c>
      <c r="N280" s="9" t="s">
        <v>9</v>
      </c>
      <c r="O280" s="9" t="s">
        <v>10</v>
      </c>
      <c r="P280" s="44" t="s">
        <v>139</v>
      </c>
      <c r="R280" s="44" t="s">
        <v>138</v>
      </c>
      <c r="S280" s="2"/>
      <c r="W280" s="2"/>
      <c r="X280" s="2"/>
      <c r="Y280" s="2"/>
      <c r="Z280" s="2"/>
      <c r="AA280" s="2"/>
      <c r="AB280" s="2"/>
      <c r="AC280" s="2"/>
      <c r="AD280" s="2"/>
      <c r="AE280" s="2"/>
      <c r="AF280" s="2"/>
      <c r="AG280" s="2"/>
      <c r="AH280" s="2"/>
      <c r="AI280" s="2"/>
      <c r="AJ280" s="2"/>
      <c r="AK280" s="2"/>
      <c r="AL280" s="2"/>
    </row>
    <row r="281" spans="3:38" x14ac:dyDescent="0.35">
      <c r="C281" s="285" t="s">
        <v>541</v>
      </c>
      <c r="D281" s="155">
        <v>14</v>
      </c>
      <c r="F281" s="2">
        <v>360.22327000000001</v>
      </c>
      <c r="G281" s="2">
        <v>362.56765999999999</v>
      </c>
      <c r="H281" s="2">
        <f t="shared" ref="H281:H292" si="195">G281-F281</f>
        <v>2.3443899999999758</v>
      </c>
      <c r="I281" s="2">
        <f t="shared" ref="I281:I291" si="196">F282-G281</f>
        <v>3.8056200000000331</v>
      </c>
      <c r="J281" s="2">
        <f>H281/N281</f>
        <v>0.38120100617722125</v>
      </c>
      <c r="K281" s="2">
        <f>I281/N281</f>
        <v>0.61879899382277881</v>
      </c>
      <c r="L281" s="2">
        <f>1/H281</f>
        <v>0.42655019002811406</v>
      </c>
      <c r="M281" s="2">
        <f>1/N281</f>
        <v>0.16260136162380201</v>
      </c>
      <c r="N281" s="2">
        <f>H281+I281</f>
        <v>6.1500100000000089</v>
      </c>
      <c r="O281" s="2">
        <v>20</v>
      </c>
      <c r="P281">
        <f>O281/H281</f>
        <v>8.5310038005622815</v>
      </c>
      <c r="R281" t="s">
        <v>463</v>
      </c>
      <c r="S281" s="2"/>
      <c r="W281" s="2"/>
      <c r="X281" s="2"/>
      <c r="Y281" s="2"/>
      <c r="Z281" s="2"/>
      <c r="AA281" s="2"/>
      <c r="AB281" s="2"/>
      <c r="AC281" s="2"/>
      <c r="AD281" s="2"/>
      <c r="AE281" s="2"/>
      <c r="AF281" s="2"/>
      <c r="AG281" s="2"/>
      <c r="AH281" s="2"/>
      <c r="AI281" s="2"/>
      <c r="AJ281" s="2"/>
      <c r="AK281" s="2"/>
      <c r="AL281" s="2"/>
    </row>
    <row r="282" spans="3:38" x14ac:dyDescent="0.35">
      <c r="C282" s="285"/>
      <c r="D282" s="155">
        <v>14</v>
      </c>
      <c r="F282" s="2">
        <v>366.37328000000002</v>
      </c>
      <c r="G282" s="2">
        <v>369.24534</v>
      </c>
      <c r="H282" s="2">
        <f t="shared" si="195"/>
        <v>2.8720599999999763</v>
      </c>
      <c r="I282" s="2">
        <f t="shared" si="196"/>
        <v>5.1749899999999798</v>
      </c>
      <c r="J282" s="2">
        <f t="shared" ref="J282:J291" si="197">H282/N282</f>
        <v>0.35690843228263675</v>
      </c>
      <c r="K282" s="2">
        <f t="shared" ref="K282:K291" si="198">I282/N282</f>
        <v>0.64309156771736331</v>
      </c>
      <c r="L282" s="2">
        <f t="shared" ref="L282:L291" si="199">1/H282</f>
        <v>0.34818214104162459</v>
      </c>
      <c r="M282" s="2">
        <f t="shared" ref="M282:M291" si="200">1/N282</f>
        <v>0.12426914210797814</v>
      </c>
      <c r="N282" s="2">
        <f t="shared" ref="N282:N291" si="201">H282+I282</f>
        <v>8.0470499999999561</v>
      </c>
      <c r="O282" s="2">
        <v>23</v>
      </c>
      <c r="P282">
        <f t="shared" ref="P282:P291" si="202">O282/H282</f>
        <v>8.0081892439573643</v>
      </c>
      <c r="S282" s="2"/>
      <c r="W282" s="2"/>
      <c r="X282" s="2"/>
      <c r="Y282" s="2"/>
      <c r="Z282" s="2"/>
      <c r="AA282" s="2"/>
      <c r="AB282" s="2"/>
      <c r="AC282" s="2"/>
      <c r="AD282" s="2"/>
      <c r="AE282" s="2"/>
      <c r="AF282" s="2"/>
      <c r="AG282" s="2"/>
      <c r="AH282" s="2"/>
      <c r="AI282" s="2"/>
      <c r="AJ282" s="2"/>
      <c r="AK282" s="2"/>
      <c r="AL282" s="2"/>
    </row>
    <row r="283" spans="3:38" x14ac:dyDescent="0.35">
      <c r="C283" s="285" t="s">
        <v>541</v>
      </c>
      <c r="D283" s="155">
        <v>14</v>
      </c>
      <c r="F283" s="13">
        <v>374.42032999999998</v>
      </c>
      <c r="G283" s="2">
        <v>376.61137000000002</v>
      </c>
      <c r="H283" s="2">
        <f t="shared" si="195"/>
        <v>2.1910400000000436</v>
      </c>
      <c r="I283" s="2">
        <f t="shared" si="196"/>
        <v>8.8318699999999808</v>
      </c>
      <c r="J283" s="2">
        <f t="shared" si="197"/>
        <v>0.19877146778845503</v>
      </c>
      <c r="K283" s="2">
        <f t="shared" si="198"/>
        <v>0.801228532211545</v>
      </c>
      <c r="L283" s="2">
        <f t="shared" si="199"/>
        <v>0.45640426464143974</v>
      </c>
      <c r="M283" s="2">
        <f t="shared" si="200"/>
        <v>9.0720145587689441E-2</v>
      </c>
      <c r="N283" s="2">
        <f t="shared" si="201"/>
        <v>11.022910000000024</v>
      </c>
      <c r="O283" s="2">
        <v>21</v>
      </c>
      <c r="P283">
        <f t="shared" si="202"/>
        <v>9.5844895574702349</v>
      </c>
      <c r="S283" s="2"/>
      <c r="W283" s="2"/>
      <c r="X283" s="2"/>
      <c r="Y283" s="2"/>
      <c r="Z283" s="2"/>
      <c r="AA283" s="2"/>
      <c r="AB283" s="2"/>
      <c r="AC283" s="2"/>
      <c r="AD283" s="2"/>
      <c r="AE283" s="2"/>
      <c r="AF283" s="2"/>
      <c r="AG283" s="2"/>
      <c r="AH283" s="2"/>
      <c r="AI283" s="2"/>
      <c r="AJ283" s="2"/>
      <c r="AK283" s="2"/>
      <c r="AL283" s="2"/>
    </row>
    <row r="284" spans="3:38" x14ac:dyDescent="0.35">
      <c r="C284" s="285"/>
      <c r="D284" s="155">
        <v>14</v>
      </c>
      <c r="F284" s="13">
        <v>385.44324</v>
      </c>
      <c r="G284" s="2">
        <v>389.42372999999998</v>
      </c>
      <c r="H284" s="2">
        <f t="shared" si="195"/>
        <v>3.9804899999999748</v>
      </c>
      <c r="I284" s="2">
        <f t="shared" si="196"/>
        <v>6.1173300000000381</v>
      </c>
      <c r="J284" s="2">
        <f t="shared" si="197"/>
        <v>0.39419300403453117</v>
      </c>
      <c r="K284" s="2">
        <f t="shared" si="198"/>
        <v>0.60580699596546883</v>
      </c>
      <c r="L284" s="2">
        <f t="shared" si="199"/>
        <v>0.25122535165268756</v>
      </c>
      <c r="M284" s="2">
        <f t="shared" si="200"/>
        <v>9.9031276057604381E-2</v>
      </c>
      <c r="N284" s="2">
        <f t="shared" si="201"/>
        <v>10.097820000000013</v>
      </c>
      <c r="O284" s="2">
        <v>32</v>
      </c>
      <c r="P284">
        <f t="shared" si="202"/>
        <v>8.0392112528860018</v>
      </c>
      <c r="W284" s="2"/>
      <c r="X284" s="2"/>
      <c r="Y284" s="2"/>
      <c r="Z284" s="2"/>
      <c r="AA284" s="2"/>
      <c r="AB284" s="2"/>
      <c r="AC284" s="2"/>
      <c r="AD284" s="2"/>
      <c r="AE284" s="2"/>
      <c r="AF284" s="2"/>
      <c r="AG284" s="2"/>
      <c r="AH284" s="2"/>
      <c r="AI284" s="2"/>
      <c r="AJ284" s="2"/>
      <c r="AK284" s="2"/>
      <c r="AL284" s="2"/>
    </row>
    <row r="285" spans="3:38" x14ac:dyDescent="0.35">
      <c r="C285" s="285" t="s">
        <v>541</v>
      </c>
      <c r="D285" s="155">
        <v>14</v>
      </c>
      <c r="F285" s="13">
        <v>395.54106000000002</v>
      </c>
      <c r="G285" s="2">
        <v>396.79028</v>
      </c>
      <c r="H285" s="2">
        <f t="shared" si="195"/>
        <v>1.2492199999999798</v>
      </c>
      <c r="I285" s="2">
        <f t="shared" si="196"/>
        <v>10.115700000000004</v>
      </c>
      <c r="J285" s="2">
        <f t="shared" si="197"/>
        <v>0.10991894355613428</v>
      </c>
      <c r="K285" s="2">
        <f t="shared" si="198"/>
        <v>0.8900810564438657</v>
      </c>
      <c r="L285" s="2">
        <f t="shared" si="199"/>
        <v>0.80049951169531086</v>
      </c>
      <c r="M285" s="2">
        <f t="shared" si="200"/>
        <v>8.7990060642749918E-2</v>
      </c>
      <c r="N285" s="2">
        <f t="shared" si="201"/>
        <v>11.364919999999984</v>
      </c>
      <c r="O285" s="2">
        <v>12</v>
      </c>
      <c r="P285">
        <f t="shared" si="202"/>
        <v>9.6059941403437303</v>
      </c>
      <c r="W285" s="2"/>
      <c r="X285" s="2"/>
      <c r="Y285" s="2"/>
      <c r="Z285" s="2"/>
      <c r="AA285" s="2"/>
      <c r="AB285" s="2"/>
      <c r="AC285" s="2"/>
      <c r="AD285" s="2"/>
      <c r="AE285" s="2"/>
      <c r="AF285" s="2"/>
      <c r="AG285" s="2"/>
      <c r="AH285" s="2"/>
      <c r="AI285" s="2"/>
      <c r="AJ285" s="2"/>
      <c r="AK285" s="2"/>
      <c r="AL285" s="2"/>
    </row>
    <row r="286" spans="3:38" x14ac:dyDescent="0.35">
      <c r="C286" s="285"/>
      <c r="D286" s="155">
        <v>14</v>
      </c>
      <c r="F286" s="13">
        <v>406.90598</v>
      </c>
      <c r="G286" s="2">
        <v>410.14127999999999</v>
      </c>
      <c r="H286" s="2">
        <f t="shared" si="195"/>
        <v>3.2352999999999952</v>
      </c>
      <c r="I286" s="2">
        <f t="shared" si="196"/>
        <v>5.8731900000000223</v>
      </c>
      <c r="J286" s="2">
        <f t="shared" si="197"/>
        <v>0.35519608628872501</v>
      </c>
      <c r="K286" s="2">
        <f t="shared" si="198"/>
        <v>0.64480391371127499</v>
      </c>
      <c r="L286" s="2">
        <f t="shared" si="199"/>
        <v>0.30909034710846028</v>
      </c>
      <c r="M286" s="2">
        <f t="shared" si="200"/>
        <v>0.10978768160254862</v>
      </c>
      <c r="N286" s="2">
        <f t="shared" si="201"/>
        <v>9.1084900000000175</v>
      </c>
      <c r="O286" s="2">
        <v>30</v>
      </c>
      <c r="P286">
        <f t="shared" si="202"/>
        <v>9.2727104132538081</v>
      </c>
      <c r="W286" s="2"/>
      <c r="X286" s="2"/>
      <c r="Y286" s="2"/>
      <c r="Z286" s="2"/>
      <c r="AA286" s="2"/>
      <c r="AB286" s="2"/>
      <c r="AC286" s="2"/>
      <c r="AD286" s="2"/>
      <c r="AE286" s="2"/>
      <c r="AF286" s="2"/>
      <c r="AG286" s="2"/>
      <c r="AH286" s="2"/>
      <c r="AI286" s="2"/>
      <c r="AJ286" s="2"/>
      <c r="AK286" s="2"/>
      <c r="AL286" s="2"/>
    </row>
    <row r="287" spans="3:38" x14ac:dyDescent="0.35">
      <c r="C287" s="285" t="s">
        <v>541</v>
      </c>
      <c r="D287" s="155">
        <v>14</v>
      </c>
      <c r="F287" s="13">
        <v>416.01447000000002</v>
      </c>
      <c r="G287" s="2">
        <v>417.26325000000003</v>
      </c>
      <c r="H287" s="2">
        <f t="shared" si="195"/>
        <v>1.2487800000000107</v>
      </c>
      <c r="I287" s="2">
        <f t="shared" si="196"/>
        <v>10.757509999999968</v>
      </c>
      <c r="J287" s="2">
        <f t="shared" si="197"/>
        <v>0.10401048117278634</v>
      </c>
      <c r="K287" s="2">
        <f t="shared" si="198"/>
        <v>0.89598951882721367</v>
      </c>
      <c r="L287" s="2">
        <f t="shared" si="199"/>
        <v>0.80078156280529111</v>
      </c>
      <c r="M287" s="2">
        <f t="shared" si="200"/>
        <v>8.3289675661674153E-2</v>
      </c>
      <c r="N287" s="2">
        <f t="shared" si="201"/>
        <v>12.006289999999979</v>
      </c>
      <c r="O287" s="2">
        <v>11</v>
      </c>
      <c r="P287">
        <f t="shared" si="202"/>
        <v>8.8085971908582028</v>
      </c>
      <c r="W287" s="2"/>
      <c r="X287" s="2"/>
      <c r="Y287" s="2"/>
      <c r="Z287" s="2"/>
      <c r="AA287" s="2"/>
      <c r="AB287" s="2"/>
      <c r="AC287" s="2"/>
      <c r="AD287" s="2"/>
      <c r="AE287" s="2"/>
      <c r="AF287" s="2"/>
      <c r="AG287" s="2"/>
      <c r="AH287" s="2"/>
      <c r="AI287" s="2"/>
      <c r="AJ287" s="2"/>
      <c r="AK287" s="2"/>
      <c r="AL287" s="2"/>
    </row>
    <row r="288" spans="3:38" x14ac:dyDescent="0.35">
      <c r="C288" s="285"/>
      <c r="D288" s="155">
        <v>14</v>
      </c>
      <c r="F288" s="13">
        <v>428.02076</v>
      </c>
      <c r="G288" s="2">
        <v>431.30615999999998</v>
      </c>
      <c r="H288" s="2">
        <f t="shared" si="195"/>
        <v>3.2853999999999814</v>
      </c>
      <c r="I288" s="2">
        <f t="shared" si="196"/>
        <v>6.6622300000000223</v>
      </c>
      <c r="J288" s="2">
        <f t="shared" si="197"/>
        <v>0.33026962201046683</v>
      </c>
      <c r="K288" s="2">
        <f t="shared" si="198"/>
        <v>0.66973037798953317</v>
      </c>
      <c r="L288" s="2">
        <f t="shared" si="199"/>
        <v>0.30437694040299679</v>
      </c>
      <c r="M288" s="2">
        <f t="shared" si="200"/>
        <v>0.10052645705560014</v>
      </c>
      <c r="N288" s="2">
        <f t="shared" si="201"/>
        <v>9.9476300000000037</v>
      </c>
      <c r="O288" s="2">
        <v>31</v>
      </c>
      <c r="P288">
        <f t="shared" si="202"/>
        <v>9.4356851524929013</v>
      </c>
      <c r="W288" s="2"/>
      <c r="X288" s="2"/>
      <c r="Y288" s="2"/>
      <c r="Z288" s="2"/>
      <c r="AA288" s="2"/>
      <c r="AB288" s="2"/>
      <c r="AC288" s="2"/>
      <c r="AD288" s="2"/>
      <c r="AE288" s="2"/>
      <c r="AF288" s="2"/>
      <c r="AG288" s="2"/>
      <c r="AH288" s="2"/>
      <c r="AI288" s="2"/>
      <c r="AJ288" s="2"/>
      <c r="AK288" s="2"/>
      <c r="AL288" s="2"/>
    </row>
    <row r="289" spans="3:38" x14ac:dyDescent="0.35">
      <c r="C289" s="285" t="s">
        <v>541</v>
      </c>
      <c r="D289" s="155">
        <v>14</v>
      </c>
      <c r="F289" s="13">
        <v>437.96839</v>
      </c>
      <c r="G289" s="2">
        <v>440.17057</v>
      </c>
      <c r="H289" s="2">
        <f t="shared" si="195"/>
        <v>2.2021799999999985</v>
      </c>
      <c r="I289" s="2">
        <f t="shared" si="196"/>
        <v>15.020230000000026</v>
      </c>
      <c r="J289" s="2">
        <f t="shared" si="197"/>
        <v>0.12786712196492797</v>
      </c>
      <c r="K289" s="2">
        <f t="shared" si="198"/>
        <v>0.872132878035072</v>
      </c>
      <c r="L289" s="2">
        <f t="shared" si="199"/>
        <v>0.45409548719904852</v>
      </c>
      <c r="M289" s="2">
        <f t="shared" si="200"/>
        <v>5.8063883045404129E-2</v>
      </c>
      <c r="N289" s="2">
        <f t="shared" si="201"/>
        <v>17.222410000000025</v>
      </c>
      <c r="O289" s="2">
        <v>14</v>
      </c>
      <c r="P289">
        <f t="shared" si="202"/>
        <v>6.3573368207866796</v>
      </c>
      <c r="W289" s="2"/>
      <c r="X289" s="2"/>
      <c r="Y289" s="2"/>
      <c r="Z289" s="2"/>
      <c r="AA289" s="2"/>
      <c r="AB289" s="2"/>
      <c r="AC289" s="2"/>
      <c r="AD289" s="2"/>
      <c r="AE289" s="2"/>
      <c r="AF289" s="2"/>
      <c r="AG289" s="2"/>
      <c r="AH289" s="2"/>
      <c r="AI289" s="2"/>
      <c r="AJ289" s="2"/>
      <c r="AK289" s="2"/>
      <c r="AL289" s="2"/>
    </row>
    <row r="290" spans="3:38" x14ac:dyDescent="0.35">
      <c r="C290" s="285"/>
      <c r="D290" s="155">
        <v>14</v>
      </c>
      <c r="F290" s="13">
        <v>455.19080000000002</v>
      </c>
      <c r="G290" s="2">
        <v>458.46048000000002</v>
      </c>
      <c r="H290" s="2">
        <f t="shared" si="195"/>
        <v>3.2696799999999939</v>
      </c>
      <c r="I290" s="2">
        <f t="shared" si="196"/>
        <v>7.0387999999999806</v>
      </c>
      <c r="J290" s="2">
        <f t="shared" si="197"/>
        <v>0.31718352269199745</v>
      </c>
      <c r="K290" s="2">
        <f t="shared" si="198"/>
        <v>0.68281647730800255</v>
      </c>
      <c r="L290" s="2">
        <f t="shared" si="199"/>
        <v>0.30584032688214197</v>
      </c>
      <c r="M290" s="2">
        <f t="shared" si="200"/>
        <v>9.7007512261749793E-2</v>
      </c>
      <c r="N290" s="2">
        <f t="shared" si="201"/>
        <v>10.308479999999975</v>
      </c>
      <c r="O290" s="2">
        <v>30</v>
      </c>
      <c r="P290">
        <f t="shared" si="202"/>
        <v>9.1752098064642578</v>
      </c>
      <c r="W290" s="2"/>
      <c r="X290" s="2"/>
      <c r="Y290" s="2"/>
      <c r="Z290" s="2"/>
      <c r="AA290" s="2"/>
      <c r="AB290" s="2"/>
      <c r="AC290" s="2"/>
      <c r="AD290" s="2"/>
      <c r="AE290" s="2"/>
      <c r="AF290" s="2"/>
      <c r="AG290" s="2"/>
      <c r="AH290" s="2"/>
      <c r="AI290" s="2"/>
      <c r="AJ290" s="2"/>
      <c r="AK290" s="2"/>
      <c r="AL290" s="2"/>
    </row>
    <row r="291" spans="3:38" x14ac:dyDescent="0.35">
      <c r="C291" s="285" t="s">
        <v>541</v>
      </c>
      <c r="D291" s="155">
        <v>14</v>
      </c>
      <c r="F291" s="13">
        <v>465.49928</v>
      </c>
      <c r="G291" s="2">
        <v>467.52767999999998</v>
      </c>
      <c r="H291" s="2">
        <f t="shared" si="195"/>
        <v>2.0283999999999764</v>
      </c>
      <c r="I291" s="2">
        <f t="shared" si="196"/>
        <v>8.1589000000000169</v>
      </c>
      <c r="J291" s="2">
        <f t="shared" si="197"/>
        <v>0.19911065738713671</v>
      </c>
      <c r="K291" s="2">
        <f t="shared" si="198"/>
        <v>0.80088934261286326</v>
      </c>
      <c r="L291" s="2">
        <f t="shared" si="199"/>
        <v>0.49299940840071566</v>
      </c>
      <c r="M291" s="2">
        <f t="shared" si="200"/>
        <v>9.8161436298135979E-2</v>
      </c>
      <c r="N291" s="2">
        <f t="shared" si="201"/>
        <v>10.187299999999993</v>
      </c>
      <c r="O291" s="2">
        <v>15</v>
      </c>
      <c r="P291">
        <f t="shared" si="202"/>
        <v>7.3949911260107344</v>
      </c>
      <c r="W291" s="2"/>
      <c r="X291" s="2"/>
      <c r="Y291" s="2"/>
      <c r="Z291" s="2"/>
      <c r="AA291" s="2"/>
      <c r="AB291" s="2"/>
      <c r="AC291" s="2"/>
      <c r="AD291" s="2"/>
      <c r="AE291" s="2"/>
      <c r="AF291" s="2"/>
      <c r="AG291" s="2"/>
      <c r="AH291" s="2"/>
      <c r="AI291" s="2"/>
      <c r="AJ291" s="2"/>
      <c r="AK291" s="2"/>
      <c r="AL291" s="2"/>
    </row>
    <row r="292" spans="3:38" x14ac:dyDescent="0.35">
      <c r="D292" s="155">
        <v>14</v>
      </c>
      <c r="F292" s="13">
        <v>475.68657999999999</v>
      </c>
      <c r="G292" s="2">
        <v>478.95467000000002</v>
      </c>
      <c r="H292" s="2">
        <f t="shared" si="195"/>
        <v>3.2680900000000292</v>
      </c>
      <c r="I292" s="2"/>
      <c r="J292" s="2"/>
      <c r="K292" s="2"/>
      <c r="L292" s="2"/>
      <c r="M292" s="2"/>
      <c r="N292" s="2"/>
      <c r="O292" s="2"/>
      <c r="W292" s="2"/>
      <c r="X292" s="2"/>
      <c r="Y292" s="2"/>
      <c r="Z292" s="2"/>
      <c r="AA292" s="2"/>
      <c r="AB292" s="2"/>
      <c r="AC292" s="2"/>
      <c r="AD292" s="2"/>
      <c r="AE292" s="2"/>
      <c r="AF292" s="2"/>
      <c r="AG292" s="2"/>
      <c r="AH292" s="2"/>
      <c r="AI292" s="2"/>
      <c r="AJ292" s="2"/>
      <c r="AK292" s="2"/>
      <c r="AL292" s="2"/>
    </row>
    <row r="293" spans="3:38" x14ac:dyDescent="0.35">
      <c r="D293" s="155"/>
      <c r="F293" s="13"/>
      <c r="G293" s="2"/>
      <c r="H293" s="2"/>
      <c r="I293" s="2"/>
      <c r="J293" s="2"/>
      <c r="K293" s="2"/>
      <c r="L293" s="2"/>
      <c r="M293" s="2"/>
      <c r="N293" s="2"/>
      <c r="O293" s="2"/>
      <c r="W293" s="2"/>
      <c r="X293" s="2"/>
      <c r="Y293" s="2"/>
      <c r="Z293" s="2"/>
      <c r="AA293" s="2"/>
      <c r="AB293" s="2"/>
      <c r="AC293" s="2"/>
      <c r="AD293" s="2"/>
      <c r="AE293" s="2"/>
      <c r="AF293" s="2"/>
      <c r="AG293" s="2"/>
      <c r="AH293" s="2"/>
      <c r="AI293" s="2"/>
      <c r="AJ293" s="2"/>
      <c r="AK293" s="2"/>
      <c r="AL293" s="2"/>
    </row>
    <row r="294" spans="3:38" x14ac:dyDescent="0.35">
      <c r="D294" s="155"/>
      <c r="F294" s="13"/>
      <c r="G294" s="2"/>
      <c r="H294" s="2"/>
      <c r="I294" s="2"/>
      <c r="J294" s="2"/>
      <c r="K294" s="2"/>
      <c r="L294" s="2"/>
      <c r="M294" s="2"/>
      <c r="N294" s="2"/>
      <c r="O294" s="2"/>
      <c r="W294" s="2"/>
      <c r="X294" s="2"/>
      <c r="Y294" s="2"/>
      <c r="Z294" s="2"/>
      <c r="AA294" s="2"/>
      <c r="AB294" s="2"/>
      <c r="AC294" s="2"/>
      <c r="AD294" s="2"/>
      <c r="AE294" s="2"/>
      <c r="AF294" s="2"/>
      <c r="AG294" s="2"/>
      <c r="AH294" s="2"/>
      <c r="AI294" s="2"/>
      <c r="AJ294" s="2"/>
      <c r="AK294" s="2"/>
      <c r="AL294" s="2"/>
    </row>
    <row r="295" spans="3:38" ht="16" thickBot="1" x14ac:dyDescent="0.4">
      <c r="D295" s="155"/>
      <c r="F295" s="13"/>
      <c r="G295" s="13"/>
      <c r="H295" s="9" t="s">
        <v>3</v>
      </c>
      <c r="I295" s="9" t="s">
        <v>4</v>
      </c>
      <c r="J295" s="9" t="s">
        <v>5</v>
      </c>
      <c r="K295" s="9" t="s">
        <v>6</v>
      </c>
      <c r="L295" s="9" t="s">
        <v>7</v>
      </c>
      <c r="M295" s="9" t="s">
        <v>8</v>
      </c>
      <c r="N295" s="9" t="s">
        <v>9</v>
      </c>
      <c r="O295" s="9" t="s">
        <v>10</v>
      </c>
      <c r="P295" s="44" t="s">
        <v>139</v>
      </c>
      <c r="W295" s="2"/>
      <c r="X295" s="2"/>
      <c r="Y295" s="2"/>
      <c r="Z295" s="2"/>
      <c r="AA295" s="2"/>
      <c r="AB295" s="2"/>
      <c r="AC295" s="2"/>
      <c r="AD295" s="2"/>
      <c r="AE295" s="2"/>
      <c r="AF295" s="2"/>
      <c r="AG295" s="2"/>
      <c r="AH295" s="2"/>
      <c r="AI295" s="2"/>
      <c r="AJ295" s="2"/>
      <c r="AK295" s="2"/>
      <c r="AL295" s="2"/>
    </row>
    <row r="296" spans="3:38" x14ac:dyDescent="0.35">
      <c r="D296" s="155"/>
      <c r="E296" s="104" t="s">
        <v>459</v>
      </c>
      <c r="F296" s="13"/>
      <c r="G296" s="49" t="s">
        <v>77</v>
      </c>
      <c r="H296" s="13">
        <f>AVERAGE(H281:H291)</f>
        <v>2.5369945454545371</v>
      </c>
      <c r="I296" s="13">
        <f t="shared" ref="I296:P296" si="203">AVERAGE(I281:I291)</f>
        <v>7.9596700000000062</v>
      </c>
      <c r="J296" s="13">
        <f t="shared" si="203"/>
        <v>0.26133003139591082</v>
      </c>
      <c r="K296" s="13">
        <f t="shared" si="203"/>
        <v>0.73866996860408929</v>
      </c>
      <c r="L296" s="13">
        <f t="shared" si="203"/>
        <v>0.45000413925980287</v>
      </c>
      <c r="M296" s="13">
        <f t="shared" si="203"/>
        <v>0.10104078472226696</v>
      </c>
      <c r="N296" s="13">
        <f t="shared" si="203"/>
        <v>10.496664545454543</v>
      </c>
      <c r="O296" s="13">
        <f t="shared" si="203"/>
        <v>21.727272727272727</v>
      </c>
      <c r="P296" s="13">
        <f t="shared" si="203"/>
        <v>8.5648562277351079</v>
      </c>
      <c r="W296" s="2"/>
      <c r="X296" s="2"/>
      <c r="Y296" s="2"/>
      <c r="Z296" s="2"/>
      <c r="AA296" s="2"/>
      <c r="AB296" s="2"/>
      <c r="AC296" s="2"/>
      <c r="AD296" s="2"/>
      <c r="AE296" s="2"/>
      <c r="AF296" s="2"/>
      <c r="AG296" s="2"/>
      <c r="AH296" s="2"/>
      <c r="AI296" s="2"/>
      <c r="AJ296" s="2"/>
      <c r="AK296" s="2"/>
      <c r="AL296" s="2"/>
    </row>
    <row r="297" spans="3:38" x14ac:dyDescent="0.35">
      <c r="D297" s="155"/>
      <c r="E297" s="104"/>
      <c r="F297" s="13"/>
      <c r="G297" s="49" t="s">
        <v>94</v>
      </c>
      <c r="H297" s="2">
        <f>_xlfn.STDEV.S(H281:H291)</f>
        <v>0.87326556319785298</v>
      </c>
      <c r="I297" s="2">
        <f t="shared" ref="I297:P297" si="204">_xlfn.STDEV.S(I281:I291)</f>
        <v>3.137161912531766</v>
      </c>
      <c r="J297" s="2">
        <f t="shared" si="204"/>
        <v>0.11450410372311837</v>
      </c>
      <c r="K297" s="2">
        <f t="shared" si="204"/>
        <v>0.11450410372311745</v>
      </c>
      <c r="L297" s="2">
        <f t="shared" si="204"/>
        <v>0.1897567118686842</v>
      </c>
      <c r="M297" s="2">
        <f t="shared" si="204"/>
        <v>2.6217518864687459E-2</v>
      </c>
      <c r="N297" s="2">
        <f t="shared" si="204"/>
        <v>2.7560497858578912</v>
      </c>
      <c r="O297" s="2">
        <f t="shared" si="204"/>
        <v>8.0509739670540359</v>
      </c>
      <c r="P297" s="2">
        <f t="shared" si="204"/>
        <v>1.0316983589220698</v>
      </c>
      <c r="W297" s="2"/>
      <c r="X297" s="2"/>
      <c r="Y297" s="2"/>
      <c r="Z297" s="2"/>
      <c r="AA297" s="2"/>
      <c r="AB297" s="2"/>
      <c r="AC297" s="2"/>
      <c r="AD297" s="2"/>
      <c r="AE297" s="2"/>
      <c r="AF297" s="2"/>
      <c r="AG297" s="2"/>
      <c r="AH297" s="2"/>
      <c r="AI297" s="2"/>
      <c r="AJ297" s="2"/>
      <c r="AK297" s="2"/>
      <c r="AL297" s="2"/>
    </row>
    <row r="298" spans="3:38" x14ac:dyDescent="0.35">
      <c r="D298" s="155"/>
      <c r="E298" s="104"/>
      <c r="F298" s="13"/>
      <c r="G298" s="49" t="s">
        <v>95</v>
      </c>
      <c r="H298" s="2">
        <f>H297/(SQRT(COUNT(H281:H291)))</f>
        <v>0.26329947413324267</v>
      </c>
      <c r="I298" s="2">
        <f t="shared" ref="I298:P298" si="205">I297/(SQRT(COUNT(I281:I291)))</f>
        <v>0.94588990640560122</v>
      </c>
      <c r="J298" s="2">
        <f t="shared" si="205"/>
        <v>3.4524286273229128E-2</v>
      </c>
      <c r="K298" s="2">
        <f t="shared" si="205"/>
        <v>3.4524286273228851E-2</v>
      </c>
      <c r="L298" s="2">
        <f t="shared" si="205"/>
        <v>5.7213801338182255E-2</v>
      </c>
      <c r="M298" s="2">
        <f t="shared" si="205"/>
        <v>7.9048793643847984E-3</v>
      </c>
      <c r="N298" s="2">
        <f t="shared" si="205"/>
        <v>0.83098027665727026</v>
      </c>
      <c r="O298" s="2">
        <f t="shared" si="205"/>
        <v>2.4274599859670341</v>
      </c>
      <c r="P298" s="2">
        <f t="shared" si="205"/>
        <v>0.31106875939726547</v>
      </c>
      <c r="W298" s="2"/>
      <c r="X298" s="2"/>
      <c r="Y298" s="2"/>
      <c r="Z298" s="2"/>
      <c r="AA298" s="2"/>
      <c r="AB298" s="2"/>
      <c r="AC298" s="2"/>
      <c r="AD298" s="2"/>
      <c r="AE298" s="2"/>
      <c r="AF298" s="2"/>
      <c r="AG298" s="2"/>
      <c r="AH298" s="2"/>
      <c r="AI298" s="2"/>
      <c r="AJ298" s="2"/>
      <c r="AK298" s="2"/>
      <c r="AL298" s="2"/>
    </row>
    <row r="299" spans="3:38" x14ac:dyDescent="0.35">
      <c r="D299" s="155"/>
      <c r="E299" s="104"/>
      <c r="W299" s="2"/>
      <c r="X299" s="2"/>
      <c r="Y299" s="2"/>
      <c r="Z299" s="2"/>
      <c r="AA299" s="2"/>
      <c r="AB299" s="2"/>
      <c r="AC299" s="2"/>
      <c r="AD299" s="2"/>
      <c r="AE299" s="2"/>
      <c r="AF299" s="2"/>
      <c r="AG299" s="2"/>
      <c r="AH299" s="2"/>
      <c r="AI299" s="2"/>
      <c r="AJ299" s="2"/>
      <c r="AK299" s="2"/>
      <c r="AL299" s="2"/>
    </row>
    <row r="300" spans="3:38" x14ac:dyDescent="0.35">
      <c r="D300" s="155"/>
      <c r="E300" s="104"/>
      <c r="W300" s="2"/>
      <c r="X300" s="2"/>
      <c r="Y300" s="2"/>
      <c r="Z300" s="2"/>
      <c r="AA300" s="2"/>
      <c r="AB300" s="2"/>
      <c r="AC300" s="2"/>
      <c r="AD300" s="2"/>
      <c r="AE300" s="2"/>
      <c r="AF300" s="2"/>
      <c r="AG300" s="2"/>
      <c r="AH300" s="2"/>
      <c r="AI300" s="2"/>
      <c r="AJ300" s="2"/>
      <c r="AK300" s="2"/>
      <c r="AL300" s="2"/>
    </row>
    <row r="301" spans="3:38" ht="16" thickBot="1" x14ac:dyDescent="0.4">
      <c r="D301" s="155"/>
      <c r="E301" s="104" t="s">
        <v>81</v>
      </c>
      <c r="F301" s="13"/>
      <c r="G301" s="13"/>
      <c r="H301" s="9" t="s">
        <v>3</v>
      </c>
      <c r="I301" s="9" t="s">
        <v>4</v>
      </c>
      <c r="J301" s="9" t="s">
        <v>5</v>
      </c>
      <c r="K301" s="9" t="s">
        <v>6</v>
      </c>
      <c r="L301" s="9" t="s">
        <v>7</v>
      </c>
      <c r="M301" s="9" t="s">
        <v>8</v>
      </c>
      <c r="N301" s="9" t="s">
        <v>9</v>
      </c>
      <c r="O301" s="9" t="s">
        <v>10</v>
      </c>
      <c r="P301" s="44" t="s">
        <v>139</v>
      </c>
      <c r="Q301" s="2"/>
      <c r="R301" s="2"/>
      <c r="W301" s="2"/>
      <c r="X301" s="2"/>
      <c r="Y301" s="2"/>
      <c r="Z301" s="2"/>
      <c r="AA301" s="2"/>
      <c r="AB301" s="2"/>
      <c r="AC301" s="2"/>
      <c r="AD301" s="2"/>
      <c r="AE301" s="2"/>
      <c r="AF301" s="2"/>
      <c r="AG301" s="2"/>
      <c r="AH301" s="2"/>
      <c r="AI301" s="2"/>
      <c r="AJ301" s="2"/>
      <c r="AK301" s="2"/>
      <c r="AL301" s="2"/>
    </row>
    <row r="302" spans="3:38" x14ac:dyDescent="0.35">
      <c r="D302" s="155"/>
      <c r="E302" s="104"/>
      <c r="F302" s="13"/>
      <c r="G302" s="49" t="s">
        <v>77</v>
      </c>
      <c r="H302" s="13">
        <f>AVERAGE(H281,H283,H285,H287,H289,H291)</f>
        <v>1.8773349999999975</v>
      </c>
      <c r="I302" s="13">
        <f t="shared" ref="I302:P302" si="206">AVERAGE(I281,I283,I285,I287,I289,I291)</f>
        <v>9.4483050000000048</v>
      </c>
      <c r="J302" s="13">
        <f t="shared" si="206"/>
        <v>0.18681327967444361</v>
      </c>
      <c r="K302" s="13">
        <f t="shared" si="206"/>
        <v>0.8131867203255565</v>
      </c>
      <c r="L302" s="13">
        <f t="shared" si="206"/>
        <v>0.57188840412831998</v>
      </c>
      <c r="M302" s="13">
        <f t="shared" si="206"/>
        <v>9.6804427143242597E-2</v>
      </c>
      <c r="N302" s="13">
        <f t="shared" si="206"/>
        <v>11.325640000000002</v>
      </c>
      <c r="O302" s="13">
        <f t="shared" si="206"/>
        <v>15.5</v>
      </c>
      <c r="P302" s="13">
        <f t="shared" si="206"/>
        <v>8.3804021060053113</v>
      </c>
      <c r="Q302" s="2"/>
      <c r="R302" s="2"/>
      <c r="W302" s="2"/>
      <c r="X302" s="2"/>
      <c r="Y302" s="2"/>
      <c r="Z302" s="2"/>
      <c r="AA302" s="2"/>
      <c r="AB302" s="2"/>
      <c r="AC302" s="2"/>
      <c r="AD302" s="2"/>
      <c r="AE302" s="2"/>
      <c r="AF302" s="2"/>
      <c r="AG302" s="2"/>
      <c r="AH302" s="2"/>
      <c r="AI302" s="2"/>
      <c r="AJ302" s="2"/>
      <c r="AK302" s="2"/>
      <c r="AL302" s="2"/>
    </row>
    <row r="303" spans="3:38" x14ac:dyDescent="0.35">
      <c r="D303" s="155"/>
      <c r="E303" s="104"/>
      <c r="F303" s="13"/>
      <c r="G303" s="49" t="s">
        <v>94</v>
      </c>
      <c r="H303" s="2">
        <f>_xlfn.STDEV.S(H281,H283,H285,H287,H289,H291)</f>
        <v>0.49689152730752262</v>
      </c>
      <c r="I303" s="2">
        <f t="shared" ref="I303:P303" si="207">_xlfn.STDEV.S(I281,I283,I285,I287,I289,I291)</f>
        <v>3.6630106032101466</v>
      </c>
      <c r="J303" s="2">
        <f t="shared" si="207"/>
        <v>0.10423483472620274</v>
      </c>
      <c r="K303" s="2">
        <f t="shared" si="207"/>
        <v>0.10423483472620332</v>
      </c>
      <c r="L303" s="2">
        <f t="shared" si="207"/>
        <v>0.17844525461250363</v>
      </c>
      <c r="M303" s="2">
        <f t="shared" si="207"/>
        <v>3.5012191774702925E-2</v>
      </c>
      <c r="N303" s="2">
        <f t="shared" si="207"/>
        <v>3.5612170133031817</v>
      </c>
      <c r="O303" s="2">
        <f t="shared" si="207"/>
        <v>4.135214625627067</v>
      </c>
      <c r="P303" s="2">
        <f t="shared" si="207"/>
        <v>1.2823230696088528</v>
      </c>
      <c r="Q303" s="2"/>
      <c r="R303" s="2"/>
      <c r="W303" s="2"/>
      <c r="X303" s="2"/>
      <c r="Y303" s="2"/>
      <c r="Z303" s="2"/>
      <c r="AA303" s="2"/>
      <c r="AB303" s="2"/>
      <c r="AC303" s="2"/>
      <c r="AD303" s="2"/>
      <c r="AE303" s="2"/>
      <c r="AF303" s="2"/>
      <c r="AG303" s="2"/>
      <c r="AH303" s="2"/>
      <c r="AI303" s="2"/>
      <c r="AJ303" s="2"/>
      <c r="AK303" s="2"/>
      <c r="AL303" s="2"/>
    </row>
    <row r="304" spans="3:38" x14ac:dyDescent="0.35">
      <c r="D304" s="155"/>
      <c r="E304" s="104"/>
      <c r="F304" s="13"/>
      <c r="G304" s="49" t="s">
        <v>95</v>
      </c>
      <c r="H304" s="2">
        <f>H303/(SQRT(COUNT(H281,H283,H285,H287,H289,H291)))</f>
        <v>0.20285511656927405</v>
      </c>
      <c r="I304" s="2">
        <f t="shared" ref="I304:P304" si="208">I303/(SQRT(COUNT(I281,I283,I285,I287,I289,I291)))</f>
        <v>1.4954178167115462</v>
      </c>
      <c r="J304" s="2">
        <f t="shared" si="208"/>
        <v>4.2553693083755575E-2</v>
      </c>
      <c r="K304" s="2">
        <f t="shared" si="208"/>
        <v>4.2553693083755811E-2</v>
      </c>
      <c r="L304" s="2">
        <f t="shared" si="208"/>
        <v>7.2849970136943373E-2</v>
      </c>
      <c r="M304" s="2">
        <f t="shared" si="208"/>
        <v>1.4293667437415397E-2</v>
      </c>
      <c r="N304" s="2">
        <f t="shared" si="208"/>
        <v>1.4538607576518483</v>
      </c>
      <c r="O304" s="2">
        <f t="shared" si="208"/>
        <v>1.6881943016134136</v>
      </c>
      <c r="P304" s="2">
        <f t="shared" si="208"/>
        <v>0.52350620099018741</v>
      </c>
      <c r="Q304" s="2"/>
      <c r="R304" s="2"/>
      <c r="W304" s="2"/>
      <c r="X304" s="2"/>
      <c r="Y304" s="2"/>
      <c r="Z304" s="2"/>
      <c r="AA304" s="2"/>
      <c r="AB304" s="2"/>
      <c r="AC304" s="2"/>
      <c r="AD304" s="2"/>
      <c r="AE304" s="2"/>
      <c r="AF304" s="2"/>
      <c r="AG304" s="2"/>
      <c r="AH304" s="2"/>
      <c r="AI304" s="2"/>
      <c r="AJ304" s="2"/>
      <c r="AK304" s="2"/>
      <c r="AL304" s="2"/>
    </row>
    <row r="305" spans="5:38" x14ac:dyDescent="0.35">
      <c r="E305" s="104"/>
      <c r="F305" s="13"/>
      <c r="G305" s="49"/>
      <c r="H305" s="2"/>
      <c r="I305" s="2"/>
      <c r="J305" s="2"/>
      <c r="K305" s="2"/>
      <c r="L305" s="2"/>
      <c r="M305" s="2"/>
      <c r="N305" s="2"/>
      <c r="O305" s="2"/>
      <c r="P305" s="2"/>
      <c r="Q305" s="2"/>
      <c r="R305" s="2"/>
      <c r="W305" s="2"/>
      <c r="X305" s="2"/>
      <c r="Y305" s="2"/>
      <c r="Z305" s="2"/>
      <c r="AA305" s="2"/>
      <c r="AB305" s="2"/>
      <c r="AC305" s="2"/>
      <c r="AD305" s="2"/>
      <c r="AE305" s="2"/>
      <c r="AF305" s="2"/>
      <c r="AG305" s="2"/>
      <c r="AH305" s="2"/>
      <c r="AI305" s="2"/>
      <c r="AJ305" s="2"/>
      <c r="AK305" s="2"/>
      <c r="AL305" s="2"/>
    </row>
    <row r="306" spans="5:38" x14ac:dyDescent="0.35">
      <c r="E306" s="104"/>
      <c r="W306" s="2"/>
      <c r="X306" s="2"/>
      <c r="Y306" s="2"/>
      <c r="Z306" s="2"/>
      <c r="AA306" s="2"/>
      <c r="AB306" s="2"/>
      <c r="AC306" s="2"/>
      <c r="AD306" s="2"/>
      <c r="AE306" s="2"/>
      <c r="AF306" s="2"/>
      <c r="AG306" s="2"/>
      <c r="AH306" s="2"/>
      <c r="AI306" s="2"/>
      <c r="AJ306" s="2"/>
      <c r="AK306" s="2"/>
      <c r="AL306" s="2"/>
    </row>
    <row r="307" spans="5:38" ht="16" thickBot="1" x14ac:dyDescent="0.4">
      <c r="E307" s="104" t="s">
        <v>82</v>
      </c>
      <c r="F307" s="13"/>
      <c r="G307" s="13"/>
      <c r="H307" s="9" t="s">
        <v>3</v>
      </c>
      <c r="I307" s="9" t="s">
        <v>4</v>
      </c>
      <c r="J307" s="9" t="s">
        <v>5</v>
      </c>
      <c r="K307" s="9" t="s">
        <v>6</v>
      </c>
      <c r="L307" s="9" t="s">
        <v>7</v>
      </c>
      <c r="M307" s="9" t="s">
        <v>8</v>
      </c>
      <c r="N307" s="9" t="s">
        <v>9</v>
      </c>
      <c r="O307" s="9" t="s">
        <v>10</v>
      </c>
      <c r="P307" s="44" t="s">
        <v>139</v>
      </c>
      <c r="W307" s="2"/>
      <c r="X307" s="2"/>
      <c r="Y307" s="2"/>
      <c r="Z307" s="2"/>
      <c r="AA307" s="2"/>
      <c r="AB307" s="2"/>
      <c r="AC307" s="2"/>
      <c r="AD307" s="2"/>
      <c r="AE307" s="2"/>
      <c r="AF307" s="2"/>
      <c r="AG307" s="2"/>
      <c r="AH307" s="2"/>
      <c r="AI307" s="2"/>
      <c r="AJ307" s="2"/>
      <c r="AK307" s="2"/>
      <c r="AL307" s="2"/>
    </row>
    <row r="308" spans="5:38" x14ac:dyDescent="0.35">
      <c r="E308" s="104"/>
      <c r="F308" s="13"/>
      <c r="G308" s="49" t="s">
        <v>77</v>
      </c>
      <c r="H308" s="13">
        <f>AVERAGE(H282,H284,H286,H288,H290)</f>
        <v>3.3285859999999845</v>
      </c>
      <c r="I308" s="13">
        <f t="shared" ref="I308:P308" si="209">AVERAGE(I282,I284,I286,I288,I290)</f>
        <v>6.1733080000000085</v>
      </c>
      <c r="J308" s="13">
        <f t="shared" si="209"/>
        <v>0.35075013346167144</v>
      </c>
      <c r="K308" s="13">
        <f t="shared" si="209"/>
        <v>0.64924986653832861</v>
      </c>
      <c r="L308" s="13">
        <f t="shared" si="209"/>
        <v>0.30374302141758219</v>
      </c>
      <c r="M308" s="13">
        <f t="shared" si="209"/>
        <v>0.10612441381709621</v>
      </c>
      <c r="N308" s="13">
        <f t="shared" si="209"/>
        <v>9.501893999999993</v>
      </c>
      <c r="O308" s="13">
        <f t="shared" si="209"/>
        <v>29.2</v>
      </c>
      <c r="P308" s="13">
        <f t="shared" si="209"/>
        <v>8.7862011738108681</v>
      </c>
      <c r="W308" s="2"/>
      <c r="X308" s="2"/>
      <c r="Y308" s="2"/>
      <c r="Z308" s="2"/>
      <c r="AA308" s="2"/>
      <c r="AB308" s="2"/>
      <c r="AC308" s="2"/>
      <c r="AD308" s="2"/>
      <c r="AE308" s="2"/>
      <c r="AF308" s="2"/>
      <c r="AG308" s="2"/>
      <c r="AH308" s="2"/>
      <c r="AI308" s="2"/>
      <c r="AJ308" s="2"/>
      <c r="AK308" s="2"/>
      <c r="AL308" s="2"/>
    </row>
    <row r="309" spans="5:38" x14ac:dyDescent="0.35">
      <c r="E309" s="104"/>
      <c r="F309" s="13"/>
      <c r="G309" s="49" t="s">
        <v>94</v>
      </c>
      <c r="H309" s="2">
        <f>_xlfn.STDEV.S(H282,H284,H286,H288,H290)</f>
        <v>0.40231580851365728</v>
      </c>
      <c r="I309" s="2">
        <f t="shared" ref="I309:P309" si="210">_xlfn.STDEV.S(I282,I284,I286,I288,I290)</f>
        <v>0.72075729335193084</v>
      </c>
      <c r="J309" s="2">
        <f t="shared" si="210"/>
        <v>2.9542946926401262E-2</v>
      </c>
      <c r="K309" s="2">
        <f t="shared" si="210"/>
        <v>2.9542946926401258E-2</v>
      </c>
      <c r="L309" s="2">
        <f t="shared" si="210"/>
        <v>3.4519325840862917E-2</v>
      </c>
      <c r="M309" s="2">
        <f t="shared" si="210"/>
        <v>1.1262973772126643E-2</v>
      </c>
      <c r="N309" s="2">
        <f t="shared" si="210"/>
        <v>0.93216510422243493</v>
      </c>
      <c r="O309" s="2">
        <f t="shared" si="210"/>
        <v>3.5637059362410985</v>
      </c>
      <c r="P309" s="2">
        <f t="shared" si="210"/>
        <v>0.70234338109370731</v>
      </c>
      <c r="W309" s="2"/>
      <c r="X309" s="2"/>
      <c r="Y309" s="2"/>
      <c r="Z309" s="2"/>
      <c r="AA309" s="2"/>
      <c r="AB309" s="2"/>
      <c r="AC309" s="2"/>
      <c r="AD309" s="2"/>
      <c r="AE309" s="2"/>
      <c r="AF309" s="2"/>
      <c r="AG309" s="2"/>
      <c r="AH309" s="2"/>
      <c r="AI309" s="2"/>
      <c r="AJ309" s="2"/>
      <c r="AK309" s="2"/>
      <c r="AL309" s="2"/>
    </row>
    <row r="310" spans="5:38" x14ac:dyDescent="0.35">
      <c r="E310" s="104"/>
      <c r="F310" s="13"/>
      <c r="G310" s="49" t="s">
        <v>95</v>
      </c>
      <c r="H310" s="2">
        <f>H309/(SQRT(COUNT(H282,H284,H286,H288,H290)))</f>
        <v>0.17992109925186525</v>
      </c>
      <c r="I310" s="2">
        <f t="shared" ref="I310:P310" si="211">I309/(SQRT(COUNT(I282,I284,I286,I288,I290)))</f>
        <v>0.32233246064273491</v>
      </c>
      <c r="J310" s="2">
        <f t="shared" si="211"/>
        <v>1.3212007516620338E-2</v>
      </c>
      <c r="K310" s="2">
        <f t="shared" si="211"/>
        <v>1.3212007516620338E-2</v>
      </c>
      <c r="L310" s="2">
        <f t="shared" si="211"/>
        <v>1.5437511823526914E-2</v>
      </c>
      <c r="M310" s="2">
        <f t="shared" si="211"/>
        <v>5.03695499665448E-3</v>
      </c>
      <c r="N310" s="2">
        <f t="shared" si="211"/>
        <v>0.41687690785890813</v>
      </c>
      <c r="O310" s="2">
        <f t="shared" si="211"/>
        <v>1.5937377450509254</v>
      </c>
      <c r="P310" s="2">
        <f t="shared" si="211"/>
        <v>0.31409750873451403</v>
      </c>
      <c r="W310" s="2"/>
      <c r="X310" s="2"/>
      <c r="Y310" s="2"/>
      <c r="Z310" s="2"/>
      <c r="AA310" s="2"/>
      <c r="AB310" s="2"/>
      <c r="AC310" s="2"/>
      <c r="AD310" s="2"/>
      <c r="AE310" s="2"/>
      <c r="AF310" s="2"/>
      <c r="AG310" s="2"/>
      <c r="AH310" s="2"/>
      <c r="AI310" s="2"/>
      <c r="AJ310" s="2"/>
      <c r="AK310" s="2"/>
      <c r="AL310" s="2"/>
    </row>
    <row r="311" spans="5:38" x14ac:dyDescent="0.35">
      <c r="W311" s="2"/>
      <c r="X311" s="2"/>
      <c r="Y311" s="2"/>
      <c r="Z311" s="2"/>
      <c r="AA311" s="2"/>
      <c r="AB311" s="2"/>
      <c r="AC311" s="2"/>
      <c r="AD311" s="2"/>
      <c r="AE311" s="2"/>
      <c r="AF311" s="2"/>
      <c r="AG311" s="2"/>
      <c r="AH311" s="2"/>
      <c r="AI311" s="2"/>
      <c r="AJ311" s="2"/>
      <c r="AK311" s="2"/>
      <c r="AL311" s="2"/>
    </row>
    <row r="312" spans="5:38" x14ac:dyDescent="0.35">
      <c r="W312" s="2"/>
      <c r="X312" s="2"/>
      <c r="Y312" s="2"/>
      <c r="Z312" s="2"/>
      <c r="AA312" s="2"/>
      <c r="AB312" s="2"/>
      <c r="AC312" s="2"/>
      <c r="AD312" s="2"/>
      <c r="AE312" s="2"/>
      <c r="AF312" s="2"/>
      <c r="AG312" s="2"/>
      <c r="AH312" s="2"/>
      <c r="AI312" s="2"/>
      <c r="AJ312" s="2"/>
      <c r="AK312" s="2"/>
      <c r="AL312" s="2"/>
    </row>
    <row r="313" spans="5:38" x14ac:dyDescent="0.35">
      <c r="W313" s="2"/>
      <c r="X313" s="2"/>
      <c r="Y313" s="2"/>
      <c r="Z313" s="2"/>
      <c r="AA313" s="2"/>
      <c r="AB313" s="2"/>
      <c r="AC313" s="2"/>
      <c r="AD313" s="2"/>
      <c r="AE313" s="2"/>
      <c r="AF313" s="2"/>
      <c r="AG313" s="2"/>
      <c r="AH313" s="2"/>
      <c r="AI313" s="2"/>
      <c r="AJ313" s="2"/>
      <c r="AK313" s="2"/>
      <c r="AL313" s="2"/>
    </row>
    <row r="314" spans="5:38" x14ac:dyDescent="0.35">
      <c r="W314" s="2"/>
      <c r="X314" s="2"/>
      <c r="Y314" s="2"/>
      <c r="Z314" s="2"/>
      <c r="AA314" s="2"/>
      <c r="AB314" s="2"/>
      <c r="AC314" s="2"/>
      <c r="AD314" s="2"/>
      <c r="AE314" s="2"/>
      <c r="AF314" s="2"/>
      <c r="AG314" s="2"/>
      <c r="AH314" s="2"/>
      <c r="AI314" s="2"/>
      <c r="AJ314" s="2"/>
      <c r="AK314" s="2"/>
      <c r="AL314" s="2"/>
    </row>
    <row r="315" spans="5:38" x14ac:dyDescent="0.35">
      <c r="W315" s="2"/>
      <c r="X315" s="2"/>
      <c r="Y315" s="2"/>
      <c r="Z315" s="2"/>
      <c r="AA315" s="2"/>
      <c r="AB315" s="2"/>
      <c r="AC315" s="2"/>
      <c r="AD315" s="2"/>
      <c r="AE315" s="2"/>
      <c r="AF315" s="2"/>
      <c r="AG315" s="2"/>
      <c r="AH315" s="2"/>
      <c r="AI315" s="2"/>
      <c r="AJ315" s="2"/>
      <c r="AK315" s="2"/>
      <c r="AL315" s="2"/>
    </row>
    <row r="316" spans="5:38" x14ac:dyDescent="0.35">
      <c r="W316" s="2"/>
      <c r="X316" s="2"/>
      <c r="Y316" s="2"/>
      <c r="Z316" s="2"/>
      <c r="AA316" s="2"/>
      <c r="AB316" s="2"/>
      <c r="AC316" s="2"/>
      <c r="AD316" s="2"/>
      <c r="AE316" s="2"/>
      <c r="AF316" s="2"/>
      <c r="AG316" s="2"/>
      <c r="AH316" s="2"/>
      <c r="AI316" s="2"/>
      <c r="AJ316" s="2"/>
      <c r="AK316" s="2"/>
      <c r="AL316" s="2"/>
    </row>
    <row r="317" spans="5:38" x14ac:dyDescent="0.35">
      <c r="W317" s="2"/>
      <c r="X317" s="2"/>
      <c r="Y317" s="2"/>
      <c r="Z317" s="2"/>
      <c r="AA317" s="2"/>
      <c r="AB317" s="2"/>
      <c r="AC317" s="2"/>
      <c r="AD317" s="2"/>
      <c r="AE317" s="2"/>
      <c r="AF317" s="2"/>
      <c r="AG317" s="2"/>
      <c r="AH317" s="2"/>
      <c r="AI317" s="2"/>
      <c r="AJ317" s="2"/>
      <c r="AK317" s="2"/>
      <c r="AL317" s="2"/>
    </row>
  </sheetData>
  <pageMargins left="0.7" right="0.7" top="0.75" bottom="0.75" header="0.3" footer="0.3"/>
  <pageSetup orientation="portrait" horizontalDpi="0"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O492"/>
  <sheetViews>
    <sheetView zoomScaleNormal="100" workbookViewId="0">
      <selection activeCell="W30" sqref="W30"/>
    </sheetView>
  </sheetViews>
  <sheetFormatPr defaultRowHeight="14.5" x14ac:dyDescent="0.35"/>
  <sheetData>
    <row r="4" spans="2:38" ht="18.5" x14ac:dyDescent="0.45">
      <c r="B4" s="2"/>
      <c r="C4" s="1" t="s">
        <v>449</v>
      </c>
      <c r="D4" s="2"/>
      <c r="E4" s="2"/>
      <c r="F4" s="2"/>
      <c r="G4" s="2"/>
      <c r="H4" s="2"/>
      <c r="I4" s="2"/>
      <c r="J4" s="2"/>
      <c r="K4" s="2"/>
      <c r="L4" s="2"/>
      <c r="M4" s="2"/>
      <c r="N4" s="2"/>
      <c r="O4" s="2"/>
    </row>
    <row r="5" spans="2:38" ht="18.5" x14ac:dyDescent="0.45">
      <c r="B5" s="2"/>
      <c r="C5" s="2"/>
      <c r="D5" s="2"/>
      <c r="E5" s="2"/>
      <c r="F5" s="1" t="s">
        <v>0</v>
      </c>
      <c r="G5" s="3"/>
      <c r="H5" s="3"/>
      <c r="I5" s="3"/>
      <c r="J5" s="3"/>
      <c r="K5" s="3"/>
      <c r="L5" s="3"/>
      <c r="M5" s="3"/>
      <c r="N5" s="3"/>
      <c r="O5" s="3"/>
      <c r="Z5" s="1" t="s">
        <v>91</v>
      </c>
      <c r="AA5" s="3"/>
      <c r="AB5" s="3"/>
      <c r="AC5" s="3"/>
      <c r="AD5" s="3"/>
      <c r="AE5" s="3"/>
      <c r="AF5" s="3"/>
      <c r="AG5" s="3"/>
      <c r="AH5" s="3"/>
      <c r="AI5" s="3"/>
    </row>
    <row r="6" spans="2:38"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W6" s="204" t="s">
        <v>122</v>
      </c>
      <c r="X6" s="204" t="s">
        <v>406</v>
      </c>
      <c r="Z6" s="9" t="s">
        <v>1</v>
      </c>
      <c r="AA6" s="9" t="s">
        <v>2</v>
      </c>
      <c r="AB6" s="9" t="s">
        <v>3</v>
      </c>
      <c r="AC6" s="9" t="s">
        <v>4</v>
      </c>
      <c r="AD6" s="9" t="s">
        <v>5</v>
      </c>
      <c r="AE6" s="9" t="s">
        <v>6</v>
      </c>
      <c r="AF6" s="9" t="s">
        <v>7</v>
      </c>
      <c r="AG6" s="9" t="s">
        <v>8</v>
      </c>
      <c r="AH6" s="9" t="s">
        <v>9</v>
      </c>
      <c r="AI6" s="9" t="s">
        <v>10</v>
      </c>
      <c r="AJ6" s="44" t="s">
        <v>139</v>
      </c>
      <c r="AL6" s="44" t="s">
        <v>138</v>
      </c>
    </row>
    <row r="7" spans="2:38" x14ac:dyDescent="0.35">
      <c r="B7" s="2"/>
      <c r="C7" s="2" t="s">
        <v>713</v>
      </c>
      <c r="D7" s="2"/>
      <c r="E7" s="2"/>
      <c r="F7" s="2">
        <v>8.7471399999999999</v>
      </c>
      <c r="G7" s="2">
        <v>12.678649999999999</v>
      </c>
      <c r="H7" s="2">
        <f>G7-F7</f>
        <v>3.9315099999999994</v>
      </c>
      <c r="I7" s="2">
        <f>F8-G7</f>
        <v>11.99732</v>
      </c>
      <c r="J7" s="2">
        <f>H7/N7</f>
        <v>0.24681724897559956</v>
      </c>
      <c r="K7" s="2">
        <f>I7/N7</f>
        <v>0.75318275102440047</v>
      </c>
      <c r="L7" s="2">
        <f>1/H7</f>
        <v>0.25435519685820462</v>
      </c>
      <c r="M7" s="2">
        <f>1/N7</f>
        <v>6.2779249951189137E-2</v>
      </c>
      <c r="N7" s="2">
        <f>H7+I7</f>
        <v>15.92883</v>
      </c>
      <c r="O7" s="2">
        <v>21</v>
      </c>
      <c r="P7">
        <f>O7/H7</f>
        <v>5.3414591340222977</v>
      </c>
      <c r="R7" t="s">
        <v>476</v>
      </c>
      <c r="W7" s="260" t="s">
        <v>541</v>
      </c>
      <c r="X7" s="155">
        <v>0</v>
      </c>
      <c r="Z7" s="2">
        <v>3.66736</v>
      </c>
      <c r="AA7" s="2">
        <v>7.2262300000000002</v>
      </c>
      <c r="AB7" s="2">
        <f>AA7-Z7</f>
        <v>3.5588700000000002</v>
      </c>
      <c r="AC7" s="2">
        <f>Z8-AA7</f>
        <v>6.0837600000000007</v>
      </c>
      <c r="AD7" s="2">
        <f>AB7/AH7</f>
        <v>0.36907669380656521</v>
      </c>
      <c r="AE7" s="2">
        <f>AC7/AH7</f>
        <v>0.63092330619343484</v>
      </c>
      <c r="AF7" s="2">
        <f>1/AB7</f>
        <v>0.2809880664368184</v>
      </c>
      <c r="AG7" s="2">
        <f>1/AH7</f>
        <v>0.10370614655960043</v>
      </c>
      <c r="AH7" s="2">
        <f>AB7+AC7</f>
        <v>9.6426300000000005</v>
      </c>
      <c r="AI7" s="2">
        <v>14</v>
      </c>
      <c r="AJ7">
        <f>AI7/AB7</f>
        <v>3.9338329301154578</v>
      </c>
      <c r="AL7" t="s">
        <v>493</v>
      </c>
    </row>
    <row r="8" spans="2:38" x14ac:dyDescent="0.35">
      <c r="B8" s="2"/>
      <c r="C8" s="258" t="s">
        <v>32</v>
      </c>
      <c r="D8" s="2"/>
      <c r="E8" s="2"/>
      <c r="F8" s="2">
        <v>24.67597</v>
      </c>
      <c r="G8" s="2">
        <v>28.730709999999998</v>
      </c>
      <c r="H8" s="2">
        <f t="shared" ref="H8:H21" si="0">G8-F8</f>
        <v>4.0547399999999989</v>
      </c>
      <c r="I8" s="2">
        <f t="shared" ref="I8:I20" si="1">F9-G8</f>
        <v>12.810190000000002</v>
      </c>
      <c r="J8" s="2">
        <f t="shared" ref="J8:J20" si="2">H8/N8</f>
        <v>0.24042435989950736</v>
      </c>
      <c r="K8" s="2">
        <f t="shared" ref="K8:K20" si="3">I8/N8</f>
        <v>0.75957564010049261</v>
      </c>
      <c r="L8" s="2">
        <f t="shared" ref="L8:L20" si="4">1/H8</f>
        <v>0.24662493772720329</v>
      </c>
      <c r="M8" s="2">
        <f t="shared" ref="M8:M20" si="5">1/N8</f>
        <v>5.9294642788318717E-2</v>
      </c>
      <c r="N8" s="2">
        <f t="shared" ref="N8:N20" si="6">H8+I8</f>
        <v>16.864930000000001</v>
      </c>
      <c r="O8" s="2">
        <v>23</v>
      </c>
      <c r="P8">
        <f t="shared" ref="P8:P20" si="7">O8/H8</f>
        <v>5.6723735677256757</v>
      </c>
      <c r="W8" s="260" t="s">
        <v>541</v>
      </c>
      <c r="X8" s="155">
        <v>0</v>
      </c>
      <c r="Z8" s="2">
        <v>13.309990000000001</v>
      </c>
      <c r="AA8" s="2">
        <v>18.12067</v>
      </c>
      <c r="AB8" s="2">
        <f t="shared" ref="AB8:AB28" si="8">AA8-Z8</f>
        <v>4.8106799999999996</v>
      </c>
      <c r="AC8" s="2">
        <f t="shared" ref="AC8:AC27" si="9">Z9-AA8</f>
        <v>17.971599999999999</v>
      </c>
      <c r="AD8" s="2">
        <f t="shared" ref="AD8:AD27" si="10">AB8/AH8</f>
        <v>0.21115884801696755</v>
      </c>
      <c r="AE8" s="2">
        <f t="shared" ref="AE8:AE27" si="11">AC8/AH8</f>
        <v>0.7888411519830324</v>
      </c>
      <c r="AF8" s="2">
        <f t="shared" ref="AF8:AF27" si="12">1/AB8</f>
        <v>0.20787082075714869</v>
      </c>
      <c r="AG8" s="2">
        <f t="shared" ref="AG8:AG27" si="13">1/AH8</f>
        <v>4.3893763047421062E-2</v>
      </c>
      <c r="AH8" s="2">
        <f t="shared" ref="AH8:AH27" si="14">AB8+AC8</f>
        <v>22.78228</v>
      </c>
      <c r="AI8" s="2">
        <v>22</v>
      </c>
      <c r="AJ8">
        <f t="shared" ref="AJ8:AJ27" si="15">AI8/AB8</f>
        <v>4.5731580566572712</v>
      </c>
    </row>
    <row r="9" spans="2:38" x14ac:dyDescent="0.35">
      <c r="B9" s="2"/>
      <c r="C9" s="258" t="s">
        <v>32</v>
      </c>
      <c r="D9" s="2"/>
      <c r="E9" s="2"/>
      <c r="F9" s="13">
        <v>41.540900000000001</v>
      </c>
      <c r="G9" s="2">
        <v>45.395960000000002</v>
      </c>
      <c r="H9" s="2">
        <f t="shared" si="0"/>
        <v>3.8550600000000017</v>
      </c>
      <c r="I9" s="2">
        <f t="shared" si="1"/>
        <v>13.931999999999995</v>
      </c>
      <c r="J9" s="2">
        <f t="shared" si="2"/>
        <v>0.21673396277968379</v>
      </c>
      <c r="K9" s="2">
        <f t="shared" si="3"/>
        <v>0.78326603722031618</v>
      </c>
      <c r="L9" s="2">
        <f t="shared" si="4"/>
        <v>0.25939933490010519</v>
      </c>
      <c r="M9" s="2">
        <f t="shared" si="5"/>
        <v>5.6220645795314134E-2</v>
      </c>
      <c r="N9" s="2">
        <f t="shared" si="6"/>
        <v>17.787059999999997</v>
      </c>
      <c r="O9" s="2">
        <v>22</v>
      </c>
      <c r="P9">
        <f t="shared" si="7"/>
        <v>5.7067853678023148</v>
      </c>
      <c r="W9" s="260"/>
      <c r="X9" s="155">
        <v>0</v>
      </c>
      <c r="Z9" s="13">
        <v>36.092269999999999</v>
      </c>
      <c r="AA9" s="2">
        <v>40.659030000000001</v>
      </c>
      <c r="AB9" s="2">
        <f t="shared" si="8"/>
        <v>4.5667600000000022</v>
      </c>
      <c r="AC9" s="2">
        <f t="shared" si="9"/>
        <v>3.8893300000000011</v>
      </c>
      <c r="AD9" s="2">
        <f t="shared" si="10"/>
        <v>0.54005574680496549</v>
      </c>
      <c r="AE9" s="2">
        <f t="shared" si="11"/>
        <v>0.45994425319503451</v>
      </c>
      <c r="AF9" s="2">
        <f t="shared" si="12"/>
        <v>0.21897362681638613</v>
      </c>
      <c r="AG9" s="2">
        <f t="shared" si="13"/>
        <v>0.11825796556091522</v>
      </c>
      <c r="AH9" s="2">
        <f t="shared" si="14"/>
        <v>8.4560900000000032</v>
      </c>
      <c r="AI9" s="2">
        <v>17</v>
      </c>
      <c r="AJ9">
        <f t="shared" si="15"/>
        <v>3.7225516558785641</v>
      </c>
    </row>
    <row r="10" spans="2:38" x14ac:dyDescent="0.35">
      <c r="B10" s="2"/>
      <c r="C10" s="258" t="s">
        <v>32</v>
      </c>
      <c r="D10" s="2"/>
      <c r="E10" s="2"/>
      <c r="F10" s="13">
        <v>59.327959999999997</v>
      </c>
      <c r="G10" s="2">
        <v>63.658940000000001</v>
      </c>
      <c r="H10" s="2">
        <f t="shared" si="0"/>
        <v>4.3309800000000038</v>
      </c>
      <c r="I10" s="2">
        <f t="shared" si="1"/>
        <v>11.559709999999995</v>
      </c>
      <c r="J10" s="2">
        <f t="shared" si="2"/>
        <v>0.27254826568261065</v>
      </c>
      <c r="K10" s="2">
        <f t="shared" si="3"/>
        <v>0.72745173431738941</v>
      </c>
      <c r="L10" s="2">
        <f t="shared" si="4"/>
        <v>0.23089462431135657</v>
      </c>
      <c r="M10" s="2">
        <f t="shared" si="5"/>
        <v>6.2929929411498178E-2</v>
      </c>
      <c r="N10" s="2">
        <f t="shared" si="6"/>
        <v>15.890689999999999</v>
      </c>
      <c r="O10" s="2">
        <v>26</v>
      </c>
      <c r="P10">
        <f t="shared" si="7"/>
        <v>6.003260232095271</v>
      </c>
      <c r="W10" s="260" t="s">
        <v>541</v>
      </c>
      <c r="X10" s="155">
        <v>0</v>
      </c>
      <c r="Z10" s="13">
        <v>44.548360000000002</v>
      </c>
      <c r="AA10" s="2">
        <v>46.940179999999998</v>
      </c>
      <c r="AB10" s="2">
        <f t="shared" si="8"/>
        <v>2.3918199999999956</v>
      </c>
      <c r="AC10" s="2">
        <f t="shared" si="9"/>
        <v>8.6162700000000001</v>
      </c>
      <c r="AD10" s="2">
        <f t="shared" si="10"/>
        <v>0.21727838344344899</v>
      </c>
      <c r="AE10" s="2">
        <f t="shared" si="11"/>
        <v>0.78272161655655104</v>
      </c>
      <c r="AF10" s="2">
        <f t="shared" si="12"/>
        <v>0.41809166241606888</v>
      </c>
      <c r="AG10" s="2">
        <f t="shared" si="13"/>
        <v>9.0842280540947645E-2</v>
      </c>
      <c r="AH10" s="2">
        <f t="shared" si="14"/>
        <v>11.008089999999996</v>
      </c>
      <c r="AI10" s="2">
        <v>13</v>
      </c>
      <c r="AJ10">
        <f t="shared" si="15"/>
        <v>5.4351916114088956</v>
      </c>
    </row>
    <row r="11" spans="2:38" x14ac:dyDescent="0.35">
      <c r="B11" s="2"/>
      <c r="C11" s="258" t="s">
        <v>32</v>
      </c>
      <c r="D11" s="2"/>
      <c r="E11" s="2"/>
      <c r="F11" s="13">
        <v>75.218649999999997</v>
      </c>
      <c r="G11" s="2">
        <v>79.518590000000003</v>
      </c>
      <c r="H11" s="2">
        <f t="shared" si="0"/>
        <v>4.2999400000000065</v>
      </c>
      <c r="I11" s="2">
        <f t="shared" si="1"/>
        <v>11.579669999999993</v>
      </c>
      <c r="J11" s="2">
        <f t="shared" si="2"/>
        <v>0.27078372831574621</v>
      </c>
      <c r="K11" s="2">
        <f t="shared" si="3"/>
        <v>0.72921627168425374</v>
      </c>
      <c r="L11" s="2">
        <f t="shared" si="4"/>
        <v>0.23256138457745887</v>
      </c>
      <c r="M11" s="2">
        <f t="shared" si="5"/>
        <v>6.2973838778156391E-2</v>
      </c>
      <c r="N11" s="2">
        <f t="shared" si="6"/>
        <v>15.87961</v>
      </c>
      <c r="O11" s="2">
        <v>27</v>
      </c>
      <c r="P11">
        <f t="shared" si="7"/>
        <v>6.2791573835913894</v>
      </c>
      <c r="W11" s="260"/>
      <c r="X11" s="155">
        <v>0</v>
      </c>
      <c r="Z11" s="13">
        <v>55.556449999999998</v>
      </c>
      <c r="AA11" s="2">
        <v>59.246450000000003</v>
      </c>
      <c r="AB11" s="2">
        <f t="shared" si="8"/>
        <v>3.6900000000000048</v>
      </c>
      <c r="AC11" s="2">
        <f t="shared" si="9"/>
        <v>5.5531199999999998</v>
      </c>
      <c r="AD11" s="2">
        <f t="shared" si="10"/>
        <v>0.39921584919377906</v>
      </c>
      <c r="AE11" s="2">
        <f t="shared" si="11"/>
        <v>0.60078415080622094</v>
      </c>
      <c r="AF11" s="2">
        <f t="shared" si="12"/>
        <v>0.27100271002709991</v>
      </c>
      <c r="AG11" s="2">
        <f t="shared" si="13"/>
        <v>0.10818857701728415</v>
      </c>
      <c r="AH11" s="2">
        <f t="shared" si="14"/>
        <v>9.2431200000000047</v>
      </c>
      <c r="AI11" s="2">
        <v>17</v>
      </c>
      <c r="AJ11">
        <f t="shared" si="15"/>
        <v>4.6070460704606981</v>
      </c>
    </row>
    <row r="12" spans="2:38" x14ac:dyDescent="0.35">
      <c r="B12" s="2"/>
      <c r="C12" s="258" t="s">
        <v>32</v>
      </c>
      <c r="D12" s="2"/>
      <c r="E12" s="2"/>
      <c r="F12" s="13">
        <v>91.098259999999996</v>
      </c>
      <c r="G12" s="2">
        <v>95.241749999999996</v>
      </c>
      <c r="H12" s="2">
        <f t="shared" si="0"/>
        <v>4.1434899999999999</v>
      </c>
      <c r="I12" s="2">
        <f t="shared" si="1"/>
        <v>13.477510000000009</v>
      </c>
      <c r="J12" s="2">
        <f t="shared" si="2"/>
        <v>0.2351449974462288</v>
      </c>
      <c r="K12" s="2">
        <f t="shared" si="3"/>
        <v>0.76485500255377115</v>
      </c>
      <c r="L12" s="2">
        <f t="shared" si="4"/>
        <v>0.24134244320608955</v>
      </c>
      <c r="M12" s="2">
        <f t="shared" si="5"/>
        <v>5.6750468191362549E-2</v>
      </c>
      <c r="N12" s="2">
        <f t="shared" si="6"/>
        <v>17.621000000000009</v>
      </c>
      <c r="O12" s="2">
        <v>24</v>
      </c>
      <c r="P12">
        <f t="shared" si="7"/>
        <v>5.7922186369461492</v>
      </c>
      <c r="W12" s="260" t="s">
        <v>541</v>
      </c>
      <c r="X12" s="155">
        <v>0</v>
      </c>
      <c r="Z12" s="13">
        <v>64.799570000000003</v>
      </c>
      <c r="AA12" s="2">
        <v>68.292190000000005</v>
      </c>
      <c r="AB12" s="2">
        <f t="shared" si="8"/>
        <v>3.4926200000000023</v>
      </c>
      <c r="AC12" s="2">
        <f t="shared" si="9"/>
        <v>9.0851399999999956</v>
      </c>
      <c r="AD12" s="2">
        <f t="shared" si="10"/>
        <v>0.27768219460380883</v>
      </c>
      <c r="AE12" s="2">
        <f t="shared" si="11"/>
        <v>0.72231780539619117</v>
      </c>
      <c r="AF12" s="2">
        <f t="shared" si="12"/>
        <v>0.28631800768477517</v>
      </c>
      <c r="AG12" s="2">
        <f t="shared" si="13"/>
        <v>7.9505412728498565E-2</v>
      </c>
      <c r="AH12" s="2">
        <f t="shared" si="14"/>
        <v>12.577759999999998</v>
      </c>
      <c r="AI12" s="2">
        <v>17</v>
      </c>
      <c r="AJ12">
        <f t="shared" si="15"/>
        <v>4.8674061306411778</v>
      </c>
    </row>
    <row r="13" spans="2:38" x14ac:dyDescent="0.35">
      <c r="B13" s="2"/>
      <c r="C13" s="258" t="s">
        <v>32</v>
      </c>
      <c r="D13" s="2"/>
      <c r="E13" s="2"/>
      <c r="F13" s="13">
        <v>108.71926000000001</v>
      </c>
      <c r="G13" s="2">
        <v>112.95585</v>
      </c>
      <c r="H13" s="2">
        <f t="shared" si="0"/>
        <v>4.2365899999999925</v>
      </c>
      <c r="I13" s="2">
        <f t="shared" si="1"/>
        <v>11.464770000000001</v>
      </c>
      <c r="J13" s="2">
        <f t="shared" si="2"/>
        <v>0.26982312360203153</v>
      </c>
      <c r="K13" s="2">
        <f t="shared" si="3"/>
        <v>0.73017687639796847</v>
      </c>
      <c r="L13" s="2">
        <f t="shared" si="4"/>
        <v>0.2360388897674785</v>
      </c>
      <c r="M13" s="2">
        <f t="shared" si="5"/>
        <v>6.3688750528616653E-2</v>
      </c>
      <c r="N13" s="2">
        <f t="shared" si="6"/>
        <v>15.701359999999994</v>
      </c>
      <c r="O13" s="2">
        <v>26</v>
      </c>
      <c r="P13">
        <f t="shared" si="7"/>
        <v>6.1370111339544415</v>
      </c>
      <c r="W13" s="260"/>
      <c r="X13" s="155">
        <v>0</v>
      </c>
      <c r="Z13" s="13">
        <v>77.377330000000001</v>
      </c>
      <c r="AA13" s="2">
        <v>81.299059999999997</v>
      </c>
      <c r="AB13" s="2">
        <f t="shared" si="8"/>
        <v>3.9217299999999966</v>
      </c>
      <c r="AC13" s="2">
        <f t="shared" si="9"/>
        <v>4.3012000000000086</v>
      </c>
      <c r="AD13" s="2">
        <f t="shared" si="10"/>
        <v>0.47692610784720219</v>
      </c>
      <c r="AE13" s="2">
        <f t="shared" si="11"/>
        <v>0.52307389215279787</v>
      </c>
      <c r="AF13" s="2">
        <f t="shared" si="12"/>
        <v>0.25498950718177971</v>
      </c>
      <c r="AG13" s="2">
        <f t="shared" si="13"/>
        <v>0.12161115320208239</v>
      </c>
      <c r="AH13" s="2">
        <f t="shared" si="14"/>
        <v>8.2229300000000052</v>
      </c>
      <c r="AI13" s="2">
        <v>19</v>
      </c>
      <c r="AJ13">
        <f t="shared" si="15"/>
        <v>4.8448006364538143</v>
      </c>
    </row>
    <row r="14" spans="2:38" x14ac:dyDescent="0.35">
      <c r="B14" s="2"/>
      <c r="C14" s="258" t="s">
        <v>32</v>
      </c>
      <c r="D14" s="2"/>
      <c r="E14" s="2"/>
      <c r="F14" s="13">
        <v>124.42062</v>
      </c>
      <c r="G14" s="2">
        <v>127.57706</v>
      </c>
      <c r="H14" s="2">
        <f t="shared" si="0"/>
        <v>3.1564400000000035</v>
      </c>
      <c r="I14" s="2">
        <f t="shared" si="1"/>
        <v>12.631379999999993</v>
      </c>
      <c r="J14" s="2">
        <f t="shared" si="2"/>
        <v>0.19992880587693579</v>
      </c>
      <c r="K14" s="2">
        <f t="shared" si="3"/>
        <v>0.80007119412306427</v>
      </c>
      <c r="L14" s="2">
        <f t="shared" si="4"/>
        <v>0.31681261167644525</v>
      </c>
      <c r="M14" s="2">
        <f t="shared" si="5"/>
        <v>6.3339967139225059E-2</v>
      </c>
      <c r="N14" s="2">
        <f t="shared" si="6"/>
        <v>15.787819999999996</v>
      </c>
      <c r="O14" s="2">
        <v>22</v>
      </c>
      <c r="P14">
        <f t="shared" si="7"/>
        <v>6.9698774568817958</v>
      </c>
      <c r="R14" t="s">
        <v>477</v>
      </c>
      <c r="W14" s="260" t="s">
        <v>541</v>
      </c>
      <c r="X14" s="155">
        <v>0</v>
      </c>
      <c r="Z14" s="13">
        <v>85.600260000000006</v>
      </c>
      <c r="AA14" s="2">
        <v>88.595219999999998</v>
      </c>
      <c r="AB14" s="2">
        <f t="shared" si="8"/>
        <v>2.9949599999999919</v>
      </c>
      <c r="AC14" s="2">
        <f t="shared" si="9"/>
        <v>7.8978100000000069</v>
      </c>
      <c r="AD14" s="2">
        <f t="shared" si="10"/>
        <v>0.27494934713575997</v>
      </c>
      <c r="AE14" s="2">
        <f t="shared" si="11"/>
        <v>0.72505065286423998</v>
      </c>
      <c r="AF14" s="2">
        <f t="shared" si="12"/>
        <v>0.33389427571653801</v>
      </c>
      <c r="AG14" s="2">
        <f t="shared" si="13"/>
        <v>9.1804013120629566E-2</v>
      </c>
      <c r="AH14" s="2">
        <f t="shared" si="14"/>
        <v>10.892769999999999</v>
      </c>
      <c r="AI14" s="2">
        <v>15</v>
      </c>
      <c r="AJ14">
        <f t="shared" si="15"/>
        <v>5.0084141357480707</v>
      </c>
    </row>
    <row r="15" spans="2:38" x14ac:dyDescent="0.35">
      <c r="B15" s="2"/>
      <c r="C15" s="258" t="s">
        <v>32</v>
      </c>
      <c r="D15" s="2"/>
      <c r="E15" s="2"/>
      <c r="F15" s="13">
        <v>140.20844</v>
      </c>
      <c r="G15" s="2">
        <v>143.33125000000001</v>
      </c>
      <c r="H15" s="2">
        <f t="shared" si="0"/>
        <v>3.1228100000000154</v>
      </c>
      <c r="I15" s="2">
        <f t="shared" si="1"/>
        <v>12.681919999999991</v>
      </c>
      <c r="J15" s="2">
        <f t="shared" si="2"/>
        <v>0.19758705147130096</v>
      </c>
      <c r="K15" s="2">
        <f t="shared" si="3"/>
        <v>0.80241294852869904</v>
      </c>
      <c r="L15" s="2">
        <f t="shared" si="4"/>
        <v>0.32022441326881723</v>
      </c>
      <c r="M15" s="2">
        <f t="shared" si="5"/>
        <v>6.3272197626912927E-2</v>
      </c>
      <c r="N15" s="2">
        <f t="shared" si="6"/>
        <v>15.804730000000006</v>
      </c>
      <c r="O15" s="2">
        <v>23</v>
      </c>
      <c r="P15">
        <f t="shared" si="7"/>
        <v>7.3651615051827957</v>
      </c>
      <c r="W15" s="260"/>
      <c r="X15" s="155">
        <v>0</v>
      </c>
      <c r="Z15" s="13">
        <v>96.493030000000005</v>
      </c>
      <c r="AA15" s="2">
        <v>101.16521</v>
      </c>
      <c r="AB15" s="2">
        <f t="shared" si="8"/>
        <v>4.6721799999999973</v>
      </c>
      <c r="AC15" s="2">
        <f t="shared" si="9"/>
        <v>4.4029000000000025</v>
      </c>
      <c r="AD15" s="2">
        <f t="shared" si="10"/>
        <v>0.51483623284863578</v>
      </c>
      <c r="AE15" s="2">
        <f t="shared" si="11"/>
        <v>0.48516376715136422</v>
      </c>
      <c r="AF15" s="2">
        <f t="shared" si="12"/>
        <v>0.21403284976178155</v>
      </c>
      <c r="AG15" s="2">
        <f t="shared" si="13"/>
        <v>0.11019186607721365</v>
      </c>
      <c r="AH15" s="2">
        <f t="shared" si="14"/>
        <v>9.0750799999999998</v>
      </c>
      <c r="AI15" s="2">
        <v>23</v>
      </c>
      <c r="AJ15">
        <f t="shared" si="15"/>
        <v>4.9227555445209763</v>
      </c>
    </row>
    <row r="16" spans="2:38" x14ac:dyDescent="0.35">
      <c r="B16" s="2"/>
      <c r="C16" s="258" t="s">
        <v>32</v>
      </c>
      <c r="D16" s="2"/>
      <c r="E16" s="2"/>
      <c r="F16" s="13">
        <v>156.01317</v>
      </c>
      <c r="G16" s="2">
        <v>159.11887999999999</v>
      </c>
      <c r="H16" s="2">
        <f t="shared" si="0"/>
        <v>3.1057099999999878</v>
      </c>
      <c r="I16" s="2">
        <f t="shared" si="1"/>
        <v>13.562049999999999</v>
      </c>
      <c r="J16" s="2">
        <f t="shared" si="2"/>
        <v>0.18633037672728611</v>
      </c>
      <c r="K16" s="2">
        <f t="shared" si="3"/>
        <v>0.81366962327271386</v>
      </c>
      <c r="L16" s="2">
        <f t="shared" si="4"/>
        <v>0.32198756484024715</v>
      </c>
      <c r="M16" s="2">
        <f t="shared" si="5"/>
        <v>5.9996064258184711E-2</v>
      </c>
      <c r="N16" s="2">
        <f t="shared" si="6"/>
        <v>16.667759999999987</v>
      </c>
      <c r="O16" s="2">
        <v>22</v>
      </c>
      <c r="P16">
        <f t="shared" si="7"/>
        <v>7.0837264264854367</v>
      </c>
      <c r="W16" s="260" t="s">
        <v>541</v>
      </c>
      <c r="X16" s="155">
        <v>0</v>
      </c>
      <c r="Z16" s="13">
        <v>105.56811</v>
      </c>
      <c r="AA16" s="2">
        <v>109.54871</v>
      </c>
      <c r="AB16" s="2">
        <f t="shared" si="8"/>
        <v>3.9805999999999955</v>
      </c>
      <c r="AC16" s="2">
        <f t="shared" si="9"/>
        <v>8.8249200000000059</v>
      </c>
      <c r="AD16" s="2">
        <f t="shared" si="10"/>
        <v>0.31085032079915498</v>
      </c>
      <c r="AE16" s="2">
        <f t="shared" si="11"/>
        <v>0.68914967920084502</v>
      </c>
      <c r="AF16" s="2">
        <f t="shared" si="12"/>
        <v>0.2512184092850327</v>
      </c>
      <c r="AG16" s="2">
        <f t="shared" si="13"/>
        <v>7.8091323116905823E-2</v>
      </c>
      <c r="AH16" s="2">
        <f t="shared" si="14"/>
        <v>12.805520000000001</v>
      </c>
      <c r="AI16" s="2">
        <v>27</v>
      </c>
      <c r="AJ16">
        <f t="shared" si="15"/>
        <v>6.7828970506958823</v>
      </c>
    </row>
    <row r="17" spans="2:39" x14ac:dyDescent="0.35">
      <c r="B17" s="2"/>
      <c r="C17" s="258" t="s">
        <v>32</v>
      </c>
      <c r="D17" s="2"/>
      <c r="E17" s="2"/>
      <c r="F17" s="13">
        <v>172.68092999999999</v>
      </c>
      <c r="G17" s="2">
        <v>176.70632000000001</v>
      </c>
      <c r="H17" s="2">
        <f t="shared" si="0"/>
        <v>4.0253900000000158</v>
      </c>
      <c r="I17" s="2">
        <f t="shared" si="1"/>
        <v>10.665629999999993</v>
      </c>
      <c r="J17" s="2">
        <f t="shared" si="2"/>
        <v>0.27400343883542555</v>
      </c>
      <c r="K17" s="2">
        <f t="shared" si="3"/>
        <v>0.72599656116457445</v>
      </c>
      <c r="L17" s="2">
        <f t="shared" si="4"/>
        <v>0.24842313415594416</v>
      </c>
      <c r="M17" s="2">
        <f t="shared" si="5"/>
        <v>6.8068793045002962E-2</v>
      </c>
      <c r="N17" s="2">
        <f t="shared" si="6"/>
        <v>14.691020000000009</v>
      </c>
      <c r="O17" s="2">
        <v>27</v>
      </c>
      <c r="P17">
        <f t="shared" si="7"/>
        <v>6.7074246222104925</v>
      </c>
      <c r="W17" s="260"/>
      <c r="X17" s="155">
        <v>0</v>
      </c>
      <c r="Z17" s="13">
        <v>118.37363000000001</v>
      </c>
      <c r="AA17" s="2">
        <v>122.9191</v>
      </c>
      <c r="AB17" s="2">
        <f t="shared" si="8"/>
        <v>4.5454699999999946</v>
      </c>
      <c r="AC17" s="2">
        <f t="shared" si="9"/>
        <v>4.1062399999999997</v>
      </c>
      <c r="AD17" s="2">
        <f t="shared" si="10"/>
        <v>0.52538399923252144</v>
      </c>
      <c r="AE17" s="2">
        <f t="shared" si="11"/>
        <v>0.47461600076747862</v>
      </c>
      <c r="AF17" s="2">
        <f t="shared" si="12"/>
        <v>0.21999925200254344</v>
      </c>
      <c r="AG17" s="2">
        <f t="shared" si="13"/>
        <v>0.11558408684525957</v>
      </c>
      <c r="AH17" s="2">
        <f t="shared" si="14"/>
        <v>8.6517099999999942</v>
      </c>
      <c r="AI17" s="2">
        <v>18</v>
      </c>
      <c r="AJ17">
        <f t="shared" si="15"/>
        <v>3.9599865360457822</v>
      </c>
      <c r="AL17" t="s">
        <v>494</v>
      </c>
    </row>
    <row r="18" spans="2:39" x14ac:dyDescent="0.35">
      <c r="B18" s="2"/>
      <c r="C18" s="258" t="s">
        <v>32</v>
      </c>
      <c r="D18" s="2"/>
      <c r="E18" s="2"/>
      <c r="F18" s="13">
        <v>187.37195</v>
      </c>
      <c r="G18" s="2">
        <v>191.51496</v>
      </c>
      <c r="H18" s="2">
        <f t="shared" si="0"/>
        <v>4.1430100000000039</v>
      </c>
      <c r="I18" s="2">
        <f t="shared" si="1"/>
        <v>13.322759999999988</v>
      </c>
      <c r="J18" s="2">
        <f t="shared" si="2"/>
        <v>0.23720740625806969</v>
      </c>
      <c r="K18" s="2">
        <f t="shared" si="3"/>
        <v>0.76279259374193031</v>
      </c>
      <c r="L18" s="2">
        <f t="shared" si="4"/>
        <v>0.24137040460920903</v>
      </c>
      <c r="M18" s="2">
        <f t="shared" si="5"/>
        <v>5.7254847624811298E-2</v>
      </c>
      <c r="N18" s="2">
        <f t="shared" si="6"/>
        <v>17.465769999999992</v>
      </c>
      <c r="O18" s="2">
        <v>28</v>
      </c>
      <c r="P18">
        <f t="shared" si="7"/>
        <v>6.7583713290578524</v>
      </c>
      <c r="W18" s="260" t="s">
        <v>541</v>
      </c>
      <c r="X18" s="155">
        <v>0</v>
      </c>
      <c r="Z18" s="13">
        <v>127.02534</v>
      </c>
      <c r="AA18" s="2">
        <v>132.40539000000001</v>
      </c>
      <c r="AB18" s="2">
        <f t="shared" si="8"/>
        <v>5.3800500000000113</v>
      </c>
      <c r="AC18" s="2">
        <f t="shared" si="9"/>
        <v>6.8872499999999945</v>
      </c>
      <c r="AD18" s="2">
        <f t="shared" si="10"/>
        <v>0.43856838913208357</v>
      </c>
      <c r="AE18" s="2">
        <f t="shared" si="11"/>
        <v>0.56143161086791649</v>
      </c>
      <c r="AF18" s="2">
        <f t="shared" si="12"/>
        <v>0.1858718785141398</v>
      </c>
      <c r="AG18" s="2">
        <f t="shared" si="13"/>
        <v>8.1517530344900627E-2</v>
      </c>
      <c r="AH18" s="2">
        <f t="shared" si="14"/>
        <v>12.267300000000006</v>
      </c>
      <c r="AI18" s="2">
        <v>29</v>
      </c>
      <c r="AJ18">
        <f t="shared" si="15"/>
        <v>5.3902844769100549</v>
      </c>
    </row>
    <row r="19" spans="2:39" x14ac:dyDescent="0.35">
      <c r="B19" s="2"/>
      <c r="C19" s="258" t="s">
        <v>32</v>
      </c>
      <c r="D19" s="2"/>
      <c r="E19" s="2"/>
      <c r="F19" s="13">
        <v>204.83771999999999</v>
      </c>
      <c r="G19" s="2">
        <v>208.22004000000001</v>
      </c>
      <c r="H19" s="2">
        <f t="shared" si="0"/>
        <v>3.3823200000000213</v>
      </c>
      <c r="I19" s="2">
        <f t="shared" si="1"/>
        <v>12.297709999999995</v>
      </c>
      <c r="J19" s="2">
        <f t="shared" si="2"/>
        <v>0.21570877096536281</v>
      </c>
      <c r="K19" s="2">
        <f t="shared" si="3"/>
        <v>0.78429122903463722</v>
      </c>
      <c r="L19" s="2">
        <f t="shared" si="4"/>
        <v>0.29565505333616976</v>
      </c>
      <c r="M19" s="2">
        <f t="shared" si="5"/>
        <v>6.3775388184843962E-2</v>
      </c>
      <c r="N19" s="2">
        <f t="shared" si="6"/>
        <v>15.680030000000016</v>
      </c>
      <c r="O19" s="2">
        <v>24</v>
      </c>
      <c r="P19">
        <f t="shared" si="7"/>
        <v>7.0957212800680738</v>
      </c>
      <c r="W19" s="260"/>
      <c r="X19" s="155">
        <v>0</v>
      </c>
      <c r="Z19" s="13">
        <v>139.29264000000001</v>
      </c>
      <c r="AA19" s="2">
        <v>144.02260999999999</v>
      </c>
      <c r="AB19" s="2">
        <f t="shared" si="8"/>
        <v>4.7299699999999802</v>
      </c>
      <c r="AC19" s="2">
        <f t="shared" si="9"/>
        <v>4.7469800000000077</v>
      </c>
      <c r="AD19" s="2">
        <f t="shared" si="10"/>
        <v>0.49910255936772763</v>
      </c>
      <c r="AE19" s="2">
        <f t="shared" si="11"/>
        <v>0.50089744063227237</v>
      </c>
      <c r="AF19" s="2">
        <f t="shared" si="12"/>
        <v>0.21141783140273704</v>
      </c>
      <c r="AG19" s="2">
        <f t="shared" si="13"/>
        <v>0.1055191807490808</v>
      </c>
      <c r="AH19" s="2">
        <f t="shared" si="14"/>
        <v>9.476949999999988</v>
      </c>
      <c r="AI19" s="2">
        <v>31</v>
      </c>
      <c r="AJ19">
        <f t="shared" si="15"/>
        <v>6.5539527734848484</v>
      </c>
    </row>
    <row r="20" spans="2:39" x14ac:dyDescent="0.35">
      <c r="B20" s="2"/>
      <c r="C20" s="258" t="s">
        <v>32</v>
      </c>
      <c r="D20" s="2"/>
      <c r="E20" s="2"/>
      <c r="F20" s="13">
        <v>220.51775000000001</v>
      </c>
      <c r="G20">
        <v>223.71501000000001</v>
      </c>
      <c r="H20" s="2">
        <f t="shared" si="0"/>
        <v>3.19726</v>
      </c>
      <c r="I20" s="2">
        <f t="shared" si="1"/>
        <v>12.29613999999998</v>
      </c>
      <c r="J20" s="2">
        <f t="shared" si="2"/>
        <v>0.20636270928266257</v>
      </c>
      <c r="K20" s="2">
        <f t="shared" si="3"/>
        <v>0.79363729071733746</v>
      </c>
      <c r="L20" s="2">
        <f t="shared" si="4"/>
        <v>0.31276780743511634</v>
      </c>
      <c r="M20" s="2">
        <f t="shared" si="5"/>
        <v>6.4543612118708696E-2</v>
      </c>
      <c r="N20" s="2">
        <f t="shared" si="6"/>
        <v>15.49339999999998</v>
      </c>
      <c r="O20" s="2">
        <v>23</v>
      </c>
      <c r="P20">
        <f t="shared" si="7"/>
        <v>7.1936595710076752</v>
      </c>
      <c r="W20" s="260" t="s">
        <v>541</v>
      </c>
      <c r="X20" s="155">
        <v>0</v>
      </c>
      <c r="Z20" s="13">
        <v>148.76958999999999</v>
      </c>
      <c r="AA20" s="2">
        <v>153.35052999999999</v>
      </c>
      <c r="AB20" s="2">
        <f t="shared" si="8"/>
        <v>4.5809399999999982</v>
      </c>
      <c r="AC20" s="2">
        <f t="shared" si="9"/>
        <v>7.9098100000000215</v>
      </c>
      <c r="AD20" s="2">
        <f t="shared" si="10"/>
        <v>0.36674659247843333</v>
      </c>
      <c r="AE20" s="2">
        <f t="shared" si="11"/>
        <v>0.63325340752156667</v>
      </c>
      <c r="AF20" s="2">
        <f t="shared" si="12"/>
        <v>0.21829580828388942</v>
      </c>
      <c r="AG20" s="2">
        <f t="shared" si="13"/>
        <v>8.0059243840441802E-2</v>
      </c>
      <c r="AH20" s="2">
        <f t="shared" si="14"/>
        <v>12.49075000000002</v>
      </c>
      <c r="AI20" s="2">
        <v>29</v>
      </c>
      <c r="AJ20">
        <f t="shared" si="15"/>
        <v>6.3305784402327934</v>
      </c>
    </row>
    <row r="21" spans="2:39" x14ac:dyDescent="0.35">
      <c r="B21" s="2"/>
      <c r="C21" s="258" t="s">
        <v>326</v>
      </c>
      <c r="D21" s="2"/>
      <c r="E21" s="2"/>
      <c r="F21" s="13">
        <v>236.01114999999999</v>
      </c>
      <c r="G21">
        <v>239.94076000000001</v>
      </c>
      <c r="H21" s="2">
        <f t="shared" si="0"/>
        <v>3.9296100000000251</v>
      </c>
      <c r="I21" s="2"/>
      <c r="J21" s="2"/>
      <c r="K21" s="2"/>
      <c r="L21" s="2"/>
      <c r="M21" s="2"/>
      <c r="N21" s="2"/>
      <c r="O21" s="2"/>
      <c r="W21" s="260"/>
      <c r="X21" s="155">
        <v>0</v>
      </c>
      <c r="Z21" s="13">
        <v>161.26034000000001</v>
      </c>
      <c r="AA21" s="2">
        <v>165.80484999999999</v>
      </c>
      <c r="AB21" s="2">
        <f t="shared" si="8"/>
        <v>4.5445099999999741</v>
      </c>
      <c r="AC21" s="2">
        <f t="shared" si="9"/>
        <v>4.2382100000000094</v>
      </c>
      <c r="AD21" s="2">
        <f t="shared" si="10"/>
        <v>0.51743765029512301</v>
      </c>
      <c r="AE21" s="2">
        <f t="shared" si="11"/>
        <v>0.48256234970487699</v>
      </c>
      <c r="AF21" s="2">
        <f t="shared" si="12"/>
        <v>0.22004572550176052</v>
      </c>
      <c r="AG21" s="2">
        <f t="shared" si="13"/>
        <v>0.11385994316111658</v>
      </c>
      <c r="AH21" s="2">
        <f t="shared" si="14"/>
        <v>8.7827199999999834</v>
      </c>
      <c r="AI21" s="2">
        <v>31</v>
      </c>
      <c r="AJ21">
        <f t="shared" si="15"/>
        <v>6.8214174905545759</v>
      </c>
    </row>
    <row r="22" spans="2:39" x14ac:dyDescent="0.35">
      <c r="B22" s="2"/>
      <c r="C22" s="258"/>
      <c r="D22" s="2"/>
      <c r="E22" s="2"/>
      <c r="F22" s="13"/>
      <c r="W22" s="260" t="s">
        <v>541</v>
      </c>
      <c r="X22" s="155">
        <v>0</v>
      </c>
      <c r="Z22" s="13">
        <v>170.04306</v>
      </c>
      <c r="AA22" s="13">
        <v>173.65110000000001</v>
      </c>
      <c r="AB22" s="2">
        <f t="shared" si="8"/>
        <v>3.6080400000000168</v>
      </c>
      <c r="AC22" s="2">
        <f t="shared" si="9"/>
        <v>7.6626999999999725</v>
      </c>
      <c r="AD22" s="2">
        <f t="shared" si="10"/>
        <v>0.32012449936739029</v>
      </c>
      <c r="AE22" s="2">
        <f t="shared" si="11"/>
        <v>0.67987550063260971</v>
      </c>
      <c r="AF22" s="2">
        <f t="shared" si="12"/>
        <v>0.27715878981385889</v>
      </c>
      <c r="AG22" s="2">
        <f t="shared" si="13"/>
        <v>8.8725318834433312E-2</v>
      </c>
      <c r="AH22" s="2">
        <f t="shared" si="14"/>
        <v>11.270739999999989</v>
      </c>
      <c r="AI22" s="2">
        <v>24</v>
      </c>
      <c r="AJ22">
        <f t="shared" si="15"/>
        <v>6.6518109555326124</v>
      </c>
    </row>
    <row r="23" spans="2:39" ht="16" thickBot="1" x14ac:dyDescent="0.4">
      <c r="B23" s="2"/>
      <c r="C23" s="258"/>
      <c r="D23" s="2"/>
      <c r="E23" s="2"/>
      <c r="F23" s="13"/>
      <c r="G23" s="13"/>
      <c r="H23" s="9" t="s">
        <v>3</v>
      </c>
      <c r="I23" s="9" t="s">
        <v>4</v>
      </c>
      <c r="J23" s="9" t="s">
        <v>5</v>
      </c>
      <c r="K23" s="9" t="s">
        <v>6</v>
      </c>
      <c r="L23" s="9" t="s">
        <v>7</v>
      </c>
      <c r="M23" s="9" t="s">
        <v>8</v>
      </c>
      <c r="N23" s="9" t="s">
        <v>9</v>
      </c>
      <c r="O23" s="9" t="s">
        <v>10</v>
      </c>
      <c r="P23" s="44" t="s">
        <v>139</v>
      </c>
      <c r="W23" s="260"/>
      <c r="X23" s="155">
        <v>0</v>
      </c>
      <c r="Z23" s="13">
        <v>181.31379999999999</v>
      </c>
      <c r="AA23" s="13">
        <v>186.4607</v>
      </c>
      <c r="AB23" s="2">
        <f t="shared" si="8"/>
        <v>5.1469000000000165</v>
      </c>
      <c r="AC23" s="2">
        <f t="shared" si="9"/>
        <v>4.2858099999999979</v>
      </c>
      <c r="AD23" s="2">
        <f t="shared" si="10"/>
        <v>0.54564382876183071</v>
      </c>
      <c r="AE23" s="2">
        <f t="shared" si="11"/>
        <v>0.45435617123816924</v>
      </c>
      <c r="AF23" s="2">
        <f t="shared" si="12"/>
        <v>0.19429170957275191</v>
      </c>
      <c r="AG23" s="2">
        <f t="shared" si="13"/>
        <v>0.10601407230795799</v>
      </c>
      <c r="AH23" s="2">
        <f t="shared" si="14"/>
        <v>9.4327100000000144</v>
      </c>
      <c r="AI23" s="2">
        <v>31</v>
      </c>
      <c r="AJ23">
        <f t="shared" si="15"/>
        <v>6.0230429967553087</v>
      </c>
    </row>
    <row r="24" spans="2:39" x14ac:dyDescent="0.35">
      <c r="B24" s="2"/>
      <c r="C24" s="2"/>
      <c r="D24" s="2"/>
      <c r="E24" s="2"/>
      <c r="F24" s="13"/>
      <c r="G24" s="49" t="s">
        <v>77</v>
      </c>
      <c r="H24" s="13">
        <f>AVERAGE(H7:H20)</f>
        <v>3.7846607142857178</v>
      </c>
      <c r="I24" s="13">
        <f t="shared" ref="I24:P24" si="16">AVERAGE(I7:I20)</f>
        <v>12.448482857142853</v>
      </c>
      <c r="J24" s="13">
        <f t="shared" si="16"/>
        <v>0.2335288747227465</v>
      </c>
      <c r="K24" s="13">
        <f t="shared" si="16"/>
        <v>0.76647112527725347</v>
      </c>
      <c r="L24" s="13">
        <f t="shared" si="16"/>
        <v>0.26846127147641752</v>
      </c>
      <c r="M24" s="13">
        <f t="shared" si="16"/>
        <v>6.177774253158181E-2</v>
      </c>
      <c r="N24" s="13">
        <f t="shared" si="16"/>
        <v>16.23314357142857</v>
      </c>
      <c r="O24" s="13">
        <f t="shared" si="16"/>
        <v>24.142857142857142</v>
      </c>
      <c r="P24" s="13">
        <f t="shared" si="16"/>
        <v>6.4361576890736902</v>
      </c>
      <c r="W24" s="260" t="s">
        <v>541</v>
      </c>
      <c r="X24" s="155">
        <v>0</v>
      </c>
      <c r="Z24">
        <v>190.74651</v>
      </c>
      <c r="AA24">
        <v>195.08978999999999</v>
      </c>
      <c r="AB24" s="2">
        <f t="shared" si="8"/>
        <v>4.3432799999999929</v>
      </c>
      <c r="AC24" s="2">
        <f t="shared" si="9"/>
        <v>6.8302000000000191</v>
      </c>
      <c r="AD24" s="2">
        <f t="shared" si="10"/>
        <v>0.38871327464675182</v>
      </c>
      <c r="AE24" s="2">
        <f t="shared" si="11"/>
        <v>0.61128672535324824</v>
      </c>
      <c r="AF24" s="2">
        <f t="shared" si="12"/>
        <v>0.23024073971744893</v>
      </c>
      <c r="AG24" s="2">
        <f t="shared" si="13"/>
        <v>8.9497631892660023E-2</v>
      </c>
      <c r="AH24" s="2">
        <f t="shared" si="14"/>
        <v>11.173480000000012</v>
      </c>
      <c r="AI24">
        <v>27</v>
      </c>
      <c r="AJ24">
        <f t="shared" si="15"/>
        <v>6.2164999723711212</v>
      </c>
    </row>
    <row r="25" spans="2:39" x14ac:dyDescent="0.35">
      <c r="B25" s="2"/>
      <c r="C25" s="2"/>
      <c r="D25" s="2"/>
      <c r="E25" s="2"/>
      <c r="F25" s="13"/>
      <c r="G25" s="49" t="s">
        <v>94</v>
      </c>
      <c r="H25" s="2">
        <f>_xlfn.STDEV.S(H7:H20)</f>
        <v>0.47905385821291646</v>
      </c>
      <c r="I25" s="2">
        <f t="shared" ref="I25:P25" si="17">_xlfn.STDEV.S(I7:I20)</f>
        <v>0.93740171143784223</v>
      </c>
      <c r="J25" s="2">
        <f t="shared" si="17"/>
        <v>3.0498770580372071E-2</v>
      </c>
      <c r="K25" s="2">
        <f t="shared" si="17"/>
        <v>3.0498770580371787E-2</v>
      </c>
      <c r="L25" s="2">
        <f t="shared" si="17"/>
        <v>3.6124756046329649E-2</v>
      </c>
      <c r="M25" s="2">
        <f t="shared" si="17"/>
        <v>3.3884030971299542E-3</v>
      </c>
      <c r="N25" s="2">
        <f t="shared" si="17"/>
        <v>0.90634632893754785</v>
      </c>
      <c r="O25" s="2">
        <f t="shared" si="17"/>
        <v>2.2483204964917824</v>
      </c>
      <c r="P25" s="2">
        <f t="shared" si="17"/>
        <v>0.66699102306483604</v>
      </c>
      <c r="W25" s="260" t="s">
        <v>541</v>
      </c>
      <c r="X25" s="155">
        <v>0</v>
      </c>
      <c r="Z25">
        <v>201.91999000000001</v>
      </c>
      <c r="AA25">
        <v>206.54239999999999</v>
      </c>
      <c r="AB25" s="2">
        <f t="shared" si="8"/>
        <v>4.6224099999999737</v>
      </c>
      <c r="AC25" s="2">
        <f t="shared" si="9"/>
        <v>5.9407900000000211</v>
      </c>
      <c r="AD25" s="2">
        <f t="shared" si="10"/>
        <v>0.43759561496515981</v>
      </c>
      <c r="AE25" s="2">
        <f t="shared" si="11"/>
        <v>0.56240438503484025</v>
      </c>
      <c r="AF25" s="2">
        <f t="shared" si="12"/>
        <v>0.21633736514069624</v>
      </c>
      <c r="AG25" s="2">
        <f t="shared" si="13"/>
        <v>9.4668282338685295E-2</v>
      </c>
      <c r="AH25" s="2">
        <f t="shared" si="14"/>
        <v>10.563199999999995</v>
      </c>
      <c r="AI25">
        <v>29</v>
      </c>
      <c r="AJ25">
        <f t="shared" si="15"/>
        <v>6.2737835890801907</v>
      </c>
    </row>
    <row r="26" spans="2:39" x14ac:dyDescent="0.35">
      <c r="B26" s="2"/>
      <c r="C26" s="2"/>
      <c r="D26" s="2"/>
      <c r="E26" s="2"/>
      <c r="F26" s="13"/>
      <c r="G26" s="49" t="s">
        <v>95</v>
      </c>
      <c r="H26" s="2">
        <f>H25/(SQRT(COUNT(H7:H20)))</f>
        <v>0.12803252908892251</v>
      </c>
      <c r="I26" s="2">
        <f t="shared" ref="I26:P26" si="18">I25/(SQRT(COUNT(I7:I20)))</f>
        <v>0.25053114556970979</v>
      </c>
      <c r="J26" s="2">
        <f t="shared" si="18"/>
        <v>8.1511393021123524E-3</v>
      </c>
      <c r="K26" s="2">
        <f t="shared" si="18"/>
        <v>8.1511393021122761E-3</v>
      </c>
      <c r="L26" s="2">
        <f t="shared" si="18"/>
        <v>9.6547471647254243E-3</v>
      </c>
      <c r="M26" s="2">
        <f t="shared" si="18"/>
        <v>9.0558881983885666E-4</v>
      </c>
      <c r="N26" s="2">
        <f t="shared" si="18"/>
        <v>0.24223124547461575</v>
      </c>
      <c r="O26" s="2">
        <f t="shared" si="18"/>
        <v>0.60088892810955241</v>
      </c>
      <c r="P26" s="2">
        <f t="shared" si="18"/>
        <v>0.17826084916874657</v>
      </c>
      <c r="W26" s="260"/>
      <c r="X26" s="155">
        <v>0</v>
      </c>
      <c r="Z26">
        <v>212.48319000000001</v>
      </c>
      <c r="AA26">
        <v>217.80357000000001</v>
      </c>
      <c r="AB26" s="2">
        <f t="shared" si="8"/>
        <v>5.3203800000000001</v>
      </c>
      <c r="AC26" s="2">
        <f t="shared" si="9"/>
        <v>4.1198200000000043</v>
      </c>
      <c r="AD26" s="2">
        <f t="shared" si="10"/>
        <v>0.56358763585517235</v>
      </c>
      <c r="AE26" s="2">
        <f t="shared" si="11"/>
        <v>0.4364123641448277</v>
      </c>
      <c r="AF26" s="2">
        <f t="shared" si="12"/>
        <v>0.18795649934779093</v>
      </c>
      <c r="AG26" s="2">
        <f t="shared" si="13"/>
        <v>0.10592995911103574</v>
      </c>
      <c r="AH26" s="2">
        <f t="shared" si="14"/>
        <v>9.4402000000000044</v>
      </c>
      <c r="AI26">
        <v>36</v>
      </c>
      <c r="AJ26">
        <f t="shared" si="15"/>
        <v>6.7664339765204744</v>
      </c>
    </row>
    <row r="27" spans="2:39" x14ac:dyDescent="0.35">
      <c r="B27" s="2"/>
      <c r="C27" s="2"/>
      <c r="D27" s="2"/>
      <c r="E27" s="2"/>
      <c r="F27" s="13"/>
      <c r="W27" s="260" t="s">
        <v>541</v>
      </c>
      <c r="X27" s="155">
        <v>0</v>
      </c>
      <c r="Z27">
        <v>221.92339000000001</v>
      </c>
      <c r="AA27">
        <v>226.30341999999999</v>
      </c>
      <c r="AB27" s="2">
        <f t="shared" si="8"/>
        <v>4.3800299999999766</v>
      </c>
      <c r="AC27" s="2">
        <f t="shared" si="9"/>
        <v>6.9518500000000074</v>
      </c>
      <c r="AD27" s="2">
        <f t="shared" si="10"/>
        <v>0.38652280115920595</v>
      </c>
      <c r="AE27" s="2">
        <f t="shared" si="11"/>
        <v>0.6134771988407941</v>
      </c>
      <c r="AF27" s="2">
        <f t="shared" si="12"/>
        <v>0.22830893852325335</v>
      </c>
      <c r="AG27" s="2">
        <f t="shared" si="13"/>
        <v>8.824661044769283E-2</v>
      </c>
      <c r="AH27" s="2">
        <f t="shared" si="14"/>
        <v>11.331879999999984</v>
      </c>
      <c r="AI27">
        <v>29</v>
      </c>
      <c r="AJ27">
        <f t="shared" si="15"/>
        <v>6.620959217174347</v>
      </c>
    </row>
    <row r="28" spans="2:39" x14ac:dyDescent="0.35">
      <c r="B28" s="2"/>
      <c r="C28" s="2"/>
      <c r="D28" s="2"/>
      <c r="E28" s="2"/>
      <c r="F28" s="13"/>
      <c r="W28" s="260"/>
      <c r="X28" s="155">
        <v>0</v>
      </c>
      <c r="Z28" s="13">
        <v>233.25527</v>
      </c>
      <c r="AA28">
        <v>237.78432000000001</v>
      </c>
      <c r="AB28" s="2">
        <f t="shared" si="8"/>
        <v>4.5290500000000122</v>
      </c>
      <c r="AC28" s="2"/>
      <c r="AD28" s="2"/>
      <c r="AE28" s="2"/>
      <c r="AF28" s="2"/>
      <c r="AG28" s="2"/>
      <c r="AH28" s="2"/>
      <c r="AI28" s="2"/>
    </row>
    <row r="29" spans="2:39" x14ac:dyDescent="0.35">
      <c r="B29" s="2"/>
      <c r="C29" s="2"/>
      <c r="D29" s="2"/>
      <c r="E29" s="2"/>
      <c r="F29" s="13"/>
      <c r="X29" s="155"/>
      <c r="Z29" s="13"/>
      <c r="AB29" s="2"/>
      <c r="AC29" s="2"/>
      <c r="AD29" s="2"/>
      <c r="AE29" s="2"/>
      <c r="AF29" s="2"/>
      <c r="AG29" s="2"/>
      <c r="AH29" s="2"/>
      <c r="AI29" s="2"/>
    </row>
    <row r="30" spans="2:39" ht="16" thickBot="1" x14ac:dyDescent="0.4">
      <c r="B30" s="2"/>
      <c r="C30" s="2"/>
      <c r="D30" s="2"/>
      <c r="E30" s="2"/>
      <c r="F30" s="13"/>
      <c r="G30" s="13"/>
      <c r="H30" s="2"/>
      <c r="I30" s="2"/>
      <c r="J30" s="2"/>
      <c r="K30" s="2"/>
      <c r="L30" s="2"/>
      <c r="M30" s="2"/>
      <c r="N30" s="2"/>
      <c r="O30" s="2"/>
      <c r="X30" s="155"/>
      <c r="Y30" s="104"/>
      <c r="AA30" s="13"/>
      <c r="AB30" s="9" t="s">
        <v>3</v>
      </c>
      <c r="AC30" s="9" t="s">
        <v>4</v>
      </c>
      <c r="AD30" s="9" t="s">
        <v>5</v>
      </c>
      <c r="AE30" s="9" t="s">
        <v>6</v>
      </c>
      <c r="AF30" s="9" t="s">
        <v>7</v>
      </c>
      <c r="AG30" s="9" t="s">
        <v>8</v>
      </c>
      <c r="AH30" s="9" t="s">
        <v>9</v>
      </c>
      <c r="AI30" s="9" t="s">
        <v>10</v>
      </c>
      <c r="AJ30" s="44" t="s">
        <v>139</v>
      </c>
    </row>
    <row r="31" spans="2:39" x14ac:dyDescent="0.35">
      <c r="X31" s="155"/>
      <c r="Y31" s="104" t="s">
        <v>410</v>
      </c>
      <c r="AA31" s="49" t="s">
        <v>77</v>
      </c>
      <c r="AB31" s="13">
        <f>AVERAGE(AB7:AB27)</f>
        <v>4.2515333333333292</v>
      </c>
      <c r="AC31" s="13">
        <f t="shared" ref="AC31:AJ31" si="19">AVERAGE(AC7:AC27)</f>
        <v>6.6812242857142889</v>
      </c>
      <c r="AD31" s="13">
        <f t="shared" si="19"/>
        <v>0.40864078903627082</v>
      </c>
      <c r="AE31" s="13">
        <f t="shared" si="19"/>
        <v>0.59135921096372912</v>
      </c>
      <c r="AF31" s="13">
        <f t="shared" si="19"/>
        <v>0.24415735590020476</v>
      </c>
      <c r="AG31" s="13">
        <f t="shared" si="19"/>
        <v>9.5986398135464876E-2</v>
      </c>
      <c r="AH31" s="13">
        <f t="shared" si="19"/>
        <v>10.932757619047619</v>
      </c>
      <c r="AI31" s="13">
        <f t="shared" si="19"/>
        <v>23.714285714285715</v>
      </c>
      <c r="AJ31" s="13">
        <f t="shared" si="19"/>
        <v>5.5384192498687108</v>
      </c>
      <c r="AK31" s="2"/>
      <c r="AL31" s="2"/>
      <c r="AM31" s="2"/>
    </row>
    <row r="32" spans="2:39" x14ac:dyDescent="0.35">
      <c r="AA32" s="49" t="s">
        <v>94</v>
      </c>
      <c r="AB32" s="2">
        <f>_xlfn.STDEV.S(AB7:AB27)</f>
        <v>0.75774548691056709</v>
      </c>
      <c r="AC32" s="2">
        <f t="shared" ref="AC32:AJ32" si="20">_xlfn.STDEV.S(AC7:AC27)</f>
        <v>3.1236888978843131</v>
      </c>
      <c r="AD32" s="2">
        <f t="shared" si="20"/>
        <v>0.11038741986667851</v>
      </c>
      <c r="AE32" s="2">
        <f t="shared" si="20"/>
        <v>0.11038741986667891</v>
      </c>
      <c r="AF32" s="2">
        <f t="shared" si="20"/>
        <v>5.451699413990977E-2</v>
      </c>
      <c r="AG32" s="2">
        <f t="shared" si="20"/>
        <v>1.8063380633004614E-2</v>
      </c>
      <c r="AH32" s="2">
        <f t="shared" si="20"/>
        <v>3.0755367559044156</v>
      </c>
      <c r="AI32" s="2">
        <f t="shared" si="20"/>
        <v>6.7907500111759145</v>
      </c>
      <c r="AJ32" s="2">
        <f t="shared" si="20"/>
        <v>1.0439162379661648</v>
      </c>
      <c r="AK32" s="2"/>
      <c r="AL32" s="2"/>
      <c r="AM32" s="2"/>
    </row>
    <row r="33" spans="3:39" x14ac:dyDescent="0.35">
      <c r="AA33" s="49" t="s">
        <v>95</v>
      </c>
      <c r="AB33" s="2">
        <f>AB32/(SQRT(COUNT(AB7:AB27)))</f>
        <v>0.16535362148946875</v>
      </c>
      <c r="AC33" s="2">
        <f t="shared" ref="AC33:AJ33" si="21">AC32/(SQRT(COUNT(AC7:AC27)))</f>
        <v>0.6816448010499071</v>
      </c>
      <c r="AD33" s="2">
        <f t="shared" si="21"/>
        <v>2.4088509871901257E-2</v>
      </c>
      <c r="AE33" s="2">
        <f t="shared" si="21"/>
        <v>2.4088509871901344E-2</v>
      </c>
      <c r="AF33" s="2">
        <f t="shared" si="21"/>
        <v>1.1896583443219071E-2</v>
      </c>
      <c r="AG33" s="2">
        <f t="shared" si="21"/>
        <v>3.941752812263952E-3</v>
      </c>
      <c r="AH33" s="2">
        <f t="shared" si="21"/>
        <v>0.67113714221670984</v>
      </c>
      <c r="AI33" s="2">
        <f t="shared" si="21"/>
        <v>1.4818631405588498</v>
      </c>
      <c r="AJ33" s="2">
        <f t="shared" si="21"/>
        <v>0.22780119903207066</v>
      </c>
      <c r="AK33" s="2"/>
      <c r="AL33" s="2"/>
      <c r="AM33" s="2"/>
    </row>
    <row r="34" spans="3:39" x14ac:dyDescent="0.35">
      <c r="AA34" s="49"/>
      <c r="AB34" s="2"/>
      <c r="AC34" s="2"/>
      <c r="AD34" s="2"/>
      <c r="AE34" s="2"/>
      <c r="AF34" s="2"/>
      <c r="AG34" s="2"/>
      <c r="AH34" s="2"/>
      <c r="AI34" s="2"/>
      <c r="AJ34" s="2"/>
      <c r="AK34" s="2"/>
      <c r="AL34" s="2"/>
      <c r="AM34" s="2"/>
    </row>
    <row r="35" spans="3:39" x14ac:dyDescent="0.35">
      <c r="AA35" s="49"/>
      <c r="AB35" s="2"/>
      <c r="AC35" s="2"/>
      <c r="AD35" s="2"/>
      <c r="AE35" s="2"/>
      <c r="AF35" s="2"/>
      <c r="AG35" s="2"/>
      <c r="AH35" s="2"/>
      <c r="AI35" s="2"/>
      <c r="AJ35" s="2"/>
      <c r="AK35" s="2"/>
      <c r="AL35" s="2"/>
      <c r="AM35" s="2"/>
    </row>
    <row r="36" spans="3:39" ht="19" thickBot="1" x14ac:dyDescent="0.5">
      <c r="F36" s="1" t="s">
        <v>405</v>
      </c>
      <c r="G36" s="3"/>
      <c r="H36" s="3"/>
      <c r="I36" s="3"/>
      <c r="J36" s="3"/>
      <c r="K36" s="3"/>
      <c r="L36" s="3"/>
      <c r="M36" s="3"/>
      <c r="N36" s="3"/>
      <c r="O36" s="3"/>
      <c r="Y36" s="104" t="s">
        <v>81</v>
      </c>
      <c r="Z36" s="13"/>
      <c r="AA36" s="13"/>
      <c r="AB36" s="9" t="s">
        <v>3</v>
      </c>
      <c r="AC36" s="9" t="s">
        <v>4</v>
      </c>
      <c r="AD36" s="9" t="s">
        <v>5</v>
      </c>
      <c r="AE36" s="9" t="s">
        <v>6</v>
      </c>
      <c r="AF36" s="9" t="s">
        <v>7</v>
      </c>
      <c r="AG36" s="9" t="s">
        <v>8</v>
      </c>
      <c r="AH36" s="9" t="s">
        <v>9</v>
      </c>
      <c r="AI36" s="9" t="s">
        <v>10</v>
      </c>
      <c r="AJ36" s="44" t="s">
        <v>139</v>
      </c>
      <c r="AK36" s="2"/>
      <c r="AL36" s="2"/>
      <c r="AM36" s="2"/>
    </row>
    <row r="37" spans="3:39" ht="16" thickBot="1" x14ac:dyDescent="0.4">
      <c r="C37" s="204" t="s">
        <v>122</v>
      </c>
      <c r="D37" s="204" t="s">
        <v>406</v>
      </c>
      <c r="F37" s="9" t="s">
        <v>1</v>
      </c>
      <c r="G37" s="9" t="s">
        <v>2</v>
      </c>
      <c r="H37" s="9" t="s">
        <v>3</v>
      </c>
      <c r="I37" s="9" t="s">
        <v>4</v>
      </c>
      <c r="J37" s="9" t="s">
        <v>5</v>
      </c>
      <c r="K37" s="9" t="s">
        <v>6</v>
      </c>
      <c r="L37" s="9" t="s">
        <v>7</v>
      </c>
      <c r="M37" s="9" t="s">
        <v>8</v>
      </c>
      <c r="N37" s="9" t="s">
        <v>9</v>
      </c>
      <c r="O37" s="9" t="s">
        <v>10</v>
      </c>
      <c r="P37" s="44" t="s">
        <v>139</v>
      </c>
      <c r="R37" s="44" t="s">
        <v>138</v>
      </c>
      <c r="Y37" s="104"/>
      <c r="Z37" s="13"/>
      <c r="AA37" s="49" t="s">
        <v>77</v>
      </c>
      <c r="AB37" s="13">
        <f>AVERAGE(AB7,AB8,AB10,AB12,AB14,AB16,AB18,AB20,AB22,AB24:AB25,AB27)</f>
        <v>4.0120249999999968</v>
      </c>
      <c r="AC37" s="13">
        <f t="shared" ref="AC37:AJ37" si="22">AVERAGE(AC7,AC8,AC10,AC12,AC14,AC16,AC18,AC20,AC22,AC24:AC25,AC27)</f>
        <v>8.3885083333333359</v>
      </c>
      <c r="AD37" s="13">
        <f t="shared" si="22"/>
        <v>0.33327224662956084</v>
      </c>
      <c r="AE37" s="13">
        <f t="shared" si="22"/>
        <v>0.6667277533704391</v>
      </c>
      <c r="AF37" s="13">
        <f t="shared" si="22"/>
        <v>0.2612162301908057</v>
      </c>
      <c r="AG37" s="13">
        <f t="shared" si="22"/>
        <v>8.4213129734401426E-2</v>
      </c>
      <c r="AH37" s="13">
        <f t="shared" si="22"/>
        <v>12.400533333333334</v>
      </c>
      <c r="AI37" s="13">
        <f t="shared" si="22"/>
        <v>22.916666666666668</v>
      </c>
      <c r="AJ37" s="13">
        <f t="shared" si="22"/>
        <v>5.6737347138806564</v>
      </c>
      <c r="AK37" s="2"/>
      <c r="AL37" s="2"/>
      <c r="AM37" s="2"/>
    </row>
    <row r="38" spans="3:39" x14ac:dyDescent="0.35">
      <c r="C38" s="258" t="s">
        <v>541</v>
      </c>
      <c r="D38" s="155">
        <v>2</v>
      </c>
      <c r="F38" s="2">
        <v>2.0929000000000002</v>
      </c>
      <c r="G38" s="2">
        <v>5.8569899999999997</v>
      </c>
      <c r="H38" s="2">
        <f>G38-F38</f>
        <v>3.7640899999999995</v>
      </c>
      <c r="I38" s="2">
        <f>F39-G38</f>
        <v>8.0948799999999999</v>
      </c>
      <c r="J38" s="2">
        <f>H38/N38</f>
        <v>0.31740446261353217</v>
      </c>
      <c r="K38" s="2">
        <f>I38/N38</f>
        <v>0.68259553738646783</v>
      </c>
      <c r="L38" s="2">
        <f>1/H38</f>
        <v>0.26566846169990627</v>
      </c>
      <c r="M38" s="2">
        <f>1/N38</f>
        <v>8.4324355319222499E-2</v>
      </c>
      <c r="N38" s="2">
        <f>H38+I38</f>
        <v>11.858969999999999</v>
      </c>
      <c r="O38" s="2">
        <v>29</v>
      </c>
      <c r="P38">
        <f>O38/H38</f>
        <v>7.7043853892972818</v>
      </c>
      <c r="R38" t="s">
        <v>485</v>
      </c>
      <c r="Y38" s="104"/>
      <c r="Z38" s="13"/>
      <c r="AA38" s="49" t="s">
        <v>94</v>
      </c>
      <c r="AB38" s="2">
        <f>_xlfn.STDEV.S(AB7,AB8,AB10,AB12,AB14,AB16,AB18,AB20,AB22,AB24:AB25,AB27)</f>
        <v>0.83934724449744214</v>
      </c>
      <c r="AC38" s="2">
        <f t="shared" ref="AC38:AJ38" si="23">_xlfn.STDEV.S(AC7,AC8,AC10,AC12,AC14,AC16,AC18,AC20,AC22,AC24:AC25,AC27)</f>
        <v>3.1853255193574301</v>
      </c>
      <c r="AD38" s="2">
        <f t="shared" si="23"/>
        <v>7.7351700423770237E-2</v>
      </c>
      <c r="AE38" s="2">
        <f t="shared" si="23"/>
        <v>7.7351700423770098E-2</v>
      </c>
      <c r="AF38" s="2">
        <f t="shared" si="23"/>
        <v>6.4447509258896918E-2</v>
      </c>
      <c r="AG38" s="2">
        <f t="shared" si="23"/>
        <v>1.4663564374830374E-2</v>
      </c>
      <c r="AH38" s="2">
        <f t="shared" si="23"/>
        <v>3.3994673860349285</v>
      </c>
      <c r="AI38" s="2">
        <f t="shared" si="23"/>
        <v>6.4590786471211974</v>
      </c>
      <c r="AJ38" s="2">
        <f t="shared" si="23"/>
        <v>0.93608450681157995</v>
      </c>
      <c r="AK38" s="2"/>
      <c r="AL38" s="2"/>
      <c r="AM38" s="2"/>
    </row>
    <row r="39" spans="3:39" x14ac:dyDescent="0.35">
      <c r="D39" s="155">
        <v>2</v>
      </c>
      <c r="F39" s="2">
        <v>13.95187</v>
      </c>
      <c r="G39" s="2">
        <v>17.62764</v>
      </c>
      <c r="H39" s="2">
        <f t="shared" ref="H39:H60" si="24">G39-F39</f>
        <v>3.67577</v>
      </c>
      <c r="I39" s="2">
        <f t="shared" ref="I39:I59" si="25">F40-G39</f>
        <v>4.6910100000000021</v>
      </c>
      <c r="J39" s="2">
        <f t="shared" ref="J39:J59" si="26">H39/N39</f>
        <v>0.43932910868936426</v>
      </c>
      <c r="K39" s="2">
        <f t="shared" ref="K39:K59" si="27">I39/N39</f>
        <v>0.56067089131063574</v>
      </c>
      <c r="L39" s="2">
        <f t="shared" ref="L39:L59" si="28">1/H39</f>
        <v>0.27205184219904943</v>
      </c>
      <c r="M39" s="2">
        <f t="shared" ref="M39:M59" si="29">1/N39</f>
        <v>0.11952029335060797</v>
      </c>
      <c r="N39" s="2">
        <f t="shared" ref="N39:N59" si="30">H39+I39</f>
        <v>8.3667800000000021</v>
      </c>
      <c r="O39" s="2">
        <v>31</v>
      </c>
      <c r="P39">
        <f t="shared" ref="P39:P59" si="31">O39/H39</f>
        <v>8.4336071081705324</v>
      </c>
      <c r="Y39" s="104"/>
      <c r="Z39" s="13"/>
      <c r="AA39" s="49" t="s">
        <v>95</v>
      </c>
      <c r="AB39" s="2">
        <f>AB38/(SQRT(COUNT(AB7,AB8,AB10,AB12,AB14,AB16,AB18,AB20,AB22,AB24:AB25,AB27)))</f>
        <v>0.24229867877708444</v>
      </c>
      <c r="AC39" s="2">
        <f t="shared" ref="AC39:AJ39" si="32">AC38/(SQRT(COUNT(AC7,AC8,AC10,AC12,AC14,AC16,AC18,AC20,AC22,AC24:AC25,AC27)))</f>
        <v>0.91952427302879847</v>
      </c>
      <c r="AD39" s="2">
        <f t="shared" si="32"/>
        <v>2.2329512530969518E-2</v>
      </c>
      <c r="AE39" s="2">
        <f t="shared" si="32"/>
        <v>2.2329512530969479E-2</v>
      </c>
      <c r="AF39" s="2">
        <f t="shared" si="32"/>
        <v>1.8604393409612518E-2</v>
      </c>
      <c r="AG39" s="2">
        <f t="shared" si="32"/>
        <v>4.2330064195438616E-3</v>
      </c>
      <c r="AH39" s="2">
        <f t="shared" si="32"/>
        <v>0.98134170521430975</v>
      </c>
      <c r="AI39" s="2">
        <f t="shared" si="32"/>
        <v>1.8645753978161936</v>
      </c>
      <c r="AJ39" s="2">
        <f t="shared" si="32"/>
        <v>0.27022432099595189</v>
      </c>
      <c r="AK39" s="2"/>
      <c r="AL39" s="2"/>
      <c r="AM39" s="2"/>
    </row>
    <row r="40" spans="3:39" x14ac:dyDescent="0.35">
      <c r="C40" s="258" t="s">
        <v>541</v>
      </c>
      <c r="D40" s="155">
        <v>2</v>
      </c>
      <c r="F40" s="13">
        <v>22.318650000000002</v>
      </c>
      <c r="G40" s="2">
        <v>26.024239999999999</v>
      </c>
      <c r="H40" s="2">
        <f t="shared" si="24"/>
        <v>3.7055899999999973</v>
      </c>
      <c r="I40" s="2">
        <f t="shared" si="25"/>
        <v>8.1702500000000029</v>
      </c>
      <c r="J40" s="2">
        <f t="shared" si="26"/>
        <v>0.31202761236257792</v>
      </c>
      <c r="K40" s="2">
        <f t="shared" si="27"/>
        <v>0.68797238763742208</v>
      </c>
      <c r="L40" s="2">
        <f t="shared" si="28"/>
        <v>0.26986255899870215</v>
      </c>
      <c r="M40" s="2">
        <f t="shared" si="29"/>
        <v>8.4204569950420347E-2</v>
      </c>
      <c r="N40" s="2">
        <f t="shared" si="30"/>
        <v>11.87584</v>
      </c>
      <c r="O40" s="2">
        <v>28</v>
      </c>
      <c r="P40">
        <f t="shared" si="31"/>
        <v>7.5561516519636607</v>
      </c>
      <c r="Y40" s="104"/>
      <c r="Z40" s="13"/>
      <c r="AA40" s="49"/>
      <c r="AB40" s="2"/>
      <c r="AC40" s="2"/>
      <c r="AD40" s="2"/>
      <c r="AE40" s="2"/>
      <c r="AF40" s="2"/>
      <c r="AG40" s="2"/>
      <c r="AH40" s="2"/>
      <c r="AI40" s="2"/>
      <c r="AJ40" s="2"/>
      <c r="AK40" s="2"/>
      <c r="AL40" s="2"/>
      <c r="AM40" s="2"/>
    </row>
    <row r="41" spans="3:39" x14ac:dyDescent="0.35">
      <c r="D41" s="155">
        <v>2</v>
      </c>
      <c r="F41" s="13">
        <v>34.194490000000002</v>
      </c>
      <c r="G41" s="2">
        <v>37.634889999999999</v>
      </c>
      <c r="H41" s="2">
        <f t="shared" si="24"/>
        <v>3.4403999999999968</v>
      </c>
      <c r="I41" s="2">
        <f t="shared" si="25"/>
        <v>4.8728899999999982</v>
      </c>
      <c r="J41" s="2">
        <f t="shared" si="26"/>
        <v>0.41384337608816713</v>
      </c>
      <c r="K41" s="2">
        <f t="shared" si="27"/>
        <v>0.58615662391183287</v>
      </c>
      <c r="L41" s="2">
        <f t="shared" si="28"/>
        <v>0.29066387629345453</v>
      </c>
      <c r="M41" s="2">
        <f t="shared" si="29"/>
        <v>0.12028931987215659</v>
      </c>
      <c r="N41" s="2">
        <f t="shared" si="30"/>
        <v>8.313289999999995</v>
      </c>
      <c r="O41" s="2">
        <v>28</v>
      </c>
      <c r="P41">
        <f t="shared" si="31"/>
        <v>8.1385885362167265</v>
      </c>
      <c r="Y41" s="104"/>
      <c r="Z41" s="13"/>
      <c r="AA41" s="49"/>
      <c r="AB41" s="2"/>
      <c r="AC41" s="2"/>
      <c r="AD41" s="2"/>
      <c r="AE41" s="2"/>
      <c r="AF41" s="2"/>
      <c r="AG41" s="2"/>
      <c r="AH41" s="2"/>
      <c r="AI41" s="2"/>
      <c r="AJ41" s="2"/>
      <c r="AK41" s="2"/>
      <c r="AL41" s="2"/>
      <c r="AM41" s="2"/>
    </row>
    <row r="42" spans="3:39" ht="16" thickBot="1" x14ac:dyDescent="0.4">
      <c r="C42" s="258" t="s">
        <v>541</v>
      </c>
      <c r="D42" s="155">
        <v>2</v>
      </c>
      <c r="F42" s="13">
        <v>42.507779999999997</v>
      </c>
      <c r="G42" s="2">
        <v>45.999470000000002</v>
      </c>
      <c r="H42" s="2">
        <f t="shared" si="24"/>
        <v>3.4916900000000055</v>
      </c>
      <c r="I42" s="2">
        <f t="shared" si="25"/>
        <v>8.3527899999999988</v>
      </c>
      <c r="J42" s="2">
        <f t="shared" si="26"/>
        <v>0.2947947060571679</v>
      </c>
      <c r="K42" s="2">
        <f t="shared" si="27"/>
        <v>0.70520529394283205</v>
      </c>
      <c r="L42" s="2">
        <f t="shared" si="28"/>
        <v>0.2863942675323406</v>
      </c>
      <c r="M42" s="2">
        <f t="shared" si="29"/>
        <v>8.4427513913654259E-2</v>
      </c>
      <c r="N42" s="2">
        <f t="shared" si="30"/>
        <v>11.844480000000004</v>
      </c>
      <c r="O42" s="2">
        <v>25</v>
      </c>
      <c r="P42">
        <f t="shared" si="31"/>
        <v>7.1598566883085155</v>
      </c>
      <c r="Y42" s="104" t="s">
        <v>82</v>
      </c>
      <c r="Z42" s="13"/>
      <c r="AA42" s="13"/>
      <c r="AB42" s="9" t="s">
        <v>3</v>
      </c>
      <c r="AC42" s="9" t="s">
        <v>4</v>
      </c>
      <c r="AD42" s="9" t="s">
        <v>5</v>
      </c>
      <c r="AE42" s="9" t="s">
        <v>6</v>
      </c>
      <c r="AF42" s="9" t="s">
        <v>7</v>
      </c>
      <c r="AG42" s="9" t="s">
        <v>8</v>
      </c>
      <c r="AH42" s="9" t="s">
        <v>9</v>
      </c>
      <c r="AI42" s="9" t="s">
        <v>10</v>
      </c>
      <c r="AJ42" s="44" t="s">
        <v>139</v>
      </c>
      <c r="AK42" s="2"/>
      <c r="AL42" s="2"/>
      <c r="AM42" s="2"/>
    </row>
    <row r="43" spans="3:39" x14ac:dyDescent="0.35">
      <c r="D43" s="155">
        <v>2</v>
      </c>
      <c r="F43" s="13">
        <v>54.352260000000001</v>
      </c>
      <c r="G43" s="2">
        <v>58.07132</v>
      </c>
      <c r="H43" s="2">
        <f t="shared" si="24"/>
        <v>3.7190599999999989</v>
      </c>
      <c r="I43" s="2">
        <f t="shared" si="25"/>
        <v>3.8483599999999996</v>
      </c>
      <c r="J43" s="2">
        <f t="shared" si="26"/>
        <v>0.49145679769326928</v>
      </c>
      <c r="K43" s="2">
        <f t="shared" si="27"/>
        <v>0.50854320230673078</v>
      </c>
      <c r="L43" s="2">
        <f t="shared" si="28"/>
        <v>0.26888514839771349</v>
      </c>
      <c r="M43" s="2">
        <f t="shared" si="29"/>
        <v>0.13214543397881975</v>
      </c>
      <c r="N43" s="2">
        <f t="shared" si="30"/>
        <v>7.5674199999999985</v>
      </c>
      <c r="O43" s="2">
        <v>30</v>
      </c>
      <c r="P43">
        <f t="shared" si="31"/>
        <v>8.0665544519314043</v>
      </c>
      <c r="Y43" s="104"/>
      <c r="Z43" s="13"/>
      <c r="AA43" s="49" t="s">
        <v>77</v>
      </c>
      <c r="AB43" s="13">
        <f>AVERAGE(AB19,AB9,AB11,AB13,AB15,AB17,AB21,AB23,AB26)</f>
        <v>4.570877777777774</v>
      </c>
      <c r="AC43" s="13">
        <f t="shared" ref="AC43:AJ43" si="33">AVERAGE(AC19,AC9,AC11,AC13,AC15,AC17,AC21,AC23,AC26)</f>
        <v>4.4048455555555588</v>
      </c>
      <c r="AD43" s="13">
        <f t="shared" si="33"/>
        <v>0.50913217891188411</v>
      </c>
      <c r="AE43" s="13">
        <f t="shared" si="33"/>
        <v>0.49086782108811583</v>
      </c>
      <c r="AF43" s="13">
        <f t="shared" si="33"/>
        <v>0.22141219017940345</v>
      </c>
      <c r="AG43" s="13">
        <f t="shared" si="33"/>
        <v>0.1116840893368829</v>
      </c>
      <c r="AH43" s="13">
        <f t="shared" si="33"/>
        <v>8.9757233333333328</v>
      </c>
      <c r="AI43" s="13">
        <f t="shared" si="33"/>
        <v>24.777777777777779</v>
      </c>
      <c r="AJ43" s="13">
        <f t="shared" si="33"/>
        <v>5.3579986311861161</v>
      </c>
      <c r="AK43" s="2"/>
      <c r="AL43" s="2"/>
      <c r="AM43" s="2"/>
    </row>
    <row r="44" spans="3:39" x14ac:dyDescent="0.35">
      <c r="C44" s="258" t="s">
        <v>541</v>
      </c>
      <c r="D44" s="155">
        <v>2</v>
      </c>
      <c r="F44" s="13">
        <v>61.91968</v>
      </c>
      <c r="G44" s="2">
        <v>64.884</v>
      </c>
      <c r="H44" s="2">
        <f t="shared" si="24"/>
        <v>2.9643200000000007</v>
      </c>
      <c r="I44" s="2">
        <f t="shared" si="25"/>
        <v>9.7900999999999954</v>
      </c>
      <c r="J44" s="2">
        <f t="shared" si="26"/>
        <v>0.2324151157010669</v>
      </c>
      <c r="K44" s="2">
        <f t="shared" si="27"/>
        <v>0.76758488429893312</v>
      </c>
      <c r="L44" s="2">
        <f t="shared" si="28"/>
        <v>0.33734549576294048</v>
      </c>
      <c r="M44" s="2">
        <f t="shared" si="29"/>
        <v>7.8404192428977587E-2</v>
      </c>
      <c r="N44" s="2">
        <f t="shared" si="30"/>
        <v>12.754419999999996</v>
      </c>
      <c r="O44" s="2">
        <v>24</v>
      </c>
      <c r="P44">
        <f t="shared" si="31"/>
        <v>8.0962918983105716</v>
      </c>
      <c r="Y44" s="104"/>
      <c r="Z44" s="13"/>
      <c r="AA44" s="49" t="s">
        <v>94</v>
      </c>
      <c r="AB44" s="2">
        <f>_xlfn.STDEV.S(AB19,AB9,AB11,AB13,AB15,AB17,AB21,AB23,AB26)</f>
        <v>0.51573054068422863</v>
      </c>
      <c r="AC44" s="2">
        <f t="shared" ref="AC44:AJ44" si="34">_xlfn.STDEV.S(AC19,AC9,AC11,AC13,AC15,AC17,AC21,AC23,AC26)</f>
        <v>0.49046334842960126</v>
      </c>
      <c r="AD44" s="2">
        <f t="shared" si="34"/>
        <v>4.8528119409232649E-2</v>
      </c>
      <c r="AE44" s="2">
        <f t="shared" si="34"/>
        <v>4.8528119409232649E-2</v>
      </c>
      <c r="AF44" s="2">
        <f t="shared" si="34"/>
        <v>2.6470766131803929E-2</v>
      </c>
      <c r="AG44" s="2">
        <f t="shared" si="34"/>
        <v>5.909920772690723E-3</v>
      </c>
      <c r="AH44" s="2">
        <f t="shared" si="34"/>
        <v>0.46584973623476578</v>
      </c>
      <c r="AI44" s="2">
        <f t="shared" si="34"/>
        <v>7.4628710590793714</v>
      </c>
      <c r="AJ44" s="2">
        <f t="shared" si="34"/>
        <v>1.2064274895610014</v>
      </c>
      <c r="AK44" s="2"/>
      <c r="AL44" s="2"/>
      <c r="AM44" s="2"/>
    </row>
    <row r="45" spans="3:39" x14ac:dyDescent="0.35">
      <c r="D45" s="155">
        <v>2</v>
      </c>
      <c r="F45" s="13">
        <v>74.674099999999996</v>
      </c>
      <c r="G45" s="2">
        <v>78.443600000000004</v>
      </c>
      <c r="H45" s="2">
        <f t="shared" si="24"/>
        <v>3.7695000000000078</v>
      </c>
      <c r="I45" s="2">
        <f t="shared" si="25"/>
        <v>4.765119999999996</v>
      </c>
      <c r="J45" s="2">
        <f t="shared" si="26"/>
        <v>0.4416716854411803</v>
      </c>
      <c r="K45" s="2">
        <f t="shared" si="27"/>
        <v>0.5583283145588197</v>
      </c>
      <c r="L45" s="2">
        <f t="shared" si="28"/>
        <v>0.26528717336516722</v>
      </c>
      <c r="M45" s="2">
        <f t="shared" si="29"/>
        <v>0.11716983298612001</v>
      </c>
      <c r="N45" s="2">
        <f t="shared" si="30"/>
        <v>8.5346200000000039</v>
      </c>
      <c r="O45" s="2">
        <v>30</v>
      </c>
      <c r="P45">
        <f t="shared" si="31"/>
        <v>7.9586152009550171</v>
      </c>
      <c r="Y45" s="104"/>
      <c r="Z45" s="13"/>
      <c r="AA45" s="49" t="s">
        <v>95</v>
      </c>
      <c r="AB45" s="2">
        <f>AB44/(SQRT(COUNT(AB19,AB9,AB11,AB13,AB15,AB17,AB21,AB23,AB26)))</f>
        <v>0.17191018022807622</v>
      </c>
      <c r="AC45" s="2">
        <f t="shared" ref="AC45:AJ45" si="35">AC44/(SQRT(COUNT(AC19,AC9,AC11,AC13,AC15,AC17,AC21,AC23,AC26)))</f>
        <v>0.16348778280986709</v>
      </c>
      <c r="AD45" s="2">
        <f t="shared" si="35"/>
        <v>1.6176039803077549E-2</v>
      </c>
      <c r="AE45" s="2">
        <f t="shared" si="35"/>
        <v>1.6176039803077549E-2</v>
      </c>
      <c r="AF45" s="2">
        <f t="shared" si="35"/>
        <v>8.823588710601309E-3</v>
      </c>
      <c r="AG45" s="2">
        <f t="shared" si="35"/>
        <v>1.9699735908969077E-3</v>
      </c>
      <c r="AH45" s="2">
        <f t="shared" si="35"/>
        <v>0.15528324541158858</v>
      </c>
      <c r="AI45" s="2">
        <f t="shared" si="35"/>
        <v>2.4876236863597905</v>
      </c>
      <c r="AJ45" s="2">
        <f t="shared" si="35"/>
        <v>0.40214249652033379</v>
      </c>
      <c r="AK45" s="2"/>
      <c r="AL45" s="2"/>
      <c r="AM45" s="2"/>
    </row>
    <row r="46" spans="3:39" x14ac:dyDescent="0.35">
      <c r="C46" s="258" t="s">
        <v>541</v>
      </c>
      <c r="D46" s="155">
        <v>2</v>
      </c>
      <c r="F46" s="13">
        <v>83.20872</v>
      </c>
      <c r="G46" s="2">
        <v>86.806449999999998</v>
      </c>
      <c r="H46" s="2">
        <f t="shared" si="24"/>
        <v>3.5977299999999985</v>
      </c>
      <c r="I46" s="2">
        <f t="shared" si="25"/>
        <v>9.2497800000000012</v>
      </c>
      <c r="J46" s="2">
        <f t="shared" si="26"/>
        <v>0.28003325157948883</v>
      </c>
      <c r="K46" s="2">
        <f t="shared" si="27"/>
        <v>0.71996674842051112</v>
      </c>
      <c r="L46" s="2">
        <f t="shared" si="28"/>
        <v>0.27795304261298109</v>
      </c>
      <c r="M46" s="2">
        <f t="shared" si="29"/>
        <v>7.783609430932531E-2</v>
      </c>
      <c r="N46" s="2">
        <f t="shared" si="30"/>
        <v>12.84751</v>
      </c>
      <c r="O46" s="2">
        <v>25</v>
      </c>
      <c r="P46">
        <f t="shared" si="31"/>
        <v>6.9488260653245266</v>
      </c>
      <c r="AA46" s="49"/>
      <c r="AB46" s="2"/>
      <c r="AC46" s="2"/>
      <c r="AD46" s="2"/>
      <c r="AE46" s="2"/>
      <c r="AF46" s="2"/>
      <c r="AG46" s="2"/>
      <c r="AH46" s="2"/>
      <c r="AI46" s="2"/>
      <c r="AJ46" s="2"/>
      <c r="AK46" s="2"/>
      <c r="AL46" s="2"/>
      <c r="AM46" s="2"/>
    </row>
    <row r="47" spans="3:39" x14ac:dyDescent="0.35">
      <c r="D47" s="155">
        <v>2</v>
      </c>
      <c r="F47" s="13">
        <v>96.056229999999999</v>
      </c>
      <c r="G47" s="2">
        <v>99.738929999999996</v>
      </c>
      <c r="H47" s="2">
        <f t="shared" si="24"/>
        <v>3.682699999999997</v>
      </c>
      <c r="I47" s="2">
        <f t="shared" si="25"/>
        <v>3.9857800000000054</v>
      </c>
      <c r="J47" s="2">
        <f t="shared" si="26"/>
        <v>0.48023858704723699</v>
      </c>
      <c r="K47" s="2">
        <f t="shared" si="27"/>
        <v>0.51976141295276301</v>
      </c>
      <c r="L47" s="2">
        <f t="shared" si="28"/>
        <v>0.27153990278871504</v>
      </c>
      <c r="M47" s="2">
        <f t="shared" si="29"/>
        <v>0.13040393924219659</v>
      </c>
      <c r="N47" s="2">
        <f t="shared" si="30"/>
        <v>7.6684800000000024</v>
      </c>
      <c r="O47" s="2">
        <v>29</v>
      </c>
      <c r="P47">
        <f t="shared" si="31"/>
        <v>7.8746571808727355</v>
      </c>
      <c r="AK47" s="2"/>
      <c r="AL47" s="2"/>
      <c r="AM47" s="2"/>
    </row>
    <row r="48" spans="3:39" x14ac:dyDescent="0.35">
      <c r="C48" s="258" t="s">
        <v>541</v>
      </c>
      <c r="D48" s="155">
        <v>2</v>
      </c>
      <c r="F48" s="13">
        <v>103.72471</v>
      </c>
      <c r="G48" s="2">
        <v>106.50351000000001</v>
      </c>
      <c r="H48" s="2">
        <f t="shared" si="24"/>
        <v>2.7788000000000039</v>
      </c>
      <c r="I48" s="2">
        <f t="shared" si="25"/>
        <v>8.2455799999999897</v>
      </c>
      <c r="J48" s="2">
        <f t="shared" si="26"/>
        <v>0.25205952625000277</v>
      </c>
      <c r="K48" s="2">
        <f t="shared" si="27"/>
        <v>0.74794047374999728</v>
      </c>
      <c r="L48" s="2">
        <f t="shared" si="28"/>
        <v>0.3598675687347051</v>
      </c>
      <c r="M48" s="2">
        <f t="shared" si="29"/>
        <v>9.0708048888010082E-2</v>
      </c>
      <c r="N48" s="2">
        <f t="shared" si="30"/>
        <v>11.024379999999994</v>
      </c>
      <c r="O48" s="2">
        <v>21</v>
      </c>
      <c r="P48">
        <f t="shared" si="31"/>
        <v>7.5572189434288077</v>
      </c>
      <c r="AK48" s="2"/>
      <c r="AL48" s="2"/>
      <c r="AM48" s="2"/>
    </row>
    <row r="49" spans="3:39" ht="18.5" x14ac:dyDescent="0.45">
      <c r="D49" s="155">
        <v>2</v>
      </c>
      <c r="F49" s="13">
        <v>114.74909</v>
      </c>
      <c r="G49" s="2">
        <v>118.69305</v>
      </c>
      <c r="H49" s="2">
        <f t="shared" si="24"/>
        <v>3.9439600000000041</v>
      </c>
      <c r="I49" s="2">
        <f t="shared" si="25"/>
        <v>4.3454499999999996</v>
      </c>
      <c r="J49" s="2">
        <f t="shared" si="26"/>
        <v>0.47578295680874783</v>
      </c>
      <c r="K49" s="2">
        <f t="shared" si="27"/>
        <v>0.52421704319125217</v>
      </c>
      <c r="L49" s="2">
        <f t="shared" si="28"/>
        <v>0.25355226726437363</v>
      </c>
      <c r="M49" s="2">
        <f t="shared" si="29"/>
        <v>0.12063584742460556</v>
      </c>
      <c r="N49" s="2">
        <f t="shared" si="30"/>
        <v>8.2894100000000037</v>
      </c>
      <c r="O49" s="2">
        <v>31</v>
      </c>
      <c r="P49">
        <f t="shared" si="31"/>
        <v>7.860120285195582</v>
      </c>
      <c r="Z49" s="1" t="s">
        <v>501</v>
      </c>
      <c r="AA49" s="3"/>
      <c r="AB49" s="3"/>
      <c r="AC49" s="3"/>
      <c r="AD49" s="3"/>
      <c r="AE49" s="3"/>
      <c r="AF49" s="3"/>
      <c r="AG49" s="3"/>
      <c r="AH49" s="3"/>
      <c r="AI49" s="3"/>
      <c r="AM49" s="2"/>
    </row>
    <row r="50" spans="3:39" ht="16" thickBot="1" x14ac:dyDescent="0.4">
      <c r="C50" s="258" t="s">
        <v>541</v>
      </c>
      <c r="D50" s="155">
        <v>0</v>
      </c>
      <c r="F50" s="13">
        <v>123.0385</v>
      </c>
      <c r="G50" s="2">
        <v>126.63954</v>
      </c>
      <c r="H50" s="2">
        <f t="shared" si="24"/>
        <v>3.6010399999999976</v>
      </c>
      <c r="I50" s="2">
        <f t="shared" si="25"/>
        <v>8.3814899999999994</v>
      </c>
      <c r="J50" s="2">
        <f t="shared" si="26"/>
        <v>0.30052417978507029</v>
      </c>
      <c r="K50" s="2">
        <f t="shared" si="27"/>
        <v>0.69947582021492971</v>
      </c>
      <c r="L50" s="2">
        <f t="shared" si="28"/>
        <v>0.27769755403994423</v>
      </c>
      <c r="M50" s="2">
        <f t="shared" si="29"/>
        <v>8.345482965617447E-2</v>
      </c>
      <c r="N50" s="2">
        <f t="shared" si="30"/>
        <v>11.982529999999997</v>
      </c>
      <c r="O50" s="2">
        <v>26</v>
      </c>
      <c r="P50">
        <f t="shared" si="31"/>
        <v>7.2201364050385495</v>
      </c>
      <c r="R50" t="s">
        <v>486</v>
      </c>
      <c r="W50" s="204" t="s">
        <v>122</v>
      </c>
      <c r="X50" s="204" t="s">
        <v>406</v>
      </c>
      <c r="Z50" s="9" t="s">
        <v>1</v>
      </c>
      <c r="AA50" s="9" t="s">
        <v>2</v>
      </c>
      <c r="AB50" s="9" t="s">
        <v>3</v>
      </c>
      <c r="AC50" s="9" t="s">
        <v>4</v>
      </c>
      <c r="AD50" s="9" t="s">
        <v>5</v>
      </c>
      <c r="AE50" s="9" t="s">
        <v>6</v>
      </c>
      <c r="AF50" s="9" t="s">
        <v>7</v>
      </c>
      <c r="AG50" s="9" t="s">
        <v>8</v>
      </c>
      <c r="AH50" s="9" t="s">
        <v>9</v>
      </c>
      <c r="AI50" s="9" t="s">
        <v>10</v>
      </c>
      <c r="AJ50" s="44" t="s">
        <v>139</v>
      </c>
      <c r="AL50" s="44" t="s">
        <v>138</v>
      </c>
      <c r="AM50" s="2"/>
    </row>
    <row r="51" spans="3:39" x14ac:dyDescent="0.35">
      <c r="D51" s="155">
        <v>0</v>
      </c>
      <c r="F51" s="13">
        <v>135.02103</v>
      </c>
      <c r="G51" s="2">
        <v>139.48840999999999</v>
      </c>
      <c r="H51" s="2">
        <f t="shared" si="24"/>
        <v>4.4673799999999915</v>
      </c>
      <c r="I51" s="2">
        <f t="shared" si="25"/>
        <v>4.8328100000000234</v>
      </c>
      <c r="J51" s="2">
        <f t="shared" si="26"/>
        <v>0.48035362718395908</v>
      </c>
      <c r="K51" s="2">
        <f t="shared" si="27"/>
        <v>0.51964637281604098</v>
      </c>
      <c r="L51" s="2">
        <f t="shared" si="28"/>
        <v>0.22384484865849824</v>
      </c>
      <c r="M51" s="2">
        <f t="shared" si="29"/>
        <v>0.107524684979554</v>
      </c>
      <c r="N51" s="2">
        <f t="shared" si="30"/>
        <v>9.3001900000000148</v>
      </c>
      <c r="O51" s="2">
        <v>33</v>
      </c>
      <c r="P51">
        <f t="shared" si="31"/>
        <v>7.3868800057304425</v>
      </c>
      <c r="W51" s="260" t="s">
        <v>541</v>
      </c>
      <c r="X51" s="155">
        <v>-1</v>
      </c>
      <c r="Z51" s="2">
        <v>1.5269999999999999</v>
      </c>
      <c r="AA51" s="2">
        <v>6.0916699999999997</v>
      </c>
      <c r="AB51" s="2">
        <f t="shared" ref="AB51:AB61" si="36">AA51-Z51</f>
        <v>4.5646699999999996</v>
      </c>
      <c r="AC51" s="2">
        <f t="shared" ref="AC51:AC61" si="37">Z52-AA51</f>
        <v>7.7029000000000005</v>
      </c>
      <c r="AD51" s="2">
        <f>AB51/AH51</f>
        <v>0.37209243558422733</v>
      </c>
      <c r="AE51" s="2">
        <f>AC51/AH51</f>
        <v>0.62790756441577278</v>
      </c>
      <c r="AF51" s="2">
        <f>1/AB51</f>
        <v>0.21907388704988534</v>
      </c>
      <c r="AG51" s="2">
        <f>1/AH51</f>
        <v>8.1515736205295758E-2</v>
      </c>
      <c r="AH51" s="2">
        <f>AB51+AC51</f>
        <v>12.267569999999999</v>
      </c>
      <c r="AI51" s="2">
        <v>32</v>
      </c>
      <c r="AJ51">
        <f>AI51/AB51</f>
        <v>7.0103643855963309</v>
      </c>
      <c r="AL51" t="s">
        <v>495</v>
      </c>
      <c r="AM51" s="2"/>
    </row>
    <row r="52" spans="3:39" x14ac:dyDescent="0.35">
      <c r="C52" s="258" t="s">
        <v>541</v>
      </c>
      <c r="D52" s="155">
        <v>0</v>
      </c>
      <c r="F52" s="13">
        <v>144.32122000000001</v>
      </c>
      <c r="G52" s="2">
        <v>148.01855</v>
      </c>
      <c r="H52" s="2">
        <f t="shared" si="24"/>
        <v>3.6973299999999938</v>
      </c>
      <c r="I52" s="2">
        <f t="shared" si="25"/>
        <v>8.3890499999999975</v>
      </c>
      <c r="J52" s="2">
        <f t="shared" si="26"/>
        <v>0.30590879982260993</v>
      </c>
      <c r="K52" s="2">
        <f t="shared" si="27"/>
        <v>0.69409120017739001</v>
      </c>
      <c r="L52" s="2">
        <f t="shared" si="28"/>
        <v>0.27046544398255001</v>
      </c>
      <c r="M52" s="2">
        <f t="shared" si="29"/>
        <v>8.2737759362191216E-2</v>
      </c>
      <c r="N52" s="2">
        <f t="shared" si="30"/>
        <v>12.086379999999991</v>
      </c>
      <c r="O52" s="2">
        <v>28</v>
      </c>
      <c r="P52">
        <f t="shared" si="31"/>
        <v>7.5730324315114004</v>
      </c>
      <c r="W52" s="260"/>
      <c r="X52" s="155">
        <v>-1</v>
      </c>
      <c r="Z52" s="2">
        <v>13.79457</v>
      </c>
      <c r="AA52" s="2">
        <v>19.280390000000001</v>
      </c>
      <c r="AB52" s="2">
        <f t="shared" si="36"/>
        <v>5.4858200000000004</v>
      </c>
      <c r="AC52" s="2">
        <f t="shared" si="37"/>
        <v>4.2074800000000003</v>
      </c>
      <c r="AD52" s="2">
        <f t="shared" ref="AD52:AD61" si="38">AB52/AH52</f>
        <v>0.56593936017661683</v>
      </c>
      <c r="AE52" s="2">
        <f t="shared" ref="AE52:AE61" si="39">AC52/AH52</f>
        <v>0.43406063982338317</v>
      </c>
      <c r="AF52" s="2">
        <f t="shared" ref="AF52:AF61" si="40">1/AB52</f>
        <v>0.1822881538220357</v>
      </c>
      <c r="AG52" s="2">
        <f t="shared" ref="AG52:AG61" si="41">1/AH52</f>
        <v>0.1031640411418196</v>
      </c>
      <c r="AH52" s="2">
        <f t="shared" ref="AH52:AH61" si="42">AB52+AC52</f>
        <v>9.6933000000000007</v>
      </c>
      <c r="AI52" s="2">
        <v>36</v>
      </c>
      <c r="AJ52">
        <f t="shared" ref="AJ52:AJ72" si="43">AI52/AB52</f>
        <v>6.5623735375932855</v>
      </c>
      <c r="AM52" s="2"/>
    </row>
    <row r="53" spans="3:39" x14ac:dyDescent="0.35">
      <c r="D53" s="155">
        <v>0</v>
      </c>
      <c r="F53" s="13">
        <v>156.4076</v>
      </c>
      <c r="G53" s="2">
        <v>160.18812</v>
      </c>
      <c r="H53" s="2">
        <f t="shared" si="24"/>
        <v>3.7805199999999957</v>
      </c>
      <c r="I53" s="2">
        <f t="shared" si="25"/>
        <v>5.4583700000000022</v>
      </c>
      <c r="J53" s="2">
        <f t="shared" si="26"/>
        <v>0.40919634285071005</v>
      </c>
      <c r="K53" s="2">
        <f t="shared" si="27"/>
        <v>0.59080365714928995</v>
      </c>
      <c r="L53" s="2">
        <f t="shared" si="28"/>
        <v>0.26451387639795615</v>
      </c>
      <c r="M53" s="2">
        <f t="shared" si="29"/>
        <v>0.10823811085530841</v>
      </c>
      <c r="N53" s="2">
        <f t="shared" si="30"/>
        <v>9.2388899999999978</v>
      </c>
      <c r="O53" s="2">
        <v>31</v>
      </c>
      <c r="P53">
        <f t="shared" si="31"/>
        <v>8.1999301683366408</v>
      </c>
      <c r="W53" s="260" t="s">
        <v>541</v>
      </c>
      <c r="X53" s="155">
        <v>-1</v>
      </c>
      <c r="Z53" s="13">
        <v>23.487870000000001</v>
      </c>
      <c r="AA53" s="2">
        <v>27.97241</v>
      </c>
      <c r="AB53" s="2">
        <f t="shared" si="36"/>
        <v>4.4845399999999991</v>
      </c>
      <c r="AC53" s="2">
        <f t="shared" si="37"/>
        <v>7.7900400000000012</v>
      </c>
      <c r="AD53" s="2">
        <f t="shared" si="38"/>
        <v>0.36535180837144726</v>
      </c>
      <c r="AE53" s="2">
        <f t="shared" si="39"/>
        <v>0.63464819162855279</v>
      </c>
      <c r="AF53" s="2">
        <f t="shared" si="40"/>
        <v>0.22298831095273991</v>
      </c>
      <c r="AG53" s="2">
        <f t="shared" si="41"/>
        <v>8.1469182652278122E-2</v>
      </c>
      <c r="AH53" s="2">
        <f t="shared" si="42"/>
        <v>12.27458</v>
      </c>
      <c r="AI53" s="2">
        <v>32</v>
      </c>
      <c r="AJ53">
        <f t="shared" si="43"/>
        <v>7.1356259504876771</v>
      </c>
      <c r="AM53" s="2"/>
    </row>
    <row r="54" spans="3:39" x14ac:dyDescent="0.35">
      <c r="C54" s="258" t="s">
        <v>541</v>
      </c>
      <c r="D54" s="155">
        <v>0</v>
      </c>
      <c r="F54" s="13">
        <v>165.64649</v>
      </c>
      <c r="G54" s="13">
        <v>169.26651000000001</v>
      </c>
      <c r="H54" s="2">
        <f t="shared" si="24"/>
        <v>3.6200200000000109</v>
      </c>
      <c r="I54" s="2">
        <f t="shared" si="25"/>
        <v>9.1285699999999963</v>
      </c>
      <c r="J54" s="2">
        <f t="shared" si="26"/>
        <v>0.2839545392863061</v>
      </c>
      <c r="K54" s="2">
        <f t="shared" si="27"/>
        <v>0.7160454607136939</v>
      </c>
      <c r="L54" s="2">
        <f t="shared" si="28"/>
        <v>0.27624156772614433</v>
      </c>
      <c r="M54" s="2">
        <f t="shared" si="29"/>
        <v>7.8440047095404225E-2</v>
      </c>
      <c r="N54" s="2">
        <f t="shared" si="30"/>
        <v>12.748590000000007</v>
      </c>
      <c r="O54" s="2">
        <v>27</v>
      </c>
      <c r="P54">
        <f t="shared" si="31"/>
        <v>7.4585223286058966</v>
      </c>
      <c r="W54" s="260" t="s">
        <v>541</v>
      </c>
      <c r="X54" s="155">
        <v>-1</v>
      </c>
      <c r="Z54" s="13">
        <v>35.762450000000001</v>
      </c>
      <c r="AA54" s="2">
        <v>40.278039999999997</v>
      </c>
      <c r="AB54" s="2">
        <f t="shared" si="36"/>
        <v>4.515589999999996</v>
      </c>
      <c r="AC54" s="2">
        <f t="shared" si="37"/>
        <v>10.998080000000002</v>
      </c>
      <c r="AD54" s="2">
        <f t="shared" si="38"/>
        <v>0.29107168065325589</v>
      </c>
      <c r="AE54" s="2">
        <f t="shared" si="39"/>
        <v>0.70892831934674405</v>
      </c>
      <c r="AF54" s="2">
        <f t="shared" si="40"/>
        <v>0.2214550036650805</v>
      </c>
      <c r="AG54" s="2">
        <f t="shared" si="41"/>
        <v>6.4459280105867933E-2</v>
      </c>
      <c r="AH54" s="2">
        <f t="shared" si="42"/>
        <v>15.513669999999998</v>
      </c>
      <c r="AI54" s="2">
        <v>34</v>
      </c>
      <c r="AJ54">
        <f t="shared" si="43"/>
        <v>7.5294701246127369</v>
      </c>
      <c r="AM54" s="2"/>
    </row>
    <row r="55" spans="3:39" x14ac:dyDescent="0.35">
      <c r="D55" s="155">
        <v>0</v>
      </c>
      <c r="F55" s="13">
        <v>178.39508000000001</v>
      </c>
      <c r="G55" s="13">
        <v>182.05391</v>
      </c>
      <c r="H55" s="2">
        <f t="shared" si="24"/>
        <v>3.6588299999999947</v>
      </c>
      <c r="I55" s="2">
        <f t="shared" si="25"/>
        <v>4.7752199999999903</v>
      </c>
      <c r="J55" s="2">
        <f t="shared" si="26"/>
        <v>0.43381649385526538</v>
      </c>
      <c r="K55" s="2">
        <f t="shared" si="27"/>
        <v>0.56618350614473456</v>
      </c>
      <c r="L55" s="2">
        <f t="shared" si="28"/>
        <v>0.27331141375795032</v>
      </c>
      <c r="M55" s="2">
        <f t="shared" si="29"/>
        <v>0.11856699924709976</v>
      </c>
      <c r="N55" s="2">
        <f t="shared" si="30"/>
        <v>8.4340499999999849</v>
      </c>
      <c r="O55" s="2">
        <v>29</v>
      </c>
      <c r="P55">
        <f t="shared" si="31"/>
        <v>7.9260309989805595</v>
      </c>
      <c r="W55" s="260"/>
      <c r="X55" s="155">
        <v>-1</v>
      </c>
      <c r="Z55" s="13">
        <v>51.276119999999999</v>
      </c>
      <c r="AA55" s="2">
        <v>56.580390000000001</v>
      </c>
      <c r="AB55" s="2">
        <f t="shared" si="36"/>
        <v>5.3042700000000025</v>
      </c>
      <c r="AC55" s="2">
        <f t="shared" si="37"/>
        <v>3.3583099999999959</v>
      </c>
      <c r="AD55" s="2">
        <f t="shared" si="38"/>
        <v>0.61231988622327338</v>
      </c>
      <c r="AE55" s="2">
        <f t="shared" si="39"/>
        <v>0.38768011377672662</v>
      </c>
      <c r="AF55" s="2">
        <f t="shared" si="40"/>
        <v>0.18852735626203032</v>
      </c>
      <c r="AG55" s="2">
        <f t="shared" si="41"/>
        <v>0.11543904933634093</v>
      </c>
      <c r="AH55" s="2">
        <f t="shared" si="42"/>
        <v>8.6625799999999984</v>
      </c>
      <c r="AI55" s="2">
        <v>38</v>
      </c>
      <c r="AJ55">
        <f t="shared" si="43"/>
        <v>7.1640395379571515</v>
      </c>
      <c r="AM55" s="2"/>
    </row>
    <row r="56" spans="3:39" x14ac:dyDescent="0.35">
      <c r="C56" s="258" t="s">
        <v>541</v>
      </c>
      <c r="D56" s="155">
        <v>0</v>
      </c>
      <c r="F56" s="13">
        <v>186.82912999999999</v>
      </c>
      <c r="G56" s="13">
        <v>189.67932999999999</v>
      </c>
      <c r="H56" s="2">
        <f t="shared" si="24"/>
        <v>2.850200000000001</v>
      </c>
      <c r="I56" s="2">
        <f t="shared" si="25"/>
        <v>9.1959899999999948</v>
      </c>
      <c r="J56" s="2">
        <f t="shared" si="26"/>
        <v>0.23660593100391095</v>
      </c>
      <c r="K56" s="2">
        <f t="shared" si="27"/>
        <v>0.76339406899608908</v>
      </c>
      <c r="L56" s="2">
        <f t="shared" si="28"/>
        <v>0.35085257174935081</v>
      </c>
      <c r="M56" s="2">
        <f t="shared" si="29"/>
        <v>8.3013799383871614E-2</v>
      </c>
      <c r="N56" s="2">
        <f t="shared" si="30"/>
        <v>12.046189999999996</v>
      </c>
      <c r="O56" s="2">
        <v>23</v>
      </c>
      <c r="P56">
        <f t="shared" si="31"/>
        <v>8.0696091502350686</v>
      </c>
      <c r="W56" s="260" t="s">
        <v>541</v>
      </c>
      <c r="X56" s="155">
        <v>-1</v>
      </c>
      <c r="Z56" s="13">
        <v>59.938699999999997</v>
      </c>
      <c r="AA56" s="2">
        <v>64.558629999999994</v>
      </c>
      <c r="AB56" s="2">
        <f t="shared" si="36"/>
        <v>4.6199299999999965</v>
      </c>
      <c r="AC56" s="2">
        <f t="shared" si="37"/>
        <v>7.8473000000000042</v>
      </c>
      <c r="AD56" s="2">
        <f t="shared" si="38"/>
        <v>0.37056587549920844</v>
      </c>
      <c r="AE56" s="2">
        <f t="shared" si="39"/>
        <v>0.62943412450079161</v>
      </c>
      <c r="AF56" s="2">
        <f t="shared" si="40"/>
        <v>0.21645349604864159</v>
      </c>
      <c r="AG56" s="2">
        <f t="shared" si="41"/>
        <v>8.021027926812932E-2</v>
      </c>
      <c r="AH56" s="2">
        <f t="shared" si="42"/>
        <v>12.467230000000001</v>
      </c>
      <c r="AI56" s="2">
        <v>36</v>
      </c>
      <c r="AJ56">
        <f t="shared" si="43"/>
        <v>7.7923258577510977</v>
      </c>
      <c r="AM56" s="2"/>
    </row>
    <row r="57" spans="3:39" x14ac:dyDescent="0.35">
      <c r="D57" s="155">
        <v>0</v>
      </c>
      <c r="F57" s="13">
        <v>198.87531999999999</v>
      </c>
      <c r="G57" s="13">
        <v>202.72371999999999</v>
      </c>
      <c r="H57" s="2">
        <f t="shared" si="24"/>
        <v>3.848399999999998</v>
      </c>
      <c r="I57" s="2">
        <f t="shared" si="25"/>
        <v>3.7055400000000134</v>
      </c>
      <c r="J57" s="2">
        <f t="shared" si="26"/>
        <v>0.50945599250192508</v>
      </c>
      <c r="K57" s="2">
        <f t="shared" si="27"/>
        <v>0.49054400749807486</v>
      </c>
      <c r="L57" s="2">
        <f t="shared" si="28"/>
        <v>0.25984824862280442</v>
      </c>
      <c r="M57" s="2">
        <f t="shared" si="29"/>
        <v>0.13238124740201782</v>
      </c>
      <c r="N57" s="2">
        <f t="shared" si="30"/>
        <v>7.5539400000000114</v>
      </c>
      <c r="O57" s="2">
        <v>29</v>
      </c>
      <c r="P57">
        <f t="shared" si="31"/>
        <v>7.5355992100613278</v>
      </c>
      <c r="W57" s="260"/>
      <c r="X57" s="155">
        <v>-1</v>
      </c>
      <c r="Z57" s="13">
        <v>72.405929999999998</v>
      </c>
      <c r="AA57" s="2">
        <v>76.547169999999994</v>
      </c>
      <c r="AB57" s="2">
        <f t="shared" si="36"/>
        <v>4.1412399999999963</v>
      </c>
      <c r="AC57" s="2">
        <f t="shared" si="37"/>
        <v>4.561000000000007</v>
      </c>
      <c r="AD57" s="2">
        <f t="shared" si="38"/>
        <v>0.47588207174244729</v>
      </c>
      <c r="AE57" s="2">
        <f t="shared" si="39"/>
        <v>0.52411792825755266</v>
      </c>
      <c r="AF57" s="2">
        <f t="shared" si="40"/>
        <v>0.24147356830321376</v>
      </c>
      <c r="AG57" s="2">
        <f t="shared" si="41"/>
        <v>0.11491294195517472</v>
      </c>
      <c r="AH57" s="2">
        <f t="shared" si="42"/>
        <v>8.7022400000000033</v>
      </c>
      <c r="AI57" s="2">
        <v>33</v>
      </c>
      <c r="AJ57">
        <f t="shared" si="43"/>
        <v>7.9686277540060537</v>
      </c>
      <c r="AM57" s="2"/>
    </row>
    <row r="58" spans="3:39" x14ac:dyDescent="0.35">
      <c r="C58" s="258" t="s">
        <v>541</v>
      </c>
      <c r="D58" s="155">
        <v>0</v>
      </c>
      <c r="F58" s="13">
        <v>206.42926</v>
      </c>
      <c r="G58" s="13">
        <v>210.19004000000001</v>
      </c>
      <c r="H58" s="2">
        <f t="shared" si="24"/>
        <v>3.7607800000000111</v>
      </c>
      <c r="I58" s="2">
        <f t="shared" si="25"/>
        <v>8.9577899999999886</v>
      </c>
      <c r="J58" s="2">
        <f t="shared" si="26"/>
        <v>0.29569204714052061</v>
      </c>
      <c r="K58" s="2">
        <f t="shared" si="27"/>
        <v>0.70430795285947934</v>
      </c>
      <c r="L58" s="2">
        <f t="shared" si="28"/>
        <v>0.26590228622785622</v>
      </c>
      <c r="M58" s="2">
        <f t="shared" si="29"/>
        <v>7.8625191354059459E-2</v>
      </c>
      <c r="N58" s="2">
        <f t="shared" si="30"/>
        <v>12.71857</v>
      </c>
      <c r="O58" s="2">
        <v>30</v>
      </c>
      <c r="P58">
        <f t="shared" si="31"/>
        <v>7.9770685868356859</v>
      </c>
      <c r="W58" s="260" t="s">
        <v>541</v>
      </c>
      <c r="X58" s="155">
        <v>-1</v>
      </c>
      <c r="Z58" s="13">
        <v>81.108170000000001</v>
      </c>
      <c r="AA58" s="2">
        <v>85.62585</v>
      </c>
      <c r="AB58" s="2">
        <f t="shared" si="36"/>
        <v>4.5176799999999986</v>
      </c>
      <c r="AC58" s="2">
        <f t="shared" si="37"/>
        <v>6.9738200000000035</v>
      </c>
      <c r="AD58" s="2">
        <f t="shared" si="38"/>
        <v>0.39313231518948771</v>
      </c>
      <c r="AE58" s="2">
        <f t="shared" si="39"/>
        <v>0.60686768481051234</v>
      </c>
      <c r="AF58" s="2">
        <f t="shared" si="40"/>
        <v>0.22135255263763709</v>
      </c>
      <c r="AG58" s="2">
        <f t="shared" si="41"/>
        <v>8.7020841491537201E-2</v>
      </c>
      <c r="AH58" s="2">
        <f t="shared" si="42"/>
        <v>11.491500000000002</v>
      </c>
      <c r="AI58" s="2">
        <v>32</v>
      </c>
      <c r="AJ58">
        <f t="shared" si="43"/>
        <v>7.0832816844043869</v>
      </c>
      <c r="AM58" s="2"/>
    </row>
    <row r="59" spans="3:39" x14ac:dyDescent="0.35">
      <c r="D59" s="155">
        <v>0</v>
      </c>
      <c r="F59" s="13">
        <v>219.14783</v>
      </c>
      <c r="G59" s="13">
        <v>222.10185000000001</v>
      </c>
      <c r="H59" s="2">
        <f t="shared" si="24"/>
        <v>2.9540200000000141</v>
      </c>
      <c r="I59" s="2">
        <f t="shared" si="25"/>
        <v>4.6183199999999829</v>
      </c>
      <c r="J59" s="2">
        <f t="shared" si="26"/>
        <v>0.3901066249006272</v>
      </c>
      <c r="K59" s="2">
        <f t="shared" si="27"/>
        <v>0.6098933750993728</v>
      </c>
      <c r="L59" s="2">
        <f t="shared" si="28"/>
        <v>0.33852174325156742</v>
      </c>
      <c r="M59" s="2">
        <f t="shared" si="29"/>
        <v>0.13205957471534563</v>
      </c>
      <c r="N59" s="2">
        <f t="shared" si="30"/>
        <v>7.572339999999997</v>
      </c>
      <c r="O59" s="2">
        <v>27</v>
      </c>
      <c r="P59">
        <f t="shared" si="31"/>
        <v>9.1400870677923205</v>
      </c>
      <c r="W59" s="260"/>
      <c r="X59" s="155">
        <v>-1</v>
      </c>
      <c r="Z59" s="13">
        <v>92.599670000000003</v>
      </c>
      <c r="AA59" s="2">
        <v>96.630110000000002</v>
      </c>
      <c r="AB59" s="2">
        <f t="shared" si="36"/>
        <v>4.0304399999999987</v>
      </c>
      <c r="AC59" s="2">
        <f t="shared" si="37"/>
        <v>4.014969999999991</v>
      </c>
      <c r="AD59" s="2">
        <f t="shared" si="38"/>
        <v>0.50096141775248293</v>
      </c>
      <c r="AE59" s="2">
        <f t="shared" si="39"/>
        <v>0.49903858224751707</v>
      </c>
      <c r="AF59" s="2">
        <f t="shared" si="40"/>
        <v>0.24811186867935023</v>
      </c>
      <c r="AG59" s="2">
        <f t="shared" si="41"/>
        <v>0.12429447349482516</v>
      </c>
      <c r="AH59" s="2">
        <f t="shared" si="42"/>
        <v>8.0454099999999897</v>
      </c>
      <c r="AI59" s="2">
        <v>31</v>
      </c>
      <c r="AJ59">
        <f t="shared" si="43"/>
        <v>7.6914679290598569</v>
      </c>
      <c r="AM59" s="2"/>
    </row>
    <row r="60" spans="3:39" x14ac:dyDescent="0.35">
      <c r="D60" s="155">
        <v>0</v>
      </c>
      <c r="F60" s="13">
        <v>226.72017</v>
      </c>
      <c r="G60">
        <v>230.58072999999999</v>
      </c>
      <c r="H60" s="2">
        <f t="shared" si="24"/>
        <v>3.8605599999999924</v>
      </c>
      <c r="I60" s="2"/>
      <c r="J60" s="2"/>
      <c r="K60" s="2"/>
      <c r="L60" s="2"/>
      <c r="M60" s="2"/>
      <c r="N60" s="2"/>
      <c r="O60" s="2"/>
      <c r="W60" s="260" t="s">
        <v>541</v>
      </c>
      <c r="X60" s="155">
        <v>-1</v>
      </c>
      <c r="Z60" s="13">
        <v>100.64507999999999</v>
      </c>
      <c r="AA60" s="2">
        <v>105.27982</v>
      </c>
      <c r="AB60" s="2">
        <f t="shared" si="36"/>
        <v>4.6347400000000079</v>
      </c>
      <c r="AC60" s="2">
        <f t="shared" si="37"/>
        <v>7.9749099999999942</v>
      </c>
      <c r="AD60" s="2">
        <f t="shared" si="38"/>
        <v>0.36755500747443481</v>
      </c>
      <c r="AE60" s="2">
        <f t="shared" si="39"/>
        <v>0.63244499252556519</v>
      </c>
      <c r="AF60" s="2">
        <f t="shared" si="40"/>
        <v>0.21576183345775563</v>
      </c>
      <c r="AG60" s="2">
        <f t="shared" si="41"/>
        <v>7.9304342309263129E-2</v>
      </c>
      <c r="AH60" s="2">
        <f t="shared" si="42"/>
        <v>12.609650000000002</v>
      </c>
      <c r="AI60" s="2">
        <v>34</v>
      </c>
      <c r="AJ60">
        <f t="shared" si="43"/>
        <v>7.3359023375636916</v>
      </c>
      <c r="AM60" s="2"/>
    </row>
    <row r="61" spans="3:39" x14ac:dyDescent="0.35">
      <c r="W61" s="260"/>
      <c r="X61" s="155">
        <v>-1</v>
      </c>
      <c r="Z61" s="13">
        <v>113.25473</v>
      </c>
      <c r="AA61" s="2">
        <v>117.36329000000001</v>
      </c>
      <c r="AB61" s="2">
        <f t="shared" si="36"/>
        <v>4.1085600000000113</v>
      </c>
      <c r="AC61" s="2">
        <f t="shared" si="37"/>
        <v>5.7717299999999909</v>
      </c>
      <c r="AD61" s="2">
        <f t="shared" si="38"/>
        <v>0.41583394819382935</v>
      </c>
      <c r="AE61" s="2">
        <f t="shared" si="39"/>
        <v>0.58416605180617065</v>
      </c>
      <c r="AF61" s="2">
        <f t="shared" si="40"/>
        <v>0.24339427926085958</v>
      </c>
      <c r="AG61" s="2">
        <f t="shared" si="41"/>
        <v>0.10121160411283472</v>
      </c>
      <c r="AH61" s="2">
        <f t="shared" si="42"/>
        <v>9.8802900000000022</v>
      </c>
      <c r="AI61" s="2">
        <v>33</v>
      </c>
      <c r="AJ61">
        <f t="shared" si="43"/>
        <v>8.0320112156083656</v>
      </c>
      <c r="AM61" s="2"/>
    </row>
    <row r="62" spans="3:39" ht="16" thickBot="1" x14ac:dyDescent="0.4">
      <c r="F62" s="13"/>
      <c r="G62" s="13"/>
      <c r="H62" s="9" t="s">
        <v>3</v>
      </c>
      <c r="I62" s="9" t="s">
        <v>4</v>
      </c>
      <c r="J62" s="9" t="s">
        <v>5</v>
      </c>
      <c r="K62" s="9" t="s">
        <v>6</v>
      </c>
      <c r="L62" s="9" t="s">
        <v>7</v>
      </c>
      <c r="M62" s="9" t="s">
        <v>8</v>
      </c>
      <c r="N62" s="9" t="s">
        <v>9</v>
      </c>
      <c r="O62" s="9" t="s">
        <v>10</v>
      </c>
      <c r="P62" s="44" t="s">
        <v>139</v>
      </c>
      <c r="W62" s="260"/>
      <c r="X62" s="155">
        <v>0</v>
      </c>
      <c r="Z62" s="13">
        <v>123.13502</v>
      </c>
      <c r="AA62" s="2">
        <v>127.31091000000001</v>
      </c>
      <c r="AB62" s="2">
        <f t="shared" ref="AB62:AB73" si="44">AA62-Z62</f>
        <v>4.1758900000000096</v>
      </c>
      <c r="AC62" s="2">
        <f t="shared" ref="AC62:AC72" si="45">Z63-AA62</f>
        <v>3.9514199999999846</v>
      </c>
      <c r="AD62" s="2">
        <f t="shared" ref="AD62:AD72" si="46">AB62/AH62</f>
        <v>0.5138096122825403</v>
      </c>
      <c r="AE62" s="2">
        <f t="shared" ref="AE62:AE72" si="47">AC62/AH62</f>
        <v>0.4861903877174597</v>
      </c>
      <c r="AF62" s="2">
        <f t="shared" ref="AF62:AF72" si="48">1/AB62</f>
        <v>0.23946990940853272</v>
      </c>
      <c r="AG62" s="2">
        <f t="shared" ref="AG62:AG72" si="49">1/AH62</f>
        <v>0.12304194130653325</v>
      </c>
      <c r="AH62" s="2">
        <f t="shared" ref="AH62:AH72" si="50">AB62+AC62</f>
        <v>8.1273099999999943</v>
      </c>
      <c r="AI62" s="2">
        <v>32</v>
      </c>
      <c r="AJ62">
        <f t="shared" si="43"/>
        <v>7.6630371010730469</v>
      </c>
      <c r="AL62" t="s">
        <v>496</v>
      </c>
      <c r="AM62" s="2"/>
    </row>
    <row r="63" spans="3:39" x14ac:dyDescent="0.35">
      <c r="E63" s="104" t="s">
        <v>480</v>
      </c>
      <c r="F63" s="13"/>
      <c r="G63" s="49" t="s">
        <v>77</v>
      </c>
      <c r="H63" s="13">
        <f>AVERAGE(H38:H49)</f>
        <v>3.544467500000001</v>
      </c>
      <c r="I63" s="13">
        <f t="shared" ref="I63:P63" si="51">AVERAGE(I38:I49)</f>
        <v>6.5343324999999988</v>
      </c>
      <c r="J63" s="13">
        <f t="shared" si="51"/>
        <v>0.36925476552765013</v>
      </c>
      <c r="K63" s="13">
        <f t="shared" si="51"/>
        <v>0.63074523447234987</v>
      </c>
      <c r="L63" s="13">
        <f t="shared" si="51"/>
        <v>0.28492263380417077</v>
      </c>
      <c r="M63" s="13">
        <f t="shared" si="51"/>
        <v>0.1033391201386764</v>
      </c>
      <c r="N63" s="13">
        <f t="shared" si="51"/>
        <v>10.078799999999999</v>
      </c>
      <c r="O63" s="13">
        <f t="shared" si="51"/>
        <v>27.583333333333332</v>
      </c>
      <c r="P63" s="13">
        <f t="shared" si="51"/>
        <v>7.7795727833312798</v>
      </c>
      <c r="W63" s="260" t="s">
        <v>541</v>
      </c>
      <c r="X63" s="155">
        <v>0</v>
      </c>
      <c r="Z63" s="13">
        <v>131.26232999999999</v>
      </c>
      <c r="AA63" s="2">
        <v>135.17411999999999</v>
      </c>
      <c r="AB63" s="2">
        <f t="shared" si="44"/>
        <v>3.9117899999999963</v>
      </c>
      <c r="AC63" s="2">
        <f t="shared" si="45"/>
        <v>6.9148300000000233</v>
      </c>
      <c r="AD63" s="2">
        <f t="shared" si="46"/>
        <v>0.36131221008957454</v>
      </c>
      <c r="AE63" s="2">
        <f t="shared" si="47"/>
        <v>0.63868778991042552</v>
      </c>
      <c r="AF63" s="2">
        <f t="shared" si="48"/>
        <v>0.25563744475035749</v>
      </c>
      <c r="AG63" s="2">
        <f t="shared" si="49"/>
        <v>9.2364930144403168E-2</v>
      </c>
      <c r="AH63" s="2">
        <f t="shared" si="50"/>
        <v>10.82662000000002</v>
      </c>
      <c r="AI63" s="2">
        <v>30</v>
      </c>
      <c r="AJ63">
        <f t="shared" si="43"/>
        <v>7.6691233425107246</v>
      </c>
      <c r="AM63" s="2"/>
    </row>
    <row r="64" spans="3:39" x14ac:dyDescent="0.35">
      <c r="E64" s="104"/>
      <c r="F64" s="13"/>
      <c r="G64" s="49" t="s">
        <v>94</v>
      </c>
      <c r="H64" s="2">
        <f>_xlfn.STDEV.S(H38:H49)</f>
        <v>0.34252136536214095</v>
      </c>
      <c r="I64" s="2">
        <f t="shared" ref="I64:P64" si="52">_xlfn.STDEV.S(I38:I49)</f>
        <v>2.2785458679570398</v>
      </c>
      <c r="J64" s="2">
        <f t="shared" si="52"/>
        <v>9.6610635000109385E-2</v>
      </c>
      <c r="K64" s="2">
        <f t="shared" si="52"/>
        <v>9.6610635000108969E-2</v>
      </c>
      <c r="L64" s="2">
        <f t="shared" si="52"/>
        <v>3.1648263494527963E-2</v>
      </c>
      <c r="M64" s="2">
        <f t="shared" si="52"/>
        <v>2.1572190072344438E-2</v>
      </c>
      <c r="N64" s="2">
        <f t="shared" si="52"/>
        <v>2.1102761846303952</v>
      </c>
      <c r="O64" s="2">
        <f t="shared" si="52"/>
        <v>3.1466673086799464</v>
      </c>
      <c r="P64" s="2">
        <f t="shared" si="52"/>
        <v>0.4227730251787179</v>
      </c>
      <c r="W64" s="260"/>
      <c r="X64" s="155">
        <v>0</v>
      </c>
      <c r="Z64" s="13">
        <v>142.08895000000001</v>
      </c>
      <c r="AA64" s="2">
        <v>146.03399999999999</v>
      </c>
      <c r="AB64" s="2">
        <f t="shared" si="44"/>
        <v>3.9450499999999806</v>
      </c>
      <c r="AC64" s="2">
        <f t="shared" si="45"/>
        <v>4.1559400000000153</v>
      </c>
      <c r="AD64" s="2">
        <f t="shared" si="46"/>
        <v>0.48698368964780631</v>
      </c>
      <c r="AE64" s="2">
        <f t="shared" si="47"/>
        <v>0.51301631035219364</v>
      </c>
      <c r="AF64" s="2">
        <f t="shared" si="48"/>
        <v>0.25348221188578218</v>
      </c>
      <c r="AG64" s="2">
        <f t="shared" si="49"/>
        <v>0.12344170280422523</v>
      </c>
      <c r="AH64" s="2">
        <f t="shared" si="50"/>
        <v>8.1009899999999959</v>
      </c>
      <c r="AI64" s="2">
        <v>32</v>
      </c>
      <c r="AJ64">
        <f t="shared" si="43"/>
        <v>8.1114307803450298</v>
      </c>
    </row>
    <row r="65" spans="5:36" x14ac:dyDescent="0.35">
      <c r="E65" s="104"/>
      <c r="F65" s="13"/>
      <c r="G65" s="49" t="s">
        <v>95</v>
      </c>
      <c r="H65" s="2">
        <f>H64/(SQRT(COUNT(H38:H49)))</f>
        <v>9.8877401247515123E-2</v>
      </c>
      <c r="I65" s="2">
        <f t="shared" ref="I65:P65" si="53">I64/(SQRT(COUNT(I38:I49)))</f>
        <v>0.65775953511295326</v>
      </c>
      <c r="J65" s="2">
        <f t="shared" si="53"/>
        <v>2.7889088061946919E-2</v>
      </c>
      <c r="K65" s="2">
        <f t="shared" si="53"/>
        <v>2.7889088061946798E-2</v>
      </c>
      <c r="L65" s="2">
        <f t="shared" si="53"/>
        <v>9.1360667239749633E-3</v>
      </c>
      <c r="M65" s="2">
        <f t="shared" si="53"/>
        <v>6.2273548726389169E-3</v>
      </c>
      <c r="N65" s="2">
        <f t="shared" si="53"/>
        <v>0.60918426163040762</v>
      </c>
      <c r="O65" s="2">
        <f t="shared" si="53"/>
        <v>0.90836460885828119</v>
      </c>
      <c r="P65" s="2">
        <f t="shared" si="53"/>
        <v>0.12204405994652261</v>
      </c>
      <c r="W65" s="260" t="s">
        <v>541</v>
      </c>
      <c r="X65" s="155">
        <v>0</v>
      </c>
      <c r="Z65" s="13">
        <v>150.18994000000001</v>
      </c>
      <c r="AA65" s="13">
        <v>154.33802</v>
      </c>
      <c r="AB65" s="2">
        <f t="shared" si="44"/>
        <v>4.1480799999999931</v>
      </c>
      <c r="AC65" s="2">
        <f t="shared" si="45"/>
        <v>8.4017100000000084</v>
      </c>
      <c r="AD65" s="2">
        <f t="shared" si="46"/>
        <v>0.3305298335669356</v>
      </c>
      <c r="AE65" s="2">
        <f t="shared" si="47"/>
        <v>0.66947016643306445</v>
      </c>
      <c r="AF65" s="2">
        <f t="shared" si="48"/>
        <v>0.24107538909567841</v>
      </c>
      <c r="AG65" s="2">
        <f t="shared" si="49"/>
        <v>7.9682608234878827E-2</v>
      </c>
      <c r="AH65" s="2">
        <f t="shared" si="50"/>
        <v>12.549790000000002</v>
      </c>
      <c r="AI65" s="2">
        <v>32</v>
      </c>
      <c r="AJ65">
        <f t="shared" si="43"/>
        <v>7.7144124510617091</v>
      </c>
    </row>
    <row r="66" spans="5:36" x14ac:dyDescent="0.35">
      <c r="E66" s="104"/>
      <c r="F66" s="13"/>
      <c r="G66" s="49"/>
      <c r="H66" s="2"/>
      <c r="I66" s="2"/>
      <c r="J66" s="2"/>
      <c r="K66" s="2"/>
      <c r="L66" s="2"/>
      <c r="M66" s="2"/>
      <c r="N66" s="2"/>
      <c r="O66" s="2"/>
      <c r="P66" s="2"/>
      <c r="W66" s="260" t="s">
        <v>541</v>
      </c>
      <c r="X66" s="155">
        <v>0</v>
      </c>
      <c r="Z66" s="13">
        <v>162.73973000000001</v>
      </c>
      <c r="AA66">
        <v>167.03140999999999</v>
      </c>
      <c r="AB66" s="2">
        <f t="shared" si="44"/>
        <v>4.2916799999999853</v>
      </c>
      <c r="AC66" s="2">
        <f t="shared" si="45"/>
        <v>6.7487500000000011</v>
      </c>
      <c r="AD66" s="2">
        <f t="shared" si="46"/>
        <v>0.38872398991705853</v>
      </c>
      <c r="AE66" s="2">
        <f t="shared" si="47"/>
        <v>0.61127601008294141</v>
      </c>
      <c r="AF66" s="2">
        <f t="shared" si="48"/>
        <v>0.23300898482645571</v>
      </c>
      <c r="AG66" s="2">
        <f t="shared" si="49"/>
        <v>9.0576182268263208E-2</v>
      </c>
      <c r="AH66" s="2">
        <f t="shared" si="50"/>
        <v>11.040429999999986</v>
      </c>
      <c r="AI66" s="2">
        <v>34</v>
      </c>
      <c r="AJ66">
        <f t="shared" si="43"/>
        <v>7.9223054840994944</v>
      </c>
    </row>
    <row r="67" spans="5:36" x14ac:dyDescent="0.35">
      <c r="E67" s="104"/>
      <c r="F67" s="13"/>
      <c r="G67" s="49"/>
      <c r="H67" s="2"/>
      <c r="I67" s="2"/>
      <c r="J67" s="2"/>
      <c r="K67" s="2"/>
      <c r="L67" s="2"/>
      <c r="M67" s="2"/>
      <c r="N67" s="2"/>
      <c r="O67" s="2"/>
      <c r="P67" s="2"/>
      <c r="W67" s="260"/>
      <c r="X67" s="155">
        <v>0</v>
      </c>
      <c r="Z67">
        <v>173.78016</v>
      </c>
      <c r="AA67">
        <v>177.87177</v>
      </c>
      <c r="AB67" s="2">
        <f t="shared" si="44"/>
        <v>4.0916100000000029</v>
      </c>
      <c r="AC67" s="2">
        <f t="shared" si="45"/>
        <v>4.1263800000000117</v>
      </c>
      <c r="AD67" s="2">
        <f t="shared" si="46"/>
        <v>0.49788451920725085</v>
      </c>
      <c r="AE67" s="2">
        <f t="shared" si="47"/>
        <v>0.50211548079274915</v>
      </c>
      <c r="AF67" s="2">
        <f t="shared" si="48"/>
        <v>0.24440257013742739</v>
      </c>
      <c r="AG67" s="2">
        <f t="shared" si="49"/>
        <v>0.12168425612588944</v>
      </c>
      <c r="AH67" s="2">
        <f t="shared" si="50"/>
        <v>8.2179900000000146</v>
      </c>
      <c r="AI67" s="2">
        <v>35</v>
      </c>
      <c r="AJ67">
        <f t="shared" si="43"/>
        <v>8.5540899548099585</v>
      </c>
    </row>
    <row r="68" spans="5:36" ht="16" thickBot="1" x14ac:dyDescent="0.4">
      <c r="E68" s="104" t="s">
        <v>81</v>
      </c>
      <c r="F68" s="13"/>
      <c r="G68" s="13"/>
      <c r="H68" s="9" t="s">
        <v>3</v>
      </c>
      <c r="I68" s="9" t="s">
        <v>4</v>
      </c>
      <c r="J68" s="9" t="s">
        <v>5</v>
      </c>
      <c r="K68" s="9" t="s">
        <v>6</v>
      </c>
      <c r="L68" s="9" t="s">
        <v>7</v>
      </c>
      <c r="M68" s="9" t="s">
        <v>8</v>
      </c>
      <c r="N68" s="9" t="s">
        <v>9</v>
      </c>
      <c r="O68" s="9" t="s">
        <v>10</v>
      </c>
      <c r="P68" s="44" t="s">
        <v>139</v>
      </c>
      <c r="W68" s="260" t="s">
        <v>541</v>
      </c>
      <c r="X68" s="155">
        <v>0</v>
      </c>
      <c r="Z68">
        <v>181.99815000000001</v>
      </c>
      <c r="AA68">
        <v>186.0385</v>
      </c>
      <c r="AB68" s="2">
        <f t="shared" si="44"/>
        <v>4.0403499999999894</v>
      </c>
      <c r="AC68" s="2">
        <f t="shared" si="45"/>
        <v>6.7985700000000122</v>
      </c>
      <c r="AD68" s="2">
        <f t="shared" si="46"/>
        <v>0.37276315352451989</v>
      </c>
      <c r="AE68" s="2">
        <f t="shared" si="47"/>
        <v>0.62723684647548017</v>
      </c>
      <c r="AF68" s="2">
        <f t="shared" si="48"/>
        <v>0.24750331035677667</v>
      </c>
      <c r="AG68" s="2">
        <f t="shared" si="49"/>
        <v>9.2260114476350033E-2</v>
      </c>
      <c r="AH68" s="2">
        <f t="shared" si="50"/>
        <v>10.838920000000002</v>
      </c>
      <c r="AI68">
        <v>31</v>
      </c>
      <c r="AJ68">
        <f t="shared" si="43"/>
        <v>7.6726026210600766</v>
      </c>
    </row>
    <row r="69" spans="5:36" x14ac:dyDescent="0.35">
      <c r="E69" s="104"/>
      <c r="F69" s="13"/>
      <c r="G69" s="49" t="s">
        <v>77</v>
      </c>
      <c r="H69" s="13">
        <f>AVERAGE(H38,H40,H42,H44,H46,H48)</f>
        <v>3.3837033333333344</v>
      </c>
      <c r="I69" s="13">
        <f t="shared" ref="I69:P69" si="54">AVERAGE(I38,I40,I42,I44,I46,I48)</f>
        <v>8.6505633333333307</v>
      </c>
      <c r="J69" s="13">
        <f t="shared" si="54"/>
        <v>0.28145577909397274</v>
      </c>
      <c r="K69" s="13">
        <f t="shared" si="54"/>
        <v>0.71854422090602732</v>
      </c>
      <c r="L69" s="13">
        <f t="shared" si="54"/>
        <v>0.29951523255692925</v>
      </c>
      <c r="M69" s="13">
        <f t="shared" si="54"/>
        <v>8.331746246826835E-2</v>
      </c>
      <c r="N69" s="13">
        <f t="shared" si="54"/>
        <v>12.034266666666666</v>
      </c>
      <c r="O69" s="13">
        <f t="shared" si="54"/>
        <v>25.333333333333332</v>
      </c>
      <c r="P69" s="13">
        <f t="shared" si="54"/>
        <v>7.5037884394388934</v>
      </c>
      <c r="W69" s="260"/>
      <c r="X69" s="155">
        <v>0</v>
      </c>
      <c r="Z69">
        <v>192.83707000000001</v>
      </c>
      <c r="AA69">
        <v>197.5343</v>
      </c>
      <c r="AB69" s="2">
        <f t="shared" si="44"/>
        <v>4.6972299999999905</v>
      </c>
      <c r="AC69" s="2">
        <f t="shared" si="45"/>
        <v>3.2983499999999992</v>
      </c>
      <c r="AD69" s="2">
        <f t="shared" si="46"/>
        <v>0.58747833177830711</v>
      </c>
      <c r="AE69" s="2">
        <f t="shared" si="47"/>
        <v>0.41252166822169289</v>
      </c>
      <c r="AF69" s="2">
        <f t="shared" si="48"/>
        <v>0.21289142750088924</v>
      </c>
      <c r="AG69" s="2">
        <f t="shared" si="49"/>
        <v>0.12506910067812482</v>
      </c>
      <c r="AH69" s="2">
        <f t="shared" si="50"/>
        <v>7.9955799999999897</v>
      </c>
      <c r="AI69">
        <v>35</v>
      </c>
      <c r="AJ69">
        <f t="shared" si="43"/>
        <v>7.451199962531124</v>
      </c>
    </row>
    <row r="70" spans="5:36" x14ac:dyDescent="0.35">
      <c r="E70" s="104"/>
      <c r="F70" s="13"/>
      <c r="G70" s="49" t="s">
        <v>94</v>
      </c>
      <c r="H70" s="2">
        <f>_xlfn.STDEV.S(H38,H40,H42,H44,H46,H48)</f>
        <v>0.41171932175532772</v>
      </c>
      <c r="I70" s="2">
        <f t="shared" ref="I70:P70" si="55">_xlfn.STDEV.S(I38,I40,I42,I44,I46,I48)</f>
        <v>0.69996710661763684</v>
      </c>
      <c r="J70" s="2">
        <f t="shared" si="55"/>
        <v>3.3692793711815189E-2</v>
      </c>
      <c r="K70" s="2">
        <f t="shared" si="55"/>
        <v>3.3692793711815203E-2</v>
      </c>
      <c r="L70" s="2">
        <f t="shared" si="55"/>
        <v>3.9333207347749963E-2</v>
      </c>
      <c r="M70" s="2">
        <f t="shared" si="55"/>
        <v>4.7294691903031517E-3</v>
      </c>
      <c r="N70" s="2">
        <f t="shared" si="55"/>
        <v>0.67700864560703189</v>
      </c>
      <c r="O70" s="2">
        <f t="shared" si="55"/>
        <v>2.8751811537130485</v>
      </c>
      <c r="P70" s="2">
        <f t="shared" si="55"/>
        <v>0.40575078458782654</v>
      </c>
      <c r="W70" s="260" t="s">
        <v>541</v>
      </c>
      <c r="X70" s="155">
        <v>0</v>
      </c>
      <c r="Z70">
        <v>200.83265</v>
      </c>
      <c r="AA70">
        <v>205.47852</v>
      </c>
      <c r="AB70" s="2">
        <f t="shared" si="44"/>
        <v>4.6458700000000022</v>
      </c>
      <c r="AC70" s="2">
        <f t="shared" si="45"/>
        <v>7.1470099999999945</v>
      </c>
      <c r="AD70" s="2">
        <f t="shared" si="46"/>
        <v>0.39395550535577428</v>
      </c>
      <c r="AE70" s="2">
        <f t="shared" si="47"/>
        <v>0.60604449464422572</v>
      </c>
      <c r="AF70" s="2">
        <f t="shared" si="48"/>
        <v>0.21524493797717101</v>
      </c>
      <c r="AG70" s="2">
        <f t="shared" si="49"/>
        <v>8.4796928316068707E-2</v>
      </c>
      <c r="AH70" s="2">
        <f t="shared" si="50"/>
        <v>11.792879999999997</v>
      </c>
      <c r="AI70">
        <v>33</v>
      </c>
      <c r="AJ70">
        <f t="shared" si="43"/>
        <v>7.103082953246644</v>
      </c>
    </row>
    <row r="71" spans="5:36" x14ac:dyDescent="0.35">
      <c r="E71" s="104"/>
      <c r="F71" s="13"/>
      <c r="G71" s="49" t="s">
        <v>95</v>
      </c>
      <c r="H71" s="2">
        <f>H70/(SQRT(COUNT(H38,H40,H42,H44,H46,H48)))</f>
        <v>0.16808370925755373</v>
      </c>
      <c r="I71" s="2">
        <f t="shared" ref="I71:P71" si="56">I70/(SQRT(COUNT(I38,I40,I42,I44,I46,I48)))</f>
        <v>0.2857603746575868</v>
      </c>
      <c r="J71" s="2">
        <f t="shared" si="56"/>
        <v>1.3755025433800146E-2</v>
      </c>
      <c r="K71" s="2">
        <f t="shared" si="56"/>
        <v>1.3755025433800151E-2</v>
      </c>
      <c r="L71" s="2">
        <f t="shared" si="56"/>
        <v>1.6057714658179581E-2</v>
      </c>
      <c r="M71" s="2">
        <f t="shared" si="56"/>
        <v>1.9307977117427723E-3</v>
      </c>
      <c r="N71" s="2">
        <f t="shared" si="56"/>
        <v>0.27638762219832608</v>
      </c>
      <c r="O71" s="2">
        <f t="shared" si="56"/>
        <v>1.1737877907772696</v>
      </c>
      <c r="P71" s="2">
        <f t="shared" si="56"/>
        <v>0.16564706416235134</v>
      </c>
      <c r="W71" s="260"/>
      <c r="X71" s="155">
        <v>0</v>
      </c>
      <c r="Z71">
        <v>212.62553</v>
      </c>
      <c r="AA71">
        <v>217.48684</v>
      </c>
      <c r="AB71" s="2">
        <f t="shared" si="44"/>
        <v>4.8613100000000031</v>
      </c>
      <c r="AC71" s="2">
        <f t="shared" si="45"/>
        <v>4.2910799999999938</v>
      </c>
      <c r="AD71" s="2">
        <f t="shared" si="46"/>
        <v>0.53115197232635458</v>
      </c>
      <c r="AE71" s="2">
        <f t="shared" si="47"/>
        <v>0.46884802767364536</v>
      </c>
      <c r="AF71" s="2">
        <f t="shared" si="48"/>
        <v>0.20570586940557162</v>
      </c>
      <c r="AG71" s="2">
        <f t="shared" si="49"/>
        <v>0.10926107825387689</v>
      </c>
      <c r="AH71" s="2">
        <f t="shared" si="50"/>
        <v>9.1523899999999969</v>
      </c>
      <c r="AI71">
        <v>40</v>
      </c>
      <c r="AJ71">
        <f t="shared" si="43"/>
        <v>8.2282347762228643</v>
      </c>
    </row>
    <row r="72" spans="5:36" x14ac:dyDescent="0.35">
      <c r="E72" s="104"/>
      <c r="F72" s="13"/>
      <c r="G72" s="49"/>
      <c r="H72" s="2"/>
      <c r="I72" s="2"/>
      <c r="J72" s="2"/>
      <c r="K72" s="2"/>
      <c r="L72" s="2"/>
      <c r="M72" s="2"/>
      <c r="N72" s="2"/>
      <c r="O72" s="2"/>
      <c r="P72" s="2"/>
      <c r="W72" s="260" t="s">
        <v>541</v>
      </c>
      <c r="X72" s="155">
        <v>0</v>
      </c>
      <c r="Z72">
        <v>221.77791999999999</v>
      </c>
      <c r="AA72">
        <v>225.89922000000001</v>
      </c>
      <c r="AB72" s="2">
        <f t="shared" si="44"/>
        <v>4.1213000000000193</v>
      </c>
      <c r="AC72" s="2">
        <f t="shared" si="45"/>
        <v>8.5222299999999791</v>
      </c>
      <c r="AD72" s="2">
        <f t="shared" si="46"/>
        <v>0.32596118330877688</v>
      </c>
      <c r="AE72" s="2">
        <f t="shared" si="47"/>
        <v>0.67403881669122312</v>
      </c>
      <c r="AF72" s="2">
        <f t="shared" si="48"/>
        <v>0.24264188484216032</v>
      </c>
      <c r="AG72" s="2">
        <f t="shared" si="49"/>
        <v>7.9091835903422544E-2</v>
      </c>
      <c r="AH72" s="2">
        <f t="shared" si="50"/>
        <v>12.643529999999998</v>
      </c>
      <c r="AI72">
        <v>32</v>
      </c>
      <c r="AJ72">
        <f t="shared" si="43"/>
        <v>7.7645403149491301</v>
      </c>
    </row>
    <row r="73" spans="5:36" x14ac:dyDescent="0.35">
      <c r="E73" s="104"/>
      <c r="F73" s="13"/>
      <c r="G73" s="49"/>
      <c r="H73" s="2"/>
      <c r="I73" s="2"/>
      <c r="J73" s="2"/>
      <c r="K73" s="2"/>
      <c r="L73" s="2"/>
      <c r="M73" s="2"/>
      <c r="N73" s="2"/>
      <c r="O73" s="2"/>
      <c r="P73" s="2"/>
      <c r="W73" s="260"/>
      <c r="X73" s="155">
        <v>0</v>
      </c>
      <c r="Z73">
        <v>234.42144999999999</v>
      </c>
      <c r="AA73">
        <v>239.07163</v>
      </c>
      <c r="AB73" s="2">
        <f t="shared" si="44"/>
        <v>4.650180000000006</v>
      </c>
      <c r="AC73" s="2"/>
      <c r="AD73" s="2"/>
      <c r="AE73" s="2"/>
      <c r="AF73" s="2"/>
      <c r="AG73" s="2"/>
      <c r="AH73" s="2"/>
    </row>
    <row r="74" spans="5:36" ht="16" thickBot="1" x14ac:dyDescent="0.4">
      <c r="E74" s="104" t="s">
        <v>82</v>
      </c>
      <c r="F74" s="13"/>
      <c r="G74" s="13"/>
      <c r="H74" s="9" t="s">
        <v>3</v>
      </c>
      <c r="I74" s="9" t="s">
        <v>4</v>
      </c>
      <c r="J74" s="9" t="s">
        <v>5</v>
      </c>
      <c r="K74" s="9" t="s">
        <v>6</v>
      </c>
      <c r="L74" s="9" t="s">
        <v>7</v>
      </c>
      <c r="M74" s="9" t="s">
        <v>8</v>
      </c>
      <c r="N74" s="9" t="s">
        <v>9</v>
      </c>
      <c r="O74" s="9" t="s">
        <v>10</v>
      </c>
      <c r="P74" s="44" t="s">
        <v>139</v>
      </c>
    </row>
    <row r="75" spans="5:36" ht="16" thickBot="1" x14ac:dyDescent="0.4">
      <c r="E75" s="104"/>
      <c r="F75" s="13"/>
      <c r="G75" s="49" t="s">
        <v>77</v>
      </c>
      <c r="H75" s="13">
        <f>AVERAGE(H39,H41,H43,H45,H47,H49)</f>
        <v>3.7052316666666676</v>
      </c>
      <c r="I75" s="13">
        <f t="shared" ref="I75:P75" si="57">AVERAGE(I39,I41,I43,I45,I47,I49)</f>
        <v>4.4181016666666668</v>
      </c>
      <c r="J75" s="13">
        <f t="shared" si="57"/>
        <v>0.45705375196132764</v>
      </c>
      <c r="K75" s="13">
        <f t="shared" si="57"/>
        <v>0.54294624803867242</v>
      </c>
      <c r="L75" s="13">
        <f t="shared" si="57"/>
        <v>0.27033003505141223</v>
      </c>
      <c r="M75" s="13">
        <f t="shared" si="57"/>
        <v>0.1233607778090844</v>
      </c>
      <c r="N75" s="13">
        <f t="shared" si="57"/>
        <v>8.1233333333333348</v>
      </c>
      <c r="O75" s="13">
        <f t="shared" si="57"/>
        <v>29.833333333333332</v>
      </c>
      <c r="P75" s="13">
        <f t="shared" si="57"/>
        <v>8.055357127223667</v>
      </c>
      <c r="Z75" s="13"/>
      <c r="AA75" s="13"/>
      <c r="AB75" s="9" t="s">
        <v>3</v>
      </c>
      <c r="AC75" s="9" t="s">
        <v>4</v>
      </c>
      <c r="AD75" s="9" t="s">
        <v>5</v>
      </c>
      <c r="AE75" s="9" t="s">
        <v>6</v>
      </c>
      <c r="AF75" s="9" t="s">
        <v>7</v>
      </c>
      <c r="AG75" s="9" t="s">
        <v>8</v>
      </c>
      <c r="AH75" s="9" t="s">
        <v>9</v>
      </c>
      <c r="AI75" s="9" t="s">
        <v>10</v>
      </c>
      <c r="AJ75" s="44" t="s">
        <v>139</v>
      </c>
    </row>
    <row r="76" spans="5:36" x14ac:dyDescent="0.35">
      <c r="E76" s="104"/>
      <c r="F76" s="13"/>
      <c r="G76" s="49" t="s">
        <v>94</v>
      </c>
      <c r="H76" s="2">
        <f>_xlfn.STDEV.S(H39,H41,H43,H45,H47,H49)</f>
        <v>0.16298732225749221</v>
      </c>
      <c r="I76" s="2">
        <f t="shared" ref="I76:P76" si="58">_xlfn.STDEV.S(I39,I41,I43,I45,I47,I49)</f>
        <v>0.4286068046784432</v>
      </c>
      <c r="J76" s="2">
        <f t="shared" si="58"/>
        <v>2.9965969967481167E-2</v>
      </c>
      <c r="K76" s="2">
        <f t="shared" si="58"/>
        <v>2.9965969967481149E-2</v>
      </c>
      <c r="L76" s="2">
        <f t="shared" si="58"/>
        <v>1.2057405548428947E-2</v>
      </c>
      <c r="M76" s="2">
        <f t="shared" si="58"/>
        <v>6.2723604030493945E-3</v>
      </c>
      <c r="N76" s="2">
        <f t="shared" si="58"/>
        <v>0.4019997972967988</v>
      </c>
      <c r="O76" s="2">
        <f t="shared" si="58"/>
        <v>1.1690451944500122</v>
      </c>
      <c r="P76" s="2">
        <f t="shared" si="58"/>
        <v>0.21459486993140459</v>
      </c>
      <c r="Y76" s="104" t="s">
        <v>470</v>
      </c>
      <c r="Z76" s="13"/>
      <c r="AA76" s="49" t="s">
        <v>77</v>
      </c>
      <c r="AB76" s="13">
        <f>AVERAGE(AB51:AB61)</f>
        <v>4.582498181818182</v>
      </c>
      <c r="AC76" s="13">
        <f t="shared" ref="AC76:AJ76" si="59">AVERAGE(AC51:AC61)</f>
        <v>6.4727763636363624</v>
      </c>
      <c r="AD76" s="13">
        <f t="shared" si="59"/>
        <v>0.43006416426006472</v>
      </c>
      <c r="AE76" s="13">
        <f t="shared" si="59"/>
        <v>0.56993583573993545</v>
      </c>
      <c r="AF76" s="13">
        <f t="shared" si="59"/>
        <v>0.22008002819447539</v>
      </c>
      <c r="AG76" s="13">
        <f t="shared" si="59"/>
        <v>9.3909252006669691E-2</v>
      </c>
      <c r="AH76" s="13">
        <f t="shared" si="59"/>
        <v>11.055274545454544</v>
      </c>
      <c r="AI76" s="13">
        <f t="shared" si="59"/>
        <v>33.727272727272727</v>
      </c>
      <c r="AJ76" s="13">
        <f t="shared" si="59"/>
        <v>7.3914082104218748</v>
      </c>
    </row>
    <row r="77" spans="5:36" x14ac:dyDescent="0.35">
      <c r="E77" s="104"/>
      <c r="F77" s="13"/>
      <c r="G77" s="49" t="s">
        <v>95</v>
      </c>
      <c r="H77" s="2">
        <f>H76/(SQRT(COUNT(H39,H41,H43,H45,H47,H49)))</f>
        <v>6.6539295678903931E-2</v>
      </c>
      <c r="I77" s="2">
        <f t="shared" ref="I77:P77" si="60">I76/(SQRT(COUNT(I39,I41,I43,I45,I47,I49)))</f>
        <v>0.17497799529115329</v>
      </c>
      <c r="J77" s="2">
        <f t="shared" si="60"/>
        <v>1.2233556011315648E-2</v>
      </c>
      <c r="K77" s="2">
        <f t="shared" si="60"/>
        <v>1.2233556011315641E-2</v>
      </c>
      <c r="L77" s="2">
        <f t="shared" si="60"/>
        <v>4.9224152025756146E-3</v>
      </c>
      <c r="M77" s="2">
        <f t="shared" si="60"/>
        <v>2.5606804117181423E-3</v>
      </c>
      <c r="N77" s="2">
        <f t="shared" si="60"/>
        <v>0.16411573001323759</v>
      </c>
      <c r="O77" s="2">
        <f t="shared" si="60"/>
        <v>0.47726070210921184</v>
      </c>
      <c r="P77" s="2">
        <f t="shared" si="60"/>
        <v>8.7607988791810976E-2</v>
      </c>
      <c r="Y77" s="104"/>
      <c r="Z77" s="13"/>
      <c r="AA77" s="49" t="s">
        <v>94</v>
      </c>
      <c r="AB77" s="2">
        <f>_xlfn.STDEV.S(AB51:AB61)</f>
        <v>0.45648235273268084</v>
      </c>
      <c r="AC77" s="2">
        <f t="shared" ref="AC77:AJ77" si="61">_xlfn.STDEV.S(AC51:AC61)</f>
        <v>2.3052583672693774</v>
      </c>
      <c r="AD77" s="2">
        <f t="shared" si="61"/>
        <v>9.7306803798407185E-2</v>
      </c>
      <c r="AE77" s="2">
        <f t="shared" si="61"/>
        <v>9.7306803798406727E-2</v>
      </c>
      <c r="AF77" s="2">
        <f t="shared" si="61"/>
        <v>2.0629099986659374E-2</v>
      </c>
      <c r="AG77" s="2">
        <f t="shared" si="61"/>
        <v>1.8949921273760124E-2</v>
      </c>
      <c r="AH77" s="2">
        <f t="shared" si="61"/>
        <v>2.2581022271516606</v>
      </c>
      <c r="AI77" s="2">
        <f t="shared" si="61"/>
        <v>2.1489955370316194</v>
      </c>
      <c r="AJ77" s="2">
        <f t="shared" si="61"/>
        <v>0.45398494682655466</v>
      </c>
    </row>
    <row r="78" spans="5:36" x14ac:dyDescent="0.35">
      <c r="E78" s="104"/>
      <c r="F78" s="13"/>
      <c r="G78" s="49"/>
      <c r="H78" s="2"/>
      <c r="I78" s="2"/>
      <c r="J78" s="2"/>
      <c r="K78" s="2"/>
      <c r="L78" s="2"/>
      <c r="M78" s="2"/>
      <c r="N78" s="2"/>
      <c r="O78" s="2"/>
      <c r="P78" s="2"/>
      <c r="X78" s="155"/>
      <c r="Y78" s="104"/>
      <c r="Z78" s="13"/>
      <c r="AA78" s="49" t="s">
        <v>95</v>
      </c>
      <c r="AB78" s="2">
        <f>AB77/(SQRT(COUNT(AB51:AB61)))</f>
        <v>0.13763460794845156</v>
      </c>
      <c r="AC78" s="2">
        <f t="shared" ref="AC78:AJ78" si="62">AC77/(SQRT(COUNT(AC51:AC61)))</f>
        <v>0.69506154991453006</v>
      </c>
      <c r="AD78" s="2">
        <f t="shared" si="62"/>
        <v>2.9339105249822386E-2</v>
      </c>
      <c r="AE78" s="2">
        <f t="shared" si="62"/>
        <v>2.933910524982225E-2</v>
      </c>
      <c r="AF78" s="2">
        <f t="shared" si="62"/>
        <v>6.2199076744067936E-3</v>
      </c>
      <c r="AG78" s="2">
        <f t="shared" si="62"/>
        <v>5.7136162428941817E-3</v>
      </c>
      <c r="AH78" s="2">
        <f t="shared" si="62"/>
        <v>0.68084343870253983</v>
      </c>
      <c r="AI78" s="2">
        <f t="shared" si="62"/>
        <v>0.64794653386201684</v>
      </c>
      <c r="AJ78" s="2">
        <f t="shared" si="62"/>
        <v>0.13688161173573901</v>
      </c>
    </row>
    <row r="79" spans="5:36" x14ac:dyDescent="0.35">
      <c r="E79" s="104"/>
      <c r="F79" s="13"/>
      <c r="G79" s="49"/>
      <c r="H79" s="2"/>
      <c r="I79" s="2"/>
      <c r="J79" s="2"/>
      <c r="K79" s="2"/>
      <c r="L79" s="2"/>
      <c r="M79" s="2"/>
      <c r="N79" s="2"/>
      <c r="O79" s="2"/>
      <c r="P79" s="2"/>
      <c r="X79" s="260"/>
      <c r="Y79" s="104"/>
      <c r="Z79" s="13"/>
      <c r="AA79" s="49"/>
      <c r="AB79" s="2"/>
      <c r="AC79" s="2"/>
      <c r="AD79" s="2"/>
      <c r="AE79" s="2"/>
      <c r="AF79" s="2"/>
      <c r="AG79" s="2"/>
      <c r="AH79" s="2"/>
      <c r="AI79" s="2"/>
      <c r="AJ79" s="2"/>
    </row>
    <row r="80" spans="5:36" x14ac:dyDescent="0.35">
      <c r="E80" s="104"/>
      <c r="X80" s="260"/>
      <c r="Y80" s="104"/>
      <c r="Z80" s="13"/>
      <c r="AA80" s="49"/>
      <c r="AB80" s="2"/>
      <c r="AC80" s="2"/>
      <c r="AD80" s="2"/>
      <c r="AE80" s="2"/>
      <c r="AF80" s="2"/>
      <c r="AG80" s="2"/>
      <c r="AH80" s="2"/>
      <c r="AI80" s="2"/>
      <c r="AJ80" s="2"/>
    </row>
    <row r="81" spans="5:36" x14ac:dyDescent="0.35">
      <c r="E81" s="104"/>
      <c r="X81" s="260"/>
      <c r="Y81" s="104"/>
      <c r="Z81" s="13"/>
      <c r="AA81" s="49"/>
      <c r="AB81" s="2"/>
      <c r="AC81" s="2"/>
      <c r="AD81" s="2"/>
      <c r="AE81" s="2"/>
      <c r="AF81" s="2"/>
      <c r="AG81" s="2"/>
      <c r="AH81" s="2"/>
      <c r="AI81" s="2"/>
      <c r="AJ81" s="2"/>
    </row>
    <row r="82" spans="5:36" ht="16" thickBot="1" x14ac:dyDescent="0.4">
      <c r="E82" s="104"/>
      <c r="G82" s="13"/>
      <c r="H82" s="9" t="s">
        <v>3</v>
      </c>
      <c r="I82" s="9" t="s">
        <v>4</v>
      </c>
      <c r="J82" s="9" t="s">
        <v>5</v>
      </c>
      <c r="K82" s="9" t="s">
        <v>6</v>
      </c>
      <c r="L82" s="9" t="s">
        <v>7</v>
      </c>
      <c r="M82" s="9" t="s">
        <v>8</v>
      </c>
      <c r="N82" s="9" t="s">
        <v>9</v>
      </c>
      <c r="O82" s="9" t="s">
        <v>10</v>
      </c>
      <c r="P82" s="44" t="s">
        <v>139</v>
      </c>
      <c r="X82" s="260"/>
      <c r="Y82" s="104" t="s">
        <v>81</v>
      </c>
      <c r="Z82" s="13"/>
      <c r="AA82" s="13"/>
      <c r="AB82" s="9" t="s">
        <v>3</v>
      </c>
      <c r="AC82" s="9" t="s">
        <v>4</v>
      </c>
      <c r="AD82" s="9" t="s">
        <v>5</v>
      </c>
      <c r="AE82" s="9" t="s">
        <v>6</v>
      </c>
      <c r="AF82" s="9" t="s">
        <v>7</v>
      </c>
      <c r="AG82" s="9" t="s">
        <v>8</v>
      </c>
      <c r="AH82" s="9" t="s">
        <v>9</v>
      </c>
      <c r="AI82" s="9" t="s">
        <v>10</v>
      </c>
      <c r="AJ82" s="44" t="s">
        <v>139</v>
      </c>
    </row>
    <row r="83" spans="5:36" x14ac:dyDescent="0.35">
      <c r="E83" s="104" t="s">
        <v>410</v>
      </c>
      <c r="G83" s="49" t="s">
        <v>77</v>
      </c>
      <c r="H83" s="13">
        <f t="shared" ref="H83:P83" si="63">AVERAGE(H50:H59)</f>
        <v>3.6238520000000007</v>
      </c>
      <c r="I83" s="13">
        <f t="shared" si="63"/>
        <v>6.7443149999999985</v>
      </c>
      <c r="J83" s="13">
        <f t="shared" si="63"/>
        <v>0.36456145783309046</v>
      </c>
      <c r="K83" s="13">
        <f t="shared" si="63"/>
        <v>0.63543854216690954</v>
      </c>
      <c r="L83" s="13">
        <f t="shared" si="63"/>
        <v>0.28011995544146223</v>
      </c>
      <c r="M83" s="13">
        <f t="shared" si="63"/>
        <v>0.10050422440510268</v>
      </c>
      <c r="N83" s="13">
        <f t="shared" si="63"/>
        <v>10.368167</v>
      </c>
      <c r="O83" s="13">
        <f t="shared" si="63"/>
        <v>28.3</v>
      </c>
      <c r="P83" s="13">
        <f t="shared" si="63"/>
        <v>7.8486896353127893</v>
      </c>
      <c r="X83" s="260"/>
      <c r="Y83" s="104"/>
      <c r="Z83" s="13"/>
      <c r="AA83" s="49" t="s">
        <v>77</v>
      </c>
      <c r="AB83" s="13">
        <f>AVERAGE(AB51,AB53,AB54,AB56,AB58,AB60)</f>
        <v>4.556191666666666</v>
      </c>
      <c r="AC83" s="13">
        <f t="shared" ref="AC83:AJ83" si="64">AVERAGE(AC51,AC53,AC54,AC56,AC58,AC60)</f>
        <v>8.2145083333333346</v>
      </c>
      <c r="AD83" s="13">
        <f t="shared" si="64"/>
        <v>0.35996152046201019</v>
      </c>
      <c r="AE83" s="13">
        <f t="shared" si="64"/>
        <v>0.64003847953798987</v>
      </c>
      <c r="AF83" s="13">
        <f t="shared" si="64"/>
        <v>0.21951418063529002</v>
      </c>
      <c r="AG83" s="13">
        <f t="shared" si="64"/>
        <v>7.8996610338728582E-2</v>
      </c>
      <c r="AH83" s="13">
        <f t="shared" si="64"/>
        <v>12.7707</v>
      </c>
      <c r="AI83" s="13">
        <f t="shared" si="64"/>
        <v>33.333333333333336</v>
      </c>
      <c r="AJ83" s="13">
        <f t="shared" si="64"/>
        <v>7.3144950567359883</v>
      </c>
    </row>
    <row r="84" spans="5:36" x14ac:dyDescent="0.35">
      <c r="G84" s="49" t="s">
        <v>94</v>
      </c>
      <c r="H84" s="2">
        <f t="shared" ref="H84:P84" si="65">_xlfn.STDEV.S(H50:H59)</f>
        <v>0.45456026423101747</v>
      </c>
      <c r="I84" s="2">
        <f t="shared" si="65"/>
        <v>2.2340595400115557</v>
      </c>
      <c r="J84" s="2">
        <f t="shared" si="65"/>
        <v>9.249464630737167E-2</v>
      </c>
      <c r="K84" s="2">
        <f t="shared" si="65"/>
        <v>9.2494646307371406E-2</v>
      </c>
      <c r="L84" s="2">
        <f t="shared" si="65"/>
        <v>3.7413409868830308E-2</v>
      </c>
      <c r="M84" s="2">
        <f t="shared" si="65"/>
        <v>2.1921609191982955E-2</v>
      </c>
      <c r="N84" s="2">
        <f t="shared" si="65"/>
        <v>2.1462671762183283</v>
      </c>
      <c r="O84" s="2">
        <f t="shared" si="65"/>
        <v>2.7908580918579302</v>
      </c>
      <c r="P84" s="2">
        <f t="shared" si="65"/>
        <v>0.55746807056877223</v>
      </c>
      <c r="X84" s="260"/>
      <c r="Y84" s="104"/>
      <c r="Z84" s="13"/>
      <c r="AA84" s="49" t="s">
        <v>94</v>
      </c>
      <c r="AB84" s="2">
        <f>_xlfn.STDEV.S(AB51,AB53,AB54,AB56,AB58,AB60)</f>
        <v>6.0942436911128987E-2</v>
      </c>
      <c r="AC84" s="2">
        <f t="shared" ref="AC84:AJ84" si="66">_xlfn.STDEV.S(AC51,AC53,AC54,AC56,AC58,AC60)</f>
        <v>1.4086691973691605</v>
      </c>
      <c r="AD84" s="2">
        <f t="shared" si="66"/>
        <v>3.5192156364565533E-2</v>
      </c>
      <c r="AE84" s="2">
        <f t="shared" si="66"/>
        <v>3.5192156364565491E-2</v>
      </c>
      <c r="AF84" s="2">
        <f t="shared" si="66"/>
        <v>2.9277207870850421E-3</v>
      </c>
      <c r="AG84" s="2">
        <f t="shared" si="66"/>
        <v>7.6124839061395711E-3</v>
      </c>
      <c r="AH84" s="2">
        <f t="shared" si="66"/>
        <v>1.3983950125483129</v>
      </c>
      <c r="AI84" s="2">
        <f t="shared" si="66"/>
        <v>1.6329931618554521</v>
      </c>
      <c r="AJ84" s="2">
        <f t="shared" si="66"/>
        <v>0.30097975736672711</v>
      </c>
    </row>
    <row r="85" spans="5:36" x14ac:dyDescent="0.35">
      <c r="G85" s="49" t="s">
        <v>95</v>
      </c>
      <c r="H85" s="2">
        <f t="shared" ref="H85:P85" si="67">H84/(SQRT(COUNT(H50:H59)))</f>
        <v>0.14374457687779821</v>
      </c>
      <c r="I85" s="2">
        <f t="shared" si="67"/>
        <v>0.70647165748645879</v>
      </c>
      <c r="J85" s="2">
        <f t="shared" si="67"/>
        <v>2.924937537029771E-2</v>
      </c>
      <c r="K85" s="2">
        <f t="shared" si="67"/>
        <v>2.9249375370297627E-2</v>
      </c>
      <c r="L85" s="2">
        <f t="shared" si="67"/>
        <v>1.1831159021892525E-2</v>
      </c>
      <c r="M85" s="2">
        <f t="shared" si="67"/>
        <v>6.9322215022749496E-3</v>
      </c>
      <c r="N85" s="2">
        <f t="shared" si="67"/>
        <v>0.67870927441078899</v>
      </c>
      <c r="O85" s="2">
        <f t="shared" si="67"/>
        <v>0.88254681965824833</v>
      </c>
      <c r="P85" s="2">
        <f t="shared" si="67"/>
        <v>0.17628688258167979</v>
      </c>
      <c r="X85" s="260"/>
      <c r="Y85" s="104"/>
      <c r="Z85" s="13"/>
      <c r="AA85" s="49" t="s">
        <v>95</v>
      </c>
      <c r="AB85" s="2">
        <f>AB84/(SQRT(COUNT(AB51,AB53,AB54,AB56,AB58,AB60)))</f>
        <v>2.4879645685670235E-2</v>
      </c>
      <c r="AC85" s="2">
        <f t="shared" ref="AC85:AJ85" si="68">AC84/(SQRT(COUNT(AC51,AC53,AC54,AC56,AC58,AC60)))</f>
        <v>0.57508679165506182</v>
      </c>
      <c r="AD85" s="2">
        <f t="shared" si="68"/>
        <v>1.4367137673570837E-2</v>
      </c>
      <c r="AE85" s="2">
        <f t="shared" si="68"/>
        <v>1.4367137673570819E-2</v>
      </c>
      <c r="AF85" s="2">
        <f t="shared" si="68"/>
        <v>1.1952370062829839E-3</v>
      </c>
      <c r="AG85" s="2">
        <f t="shared" si="68"/>
        <v>3.1077835408651502E-3</v>
      </c>
      <c r="AH85" s="2">
        <f t="shared" si="68"/>
        <v>0.57089237326604103</v>
      </c>
      <c r="AI85" s="2">
        <f t="shared" si="68"/>
        <v>0.66666666666666674</v>
      </c>
      <c r="AJ85" s="2">
        <f t="shared" si="68"/>
        <v>0.12287447140919464</v>
      </c>
    </row>
    <row r="86" spans="5:36" x14ac:dyDescent="0.35">
      <c r="G86" s="49"/>
      <c r="H86" s="2"/>
      <c r="I86" s="2"/>
      <c r="J86" s="2"/>
      <c r="K86" s="2"/>
      <c r="L86" s="2"/>
      <c r="M86" s="2"/>
      <c r="N86" s="2"/>
      <c r="O86" s="2"/>
      <c r="P86" s="2"/>
      <c r="X86" s="260"/>
      <c r="Y86" s="104"/>
      <c r="Z86" s="13"/>
      <c r="AA86" s="49"/>
      <c r="AB86" s="2"/>
      <c r="AC86" s="2"/>
      <c r="AD86" s="2"/>
      <c r="AE86" s="2"/>
      <c r="AF86" s="2"/>
      <c r="AG86" s="2"/>
      <c r="AH86" s="2"/>
      <c r="AI86" s="2"/>
      <c r="AJ86" s="2"/>
    </row>
    <row r="87" spans="5:36" x14ac:dyDescent="0.35">
      <c r="G87" s="49"/>
      <c r="H87" s="2"/>
      <c r="I87" s="2"/>
      <c r="J87" s="2"/>
      <c r="K87" s="2"/>
      <c r="L87" s="2"/>
      <c r="M87" s="2"/>
      <c r="N87" s="2"/>
      <c r="O87" s="2"/>
      <c r="P87" s="2"/>
      <c r="X87" s="260"/>
      <c r="Y87" s="104"/>
      <c r="Z87" s="13"/>
      <c r="AA87" s="49"/>
      <c r="AB87" s="2"/>
      <c r="AC87" s="2"/>
      <c r="AD87" s="2"/>
      <c r="AE87" s="2"/>
      <c r="AF87" s="2"/>
      <c r="AG87" s="2"/>
      <c r="AH87" s="2"/>
      <c r="AI87" s="2"/>
      <c r="AJ87" s="2"/>
    </row>
    <row r="88" spans="5:36" ht="16" thickBot="1" x14ac:dyDescent="0.4">
      <c r="E88" s="104" t="s">
        <v>81</v>
      </c>
      <c r="G88" s="13"/>
      <c r="H88" s="9" t="s">
        <v>3</v>
      </c>
      <c r="I88" s="9" t="s">
        <v>4</v>
      </c>
      <c r="J88" s="9" t="s">
        <v>5</v>
      </c>
      <c r="K88" s="9" t="s">
        <v>6</v>
      </c>
      <c r="L88" s="9" t="s">
        <v>7</v>
      </c>
      <c r="M88" s="9" t="s">
        <v>8</v>
      </c>
      <c r="N88" s="9" t="s">
        <v>9</v>
      </c>
      <c r="O88" s="9" t="s">
        <v>10</v>
      </c>
      <c r="P88" s="44" t="s">
        <v>139</v>
      </c>
      <c r="X88" s="260"/>
      <c r="Y88" s="104" t="s">
        <v>82</v>
      </c>
      <c r="Z88" s="13"/>
      <c r="AA88" s="13"/>
      <c r="AB88" s="9" t="s">
        <v>3</v>
      </c>
      <c r="AC88" s="9" t="s">
        <v>4</v>
      </c>
      <c r="AD88" s="9" t="s">
        <v>5</v>
      </c>
      <c r="AE88" s="9" t="s">
        <v>6</v>
      </c>
      <c r="AF88" s="9" t="s">
        <v>7</v>
      </c>
      <c r="AG88" s="9" t="s">
        <v>8</v>
      </c>
      <c r="AH88" s="9" t="s">
        <v>9</v>
      </c>
      <c r="AI88" s="9" t="s">
        <v>10</v>
      </c>
      <c r="AJ88" s="44" t="s">
        <v>139</v>
      </c>
    </row>
    <row r="89" spans="5:36" x14ac:dyDescent="0.35">
      <c r="E89" s="104"/>
      <c r="G89" s="49" t="s">
        <v>77</v>
      </c>
      <c r="H89" s="13">
        <f>AVERAGE(H50,H52,H54,H56,H58)</f>
        <v>3.505874000000003</v>
      </c>
      <c r="I89" s="13">
        <f t="shared" ref="I89:P89" si="69">AVERAGE(I50,I52,I54,I56,I58)</f>
        <v>8.810577999999996</v>
      </c>
      <c r="J89" s="13">
        <f t="shared" si="69"/>
        <v>0.28453709940768357</v>
      </c>
      <c r="K89" s="13">
        <f t="shared" si="69"/>
        <v>0.71546290059231654</v>
      </c>
      <c r="L89" s="13">
        <f t="shared" si="69"/>
        <v>0.28823188474516909</v>
      </c>
      <c r="M89" s="13">
        <f t="shared" si="69"/>
        <v>8.1254325370340205E-2</v>
      </c>
      <c r="N89" s="13">
        <f t="shared" si="69"/>
        <v>12.316451999999998</v>
      </c>
      <c r="O89" s="13">
        <f t="shared" si="69"/>
        <v>26.8</v>
      </c>
      <c r="P89" s="13">
        <f t="shared" si="69"/>
        <v>7.6596737804453197</v>
      </c>
      <c r="X89" s="260"/>
      <c r="Y89" s="104"/>
      <c r="Z89" s="13"/>
      <c r="AA89" s="49" t="s">
        <v>77</v>
      </c>
      <c r="AB89" s="13">
        <f>AVERAGE(AB55,AB57,AB59,AB61,AB52)</f>
        <v>4.614066000000002</v>
      </c>
      <c r="AC89" s="13">
        <f t="shared" ref="AC89:AJ89" si="70">AVERAGE(AC55,AC57,AC59,AC61,AC52)</f>
        <v>4.3826979999999969</v>
      </c>
      <c r="AD89" s="13">
        <f t="shared" si="70"/>
        <v>0.51418733681772999</v>
      </c>
      <c r="AE89" s="13">
        <f t="shared" si="70"/>
        <v>0.48581266318227001</v>
      </c>
      <c r="AF89" s="13">
        <f t="shared" si="70"/>
        <v>0.22075904526549789</v>
      </c>
      <c r="AG89" s="13">
        <f t="shared" si="70"/>
        <v>0.11180442200819903</v>
      </c>
      <c r="AH89" s="13">
        <f t="shared" si="70"/>
        <v>8.9967639999999989</v>
      </c>
      <c r="AI89" s="13">
        <f t="shared" si="70"/>
        <v>34.200000000000003</v>
      </c>
      <c r="AJ89" s="13">
        <f t="shared" si="70"/>
        <v>7.4837039948449426</v>
      </c>
    </row>
    <row r="90" spans="5:36" x14ac:dyDescent="0.35">
      <c r="E90" s="104"/>
      <c r="G90" s="49" t="s">
        <v>94</v>
      </c>
      <c r="H90" s="2">
        <f>_xlfn.STDEV.S(H50,H52,H54,H56,H58)</f>
        <v>0.37203048931505739</v>
      </c>
      <c r="I90" s="2">
        <f t="shared" ref="I90:P90" si="71">_xlfn.STDEV.S(I50,I52,I54,I56,I58)</f>
        <v>0.3978489227332383</v>
      </c>
      <c r="J90" s="2">
        <f t="shared" si="71"/>
        <v>2.7993327139635187E-2</v>
      </c>
      <c r="K90" s="2">
        <f t="shared" si="71"/>
        <v>2.7993327139635215E-2</v>
      </c>
      <c r="L90" s="2">
        <f t="shared" si="71"/>
        <v>3.5321196376310711E-2</v>
      </c>
      <c r="M90" s="2">
        <f t="shared" si="71"/>
        <v>2.4985521912093151E-3</v>
      </c>
      <c r="N90" s="2">
        <f t="shared" si="71"/>
        <v>0.38272728962017272</v>
      </c>
      <c r="O90" s="2">
        <f t="shared" si="71"/>
        <v>2.5884358211089569</v>
      </c>
      <c r="P90" s="2">
        <f t="shared" si="71"/>
        <v>0.35705328903046996</v>
      </c>
      <c r="X90" s="260"/>
      <c r="Y90" s="104"/>
      <c r="Z90" s="13"/>
      <c r="AA90" s="49" t="s">
        <v>94</v>
      </c>
      <c r="AB90" s="2">
        <f>_xlfn.STDEV.S(AB55,AB57,AB59,AB61,AB52)</f>
        <v>0.71694780987181961</v>
      </c>
      <c r="AC90" s="2">
        <f t="shared" ref="AC90:AJ90" si="72">_xlfn.STDEV.S(AC55,AC57,AC59,AC61,AC52)</f>
        <v>0.89113656420887299</v>
      </c>
      <c r="AD90" s="2">
        <f t="shared" si="72"/>
        <v>7.6850303343549309E-2</v>
      </c>
      <c r="AE90" s="2">
        <f t="shared" si="72"/>
        <v>7.685030334354967E-2</v>
      </c>
      <c r="AF90" s="2">
        <f t="shared" si="72"/>
        <v>3.2436528389630168E-2</v>
      </c>
      <c r="AG90" s="2">
        <f t="shared" si="72"/>
        <v>9.5621489568799237E-3</v>
      </c>
      <c r="AH90" s="2">
        <f t="shared" si="72"/>
        <v>0.76962301773660968</v>
      </c>
      <c r="AI90" s="2">
        <f t="shared" si="72"/>
        <v>2.7748873851023217</v>
      </c>
      <c r="AJ90" s="2">
        <f t="shared" si="72"/>
        <v>0.61846440668756875</v>
      </c>
    </row>
    <row r="91" spans="5:36" x14ac:dyDescent="0.35">
      <c r="E91" s="104"/>
      <c r="G91" s="49" t="s">
        <v>95</v>
      </c>
      <c r="H91" s="2">
        <f>H90/(SQRT(COUNT(H50,H52,H54,H56,H58)))</f>
        <v>0.16637709276219548</v>
      </c>
      <c r="I91" s="2">
        <f t="shared" ref="I91:P91" si="73">I90/(SQRT(COUNT(I50,I52,I54,I56,I58)))</f>
        <v>0.17792344720131645</v>
      </c>
      <c r="J91" s="2">
        <f t="shared" si="73"/>
        <v>1.2518996480122805E-2</v>
      </c>
      <c r="K91" s="2">
        <f t="shared" si="73"/>
        <v>1.2518996480122817E-2</v>
      </c>
      <c r="L91" s="2">
        <f t="shared" si="73"/>
        <v>1.5796119228809996E-2</v>
      </c>
      <c r="M91" s="2">
        <f t="shared" si="73"/>
        <v>1.1173865089750162E-3</v>
      </c>
      <c r="N91" s="2">
        <f t="shared" si="73"/>
        <v>0.17116084728699116</v>
      </c>
      <c r="O91" s="2">
        <f t="shared" si="73"/>
        <v>1.1575836902790224</v>
      </c>
      <c r="P91" s="2">
        <f t="shared" si="73"/>
        <v>0.15967908517240215</v>
      </c>
      <c r="X91" s="260"/>
      <c r="Y91" s="104"/>
      <c r="Z91" s="13"/>
      <c r="AA91" s="49" t="s">
        <v>95</v>
      </c>
      <c r="AB91" s="2">
        <f>AB90/(SQRT(COUNT(AB55,AB57,AB59,AB61,AB52)))</f>
        <v>0.32062880783859665</v>
      </c>
      <c r="AC91" s="2">
        <f t="shared" ref="AC91:AJ91" si="74">AC90/(SQRT(COUNT(AC55,AC57,AC59,AC61,AC52)))</f>
        <v>0.3985283869613292</v>
      </c>
      <c r="AD91" s="2">
        <f t="shared" si="74"/>
        <v>3.4368500473531127E-2</v>
      </c>
      <c r="AE91" s="2">
        <f t="shared" si="74"/>
        <v>3.4368500473531287E-2</v>
      </c>
      <c r="AF91" s="2">
        <f t="shared" si="74"/>
        <v>1.4506056486662967E-2</v>
      </c>
      <c r="AG91" s="2">
        <f t="shared" si="74"/>
        <v>4.2763230157124429E-3</v>
      </c>
      <c r="AH91" s="2">
        <f t="shared" si="74"/>
        <v>0.34418587694151709</v>
      </c>
      <c r="AI91" s="2">
        <f t="shared" si="74"/>
        <v>1.2409673645990857</v>
      </c>
      <c r="AJ91" s="2">
        <f t="shared" si="74"/>
        <v>0.27658569100349584</v>
      </c>
    </row>
    <row r="92" spans="5:36" x14ac:dyDescent="0.35">
      <c r="E92" s="104"/>
      <c r="G92" s="49"/>
      <c r="H92" s="2"/>
      <c r="I92" s="2"/>
      <c r="J92" s="2"/>
      <c r="K92" s="2"/>
      <c r="L92" s="2"/>
      <c r="M92" s="2"/>
      <c r="N92" s="2"/>
      <c r="O92" s="2"/>
      <c r="P92" s="2"/>
      <c r="X92" s="260"/>
      <c r="Y92" s="104"/>
      <c r="Z92" s="13"/>
      <c r="AA92" s="49"/>
      <c r="AB92" s="2"/>
      <c r="AC92" s="2"/>
      <c r="AD92" s="2"/>
      <c r="AE92" s="2"/>
      <c r="AF92" s="2"/>
      <c r="AG92" s="2"/>
      <c r="AH92" s="2"/>
      <c r="AI92" s="2"/>
      <c r="AJ92" s="2"/>
    </row>
    <row r="93" spans="5:36" x14ac:dyDescent="0.35">
      <c r="E93" s="104"/>
      <c r="G93" s="49"/>
      <c r="H93" s="2"/>
      <c r="I93" s="2"/>
      <c r="J93" s="2"/>
      <c r="K93" s="2"/>
      <c r="L93" s="2"/>
      <c r="M93" s="2"/>
      <c r="N93" s="2"/>
      <c r="O93" s="2"/>
      <c r="P93" s="2"/>
      <c r="X93" s="260"/>
      <c r="Y93" s="104"/>
      <c r="Z93" s="13"/>
      <c r="AA93" s="49"/>
      <c r="AB93" s="2"/>
      <c r="AC93" s="2"/>
      <c r="AD93" s="2"/>
      <c r="AE93" s="2"/>
      <c r="AF93" s="2"/>
      <c r="AG93" s="2"/>
      <c r="AH93" s="2"/>
      <c r="AI93" s="2"/>
      <c r="AJ93" s="2"/>
    </row>
    <row r="94" spans="5:36" ht="16" thickBot="1" x14ac:dyDescent="0.4">
      <c r="E94" s="104" t="s">
        <v>82</v>
      </c>
      <c r="G94" s="13"/>
      <c r="H94" s="9" t="s">
        <v>3</v>
      </c>
      <c r="I94" s="9" t="s">
        <v>4</v>
      </c>
      <c r="J94" s="9" t="s">
        <v>5</v>
      </c>
      <c r="K94" s="9" t="s">
        <v>6</v>
      </c>
      <c r="L94" s="9" t="s">
        <v>7</v>
      </c>
      <c r="M94" s="9" t="s">
        <v>8</v>
      </c>
      <c r="N94" s="9" t="s">
        <v>9</v>
      </c>
      <c r="O94" s="9" t="s">
        <v>10</v>
      </c>
      <c r="P94" s="44" t="s">
        <v>139</v>
      </c>
      <c r="X94" s="155"/>
      <c r="AB94" s="2"/>
      <c r="AC94" s="2"/>
      <c r="AD94" s="2"/>
      <c r="AE94" s="2"/>
      <c r="AF94" s="2"/>
      <c r="AG94" s="2"/>
      <c r="AH94" s="2"/>
      <c r="AI94" s="2"/>
    </row>
    <row r="95" spans="5:36" x14ac:dyDescent="0.35">
      <c r="G95" s="49" t="s">
        <v>77</v>
      </c>
      <c r="H95" s="13">
        <f>AVERAGE(H51,H53,H55,H57,H59)</f>
        <v>3.7418299999999989</v>
      </c>
      <c r="I95" s="13">
        <f t="shared" ref="I95:P95" si="75">AVERAGE(I51,I53,I55,I57,I59)</f>
        <v>4.6780520000000028</v>
      </c>
      <c r="J95" s="13">
        <f t="shared" si="75"/>
        <v>0.44458581625849736</v>
      </c>
      <c r="K95" s="13">
        <f t="shared" si="75"/>
        <v>0.55541418374150264</v>
      </c>
      <c r="L95" s="13">
        <f t="shared" si="75"/>
        <v>0.27200802613775532</v>
      </c>
      <c r="M95" s="13">
        <f t="shared" si="75"/>
        <v>0.11975412343986513</v>
      </c>
      <c r="N95" s="13">
        <f t="shared" si="75"/>
        <v>8.4198820000000012</v>
      </c>
      <c r="O95" s="13">
        <f t="shared" si="75"/>
        <v>29.8</v>
      </c>
      <c r="P95" s="13">
        <f t="shared" si="75"/>
        <v>8.037705490180258</v>
      </c>
    </row>
    <row r="96" spans="5:36" ht="16" thickBot="1" x14ac:dyDescent="0.4">
      <c r="G96" s="49" t="s">
        <v>94</v>
      </c>
      <c r="H96" s="2">
        <f>_xlfn.STDEV.S(H51,H53,H55,H57,H59)</f>
        <v>0.54009501006766714</v>
      </c>
      <c r="I96" s="2">
        <f t="shared" ref="I96:P96" si="76">_xlfn.STDEV.S(I51,I53,I55,I57,I59)</f>
        <v>0.63080015493814767</v>
      </c>
      <c r="J96" s="2">
        <f t="shared" si="76"/>
        <v>4.9557672181927664E-2</v>
      </c>
      <c r="K96" s="2">
        <f t="shared" si="76"/>
        <v>4.9557672181927664E-2</v>
      </c>
      <c r="L96" s="2">
        <f t="shared" si="76"/>
        <v>4.1681793141666527E-2</v>
      </c>
      <c r="M96" s="2">
        <f t="shared" si="76"/>
        <v>1.2190727679265601E-2</v>
      </c>
      <c r="N96" s="2">
        <f t="shared" si="76"/>
        <v>0.85353675964776221</v>
      </c>
      <c r="O96" s="2">
        <f t="shared" si="76"/>
        <v>2.2803508501982757</v>
      </c>
      <c r="P96" s="2">
        <f t="shared" si="76"/>
        <v>0.69457139816406199</v>
      </c>
      <c r="Z96" s="13"/>
      <c r="AA96" s="13"/>
      <c r="AB96" s="9" t="s">
        <v>3</v>
      </c>
      <c r="AC96" s="9" t="s">
        <v>4</v>
      </c>
      <c r="AD96" s="9" t="s">
        <v>5</v>
      </c>
      <c r="AE96" s="9" t="s">
        <v>6</v>
      </c>
      <c r="AF96" s="9" t="s">
        <v>7</v>
      </c>
      <c r="AG96" s="9" t="s">
        <v>8</v>
      </c>
      <c r="AH96" s="9" t="s">
        <v>9</v>
      </c>
      <c r="AI96" s="9" t="s">
        <v>10</v>
      </c>
      <c r="AJ96" s="44" t="s">
        <v>139</v>
      </c>
    </row>
    <row r="97" spans="3:36" x14ac:dyDescent="0.35">
      <c r="G97" s="49" t="s">
        <v>95</v>
      </c>
      <c r="H97" s="2">
        <f>H96/(SQRT(COUNT(H51,H53,H55,H57,H59)))</f>
        <v>0.24153783136394738</v>
      </c>
      <c r="I97" s="2">
        <f t="shared" ref="I97:P97" si="77">I96/(SQRT(COUNT(I51,I53,I55,I57,I59)))</f>
        <v>0.28210240533181957</v>
      </c>
      <c r="J97" s="2">
        <f t="shared" si="77"/>
        <v>2.2162864761088117E-2</v>
      </c>
      <c r="K97" s="2">
        <f t="shared" si="77"/>
        <v>2.2162864761088117E-2</v>
      </c>
      <c r="L97" s="2">
        <f t="shared" si="77"/>
        <v>1.8640664577770173E-2</v>
      </c>
      <c r="M97" s="2">
        <f t="shared" si="77"/>
        <v>5.451859157205227E-3</v>
      </c>
      <c r="N97" s="2">
        <f t="shared" si="77"/>
        <v>0.38171324317345912</v>
      </c>
      <c r="O97" s="2">
        <f t="shared" si="77"/>
        <v>1.0198039027185568</v>
      </c>
      <c r="P97" s="2">
        <f t="shared" si="77"/>
        <v>0.31062177230438304</v>
      </c>
      <c r="Y97" s="104" t="s">
        <v>410</v>
      </c>
      <c r="Z97" s="13"/>
      <c r="AA97" s="49" t="s">
        <v>77</v>
      </c>
      <c r="AB97" s="13">
        <f t="shared" ref="AB97:AJ97" si="78">AVERAGE(AB62:AB72)</f>
        <v>4.2663781818181796</v>
      </c>
      <c r="AC97" s="13">
        <f t="shared" si="78"/>
        <v>5.850570000000002</v>
      </c>
      <c r="AD97" s="13">
        <f t="shared" si="78"/>
        <v>0.43550490918226353</v>
      </c>
      <c r="AE97" s="13">
        <f t="shared" si="78"/>
        <v>0.56449509081773641</v>
      </c>
      <c r="AF97" s="13">
        <f t="shared" si="78"/>
        <v>0.23555126728970935</v>
      </c>
      <c r="AG97" s="13">
        <f t="shared" si="78"/>
        <v>0.10193369804654874</v>
      </c>
      <c r="AH97" s="13">
        <f t="shared" si="78"/>
        <v>10.116948181818181</v>
      </c>
      <c r="AI97" s="13">
        <f t="shared" si="78"/>
        <v>33.272727272727273</v>
      </c>
      <c r="AJ97" s="13">
        <f t="shared" si="78"/>
        <v>7.8049145219917992</v>
      </c>
    </row>
    <row r="98" spans="3:36" x14ac:dyDescent="0.35">
      <c r="G98" s="49"/>
      <c r="H98" s="2"/>
      <c r="I98" s="2"/>
      <c r="J98" s="2"/>
      <c r="K98" s="2"/>
      <c r="L98" s="2"/>
      <c r="M98" s="2"/>
      <c r="N98" s="2"/>
      <c r="O98" s="2"/>
      <c r="P98" s="2"/>
      <c r="Y98" s="104"/>
      <c r="Z98" s="13"/>
      <c r="AA98" s="49" t="s">
        <v>94</v>
      </c>
      <c r="AB98" s="2">
        <f t="shared" ref="AB98:AJ98" si="79">_xlfn.STDEV.S(AB62:AB72)</f>
        <v>0.32219231287596639</v>
      </c>
      <c r="AC98" s="2">
        <f t="shared" si="79"/>
        <v>1.9121226030984493</v>
      </c>
      <c r="AD98" s="2">
        <f t="shared" si="79"/>
        <v>9.0162450733304311E-2</v>
      </c>
      <c r="AE98" s="2">
        <f t="shared" si="79"/>
        <v>9.0162450733304311E-2</v>
      </c>
      <c r="AF98" s="2">
        <f t="shared" si="79"/>
        <v>1.6927330132405907E-2</v>
      </c>
      <c r="AG98" s="2">
        <f t="shared" si="79"/>
        <v>1.8739896867189711E-2</v>
      </c>
      <c r="AH98" s="2">
        <f t="shared" si="79"/>
        <v>1.8452139071219822</v>
      </c>
      <c r="AI98" s="2">
        <f t="shared" si="79"/>
        <v>2.7236339361562187</v>
      </c>
      <c r="AJ98" s="2">
        <f t="shared" si="79"/>
        <v>0.39137882536211038</v>
      </c>
    </row>
    <row r="99" spans="3:36" x14ac:dyDescent="0.35">
      <c r="G99" s="49"/>
      <c r="H99" s="2"/>
      <c r="I99" s="2"/>
      <c r="J99" s="2"/>
      <c r="K99" s="2"/>
      <c r="L99" s="2"/>
      <c r="M99" s="2"/>
      <c r="N99" s="2"/>
      <c r="O99" s="2"/>
      <c r="P99" s="2"/>
      <c r="Y99" s="104"/>
      <c r="Z99" s="13"/>
      <c r="AA99" s="49" t="s">
        <v>95</v>
      </c>
      <c r="AB99" s="2">
        <f t="shared" ref="AB99:AJ99" si="80">AB98/(SQRT(COUNT(AB62:AB72)))</f>
        <v>9.7144637467852124E-2</v>
      </c>
      <c r="AC99" s="2">
        <f t="shared" si="80"/>
        <v>0.57652665705774686</v>
      </c>
      <c r="AD99" s="2">
        <f t="shared" si="80"/>
        <v>2.7185001751024954E-2</v>
      </c>
      <c r="AE99" s="2">
        <f t="shared" si="80"/>
        <v>2.7185001751024954E-2</v>
      </c>
      <c r="AF99" s="2">
        <f t="shared" si="80"/>
        <v>5.1037820683333983E-3</v>
      </c>
      <c r="AG99" s="2">
        <f t="shared" si="80"/>
        <v>5.6502915016749897E-3</v>
      </c>
      <c r="AH99" s="2">
        <f t="shared" si="80"/>
        <v>0.55635292616993748</v>
      </c>
      <c r="AI99" s="2">
        <f t="shared" si="80"/>
        <v>0.82120653022808832</v>
      </c>
      <c r="AJ99" s="2">
        <f t="shared" si="80"/>
        <v>0.11800515587419563</v>
      </c>
    </row>
    <row r="100" spans="3:36" x14ac:dyDescent="0.35">
      <c r="Y100" s="104"/>
      <c r="Z100" s="13"/>
      <c r="AA100" s="49"/>
      <c r="AB100" s="2"/>
      <c r="AC100" s="2"/>
      <c r="AD100" s="2"/>
      <c r="AE100" s="2"/>
      <c r="AF100" s="2"/>
      <c r="AG100" s="2"/>
      <c r="AH100" s="2"/>
      <c r="AI100" s="2"/>
      <c r="AJ100" s="2"/>
    </row>
    <row r="101" spans="3:36" ht="18.5" x14ac:dyDescent="0.45">
      <c r="F101" s="1" t="s">
        <v>405</v>
      </c>
      <c r="G101" s="3"/>
      <c r="H101" s="3"/>
      <c r="I101" s="3"/>
      <c r="J101" s="3"/>
      <c r="K101" s="3"/>
      <c r="L101" s="3"/>
      <c r="M101" s="3"/>
      <c r="N101" s="3"/>
      <c r="O101" s="3"/>
      <c r="Y101" s="104"/>
      <c r="Z101" s="13"/>
      <c r="AA101" s="49"/>
      <c r="AB101" s="2"/>
      <c r="AC101" s="2"/>
      <c r="AD101" s="2"/>
      <c r="AE101" s="2"/>
      <c r="AF101" s="2"/>
      <c r="AG101" s="2"/>
      <c r="AH101" s="2"/>
      <c r="AI101" s="2"/>
      <c r="AJ101" s="2"/>
    </row>
    <row r="102" spans="3:36" ht="16" thickBot="1" x14ac:dyDescent="0.4">
      <c r="C102" s="204" t="s">
        <v>122</v>
      </c>
      <c r="D102" s="204" t="s">
        <v>406</v>
      </c>
      <c r="F102" s="9" t="s">
        <v>1</v>
      </c>
      <c r="G102" s="9" t="s">
        <v>2</v>
      </c>
      <c r="H102" s="9" t="s">
        <v>3</v>
      </c>
      <c r="I102" s="9" t="s">
        <v>4</v>
      </c>
      <c r="J102" s="9" t="s">
        <v>5</v>
      </c>
      <c r="K102" s="9" t="s">
        <v>6</v>
      </c>
      <c r="L102" s="9" t="s">
        <v>7</v>
      </c>
      <c r="M102" s="9" t="s">
        <v>8</v>
      </c>
      <c r="N102" s="9" t="s">
        <v>9</v>
      </c>
      <c r="O102" s="9" t="s">
        <v>10</v>
      </c>
      <c r="P102" s="44" t="s">
        <v>139</v>
      </c>
      <c r="R102" s="44" t="s">
        <v>138</v>
      </c>
      <c r="Y102" s="104" t="s">
        <v>81</v>
      </c>
      <c r="Z102" s="13"/>
      <c r="AA102" s="13"/>
      <c r="AB102" s="9" t="s">
        <v>3</v>
      </c>
      <c r="AC102" s="9" t="s">
        <v>4</v>
      </c>
      <c r="AD102" s="9" t="s">
        <v>5</v>
      </c>
      <c r="AE102" s="9" t="s">
        <v>6</v>
      </c>
      <c r="AF102" s="9" t="s">
        <v>7</v>
      </c>
      <c r="AG102" s="9" t="s">
        <v>8</v>
      </c>
      <c r="AH102" s="9" t="s">
        <v>9</v>
      </c>
      <c r="AI102" s="9" t="s">
        <v>10</v>
      </c>
      <c r="AJ102" s="44" t="s">
        <v>139</v>
      </c>
    </row>
    <row r="103" spans="3:36" x14ac:dyDescent="0.35">
      <c r="D103" s="155">
        <v>4</v>
      </c>
      <c r="F103" s="2">
        <v>7.32789</v>
      </c>
      <c r="G103" s="2">
        <v>11.04964</v>
      </c>
      <c r="H103" s="2">
        <f t="shared" ref="H103:H113" si="81">G103-F103</f>
        <v>3.7217500000000001</v>
      </c>
      <c r="I103" s="2">
        <f t="shared" ref="I103:I113" si="82">F104-G103</f>
        <v>3.7726100000000002</v>
      </c>
      <c r="J103" s="2">
        <f>H103/N103</f>
        <v>0.49660678163312144</v>
      </c>
      <c r="K103" s="2">
        <f>I103/N103</f>
        <v>0.50339321836687856</v>
      </c>
      <c r="L103" s="2">
        <f>1/H103</f>
        <v>0.26869080405723111</v>
      </c>
      <c r="M103" s="2">
        <f>1/N103</f>
        <v>0.13343367545727719</v>
      </c>
      <c r="N103" s="2">
        <f>H103+I103</f>
        <v>7.4943600000000004</v>
      </c>
      <c r="O103" s="2">
        <v>31</v>
      </c>
      <c r="P103">
        <f>O103/H103</f>
        <v>8.3294149257741648</v>
      </c>
      <c r="R103" t="s">
        <v>487</v>
      </c>
      <c r="Y103" s="104"/>
      <c r="Z103" s="13"/>
      <c r="AA103" s="49" t="s">
        <v>77</v>
      </c>
      <c r="AB103" s="13">
        <f>AVERAGE(AB63,AB65:AB66,AB68,AB70,AB72)</f>
        <v>4.1931783333333312</v>
      </c>
      <c r="AC103" s="13">
        <f t="shared" ref="AC103:AJ103" si="83">AVERAGE(AC63,AC65:AC66,AC68,AC70,AC72)</f>
        <v>7.4221833333333365</v>
      </c>
      <c r="AD103" s="13">
        <f t="shared" si="83"/>
        <v>0.36220764596043997</v>
      </c>
      <c r="AE103" s="13">
        <f t="shared" si="83"/>
        <v>0.63779235403956014</v>
      </c>
      <c r="AF103" s="13">
        <f t="shared" si="83"/>
        <v>0.23918532530809991</v>
      </c>
      <c r="AG103" s="13">
        <f t="shared" si="83"/>
        <v>8.6462099890564414E-2</v>
      </c>
      <c r="AH103" s="13">
        <f t="shared" si="83"/>
        <v>11.615361666666667</v>
      </c>
      <c r="AI103" s="13">
        <f t="shared" si="83"/>
        <v>32</v>
      </c>
      <c r="AJ103" s="13">
        <f t="shared" si="83"/>
        <v>7.6410111944879633</v>
      </c>
    </row>
    <row r="104" spans="3:36" x14ac:dyDescent="0.35">
      <c r="C104" s="258" t="s">
        <v>541</v>
      </c>
      <c r="D104" s="155">
        <v>4</v>
      </c>
      <c r="F104" s="2">
        <v>14.82225</v>
      </c>
      <c r="G104" s="2">
        <v>18.534389999999998</v>
      </c>
      <c r="H104" s="2">
        <f t="shared" si="81"/>
        <v>3.712139999999998</v>
      </c>
      <c r="I104" s="2">
        <f t="shared" si="82"/>
        <v>7.2754900000000013</v>
      </c>
      <c r="J104" s="2">
        <f t="shared" ref="J104:J113" si="84">H104/N104</f>
        <v>0.33784719725727919</v>
      </c>
      <c r="K104" s="2">
        <f t="shared" ref="K104:K113" si="85">I104/N104</f>
        <v>0.66215280274272081</v>
      </c>
      <c r="L104" s="2">
        <f t="shared" ref="L104:L113" si="86">1/H104</f>
        <v>0.26938639167703821</v>
      </c>
      <c r="M104" s="2">
        <f t="shared" ref="M104:M113" si="87">1/N104</f>
        <v>9.1011437407338983E-2</v>
      </c>
      <c r="N104" s="2">
        <f t="shared" ref="N104:N113" si="88">H104+I104</f>
        <v>10.987629999999999</v>
      </c>
      <c r="O104" s="2">
        <v>28</v>
      </c>
      <c r="P104">
        <f t="shared" ref="P104:P113" si="89">O104/H104</f>
        <v>7.5428189669570695</v>
      </c>
      <c r="Y104" s="104"/>
      <c r="Z104" s="13"/>
      <c r="AA104" s="49" t="s">
        <v>94</v>
      </c>
      <c r="AB104" s="2">
        <f>_xlfn.STDEV.S(AB63,AB65:AB66,AB68,AB70,AB72)</f>
        <v>0.2547031886268154</v>
      </c>
      <c r="AC104" s="2">
        <f t="shared" ref="AC104:AJ104" si="90">_xlfn.STDEV.S(AC63,AC65:AC66,AC68,AC70,AC72)</f>
        <v>0.81793752472096326</v>
      </c>
      <c r="AD104" s="2">
        <f t="shared" si="90"/>
        <v>2.8776912520777017E-2</v>
      </c>
      <c r="AE104" s="2">
        <f t="shared" si="90"/>
        <v>2.8776912520777038E-2</v>
      </c>
      <c r="AF104" s="2">
        <f t="shared" si="90"/>
        <v>1.3904463899381646E-2</v>
      </c>
      <c r="AG104" s="2">
        <f t="shared" si="90"/>
        <v>6.1390739802561108E-3</v>
      </c>
      <c r="AH104" s="2">
        <f t="shared" si="90"/>
        <v>0.83872769005003212</v>
      </c>
      <c r="AI104" s="2">
        <f t="shared" si="90"/>
        <v>1.4142135623730951</v>
      </c>
      <c r="AJ104" s="2">
        <f t="shared" si="90"/>
        <v>0.27961715586167601</v>
      </c>
    </row>
    <row r="105" spans="3:36" x14ac:dyDescent="0.35">
      <c r="D105" s="155">
        <v>4</v>
      </c>
      <c r="F105" s="13">
        <v>25.80988</v>
      </c>
      <c r="G105" s="2">
        <v>30.08015</v>
      </c>
      <c r="H105" s="2">
        <f t="shared" si="81"/>
        <v>4.27027</v>
      </c>
      <c r="I105" s="2">
        <f t="shared" si="82"/>
        <v>3.1120300000000007</v>
      </c>
      <c r="J105" s="2">
        <f t="shared" si="84"/>
        <v>0.57844709643336079</v>
      </c>
      <c r="K105" s="2">
        <f t="shared" si="85"/>
        <v>0.42155290356663916</v>
      </c>
      <c r="L105" s="2">
        <f t="shared" si="86"/>
        <v>0.2341772300112171</v>
      </c>
      <c r="M105" s="2">
        <f t="shared" si="87"/>
        <v>0.13545913875079582</v>
      </c>
      <c r="N105" s="2">
        <f t="shared" si="88"/>
        <v>7.3823000000000008</v>
      </c>
      <c r="O105" s="2">
        <v>32</v>
      </c>
      <c r="P105">
        <f t="shared" si="89"/>
        <v>7.4936713603589471</v>
      </c>
      <c r="Y105" s="104"/>
      <c r="Z105" s="13"/>
      <c r="AA105" s="49" t="s">
        <v>95</v>
      </c>
      <c r="AB105" s="2">
        <f>AB104/(SQRT(COUNT(AB63,AB65:AB66,AB68,AB70,AB72)))</f>
        <v>0.10398214133259223</v>
      </c>
      <c r="AC105" s="2">
        <f t="shared" ref="AC105:AJ105" si="91">AC104/(SQRT(COUNT(AC63,AC65:AC66,AC68,AC70,AC72)))</f>
        <v>0.33392159617357697</v>
      </c>
      <c r="AD105" s="2">
        <f t="shared" si="91"/>
        <v>1.1748125341435354E-2</v>
      </c>
      <c r="AE105" s="2">
        <f t="shared" si="91"/>
        <v>1.1748125341435361E-2</v>
      </c>
      <c r="AF105" s="2">
        <f t="shared" si="91"/>
        <v>5.6764736167390561E-3</v>
      </c>
      <c r="AG105" s="2">
        <f t="shared" si="91"/>
        <v>2.5062664574707406E-3</v>
      </c>
      <c r="AH105" s="2">
        <f t="shared" si="91"/>
        <v>0.34240914562763042</v>
      </c>
      <c r="AI105" s="2">
        <f t="shared" si="91"/>
        <v>0.57735026918962584</v>
      </c>
      <c r="AJ105" s="2">
        <f t="shared" si="91"/>
        <v>0.11415322586489678</v>
      </c>
    </row>
    <row r="106" spans="3:36" x14ac:dyDescent="0.35">
      <c r="C106" s="258" t="s">
        <v>541</v>
      </c>
      <c r="D106" s="155">
        <v>4</v>
      </c>
      <c r="F106" s="13">
        <v>33.19218</v>
      </c>
      <c r="G106" s="2">
        <v>35.854280000000003</v>
      </c>
      <c r="H106" s="2">
        <f t="shared" si="81"/>
        <v>2.6621000000000024</v>
      </c>
      <c r="I106" s="2">
        <f t="shared" si="82"/>
        <v>8.2105599999999939</v>
      </c>
      <c r="J106" s="2">
        <f t="shared" si="84"/>
        <v>0.24484348816205082</v>
      </c>
      <c r="K106" s="2">
        <f t="shared" si="85"/>
        <v>0.75515651183794918</v>
      </c>
      <c r="L106" s="2">
        <f t="shared" si="86"/>
        <v>0.37564328913263934</v>
      </c>
      <c r="M106" s="2">
        <f t="shared" si="87"/>
        <v>9.1973813215901201E-2</v>
      </c>
      <c r="N106" s="2">
        <f t="shared" si="88"/>
        <v>10.872659999999996</v>
      </c>
      <c r="O106" s="2">
        <v>23</v>
      </c>
      <c r="P106">
        <f t="shared" si="89"/>
        <v>8.6397956500507043</v>
      </c>
      <c r="Y106" s="104"/>
      <c r="Z106" s="13"/>
      <c r="AA106" s="49"/>
      <c r="AB106" s="2"/>
      <c r="AC106" s="2"/>
      <c r="AD106" s="2"/>
      <c r="AE106" s="2"/>
      <c r="AF106" s="2"/>
      <c r="AG106" s="2"/>
      <c r="AH106" s="2"/>
      <c r="AI106" s="2"/>
      <c r="AJ106" s="2"/>
    </row>
    <row r="107" spans="3:36" x14ac:dyDescent="0.35">
      <c r="D107" s="155">
        <v>4</v>
      </c>
      <c r="F107" s="13">
        <v>44.064839999999997</v>
      </c>
      <c r="G107" s="2">
        <v>48.24812</v>
      </c>
      <c r="H107" s="2">
        <f t="shared" si="81"/>
        <v>4.1832800000000034</v>
      </c>
      <c r="I107" s="2">
        <f t="shared" si="82"/>
        <v>3.1890300000000025</v>
      </c>
      <c r="J107" s="2">
        <f t="shared" si="84"/>
        <v>0.56743137496931084</v>
      </c>
      <c r="K107" s="2">
        <f t="shared" si="85"/>
        <v>0.43256862503068916</v>
      </c>
      <c r="L107" s="2">
        <f t="shared" si="86"/>
        <v>0.2390468723107225</v>
      </c>
      <c r="M107" s="2">
        <f t="shared" si="87"/>
        <v>0.13564269543738655</v>
      </c>
      <c r="N107" s="2">
        <f t="shared" si="88"/>
        <v>7.3723100000000059</v>
      </c>
      <c r="O107" s="2">
        <v>32</v>
      </c>
      <c r="P107">
        <f t="shared" si="89"/>
        <v>7.6494999139431199</v>
      </c>
      <c r="Y107" s="104"/>
      <c r="Z107" s="13"/>
      <c r="AA107" s="49"/>
      <c r="AB107" s="2"/>
      <c r="AC107" s="2"/>
      <c r="AD107" s="2"/>
      <c r="AE107" s="2"/>
      <c r="AF107" s="2"/>
      <c r="AG107" s="2"/>
      <c r="AH107" s="2"/>
      <c r="AI107" s="2"/>
      <c r="AJ107" s="2"/>
    </row>
    <row r="108" spans="3:36" ht="16" thickBot="1" x14ac:dyDescent="0.4">
      <c r="C108" s="258" t="s">
        <v>541</v>
      </c>
      <c r="D108" s="155">
        <v>4</v>
      </c>
      <c r="F108" s="13">
        <v>51.437150000000003</v>
      </c>
      <c r="G108" s="2">
        <v>54.769120000000001</v>
      </c>
      <c r="H108" s="2">
        <f t="shared" si="81"/>
        <v>3.3319699999999983</v>
      </c>
      <c r="I108" s="2">
        <f t="shared" si="82"/>
        <v>7.479849999999999</v>
      </c>
      <c r="J108" s="2">
        <f t="shared" si="84"/>
        <v>0.30817845654108184</v>
      </c>
      <c r="K108" s="2">
        <f t="shared" si="85"/>
        <v>0.69182154345891822</v>
      </c>
      <c r="L108" s="2">
        <f t="shared" si="86"/>
        <v>0.30012275020483392</v>
      </c>
      <c r="M108" s="2">
        <f t="shared" si="87"/>
        <v>9.249136593099036E-2</v>
      </c>
      <c r="N108" s="2">
        <f t="shared" si="88"/>
        <v>10.811819999999997</v>
      </c>
      <c r="O108" s="2">
        <v>24</v>
      </c>
      <c r="P108">
        <f t="shared" si="89"/>
        <v>7.2029460049160141</v>
      </c>
      <c r="Y108" s="104" t="s">
        <v>82</v>
      </c>
      <c r="Z108" s="13"/>
      <c r="AA108" s="13"/>
      <c r="AB108" s="9" t="s">
        <v>3</v>
      </c>
      <c r="AC108" s="9" t="s">
        <v>4</v>
      </c>
      <c r="AD108" s="9" t="s">
        <v>5</v>
      </c>
      <c r="AE108" s="9" t="s">
        <v>6</v>
      </c>
      <c r="AF108" s="9" t="s">
        <v>7</v>
      </c>
      <c r="AG108" s="9" t="s">
        <v>8</v>
      </c>
      <c r="AH108" s="9" t="s">
        <v>9</v>
      </c>
      <c r="AI108" s="9" t="s">
        <v>10</v>
      </c>
      <c r="AJ108" s="44" t="s">
        <v>139</v>
      </c>
    </row>
    <row r="109" spans="3:36" x14ac:dyDescent="0.35">
      <c r="D109" s="155">
        <v>4</v>
      </c>
      <c r="F109" s="13">
        <v>62.24897</v>
      </c>
      <c r="G109" s="2">
        <v>66.439549999999997</v>
      </c>
      <c r="H109" s="2">
        <f t="shared" si="81"/>
        <v>4.1905799999999971</v>
      </c>
      <c r="I109" s="2">
        <f t="shared" si="82"/>
        <v>3.9691800000000086</v>
      </c>
      <c r="J109" s="2">
        <f t="shared" si="84"/>
        <v>0.51356657548751361</v>
      </c>
      <c r="K109" s="2">
        <f t="shared" si="85"/>
        <v>0.48643342451248639</v>
      </c>
      <c r="L109" s="2">
        <f t="shared" si="86"/>
        <v>0.23863045210925474</v>
      </c>
      <c r="M109" s="2">
        <f t="shared" si="87"/>
        <v>0.12255262409678708</v>
      </c>
      <c r="N109" s="2">
        <f t="shared" si="88"/>
        <v>8.1597600000000057</v>
      </c>
      <c r="O109" s="2">
        <v>30</v>
      </c>
      <c r="P109">
        <f t="shared" si="89"/>
        <v>7.1589135632776424</v>
      </c>
      <c r="Y109" s="104"/>
      <c r="Z109" s="13"/>
      <c r="AA109" s="49" t="s">
        <v>77</v>
      </c>
      <c r="AB109" s="13">
        <f>AVERAGE(AB62,AB64,AB67,AB69,AB71)</f>
        <v>4.3542179999999977</v>
      </c>
      <c r="AC109" s="13">
        <f t="shared" ref="AC109:AJ109" si="92">AVERAGE(AC62,AC64,AC67,AC69,AC71)</f>
        <v>3.9646340000000011</v>
      </c>
      <c r="AD109" s="13">
        <f t="shared" si="92"/>
        <v>0.52346162504845173</v>
      </c>
      <c r="AE109" s="13">
        <f t="shared" si="92"/>
        <v>0.47653837495154816</v>
      </c>
      <c r="AF109" s="13">
        <f t="shared" si="92"/>
        <v>0.2311903976676406</v>
      </c>
      <c r="AG109" s="13">
        <f t="shared" si="92"/>
        <v>0.12049961583372992</v>
      </c>
      <c r="AH109" s="13">
        <f t="shared" si="92"/>
        <v>8.3188519999999979</v>
      </c>
      <c r="AI109" s="13">
        <f t="shared" si="92"/>
        <v>34.799999999999997</v>
      </c>
      <c r="AJ109" s="13">
        <f t="shared" si="92"/>
        <v>8.001598514996406</v>
      </c>
    </row>
    <row r="110" spans="3:36" x14ac:dyDescent="0.35">
      <c r="C110" s="258" t="s">
        <v>541</v>
      </c>
      <c r="D110" s="155">
        <v>4</v>
      </c>
      <c r="F110" s="13">
        <v>70.408730000000006</v>
      </c>
      <c r="G110" s="2">
        <v>74.085319999999996</v>
      </c>
      <c r="H110" s="2">
        <f t="shared" si="81"/>
        <v>3.6765899999999903</v>
      </c>
      <c r="I110" s="2">
        <f t="shared" si="82"/>
        <v>8.0050400000000081</v>
      </c>
      <c r="J110" s="2">
        <f t="shared" si="84"/>
        <v>0.31473261864996499</v>
      </c>
      <c r="K110" s="2">
        <f t="shared" si="85"/>
        <v>0.68526738135003495</v>
      </c>
      <c r="L110" s="2">
        <f t="shared" si="86"/>
        <v>0.27199116572693793</v>
      </c>
      <c r="M110" s="2">
        <f t="shared" si="87"/>
        <v>8.5604491838895777E-2</v>
      </c>
      <c r="N110" s="2">
        <f t="shared" si="88"/>
        <v>11.681629999999998</v>
      </c>
      <c r="O110" s="2">
        <v>28</v>
      </c>
      <c r="P110">
        <f t="shared" si="89"/>
        <v>7.6157526403542617</v>
      </c>
      <c r="R110" t="s">
        <v>488</v>
      </c>
      <c r="Y110" s="104"/>
      <c r="Z110" s="13"/>
      <c r="AA110" s="49" t="s">
        <v>94</v>
      </c>
      <c r="AB110" s="2">
        <f>_xlfn.STDEV.S(AB62,AB64,AB67,AB69,AB71)</f>
        <v>0.40093073531471979</v>
      </c>
      <c r="AC110" s="2">
        <f t="shared" ref="AC110:AJ110" si="93">_xlfn.STDEV.S(AC62,AC64,AC67,AC69,AC71)</f>
        <v>0.39161068790317988</v>
      </c>
      <c r="AD110" s="2">
        <f t="shared" si="93"/>
        <v>3.9481861805549481E-2</v>
      </c>
      <c r="AE110" s="2">
        <f t="shared" si="93"/>
        <v>3.9481861805549474E-2</v>
      </c>
      <c r="AF110" s="2">
        <f t="shared" si="93"/>
        <v>2.0762648476765618E-2</v>
      </c>
      <c r="AG110" s="2">
        <f t="shared" si="93"/>
        <v>6.3974132633892395E-3</v>
      </c>
      <c r="AH110" s="2">
        <f t="shared" si="93"/>
        <v>0.47265624804925688</v>
      </c>
      <c r="AI110" s="2">
        <f t="shared" si="93"/>
        <v>3.271085446759225</v>
      </c>
      <c r="AJ110" s="2">
        <f t="shared" si="93"/>
        <v>0.44334983648221638</v>
      </c>
    </row>
    <row r="111" spans="3:36" x14ac:dyDescent="0.35">
      <c r="D111" s="155">
        <v>4</v>
      </c>
      <c r="F111" s="13">
        <v>82.090360000000004</v>
      </c>
      <c r="G111" s="2">
        <v>85.569609999999997</v>
      </c>
      <c r="H111" s="2">
        <f t="shared" si="81"/>
        <v>3.4792499999999933</v>
      </c>
      <c r="I111" s="2">
        <f t="shared" si="82"/>
        <v>3.1499400000000009</v>
      </c>
      <c r="J111" s="2">
        <f t="shared" si="84"/>
        <v>0.5248378761206115</v>
      </c>
      <c r="K111" s="2">
        <f t="shared" si="85"/>
        <v>0.47516212387938855</v>
      </c>
      <c r="L111" s="2">
        <f t="shared" si="86"/>
        <v>0.2874182654307687</v>
      </c>
      <c r="M111" s="2">
        <f t="shared" si="87"/>
        <v>0.15084799198695481</v>
      </c>
      <c r="N111" s="2">
        <f t="shared" si="88"/>
        <v>6.6291899999999941</v>
      </c>
      <c r="O111" s="2">
        <v>28</v>
      </c>
      <c r="P111">
        <f t="shared" si="89"/>
        <v>8.0477114320615222</v>
      </c>
      <c r="Y111" s="104"/>
      <c r="Z111" s="13"/>
      <c r="AA111" s="49" t="s">
        <v>95</v>
      </c>
      <c r="AB111" s="2">
        <f>AB110/(SQRT(COUNT(AB62,AB64,AB67,AB69,AB71)))</f>
        <v>0.17930167568653779</v>
      </c>
      <c r="AC111" s="2">
        <f t="shared" ref="AC111:AJ111" si="94">AC110/(SQRT(COUNT(AC62,AC64,AC67,AC69,AC71)))</f>
        <v>0.17513362377339295</v>
      </c>
      <c r="AD111" s="2">
        <f t="shared" si="94"/>
        <v>1.7656825375092243E-2</v>
      </c>
      <c r="AE111" s="2">
        <f t="shared" si="94"/>
        <v>1.765682537509224E-2</v>
      </c>
      <c r="AF111" s="2">
        <f t="shared" si="94"/>
        <v>9.2853386773960774E-3</v>
      </c>
      <c r="AG111" s="2">
        <f t="shared" si="94"/>
        <v>2.8610101874194209E-3</v>
      </c>
      <c r="AH111" s="2">
        <f t="shared" si="94"/>
        <v>0.21137830012562814</v>
      </c>
      <c r="AI111" s="2">
        <f t="shared" si="94"/>
        <v>1.4628738838327793</v>
      </c>
      <c r="AJ111" s="2">
        <f t="shared" si="94"/>
        <v>0.19827207443753039</v>
      </c>
    </row>
    <row r="112" spans="3:36" x14ac:dyDescent="0.35">
      <c r="C112" s="258" t="s">
        <v>541</v>
      </c>
      <c r="D112" s="155">
        <v>4</v>
      </c>
      <c r="F112" s="13">
        <v>88.719549999999998</v>
      </c>
      <c r="G112" s="2">
        <v>92.101129999999998</v>
      </c>
      <c r="H112" s="2">
        <f t="shared" si="81"/>
        <v>3.3815799999999996</v>
      </c>
      <c r="I112" s="2">
        <f t="shared" si="82"/>
        <v>7.4707000000000079</v>
      </c>
      <c r="J112" s="2">
        <f t="shared" si="84"/>
        <v>0.31160088018370308</v>
      </c>
      <c r="K112" s="2">
        <f t="shared" si="85"/>
        <v>0.68839911981629687</v>
      </c>
      <c r="L112" s="2">
        <f t="shared" si="86"/>
        <v>0.29571975230513553</v>
      </c>
      <c r="M112" s="2">
        <f t="shared" si="87"/>
        <v>9.2146535105986888E-2</v>
      </c>
      <c r="N112" s="2">
        <f t="shared" si="88"/>
        <v>10.852280000000007</v>
      </c>
      <c r="O112" s="2">
        <v>23</v>
      </c>
      <c r="P112">
        <f t="shared" si="89"/>
        <v>6.8015543030181167</v>
      </c>
      <c r="Y112" s="104"/>
      <c r="Z112" s="13"/>
      <c r="AA112" s="49"/>
      <c r="AB112" s="2"/>
      <c r="AC112" s="2"/>
      <c r="AD112" s="2"/>
      <c r="AE112" s="2"/>
      <c r="AF112" s="2"/>
      <c r="AG112" s="2"/>
      <c r="AH112" s="2"/>
      <c r="AI112" s="2"/>
      <c r="AJ112" s="2"/>
    </row>
    <row r="113" spans="3:39" x14ac:dyDescent="0.35">
      <c r="D113" s="155">
        <v>4</v>
      </c>
      <c r="F113" s="13">
        <v>99.571830000000006</v>
      </c>
      <c r="G113" s="2">
        <v>103.03061</v>
      </c>
      <c r="H113" s="2">
        <f t="shared" si="81"/>
        <v>3.4587799999999902</v>
      </c>
      <c r="I113" s="2">
        <f t="shared" si="82"/>
        <v>4.6819300000000084</v>
      </c>
      <c r="J113" s="2">
        <f t="shared" si="84"/>
        <v>0.42487448883451084</v>
      </c>
      <c r="K113" s="2">
        <f t="shared" si="85"/>
        <v>0.57512551116548916</v>
      </c>
      <c r="L113" s="2">
        <f t="shared" si="86"/>
        <v>0.28911928483453786</v>
      </c>
      <c r="M113" s="2">
        <f t="shared" si="87"/>
        <v>0.12283940835627362</v>
      </c>
      <c r="N113" s="2">
        <f t="shared" si="88"/>
        <v>8.1407099999999986</v>
      </c>
      <c r="O113" s="2">
        <v>30</v>
      </c>
      <c r="P113">
        <f t="shared" si="89"/>
        <v>8.6735785450361362</v>
      </c>
      <c r="Y113" s="104"/>
      <c r="Z113" s="13"/>
      <c r="AA113" s="49"/>
      <c r="AB113" s="2"/>
      <c r="AC113" s="2"/>
      <c r="AD113" s="2"/>
      <c r="AE113" s="2"/>
      <c r="AF113" s="2"/>
      <c r="AG113" s="2"/>
      <c r="AH113" s="2"/>
      <c r="AI113" s="2"/>
      <c r="AJ113" s="2"/>
    </row>
    <row r="114" spans="3:39" x14ac:dyDescent="0.35">
      <c r="C114" s="258" t="s">
        <v>541</v>
      </c>
      <c r="D114" s="155">
        <v>4</v>
      </c>
      <c r="F114" s="13">
        <v>107.71254</v>
      </c>
      <c r="G114" s="2">
        <v>111.29249</v>
      </c>
      <c r="H114" s="2">
        <f t="shared" ref="H114:H127" si="95">G114-F114</f>
        <v>3.5799499999999966</v>
      </c>
      <c r="I114" s="2">
        <f t="shared" ref="I114:I126" si="96">F115-G114</f>
        <v>8.1179000000000059</v>
      </c>
      <c r="J114" s="2">
        <f t="shared" ref="J114:J126" si="97">H114/N114</f>
        <v>0.30603486965553461</v>
      </c>
      <c r="K114" s="2">
        <f t="shared" ref="K114:K126" si="98">I114/N114</f>
        <v>0.69396513034446539</v>
      </c>
      <c r="L114" s="2">
        <f t="shared" ref="L114:L126" si="99">1/H114</f>
        <v>0.27933351024455677</v>
      </c>
      <c r="M114" s="2">
        <f t="shared" ref="M114:M126" si="100">1/N114</f>
        <v>8.5485794398115877E-2</v>
      </c>
      <c r="N114" s="2">
        <f t="shared" ref="N114:N126" si="101">H114+I114</f>
        <v>11.697850000000003</v>
      </c>
      <c r="O114" s="2">
        <v>28</v>
      </c>
      <c r="P114">
        <f t="shared" ref="P114:P126" si="102">O114/H114</f>
        <v>7.8213382868475891</v>
      </c>
      <c r="Y114" s="104"/>
      <c r="Z114" s="13"/>
      <c r="AA114" s="49"/>
      <c r="AB114" s="2"/>
      <c r="AC114" s="2"/>
      <c r="AD114" s="2"/>
      <c r="AE114" s="2"/>
      <c r="AF114" s="2"/>
      <c r="AG114" s="2"/>
      <c r="AH114" s="2"/>
      <c r="AI114" s="2"/>
      <c r="AJ114" s="2"/>
    </row>
    <row r="115" spans="3:39" x14ac:dyDescent="0.35">
      <c r="D115" s="155">
        <v>4</v>
      </c>
      <c r="F115" s="13">
        <v>119.41039000000001</v>
      </c>
      <c r="G115" s="2">
        <v>122.61438</v>
      </c>
      <c r="H115" s="2">
        <f t="shared" si="95"/>
        <v>3.2039899999999903</v>
      </c>
      <c r="I115" s="2">
        <f t="shared" si="96"/>
        <v>3.9582300000000004</v>
      </c>
      <c r="J115" s="2">
        <f t="shared" si="97"/>
        <v>0.44734593464037609</v>
      </c>
      <c r="K115" s="2">
        <f t="shared" si="98"/>
        <v>0.55265406535962391</v>
      </c>
      <c r="L115" s="2">
        <f t="shared" si="99"/>
        <v>0.3121108368003655</v>
      </c>
      <c r="M115" s="2">
        <f t="shared" si="100"/>
        <v>0.1396215139998494</v>
      </c>
      <c r="N115" s="2">
        <f t="shared" si="101"/>
        <v>7.1622199999999907</v>
      </c>
      <c r="O115" s="2">
        <v>20</v>
      </c>
      <c r="P115">
        <f t="shared" si="102"/>
        <v>6.2422167360073093</v>
      </c>
    </row>
    <row r="116" spans="3:39" x14ac:dyDescent="0.35">
      <c r="C116" s="258" t="s">
        <v>541</v>
      </c>
      <c r="D116" s="155">
        <v>0</v>
      </c>
      <c r="F116" s="13">
        <v>126.57261</v>
      </c>
      <c r="G116" s="2">
        <v>129.2603</v>
      </c>
      <c r="H116" s="2">
        <f t="shared" si="95"/>
        <v>2.6876900000000035</v>
      </c>
      <c r="I116" s="2">
        <f t="shared" si="96"/>
        <v>8.931839999999994</v>
      </c>
      <c r="J116" s="2">
        <f t="shared" si="97"/>
        <v>0.23130797889415528</v>
      </c>
      <c r="K116" s="2">
        <f t="shared" si="98"/>
        <v>0.76869202110584467</v>
      </c>
      <c r="L116" s="2">
        <f t="shared" si="99"/>
        <v>0.37206671900405131</v>
      </c>
      <c r="M116" s="2">
        <f t="shared" si="100"/>
        <v>8.606200078660671E-2</v>
      </c>
      <c r="N116" s="2">
        <f t="shared" si="101"/>
        <v>11.619529999999997</v>
      </c>
      <c r="O116" s="2">
        <v>21</v>
      </c>
      <c r="P116">
        <f t="shared" si="102"/>
        <v>7.8134010990850777</v>
      </c>
    </row>
    <row r="117" spans="3:39" x14ac:dyDescent="0.35">
      <c r="D117" s="155">
        <v>0</v>
      </c>
      <c r="F117" s="13">
        <v>138.19213999999999</v>
      </c>
      <c r="G117" s="13">
        <v>141.06238999999999</v>
      </c>
      <c r="H117" s="2">
        <f t="shared" si="95"/>
        <v>2.8702499999999986</v>
      </c>
      <c r="I117" s="2">
        <f t="shared" si="96"/>
        <v>4.5664900000000159</v>
      </c>
      <c r="J117" s="2">
        <f t="shared" si="97"/>
        <v>0.38595540519098326</v>
      </c>
      <c r="K117" s="2">
        <f t="shared" si="98"/>
        <v>0.61404459480901674</v>
      </c>
      <c r="L117" s="2">
        <f t="shared" si="99"/>
        <v>0.34840170716836527</v>
      </c>
      <c r="M117" s="2">
        <f t="shared" si="100"/>
        <v>0.13446752205939674</v>
      </c>
      <c r="N117" s="2">
        <f t="shared" si="101"/>
        <v>7.4367400000000146</v>
      </c>
      <c r="O117" s="2">
        <v>26</v>
      </c>
      <c r="P117">
        <f t="shared" si="102"/>
        <v>9.0584443863774968</v>
      </c>
    </row>
    <row r="118" spans="3:39" ht="18.5" x14ac:dyDescent="0.45">
      <c r="C118" s="258" t="s">
        <v>541</v>
      </c>
      <c r="D118" s="155">
        <v>0</v>
      </c>
      <c r="F118" s="13">
        <v>145.62888000000001</v>
      </c>
      <c r="G118" s="13">
        <v>148.89122</v>
      </c>
      <c r="H118" s="2">
        <f t="shared" si="95"/>
        <v>3.2623399999999947</v>
      </c>
      <c r="I118" s="2">
        <f t="shared" si="96"/>
        <v>7.5461599999999862</v>
      </c>
      <c r="J118" s="2">
        <f t="shared" si="97"/>
        <v>0.30183096636906143</v>
      </c>
      <c r="K118" s="2">
        <f t="shared" si="98"/>
        <v>0.69816903363093852</v>
      </c>
      <c r="L118" s="2">
        <f t="shared" si="99"/>
        <v>0.30652844277420555</v>
      </c>
      <c r="M118" s="2">
        <f t="shared" si="100"/>
        <v>9.2519776102142001E-2</v>
      </c>
      <c r="N118" s="2">
        <f t="shared" si="101"/>
        <v>10.808499999999981</v>
      </c>
      <c r="O118" s="2">
        <v>24</v>
      </c>
      <c r="P118">
        <f t="shared" si="102"/>
        <v>7.3566826265809322</v>
      </c>
      <c r="Z118" s="1" t="s">
        <v>501</v>
      </c>
      <c r="AA118" s="3"/>
      <c r="AB118" s="3"/>
      <c r="AC118" s="3"/>
      <c r="AD118" s="3"/>
      <c r="AE118" s="3"/>
      <c r="AF118" s="3"/>
      <c r="AG118" s="3"/>
      <c r="AH118" s="3"/>
      <c r="AI118" s="3"/>
    </row>
    <row r="119" spans="3:39" ht="16" thickBot="1" x14ac:dyDescent="0.4">
      <c r="D119" s="155">
        <v>0</v>
      </c>
      <c r="F119" s="13">
        <v>156.43737999999999</v>
      </c>
      <c r="G119" s="13">
        <v>160.62074000000001</v>
      </c>
      <c r="H119" s="2">
        <f t="shared" si="95"/>
        <v>4.1833600000000217</v>
      </c>
      <c r="I119" s="2">
        <f t="shared" si="96"/>
        <v>4.0243399999999951</v>
      </c>
      <c r="J119" s="2">
        <f t="shared" si="97"/>
        <v>0.50968724490417694</v>
      </c>
      <c r="K119" s="2">
        <f t="shared" si="98"/>
        <v>0.49031275509582306</v>
      </c>
      <c r="L119" s="2">
        <f t="shared" si="99"/>
        <v>0.23904230092557055</v>
      </c>
      <c r="M119" s="2">
        <f t="shared" si="100"/>
        <v>0.12183681177430924</v>
      </c>
      <c r="N119" s="2">
        <f t="shared" si="101"/>
        <v>8.2077000000000169</v>
      </c>
      <c r="O119" s="2">
        <v>32</v>
      </c>
      <c r="P119">
        <f t="shared" si="102"/>
        <v>7.6493536296182576</v>
      </c>
      <c r="W119" s="204" t="s">
        <v>122</v>
      </c>
      <c r="X119" s="204" t="s">
        <v>406</v>
      </c>
      <c r="Z119" s="9" t="s">
        <v>1</v>
      </c>
      <c r="AA119" s="9" t="s">
        <v>2</v>
      </c>
      <c r="AB119" s="9" t="s">
        <v>3</v>
      </c>
      <c r="AC119" s="9" t="s">
        <v>4</v>
      </c>
      <c r="AD119" s="9" t="s">
        <v>5</v>
      </c>
      <c r="AE119" s="9" t="s">
        <v>6</v>
      </c>
      <c r="AF119" s="9" t="s">
        <v>7</v>
      </c>
      <c r="AG119" s="9" t="s">
        <v>8</v>
      </c>
      <c r="AH119" s="9" t="s">
        <v>9</v>
      </c>
      <c r="AI119" s="9" t="s">
        <v>10</v>
      </c>
      <c r="AJ119" s="44" t="s">
        <v>139</v>
      </c>
      <c r="AL119" s="44" t="s">
        <v>138</v>
      </c>
    </row>
    <row r="120" spans="3:39" x14ac:dyDescent="0.35">
      <c r="C120" s="258" t="s">
        <v>541</v>
      </c>
      <c r="D120" s="155">
        <v>0</v>
      </c>
      <c r="F120" s="13">
        <v>164.64508000000001</v>
      </c>
      <c r="G120" s="13">
        <v>167.32138</v>
      </c>
      <c r="H120" s="2">
        <f t="shared" si="95"/>
        <v>2.6762999999999977</v>
      </c>
      <c r="I120" s="2">
        <f t="shared" si="96"/>
        <v>8.9653700000000072</v>
      </c>
      <c r="J120" s="2">
        <f t="shared" si="97"/>
        <v>0.22988969795570538</v>
      </c>
      <c r="K120" s="2">
        <f t="shared" si="98"/>
        <v>0.77011030204429465</v>
      </c>
      <c r="L120" s="2">
        <f t="shared" si="99"/>
        <v>0.3736501886933456</v>
      </c>
      <c r="M120" s="2">
        <f t="shared" si="100"/>
        <v>8.5898329019805542E-2</v>
      </c>
      <c r="N120" s="2">
        <f t="shared" si="101"/>
        <v>11.641670000000005</v>
      </c>
      <c r="O120" s="2">
        <v>22</v>
      </c>
      <c r="P120">
        <f t="shared" si="102"/>
        <v>8.2203041512536039</v>
      </c>
      <c r="W120" s="260"/>
      <c r="X120" s="155">
        <v>-2</v>
      </c>
      <c r="Z120" s="2">
        <v>8.3658199999999994</v>
      </c>
      <c r="AA120" s="2">
        <v>12.98077</v>
      </c>
      <c r="AB120" s="2">
        <f t="shared" ref="AB120:AB141" si="103">AA120-Z120</f>
        <v>4.6149500000000003</v>
      </c>
      <c r="AC120" s="2">
        <f t="shared" ref="AC120:AC140" si="104">Z121-AA120</f>
        <v>4.2059999999999995</v>
      </c>
      <c r="AD120" s="2">
        <f>AB120/AH120</f>
        <v>0.52318060979826442</v>
      </c>
      <c r="AE120" s="2">
        <f>AC120/AH120</f>
        <v>0.47681939020173558</v>
      </c>
      <c r="AF120" s="2">
        <f>1/AB120</f>
        <v>0.21668707136588694</v>
      </c>
      <c r="AG120" s="2">
        <f>1/AH120</f>
        <v>0.11336647413260477</v>
      </c>
      <c r="AH120" s="2">
        <f>AB120+AC120</f>
        <v>8.8209499999999998</v>
      </c>
      <c r="AI120" s="2">
        <v>37</v>
      </c>
      <c r="AJ120">
        <f>AI120/AB120</f>
        <v>8.0174216405378171</v>
      </c>
      <c r="AL120" t="s">
        <v>497</v>
      </c>
    </row>
    <row r="121" spans="3:39" x14ac:dyDescent="0.35">
      <c r="D121" s="155">
        <v>0</v>
      </c>
      <c r="F121" s="13">
        <v>176.28675000000001</v>
      </c>
      <c r="G121" s="13">
        <v>180.60388</v>
      </c>
      <c r="H121" s="2">
        <f t="shared" si="95"/>
        <v>4.3171299999999917</v>
      </c>
      <c r="I121" s="2">
        <f t="shared" si="96"/>
        <v>3.88900000000001</v>
      </c>
      <c r="J121" s="2">
        <f t="shared" si="97"/>
        <v>0.52608598693903108</v>
      </c>
      <c r="K121" s="2">
        <f t="shared" si="98"/>
        <v>0.47391401306096897</v>
      </c>
      <c r="L121" s="2">
        <f t="shared" si="99"/>
        <v>0.23163536886774361</v>
      </c>
      <c r="M121" s="2">
        <f t="shared" si="100"/>
        <v>0.12186012164077339</v>
      </c>
      <c r="N121" s="2">
        <f t="shared" si="101"/>
        <v>8.2061300000000017</v>
      </c>
      <c r="O121" s="2">
        <v>33</v>
      </c>
      <c r="P121">
        <f t="shared" si="102"/>
        <v>7.6439671726355387</v>
      </c>
      <c r="W121" s="260" t="s">
        <v>541</v>
      </c>
      <c r="X121" s="155">
        <v>-2</v>
      </c>
      <c r="Z121" s="2">
        <v>17.186769999999999</v>
      </c>
      <c r="AA121" s="2">
        <v>22.002759999999999</v>
      </c>
      <c r="AB121" s="2">
        <f t="shared" si="103"/>
        <v>4.8159899999999993</v>
      </c>
      <c r="AC121" s="2">
        <f t="shared" si="104"/>
        <v>6.9932000000000016</v>
      </c>
      <c r="AD121" s="2">
        <f t="shared" ref="AD121:AD140" si="105">AB121/AH121</f>
        <v>0.40781713225039135</v>
      </c>
      <c r="AE121" s="2">
        <f t="shared" ref="AE121:AE140" si="106">AC121/AH121</f>
        <v>0.59218286774960871</v>
      </c>
      <c r="AF121" s="2">
        <f t="shared" ref="AF121:AF140" si="107">1/AB121</f>
        <v>0.20764162716284712</v>
      </c>
      <c r="AG121" s="2">
        <f t="shared" ref="AG121:AG140" si="108">1/AH121</f>
        <v>8.4679812925357284E-2</v>
      </c>
      <c r="AH121" s="2">
        <f t="shared" ref="AH121:AH140" si="109">AB121+AC121</f>
        <v>11.809190000000001</v>
      </c>
      <c r="AI121" s="2">
        <v>38</v>
      </c>
      <c r="AJ121">
        <f t="shared" ref="AJ121:AJ140" si="110">AI121/AB121</f>
        <v>7.8903818321881909</v>
      </c>
    </row>
    <row r="122" spans="3:39" x14ac:dyDescent="0.35">
      <c r="C122" s="258" t="s">
        <v>541</v>
      </c>
      <c r="D122" s="155">
        <v>0</v>
      </c>
      <c r="F122" s="13">
        <v>184.49288000000001</v>
      </c>
      <c r="G122" s="13">
        <v>187.80347</v>
      </c>
      <c r="H122" s="2">
        <f t="shared" si="95"/>
        <v>3.3105899999999906</v>
      </c>
      <c r="I122" s="2">
        <f t="shared" si="96"/>
        <v>7.5229699999999866</v>
      </c>
      <c r="J122" s="2">
        <f t="shared" si="97"/>
        <v>0.30558652926646435</v>
      </c>
      <c r="K122" s="2">
        <f t="shared" si="98"/>
        <v>0.69441347073353565</v>
      </c>
      <c r="L122" s="2">
        <f t="shared" si="99"/>
        <v>0.30206096194334026</v>
      </c>
      <c r="M122" s="2">
        <f t="shared" si="100"/>
        <v>9.2305760987154928E-2</v>
      </c>
      <c r="N122" s="2">
        <f t="shared" si="101"/>
        <v>10.833559999999977</v>
      </c>
      <c r="O122" s="2">
        <v>23</v>
      </c>
      <c r="P122">
        <f t="shared" si="102"/>
        <v>6.9474021246968256</v>
      </c>
      <c r="W122" s="260"/>
      <c r="X122" s="155">
        <v>-2</v>
      </c>
      <c r="Z122" s="13">
        <v>28.99596</v>
      </c>
      <c r="AA122" s="2">
        <v>33.08117</v>
      </c>
      <c r="AB122" s="2">
        <f t="shared" si="103"/>
        <v>4.08521</v>
      </c>
      <c r="AC122" s="2">
        <f t="shared" si="104"/>
        <v>4.9244100000000017</v>
      </c>
      <c r="AD122" s="2">
        <f t="shared" si="105"/>
        <v>0.4534275585429795</v>
      </c>
      <c r="AE122" s="2">
        <f t="shared" si="106"/>
        <v>0.54657244145702044</v>
      </c>
      <c r="AF122" s="2">
        <f t="shared" si="107"/>
        <v>0.24478545778552388</v>
      </c>
      <c r="AG122" s="2">
        <f t="shared" si="108"/>
        <v>0.11099247249051568</v>
      </c>
      <c r="AH122" s="2">
        <f t="shared" si="109"/>
        <v>9.0096200000000017</v>
      </c>
      <c r="AI122" s="2">
        <v>34</v>
      </c>
      <c r="AJ122">
        <f t="shared" si="110"/>
        <v>8.3227055647078121</v>
      </c>
    </row>
    <row r="123" spans="3:39" x14ac:dyDescent="0.35">
      <c r="D123" s="155">
        <v>0</v>
      </c>
      <c r="F123" s="13">
        <v>195.32643999999999</v>
      </c>
      <c r="G123" s="13">
        <v>199.68702999999999</v>
      </c>
      <c r="H123" s="2">
        <f t="shared" si="95"/>
        <v>4.360590000000002</v>
      </c>
      <c r="I123" s="2">
        <f t="shared" si="96"/>
        <v>3.9021600000000092</v>
      </c>
      <c r="J123" s="2">
        <f t="shared" si="97"/>
        <v>0.52774076427339522</v>
      </c>
      <c r="K123" s="2">
        <f t="shared" si="98"/>
        <v>0.47225923572660483</v>
      </c>
      <c r="L123" s="2">
        <f t="shared" si="99"/>
        <v>0.22932676541477176</v>
      </c>
      <c r="M123" s="2">
        <f t="shared" si="100"/>
        <v>0.12102508244833725</v>
      </c>
      <c r="N123" s="2">
        <f t="shared" si="101"/>
        <v>8.2627500000000111</v>
      </c>
      <c r="O123" s="2">
        <v>35</v>
      </c>
      <c r="P123">
        <f t="shared" si="102"/>
        <v>8.0264367895170121</v>
      </c>
      <c r="W123" s="260" t="s">
        <v>541</v>
      </c>
      <c r="X123" s="155">
        <v>-2</v>
      </c>
      <c r="Z123" s="13">
        <v>38.005580000000002</v>
      </c>
      <c r="AA123" s="2">
        <v>41.889789999999998</v>
      </c>
      <c r="AB123" s="2">
        <f t="shared" si="103"/>
        <v>3.8842099999999959</v>
      </c>
      <c r="AC123" s="2">
        <f t="shared" si="104"/>
        <v>7.8073900000000052</v>
      </c>
      <c r="AD123" s="2">
        <f t="shared" si="105"/>
        <v>0.33222227924321696</v>
      </c>
      <c r="AE123" s="2">
        <f t="shared" si="106"/>
        <v>0.66777772075678299</v>
      </c>
      <c r="AF123" s="2">
        <f t="shared" si="107"/>
        <v>0.25745260941092296</v>
      </c>
      <c r="AG123" s="2">
        <f t="shared" si="108"/>
        <v>8.5531492695610514E-2</v>
      </c>
      <c r="AH123" s="2">
        <f t="shared" si="109"/>
        <v>11.691600000000001</v>
      </c>
      <c r="AI123" s="2">
        <v>31</v>
      </c>
      <c r="AJ123">
        <f t="shared" si="110"/>
        <v>7.9810308917386115</v>
      </c>
    </row>
    <row r="124" spans="3:39" x14ac:dyDescent="0.35">
      <c r="C124" s="258" t="s">
        <v>541</v>
      </c>
      <c r="D124" s="155">
        <v>0</v>
      </c>
      <c r="F124" s="13">
        <v>203.58919</v>
      </c>
      <c r="G124" s="13">
        <v>206.40964</v>
      </c>
      <c r="H124" s="2">
        <f t="shared" si="95"/>
        <v>2.8204499999999939</v>
      </c>
      <c r="I124" s="2">
        <f t="shared" si="96"/>
        <v>8.1582300000000032</v>
      </c>
      <c r="J124" s="2">
        <f t="shared" si="97"/>
        <v>0.25690246914929615</v>
      </c>
      <c r="K124" s="2">
        <f t="shared" si="98"/>
        <v>0.74309753085070385</v>
      </c>
      <c r="L124" s="2">
        <f t="shared" si="99"/>
        <v>0.354553351415555</v>
      </c>
      <c r="M124" s="2">
        <f t="shared" si="100"/>
        <v>9.1085631423814178E-2</v>
      </c>
      <c r="N124" s="2">
        <f t="shared" si="101"/>
        <v>10.978679999999997</v>
      </c>
      <c r="O124" s="2">
        <v>24</v>
      </c>
      <c r="P124">
        <f t="shared" si="102"/>
        <v>8.5092804339733199</v>
      </c>
      <c r="W124" s="260"/>
      <c r="X124" s="155">
        <v>-2</v>
      </c>
      <c r="Z124" s="13">
        <v>49.697180000000003</v>
      </c>
      <c r="AA124" s="2">
        <v>54.314979999999998</v>
      </c>
      <c r="AB124" s="2">
        <f t="shared" si="103"/>
        <v>4.6177999999999955</v>
      </c>
      <c r="AC124" s="2">
        <f t="shared" si="104"/>
        <v>3.2780100000000019</v>
      </c>
      <c r="AD124" s="2">
        <f t="shared" si="105"/>
        <v>0.58484183383338717</v>
      </c>
      <c r="AE124" s="2">
        <f t="shared" si="106"/>
        <v>0.41515816616661277</v>
      </c>
      <c r="AF124" s="2">
        <f t="shared" si="107"/>
        <v>0.21655333708692473</v>
      </c>
      <c r="AG124" s="2">
        <f t="shared" si="108"/>
        <v>0.12664945078465673</v>
      </c>
      <c r="AH124" s="2">
        <f t="shared" si="109"/>
        <v>7.8958099999999973</v>
      </c>
      <c r="AI124" s="2">
        <v>36</v>
      </c>
      <c r="AJ124">
        <f t="shared" si="110"/>
        <v>7.7959201351292897</v>
      </c>
    </row>
    <row r="125" spans="3:39" x14ac:dyDescent="0.35">
      <c r="D125" s="155">
        <v>0</v>
      </c>
      <c r="F125" s="13">
        <v>214.56787</v>
      </c>
      <c r="G125" s="13">
        <v>218.24359000000001</v>
      </c>
      <c r="H125" s="2">
        <f t="shared" si="95"/>
        <v>3.6757200000000125</v>
      </c>
      <c r="I125" s="2">
        <f t="shared" si="96"/>
        <v>4.680279999999982</v>
      </c>
      <c r="J125" s="2">
        <f t="shared" si="97"/>
        <v>0.43988989947343404</v>
      </c>
      <c r="K125" s="2">
        <f t="shared" si="98"/>
        <v>0.56011010052656596</v>
      </c>
      <c r="L125" s="2">
        <f t="shared" si="99"/>
        <v>0.2720555428596293</v>
      </c>
      <c r="M125" s="2">
        <f t="shared" si="100"/>
        <v>0.11967448539971286</v>
      </c>
      <c r="N125" s="2">
        <f t="shared" si="101"/>
        <v>8.3559999999999945</v>
      </c>
      <c r="O125" s="2">
        <v>29</v>
      </c>
      <c r="P125">
        <f t="shared" si="102"/>
        <v>7.8896107429292499</v>
      </c>
      <c r="W125" s="260" t="s">
        <v>541</v>
      </c>
      <c r="X125" s="155">
        <v>-2</v>
      </c>
      <c r="Z125" s="13">
        <v>57.59299</v>
      </c>
      <c r="AA125" s="2">
        <v>62.152259999999998</v>
      </c>
      <c r="AB125" s="2">
        <f t="shared" si="103"/>
        <v>4.5592699999999979</v>
      </c>
      <c r="AC125" s="2">
        <f t="shared" si="104"/>
        <v>6.1384900000000044</v>
      </c>
      <c r="AD125" s="2">
        <f t="shared" si="105"/>
        <v>0.42618922092101497</v>
      </c>
      <c r="AE125" s="2">
        <f t="shared" si="106"/>
        <v>0.57381077907898503</v>
      </c>
      <c r="AF125" s="2">
        <f t="shared" si="107"/>
        <v>0.21933335819111402</v>
      </c>
      <c r="AG125" s="2">
        <f t="shared" si="108"/>
        <v>9.3477513049460795E-2</v>
      </c>
      <c r="AH125" s="2">
        <f t="shared" si="109"/>
        <v>10.697760000000002</v>
      </c>
      <c r="AI125" s="2">
        <v>34</v>
      </c>
      <c r="AJ125">
        <f t="shared" si="110"/>
        <v>7.4573341784978773</v>
      </c>
    </row>
    <row r="126" spans="3:39" x14ac:dyDescent="0.35">
      <c r="C126" s="258" t="s">
        <v>541</v>
      </c>
      <c r="F126" s="13">
        <v>222.92386999999999</v>
      </c>
      <c r="G126">
        <v>226.48090999999999</v>
      </c>
      <c r="H126" s="2">
        <f t="shared" si="95"/>
        <v>3.5570400000000006</v>
      </c>
      <c r="I126" s="2">
        <f t="shared" si="96"/>
        <v>7.532180000000011</v>
      </c>
      <c r="J126" s="2">
        <f t="shared" si="97"/>
        <v>0.32076557233060549</v>
      </c>
      <c r="K126" s="2">
        <f t="shared" si="98"/>
        <v>0.67923442766939457</v>
      </c>
      <c r="L126" s="2">
        <f t="shared" si="99"/>
        <v>0.28113262712817394</v>
      </c>
      <c r="M126" s="2">
        <f t="shared" si="100"/>
        <v>9.0177668041575412E-2</v>
      </c>
      <c r="N126" s="2">
        <f t="shared" si="101"/>
        <v>11.089220000000012</v>
      </c>
      <c r="O126" s="2">
        <v>26</v>
      </c>
      <c r="P126">
        <f t="shared" si="102"/>
        <v>7.3094483053325225</v>
      </c>
      <c r="W126" s="260" t="s">
        <v>541</v>
      </c>
      <c r="X126" s="155">
        <v>-2</v>
      </c>
      <c r="Z126" s="13">
        <v>68.290750000000003</v>
      </c>
      <c r="AA126" s="2">
        <v>73.066909999999993</v>
      </c>
      <c r="AB126" s="2">
        <f t="shared" si="103"/>
        <v>4.7761599999999902</v>
      </c>
      <c r="AC126" s="2">
        <f t="shared" si="104"/>
        <v>6.0695100000000082</v>
      </c>
      <c r="AD126" s="2">
        <f t="shared" si="105"/>
        <v>0.44037482239455844</v>
      </c>
      <c r="AE126" s="2">
        <f t="shared" si="106"/>
        <v>0.5596251776054415</v>
      </c>
      <c r="AF126" s="2">
        <f t="shared" si="107"/>
        <v>0.20937322032762765</v>
      </c>
      <c r="AG126" s="2">
        <f t="shared" si="108"/>
        <v>9.2202694715955782E-2</v>
      </c>
      <c r="AH126" s="2">
        <f t="shared" si="109"/>
        <v>10.845669999999998</v>
      </c>
      <c r="AI126" s="2">
        <v>36</v>
      </c>
      <c r="AJ126">
        <f t="shared" si="110"/>
        <v>7.5374359317945956</v>
      </c>
      <c r="AM126" s="2"/>
    </row>
    <row r="127" spans="3:39" x14ac:dyDescent="0.35">
      <c r="F127">
        <v>234.01309000000001</v>
      </c>
      <c r="G127">
        <v>237.75425000000001</v>
      </c>
      <c r="H127" s="2">
        <f t="shared" si="95"/>
        <v>3.7411600000000078</v>
      </c>
      <c r="I127" s="2"/>
      <c r="J127" s="2"/>
      <c r="K127" s="2"/>
      <c r="L127" s="2"/>
      <c r="M127" s="2"/>
      <c r="N127" s="2"/>
      <c r="O127" s="2"/>
      <c r="W127" s="260" t="s">
        <v>541</v>
      </c>
      <c r="X127" s="155">
        <v>-2</v>
      </c>
      <c r="Z127" s="13">
        <v>79.136420000000001</v>
      </c>
      <c r="AA127" s="2">
        <v>83.884789999999995</v>
      </c>
      <c r="AB127" s="2">
        <f t="shared" si="103"/>
        <v>4.7483699999999942</v>
      </c>
      <c r="AC127" s="2">
        <f t="shared" si="104"/>
        <v>11.233360000000005</v>
      </c>
      <c r="AD127" s="2">
        <f t="shared" si="105"/>
        <v>0.29711239021057134</v>
      </c>
      <c r="AE127" s="2">
        <f t="shared" si="106"/>
        <v>0.70288760978942866</v>
      </c>
      <c r="AF127" s="2">
        <f t="shared" si="107"/>
        <v>0.2105985843563162</v>
      </c>
      <c r="AG127" s="2">
        <f t="shared" si="108"/>
        <v>6.257144877306775E-2</v>
      </c>
      <c r="AH127" s="2">
        <f t="shared" si="109"/>
        <v>15.981729999999999</v>
      </c>
      <c r="AI127" s="2">
        <v>37</v>
      </c>
      <c r="AJ127">
        <f t="shared" si="110"/>
        <v>7.7921476211837</v>
      </c>
      <c r="AM127" s="2"/>
    </row>
    <row r="128" spans="3:39" x14ac:dyDescent="0.35">
      <c r="W128" s="260"/>
      <c r="X128" s="155">
        <v>-2</v>
      </c>
      <c r="Z128" s="13">
        <v>95.11815</v>
      </c>
      <c r="AA128" s="2">
        <v>99.238770000000002</v>
      </c>
      <c r="AB128" s="2">
        <f t="shared" si="103"/>
        <v>4.1206200000000024</v>
      </c>
      <c r="AC128" s="2">
        <f t="shared" si="104"/>
        <v>3.7991899999999958</v>
      </c>
      <c r="AD128" s="2">
        <f t="shared" si="105"/>
        <v>0.52029278480165597</v>
      </c>
      <c r="AE128" s="2">
        <f t="shared" si="106"/>
        <v>0.47970721519834397</v>
      </c>
      <c r="AF128" s="2">
        <f t="shared" si="107"/>
        <v>0.24268192650620524</v>
      </c>
      <c r="AG128" s="2">
        <f t="shared" si="108"/>
        <v>0.12626565536294435</v>
      </c>
      <c r="AH128" s="2">
        <f t="shared" si="109"/>
        <v>7.9198099999999982</v>
      </c>
      <c r="AI128" s="2">
        <v>38</v>
      </c>
      <c r="AJ128">
        <f t="shared" si="110"/>
        <v>9.221913207235799</v>
      </c>
      <c r="AM128" s="2"/>
    </row>
    <row r="129" spans="5:39" x14ac:dyDescent="0.35">
      <c r="W129" s="260" t="s">
        <v>541</v>
      </c>
      <c r="X129" s="155">
        <v>-2</v>
      </c>
      <c r="Z129" s="13">
        <v>103.03796</v>
      </c>
      <c r="AA129" s="2">
        <v>107.5838</v>
      </c>
      <c r="AB129" s="2">
        <f t="shared" si="103"/>
        <v>4.5458399999999983</v>
      </c>
      <c r="AC129" s="2">
        <f t="shared" si="104"/>
        <v>7.0473700000000008</v>
      </c>
      <c r="AD129" s="2">
        <f t="shared" si="105"/>
        <v>0.39211227951533689</v>
      </c>
      <c r="AE129" s="2">
        <f t="shared" si="106"/>
        <v>0.60788772048466311</v>
      </c>
      <c r="AF129" s="2">
        <f t="shared" si="107"/>
        <v>0.21998134558189475</v>
      </c>
      <c r="AG129" s="2">
        <f t="shared" si="108"/>
        <v>8.6257386866967822E-2</v>
      </c>
      <c r="AH129" s="2">
        <f t="shared" si="109"/>
        <v>11.593209999999999</v>
      </c>
      <c r="AI129" s="2">
        <v>31</v>
      </c>
      <c r="AJ129">
        <f t="shared" si="110"/>
        <v>6.8194217130387367</v>
      </c>
      <c r="AM129" s="2"/>
    </row>
    <row r="130" spans="5:39" ht="16" thickBot="1" x14ac:dyDescent="0.4">
      <c r="F130" s="13"/>
      <c r="G130" s="13"/>
      <c r="H130" s="9" t="s">
        <v>3</v>
      </c>
      <c r="I130" s="9" t="s">
        <v>4</v>
      </c>
      <c r="J130" s="9" t="s">
        <v>5</v>
      </c>
      <c r="K130" s="9" t="s">
        <v>6</v>
      </c>
      <c r="L130" s="9" t="s">
        <v>7</v>
      </c>
      <c r="M130" s="9" t="s">
        <v>8</v>
      </c>
      <c r="N130" s="9" t="s">
        <v>9</v>
      </c>
      <c r="O130" s="9" t="s">
        <v>10</v>
      </c>
      <c r="P130" s="44" t="s">
        <v>139</v>
      </c>
      <c r="W130" s="260" t="s">
        <v>541</v>
      </c>
      <c r="X130" s="155">
        <v>-2</v>
      </c>
      <c r="Z130" s="13">
        <v>114.63117</v>
      </c>
      <c r="AA130" s="2">
        <v>119.42784</v>
      </c>
      <c r="AB130" s="2">
        <f t="shared" si="103"/>
        <v>4.796670000000006</v>
      </c>
      <c r="AC130" s="2">
        <f t="shared" si="104"/>
        <v>10.12836999999999</v>
      </c>
      <c r="AD130" s="2">
        <f t="shared" si="105"/>
        <v>0.32138406329229319</v>
      </c>
      <c r="AE130" s="2">
        <f t="shared" si="106"/>
        <v>0.67861593670770681</v>
      </c>
      <c r="AF130" s="2">
        <f t="shared" si="107"/>
        <v>0.20847796492149737</v>
      </c>
      <c r="AG130" s="2">
        <f t="shared" si="108"/>
        <v>6.7001495473378983E-2</v>
      </c>
      <c r="AH130" s="2">
        <f t="shared" si="109"/>
        <v>14.925039999999996</v>
      </c>
      <c r="AI130" s="2">
        <v>41</v>
      </c>
      <c r="AJ130">
        <f t="shared" si="110"/>
        <v>8.5475965617813916</v>
      </c>
      <c r="AM130" s="2"/>
    </row>
    <row r="131" spans="5:39" x14ac:dyDescent="0.35">
      <c r="E131" s="104" t="s">
        <v>447</v>
      </c>
      <c r="F131" s="13"/>
      <c r="G131" s="49" t="s">
        <v>77</v>
      </c>
      <c r="H131" s="13">
        <f>AVERAGE(H103:H115)</f>
        <v>3.6040176923076896</v>
      </c>
      <c r="I131" s="13">
        <f t="shared" ref="I131:P131" si="111">AVERAGE(I103:I115)</f>
        <v>5.5686530769230798</v>
      </c>
      <c r="J131" s="13">
        <f t="shared" si="111"/>
        <v>0.41356520296680144</v>
      </c>
      <c r="K131" s="13">
        <f t="shared" si="111"/>
        <v>0.58643479703319845</v>
      </c>
      <c r="L131" s="13">
        <f t="shared" si="111"/>
        <v>0.28164543114194146</v>
      </c>
      <c r="M131" s="13">
        <f t="shared" si="111"/>
        <v>0.11377772969096567</v>
      </c>
      <c r="N131" s="13">
        <f t="shared" si="111"/>
        <v>9.1726707692307698</v>
      </c>
      <c r="O131" s="13">
        <f t="shared" si="111"/>
        <v>27.46153846153846</v>
      </c>
      <c r="P131" s="13">
        <f t="shared" si="111"/>
        <v>7.6322471022002008</v>
      </c>
      <c r="W131" s="260"/>
      <c r="X131" s="155">
        <v>0</v>
      </c>
      <c r="Z131" s="13">
        <v>129.55620999999999</v>
      </c>
      <c r="AA131" s="2">
        <v>133.56263000000001</v>
      </c>
      <c r="AB131" s="2">
        <f t="shared" si="103"/>
        <v>4.0064200000000199</v>
      </c>
      <c r="AC131" s="2">
        <f t="shared" si="104"/>
        <v>4.0218799999999817</v>
      </c>
      <c r="AD131" s="2">
        <f t="shared" si="105"/>
        <v>0.49903715606043858</v>
      </c>
      <c r="AE131" s="2">
        <f t="shared" si="106"/>
        <v>0.50096284393956136</v>
      </c>
      <c r="AF131" s="2">
        <f t="shared" si="107"/>
        <v>0.24959939297427505</v>
      </c>
      <c r="AG131" s="2">
        <f t="shared" si="108"/>
        <v>0.12455937122429403</v>
      </c>
      <c r="AH131" s="2">
        <f t="shared" si="109"/>
        <v>8.0283000000000015</v>
      </c>
      <c r="AI131" s="2">
        <v>36</v>
      </c>
      <c r="AJ131">
        <f t="shared" si="110"/>
        <v>8.9855781470739018</v>
      </c>
      <c r="AL131" t="s">
        <v>498</v>
      </c>
      <c r="AM131" s="2"/>
    </row>
    <row r="132" spans="5:39" x14ac:dyDescent="0.35">
      <c r="E132" s="104"/>
      <c r="F132" s="13"/>
      <c r="G132" s="49" t="s">
        <v>94</v>
      </c>
      <c r="H132" s="2">
        <f>_xlfn.STDEV.S(H103:H115)</f>
        <v>0.44368439934172704</v>
      </c>
      <c r="I132" s="2">
        <f t="shared" ref="I132:P132" si="112">_xlfn.STDEV.S(I103:I115)</f>
        <v>2.1662114162918349</v>
      </c>
      <c r="J132" s="2">
        <f t="shared" si="112"/>
        <v>0.11490635198795376</v>
      </c>
      <c r="K132" s="2">
        <f t="shared" si="112"/>
        <v>0.11490635198795311</v>
      </c>
      <c r="L132" s="2">
        <f t="shared" si="112"/>
        <v>3.7335452515208048E-2</v>
      </c>
      <c r="M132" s="2">
        <f t="shared" si="112"/>
        <v>2.422917041676995E-2</v>
      </c>
      <c r="N132" s="2">
        <f t="shared" si="112"/>
        <v>1.9627560498673815</v>
      </c>
      <c r="O132" s="2">
        <f t="shared" si="112"/>
        <v>3.821330148333709</v>
      </c>
      <c r="P132" s="2">
        <f t="shared" si="112"/>
        <v>0.69834827038364644</v>
      </c>
      <c r="W132" s="260" t="s">
        <v>541</v>
      </c>
      <c r="X132" s="155">
        <v>0</v>
      </c>
      <c r="Z132" s="13">
        <v>137.58450999999999</v>
      </c>
      <c r="AA132" s="2">
        <v>140.61482000000001</v>
      </c>
      <c r="AB132" s="2">
        <f t="shared" si="103"/>
        <v>3.0303100000000143</v>
      </c>
      <c r="AC132" s="2">
        <f t="shared" si="104"/>
        <v>8.5067099999999982</v>
      </c>
      <c r="AD132" s="2">
        <f t="shared" si="105"/>
        <v>0.26265968161622422</v>
      </c>
      <c r="AE132" s="2">
        <f t="shared" si="106"/>
        <v>0.73734031838377578</v>
      </c>
      <c r="AF132" s="2">
        <f t="shared" si="107"/>
        <v>0.32999924100174416</v>
      </c>
      <c r="AG132" s="2">
        <f t="shared" si="108"/>
        <v>8.6677495575113755E-2</v>
      </c>
      <c r="AH132" s="2">
        <f t="shared" si="109"/>
        <v>11.537020000000012</v>
      </c>
      <c r="AI132" s="2">
        <v>26</v>
      </c>
      <c r="AJ132">
        <f t="shared" si="110"/>
        <v>8.5799802660453484</v>
      </c>
      <c r="AM132" s="2"/>
    </row>
    <row r="133" spans="5:39" x14ac:dyDescent="0.35">
      <c r="E133" s="104"/>
      <c r="F133" s="13"/>
      <c r="G133" s="49" t="s">
        <v>95</v>
      </c>
      <c r="H133" s="2">
        <f>H132/(SQRT(COUNT(H103:H115)))</f>
        <v>0.12305591168846446</v>
      </c>
      <c r="I133" s="2">
        <f t="shared" ref="I133:P133" si="113">I132/(SQRT(COUNT(I103:I115)))</f>
        <v>0.60079894884120622</v>
      </c>
      <c r="J133" s="2">
        <f t="shared" si="113"/>
        <v>3.18692879976216E-2</v>
      </c>
      <c r="K133" s="2">
        <f t="shared" si="113"/>
        <v>3.1869287997621419E-2</v>
      </c>
      <c r="L133" s="2">
        <f t="shared" si="113"/>
        <v>1.0354991418171814E-2</v>
      </c>
      <c r="M133" s="2">
        <f t="shared" si="113"/>
        <v>6.7199627922784038E-3</v>
      </c>
      <c r="N133" s="2">
        <f t="shared" si="113"/>
        <v>0.54437058300184604</v>
      </c>
      <c r="O133" s="2">
        <f t="shared" si="113"/>
        <v>1.0598462915610463</v>
      </c>
      <c r="P133" s="2">
        <f t="shared" si="113"/>
        <v>0.19368696130767904</v>
      </c>
      <c r="W133" s="260"/>
      <c r="X133" s="155">
        <v>0</v>
      </c>
      <c r="Z133" s="13">
        <v>149.12153000000001</v>
      </c>
      <c r="AA133" s="2">
        <v>153.70930000000001</v>
      </c>
      <c r="AB133" s="2">
        <f t="shared" si="103"/>
        <v>4.5877700000000061</v>
      </c>
      <c r="AC133" s="2">
        <f t="shared" si="104"/>
        <v>4.1658799999999871</v>
      </c>
      <c r="AD133" s="2">
        <f t="shared" si="105"/>
        <v>0.5240979477132407</v>
      </c>
      <c r="AE133" s="2">
        <f t="shared" si="106"/>
        <v>0.4759020522867593</v>
      </c>
      <c r="AF133" s="2">
        <f t="shared" si="107"/>
        <v>0.21797082242570981</v>
      </c>
      <c r="AG133" s="2">
        <f t="shared" si="108"/>
        <v>0.11423806069468173</v>
      </c>
      <c r="AH133" s="2">
        <f t="shared" si="109"/>
        <v>8.7536499999999933</v>
      </c>
      <c r="AI133" s="2">
        <v>37</v>
      </c>
      <c r="AJ133">
        <f t="shared" si="110"/>
        <v>8.0649204297512629</v>
      </c>
      <c r="AM133" s="2"/>
    </row>
    <row r="134" spans="5:39" x14ac:dyDescent="0.35">
      <c r="E134" s="104"/>
      <c r="F134" s="13"/>
      <c r="G134" s="49"/>
      <c r="H134" s="2"/>
      <c r="I134" s="2"/>
      <c r="J134" s="2"/>
      <c r="K134" s="2"/>
      <c r="L134" s="2"/>
      <c r="M134" s="2"/>
      <c r="N134" s="2"/>
      <c r="O134" s="2"/>
      <c r="P134" s="2"/>
      <c r="W134" s="260" t="s">
        <v>541</v>
      </c>
      <c r="X134" s="155">
        <v>0</v>
      </c>
      <c r="Z134" s="13">
        <v>157.87518</v>
      </c>
      <c r="AA134" s="13">
        <v>162.37016</v>
      </c>
      <c r="AB134" s="2">
        <f t="shared" si="103"/>
        <v>4.4949799999999982</v>
      </c>
      <c r="AC134" s="2">
        <f t="shared" si="104"/>
        <v>7.1528199999999913</v>
      </c>
      <c r="AD134" s="2">
        <f t="shared" si="105"/>
        <v>0.38590806847645071</v>
      </c>
      <c r="AE134" s="2">
        <f t="shared" si="106"/>
        <v>0.61409193152354935</v>
      </c>
      <c r="AF134" s="2">
        <f t="shared" si="107"/>
        <v>0.22247040031323842</v>
      </c>
      <c r="AG134" s="2">
        <f t="shared" si="108"/>
        <v>8.5853122478064606E-2</v>
      </c>
      <c r="AH134" s="2">
        <f t="shared" si="109"/>
        <v>11.647799999999989</v>
      </c>
      <c r="AI134" s="2">
        <v>33</v>
      </c>
      <c r="AJ134">
        <f t="shared" si="110"/>
        <v>7.3415232103368675</v>
      </c>
      <c r="AM134" s="2"/>
    </row>
    <row r="135" spans="5:39" x14ac:dyDescent="0.35">
      <c r="E135" s="104"/>
      <c r="F135" s="13"/>
      <c r="G135" s="49"/>
      <c r="H135" s="2"/>
      <c r="I135" s="2"/>
      <c r="J135" s="2"/>
      <c r="K135" s="2"/>
      <c r="L135" s="2"/>
      <c r="M135" s="2"/>
      <c r="N135" s="2"/>
      <c r="O135" s="2"/>
      <c r="P135" s="2"/>
      <c r="W135" s="260"/>
      <c r="X135" s="155">
        <v>0</v>
      </c>
      <c r="Z135" s="13">
        <v>169.52297999999999</v>
      </c>
      <c r="AA135">
        <v>173.44427999999999</v>
      </c>
      <c r="AB135" s="2">
        <f t="shared" si="103"/>
        <v>3.9213000000000022</v>
      </c>
      <c r="AC135" s="2">
        <f t="shared" si="104"/>
        <v>4.2214700000000107</v>
      </c>
      <c r="AD135" s="2">
        <f t="shared" si="105"/>
        <v>0.48156831152052632</v>
      </c>
      <c r="AE135" s="2">
        <f t="shared" si="106"/>
        <v>0.51843168847947374</v>
      </c>
      <c r="AF135" s="2">
        <f t="shared" si="107"/>
        <v>0.25501746869660558</v>
      </c>
      <c r="AG135" s="2">
        <f t="shared" si="108"/>
        <v>0.12280833180846301</v>
      </c>
      <c r="AH135" s="2">
        <f t="shared" si="109"/>
        <v>8.1427700000000129</v>
      </c>
      <c r="AI135" s="2">
        <v>36</v>
      </c>
      <c r="AJ135">
        <f t="shared" si="110"/>
        <v>9.1806288730778007</v>
      </c>
      <c r="AM135" s="2"/>
    </row>
    <row r="136" spans="5:39" ht="16" thickBot="1" x14ac:dyDescent="0.4">
      <c r="E136" s="104" t="s">
        <v>81</v>
      </c>
      <c r="F136" s="13"/>
      <c r="G136" s="13"/>
      <c r="H136" s="9" t="s">
        <v>3</v>
      </c>
      <c r="I136" s="9" t="s">
        <v>4</v>
      </c>
      <c r="J136" s="9" t="s">
        <v>5</v>
      </c>
      <c r="K136" s="9" t="s">
        <v>6</v>
      </c>
      <c r="L136" s="9" t="s">
        <v>7</v>
      </c>
      <c r="M136" s="9" t="s">
        <v>8</v>
      </c>
      <c r="N136" s="9" t="s">
        <v>9</v>
      </c>
      <c r="O136" s="9" t="s">
        <v>10</v>
      </c>
      <c r="P136" s="44" t="s">
        <v>139</v>
      </c>
      <c r="W136" s="260" t="s">
        <v>541</v>
      </c>
      <c r="X136" s="155">
        <v>0</v>
      </c>
      <c r="Z136">
        <v>177.66575</v>
      </c>
      <c r="AA136">
        <v>181.45803000000001</v>
      </c>
      <c r="AB136" s="2">
        <f t="shared" si="103"/>
        <v>3.7922800000000052</v>
      </c>
      <c r="AC136" s="2">
        <f t="shared" si="104"/>
        <v>7.8787499999999966</v>
      </c>
      <c r="AD136" s="2">
        <f t="shared" si="105"/>
        <v>0.32493104721691268</v>
      </c>
      <c r="AE136" s="2">
        <f t="shared" si="106"/>
        <v>0.67506895278308732</v>
      </c>
      <c r="AF136" s="2">
        <f t="shared" si="107"/>
        <v>0.26369360912168899</v>
      </c>
      <c r="AG136" s="2">
        <f t="shared" si="108"/>
        <v>8.5682240556317638E-2</v>
      </c>
      <c r="AH136" s="2">
        <f t="shared" si="109"/>
        <v>11.671030000000002</v>
      </c>
      <c r="AI136" s="2">
        <v>32</v>
      </c>
      <c r="AJ136">
        <f t="shared" si="110"/>
        <v>8.4381954918940476</v>
      </c>
      <c r="AM136" s="2"/>
    </row>
    <row r="137" spans="5:39" x14ac:dyDescent="0.35">
      <c r="E137" s="104"/>
      <c r="F137" s="13"/>
      <c r="G137" s="49" t="s">
        <v>77</v>
      </c>
      <c r="H137" s="13">
        <f>AVERAGE(H106,H108,H110,H112,H114,H104)</f>
        <v>3.3907216666666642</v>
      </c>
      <c r="I137" s="13">
        <f t="shared" ref="I137:P137" si="114">AVERAGE(I106,I108,I110,I112,I114,I104)</f>
        <v>7.7599233333333357</v>
      </c>
      <c r="J137" s="13">
        <f t="shared" si="114"/>
        <v>0.30387291840826908</v>
      </c>
      <c r="K137" s="13">
        <f t="shared" si="114"/>
        <v>0.69612708159173087</v>
      </c>
      <c r="L137" s="13">
        <f t="shared" si="114"/>
        <v>0.29869947654852363</v>
      </c>
      <c r="M137" s="13">
        <f t="shared" si="114"/>
        <v>8.97855729828715E-2</v>
      </c>
      <c r="N137" s="13">
        <f t="shared" si="114"/>
        <v>11.150644999999999</v>
      </c>
      <c r="O137" s="13">
        <f t="shared" si="114"/>
        <v>25.666666666666668</v>
      </c>
      <c r="P137" s="13">
        <f t="shared" si="114"/>
        <v>7.6040343086906264</v>
      </c>
      <c r="W137" s="260"/>
      <c r="X137" s="155">
        <v>0</v>
      </c>
      <c r="Z137">
        <v>189.33678</v>
      </c>
      <c r="AA137">
        <v>194.10242</v>
      </c>
      <c r="AB137" s="2">
        <f t="shared" si="103"/>
        <v>4.7656399999999906</v>
      </c>
      <c r="AC137" s="2">
        <f t="shared" si="104"/>
        <v>4.110730000000018</v>
      </c>
      <c r="AD137" s="2">
        <f t="shared" si="105"/>
        <v>0.53689064335984038</v>
      </c>
      <c r="AE137" s="2">
        <f t="shared" si="106"/>
        <v>0.46310935664015968</v>
      </c>
      <c r="AF137" s="2">
        <f t="shared" si="107"/>
        <v>0.20983540510823351</v>
      </c>
      <c r="AG137" s="2">
        <f t="shared" si="108"/>
        <v>0.11265866564823222</v>
      </c>
      <c r="AH137" s="2">
        <f t="shared" si="109"/>
        <v>8.8763700000000085</v>
      </c>
      <c r="AI137">
        <v>41</v>
      </c>
      <c r="AJ137">
        <f t="shared" si="110"/>
        <v>8.6032516094375744</v>
      </c>
      <c r="AM137" s="2"/>
    </row>
    <row r="138" spans="5:39" x14ac:dyDescent="0.35">
      <c r="E138" s="104"/>
      <c r="F138" s="13"/>
      <c r="G138" s="49" t="s">
        <v>94</v>
      </c>
      <c r="H138" s="2">
        <f>_xlfn.STDEV.S(H106,H108,H110,H112,H114,H104)</f>
        <v>0.38865477552278438</v>
      </c>
      <c r="I138" s="2">
        <f t="shared" ref="I138:P138" si="115">_xlfn.STDEV.S(I106,I108,I110,I112,I114,I104)</f>
        <v>0.39700623232723459</v>
      </c>
      <c r="J138" s="2">
        <f t="shared" si="115"/>
        <v>3.1111385159951203E-2</v>
      </c>
      <c r="K138" s="2">
        <f t="shared" si="115"/>
        <v>3.1111385159951207E-2</v>
      </c>
      <c r="L138" s="2">
        <f t="shared" si="115"/>
        <v>3.9696060817059481E-2</v>
      </c>
      <c r="M138" s="2">
        <f t="shared" si="115"/>
        <v>3.3213290092953015E-3</v>
      </c>
      <c r="N138" s="2">
        <f t="shared" si="115"/>
        <v>0.42167570158831796</v>
      </c>
      <c r="O138" s="2">
        <f t="shared" si="115"/>
        <v>2.5819888974716112</v>
      </c>
      <c r="P138" s="2">
        <f t="shared" si="115"/>
        <v>0.62108827061350169</v>
      </c>
      <c r="W138" s="260" t="s">
        <v>541</v>
      </c>
      <c r="X138" s="155">
        <v>0</v>
      </c>
      <c r="Z138">
        <v>198.21315000000001</v>
      </c>
      <c r="AA138">
        <v>202.14238</v>
      </c>
      <c r="AB138" s="2">
        <f t="shared" si="103"/>
        <v>3.9292299999999898</v>
      </c>
      <c r="AC138" s="2">
        <f t="shared" si="104"/>
        <v>8.4683799999999962</v>
      </c>
      <c r="AD138" s="2">
        <f t="shared" si="105"/>
        <v>0.31693447366064864</v>
      </c>
      <c r="AE138" s="2">
        <f t="shared" si="106"/>
        <v>0.68306552633935136</v>
      </c>
      <c r="AF138" s="2">
        <f t="shared" si="107"/>
        <v>0.25450279062309983</v>
      </c>
      <c r="AG138" s="2">
        <f t="shared" si="108"/>
        <v>8.0660707991298417E-2</v>
      </c>
      <c r="AH138" s="2">
        <f t="shared" si="109"/>
        <v>12.397609999999986</v>
      </c>
      <c r="AI138">
        <v>32</v>
      </c>
      <c r="AJ138">
        <f t="shared" si="110"/>
        <v>8.1440892999391945</v>
      </c>
      <c r="AM138" s="2"/>
    </row>
    <row r="139" spans="5:39" x14ac:dyDescent="0.35">
      <c r="E139" s="104"/>
      <c r="F139" s="13"/>
      <c r="G139" s="49" t="s">
        <v>95</v>
      </c>
      <c r="H139" s="2">
        <f>H138/(SQRT(COUNT(H106,H108,H110,H112,H114,H104)))</f>
        <v>0.15866764768779318</v>
      </c>
      <c r="I139" s="2">
        <f t="shared" ref="I139:P139" si="116">I138/(SQRT(COUNT(I106,I108,I110,I112,I114,I104)))</f>
        <v>0.16207711565109276</v>
      </c>
      <c r="J139" s="2">
        <f t="shared" si="116"/>
        <v>1.2701169805512877E-2</v>
      </c>
      <c r="K139" s="2">
        <f t="shared" si="116"/>
        <v>1.2701169805512879E-2</v>
      </c>
      <c r="L139" s="2">
        <f t="shared" si="116"/>
        <v>1.6205848966714072E-2</v>
      </c>
      <c r="M139" s="2">
        <f t="shared" si="116"/>
        <v>1.3559268901128427E-3</v>
      </c>
      <c r="N139" s="2">
        <f t="shared" si="116"/>
        <v>0.17214838430358087</v>
      </c>
      <c r="O139" s="2">
        <f t="shared" si="116"/>
        <v>1.0540925533894598</v>
      </c>
      <c r="P139" s="2">
        <f t="shared" si="116"/>
        <v>0.25355822470511924</v>
      </c>
      <c r="W139" s="260" t="s">
        <v>541</v>
      </c>
      <c r="X139" s="155">
        <v>0</v>
      </c>
      <c r="Z139">
        <v>210.61076</v>
      </c>
      <c r="AA139">
        <v>215.40904</v>
      </c>
      <c r="AB139" s="2">
        <f t="shared" si="103"/>
        <v>4.7982800000000054</v>
      </c>
      <c r="AC139" s="2">
        <f t="shared" si="104"/>
        <v>10.452539999999999</v>
      </c>
      <c r="AD139" s="2">
        <f t="shared" si="105"/>
        <v>0.31462439396701319</v>
      </c>
      <c r="AE139" s="2">
        <f t="shared" si="106"/>
        <v>0.68537560603298686</v>
      </c>
      <c r="AF139" s="2">
        <f t="shared" si="107"/>
        <v>0.20840801287127864</v>
      </c>
      <c r="AG139" s="2">
        <f t="shared" si="108"/>
        <v>6.5570244747495524E-2</v>
      </c>
      <c r="AH139" s="2">
        <f t="shared" si="109"/>
        <v>15.250820000000004</v>
      </c>
      <c r="AI139">
        <v>39</v>
      </c>
      <c r="AJ139">
        <f t="shared" si="110"/>
        <v>8.1279125019798677</v>
      </c>
      <c r="AM139" s="2"/>
    </row>
    <row r="140" spans="5:39" x14ac:dyDescent="0.35">
      <c r="E140" s="104"/>
      <c r="F140" s="13"/>
      <c r="G140" s="49"/>
      <c r="H140" s="2"/>
      <c r="I140" s="2"/>
      <c r="J140" s="2"/>
      <c r="K140" s="2"/>
      <c r="L140" s="2"/>
      <c r="M140" s="2"/>
      <c r="N140" s="2"/>
      <c r="O140" s="2"/>
      <c r="P140" s="2"/>
      <c r="W140" s="260"/>
      <c r="X140" s="155">
        <v>0</v>
      </c>
      <c r="Z140">
        <v>225.86158</v>
      </c>
      <c r="AA140">
        <v>230.77237</v>
      </c>
      <c r="AB140" s="2">
        <f t="shared" si="103"/>
        <v>4.9107899999999916</v>
      </c>
      <c r="AC140" s="2">
        <f t="shared" si="104"/>
        <v>4.1853800000000092</v>
      </c>
      <c r="AD140" s="2">
        <f t="shared" si="105"/>
        <v>0.53987447464152394</v>
      </c>
      <c r="AE140" s="2">
        <f t="shared" si="106"/>
        <v>0.46012552535847601</v>
      </c>
      <c r="AF140" s="2">
        <f t="shared" si="107"/>
        <v>0.20363322398229242</v>
      </c>
      <c r="AG140" s="2">
        <f t="shared" si="108"/>
        <v>0.1099363798169999</v>
      </c>
      <c r="AH140" s="2">
        <f t="shared" si="109"/>
        <v>9.0961700000000008</v>
      </c>
      <c r="AI140">
        <v>42</v>
      </c>
      <c r="AJ140">
        <f t="shared" si="110"/>
        <v>8.5525954072562804</v>
      </c>
      <c r="AM140" s="2"/>
    </row>
    <row r="141" spans="5:39" x14ac:dyDescent="0.35">
      <c r="E141" s="104"/>
      <c r="F141" s="13"/>
      <c r="G141" s="49"/>
      <c r="H141" s="2"/>
      <c r="I141" s="2"/>
      <c r="J141" s="2"/>
      <c r="K141" s="2"/>
      <c r="L141" s="2"/>
      <c r="M141" s="2"/>
      <c r="N141" s="2"/>
      <c r="O141" s="2"/>
      <c r="P141" s="2"/>
      <c r="W141" s="260"/>
      <c r="X141" s="155">
        <v>0</v>
      </c>
      <c r="Z141">
        <v>234.95775</v>
      </c>
      <c r="AA141">
        <v>238.78565</v>
      </c>
      <c r="AB141" s="2">
        <f t="shared" si="103"/>
        <v>3.8278999999999996</v>
      </c>
      <c r="AC141" s="2"/>
      <c r="AD141" s="2"/>
      <c r="AE141" s="2"/>
      <c r="AF141" s="2"/>
      <c r="AG141" s="2"/>
      <c r="AH141" s="2"/>
      <c r="AM141" s="2"/>
    </row>
    <row r="142" spans="5:39" ht="16" thickBot="1" x14ac:dyDescent="0.4">
      <c r="E142" s="104" t="s">
        <v>82</v>
      </c>
      <c r="F142" s="13"/>
      <c r="G142" s="13"/>
      <c r="H142" s="9" t="s">
        <v>3</v>
      </c>
      <c r="I142" s="9" t="s">
        <v>4</v>
      </c>
      <c r="J142" s="9" t="s">
        <v>5</v>
      </c>
      <c r="K142" s="9" t="s">
        <v>6</v>
      </c>
      <c r="L142" s="9" t="s">
        <v>7</v>
      </c>
      <c r="M142" s="9" t="s">
        <v>8</v>
      </c>
      <c r="N142" s="9" t="s">
        <v>9</v>
      </c>
      <c r="O142" s="9" t="s">
        <v>10</v>
      </c>
      <c r="P142" s="44" t="s">
        <v>139</v>
      </c>
      <c r="X142" s="155"/>
      <c r="AB142" s="2"/>
      <c r="AC142" s="2"/>
      <c r="AD142" s="2"/>
      <c r="AE142" s="2"/>
      <c r="AF142" s="2"/>
      <c r="AG142" s="2"/>
      <c r="AH142" s="2"/>
      <c r="AM142" s="2"/>
    </row>
    <row r="143" spans="5:39" x14ac:dyDescent="0.35">
      <c r="E143" s="104"/>
      <c r="F143" s="13"/>
      <c r="G143" s="49" t="s">
        <v>77</v>
      </c>
      <c r="H143" s="13">
        <f>AVERAGE(H107,H109,H111,H113,H115,H105,H103)</f>
        <v>3.7868428571428536</v>
      </c>
      <c r="I143" s="13">
        <f t="shared" ref="I143:P143" si="117">AVERAGE(I107,I109,I111,I113,I115,I105,I103)</f>
        <v>3.6904214285714318</v>
      </c>
      <c r="J143" s="13">
        <f t="shared" si="117"/>
        <v>0.50758716115982927</v>
      </c>
      <c r="K143" s="13">
        <f t="shared" si="117"/>
        <v>0.49241283884017062</v>
      </c>
      <c r="L143" s="13">
        <f t="shared" si="117"/>
        <v>0.26702767793629961</v>
      </c>
      <c r="M143" s="13">
        <f t="shared" si="117"/>
        <v>0.13434243544076066</v>
      </c>
      <c r="N143" s="13">
        <f t="shared" si="117"/>
        <v>7.477264285714285</v>
      </c>
      <c r="O143" s="13">
        <f t="shared" si="117"/>
        <v>29</v>
      </c>
      <c r="P143" s="13">
        <f t="shared" si="117"/>
        <v>7.656429496636977</v>
      </c>
      <c r="AM143" s="2"/>
    </row>
    <row r="144" spans="5:39" ht="16" thickBot="1" x14ac:dyDescent="0.4">
      <c r="E144" s="104"/>
      <c r="F144" s="13"/>
      <c r="G144" s="49" t="s">
        <v>94</v>
      </c>
      <c r="H144" s="2">
        <f>_xlfn.STDEV.S(H107,H109,H111,H113,H115,H105,H103)</f>
        <v>0.42818629674922509</v>
      </c>
      <c r="I144" s="2">
        <f t="shared" ref="I144:P144" si="118">_xlfn.STDEV.S(I107,I109,I111,I113,I115,I105,I103)</f>
        <v>0.57984511789582416</v>
      </c>
      <c r="J144" s="2">
        <f t="shared" si="118"/>
        <v>5.7047876364387622E-2</v>
      </c>
      <c r="K144" s="2">
        <f t="shared" si="118"/>
        <v>5.7047876364387948E-2</v>
      </c>
      <c r="L144" s="2">
        <f t="shared" si="118"/>
        <v>3.057109801315544E-2</v>
      </c>
      <c r="M144" s="2">
        <f t="shared" si="118"/>
        <v>9.7927260250880738E-3</v>
      </c>
      <c r="N144" s="2">
        <f t="shared" si="118"/>
        <v>0.53925402068837169</v>
      </c>
      <c r="O144" s="2">
        <f t="shared" si="118"/>
        <v>4.2031734043061642</v>
      </c>
      <c r="P144" s="2">
        <f t="shared" si="118"/>
        <v>0.80773976768460332</v>
      </c>
      <c r="Z144" s="13"/>
      <c r="AA144" s="13"/>
      <c r="AB144" s="9" t="s">
        <v>3</v>
      </c>
      <c r="AC144" s="9" t="s">
        <v>4</v>
      </c>
      <c r="AD144" s="9" t="s">
        <v>5</v>
      </c>
      <c r="AE144" s="9" t="s">
        <v>6</v>
      </c>
      <c r="AF144" s="9" t="s">
        <v>7</v>
      </c>
      <c r="AG144" s="9" t="s">
        <v>8</v>
      </c>
      <c r="AH144" s="9" t="s">
        <v>9</v>
      </c>
      <c r="AI144" s="9" t="s">
        <v>10</v>
      </c>
      <c r="AJ144" s="44" t="s">
        <v>139</v>
      </c>
      <c r="AM144" s="2"/>
    </row>
    <row r="145" spans="2:41" x14ac:dyDescent="0.35">
      <c r="E145" s="104"/>
      <c r="F145" s="13"/>
      <c r="G145" s="49" t="s">
        <v>95</v>
      </c>
      <c r="H145" s="2">
        <f>H144/(SQRT(COUNT(H107,H109,H111,H113,H115,H105,H103)))</f>
        <v>0.16183920800059343</v>
      </c>
      <c r="I145" s="2">
        <f t="shared" ref="I145:P145" si="119">I144/(SQRT(COUNT(I107,I109,I111,I113,I115,I105,I103)))</f>
        <v>0.21916085441246841</v>
      </c>
      <c r="J145" s="2">
        <f t="shared" si="119"/>
        <v>2.1562070526361315E-2</v>
      </c>
      <c r="K145" s="2">
        <f t="shared" si="119"/>
        <v>2.156207052636144E-2</v>
      </c>
      <c r="L145" s="2">
        <f t="shared" si="119"/>
        <v>1.1554788949855729E-2</v>
      </c>
      <c r="M145" s="2">
        <f t="shared" si="119"/>
        <v>3.701302531396158E-3</v>
      </c>
      <c r="N145" s="2">
        <f t="shared" si="119"/>
        <v>0.20381886174758732</v>
      </c>
      <c r="O145" s="2">
        <f t="shared" si="119"/>
        <v>1.5886502207249789</v>
      </c>
      <c r="P145" s="2">
        <f t="shared" si="119"/>
        <v>0.30529693562150673</v>
      </c>
      <c r="Y145" s="104" t="s">
        <v>426</v>
      </c>
      <c r="Z145" s="13"/>
      <c r="AA145" s="49" t="s">
        <v>77</v>
      </c>
      <c r="AB145" s="13">
        <f>AVERAGE(AB120:AB130)</f>
        <v>4.5059172727272712</v>
      </c>
      <c r="AC145" s="13">
        <f t="shared" ref="AC145:AJ145" si="120">AVERAGE(AC120:AC130)</f>
        <v>6.5113909090909097</v>
      </c>
      <c r="AD145" s="13">
        <f t="shared" si="120"/>
        <v>0.42717772498215184</v>
      </c>
      <c r="AE145" s="13">
        <f t="shared" si="120"/>
        <v>0.5728222750178481</v>
      </c>
      <c r="AF145" s="13">
        <f t="shared" si="120"/>
        <v>0.2230515002451601</v>
      </c>
      <c r="AG145" s="13">
        <f t="shared" si="120"/>
        <v>9.5363263388229133E-2</v>
      </c>
      <c r="AH145" s="13">
        <f t="shared" si="120"/>
        <v>11.017308181818182</v>
      </c>
      <c r="AI145" s="13">
        <f t="shared" si="120"/>
        <v>35.727272727272727</v>
      </c>
      <c r="AJ145" s="13">
        <f t="shared" si="120"/>
        <v>7.9439372070758019</v>
      </c>
      <c r="AM145" s="2"/>
    </row>
    <row r="146" spans="2:41" x14ac:dyDescent="0.35">
      <c r="E146" s="104"/>
      <c r="F146" s="13"/>
      <c r="G146" s="49"/>
      <c r="H146" s="2"/>
      <c r="I146" s="2"/>
      <c r="J146" s="2"/>
      <c r="K146" s="2"/>
      <c r="L146" s="2"/>
      <c r="M146" s="2"/>
      <c r="N146" s="2"/>
      <c r="O146" s="2"/>
      <c r="P146" s="2"/>
      <c r="Y146" s="104"/>
      <c r="Z146" s="13"/>
      <c r="AA146" s="49" t="s">
        <v>94</v>
      </c>
      <c r="AB146" s="2">
        <f>_xlfn.STDEV.S(AB120:AB130)</f>
        <v>0.32454760048692066</v>
      </c>
      <c r="AC146" s="2">
        <f t="shared" ref="AC146:AJ146" si="121">_xlfn.STDEV.S(AC120:AC130)</f>
        <v>2.5210512176290876</v>
      </c>
      <c r="AD146" s="2">
        <f t="shared" si="121"/>
        <v>9.0741048382529069E-2</v>
      </c>
      <c r="AE146" s="2">
        <f t="shared" si="121"/>
        <v>9.0741048382529554E-2</v>
      </c>
      <c r="AF146" s="2">
        <f t="shared" si="121"/>
        <v>1.7143978367497554E-2</v>
      </c>
      <c r="AG146" s="2">
        <f t="shared" si="121"/>
        <v>2.1654390260363598E-2</v>
      </c>
      <c r="AH146" s="2">
        <f t="shared" si="121"/>
        <v>2.6392021297271553</v>
      </c>
      <c r="AI146" s="2">
        <f t="shared" si="121"/>
        <v>3.0361458822299392</v>
      </c>
      <c r="AJ146" s="2">
        <f t="shared" si="121"/>
        <v>0.62146977773364087</v>
      </c>
      <c r="AM146" s="2"/>
    </row>
    <row r="147" spans="2:41" x14ac:dyDescent="0.35">
      <c r="E147" s="104"/>
      <c r="F147" s="13"/>
      <c r="G147" s="49"/>
      <c r="H147" s="2"/>
      <c r="I147" s="2"/>
      <c r="J147" s="2"/>
      <c r="K147" s="2"/>
      <c r="L147" s="2"/>
      <c r="M147" s="2"/>
      <c r="N147" s="2"/>
      <c r="O147" s="2"/>
      <c r="P147" s="2"/>
      <c r="X147" s="155"/>
      <c r="Y147" s="104"/>
      <c r="Z147" s="13"/>
      <c r="AA147" s="49" t="s">
        <v>95</v>
      </c>
      <c r="AB147" s="2">
        <f t="shared" ref="AB147:AJ147" si="122">AB146/(SQRT(COUNT(AB120:AB130)))</f>
        <v>9.7854783402298307E-2</v>
      </c>
      <c r="AC147" s="2">
        <f t="shared" si="122"/>
        <v>0.76012554237675434</v>
      </c>
      <c r="AD147" s="2">
        <f t="shared" si="122"/>
        <v>2.7359455506212244E-2</v>
      </c>
      <c r="AE147" s="2">
        <f t="shared" si="122"/>
        <v>2.7359455506212389E-2</v>
      </c>
      <c r="AF147" s="2">
        <f t="shared" si="122"/>
        <v>5.1691039689962803E-3</v>
      </c>
      <c r="AG147" s="2">
        <f t="shared" si="122"/>
        <v>6.5290443234138577E-3</v>
      </c>
      <c r="AH147" s="2">
        <f t="shared" si="122"/>
        <v>0.79574938274653195</v>
      </c>
      <c r="AI147" s="2">
        <f t="shared" si="122"/>
        <v>0.91543242728538932</v>
      </c>
      <c r="AJ147" s="2">
        <f t="shared" si="122"/>
        <v>0.18738018829891395</v>
      </c>
      <c r="AM147" s="2"/>
    </row>
    <row r="148" spans="2:41" x14ac:dyDescent="0.35">
      <c r="E148" s="104"/>
      <c r="F148" s="13"/>
      <c r="G148" s="49"/>
      <c r="H148" s="2"/>
      <c r="I148" s="2"/>
      <c r="J148" s="2"/>
      <c r="K148" s="2"/>
      <c r="L148" s="2"/>
      <c r="M148" s="2"/>
      <c r="N148" s="2"/>
      <c r="O148" s="2"/>
      <c r="P148" s="2"/>
      <c r="X148" s="260"/>
      <c r="Y148" s="104"/>
      <c r="Z148" s="13"/>
      <c r="AA148" s="49"/>
      <c r="AB148" s="2"/>
      <c r="AC148" s="2"/>
      <c r="AD148" s="2"/>
      <c r="AE148" s="2"/>
      <c r="AF148" s="2"/>
      <c r="AG148" s="2"/>
      <c r="AH148" s="2"/>
      <c r="AI148" s="2"/>
      <c r="AJ148" s="2"/>
      <c r="AM148" s="2"/>
    </row>
    <row r="149" spans="2:41" x14ac:dyDescent="0.35">
      <c r="E149" s="104"/>
      <c r="X149" s="260"/>
      <c r="Y149" s="104"/>
      <c r="Z149" s="13"/>
      <c r="AA149" s="49"/>
      <c r="AB149" s="2"/>
      <c r="AC149" s="2"/>
      <c r="AD149" s="2"/>
      <c r="AE149" s="2"/>
      <c r="AF149" s="2"/>
      <c r="AG149" s="2"/>
      <c r="AH149" s="2"/>
      <c r="AI149" s="2"/>
      <c r="AJ149" s="2"/>
      <c r="AM149" s="2"/>
    </row>
    <row r="150" spans="2:41" ht="16" thickBot="1" x14ac:dyDescent="0.4">
      <c r="E150" s="104"/>
      <c r="G150" s="13"/>
      <c r="H150" s="9" t="s">
        <v>3</v>
      </c>
      <c r="I150" s="9" t="s">
        <v>4</v>
      </c>
      <c r="J150" s="9" t="s">
        <v>5</v>
      </c>
      <c r="K150" s="9" t="s">
        <v>6</v>
      </c>
      <c r="L150" s="9" t="s">
        <v>7</v>
      </c>
      <c r="M150" s="9" t="s">
        <v>8</v>
      </c>
      <c r="N150" s="9" t="s">
        <v>9</v>
      </c>
      <c r="O150" s="9" t="s">
        <v>10</v>
      </c>
      <c r="P150" s="44" t="s">
        <v>139</v>
      </c>
      <c r="X150" s="260"/>
      <c r="Y150" s="104" t="s">
        <v>81</v>
      </c>
      <c r="Z150" s="13"/>
      <c r="AA150" s="13"/>
      <c r="AB150" s="9" t="s">
        <v>3</v>
      </c>
      <c r="AC150" s="9" t="s">
        <v>4</v>
      </c>
      <c r="AD150" s="9" t="s">
        <v>5</v>
      </c>
      <c r="AE150" s="9" t="s">
        <v>6</v>
      </c>
      <c r="AF150" s="9" t="s">
        <v>7</v>
      </c>
      <c r="AG150" s="9" t="s">
        <v>8</v>
      </c>
      <c r="AH150" s="9" t="s">
        <v>9</v>
      </c>
      <c r="AI150" s="9" t="s">
        <v>10</v>
      </c>
      <c r="AJ150" s="44" t="s">
        <v>139</v>
      </c>
      <c r="AM150" s="2"/>
    </row>
    <row r="151" spans="2:41" x14ac:dyDescent="0.35">
      <c r="E151" s="104" t="s">
        <v>410</v>
      </c>
      <c r="G151" s="49" t="s">
        <v>77</v>
      </c>
      <c r="H151" s="13">
        <f t="shared" ref="H151:P151" si="123">AVERAGE(H116:H126)</f>
        <v>3.4292236363636373</v>
      </c>
      <c r="I151" s="13">
        <f t="shared" si="123"/>
        <v>6.338092727272727</v>
      </c>
      <c r="J151" s="13">
        <f t="shared" si="123"/>
        <v>0.36687659224966446</v>
      </c>
      <c r="K151" s="13">
        <f t="shared" si="123"/>
        <v>0.63312340775033549</v>
      </c>
      <c r="L151" s="13">
        <f t="shared" si="123"/>
        <v>0.30095036147225018</v>
      </c>
      <c r="M151" s="13">
        <f t="shared" si="123"/>
        <v>0.1051739263348753</v>
      </c>
      <c r="N151" s="13">
        <f t="shared" si="123"/>
        <v>9.7673163636363647</v>
      </c>
      <c r="O151" s="13">
        <f t="shared" si="123"/>
        <v>26.818181818181817</v>
      </c>
      <c r="P151" s="13">
        <f t="shared" si="123"/>
        <v>7.8567574056363494</v>
      </c>
      <c r="X151" s="260"/>
      <c r="Y151" s="104"/>
      <c r="Z151" s="13"/>
      <c r="AA151" s="49" t="s">
        <v>77</v>
      </c>
      <c r="AB151" s="13">
        <f>AVERAGE(AB121,AB123,AB125:AB127,AB129:AB130)</f>
        <v>4.5895014285714257</v>
      </c>
      <c r="AC151" s="13">
        <f t="shared" ref="AC151:AJ151" si="124">AVERAGE(AC121,AC123,AC125:AC127,AC129:AC130)</f>
        <v>7.9168128571428591</v>
      </c>
      <c r="AD151" s="13">
        <f t="shared" si="124"/>
        <v>0.37388745540391188</v>
      </c>
      <c r="AE151" s="13">
        <f t="shared" si="124"/>
        <v>0.62611254459608812</v>
      </c>
      <c r="AF151" s="13">
        <f t="shared" si="124"/>
        <v>0.21897981570746</v>
      </c>
      <c r="AG151" s="13">
        <f t="shared" si="124"/>
        <v>8.1674549214256986E-2</v>
      </c>
      <c r="AH151" s="13">
        <f t="shared" si="124"/>
        <v>12.506314285714284</v>
      </c>
      <c r="AI151" s="13">
        <f t="shared" si="124"/>
        <v>35.428571428571431</v>
      </c>
      <c r="AJ151" s="13">
        <f t="shared" si="124"/>
        <v>7.717906961460443</v>
      </c>
      <c r="AM151" s="2"/>
    </row>
    <row r="152" spans="2:41" x14ac:dyDescent="0.35">
      <c r="G152" s="49" t="s">
        <v>94</v>
      </c>
      <c r="H152" s="2">
        <f t="shared" ref="H152:P152" si="125">_xlfn.STDEV.S(H116:H126)</f>
        <v>0.64369148194259906</v>
      </c>
      <c r="I152" s="2">
        <f t="shared" si="125"/>
        <v>2.1072353916783504</v>
      </c>
      <c r="J152" s="2">
        <f t="shared" si="125"/>
        <v>0.11690463513335959</v>
      </c>
      <c r="K152" s="2">
        <f t="shared" si="125"/>
        <v>0.11690463513336036</v>
      </c>
      <c r="L152" s="2">
        <f t="shared" si="125"/>
        <v>5.522212342895523E-2</v>
      </c>
      <c r="M152" s="2">
        <f t="shared" si="125"/>
        <v>1.833472209387621E-2</v>
      </c>
      <c r="N152" s="2">
        <f t="shared" si="125"/>
        <v>1.6412340759396356</v>
      </c>
      <c r="O152" s="2">
        <f t="shared" si="125"/>
        <v>4.7501196157187868</v>
      </c>
      <c r="P152" s="2">
        <f t="shared" si="125"/>
        <v>0.59148959545433288</v>
      </c>
      <c r="X152" s="260"/>
      <c r="Y152" s="104"/>
      <c r="Z152" s="13"/>
      <c r="AA152" s="49" t="s">
        <v>94</v>
      </c>
      <c r="AB152" s="2">
        <f>_xlfn.STDEV.S(AB121,AB123,AB125:AB127,AB129:AB130)</f>
        <v>0.33029098132952328</v>
      </c>
      <c r="AC152" s="2">
        <f t="shared" ref="AC152:AJ152" si="126">_xlfn.STDEV.S(AC121,AC123,AC125:AC127,AC129:AC130)</f>
        <v>2.003596554970704</v>
      </c>
      <c r="AD152" s="2">
        <f t="shared" si="126"/>
        <v>5.6312247858885708E-2</v>
      </c>
      <c r="AE152" s="2">
        <f t="shared" si="126"/>
        <v>5.6312247858886007E-2</v>
      </c>
      <c r="AF152" s="2">
        <f t="shared" si="126"/>
        <v>1.7713737667336894E-2</v>
      </c>
      <c r="AG152" s="2">
        <f t="shared" si="126"/>
        <v>1.2078139891912535E-2</v>
      </c>
      <c r="AH152" s="2">
        <f t="shared" si="126"/>
        <v>2.0792970602975105</v>
      </c>
      <c r="AI152" s="2">
        <f t="shared" si="126"/>
        <v>3.6903993847614407</v>
      </c>
      <c r="AJ152" s="2">
        <f t="shared" si="126"/>
        <v>0.53238801663751889</v>
      </c>
      <c r="AM152" s="2"/>
    </row>
    <row r="153" spans="2:41" x14ac:dyDescent="0.35">
      <c r="G153" s="49" t="s">
        <v>95</v>
      </c>
      <c r="H153" s="2">
        <f t="shared" ref="H153:P153" si="127">H152/(SQRT(COUNT(H116:H126)))</f>
        <v>0.1940802842137663</v>
      </c>
      <c r="I153" s="2">
        <f t="shared" si="127"/>
        <v>0.63535537628678984</v>
      </c>
      <c r="J153" s="2">
        <f t="shared" si="127"/>
        <v>3.5248073726432114E-2</v>
      </c>
      <c r="K153" s="2">
        <f t="shared" si="127"/>
        <v>3.524807372643235E-2</v>
      </c>
      <c r="L153" s="2">
        <f t="shared" si="127"/>
        <v>1.6650096685503515E-2</v>
      </c>
      <c r="M153" s="2">
        <f t="shared" si="127"/>
        <v>5.5281267109842458E-3</v>
      </c>
      <c r="N153" s="2">
        <f t="shared" si="127"/>
        <v>0.49485069300340295</v>
      </c>
      <c r="O153" s="2">
        <f t="shared" si="127"/>
        <v>1.4322149522405814</v>
      </c>
      <c r="P153" s="2">
        <f t="shared" si="127"/>
        <v>0.17834082322919337</v>
      </c>
      <c r="X153" s="260"/>
      <c r="Y153" s="104"/>
      <c r="Z153" s="13"/>
      <c r="AA153" s="49" t="s">
        <v>95</v>
      </c>
      <c r="AB153" s="2">
        <f>AB152/(SQRT(COUNT(AB121,AB123,AB125:AB127,AB129:AB130)))</f>
        <v>0.12483825669791378</v>
      </c>
      <c r="AC153" s="2">
        <f t="shared" ref="AC153:AJ153" si="128">AC152/(SQRT(COUNT(AC121,AC123,AC125:AC127,AC129:AC130)))</f>
        <v>0.75728831602260527</v>
      </c>
      <c r="AD153" s="2">
        <f t="shared" si="128"/>
        <v>2.128402908594872E-2</v>
      </c>
      <c r="AE153" s="2">
        <f t="shared" si="128"/>
        <v>2.1284029085948834E-2</v>
      </c>
      <c r="AF153" s="2">
        <f t="shared" si="128"/>
        <v>6.6951635224586871E-3</v>
      </c>
      <c r="AG153" s="2">
        <f t="shared" si="128"/>
        <v>4.5651077791784454E-3</v>
      </c>
      <c r="AH153" s="2">
        <f t="shared" si="128"/>
        <v>0.78590041762498386</v>
      </c>
      <c r="AI153" s="2">
        <f t="shared" si="128"/>
        <v>1.3948398586549342</v>
      </c>
      <c r="AJ153" s="2">
        <f t="shared" si="128"/>
        <v>0.20122375614482751</v>
      </c>
      <c r="AM153" s="2"/>
    </row>
    <row r="154" spans="2:41" x14ac:dyDescent="0.35">
      <c r="G154" s="49"/>
      <c r="H154" s="2"/>
      <c r="I154" s="2"/>
      <c r="J154" s="2"/>
      <c r="K154" s="2"/>
      <c r="L154" s="2"/>
      <c r="M154" s="2"/>
      <c r="N154" s="2"/>
      <c r="O154" s="2"/>
      <c r="P154" s="2"/>
      <c r="X154" s="260"/>
      <c r="Y154" s="104"/>
      <c r="Z154" s="13"/>
      <c r="AA154" s="49"/>
      <c r="AB154" s="2"/>
      <c r="AC154" s="2"/>
      <c r="AD154" s="2"/>
      <c r="AE154" s="2"/>
      <c r="AF154" s="2"/>
      <c r="AG154" s="2"/>
      <c r="AH154" s="2"/>
      <c r="AI154" s="2"/>
      <c r="AJ154" s="2"/>
      <c r="AM154" s="2"/>
    </row>
    <row r="155" spans="2:41" x14ac:dyDescent="0.35">
      <c r="X155" s="260"/>
      <c r="Y155" s="104"/>
      <c r="Z155" s="13"/>
      <c r="AA155" s="49"/>
      <c r="AB155" s="2"/>
      <c r="AC155" s="2"/>
      <c r="AD155" s="2"/>
      <c r="AE155" s="2"/>
      <c r="AF155" s="2"/>
      <c r="AG155" s="2"/>
      <c r="AH155" s="2"/>
      <c r="AI155" s="2"/>
      <c r="AJ155" s="2"/>
      <c r="AM155" s="2"/>
    </row>
    <row r="156" spans="2:41" ht="16" thickBot="1" x14ac:dyDescent="0.4">
      <c r="E156" s="104" t="s">
        <v>81</v>
      </c>
      <c r="F156" s="13"/>
      <c r="G156" s="13"/>
      <c r="H156" s="9" t="s">
        <v>3</v>
      </c>
      <c r="I156" s="9" t="s">
        <v>4</v>
      </c>
      <c r="J156" s="9" t="s">
        <v>5</v>
      </c>
      <c r="K156" s="9" t="s">
        <v>6</v>
      </c>
      <c r="L156" s="9" t="s">
        <v>7</v>
      </c>
      <c r="M156" s="9" t="s">
        <v>8</v>
      </c>
      <c r="N156" s="9" t="s">
        <v>9</v>
      </c>
      <c r="O156" s="9" t="s">
        <v>10</v>
      </c>
      <c r="P156" s="44" t="s">
        <v>139</v>
      </c>
      <c r="X156" s="260"/>
      <c r="Y156" s="104" t="s">
        <v>82</v>
      </c>
      <c r="Z156" s="13"/>
      <c r="AA156" s="13"/>
      <c r="AB156" s="9" t="s">
        <v>3</v>
      </c>
      <c r="AC156" s="9" t="s">
        <v>4</v>
      </c>
      <c r="AD156" s="9" t="s">
        <v>5</v>
      </c>
      <c r="AE156" s="9" t="s">
        <v>6</v>
      </c>
      <c r="AF156" s="9" t="s">
        <v>7</v>
      </c>
      <c r="AG156" s="9" t="s">
        <v>8</v>
      </c>
      <c r="AH156" s="9" t="s">
        <v>9</v>
      </c>
      <c r="AI156" s="9" t="s">
        <v>10</v>
      </c>
      <c r="AJ156" s="44" t="s">
        <v>139</v>
      </c>
      <c r="AM156" s="2"/>
    </row>
    <row r="157" spans="2:41" x14ac:dyDescent="0.35">
      <c r="E157" s="104"/>
      <c r="F157" s="13"/>
      <c r="G157" s="49" t="s">
        <v>77</v>
      </c>
      <c r="H157" s="13">
        <f>AVERAGE(H126,H124,H122,H120,H118,H116)</f>
        <v>3.0524016666666633</v>
      </c>
      <c r="I157" s="13">
        <f t="shared" ref="I157:P157" si="129">AVERAGE(I126,I124,I122,I120,I118,I116)</f>
        <v>8.1094583333333308</v>
      </c>
      <c r="J157" s="13">
        <f t="shared" si="129"/>
        <v>0.27438053566088133</v>
      </c>
      <c r="K157" s="13">
        <f t="shared" si="129"/>
        <v>0.72561946433911872</v>
      </c>
      <c r="L157" s="13">
        <f t="shared" si="129"/>
        <v>0.33166538182644528</v>
      </c>
      <c r="M157" s="13">
        <f t="shared" si="129"/>
        <v>8.9674861060183131E-2</v>
      </c>
      <c r="N157" s="13">
        <f t="shared" si="129"/>
        <v>11.161859999999995</v>
      </c>
      <c r="O157" s="13">
        <f t="shared" si="129"/>
        <v>23.333333333333332</v>
      </c>
      <c r="P157" s="13">
        <f t="shared" si="129"/>
        <v>7.692753123487047</v>
      </c>
      <c r="X157" s="260"/>
      <c r="Y157" s="104"/>
      <c r="Z157" s="13"/>
      <c r="AA157" s="49" t="s">
        <v>77</v>
      </c>
      <c r="AB157" s="13">
        <f>AVERAGE(AB122,AB124,AB128,AB120)</f>
        <v>4.3596449999999995</v>
      </c>
      <c r="AC157" s="13">
        <f t="shared" ref="AC157:AJ157" si="130">AVERAGE(AC122,AC124,AC128,AC120)</f>
        <v>4.0519024999999997</v>
      </c>
      <c r="AD157" s="13">
        <f t="shared" si="130"/>
        <v>0.52043569674407175</v>
      </c>
      <c r="AE157" s="13">
        <f t="shared" si="130"/>
        <v>0.47956430325592814</v>
      </c>
      <c r="AF157" s="13">
        <f t="shared" si="130"/>
        <v>0.23017694818613518</v>
      </c>
      <c r="AG157" s="13">
        <f t="shared" si="130"/>
        <v>0.11931851319268037</v>
      </c>
      <c r="AH157" s="13">
        <f t="shared" si="130"/>
        <v>8.4115474999999993</v>
      </c>
      <c r="AI157" s="13">
        <f t="shared" si="130"/>
        <v>36.25</v>
      </c>
      <c r="AJ157" s="13">
        <f t="shared" si="130"/>
        <v>8.3394901369026808</v>
      </c>
      <c r="AM157" s="2"/>
    </row>
    <row r="158" spans="2:41" x14ac:dyDescent="0.35">
      <c r="E158" s="104"/>
      <c r="F158" s="13"/>
      <c r="G158" s="49" t="s">
        <v>94</v>
      </c>
      <c r="H158" s="2">
        <f>_xlfn.STDEV.S(H126,H124,H122,H120,H118,H116)</f>
        <v>0.37246847004366224</v>
      </c>
      <c r="I158" s="2">
        <f t="shared" ref="I158:P158" si="131">_xlfn.STDEV.S(I126,I124,I122,I120,I118,I116)</f>
        <v>0.69365681916684918</v>
      </c>
      <c r="J158" s="2">
        <f t="shared" si="131"/>
        <v>4.0047657621744968E-2</v>
      </c>
      <c r="K158" s="2">
        <f t="shared" si="131"/>
        <v>4.0047657621744809E-2</v>
      </c>
      <c r="L158" s="2">
        <f t="shared" si="131"/>
        <v>3.9951715568241605E-2</v>
      </c>
      <c r="M158" s="2">
        <f t="shared" si="131"/>
        <v>2.9857400258403526E-3</v>
      </c>
      <c r="N158" s="2">
        <f t="shared" si="131"/>
        <v>0.37713528782123534</v>
      </c>
      <c r="O158" s="2">
        <f t="shared" si="131"/>
        <v>1.7511900715418265</v>
      </c>
      <c r="P158" s="2">
        <f t="shared" si="131"/>
        <v>0.59581825141433464</v>
      </c>
      <c r="X158" s="260"/>
      <c r="Y158" s="104"/>
      <c r="Z158" s="13"/>
      <c r="AA158" s="49" t="s">
        <v>94</v>
      </c>
      <c r="AB158" s="2">
        <f>_xlfn.STDEV.S(AB122,AB124,AB128,AB120)</f>
        <v>0.29680081249888601</v>
      </c>
      <c r="AC158" s="2">
        <f t="shared" ref="AC158:AJ158" si="132">_xlfn.STDEV.S(AC122,AC124,AC128,AC120)</f>
        <v>0.69469143900367636</v>
      </c>
      <c r="AD158" s="2">
        <f t="shared" si="132"/>
        <v>5.3683628949127281E-2</v>
      </c>
      <c r="AE158" s="2">
        <f t="shared" si="132"/>
        <v>5.3683628949127288E-2</v>
      </c>
      <c r="AF158" s="2">
        <f t="shared" si="132"/>
        <v>1.5677612398032795E-2</v>
      </c>
      <c r="AG158" s="2">
        <f t="shared" si="132"/>
        <v>8.301709724670793E-3</v>
      </c>
      <c r="AH158" s="2">
        <f t="shared" si="132"/>
        <v>0.58682537438747662</v>
      </c>
      <c r="AI158" s="2">
        <f t="shared" si="132"/>
        <v>1.707825127659933</v>
      </c>
      <c r="AJ158" s="2">
        <f t="shared" si="132"/>
        <v>0.62667074292075164</v>
      </c>
      <c r="AM158" s="2"/>
    </row>
    <row r="159" spans="2:41" s="2" customFormat="1" x14ac:dyDescent="0.35">
      <c r="B159"/>
      <c r="C159"/>
      <c r="D159"/>
      <c r="E159" s="104"/>
      <c r="F159" s="13"/>
      <c r="G159" s="49" t="s">
        <v>95</v>
      </c>
      <c r="H159" s="2">
        <f>H158/(SQRT(COUNT(H126,H124,H122,H120,H118,H116)))</f>
        <v>0.15205961614701569</v>
      </c>
      <c r="I159" s="2">
        <f t="shared" ref="I159:P159" si="133">I158/(SQRT(COUNT(I126,I124,I122,I120,I118,I116)))</f>
        <v>0.28318421059346716</v>
      </c>
      <c r="J159" s="2">
        <f t="shared" si="133"/>
        <v>1.6349387761159479E-2</v>
      </c>
      <c r="K159" s="2">
        <f t="shared" si="133"/>
        <v>1.6349387761159413E-2</v>
      </c>
      <c r="L159" s="2">
        <f t="shared" si="133"/>
        <v>1.6310219581833138E-2</v>
      </c>
      <c r="M159" s="2">
        <f t="shared" si="133"/>
        <v>1.2189232613188542E-3</v>
      </c>
      <c r="N159" s="2">
        <f t="shared" si="133"/>
        <v>0.15396483652661627</v>
      </c>
      <c r="O159" s="2">
        <f t="shared" si="133"/>
        <v>0.71492035298424073</v>
      </c>
      <c r="P159" s="2">
        <f t="shared" si="133"/>
        <v>0.24324178256707027</v>
      </c>
      <c r="Q159"/>
      <c r="R159"/>
      <c r="S159"/>
      <c r="T159"/>
      <c r="U159"/>
      <c r="V159"/>
      <c r="W159"/>
      <c r="X159" s="260"/>
      <c r="Y159" s="104"/>
      <c r="Z159" s="13"/>
      <c r="AA159" s="49" t="s">
        <v>95</v>
      </c>
      <c r="AB159" s="2">
        <f>AB158/(SQRT(COUNT(AB122,AB124,AB128,AB120)))</f>
        <v>0.14840040624944301</v>
      </c>
      <c r="AC159" s="2">
        <f t="shared" ref="AC159:AJ159" si="134">AC158/(SQRT(COUNT(AC122,AC124,AC128,AC120)))</f>
        <v>0.34734571950183818</v>
      </c>
      <c r="AD159" s="2">
        <f t="shared" si="134"/>
        <v>2.684181447456364E-2</v>
      </c>
      <c r="AE159" s="2">
        <f t="shared" si="134"/>
        <v>2.6841814474563644E-2</v>
      </c>
      <c r="AF159" s="2">
        <f t="shared" si="134"/>
        <v>7.8388061990163974E-3</v>
      </c>
      <c r="AG159" s="2">
        <f t="shared" si="134"/>
        <v>4.1508548623353965E-3</v>
      </c>
      <c r="AH159" s="2">
        <f t="shared" si="134"/>
        <v>0.29341268719373831</v>
      </c>
      <c r="AI159" s="2">
        <f t="shared" si="134"/>
        <v>0.8539125638299665</v>
      </c>
      <c r="AJ159" s="2">
        <f t="shared" si="134"/>
        <v>0.31333537146037582</v>
      </c>
      <c r="AK159"/>
      <c r="AL159"/>
      <c r="AN159"/>
      <c r="AO159"/>
    </row>
    <row r="160" spans="2:41" s="2" customFormat="1" x14ac:dyDescent="0.35">
      <c r="B160"/>
      <c r="C160"/>
      <c r="D160"/>
      <c r="E160" s="104"/>
      <c r="F160" s="13"/>
      <c r="G160" s="49"/>
      <c r="Q160"/>
      <c r="R160"/>
      <c r="S160"/>
      <c r="T160"/>
      <c r="U160"/>
      <c r="V160"/>
      <c r="W160"/>
      <c r="X160" s="260"/>
      <c r="Y160" s="104"/>
      <c r="Z160" s="13"/>
      <c r="AA160" s="49"/>
      <c r="AK160"/>
      <c r="AL160"/>
      <c r="AN160"/>
      <c r="AO160"/>
    </row>
    <row r="161" spans="2:41" s="2" customFormat="1" x14ac:dyDescent="0.35">
      <c r="B161"/>
      <c r="C161"/>
      <c r="D161"/>
      <c r="E161" s="104"/>
      <c r="F161" s="13"/>
      <c r="G161" s="49"/>
      <c r="Q161"/>
      <c r="R161"/>
      <c r="S161"/>
      <c r="T161"/>
      <c r="U161"/>
      <c r="V161"/>
      <c r="W161"/>
      <c r="X161" s="155"/>
      <c r="Y161"/>
      <c r="Z161"/>
      <c r="AA161"/>
      <c r="AJ161"/>
      <c r="AK161"/>
      <c r="AL161"/>
      <c r="AN161"/>
      <c r="AO161"/>
    </row>
    <row r="162" spans="2:41" s="2" customFormat="1" ht="16" thickBot="1" x14ac:dyDescent="0.4">
      <c r="B162"/>
      <c r="C162"/>
      <c r="D162"/>
      <c r="E162" s="104" t="s">
        <v>82</v>
      </c>
      <c r="F162" s="13"/>
      <c r="G162" s="13"/>
      <c r="H162" s="9" t="s">
        <v>3</v>
      </c>
      <c r="I162" s="9" t="s">
        <v>4</v>
      </c>
      <c r="J162" s="9" t="s">
        <v>5</v>
      </c>
      <c r="K162" s="9" t="s">
        <v>6</v>
      </c>
      <c r="L162" s="9" t="s">
        <v>7</v>
      </c>
      <c r="M162" s="9" t="s">
        <v>8</v>
      </c>
      <c r="N162" s="9" t="s">
        <v>9</v>
      </c>
      <c r="O162" s="9" t="s">
        <v>10</v>
      </c>
      <c r="P162" s="44" t="s">
        <v>139</v>
      </c>
      <c r="Q162"/>
      <c r="R162"/>
      <c r="S162"/>
      <c r="T162"/>
      <c r="U162"/>
      <c r="V162"/>
      <c r="W162"/>
      <c r="X162"/>
      <c r="Y162"/>
      <c r="Z162"/>
      <c r="AA162"/>
      <c r="AB162"/>
      <c r="AC162"/>
      <c r="AD162"/>
      <c r="AE162"/>
      <c r="AF162"/>
      <c r="AG162"/>
      <c r="AH162"/>
      <c r="AI162"/>
      <c r="AJ162"/>
      <c r="AK162"/>
      <c r="AL162"/>
      <c r="AN162"/>
      <c r="AO162"/>
    </row>
    <row r="163" spans="2:41" s="2" customFormat="1" ht="16" thickBot="1" x14ac:dyDescent="0.4">
      <c r="B163"/>
      <c r="C163"/>
      <c r="D163"/>
      <c r="E163" s="104"/>
      <c r="F163" s="13"/>
      <c r="G163" s="49" t="s">
        <v>77</v>
      </c>
      <c r="H163" s="13">
        <f>AVERAGE(H125,H123,H121,H119,H117)</f>
        <v>3.8814100000000051</v>
      </c>
      <c r="I163" s="13">
        <f t="shared" ref="I163:P163" si="135">AVERAGE(I125,I123,I121,I119,I117)</f>
        <v>4.2124540000000028</v>
      </c>
      <c r="J163" s="13">
        <f t="shared" si="135"/>
        <v>0.47787186015620409</v>
      </c>
      <c r="K163" s="13">
        <f t="shared" si="135"/>
        <v>0.52212813984379591</v>
      </c>
      <c r="L163" s="13">
        <f t="shared" si="135"/>
        <v>0.26409233704721613</v>
      </c>
      <c r="M163" s="13">
        <f t="shared" si="135"/>
        <v>0.12377280466450588</v>
      </c>
      <c r="N163" s="13">
        <f t="shared" si="135"/>
        <v>8.0938640000000071</v>
      </c>
      <c r="O163" s="13">
        <f t="shared" si="135"/>
        <v>31</v>
      </c>
      <c r="P163" s="13">
        <f t="shared" si="135"/>
        <v>8.0535625442155112</v>
      </c>
      <c r="Q163"/>
      <c r="R163"/>
      <c r="S163"/>
      <c r="T163"/>
      <c r="U163"/>
      <c r="V163"/>
      <c r="W163"/>
      <c r="X163"/>
      <c r="Y163"/>
      <c r="Z163" s="13"/>
      <c r="AA163" s="13"/>
      <c r="AB163" s="9" t="s">
        <v>3</v>
      </c>
      <c r="AC163" s="9" t="s">
        <v>4</v>
      </c>
      <c r="AD163" s="9" t="s">
        <v>5</v>
      </c>
      <c r="AE163" s="9" t="s">
        <v>6</v>
      </c>
      <c r="AF163" s="9" t="s">
        <v>7</v>
      </c>
      <c r="AG163" s="9" t="s">
        <v>8</v>
      </c>
      <c r="AH163" s="9" t="s">
        <v>9</v>
      </c>
      <c r="AI163" s="9" t="s">
        <v>10</v>
      </c>
      <c r="AJ163" s="44" t="s">
        <v>139</v>
      </c>
      <c r="AK163"/>
      <c r="AL163"/>
      <c r="AN163"/>
      <c r="AO163"/>
    </row>
    <row r="164" spans="2:41" s="2" customFormat="1" x14ac:dyDescent="0.35">
      <c r="B164"/>
      <c r="C164"/>
      <c r="D164"/>
      <c r="E164" s="104"/>
      <c r="F164" s="13"/>
      <c r="G164" s="49" t="s">
        <v>94</v>
      </c>
      <c r="H164" s="2">
        <f>_xlfn.STDEV.S(H125,H123,H121,H119,H117)</f>
        <v>0.62757312621718198</v>
      </c>
      <c r="I164" s="2">
        <f t="shared" ref="I164:P164" si="136">_xlfn.STDEV.S(I125,I123,I121,I119,I117)</f>
        <v>0.38095091190335273</v>
      </c>
      <c r="J164" s="2">
        <f t="shared" si="136"/>
        <v>6.267972630089988E-2</v>
      </c>
      <c r="K164" s="2">
        <f t="shared" si="136"/>
        <v>6.2679726300898991E-2</v>
      </c>
      <c r="L164" s="2">
        <f t="shared" si="136"/>
        <v>5.0152483988994266E-2</v>
      </c>
      <c r="M164" s="2">
        <f t="shared" si="136"/>
        <v>6.0442039002284636E-3</v>
      </c>
      <c r="N164" s="2">
        <f t="shared" si="136"/>
        <v>0.37236138512202971</v>
      </c>
      <c r="O164" s="2">
        <f t="shared" si="136"/>
        <v>3.5355339059327378</v>
      </c>
      <c r="P164" s="2">
        <f t="shared" si="136"/>
        <v>0.58492664742672307</v>
      </c>
      <c r="Q164"/>
      <c r="R164"/>
      <c r="S164"/>
      <c r="T164"/>
      <c r="U164"/>
      <c r="V164"/>
      <c r="W164"/>
      <c r="X164"/>
      <c r="Y164" s="104" t="s">
        <v>410</v>
      </c>
      <c r="Z164" s="13"/>
      <c r="AA164" s="49" t="s">
        <v>77</v>
      </c>
      <c r="AB164" s="13">
        <f t="shared" ref="AB164:AJ164" si="137">AVERAGE(AB131:AB140)</f>
        <v>4.2237000000000027</v>
      </c>
      <c r="AC164" s="13">
        <f t="shared" si="137"/>
        <v>6.3164539999999985</v>
      </c>
      <c r="AD164" s="13">
        <f t="shared" si="137"/>
        <v>0.41865261982328195</v>
      </c>
      <c r="AE164" s="13">
        <f t="shared" si="137"/>
        <v>0.58134738017671816</v>
      </c>
      <c r="AF164" s="13">
        <f t="shared" si="137"/>
        <v>0.24151303671181665</v>
      </c>
      <c r="AG164" s="13">
        <f t="shared" si="137"/>
        <v>9.8864462054096075E-2</v>
      </c>
      <c r="AH164" s="13">
        <f t="shared" si="137"/>
        <v>10.540154000000001</v>
      </c>
      <c r="AI164" s="13">
        <f t="shared" si="137"/>
        <v>35.4</v>
      </c>
      <c r="AJ164" s="13">
        <f t="shared" si="137"/>
        <v>8.4018675236792131</v>
      </c>
      <c r="AK164"/>
      <c r="AL164"/>
      <c r="AN164"/>
      <c r="AO164"/>
    </row>
    <row r="165" spans="2:41" s="2" customFormat="1" x14ac:dyDescent="0.35">
      <c r="B165"/>
      <c r="C165"/>
      <c r="D165"/>
      <c r="E165" s="104"/>
      <c r="F165" s="13"/>
      <c r="G165" s="49" t="s">
        <v>95</v>
      </c>
      <c r="H165" s="2">
        <f>H164/(SQRT(COUNT(H125,H123,H121,H119,H117)))</f>
        <v>0.28065923421473488</v>
      </c>
      <c r="I165" s="2">
        <f t="shared" ref="I165:P165" si="138">I164/(SQRT(COUNT(I125,I123,I121,I119,I117)))</f>
        <v>0.1703664270212861</v>
      </c>
      <c r="J165" s="2">
        <f t="shared" si="138"/>
        <v>2.8031225763978714E-2</v>
      </c>
      <c r="K165" s="2">
        <f t="shared" si="138"/>
        <v>2.8031225763978315E-2</v>
      </c>
      <c r="L165" s="2">
        <f t="shared" si="138"/>
        <v>2.2428872687972199E-2</v>
      </c>
      <c r="M165" s="2">
        <f t="shared" si="138"/>
        <v>2.7030501581560402E-3</v>
      </c>
      <c r="N165" s="2">
        <f t="shared" si="138"/>
        <v>0.16652507386576745</v>
      </c>
      <c r="O165" s="2">
        <f t="shared" si="138"/>
        <v>1.5811388300841895</v>
      </c>
      <c r="P165" s="2">
        <f t="shared" si="138"/>
        <v>0.26158714909944103</v>
      </c>
      <c r="Q165"/>
      <c r="R165"/>
      <c r="S165"/>
      <c r="T165"/>
      <c r="U165"/>
      <c r="V165"/>
      <c r="W165"/>
      <c r="X165"/>
      <c r="Y165" s="104"/>
      <c r="Z165" s="13"/>
      <c r="AA165" s="49" t="s">
        <v>94</v>
      </c>
      <c r="AB165" s="2">
        <f t="shared" ref="AB165:AJ165" si="139">_xlfn.STDEV.S(AB131:AB140)</f>
        <v>0.59045608164837537</v>
      </c>
      <c r="AC165" s="2">
        <f t="shared" si="139"/>
        <v>2.4349579558505705</v>
      </c>
      <c r="AD165" s="2">
        <f t="shared" si="139"/>
        <v>0.10830611556334509</v>
      </c>
      <c r="AE165" s="2">
        <f t="shared" si="139"/>
        <v>0.10830611556334452</v>
      </c>
      <c r="AF165" s="2">
        <f t="shared" si="139"/>
        <v>3.8281750372148364E-2</v>
      </c>
      <c r="AG165" s="2">
        <f t="shared" si="139"/>
        <v>2.0314805351332395E-2</v>
      </c>
      <c r="AH165" s="2">
        <f t="shared" si="139"/>
        <v>2.3390820388405937</v>
      </c>
      <c r="AI165" s="2">
        <f t="shared" si="139"/>
        <v>4.8120219820316192</v>
      </c>
      <c r="AJ165" s="2">
        <f t="shared" si="139"/>
        <v>0.51885236819412539</v>
      </c>
      <c r="AK165"/>
      <c r="AL165"/>
      <c r="AN165"/>
      <c r="AO165"/>
    </row>
    <row r="166" spans="2:41" s="2" customFormat="1" x14ac:dyDescent="0.35">
      <c r="B166"/>
      <c r="C166"/>
      <c r="D166"/>
      <c r="E166" s="104"/>
      <c r="F166" s="13"/>
      <c r="G166" s="49"/>
      <c r="Q166"/>
      <c r="R166"/>
      <c r="S166"/>
      <c r="T166"/>
      <c r="U166"/>
      <c r="V166"/>
      <c r="W166"/>
      <c r="X166"/>
      <c r="Y166" s="104"/>
      <c r="Z166" s="13"/>
      <c r="AA166" s="49" t="s">
        <v>95</v>
      </c>
      <c r="AB166" s="2">
        <f t="shared" ref="AB166:AJ166" si="140">AB165/(SQRT(COUNT(AB131:AB140)))</f>
        <v>0.1867186076307214</v>
      </c>
      <c r="AC166" s="2">
        <f t="shared" si="140"/>
        <v>0.77000131472355215</v>
      </c>
      <c r="AD166" s="2">
        <f t="shared" si="140"/>
        <v>3.4249400970558098E-2</v>
      </c>
      <c r="AE166" s="2">
        <f t="shared" si="140"/>
        <v>3.4249400970557918E-2</v>
      </c>
      <c r="AF166" s="2">
        <f t="shared" si="140"/>
        <v>1.210575239939873E-2</v>
      </c>
      <c r="AG166" s="2">
        <f t="shared" si="140"/>
        <v>6.4241055133187472E-3</v>
      </c>
      <c r="AH166" s="2">
        <f t="shared" si="140"/>
        <v>0.73968268767267142</v>
      </c>
      <c r="AI166" s="2">
        <f t="shared" si="140"/>
        <v>1.5216949614017754</v>
      </c>
      <c r="AJ166" s="2">
        <f t="shared" si="140"/>
        <v>0.16407552528657413</v>
      </c>
      <c r="AK166"/>
      <c r="AL166"/>
      <c r="AN166"/>
      <c r="AO166"/>
    </row>
    <row r="167" spans="2:41" s="2" customFormat="1" x14ac:dyDescent="0.35">
      <c r="B167"/>
      <c r="C167"/>
      <c r="D167"/>
      <c r="E167" s="104"/>
      <c r="F167" s="13"/>
      <c r="G167" s="49"/>
      <c r="Q167"/>
      <c r="R167"/>
      <c r="S167"/>
      <c r="T167"/>
      <c r="U167"/>
      <c r="V167"/>
      <c r="W167"/>
      <c r="X167"/>
      <c r="Y167" s="104"/>
      <c r="Z167" s="13"/>
      <c r="AA167" s="49"/>
      <c r="AK167"/>
      <c r="AL167"/>
      <c r="AN167"/>
      <c r="AO167"/>
    </row>
    <row r="168" spans="2:41" s="2" customFormat="1" x14ac:dyDescent="0.35">
      <c r="B168"/>
      <c r="C168"/>
      <c r="D168"/>
      <c r="E168" s="104"/>
      <c r="F168" s="13"/>
      <c r="G168" s="49"/>
      <c r="Q168"/>
      <c r="R168"/>
      <c r="S168"/>
      <c r="T168"/>
      <c r="U168"/>
      <c r="V168"/>
      <c r="W168"/>
      <c r="X168"/>
      <c r="Y168" s="104"/>
      <c r="Z168" s="13"/>
      <c r="AA168" s="49"/>
      <c r="AK168"/>
      <c r="AL168"/>
      <c r="AN168"/>
      <c r="AO168"/>
    </row>
    <row r="169" spans="2:41" s="2" customFormat="1" ht="16" thickBot="1" x14ac:dyDescent="0.4">
      <c r="B169"/>
      <c r="C169"/>
      <c r="D169"/>
      <c r="E169"/>
      <c r="F169"/>
      <c r="G169"/>
      <c r="H169"/>
      <c r="I169"/>
      <c r="J169"/>
      <c r="K169"/>
      <c r="L169"/>
      <c r="M169"/>
      <c r="N169"/>
      <c r="O169"/>
      <c r="P169"/>
      <c r="Q169"/>
      <c r="R169"/>
      <c r="S169"/>
      <c r="T169"/>
      <c r="U169"/>
      <c r="V169"/>
      <c r="W169"/>
      <c r="X169"/>
      <c r="Y169" s="104" t="s">
        <v>81</v>
      </c>
      <c r="Z169" s="13"/>
      <c r="AA169" s="13"/>
      <c r="AB169" s="9" t="s">
        <v>3</v>
      </c>
      <c r="AC169" s="9" t="s">
        <v>4</v>
      </c>
      <c r="AD169" s="9" t="s">
        <v>5</v>
      </c>
      <c r="AE169" s="9" t="s">
        <v>6</v>
      </c>
      <c r="AF169" s="9" t="s">
        <v>7</v>
      </c>
      <c r="AG169" s="9" t="s">
        <v>8</v>
      </c>
      <c r="AH169" s="9" t="s">
        <v>9</v>
      </c>
      <c r="AI169" s="9" t="s">
        <v>10</v>
      </c>
      <c r="AJ169" s="44" t="s">
        <v>139</v>
      </c>
      <c r="AK169"/>
      <c r="AL169"/>
      <c r="AN169"/>
      <c r="AO169"/>
    </row>
    <row r="170" spans="2:41" s="2" customFormat="1" ht="18.5" x14ac:dyDescent="0.45">
      <c r="B170"/>
      <c r="C170"/>
      <c r="D170"/>
      <c r="E170"/>
      <c r="F170" s="1" t="s">
        <v>405</v>
      </c>
      <c r="G170" s="3"/>
      <c r="H170" s="3"/>
      <c r="I170" s="3"/>
      <c r="J170" s="3"/>
      <c r="K170" s="3"/>
      <c r="L170" s="3"/>
      <c r="M170" s="3"/>
      <c r="N170" s="3"/>
      <c r="O170" s="3"/>
      <c r="P170"/>
      <c r="Q170"/>
      <c r="R170"/>
      <c r="S170"/>
      <c r="T170"/>
      <c r="U170"/>
      <c r="V170"/>
      <c r="W170"/>
      <c r="X170"/>
      <c r="Y170" s="104"/>
      <c r="Z170" s="13"/>
      <c r="AA170" s="49" t="s">
        <v>77</v>
      </c>
      <c r="AB170" s="13">
        <f>AVERAGE(AB132,AB134,AB136,AB138:AB139)</f>
        <v>4.0090160000000026</v>
      </c>
      <c r="AC170" s="13">
        <f t="shared" ref="AC170:AJ170" si="141">AVERAGE(AC132,AC134,AC136,AC138:AC139)</f>
        <v>8.4918399999999963</v>
      </c>
      <c r="AD170" s="13">
        <f t="shared" si="141"/>
        <v>0.32101153298744989</v>
      </c>
      <c r="AE170" s="13">
        <f t="shared" si="141"/>
        <v>0.67898846701255011</v>
      </c>
      <c r="AF170" s="13">
        <f t="shared" si="141"/>
        <v>0.25581481078621005</v>
      </c>
      <c r="AG170" s="13">
        <f t="shared" si="141"/>
        <v>8.0888762269657993E-2</v>
      </c>
      <c r="AH170" s="13">
        <f t="shared" si="141"/>
        <v>12.500855999999999</v>
      </c>
      <c r="AI170" s="13">
        <f t="shared" si="141"/>
        <v>32.4</v>
      </c>
      <c r="AJ170" s="13">
        <f t="shared" si="141"/>
        <v>8.126340154039065</v>
      </c>
      <c r="AK170"/>
      <c r="AL170"/>
      <c r="AN170"/>
      <c r="AO170"/>
    </row>
    <row r="171" spans="2:41" s="2" customFormat="1" ht="16" thickBot="1" x14ac:dyDescent="0.4">
      <c r="B171"/>
      <c r="C171" s="204" t="s">
        <v>122</v>
      </c>
      <c r="D171" s="204" t="s">
        <v>406</v>
      </c>
      <c r="E171"/>
      <c r="F171" s="9" t="s">
        <v>1</v>
      </c>
      <c r="G171" s="9" t="s">
        <v>2</v>
      </c>
      <c r="H171" s="9" t="s">
        <v>3</v>
      </c>
      <c r="I171" s="9" t="s">
        <v>4</v>
      </c>
      <c r="J171" s="9" t="s">
        <v>5</v>
      </c>
      <c r="K171" s="9" t="s">
        <v>6</v>
      </c>
      <c r="L171" s="9" t="s">
        <v>7</v>
      </c>
      <c r="M171" s="9" t="s">
        <v>8</v>
      </c>
      <c r="N171" s="9" t="s">
        <v>9</v>
      </c>
      <c r="O171" s="9" t="s">
        <v>10</v>
      </c>
      <c r="P171" s="44" t="s">
        <v>139</v>
      </c>
      <c r="Q171"/>
      <c r="R171" s="44" t="s">
        <v>138</v>
      </c>
      <c r="S171"/>
      <c r="T171"/>
      <c r="U171"/>
      <c r="V171"/>
      <c r="W171"/>
      <c r="X171"/>
      <c r="Y171" s="104"/>
      <c r="Z171" s="13"/>
      <c r="AA171" s="49" t="s">
        <v>94</v>
      </c>
      <c r="AB171" s="2">
        <f>_xlfn.STDEV.S(AB132,AB134,AB136,AB138:AB139)</f>
        <v>0.68379536502523763</v>
      </c>
      <c r="AC171" s="2">
        <f t="shared" ref="AC171:AJ171" si="142">_xlfn.STDEV.S(AC132,AC134,AC136,AC138:AC139)</f>
        <v>1.2261698380526278</v>
      </c>
      <c r="AD171" s="2">
        <f t="shared" si="142"/>
        <v>4.384426822955409E-2</v>
      </c>
      <c r="AE171" s="2">
        <f t="shared" si="142"/>
        <v>4.3844268229554111E-2</v>
      </c>
      <c r="AF171" s="2">
        <f t="shared" si="142"/>
        <v>4.7239762766286393E-2</v>
      </c>
      <c r="AG171" s="2">
        <f t="shared" si="142"/>
        <v>8.8859541901229987E-3</v>
      </c>
      <c r="AH171" s="2">
        <f t="shared" si="142"/>
        <v>1.5746632419441282</v>
      </c>
      <c r="AI171" s="2">
        <f t="shared" si="142"/>
        <v>4.6151923036857259</v>
      </c>
      <c r="AJ171" s="2">
        <f t="shared" si="142"/>
        <v>0.47940020925892596</v>
      </c>
      <c r="AK171"/>
      <c r="AL171"/>
      <c r="AN171"/>
      <c r="AO171"/>
    </row>
    <row r="172" spans="2:41" s="2" customFormat="1" x14ac:dyDescent="0.35">
      <c r="B172"/>
      <c r="C172" s="258" t="s">
        <v>541</v>
      </c>
      <c r="D172" s="155">
        <v>6</v>
      </c>
      <c r="E172"/>
      <c r="F172" s="2">
        <v>11.93317</v>
      </c>
      <c r="G172" s="2">
        <v>15.965339999999999</v>
      </c>
      <c r="H172" s="2">
        <f t="shared" ref="H172:H191" si="143">G172-F172</f>
        <v>4.0321699999999989</v>
      </c>
      <c r="I172" s="2">
        <f t="shared" ref="I172:I190" si="144">F173-G172</f>
        <v>10.305170000000002</v>
      </c>
      <c r="J172" s="2">
        <f>H172/N172</f>
        <v>0.2812355708939035</v>
      </c>
      <c r="K172" s="2">
        <f>I172/N172</f>
        <v>0.7187644291060965</v>
      </c>
      <c r="L172" s="2">
        <f>1/H172</f>
        <v>0.24800541643829507</v>
      </c>
      <c r="M172" s="2">
        <f>1/N172</f>
        <v>6.9747944876804205E-2</v>
      </c>
      <c r="N172" s="2">
        <f>H172+I172</f>
        <v>14.337340000000001</v>
      </c>
      <c r="O172" s="2">
        <v>30</v>
      </c>
      <c r="P172">
        <f>O172/H172</f>
        <v>7.4401624931488524</v>
      </c>
      <c r="Q172"/>
      <c r="R172" t="s">
        <v>478</v>
      </c>
      <c r="S172"/>
      <c r="T172"/>
      <c r="U172"/>
      <c r="V172"/>
      <c r="W172"/>
      <c r="X172"/>
      <c r="Y172" s="104"/>
      <c r="Z172" s="13"/>
      <c r="AA172" s="49" t="s">
        <v>95</v>
      </c>
      <c r="AB172" s="2">
        <f>AB171/(SQRT(COUNT(AB132,AB134,AB136,AB138:AB139)))</f>
        <v>0.30580258377914271</v>
      </c>
      <c r="AC172" s="2">
        <f t="shared" ref="AC172:AJ172" si="145">AC171/(SQRT(COUNT(AC132,AC134,AC136,AC138:AC139)))</f>
        <v>0.54835982196911681</v>
      </c>
      <c r="AD172" s="2">
        <f t="shared" si="145"/>
        <v>1.9607752837003459E-2</v>
      </c>
      <c r="AE172" s="2">
        <f t="shared" si="145"/>
        <v>1.9607752837003469E-2</v>
      </c>
      <c r="AF172" s="2">
        <f t="shared" si="145"/>
        <v>2.1126264157275976E-2</v>
      </c>
      <c r="AG172" s="2">
        <f t="shared" si="145"/>
        <v>3.9739195228128228E-3</v>
      </c>
      <c r="AH172" s="2">
        <f t="shared" si="145"/>
        <v>0.7042108101314537</v>
      </c>
      <c r="AI172" s="2">
        <f t="shared" si="145"/>
        <v>2.0639767440550272</v>
      </c>
      <c r="AJ172" s="2">
        <f t="shared" si="145"/>
        <v>0.2143942912661165</v>
      </c>
      <c r="AK172"/>
      <c r="AL172"/>
      <c r="AN172"/>
      <c r="AO172"/>
    </row>
    <row r="173" spans="2:41" s="2" customFormat="1" x14ac:dyDescent="0.35">
      <c r="B173"/>
      <c r="C173"/>
      <c r="D173" s="155">
        <v>6</v>
      </c>
      <c r="E173"/>
      <c r="F173" s="2">
        <v>26.270510000000002</v>
      </c>
      <c r="G173" s="2">
        <v>29.895779999999998</v>
      </c>
      <c r="H173" s="2">
        <f t="shared" si="143"/>
        <v>3.6252699999999969</v>
      </c>
      <c r="I173" s="2">
        <f t="shared" si="144"/>
        <v>4.169439999999998</v>
      </c>
      <c r="J173" s="2">
        <f t="shared" ref="J173:J190" si="146">H173/N173</f>
        <v>0.46509363401589016</v>
      </c>
      <c r="K173" s="2">
        <f t="shared" ref="K173:K190" si="147">I173/N173</f>
        <v>0.53490636598410979</v>
      </c>
      <c r="L173" s="2">
        <f t="shared" ref="L173:L190" si="148">1/H173</f>
        <v>0.27584152352790298</v>
      </c>
      <c r="M173" s="2">
        <f t="shared" ref="M173:M190" si="149">1/N173</f>
        <v>0.12829213659007208</v>
      </c>
      <c r="N173" s="2">
        <f t="shared" ref="N173:N190" si="150">H173+I173</f>
        <v>7.7947099999999949</v>
      </c>
      <c r="O173" s="2">
        <v>24</v>
      </c>
      <c r="P173">
        <f t="shared" ref="P173:P190" si="151">O173/H173</f>
        <v>6.6201965646696719</v>
      </c>
      <c r="Q173"/>
      <c r="R173"/>
      <c r="S173"/>
      <c r="T173"/>
      <c r="U173"/>
      <c r="V173"/>
      <c r="W173"/>
      <c r="X173"/>
      <c r="Y173" s="104"/>
      <c r="Z173" s="13"/>
      <c r="AA173" s="49"/>
      <c r="AK173"/>
      <c r="AL173"/>
      <c r="AN173"/>
      <c r="AO173"/>
    </row>
    <row r="174" spans="2:41" s="2" customFormat="1" x14ac:dyDescent="0.35">
      <c r="B174"/>
      <c r="C174" s="258" t="s">
        <v>541</v>
      </c>
      <c r="D174" s="155">
        <v>6</v>
      </c>
      <c r="E174"/>
      <c r="F174" s="13">
        <v>34.065219999999997</v>
      </c>
      <c r="G174" s="2">
        <v>37.923470000000002</v>
      </c>
      <c r="H174" s="2">
        <f t="shared" si="143"/>
        <v>3.8582500000000053</v>
      </c>
      <c r="I174" s="2">
        <f t="shared" si="144"/>
        <v>8.6319099999999978</v>
      </c>
      <c r="J174" s="2">
        <f t="shared" si="146"/>
        <v>0.30890316857430206</v>
      </c>
      <c r="K174" s="2">
        <f t="shared" si="147"/>
        <v>0.691096831425698</v>
      </c>
      <c r="L174" s="2">
        <f t="shared" si="148"/>
        <v>0.2591848636039652</v>
      </c>
      <c r="M174" s="2">
        <f t="shared" si="149"/>
        <v>8.0063025613763134E-2</v>
      </c>
      <c r="N174" s="2">
        <f t="shared" si="150"/>
        <v>12.490160000000003</v>
      </c>
      <c r="O174" s="2">
        <v>26</v>
      </c>
      <c r="P174">
        <f t="shared" si="151"/>
        <v>6.7388064537030949</v>
      </c>
      <c r="Q174"/>
      <c r="R174"/>
      <c r="S174"/>
      <c r="T174"/>
      <c r="U174"/>
      <c r="V174"/>
      <c r="W174"/>
      <c r="X174"/>
      <c r="Y174" s="104"/>
      <c r="Z174" s="13"/>
      <c r="AA174" s="49"/>
      <c r="AK174"/>
      <c r="AL174"/>
      <c r="AN174"/>
      <c r="AO174"/>
    </row>
    <row r="175" spans="2:41" s="2" customFormat="1" ht="16" thickBot="1" x14ac:dyDescent="0.4">
      <c r="B175"/>
      <c r="C175" s="258" t="s">
        <v>541</v>
      </c>
      <c r="D175" s="155">
        <v>6</v>
      </c>
      <c r="E175"/>
      <c r="F175" s="13">
        <v>46.55538</v>
      </c>
      <c r="G175" s="2">
        <v>50.300870000000003</v>
      </c>
      <c r="H175" s="2">
        <f t="shared" si="143"/>
        <v>3.7454900000000038</v>
      </c>
      <c r="I175" s="2">
        <f t="shared" si="144"/>
        <v>11.232469999999999</v>
      </c>
      <c r="J175" s="2">
        <f t="shared" si="146"/>
        <v>0.25006676476636358</v>
      </c>
      <c r="K175" s="2">
        <f t="shared" si="147"/>
        <v>0.74993323523363642</v>
      </c>
      <c r="L175" s="2">
        <f t="shared" si="148"/>
        <v>0.26698776395077789</v>
      </c>
      <c r="M175" s="2">
        <f t="shared" si="149"/>
        <v>6.6764766363376568E-2</v>
      </c>
      <c r="N175" s="2">
        <f t="shared" si="150"/>
        <v>14.977960000000003</v>
      </c>
      <c r="O175" s="2">
        <v>27</v>
      </c>
      <c r="P175">
        <f t="shared" si="151"/>
        <v>7.2086696266710026</v>
      </c>
      <c r="Q175"/>
      <c r="R175"/>
      <c r="S175"/>
      <c r="T175"/>
      <c r="U175"/>
      <c r="V175"/>
      <c r="W175"/>
      <c r="X175"/>
      <c r="Y175" s="104" t="s">
        <v>82</v>
      </c>
      <c r="Z175" s="13"/>
      <c r="AA175" s="13"/>
      <c r="AB175" s="9" t="s">
        <v>3</v>
      </c>
      <c r="AC175" s="9" t="s">
        <v>4</v>
      </c>
      <c r="AD175" s="9" t="s">
        <v>5</v>
      </c>
      <c r="AE175" s="9" t="s">
        <v>6</v>
      </c>
      <c r="AF175" s="9" t="s">
        <v>7</v>
      </c>
      <c r="AG175" s="9" t="s">
        <v>8</v>
      </c>
      <c r="AH175" s="9" t="s">
        <v>9</v>
      </c>
      <c r="AI175" s="9" t="s">
        <v>10</v>
      </c>
      <c r="AJ175" s="44" t="s">
        <v>139</v>
      </c>
      <c r="AK175"/>
      <c r="AL175"/>
      <c r="AN175"/>
      <c r="AO175"/>
    </row>
    <row r="176" spans="2:41" s="2" customFormat="1" x14ac:dyDescent="0.35">
      <c r="B176"/>
      <c r="C176" s="258" t="s">
        <v>541</v>
      </c>
      <c r="D176" s="155">
        <v>6</v>
      </c>
      <c r="E176"/>
      <c r="F176" s="13">
        <v>61.533340000000003</v>
      </c>
      <c r="G176" s="2">
        <v>65.955250000000007</v>
      </c>
      <c r="H176" s="2">
        <f t="shared" si="143"/>
        <v>4.421910000000004</v>
      </c>
      <c r="I176" s="2">
        <f t="shared" si="144"/>
        <v>11.327759999999998</v>
      </c>
      <c r="J176" s="2">
        <f t="shared" si="146"/>
        <v>0.28076207311010348</v>
      </c>
      <c r="K176" s="2">
        <f t="shared" si="147"/>
        <v>0.71923792688989652</v>
      </c>
      <c r="L176" s="2">
        <f t="shared" si="148"/>
        <v>0.22614661989954546</v>
      </c>
      <c r="M176" s="2">
        <f t="shared" si="149"/>
        <v>6.3493393829838971E-2</v>
      </c>
      <c r="N176" s="2">
        <f t="shared" si="150"/>
        <v>15.749670000000002</v>
      </c>
      <c r="O176" s="2">
        <v>29</v>
      </c>
      <c r="P176">
        <f t="shared" si="151"/>
        <v>6.5582519770868188</v>
      </c>
      <c r="Q176"/>
      <c r="R176"/>
      <c r="S176"/>
      <c r="T176"/>
      <c r="U176"/>
      <c r="V176"/>
      <c r="W176"/>
      <c r="X176"/>
      <c r="Y176" s="104"/>
      <c r="Z176" s="13"/>
      <c r="AA176" s="49" t="s">
        <v>77</v>
      </c>
      <c r="AB176" s="13">
        <f>AVERAGE(AB131,AB133,AB135,AB137,AB140)</f>
        <v>4.4383840000000019</v>
      </c>
      <c r="AC176" s="13">
        <f t="shared" ref="AC176:AJ176" si="152">AVERAGE(AC131,AC133,AC135,AC137,AC140)</f>
        <v>4.1410680000000015</v>
      </c>
      <c r="AD176" s="13">
        <f t="shared" si="152"/>
        <v>0.516293706659114</v>
      </c>
      <c r="AE176" s="13">
        <f t="shared" si="152"/>
        <v>0.483706293340886</v>
      </c>
      <c r="AF176" s="13">
        <f t="shared" si="152"/>
        <v>0.22721126263742328</v>
      </c>
      <c r="AG176" s="13">
        <f t="shared" si="152"/>
        <v>0.11684016183853418</v>
      </c>
      <c r="AH176" s="13">
        <f t="shared" si="152"/>
        <v>8.5794520000000034</v>
      </c>
      <c r="AI176" s="13">
        <f t="shared" si="152"/>
        <v>38.4</v>
      </c>
      <c r="AJ176" s="13">
        <f t="shared" si="152"/>
        <v>8.677394893319363</v>
      </c>
      <c r="AK176"/>
      <c r="AL176"/>
      <c r="AN176"/>
      <c r="AO176"/>
    </row>
    <row r="177" spans="2:41" s="2" customFormat="1" x14ac:dyDescent="0.35">
      <c r="C177" s="258" t="s">
        <v>541</v>
      </c>
      <c r="D177" s="155">
        <v>6</v>
      </c>
      <c r="E177"/>
      <c r="F177" s="13">
        <v>77.283010000000004</v>
      </c>
      <c r="G177" s="2">
        <v>81.091719999999995</v>
      </c>
      <c r="H177" s="2">
        <f t="shared" si="143"/>
        <v>3.8087099999999907</v>
      </c>
      <c r="I177" s="2">
        <f t="shared" si="144"/>
        <v>11.916930000000008</v>
      </c>
      <c r="J177" s="2">
        <f t="shared" si="146"/>
        <v>0.24219745587460931</v>
      </c>
      <c r="K177" s="2">
        <f t="shared" si="147"/>
        <v>0.75780254412539072</v>
      </c>
      <c r="L177" s="2">
        <f t="shared" si="148"/>
        <v>0.26255608854441592</v>
      </c>
      <c r="M177" s="2">
        <f t="shared" si="149"/>
        <v>6.3590416669846189E-2</v>
      </c>
      <c r="N177" s="2">
        <f t="shared" si="150"/>
        <v>15.725639999999999</v>
      </c>
      <c r="O177" s="2">
        <v>29</v>
      </c>
      <c r="P177">
        <f t="shared" si="151"/>
        <v>7.6141265677880625</v>
      </c>
      <c r="Q177"/>
      <c r="R177"/>
      <c r="S177"/>
      <c r="T177"/>
      <c r="U177"/>
      <c r="V177"/>
      <c r="W177"/>
      <c r="X177"/>
      <c r="Y177" s="104"/>
      <c r="Z177" s="13"/>
      <c r="AA177" s="49" t="s">
        <v>94</v>
      </c>
      <c r="AB177" s="2">
        <f>_xlfn.STDEV.S(AB131,AB133,AB135,AB137,AB140)</f>
        <v>0.44904032550539608</v>
      </c>
      <c r="AC177" s="2">
        <f t="shared" ref="AC177:AJ177" si="153">_xlfn.STDEV.S(AC131,AC133,AC135,AC137,AC140)</f>
        <v>7.773326810318279E-2</v>
      </c>
      <c r="AD177" s="2">
        <f t="shared" si="153"/>
        <v>2.5223174882539022E-2</v>
      </c>
      <c r="AE177" s="2">
        <f t="shared" si="153"/>
        <v>2.5223174882539036E-2</v>
      </c>
      <c r="AF177" s="2">
        <f t="shared" si="153"/>
        <v>2.3545931402204959E-2</v>
      </c>
      <c r="AG177" s="2">
        <f t="shared" si="153"/>
        <v>6.4638087317844426E-3</v>
      </c>
      <c r="AH177" s="2">
        <f t="shared" si="153"/>
        <v>0.46903156335154844</v>
      </c>
      <c r="AI177" s="2">
        <f t="shared" si="153"/>
        <v>2.8809720581775866</v>
      </c>
      <c r="AJ177" s="2">
        <f t="shared" si="153"/>
        <v>0.43139844200798499</v>
      </c>
      <c r="AK177"/>
      <c r="AL177"/>
      <c r="AN177"/>
      <c r="AO177"/>
    </row>
    <row r="178" spans="2:41" s="2" customFormat="1" x14ac:dyDescent="0.35">
      <c r="C178" s="258"/>
      <c r="D178" s="155">
        <v>6</v>
      </c>
      <c r="E178"/>
      <c r="F178" s="13">
        <v>93.008650000000003</v>
      </c>
      <c r="G178" s="2">
        <v>96.672420000000002</v>
      </c>
      <c r="H178" s="2">
        <f t="shared" si="143"/>
        <v>3.6637699999999995</v>
      </c>
      <c r="I178" s="2">
        <f t="shared" si="144"/>
        <v>4.1584000000000003</v>
      </c>
      <c r="J178" s="2">
        <f t="shared" si="146"/>
        <v>0.46838281448753988</v>
      </c>
      <c r="K178" s="2">
        <f t="shared" si="147"/>
        <v>0.53161718551246018</v>
      </c>
      <c r="L178" s="2">
        <f t="shared" si="148"/>
        <v>0.27294289761638973</v>
      </c>
      <c r="M178" s="2">
        <f t="shared" si="149"/>
        <v>0.12784176257994906</v>
      </c>
      <c r="N178" s="2">
        <f t="shared" si="150"/>
        <v>7.8221699999999998</v>
      </c>
      <c r="O178" s="2">
        <v>28</v>
      </c>
      <c r="P178">
        <f t="shared" si="151"/>
        <v>7.6424011332589119</v>
      </c>
      <c r="Q178"/>
      <c r="R178"/>
      <c r="S178"/>
      <c r="T178"/>
      <c r="U178"/>
      <c r="V178"/>
      <c r="W178"/>
      <c r="X178"/>
      <c r="Y178" s="104"/>
      <c r="Z178" s="13"/>
      <c r="AA178" s="49" t="s">
        <v>95</v>
      </c>
      <c r="AB178" s="2">
        <f>AB177/(SQRT(COUNT(AB131,AB133,AB135,AB137,AB140)))</f>
        <v>0.20081693849373963</v>
      </c>
      <c r="AC178" s="2">
        <f t="shared" ref="AC178:AJ178" si="154">AC177/(SQRT(COUNT(AC131,AC133,AC135,AC137,AC140)))</f>
        <v>3.4763374318386567E-2</v>
      </c>
      <c r="AD178" s="2">
        <f t="shared" si="154"/>
        <v>1.1280146729144505E-2</v>
      </c>
      <c r="AE178" s="2">
        <f t="shared" si="154"/>
        <v>1.1280146729144512E-2</v>
      </c>
      <c r="AF178" s="2">
        <f t="shared" si="154"/>
        <v>1.0530060641775446E-2</v>
      </c>
      <c r="AG178" s="2">
        <f t="shared" si="154"/>
        <v>2.8907031435653438E-3</v>
      </c>
      <c r="AH178" s="2">
        <f t="shared" si="154"/>
        <v>0.20975729184941228</v>
      </c>
      <c r="AI178" s="2">
        <f t="shared" si="154"/>
        <v>1.2884098726725124</v>
      </c>
      <c r="AJ178" s="2">
        <f t="shared" si="154"/>
        <v>0.19292724834347105</v>
      </c>
      <c r="AK178"/>
      <c r="AL178"/>
      <c r="AN178"/>
      <c r="AO178"/>
    </row>
    <row r="179" spans="2:41" s="2" customFormat="1" x14ac:dyDescent="0.35">
      <c r="C179" s="258" t="s">
        <v>541</v>
      </c>
      <c r="D179" s="155">
        <v>6</v>
      </c>
      <c r="E179"/>
      <c r="F179" s="13">
        <v>100.83082</v>
      </c>
      <c r="G179" s="2">
        <v>104.46368</v>
      </c>
      <c r="H179" s="2">
        <f t="shared" si="143"/>
        <v>3.6328599999999938</v>
      </c>
      <c r="I179" s="2">
        <f t="shared" si="144"/>
        <v>7.8809899999999971</v>
      </c>
      <c r="J179" s="2">
        <f t="shared" si="146"/>
        <v>0.31552087268811013</v>
      </c>
      <c r="K179" s="2">
        <f t="shared" si="147"/>
        <v>0.68447912731188987</v>
      </c>
      <c r="L179" s="2">
        <f t="shared" si="148"/>
        <v>0.2752652180375797</v>
      </c>
      <c r="M179" s="2">
        <f t="shared" si="149"/>
        <v>8.6851921815900054E-2</v>
      </c>
      <c r="N179" s="2">
        <f t="shared" si="150"/>
        <v>11.513849999999991</v>
      </c>
      <c r="O179" s="2">
        <v>26</v>
      </c>
      <c r="P179">
        <f t="shared" si="151"/>
        <v>7.1568956689770715</v>
      </c>
      <c r="Q179"/>
      <c r="R179"/>
      <c r="S179"/>
      <c r="T179"/>
      <c r="U179"/>
      <c r="V179"/>
      <c r="W179"/>
      <c r="X179"/>
      <c r="Y179" s="104"/>
      <c r="Z179" s="13"/>
      <c r="AA179" s="49"/>
      <c r="AK179"/>
      <c r="AL179"/>
      <c r="AN179"/>
      <c r="AO179"/>
    </row>
    <row r="180" spans="2:41" s="2" customFormat="1" x14ac:dyDescent="0.35">
      <c r="D180" s="155">
        <v>6</v>
      </c>
      <c r="E180"/>
      <c r="F180" s="13">
        <v>112.34466999999999</v>
      </c>
      <c r="G180" s="2">
        <v>116.08504000000001</v>
      </c>
      <c r="H180" s="2">
        <f t="shared" si="143"/>
        <v>3.7403700000000129</v>
      </c>
      <c r="I180" s="2">
        <f t="shared" si="144"/>
        <v>3.9771299999999883</v>
      </c>
      <c r="J180" s="2">
        <f t="shared" si="146"/>
        <v>0.48466083576287816</v>
      </c>
      <c r="K180" s="2">
        <f t="shared" si="147"/>
        <v>0.51533916423712178</v>
      </c>
      <c r="L180" s="2">
        <f t="shared" si="148"/>
        <v>0.2673532297606912</v>
      </c>
      <c r="M180" s="2">
        <f t="shared" si="149"/>
        <v>0.12957563977972139</v>
      </c>
      <c r="N180" s="2">
        <f t="shared" si="150"/>
        <v>7.7175000000000011</v>
      </c>
      <c r="O180" s="2">
        <v>29</v>
      </c>
      <c r="P180">
        <f t="shared" si="151"/>
        <v>7.7532436630600445</v>
      </c>
      <c r="Q180"/>
      <c r="R180"/>
      <c r="S180"/>
      <c r="T180"/>
      <c r="U180"/>
      <c r="V180"/>
      <c r="W180"/>
      <c r="X180" s="206"/>
      <c r="AN180"/>
      <c r="AO180"/>
    </row>
    <row r="181" spans="2:41" s="2" customFormat="1" x14ac:dyDescent="0.35">
      <c r="C181" s="258" t="s">
        <v>541</v>
      </c>
      <c r="D181" s="155">
        <v>0</v>
      </c>
      <c r="E181"/>
      <c r="F181" s="13">
        <v>120.06216999999999</v>
      </c>
      <c r="G181" s="2">
        <v>122.69716</v>
      </c>
      <c r="H181" s="2">
        <f t="shared" si="143"/>
        <v>2.6349900000000019</v>
      </c>
      <c r="I181" s="2">
        <f t="shared" si="144"/>
        <v>9.4230799999999988</v>
      </c>
      <c r="J181" s="2">
        <f t="shared" si="146"/>
        <v>0.21852502100253207</v>
      </c>
      <c r="K181" s="2">
        <f t="shared" si="147"/>
        <v>0.78147497899746798</v>
      </c>
      <c r="L181" s="2">
        <f t="shared" si="148"/>
        <v>0.37950808162459793</v>
      </c>
      <c r="M181" s="2">
        <f t="shared" si="149"/>
        <v>8.2932011507645911E-2</v>
      </c>
      <c r="N181" s="2">
        <f t="shared" si="150"/>
        <v>12.058070000000001</v>
      </c>
      <c r="O181" s="2">
        <v>20</v>
      </c>
      <c r="P181">
        <f t="shared" si="151"/>
        <v>7.5901616324919585</v>
      </c>
      <c r="Q181"/>
      <c r="R181" t="s">
        <v>479</v>
      </c>
      <c r="S181"/>
      <c r="T181"/>
      <c r="U181"/>
      <c r="V181"/>
      <c r="W181"/>
      <c r="X181" s="206"/>
      <c r="AN181"/>
      <c r="AO181"/>
    </row>
    <row r="182" spans="2:41" ht="18.5" x14ac:dyDescent="0.45">
      <c r="B182" s="2"/>
      <c r="C182" s="258" t="s">
        <v>541</v>
      </c>
      <c r="D182" s="155">
        <v>0</v>
      </c>
      <c r="F182" s="13">
        <v>132.12024</v>
      </c>
      <c r="G182" s="2">
        <v>135.70017000000001</v>
      </c>
      <c r="H182" s="2">
        <f t="shared" si="143"/>
        <v>3.5799300000000187</v>
      </c>
      <c r="I182" s="2">
        <f t="shared" si="144"/>
        <v>11.135369999999995</v>
      </c>
      <c r="J182" s="2">
        <f t="shared" si="146"/>
        <v>0.24327944384416325</v>
      </c>
      <c r="K182" s="2">
        <f t="shared" si="147"/>
        <v>0.75672055615583678</v>
      </c>
      <c r="L182" s="2">
        <f t="shared" si="148"/>
        <v>0.27933507079747222</v>
      </c>
      <c r="M182" s="2">
        <f t="shared" si="149"/>
        <v>6.795648066977901E-2</v>
      </c>
      <c r="N182" s="2">
        <f t="shared" si="150"/>
        <v>14.715300000000013</v>
      </c>
      <c r="O182" s="2">
        <v>26</v>
      </c>
      <c r="P182">
        <f t="shared" si="151"/>
        <v>7.2627118407342781</v>
      </c>
      <c r="T182" s="2"/>
      <c r="Z182" s="1" t="s">
        <v>501</v>
      </c>
      <c r="AA182" s="3"/>
      <c r="AB182" s="3"/>
      <c r="AC182" s="3"/>
      <c r="AD182" s="3"/>
      <c r="AE182" s="3"/>
      <c r="AF182" s="3"/>
      <c r="AG182" s="3"/>
      <c r="AH182" s="3"/>
      <c r="AI182" s="3"/>
      <c r="AM182" s="2"/>
    </row>
    <row r="183" spans="2:41" ht="16" thickBot="1" x14ac:dyDescent="0.4">
      <c r="B183" s="2"/>
      <c r="D183" s="155">
        <v>0</v>
      </c>
      <c r="F183" s="13">
        <v>146.83554000000001</v>
      </c>
      <c r="G183" s="2">
        <v>150.59388000000001</v>
      </c>
      <c r="H183" s="2">
        <f t="shared" si="143"/>
        <v>3.758340000000004</v>
      </c>
      <c r="I183" s="2">
        <f t="shared" si="144"/>
        <v>3.9843399999999747</v>
      </c>
      <c r="J183" s="2">
        <f t="shared" si="146"/>
        <v>0.48540557016433772</v>
      </c>
      <c r="K183" s="2">
        <f t="shared" si="147"/>
        <v>0.51459442983566228</v>
      </c>
      <c r="L183" s="2">
        <f t="shared" si="148"/>
        <v>0.2660749160533637</v>
      </c>
      <c r="M183" s="2">
        <f t="shared" si="149"/>
        <v>0.1291542463333113</v>
      </c>
      <c r="N183" s="2">
        <f t="shared" si="150"/>
        <v>7.7426799999999787</v>
      </c>
      <c r="O183" s="2">
        <v>29</v>
      </c>
      <c r="P183">
        <f t="shared" si="151"/>
        <v>7.7161725655475477</v>
      </c>
      <c r="T183" s="2"/>
      <c r="W183" s="204" t="s">
        <v>122</v>
      </c>
      <c r="X183" s="204" t="s">
        <v>406</v>
      </c>
      <c r="Z183" s="9" t="s">
        <v>1</v>
      </c>
      <c r="AA183" s="9" t="s">
        <v>2</v>
      </c>
      <c r="AB183" s="9" t="s">
        <v>3</v>
      </c>
      <c r="AC183" s="9" t="s">
        <v>4</v>
      </c>
      <c r="AD183" s="9" t="s">
        <v>5</v>
      </c>
      <c r="AE183" s="9" t="s">
        <v>6</v>
      </c>
      <c r="AF183" s="9" t="s">
        <v>7</v>
      </c>
      <c r="AG183" s="9" t="s">
        <v>8</v>
      </c>
      <c r="AH183" s="9" t="s">
        <v>9</v>
      </c>
      <c r="AI183" s="9" t="s">
        <v>10</v>
      </c>
      <c r="AJ183" s="44" t="s">
        <v>139</v>
      </c>
      <c r="AL183" s="44" t="s">
        <v>138</v>
      </c>
      <c r="AM183" s="2"/>
    </row>
    <row r="184" spans="2:41" x14ac:dyDescent="0.35">
      <c r="B184" s="2"/>
      <c r="C184" s="258" t="s">
        <v>541</v>
      </c>
      <c r="D184" s="155">
        <v>0</v>
      </c>
      <c r="F184" s="13">
        <v>154.57821999999999</v>
      </c>
      <c r="G184" s="2">
        <v>157.45518000000001</v>
      </c>
      <c r="H184" s="2">
        <f t="shared" si="143"/>
        <v>2.8769600000000253</v>
      </c>
      <c r="I184" s="2">
        <f t="shared" si="144"/>
        <v>8.5447299999999871</v>
      </c>
      <c r="J184" s="2">
        <f t="shared" si="146"/>
        <v>0.25188566665703782</v>
      </c>
      <c r="K184" s="2">
        <f t="shared" si="147"/>
        <v>0.74811433334296218</v>
      </c>
      <c r="L184" s="2">
        <f t="shared" si="148"/>
        <v>0.34758912185083951</v>
      </c>
      <c r="M184" s="2">
        <f t="shared" si="149"/>
        <v>8.7552717680133049E-2</v>
      </c>
      <c r="N184" s="2">
        <f t="shared" si="150"/>
        <v>11.421690000000012</v>
      </c>
      <c r="O184" s="2">
        <v>21</v>
      </c>
      <c r="P184">
        <f t="shared" si="151"/>
        <v>7.2993715588676293</v>
      </c>
      <c r="T184" s="2"/>
      <c r="W184" s="260"/>
      <c r="X184" s="155">
        <v>-3</v>
      </c>
      <c r="Z184" s="2">
        <v>6.3144299999999998</v>
      </c>
      <c r="AA184" s="2">
        <v>10.251110000000001</v>
      </c>
      <c r="AB184" s="2">
        <f t="shared" ref="AB184:AB205" si="155">AA184-Z184</f>
        <v>3.9366800000000008</v>
      </c>
      <c r="AC184" s="2">
        <f t="shared" ref="AC184:AC204" si="156">Z185-AA184</f>
        <v>3.9288499999999988</v>
      </c>
      <c r="AD184" s="2">
        <f>AB184/AH184</f>
        <v>0.50049774141094128</v>
      </c>
      <c r="AE184" s="2">
        <f>AC184/AH184</f>
        <v>0.49950225858905872</v>
      </c>
      <c r="AF184" s="2">
        <f>1/AB184</f>
        <v>0.25402115488177851</v>
      </c>
      <c r="AG184" s="2">
        <f>1/AH184</f>
        <v>0.12713701428892904</v>
      </c>
      <c r="AH184" s="2">
        <f>AB184+AC184</f>
        <v>7.8655299999999997</v>
      </c>
      <c r="AI184" s="2">
        <v>37</v>
      </c>
      <c r="AJ184">
        <f>AI184/AB184</f>
        <v>9.398782730625804</v>
      </c>
      <c r="AL184" t="s">
        <v>500</v>
      </c>
      <c r="AM184" s="2"/>
    </row>
    <row r="185" spans="2:41" x14ac:dyDescent="0.35">
      <c r="B185" s="2"/>
      <c r="C185" s="258" t="s">
        <v>541</v>
      </c>
      <c r="D185" s="155">
        <v>0</v>
      </c>
      <c r="F185" s="13">
        <v>165.99991</v>
      </c>
      <c r="G185" s="2">
        <v>169.76160999999999</v>
      </c>
      <c r="H185" s="2">
        <f t="shared" si="143"/>
        <v>3.7616999999999905</v>
      </c>
      <c r="I185" s="2">
        <f t="shared" si="144"/>
        <v>10.987700000000018</v>
      </c>
      <c r="J185" s="2">
        <f t="shared" si="146"/>
        <v>0.25504088301896949</v>
      </c>
      <c r="K185" s="2">
        <f t="shared" si="147"/>
        <v>0.74495911698103057</v>
      </c>
      <c r="L185" s="2">
        <f t="shared" si="148"/>
        <v>0.2658372544328369</v>
      </c>
      <c r="M185" s="2">
        <f t="shared" si="149"/>
        <v>6.779936810988918E-2</v>
      </c>
      <c r="N185" s="2">
        <f t="shared" si="150"/>
        <v>14.749400000000009</v>
      </c>
      <c r="O185" s="2">
        <v>28</v>
      </c>
      <c r="P185">
        <f t="shared" si="151"/>
        <v>7.4434431241194332</v>
      </c>
      <c r="T185" s="2"/>
      <c r="W185" s="260" t="s">
        <v>541</v>
      </c>
      <c r="X185" s="155">
        <v>-3</v>
      </c>
      <c r="Z185" s="2">
        <v>14.179959999999999</v>
      </c>
      <c r="AA185" s="2">
        <v>17.97043</v>
      </c>
      <c r="AB185" s="2">
        <f t="shared" si="155"/>
        <v>3.7904700000000009</v>
      </c>
      <c r="AC185" s="2">
        <f t="shared" si="156"/>
        <v>7.7205799999999982</v>
      </c>
      <c r="AD185" s="2">
        <f t="shared" ref="AD185:AD204" si="157">AB185/AH185</f>
        <v>0.32928968252244595</v>
      </c>
      <c r="AE185" s="2">
        <f t="shared" ref="AE185:AE204" si="158">AC185/AH185</f>
        <v>0.67071031747755405</v>
      </c>
      <c r="AF185" s="2">
        <f t="shared" ref="AF185:AF204" si="159">1/AB185</f>
        <v>0.26381952633842237</v>
      </c>
      <c r="AG185" s="2">
        <f t="shared" ref="AG185:AG204" si="160">1/AH185</f>
        <v>8.687304807120115E-2</v>
      </c>
      <c r="AH185" s="2">
        <f t="shared" ref="AH185:AH204" si="161">AB185+AC185</f>
        <v>11.511049999999999</v>
      </c>
      <c r="AI185" s="2">
        <v>32</v>
      </c>
      <c r="AJ185">
        <f t="shared" ref="AJ185:AJ204" si="162">AI185/AB185</f>
        <v>8.4422248428295159</v>
      </c>
      <c r="AM185" s="2"/>
    </row>
    <row r="186" spans="2:41" x14ac:dyDescent="0.35">
      <c r="B186" s="2"/>
      <c r="C186" s="258" t="s">
        <v>541</v>
      </c>
      <c r="D186" s="155">
        <v>0</v>
      </c>
      <c r="F186" s="13">
        <v>180.74931000000001</v>
      </c>
      <c r="G186" s="2">
        <v>184.56706</v>
      </c>
      <c r="H186" s="2">
        <f t="shared" si="143"/>
        <v>3.8177499999999895</v>
      </c>
      <c r="I186" s="2">
        <f t="shared" si="144"/>
        <v>11.810090000000002</v>
      </c>
      <c r="J186" s="2">
        <f t="shared" si="146"/>
        <v>0.24429159755922708</v>
      </c>
      <c r="K186" s="2">
        <f t="shared" si="147"/>
        <v>0.75570840244077286</v>
      </c>
      <c r="L186" s="2">
        <f t="shared" si="148"/>
        <v>0.26193438543644887</v>
      </c>
      <c r="M186" s="2">
        <f t="shared" si="149"/>
        <v>6.398836947396444E-2</v>
      </c>
      <c r="N186" s="2">
        <f t="shared" si="150"/>
        <v>15.627839999999992</v>
      </c>
      <c r="O186" s="2">
        <v>28</v>
      </c>
      <c r="P186">
        <f t="shared" si="151"/>
        <v>7.3341627922205692</v>
      </c>
      <c r="T186" s="2"/>
      <c r="W186" s="260"/>
      <c r="X186" s="155">
        <v>-3</v>
      </c>
      <c r="Z186" s="13">
        <v>25.691009999999999</v>
      </c>
      <c r="AA186" s="2">
        <v>29.700579999999999</v>
      </c>
      <c r="AB186" s="2">
        <f t="shared" si="155"/>
        <v>4.0095700000000001</v>
      </c>
      <c r="AC186" s="2">
        <f t="shared" si="156"/>
        <v>4.0811700000000037</v>
      </c>
      <c r="AD186" s="2">
        <f t="shared" si="157"/>
        <v>0.49557518842528597</v>
      </c>
      <c r="AE186" s="2">
        <f t="shared" si="158"/>
        <v>0.50442481157471408</v>
      </c>
      <c r="AF186" s="2">
        <f t="shared" si="159"/>
        <v>0.24940330259853299</v>
      </c>
      <c r="AG186" s="2">
        <f t="shared" si="160"/>
        <v>0.1235980886791566</v>
      </c>
      <c r="AH186" s="2">
        <f t="shared" si="161"/>
        <v>8.0907400000000038</v>
      </c>
      <c r="AI186" s="2">
        <v>36</v>
      </c>
      <c r="AJ186">
        <f t="shared" si="162"/>
        <v>8.9785188935471876</v>
      </c>
      <c r="AM186" s="2"/>
    </row>
    <row r="187" spans="2:41" x14ac:dyDescent="0.35">
      <c r="B187" s="2"/>
      <c r="D187" s="155">
        <v>0</v>
      </c>
      <c r="F187" s="13">
        <v>196.37715</v>
      </c>
      <c r="G187" s="2">
        <v>200.03277</v>
      </c>
      <c r="H187" s="2">
        <f t="shared" si="143"/>
        <v>3.655619999999999</v>
      </c>
      <c r="I187" s="2">
        <f t="shared" si="144"/>
        <v>3.268100000000004</v>
      </c>
      <c r="J187" s="2">
        <f t="shared" si="146"/>
        <v>0.5279849560640808</v>
      </c>
      <c r="K187" s="2">
        <f t="shared" si="147"/>
        <v>0.4720150439359192</v>
      </c>
      <c r="L187" s="2">
        <f t="shared" si="148"/>
        <v>0.27355140851620252</v>
      </c>
      <c r="M187" s="2">
        <f t="shared" si="149"/>
        <v>0.14443102840669461</v>
      </c>
      <c r="N187" s="2">
        <f t="shared" si="150"/>
        <v>6.923720000000003</v>
      </c>
      <c r="O187" s="2">
        <v>28</v>
      </c>
      <c r="P187">
        <f t="shared" si="151"/>
        <v>7.6594394384536706</v>
      </c>
      <c r="T187" s="2"/>
      <c r="W187" s="260" t="s">
        <v>541</v>
      </c>
      <c r="X187" s="155">
        <v>-3</v>
      </c>
      <c r="Z187" s="13">
        <v>33.781750000000002</v>
      </c>
      <c r="AA187" s="2">
        <v>37.675750000000001</v>
      </c>
      <c r="AB187" s="2">
        <f t="shared" si="155"/>
        <v>3.8939999999999984</v>
      </c>
      <c r="AC187" s="2">
        <f t="shared" si="156"/>
        <v>6.9151699999999963</v>
      </c>
      <c r="AD187" s="2">
        <f t="shared" si="157"/>
        <v>0.36024967689471071</v>
      </c>
      <c r="AE187" s="2">
        <f t="shared" si="158"/>
        <v>0.63975032310528923</v>
      </c>
      <c r="AF187" s="2">
        <f t="shared" si="159"/>
        <v>0.25680534155110435</v>
      </c>
      <c r="AG187" s="2">
        <f t="shared" si="160"/>
        <v>9.2514041318621176E-2</v>
      </c>
      <c r="AH187" s="2">
        <f t="shared" si="161"/>
        <v>10.809169999999995</v>
      </c>
      <c r="AI187" s="2">
        <v>32</v>
      </c>
      <c r="AJ187">
        <f t="shared" si="162"/>
        <v>8.2177709296353392</v>
      </c>
      <c r="AM187" s="2"/>
    </row>
    <row r="188" spans="2:41" x14ac:dyDescent="0.35">
      <c r="B188" s="2"/>
      <c r="C188" s="258" t="s">
        <v>541</v>
      </c>
      <c r="D188" s="155">
        <v>0</v>
      </c>
      <c r="F188" s="13">
        <v>203.30087</v>
      </c>
      <c r="G188" s="13">
        <v>206.99963</v>
      </c>
      <c r="H188" s="2">
        <f t="shared" si="143"/>
        <v>3.6987599999999929</v>
      </c>
      <c r="I188" s="2">
        <f t="shared" si="144"/>
        <v>7.6724600000000009</v>
      </c>
      <c r="J188" s="2">
        <f t="shared" si="146"/>
        <v>0.32527380527331234</v>
      </c>
      <c r="K188" s="2">
        <f t="shared" si="147"/>
        <v>0.6747261947266876</v>
      </c>
      <c r="L188" s="2">
        <f t="shared" si="148"/>
        <v>0.27036087769955386</v>
      </c>
      <c r="M188" s="2">
        <f t="shared" si="149"/>
        <v>8.7941311486366511E-2</v>
      </c>
      <c r="N188" s="2">
        <f t="shared" si="150"/>
        <v>11.371219999999994</v>
      </c>
      <c r="O188" s="2">
        <v>24</v>
      </c>
      <c r="P188">
        <f t="shared" si="151"/>
        <v>6.4886610647892935</v>
      </c>
      <c r="T188" s="2"/>
      <c r="W188" s="260"/>
      <c r="X188" s="155">
        <v>-3</v>
      </c>
      <c r="Z188" s="13">
        <v>44.590919999999997</v>
      </c>
      <c r="AA188" s="2">
        <v>49.499040000000001</v>
      </c>
      <c r="AB188" s="2">
        <f t="shared" si="155"/>
        <v>4.9081200000000038</v>
      </c>
      <c r="AC188" s="2">
        <f t="shared" si="156"/>
        <v>3.9449699999999979</v>
      </c>
      <c r="AD188" s="2">
        <f t="shared" si="157"/>
        <v>0.55439626164423983</v>
      </c>
      <c r="AE188" s="2">
        <f t="shared" si="158"/>
        <v>0.44560373835576023</v>
      </c>
      <c r="AF188" s="2">
        <f t="shared" si="159"/>
        <v>0.20374399973920751</v>
      </c>
      <c r="AG188" s="2">
        <f t="shared" si="160"/>
        <v>0.11295491178786161</v>
      </c>
      <c r="AH188" s="2">
        <f t="shared" si="161"/>
        <v>8.8530900000000017</v>
      </c>
      <c r="AI188" s="2">
        <v>41</v>
      </c>
      <c r="AJ188">
        <f t="shared" si="162"/>
        <v>8.3535039893075087</v>
      </c>
      <c r="AM188" s="2"/>
    </row>
    <row r="189" spans="2:41" x14ac:dyDescent="0.35">
      <c r="B189" s="2"/>
      <c r="D189" s="155">
        <v>0</v>
      </c>
      <c r="F189" s="13">
        <v>214.67209</v>
      </c>
      <c r="G189" s="13">
        <v>218.64374000000001</v>
      </c>
      <c r="H189" s="2">
        <f t="shared" si="143"/>
        <v>3.971650000000011</v>
      </c>
      <c r="I189" s="2">
        <f t="shared" si="144"/>
        <v>3.0277399999999943</v>
      </c>
      <c r="J189" s="2">
        <f t="shared" si="146"/>
        <v>0.56742801872734738</v>
      </c>
      <c r="K189" s="2">
        <f t="shared" si="147"/>
        <v>0.43257198127265262</v>
      </c>
      <c r="L189" s="2">
        <f t="shared" si="148"/>
        <v>0.25178452280538244</v>
      </c>
      <c r="M189" s="2">
        <f t="shared" si="149"/>
        <v>0.14286959292166879</v>
      </c>
      <c r="N189" s="2">
        <f t="shared" si="150"/>
        <v>6.9993900000000053</v>
      </c>
      <c r="O189" s="2">
        <v>28</v>
      </c>
      <c r="P189">
        <f t="shared" si="151"/>
        <v>7.0499666385507087</v>
      </c>
      <c r="T189" s="2"/>
      <c r="W189" s="260" t="s">
        <v>541</v>
      </c>
      <c r="X189" s="155">
        <v>-3</v>
      </c>
      <c r="Z189" s="13">
        <v>53.444009999999999</v>
      </c>
      <c r="AA189" s="2">
        <v>57.313220000000001</v>
      </c>
      <c r="AB189" s="2">
        <f t="shared" si="155"/>
        <v>3.8692100000000025</v>
      </c>
      <c r="AC189" s="2">
        <f t="shared" si="156"/>
        <v>7.6894499999999937</v>
      </c>
      <c r="AD189" s="2">
        <f t="shared" si="157"/>
        <v>0.33474555008971663</v>
      </c>
      <c r="AE189" s="2">
        <f t="shared" si="158"/>
        <v>0.66525444991028337</v>
      </c>
      <c r="AF189" s="2">
        <f t="shared" si="159"/>
        <v>0.25845069148482491</v>
      </c>
      <c r="AG189" s="2">
        <f t="shared" si="160"/>
        <v>8.6515218892155354E-2</v>
      </c>
      <c r="AH189" s="2">
        <f t="shared" si="161"/>
        <v>11.558659999999996</v>
      </c>
      <c r="AI189" s="2">
        <v>32</v>
      </c>
      <c r="AJ189">
        <f t="shared" si="162"/>
        <v>8.2704221275143972</v>
      </c>
      <c r="AM189" s="2"/>
    </row>
    <row r="190" spans="2:41" x14ac:dyDescent="0.35">
      <c r="B190" s="2"/>
      <c r="C190" s="258" t="s">
        <v>541</v>
      </c>
      <c r="D190" s="155">
        <v>0</v>
      </c>
      <c r="F190" s="13">
        <v>221.67148</v>
      </c>
      <c r="G190" s="13">
        <v>224.50847999999999</v>
      </c>
      <c r="H190" s="2">
        <f t="shared" si="143"/>
        <v>2.8369999999999891</v>
      </c>
      <c r="I190" s="2">
        <f t="shared" si="144"/>
        <v>8.753389999999996</v>
      </c>
      <c r="J190" s="2">
        <f t="shared" si="146"/>
        <v>0.24477174624839998</v>
      </c>
      <c r="K190" s="2">
        <f t="shared" si="147"/>
        <v>0.75522825375159996</v>
      </c>
      <c r="L190" s="2">
        <f t="shared" si="148"/>
        <v>0.35248501938667742</v>
      </c>
      <c r="M190" s="2">
        <f t="shared" si="149"/>
        <v>8.6278373721678153E-2</v>
      </c>
      <c r="N190" s="2">
        <f t="shared" si="150"/>
        <v>11.590389999999985</v>
      </c>
      <c r="O190" s="2">
        <v>21</v>
      </c>
      <c r="P190">
        <f t="shared" si="151"/>
        <v>7.4021854071202258</v>
      </c>
      <c r="T190" s="2"/>
      <c r="W190" s="260"/>
      <c r="X190" s="155">
        <v>-3</v>
      </c>
      <c r="Z190" s="13">
        <v>65.002669999999995</v>
      </c>
      <c r="AA190" s="2">
        <v>69.492109999999997</v>
      </c>
      <c r="AB190" s="2">
        <f t="shared" si="155"/>
        <v>4.4894400000000019</v>
      </c>
      <c r="AC190" s="2">
        <f t="shared" si="156"/>
        <v>4.2343800000000016</v>
      </c>
      <c r="AD190" s="2">
        <f t="shared" si="157"/>
        <v>0.51461859598203541</v>
      </c>
      <c r="AE190" s="2">
        <f t="shared" si="158"/>
        <v>0.48538140401796459</v>
      </c>
      <c r="AF190" s="2">
        <f t="shared" si="159"/>
        <v>0.2227449303253857</v>
      </c>
      <c r="AG190" s="2">
        <f t="shared" si="160"/>
        <v>0.1146286833061663</v>
      </c>
      <c r="AH190" s="2">
        <f t="shared" si="161"/>
        <v>8.7238200000000035</v>
      </c>
      <c r="AI190" s="2">
        <v>39</v>
      </c>
      <c r="AJ190">
        <f t="shared" si="162"/>
        <v>8.6870522826900416</v>
      </c>
      <c r="AM190" s="2"/>
    </row>
    <row r="191" spans="2:41" x14ac:dyDescent="0.35">
      <c r="B191" s="2"/>
      <c r="D191" s="155">
        <v>0</v>
      </c>
      <c r="F191" s="13">
        <v>233.26186999999999</v>
      </c>
      <c r="G191" s="13">
        <v>237.05043000000001</v>
      </c>
      <c r="H191" s="2">
        <f t="shared" si="143"/>
        <v>3.7885600000000181</v>
      </c>
      <c r="I191" s="2"/>
      <c r="J191" s="2"/>
      <c r="K191" s="2"/>
      <c r="L191" s="2"/>
      <c r="M191" s="2"/>
      <c r="N191" s="2"/>
      <c r="O191" s="2"/>
      <c r="T191" s="2"/>
      <c r="W191" s="260" t="s">
        <v>541</v>
      </c>
      <c r="X191" s="155">
        <v>-3</v>
      </c>
      <c r="Z191" s="13">
        <v>73.726489999999998</v>
      </c>
      <c r="AA191" s="2">
        <v>77.766239999999996</v>
      </c>
      <c r="AB191" s="2">
        <f t="shared" si="155"/>
        <v>4.039749999999998</v>
      </c>
      <c r="AC191" s="2">
        <f t="shared" si="156"/>
        <v>7.8248800000000074</v>
      </c>
      <c r="AD191" s="2">
        <f t="shared" si="157"/>
        <v>0.34048680826962124</v>
      </c>
      <c r="AE191" s="2">
        <f t="shared" si="158"/>
        <v>0.65951319173037881</v>
      </c>
      <c r="AF191" s="2">
        <f t="shared" si="159"/>
        <v>0.24754007054892024</v>
      </c>
      <c r="AG191" s="2">
        <f t="shared" si="160"/>
        <v>8.4284128540038722E-2</v>
      </c>
      <c r="AH191" s="2">
        <f t="shared" si="161"/>
        <v>11.864630000000005</v>
      </c>
      <c r="AI191" s="2">
        <v>37</v>
      </c>
      <c r="AJ191">
        <f t="shared" si="162"/>
        <v>9.1589826103100478</v>
      </c>
      <c r="AM191" s="2"/>
    </row>
    <row r="192" spans="2:41" x14ac:dyDescent="0.35">
      <c r="B192" s="2"/>
      <c r="C192" s="258"/>
      <c r="D192" s="155"/>
      <c r="F192" s="13"/>
      <c r="G192" s="13"/>
      <c r="H192" s="2"/>
      <c r="I192" s="2"/>
      <c r="J192" s="2"/>
      <c r="K192" s="2"/>
      <c r="L192" s="2"/>
      <c r="M192" s="2"/>
      <c r="N192" s="2"/>
      <c r="O192" s="2"/>
      <c r="T192" s="2"/>
      <c r="W192" s="260" t="s">
        <v>541</v>
      </c>
      <c r="X192" s="155">
        <v>-3</v>
      </c>
      <c r="Z192" s="13">
        <v>85.591120000000004</v>
      </c>
      <c r="AA192" s="2">
        <v>90.377340000000004</v>
      </c>
      <c r="AB192" s="2">
        <f t="shared" si="155"/>
        <v>4.7862200000000001</v>
      </c>
      <c r="AC192" s="2">
        <f t="shared" si="156"/>
        <v>11.09845</v>
      </c>
      <c r="AD192" s="2">
        <f t="shared" si="157"/>
        <v>0.30131063471888309</v>
      </c>
      <c r="AE192" s="2">
        <f t="shared" si="158"/>
        <v>0.69868936528111691</v>
      </c>
      <c r="AF192" s="2">
        <f t="shared" si="159"/>
        <v>0.20893314557207984</v>
      </c>
      <c r="AG192" s="2">
        <f t="shared" si="160"/>
        <v>6.2953778706136165E-2</v>
      </c>
      <c r="AH192" s="2">
        <f t="shared" si="161"/>
        <v>15.88467</v>
      </c>
      <c r="AI192" s="2">
        <v>43</v>
      </c>
      <c r="AJ192">
        <f t="shared" si="162"/>
        <v>8.9841252595994323</v>
      </c>
      <c r="AM192" s="2"/>
    </row>
    <row r="193" spans="2:41" x14ac:dyDescent="0.35">
      <c r="B193" s="2"/>
      <c r="D193" s="155"/>
      <c r="F193" s="13"/>
      <c r="G193" s="13"/>
      <c r="H193" s="2"/>
      <c r="I193" s="2"/>
      <c r="J193" s="2"/>
      <c r="K193" s="2"/>
      <c r="L193" s="2"/>
      <c r="M193" s="2"/>
      <c r="N193" s="2"/>
      <c r="O193" s="2"/>
      <c r="T193" s="2"/>
      <c r="W193" s="260"/>
      <c r="X193" s="155">
        <v>-3</v>
      </c>
      <c r="Z193" s="13">
        <v>101.47579</v>
      </c>
      <c r="AA193" s="2">
        <v>106.1007</v>
      </c>
      <c r="AB193" s="2">
        <f t="shared" si="155"/>
        <v>4.6249099999999999</v>
      </c>
      <c r="AC193" s="2">
        <f t="shared" si="156"/>
        <v>3.2879899999999935</v>
      </c>
      <c r="AD193" s="2">
        <f t="shared" si="157"/>
        <v>0.58447724601599971</v>
      </c>
      <c r="AE193" s="2">
        <f t="shared" si="158"/>
        <v>0.41552275398400035</v>
      </c>
      <c r="AF193" s="2">
        <f t="shared" si="159"/>
        <v>0.21622042374878647</v>
      </c>
      <c r="AG193" s="2">
        <f t="shared" si="160"/>
        <v>0.12637591780510316</v>
      </c>
      <c r="AH193" s="2">
        <f t="shared" si="161"/>
        <v>7.9128999999999934</v>
      </c>
      <c r="AI193" s="2">
        <v>39</v>
      </c>
      <c r="AJ193">
        <f t="shared" si="162"/>
        <v>8.4325965262026727</v>
      </c>
      <c r="AM193" s="2"/>
    </row>
    <row r="194" spans="2:41" ht="16" thickBot="1" x14ac:dyDescent="0.4">
      <c r="B194" s="2"/>
      <c r="D194" s="155"/>
      <c r="F194" s="13"/>
      <c r="G194" s="13"/>
      <c r="H194" s="9" t="s">
        <v>3</v>
      </c>
      <c r="I194" s="9" t="s">
        <v>4</v>
      </c>
      <c r="J194" s="9" t="s">
        <v>5</v>
      </c>
      <c r="K194" s="9" t="s">
        <v>6</v>
      </c>
      <c r="L194" s="9" t="s">
        <v>7</v>
      </c>
      <c r="M194" s="9" t="s">
        <v>8</v>
      </c>
      <c r="N194" s="9" t="s">
        <v>9</v>
      </c>
      <c r="O194" s="9" t="s">
        <v>10</v>
      </c>
      <c r="P194" s="44" t="s">
        <v>139</v>
      </c>
      <c r="T194" s="2"/>
      <c r="W194" s="260" t="s">
        <v>541</v>
      </c>
      <c r="X194" s="155">
        <v>-3</v>
      </c>
      <c r="Z194" s="13">
        <v>109.38869</v>
      </c>
      <c r="AA194" s="2">
        <v>113.19911</v>
      </c>
      <c r="AB194" s="2">
        <f t="shared" si="155"/>
        <v>3.8104200000000077</v>
      </c>
      <c r="AC194" s="2">
        <f t="shared" si="156"/>
        <v>7.3613599999999906</v>
      </c>
      <c r="AD194" s="2">
        <f t="shared" si="157"/>
        <v>0.34107545977453979</v>
      </c>
      <c r="AE194" s="2">
        <f t="shared" si="158"/>
        <v>0.65892454022546021</v>
      </c>
      <c r="AF194" s="2">
        <f t="shared" si="159"/>
        <v>0.26243826139900533</v>
      </c>
      <c r="AG194" s="2">
        <f t="shared" si="160"/>
        <v>8.9511250669096612E-2</v>
      </c>
      <c r="AH194" s="2">
        <f t="shared" si="161"/>
        <v>11.171779999999998</v>
      </c>
      <c r="AI194" s="2">
        <v>33</v>
      </c>
      <c r="AJ194">
        <f t="shared" si="162"/>
        <v>8.6604626261671775</v>
      </c>
      <c r="AM194" s="2"/>
    </row>
    <row r="195" spans="2:41" x14ac:dyDescent="0.35">
      <c r="B195" s="2"/>
      <c r="D195" s="155"/>
      <c r="E195" s="104" t="s">
        <v>409</v>
      </c>
      <c r="F195" s="13"/>
      <c r="G195" s="49" t="s">
        <v>77</v>
      </c>
      <c r="H195" s="13">
        <f>AVERAGE(H172:H180)</f>
        <v>3.8365333333333336</v>
      </c>
      <c r="I195" s="13">
        <f t="shared" ref="I195:P195" si="163">AVERAGE(I172:I180)</f>
        <v>8.1777999999999977</v>
      </c>
      <c r="J195" s="13">
        <f t="shared" si="163"/>
        <v>0.34409146557485559</v>
      </c>
      <c r="K195" s="13">
        <f t="shared" si="163"/>
        <v>0.65590853442514441</v>
      </c>
      <c r="L195" s="13">
        <f t="shared" si="163"/>
        <v>0.26158706904217366</v>
      </c>
      <c r="M195" s="13">
        <f t="shared" si="163"/>
        <v>9.0691223124363535E-2</v>
      </c>
      <c r="N195" s="13">
        <f t="shared" si="163"/>
        <v>12.014333333333333</v>
      </c>
      <c r="O195" s="13">
        <f t="shared" si="163"/>
        <v>27.555555555555557</v>
      </c>
      <c r="P195" s="13">
        <f t="shared" si="163"/>
        <v>7.1925282387070597</v>
      </c>
      <c r="T195" s="2"/>
      <c r="W195" s="260" t="s">
        <v>541</v>
      </c>
      <c r="X195" s="155">
        <v>0</v>
      </c>
      <c r="Z195" s="13">
        <v>120.56047</v>
      </c>
      <c r="AA195" s="2">
        <v>125.13081</v>
      </c>
      <c r="AB195" s="2">
        <f t="shared" si="155"/>
        <v>4.5703400000000016</v>
      </c>
      <c r="AC195" s="2">
        <f t="shared" si="156"/>
        <v>8.7564100000000167</v>
      </c>
      <c r="AD195" s="2">
        <f t="shared" si="157"/>
        <v>0.34294482900932299</v>
      </c>
      <c r="AE195" s="2">
        <f t="shared" si="158"/>
        <v>0.65705517099067701</v>
      </c>
      <c r="AF195" s="2">
        <f t="shared" si="159"/>
        <v>0.21880210225059835</v>
      </c>
      <c r="AG195" s="2">
        <f t="shared" si="160"/>
        <v>7.5037049543211859E-2</v>
      </c>
      <c r="AH195" s="2">
        <f t="shared" si="161"/>
        <v>13.326750000000018</v>
      </c>
      <c r="AI195" s="2">
        <v>38</v>
      </c>
      <c r="AJ195">
        <f t="shared" si="162"/>
        <v>8.3144798855227364</v>
      </c>
      <c r="AL195" t="s">
        <v>499</v>
      </c>
      <c r="AM195" s="2"/>
    </row>
    <row r="196" spans="2:41" x14ac:dyDescent="0.35">
      <c r="B196" s="2"/>
      <c r="D196" s="155"/>
      <c r="E196" s="104"/>
      <c r="F196" s="13"/>
      <c r="G196" s="49" t="s">
        <v>94</v>
      </c>
      <c r="H196" s="2">
        <f>_xlfn.STDEV.S(H172:H180)</f>
        <v>0.25389066692180856</v>
      </c>
      <c r="I196" s="2">
        <f t="shared" ref="I196:P196" si="164">_xlfn.STDEV.S(I172:I180)</f>
        <v>3.3151643973376355</v>
      </c>
      <c r="J196" s="2">
        <f t="shared" si="164"/>
        <v>9.9428753425343117E-2</v>
      </c>
      <c r="K196" s="2">
        <f t="shared" si="164"/>
        <v>9.942875342534381E-2</v>
      </c>
      <c r="L196" s="2">
        <f t="shared" si="164"/>
        <v>1.5925013747276555E-2</v>
      </c>
      <c r="M196" s="2">
        <f t="shared" si="164"/>
        <v>2.940867180037007E-2</v>
      </c>
      <c r="N196" s="2">
        <f t="shared" si="164"/>
        <v>3.4681606426678124</v>
      </c>
      <c r="O196" s="2">
        <f t="shared" si="164"/>
        <v>1.9436506316150999</v>
      </c>
      <c r="P196" s="2">
        <f t="shared" si="164"/>
        <v>0.46004332502441847</v>
      </c>
      <c r="T196" s="2"/>
      <c r="U196" s="2"/>
      <c r="W196" s="260" t="s">
        <v>541</v>
      </c>
      <c r="X196" s="155">
        <v>0</v>
      </c>
      <c r="Z196" s="13">
        <v>133.88722000000001</v>
      </c>
      <c r="AA196" s="2">
        <v>138.42756</v>
      </c>
      <c r="AB196" s="2">
        <f t="shared" si="155"/>
        <v>4.5403399999999863</v>
      </c>
      <c r="AC196" s="2">
        <f t="shared" si="156"/>
        <v>6.0947500000000048</v>
      </c>
      <c r="AD196" s="2">
        <f t="shared" si="157"/>
        <v>0.42692069366596713</v>
      </c>
      <c r="AE196" s="2">
        <f t="shared" si="158"/>
        <v>0.57307930633403292</v>
      </c>
      <c r="AF196" s="2">
        <f t="shared" si="159"/>
        <v>0.22024782285027178</v>
      </c>
      <c r="AG196" s="2">
        <f t="shared" si="160"/>
        <v>9.4028353309657073E-2</v>
      </c>
      <c r="AH196" s="2">
        <f t="shared" si="161"/>
        <v>10.635089999999991</v>
      </c>
      <c r="AI196" s="2">
        <v>35</v>
      </c>
      <c r="AJ196">
        <f t="shared" si="162"/>
        <v>7.7086737997595129</v>
      </c>
      <c r="AM196" s="2"/>
    </row>
    <row r="197" spans="2:41" x14ac:dyDescent="0.35">
      <c r="B197" s="2"/>
      <c r="D197" s="155"/>
      <c r="E197" s="104"/>
      <c r="F197" s="13"/>
      <c r="G197" s="49" t="s">
        <v>95</v>
      </c>
      <c r="H197" s="2">
        <f>H196/(SQRT(COUNT(H172:H180)))</f>
        <v>8.463022230726952E-2</v>
      </c>
      <c r="I197" s="2">
        <f t="shared" ref="I197:P197" si="165">I196/(SQRT(COUNT(I172:I180)))</f>
        <v>1.1050547991125452</v>
      </c>
      <c r="J197" s="2">
        <f t="shared" si="165"/>
        <v>3.3142917808447706E-2</v>
      </c>
      <c r="K197" s="2">
        <f t="shared" si="165"/>
        <v>3.3142917808447935E-2</v>
      </c>
      <c r="L197" s="2">
        <f t="shared" si="165"/>
        <v>5.3083379157588513E-3</v>
      </c>
      <c r="M197" s="2">
        <f t="shared" si="165"/>
        <v>9.8028906001233571E-3</v>
      </c>
      <c r="N197" s="2">
        <f t="shared" si="165"/>
        <v>1.1560535475559375</v>
      </c>
      <c r="O197" s="2">
        <f t="shared" si="165"/>
        <v>0.6478835438717</v>
      </c>
      <c r="P197" s="2">
        <f t="shared" si="165"/>
        <v>0.15334777500813948</v>
      </c>
      <c r="T197" s="2"/>
      <c r="U197" s="2"/>
      <c r="W197" s="260"/>
      <c r="X197" s="155">
        <v>0</v>
      </c>
      <c r="Z197" s="13">
        <v>144.52231</v>
      </c>
      <c r="AA197" s="2">
        <v>148.43073000000001</v>
      </c>
      <c r="AB197" s="2">
        <f t="shared" si="155"/>
        <v>3.9084200000000067</v>
      </c>
      <c r="AC197" s="2">
        <f t="shared" si="156"/>
        <v>4.0500499999999988</v>
      </c>
      <c r="AD197" s="2">
        <f t="shared" si="157"/>
        <v>0.49110193290921544</v>
      </c>
      <c r="AE197" s="2">
        <f t="shared" si="158"/>
        <v>0.50889806709078456</v>
      </c>
      <c r="AF197" s="2">
        <f t="shared" si="159"/>
        <v>0.25585786583836906</v>
      </c>
      <c r="AG197" s="2">
        <f t="shared" si="160"/>
        <v>0.12565229246324977</v>
      </c>
      <c r="AH197" s="2">
        <f t="shared" si="161"/>
        <v>7.9584700000000055</v>
      </c>
      <c r="AI197" s="2">
        <v>36</v>
      </c>
      <c r="AJ197">
        <f t="shared" si="162"/>
        <v>9.210883170181285</v>
      </c>
      <c r="AM197" s="2"/>
    </row>
    <row r="198" spans="2:41" x14ac:dyDescent="0.35">
      <c r="B198" s="2"/>
      <c r="D198" s="258"/>
      <c r="E198" s="104"/>
      <c r="F198" s="13"/>
      <c r="G198" s="49"/>
      <c r="H198" s="2"/>
      <c r="I198" s="2"/>
      <c r="J198" s="2"/>
      <c r="K198" s="2"/>
      <c r="L198" s="2"/>
      <c r="M198" s="2"/>
      <c r="N198" s="2"/>
      <c r="O198" s="2"/>
      <c r="P198" s="2"/>
      <c r="T198" s="2"/>
      <c r="U198" s="2"/>
      <c r="W198" s="260" t="s">
        <v>541</v>
      </c>
      <c r="X198" s="155">
        <v>0</v>
      </c>
      <c r="Z198" s="13">
        <v>152.48078000000001</v>
      </c>
      <c r="AA198" s="13">
        <v>157.13414</v>
      </c>
      <c r="AB198" s="2">
        <f t="shared" si="155"/>
        <v>4.6533599999999922</v>
      </c>
      <c r="AC198" s="2">
        <f t="shared" si="156"/>
        <v>6.8973399999999856</v>
      </c>
      <c r="AD198" s="2">
        <f t="shared" si="157"/>
        <v>0.40286389569463332</v>
      </c>
      <c r="AE198" s="2">
        <f t="shared" si="158"/>
        <v>0.59713610430536668</v>
      </c>
      <c r="AF198" s="2">
        <f t="shared" si="159"/>
        <v>0.21489848195712383</v>
      </c>
      <c r="AG198" s="2">
        <f t="shared" si="160"/>
        <v>8.657483962010977E-2</v>
      </c>
      <c r="AH198" s="2">
        <f t="shared" si="161"/>
        <v>11.550699999999978</v>
      </c>
      <c r="AI198" s="2">
        <v>35</v>
      </c>
      <c r="AJ198">
        <f t="shared" si="162"/>
        <v>7.5214468684993339</v>
      </c>
      <c r="AM198" s="2"/>
    </row>
    <row r="199" spans="2:41" x14ac:dyDescent="0.35">
      <c r="B199" s="2"/>
      <c r="D199" s="258"/>
      <c r="E199" s="104"/>
      <c r="F199" s="13"/>
      <c r="G199" s="49"/>
      <c r="H199" s="2"/>
      <c r="I199" s="2"/>
      <c r="J199" s="2"/>
      <c r="K199" s="2"/>
      <c r="L199" s="2"/>
      <c r="M199" s="2"/>
      <c r="N199" s="2"/>
      <c r="O199" s="2"/>
      <c r="P199" s="2"/>
      <c r="T199" s="2"/>
      <c r="U199" s="2"/>
      <c r="W199" s="260" t="s">
        <v>541</v>
      </c>
      <c r="X199" s="155">
        <v>0</v>
      </c>
      <c r="Z199" s="13">
        <v>164.03147999999999</v>
      </c>
      <c r="AA199">
        <v>168.7388</v>
      </c>
      <c r="AB199" s="2">
        <f t="shared" si="155"/>
        <v>4.7073200000000099</v>
      </c>
      <c r="AC199" s="2">
        <f t="shared" si="156"/>
        <v>8.4947699999999884</v>
      </c>
      <c r="AD199" s="2">
        <f t="shared" si="157"/>
        <v>0.35655869638822418</v>
      </c>
      <c r="AE199" s="2">
        <f t="shared" si="158"/>
        <v>0.64344130361177587</v>
      </c>
      <c r="AF199" s="2">
        <f t="shared" si="159"/>
        <v>0.21243510107662064</v>
      </c>
      <c r="AG199" s="2">
        <f t="shared" si="160"/>
        <v>7.5745582706980494E-2</v>
      </c>
      <c r="AH199" s="2">
        <f t="shared" si="161"/>
        <v>13.202089999999998</v>
      </c>
      <c r="AI199" s="2">
        <v>43</v>
      </c>
      <c r="AJ199">
        <f t="shared" si="162"/>
        <v>9.134709346294688</v>
      </c>
      <c r="AM199" s="2"/>
    </row>
    <row r="200" spans="2:41" ht="16" thickBot="1" x14ac:dyDescent="0.4">
      <c r="E200" s="104" t="s">
        <v>81</v>
      </c>
      <c r="F200" s="13"/>
      <c r="G200" s="13"/>
      <c r="H200" s="9" t="s">
        <v>3</v>
      </c>
      <c r="I200" s="9" t="s">
        <v>4</v>
      </c>
      <c r="J200" s="9" t="s">
        <v>5</v>
      </c>
      <c r="K200" s="9" t="s">
        <v>6</v>
      </c>
      <c r="L200" s="9" t="s">
        <v>7</v>
      </c>
      <c r="M200" s="9" t="s">
        <v>8</v>
      </c>
      <c r="N200" s="9" t="s">
        <v>9</v>
      </c>
      <c r="O200" s="9" t="s">
        <v>10</v>
      </c>
      <c r="P200" s="44" t="s">
        <v>139</v>
      </c>
      <c r="T200" s="2"/>
      <c r="U200" s="2"/>
      <c r="W200" s="260" t="s">
        <v>541</v>
      </c>
      <c r="X200" s="155">
        <v>0</v>
      </c>
      <c r="Z200">
        <v>177.23356999999999</v>
      </c>
      <c r="AA200">
        <v>181.30481</v>
      </c>
      <c r="AB200" s="2">
        <f t="shared" si="155"/>
        <v>4.0712400000000173</v>
      </c>
      <c r="AC200" s="2">
        <f t="shared" si="156"/>
        <v>5.7535399999999868</v>
      </c>
      <c r="AD200" s="2">
        <f t="shared" si="157"/>
        <v>0.41438485136563014</v>
      </c>
      <c r="AE200" s="2">
        <f t="shared" si="158"/>
        <v>0.58561514863436992</v>
      </c>
      <c r="AF200" s="2">
        <f t="shared" si="159"/>
        <v>0.24562541142256308</v>
      </c>
      <c r="AG200" s="2">
        <f t="shared" si="160"/>
        <v>0.10178344960396056</v>
      </c>
      <c r="AH200" s="2">
        <f t="shared" si="161"/>
        <v>9.8247800000000041</v>
      </c>
      <c r="AI200" s="2">
        <v>35</v>
      </c>
      <c r="AJ200">
        <f t="shared" si="162"/>
        <v>8.596889399789708</v>
      </c>
      <c r="AM200" s="2"/>
    </row>
    <row r="201" spans="2:41" x14ac:dyDescent="0.35">
      <c r="E201" s="104"/>
      <c r="F201" s="13"/>
      <c r="G201" s="49" t="s">
        <v>77</v>
      </c>
      <c r="H201" s="13">
        <f>AVERAGE(H172,H174:H177,H179)</f>
        <v>3.9165649999999999</v>
      </c>
      <c r="I201" s="13">
        <f t="shared" ref="I201:P201" si="166">AVERAGE(I172,I174:I177,I179)</f>
        <v>10.215871666666667</v>
      </c>
      <c r="J201" s="13">
        <f t="shared" si="166"/>
        <v>0.27978098431789872</v>
      </c>
      <c r="K201" s="13">
        <f t="shared" si="166"/>
        <v>0.72021901568210145</v>
      </c>
      <c r="L201" s="13">
        <f t="shared" si="166"/>
        <v>0.25635766174576319</v>
      </c>
      <c r="M201" s="13">
        <f t="shared" si="166"/>
        <v>7.1751911528254872E-2</v>
      </c>
      <c r="N201" s="13">
        <f t="shared" si="166"/>
        <v>14.132436666666669</v>
      </c>
      <c r="O201" s="13">
        <f t="shared" si="166"/>
        <v>27.833333333333332</v>
      </c>
      <c r="P201" s="13">
        <f t="shared" si="166"/>
        <v>7.1194854645624837</v>
      </c>
      <c r="T201" s="2"/>
      <c r="U201" s="2"/>
      <c r="W201" s="260" t="s">
        <v>541</v>
      </c>
      <c r="X201" s="155">
        <v>0</v>
      </c>
      <c r="Z201">
        <v>187.05834999999999</v>
      </c>
      <c r="AA201">
        <v>191.09455</v>
      </c>
      <c r="AB201" s="2">
        <f t="shared" si="155"/>
        <v>4.036200000000008</v>
      </c>
      <c r="AC201" s="2">
        <f t="shared" si="156"/>
        <v>10.96047999999999</v>
      </c>
      <c r="AD201" s="2">
        <f t="shared" si="157"/>
        <v>0.26913956955806273</v>
      </c>
      <c r="AE201" s="2">
        <f t="shared" si="158"/>
        <v>0.73086043044193727</v>
      </c>
      <c r="AF201" s="2">
        <f t="shared" si="159"/>
        <v>0.24775779198255737</v>
      </c>
      <c r="AG201" s="2">
        <f t="shared" si="160"/>
        <v>6.6681425488841539E-2</v>
      </c>
      <c r="AH201" s="2">
        <f t="shared" si="161"/>
        <v>14.996679999999998</v>
      </c>
      <c r="AI201">
        <v>37</v>
      </c>
      <c r="AJ201">
        <f t="shared" si="162"/>
        <v>9.167038303354623</v>
      </c>
      <c r="AM201" s="2"/>
    </row>
    <row r="202" spans="2:41" x14ac:dyDescent="0.35">
      <c r="E202" s="104"/>
      <c r="F202" s="13"/>
      <c r="G202" s="49" t="s">
        <v>94</v>
      </c>
      <c r="H202" s="2">
        <f>_xlfn.STDEV.S(H172,H174:H177,H179)</f>
        <v>0.28054468733162902</v>
      </c>
      <c r="I202" s="2">
        <f t="shared" ref="I202:P202" si="167">_xlfn.STDEV.S(I172,I174:I177,I179)</f>
        <v>1.6206139849873702</v>
      </c>
      <c r="J202" s="2">
        <f t="shared" si="167"/>
        <v>2.9745507384170606E-2</v>
      </c>
      <c r="K202" s="2">
        <f t="shared" si="167"/>
        <v>2.9745507384170602E-2</v>
      </c>
      <c r="L202" s="2">
        <f t="shared" si="167"/>
        <v>1.731690142059247E-2</v>
      </c>
      <c r="M202" s="2">
        <f t="shared" si="167"/>
        <v>9.5998493755255453E-3</v>
      </c>
      <c r="N202" s="2">
        <f t="shared" si="167"/>
        <v>1.7586758871226456</v>
      </c>
      <c r="O202" s="2">
        <f t="shared" si="167"/>
        <v>1.7224014243685086</v>
      </c>
      <c r="P202" s="2">
        <f t="shared" si="167"/>
        <v>0.40416740407942847</v>
      </c>
      <c r="T202" s="2"/>
      <c r="U202" s="2"/>
      <c r="W202" s="260"/>
      <c r="X202" s="155">
        <v>0</v>
      </c>
      <c r="Z202">
        <v>202.05502999999999</v>
      </c>
      <c r="AA202">
        <v>206.03435999999999</v>
      </c>
      <c r="AB202" s="2">
        <f t="shared" si="155"/>
        <v>3.9793300000000045</v>
      </c>
      <c r="AC202" s="2">
        <f t="shared" si="156"/>
        <v>4.8647899999999993</v>
      </c>
      <c r="AD202" s="2">
        <f t="shared" si="157"/>
        <v>0.44994075159541058</v>
      </c>
      <c r="AE202" s="2">
        <f t="shared" si="158"/>
        <v>0.55005924840458942</v>
      </c>
      <c r="AF202" s="2">
        <f t="shared" si="159"/>
        <v>0.25129858544026229</v>
      </c>
      <c r="AG202" s="2">
        <f t="shared" si="160"/>
        <v>0.11306947440785511</v>
      </c>
      <c r="AH202" s="2">
        <f t="shared" si="161"/>
        <v>8.8441200000000038</v>
      </c>
      <c r="AI202">
        <v>38</v>
      </c>
      <c r="AJ202">
        <f t="shared" si="162"/>
        <v>9.5493462467299661</v>
      </c>
      <c r="AM202" s="2"/>
    </row>
    <row r="203" spans="2:41" x14ac:dyDescent="0.35">
      <c r="E203" s="104"/>
      <c r="F203" s="13"/>
      <c r="G203" s="49" t="s">
        <v>95</v>
      </c>
      <c r="H203" s="2">
        <f>H202/(SQRT(COUNT(H172,H174:H177,H179)))</f>
        <v>0.11453188900185653</v>
      </c>
      <c r="I203" s="2">
        <f t="shared" ref="I203:P203" si="168">I202/(SQRT(COUNT(I172,I174:I177,I179)))</f>
        <v>0.66161288887292247</v>
      </c>
      <c r="J203" s="2">
        <f t="shared" si="168"/>
        <v>1.2143552538567864E-2</v>
      </c>
      <c r="K203" s="2">
        <f t="shared" si="168"/>
        <v>1.2143552538567864E-2</v>
      </c>
      <c r="L203" s="2">
        <f t="shared" si="168"/>
        <v>7.0695954010881173E-3</v>
      </c>
      <c r="M203" s="2">
        <f t="shared" si="168"/>
        <v>3.9191220962688875E-3</v>
      </c>
      <c r="N203" s="2">
        <f t="shared" si="168"/>
        <v>0.71797642439783782</v>
      </c>
      <c r="O203" s="2">
        <f t="shared" si="168"/>
        <v>0.7031674369909664</v>
      </c>
      <c r="P203" s="2">
        <f t="shared" si="168"/>
        <v>0.16500065177664403</v>
      </c>
      <c r="T203" s="2"/>
      <c r="U203" s="2"/>
      <c r="W203" s="260" t="s">
        <v>541</v>
      </c>
      <c r="X203" s="155">
        <v>0</v>
      </c>
      <c r="Z203">
        <v>210.89914999999999</v>
      </c>
      <c r="AA203">
        <v>214.78167999999999</v>
      </c>
      <c r="AB203" s="2">
        <f t="shared" si="155"/>
        <v>3.8825300000000027</v>
      </c>
      <c r="AC203" s="2">
        <f t="shared" si="156"/>
        <v>7.6837900000000161</v>
      </c>
      <c r="AD203" s="2">
        <f t="shared" si="157"/>
        <v>0.33567547845814366</v>
      </c>
      <c r="AE203" s="2">
        <f t="shared" si="158"/>
        <v>0.66432452154185628</v>
      </c>
      <c r="AF203" s="2">
        <f t="shared" si="159"/>
        <v>0.25756401109585741</v>
      </c>
      <c r="AG203" s="2">
        <f t="shared" si="160"/>
        <v>8.645792265820057E-2</v>
      </c>
      <c r="AH203" s="2">
        <f t="shared" si="161"/>
        <v>11.566320000000019</v>
      </c>
      <c r="AI203">
        <v>33</v>
      </c>
      <c r="AJ203">
        <f t="shared" si="162"/>
        <v>8.4996123661632943</v>
      </c>
      <c r="AM203" s="2"/>
      <c r="AO203" s="2"/>
    </row>
    <row r="204" spans="2:41" x14ac:dyDescent="0.35">
      <c r="E204" s="104"/>
      <c r="F204" s="13"/>
      <c r="G204" s="49"/>
      <c r="H204" s="2"/>
      <c r="I204" s="2"/>
      <c r="J204" s="2"/>
      <c r="K204" s="2"/>
      <c r="L204" s="2"/>
      <c r="M204" s="2"/>
      <c r="N204" s="2"/>
      <c r="O204" s="2"/>
      <c r="P204" s="2"/>
      <c r="T204" s="2"/>
      <c r="U204" s="2"/>
      <c r="X204" s="155">
        <v>0</v>
      </c>
      <c r="Z204">
        <v>222.46547000000001</v>
      </c>
      <c r="AA204">
        <v>227.20708999999999</v>
      </c>
      <c r="AB204" s="2">
        <f t="shared" si="155"/>
        <v>4.7416199999999833</v>
      </c>
      <c r="AC204" s="2">
        <f t="shared" si="156"/>
        <v>4.2003500000000145</v>
      </c>
      <c r="AD204" s="2">
        <f t="shared" si="157"/>
        <v>0.53026570207683366</v>
      </c>
      <c r="AE204" s="2">
        <f t="shared" si="158"/>
        <v>0.46973429792316634</v>
      </c>
      <c r="AF204" s="2">
        <f t="shared" si="159"/>
        <v>0.21089838494016888</v>
      </c>
      <c r="AG204" s="2">
        <f t="shared" si="160"/>
        <v>0.11183218015716898</v>
      </c>
      <c r="AH204" s="2">
        <f t="shared" si="161"/>
        <v>8.9419699999999978</v>
      </c>
      <c r="AI204">
        <v>41</v>
      </c>
      <c r="AJ204">
        <f t="shared" si="162"/>
        <v>8.6468337825469241</v>
      </c>
      <c r="AM204" s="2"/>
      <c r="AO204" s="2"/>
    </row>
    <row r="205" spans="2:41" x14ac:dyDescent="0.35">
      <c r="E205" s="104"/>
      <c r="F205" s="13"/>
      <c r="G205" s="49"/>
      <c r="H205" s="2"/>
      <c r="I205" s="2"/>
      <c r="J205" s="2"/>
      <c r="K205" s="2"/>
      <c r="L205" s="2"/>
      <c r="M205" s="2"/>
      <c r="N205" s="2"/>
      <c r="O205" s="2"/>
      <c r="P205" s="2"/>
      <c r="U205" s="2"/>
      <c r="X205" s="155">
        <v>0</v>
      </c>
      <c r="Z205">
        <v>231.40744000000001</v>
      </c>
      <c r="AA205">
        <v>235.39081999999999</v>
      </c>
      <c r="AB205" s="2">
        <f t="shared" si="155"/>
        <v>3.9833799999999826</v>
      </c>
      <c r="AC205" s="2"/>
      <c r="AD205" s="2"/>
      <c r="AE205" s="2"/>
      <c r="AF205" s="2"/>
      <c r="AG205" s="2"/>
      <c r="AH205" s="2"/>
      <c r="AM205" s="2"/>
      <c r="AO205" s="2"/>
    </row>
    <row r="206" spans="2:41" ht="16" thickBot="1" x14ac:dyDescent="0.4">
      <c r="E206" s="104" t="s">
        <v>82</v>
      </c>
      <c r="F206" s="13"/>
      <c r="G206" s="13"/>
      <c r="H206" s="9" t="s">
        <v>3</v>
      </c>
      <c r="I206" s="9" t="s">
        <v>4</v>
      </c>
      <c r="J206" s="9" t="s">
        <v>5</v>
      </c>
      <c r="K206" s="9" t="s">
        <v>6</v>
      </c>
      <c r="L206" s="9" t="s">
        <v>7</v>
      </c>
      <c r="M206" s="9" t="s">
        <v>8</v>
      </c>
      <c r="N206" s="9" t="s">
        <v>9</v>
      </c>
      <c r="O206" s="9" t="s">
        <v>10</v>
      </c>
      <c r="P206" s="44" t="s">
        <v>139</v>
      </c>
      <c r="U206" s="2"/>
      <c r="X206" s="155"/>
      <c r="AB206" s="2"/>
      <c r="AC206" s="2"/>
      <c r="AD206" s="2"/>
      <c r="AE206" s="2"/>
      <c r="AF206" s="2"/>
      <c r="AG206" s="2"/>
      <c r="AH206" s="2"/>
      <c r="AM206" s="2"/>
      <c r="AO206" s="2"/>
    </row>
    <row r="207" spans="2:41" x14ac:dyDescent="0.35">
      <c r="E207" s="104"/>
      <c r="F207" s="13"/>
      <c r="G207" s="49" t="s">
        <v>77</v>
      </c>
      <c r="H207" s="13">
        <f>AVERAGE(H173,H178,H180)</f>
        <v>3.6764700000000032</v>
      </c>
      <c r="I207" s="13">
        <f t="shared" ref="I207:P207" si="169">AVERAGE(I173,I178,I180)</f>
        <v>4.1016566666666625</v>
      </c>
      <c r="J207" s="13">
        <f t="shared" si="169"/>
        <v>0.4727124280887694</v>
      </c>
      <c r="K207" s="13">
        <f t="shared" si="169"/>
        <v>0.52728757191123055</v>
      </c>
      <c r="L207" s="13">
        <f t="shared" si="169"/>
        <v>0.27204588363499466</v>
      </c>
      <c r="M207" s="13">
        <f t="shared" si="169"/>
        <v>0.12856984631658086</v>
      </c>
      <c r="N207" s="13">
        <f t="shared" si="169"/>
        <v>7.7781266666666653</v>
      </c>
      <c r="O207" s="13">
        <f t="shared" si="169"/>
        <v>27</v>
      </c>
      <c r="P207" s="13">
        <f t="shared" si="169"/>
        <v>7.3386137869962091</v>
      </c>
      <c r="U207" s="2"/>
      <c r="AM207" s="2"/>
      <c r="AO207" s="2"/>
    </row>
    <row r="208" spans="2:41" ht="16" thickBot="1" x14ac:dyDescent="0.4">
      <c r="E208" s="104"/>
      <c r="F208" s="13"/>
      <c r="G208" s="49" t="s">
        <v>94</v>
      </c>
      <c r="H208" s="2">
        <f>_xlfn.STDEV.S(H173,H178,H180)</f>
        <v>5.8591552292126439E-2</v>
      </c>
      <c r="I208" s="2">
        <f t="shared" ref="I208:P208" si="170">_xlfn.STDEV.S(I173,I178,I180)</f>
        <v>0.10798443606990166</v>
      </c>
      <c r="J208" s="2">
        <f t="shared" si="170"/>
        <v>1.0477500250718029E-2</v>
      </c>
      <c r="K208" s="2">
        <f t="shared" si="170"/>
        <v>1.0477500250718051E-2</v>
      </c>
      <c r="L208" s="2">
        <f t="shared" si="170"/>
        <v>4.3146562240502168E-3</v>
      </c>
      <c r="M208" s="2">
        <f t="shared" si="170"/>
        <v>8.9968025160095983E-4</v>
      </c>
      <c r="N208" s="2">
        <f t="shared" si="170"/>
        <v>5.4269765370168803E-2</v>
      </c>
      <c r="O208" s="2">
        <f t="shared" si="170"/>
        <v>2.6457513110645907</v>
      </c>
      <c r="P208" s="2">
        <f t="shared" si="170"/>
        <v>0.62463108760668651</v>
      </c>
      <c r="U208" s="2"/>
      <c r="Z208" s="13"/>
      <c r="AA208" s="13"/>
      <c r="AB208" s="9" t="s">
        <v>3</v>
      </c>
      <c r="AC208" s="9" t="s">
        <v>4</v>
      </c>
      <c r="AD208" s="9" t="s">
        <v>5</v>
      </c>
      <c r="AE208" s="9" t="s">
        <v>6</v>
      </c>
      <c r="AF208" s="9" t="s">
        <v>7</v>
      </c>
      <c r="AG208" s="9" t="s">
        <v>8</v>
      </c>
      <c r="AH208" s="9" t="s">
        <v>9</v>
      </c>
      <c r="AI208" s="9" t="s">
        <v>10</v>
      </c>
      <c r="AJ208" s="44" t="s">
        <v>139</v>
      </c>
      <c r="AM208" s="2"/>
      <c r="AO208" s="2"/>
    </row>
    <row r="209" spans="5:41" x14ac:dyDescent="0.35">
      <c r="E209" s="104"/>
      <c r="F209" s="13"/>
      <c r="G209" s="49" t="s">
        <v>95</v>
      </c>
      <c r="H209" s="2">
        <f>H208/(SQRT(COUNT(H173,H178,H180)))</f>
        <v>3.3827848488097237E-2</v>
      </c>
      <c r="I209" s="2">
        <f t="shared" ref="I209:P209" si="171">I208/(SQRT(COUNT(I173,I178,I180)))</f>
        <v>6.2344843233247661E-2</v>
      </c>
      <c r="J209" s="2">
        <f t="shared" si="171"/>
        <v>6.0491875901864259E-3</v>
      </c>
      <c r="K209" s="2">
        <f t="shared" si="171"/>
        <v>6.0491875901864389E-3</v>
      </c>
      <c r="L209" s="2">
        <f t="shared" si="171"/>
        <v>2.4910679324160871E-3</v>
      </c>
      <c r="M209" s="2">
        <f t="shared" si="171"/>
        <v>5.1943063544640446E-4</v>
      </c>
      <c r="N209" s="2">
        <f t="shared" si="171"/>
        <v>3.133266364532479E-2</v>
      </c>
      <c r="O209" s="2">
        <f t="shared" si="171"/>
        <v>1.5275252316519468</v>
      </c>
      <c r="P209" s="2">
        <f t="shared" si="171"/>
        <v>0.3606309265739292</v>
      </c>
      <c r="U209" s="2"/>
      <c r="Y209" s="104" t="s">
        <v>473</v>
      </c>
      <c r="Z209" s="13"/>
      <c r="AA209" s="49" t="s">
        <v>77</v>
      </c>
      <c r="AB209" s="13">
        <f>AVERAGE(AB184:AB194)</f>
        <v>4.1962536363636369</v>
      </c>
      <c r="AC209" s="13">
        <f t="shared" ref="AC209:AJ209" si="172">AVERAGE(AC184:AC194)</f>
        <v>6.1897499999999983</v>
      </c>
      <c r="AD209" s="13">
        <f t="shared" si="172"/>
        <v>0.42333844052258374</v>
      </c>
      <c r="AE209" s="13">
        <f t="shared" si="172"/>
        <v>0.57666155947741649</v>
      </c>
      <c r="AF209" s="13">
        <f t="shared" si="172"/>
        <v>0.24037462256254988</v>
      </c>
      <c r="AG209" s="13">
        <f t="shared" si="172"/>
        <v>0.10066782564222419</v>
      </c>
      <c r="AH209" s="13">
        <f t="shared" si="172"/>
        <v>10.386003636363636</v>
      </c>
      <c r="AI209" s="13">
        <f t="shared" si="172"/>
        <v>36.454545454545453</v>
      </c>
      <c r="AJ209" s="13">
        <f t="shared" si="172"/>
        <v>8.6894948016753748</v>
      </c>
      <c r="AM209" s="2"/>
      <c r="AO209" s="2"/>
    </row>
    <row r="210" spans="5:41" x14ac:dyDescent="0.35">
      <c r="E210" s="104"/>
      <c r="F210" s="13"/>
      <c r="G210" s="49"/>
      <c r="H210" s="2"/>
      <c r="I210" s="2"/>
      <c r="J210" s="2"/>
      <c r="K210" s="2"/>
      <c r="L210" s="2"/>
      <c r="M210" s="2"/>
      <c r="N210" s="2"/>
      <c r="O210" s="2"/>
      <c r="P210" s="2"/>
      <c r="U210" s="2"/>
      <c r="Y210" s="104"/>
      <c r="Z210" s="13"/>
      <c r="AA210" s="49" t="s">
        <v>94</v>
      </c>
      <c r="AB210" s="2">
        <f>_xlfn.STDEV.S(AB184:AB194)</f>
        <v>0.41989093203527805</v>
      </c>
      <c r="AC210" s="2">
        <f t="shared" ref="AC210:AJ210" si="173">_xlfn.STDEV.S(AC184:AC194)</f>
        <v>2.4515490850399067</v>
      </c>
      <c r="AD210" s="2">
        <f t="shared" si="173"/>
        <v>0.10575541448330256</v>
      </c>
      <c r="AE210" s="2">
        <f t="shared" si="173"/>
        <v>0.10575541448330297</v>
      </c>
      <c r="AF210" s="2">
        <f t="shared" si="173"/>
        <v>2.2752734760433966E-2</v>
      </c>
      <c r="AG210" s="2">
        <f t="shared" si="173"/>
        <v>2.1226208664979561E-2</v>
      </c>
      <c r="AH210" s="2">
        <f t="shared" si="173"/>
        <v>2.4229935410573131</v>
      </c>
      <c r="AI210" s="2">
        <f t="shared" si="173"/>
        <v>3.8565175058240313</v>
      </c>
      <c r="AJ210" s="2">
        <f t="shared" si="173"/>
        <v>0.39151926316708241</v>
      </c>
      <c r="AM210" s="2"/>
      <c r="AO210" s="2"/>
    </row>
    <row r="211" spans="5:41" x14ac:dyDescent="0.35">
      <c r="E211" s="104"/>
      <c r="F211" s="13"/>
      <c r="G211" s="49"/>
      <c r="H211" s="2"/>
      <c r="I211" s="2"/>
      <c r="J211" s="2"/>
      <c r="K211" s="2"/>
      <c r="L211" s="2"/>
      <c r="M211" s="2"/>
      <c r="N211" s="2"/>
      <c r="O211" s="2"/>
      <c r="P211" s="2"/>
      <c r="U211" s="2"/>
      <c r="X211" s="155"/>
      <c r="Y211" s="104"/>
      <c r="Z211" s="13"/>
      <c r="AA211" s="49" t="s">
        <v>95</v>
      </c>
      <c r="AB211" s="2">
        <f t="shared" ref="AB211:AJ211" si="174">AB210/(SQRT(COUNT(AB184:AB194)))</f>
        <v>0.12660187949396706</v>
      </c>
      <c r="AC211" s="2">
        <f t="shared" si="174"/>
        <v>0.73916986092876846</v>
      </c>
      <c r="AD211" s="2">
        <f t="shared" si="174"/>
        <v>3.1886457217239254E-2</v>
      </c>
      <c r="AE211" s="2">
        <f t="shared" si="174"/>
        <v>3.1886457217239379E-2</v>
      </c>
      <c r="AF211" s="2">
        <f t="shared" si="174"/>
        <v>6.8602076504396658E-3</v>
      </c>
      <c r="AG211" s="2">
        <f t="shared" si="174"/>
        <v>6.3999427148661641E-3</v>
      </c>
      <c r="AH211" s="2">
        <f t="shared" si="174"/>
        <v>0.73056004046742717</v>
      </c>
      <c r="AI211" s="2">
        <f t="shared" si="174"/>
        <v>1.162783778568687</v>
      </c>
      <c r="AJ211" s="2">
        <f t="shared" si="174"/>
        <v>0.11804749946560231</v>
      </c>
      <c r="AM211" s="2"/>
      <c r="AO211" s="2"/>
    </row>
    <row r="212" spans="5:41" x14ac:dyDescent="0.35">
      <c r="E212" s="104"/>
      <c r="U212" s="2"/>
      <c r="X212" s="260"/>
      <c r="Y212" s="104"/>
      <c r="Z212" s="13"/>
      <c r="AA212" s="49"/>
      <c r="AB212" s="2"/>
      <c r="AC212" s="2"/>
      <c r="AD212" s="2"/>
      <c r="AE212" s="2"/>
      <c r="AF212" s="2"/>
      <c r="AG212" s="2"/>
      <c r="AH212" s="2"/>
      <c r="AI212" s="2"/>
      <c r="AJ212" s="2"/>
      <c r="AM212" s="2"/>
      <c r="AO212" s="2"/>
    </row>
    <row r="213" spans="5:41" x14ac:dyDescent="0.35">
      <c r="E213" s="104"/>
      <c r="U213" s="2"/>
      <c r="X213" s="260"/>
      <c r="Y213" s="104"/>
      <c r="Z213" s="13"/>
      <c r="AA213" s="49"/>
      <c r="AB213" s="2"/>
      <c r="AC213" s="2"/>
      <c r="AD213" s="2"/>
      <c r="AE213" s="2"/>
      <c r="AF213" s="2"/>
      <c r="AG213" s="2"/>
      <c r="AH213" s="2"/>
      <c r="AI213" s="2"/>
      <c r="AJ213" s="2"/>
      <c r="AM213" s="2"/>
      <c r="AO213" s="2"/>
    </row>
    <row r="214" spans="5:41" ht="16" thickBot="1" x14ac:dyDescent="0.4">
      <c r="E214" s="104"/>
      <c r="G214" s="13"/>
      <c r="H214" s="9" t="s">
        <v>3</v>
      </c>
      <c r="I214" s="9" t="s">
        <v>4</v>
      </c>
      <c r="J214" s="9" t="s">
        <v>5</v>
      </c>
      <c r="K214" s="9" t="s">
        <v>6</v>
      </c>
      <c r="L214" s="9" t="s">
        <v>7</v>
      </c>
      <c r="M214" s="9" t="s">
        <v>8</v>
      </c>
      <c r="N214" s="9" t="s">
        <v>9</v>
      </c>
      <c r="O214" s="9" t="s">
        <v>10</v>
      </c>
      <c r="P214" s="44" t="s">
        <v>139</v>
      </c>
      <c r="U214" s="2"/>
      <c r="X214" s="260"/>
      <c r="Y214" s="104" t="s">
        <v>81</v>
      </c>
      <c r="Z214" s="13"/>
      <c r="AA214" s="13"/>
      <c r="AB214" s="9" t="s">
        <v>3</v>
      </c>
      <c r="AC214" s="9" t="s">
        <v>4</v>
      </c>
      <c r="AD214" s="9" t="s">
        <v>5</v>
      </c>
      <c r="AE214" s="9" t="s">
        <v>6</v>
      </c>
      <c r="AF214" s="9" t="s">
        <v>7</v>
      </c>
      <c r="AG214" s="9" t="s">
        <v>8</v>
      </c>
      <c r="AH214" s="9" t="s">
        <v>9</v>
      </c>
      <c r="AI214" s="9" t="s">
        <v>10</v>
      </c>
      <c r="AJ214" s="44" t="s">
        <v>139</v>
      </c>
      <c r="AM214" s="2"/>
      <c r="AO214" s="2"/>
    </row>
    <row r="215" spans="5:41" x14ac:dyDescent="0.35">
      <c r="E215" s="104" t="s">
        <v>410</v>
      </c>
      <c r="G215" s="49" t="s">
        <v>77</v>
      </c>
      <c r="H215" s="13">
        <f t="shared" ref="H215:P215" si="175">AVERAGE(H181:H190)</f>
        <v>3.4592700000000023</v>
      </c>
      <c r="I215" s="13">
        <f t="shared" si="175"/>
        <v>7.8606999999999969</v>
      </c>
      <c r="J215" s="13">
        <f t="shared" si="175"/>
        <v>0.33638867085594076</v>
      </c>
      <c r="K215" s="13">
        <f t="shared" si="175"/>
        <v>0.66361132914405918</v>
      </c>
      <c r="L215" s="13">
        <f t="shared" si="175"/>
        <v>0.29484606586033751</v>
      </c>
      <c r="M215" s="13">
        <f t="shared" si="175"/>
        <v>9.6090350031113103E-2</v>
      </c>
      <c r="N215" s="13">
        <f t="shared" si="175"/>
        <v>11.31997</v>
      </c>
      <c r="O215" s="13">
        <f t="shared" si="175"/>
        <v>25.3</v>
      </c>
      <c r="P215" s="13">
        <f t="shared" si="175"/>
        <v>7.3246276062895319</v>
      </c>
      <c r="U215" s="2"/>
      <c r="X215" s="260"/>
      <c r="Y215" s="104"/>
      <c r="Z215" s="13"/>
      <c r="AA215" s="49" t="s">
        <v>77</v>
      </c>
      <c r="AB215" s="13">
        <f>AVERAGE(AB185,AB187,AB189,AB191:AB192,AB194)</f>
        <v>4.0316783333333346</v>
      </c>
      <c r="AC215" s="13">
        <f t="shared" ref="AC215:AJ215" si="176">AVERAGE(AC185,AC187,AC189,AC191:AC192,AC194)</f>
        <v>8.1016483333333316</v>
      </c>
      <c r="AD215" s="13">
        <f t="shared" si="176"/>
        <v>0.33452630204498623</v>
      </c>
      <c r="AE215" s="13">
        <f t="shared" si="176"/>
        <v>0.66547369795501365</v>
      </c>
      <c r="AF215" s="13">
        <f t="shared" si="176"/>
        <v>0.24966450614905947</v>
      </c>
      <c r="AG215" s="13">
        <f t="shared" si="176"/>
        <v>8.3775244366208201E-2</v>
      </c>
      <c r="AH215" s="13">
        <f t="shared" si="176"/>
        <v>12.133326666666667</v>
      </c>
      <c r="AI215" s="13">
        <f t="shared" si="176"/>
        <v>34.833333333333336</v>
      </c>
      <c r="AJ215" s="13">
        <f t="shared" si="176"/>
        <v>8.6223313993426505</v>
      </c>
      <c r="AM215" s="2"/>
      <c r="AO215" s="2"/>
    </row>
    <row r="216" spans="5:41" x14ac:dyDescent="0.35">
      <c r="G216" s="49" t="s">
        <v>94</v>
      </c>
      <c r="H216" s="2">
        <f t="shared" ref="H216:P216" si="177">_xlfn.STDEV.S(H181:H190)</f>
        <v>0.48168200323910942</v>
      </c>
      <c r="I216" s="2">
        <f t="shared" si="177"/>
        <v>3.3219167156460934</v>
      </c>
      <c r="J216" s="2">
        <f t="shared" si="177"/>
        <v>0.13565184746552206</v>
      </c>
      <c r="K216" s="2">
        <f t="shared" si="177"/>
        <v>0.13565184746552197</v>
      </c>
      <c r="L216" s="2">
        <f t="shared" si="177"/>
        <v>4.6154425658578795E-2</v>
      </c>
      <c r="M216" s="2">
        <f t="shared" si="177"/>
        <v>3.1000871235187414E-2</v>
      </c>
      <c r="N216" s="2">
        <f t="shared" si="177"/>
        <v>3.2192014420591297</v>
      </c>
      <c r="O216" s="2">
        <f t="shared" si="177"/>
        <v>3.4976182372199189</v>
      </c>
      <c r="P216" s="2">
        <f t="shared" si="177"/>
        <v>0.35510376141334105</v>
      </c>
      <c r="U216" s="2"/>
      <c r="X216" s="260"/>
      <c r="Y216" s="104"/>
      <c r="Z216" s="13"/>
      <c r="AA216" s="49" t="s">
        <v>94</v>
      </c>
      <c r="AB216" s="2">
        <f>_xlfn.STDEV.S(AB185,AB187,AB189,AB191:AB192,AB194)</f>
        <v>0.37997007026431157</v>
      </c>
      <c r="AC216" s="2">
        <f t="shared" ref="AC216:AJ216" si="178">_xlfn.STDEV.S(AC185,AC187,AC189,AC191:AC192,AC194)</f>
        <v>1.5052108910238025</v>
      </c>
      <c r="AD216" s="2">
        <f t="shared" si="178"/>
        <v>1.9343535999021718E-2</v>
      </c>
      <c r="AE216" s="2">
        <f t="shared" si="178"/>
        <v>1.9343535999021732E-2</v>
      </c>
      <c r="AF216" s="2">
        <f t="shared" si="178"/>
        <v>2.0761883169940907E-2</v>
      </c>
      <c r="AG216" s="2">
        <f t="shared" si="178"/>
        <v>1.0584560302777934E-2</v>
      </c>
      <c r="AH216" s="2">
        <f t="shared" si="178"/>
        <v>1.8729766469944666</v>
      </c>
      <c r="AI216" s="2">
        <f t="shared" si="178"/>
        <v>4.4459719597256351</v>
      </c>
      <c r="AJ216" s="2">
        <f t="shared" si="178"/>
        <v>0.38478331329695992</v>
      </c>
      <c r="AM216" s="2"/>
      <c r="AO216" s="2"/>
    </row>
    <row r="217" spans="5:41" x14ac:dyDescent="0.35">
      <c r="G217" s="49" t="s">
        <v>95</v>
      </c>
      <c r="H217" s="2">
        <f t="shared" ref="H217:P217" si="179">H216/(SQRT(COUNT(H181:H190)))</f>
        <v>0.15232122381481886</v>
      </c>
      <c r="I217" s="2">
        <f t="shared" si="179"/>
        <v>1.0504823018827556</v>
      </c>
      <c r="J217" s="2">
        <f t="shared" si="179"/>
        <v>4.2896880680078894E-2</v>
      </c>
      <c r="K217" s="2">
        <f t="shared" si="179"/>
        <v>4.2896880680078874E-2</v>
      </c>
      <c r="L217" s="2">
        <f t="shared" si="179"/>
        <v>1.4595310917802595E-2</v>
      </c>
      <c r="M217" s="2">
        <f t="shared" si="179"/>
        <v>9.8033362552789657E-3</v>
      </c>
      <c r="N217" s="2">
        <f t="shared" si="179"/>
        <v>1.0180008803805416</v>
      </c>
      <c r="O217" s="2">
        <f t="shared" si="179"/>
        <v>1.1060440015358055</v>
      </c>
      <c r="P217" s="2">
        <f t="shared" si="179"/>
        <v>0.11229366917591704</v>
      </c>
      <c r="U217" s="2"/>
      <c r="X217" s="260"/>
      <c r="Y217" s="104"/>
      <c r="Z217" s="13"/>
      <c r="AA217" s="49" t="s">
        <v>95</v>
      </c>
      <c r="AB217" s="2">
        <f>AB216/(SQRT(COUNT(AB185,AB187,AB189,AB191:AB192,AB194)))</f>
        <v>0.15512213161283911</v>
      </c>
      <c r="AC217" s="2">
        <f t="shared" ref="AC217:AJ217" si="180">AC216/(SQRT(COUNT(AC185,AC187,AC189,AC191:AC192,AC194)))</f>
        <v>0.61449977304805548</v>
      </c>
      <c r="AD217" s="2">
        <f t="shared" si="180"/>
        <v>7.8969655031268099E-3</v>
      </c>
      <c r="AE217" s="2">
        <f t="shared" si="180"/>
        <v>7.8969655031268151E-3</v>
      </c>
      <c r="AF217" s="2">
        <f t="shared" si="180"/>
        <v>8.4760033109388244E-3</v>
      </c>
      <c r="AG217" s="2">
        <f t="shared" si="180"/>
        <v>4.3211286489207605E-3</v>
      </c>
      <c r="AH217" s="2">
        <f t="shared" si="180"/>
        <v>0.76463951421422927</v>
      </c>
      <c r="AI217" s="2">
        <f t="shared" si="180"/>
        <v>1.8150604520082616</v>
      </c>
      <c r="AJ217" s="2">
        <f t="shared" si="180"/>
        <v>0.15708712985250492</v>
      </c>
      <c r="AM217" s="2"/>
      <c r="AO217" s="2"/>
    </row>
    <row r="218" spans="5:41" x14ac:dyDescent="0.35">
      <c r="U218" s="2"/>
      <c r="X218" s="260"/>
      <c r="Y218" s="104"/>
      <c r="Z218" s="13"/>
      <c r="AA218" s="49"/>
      <c r="AB218" s="2"/>
      <c r="AC218" s="2"/>
      <c r="AD218" s="2"/>
      <c r="AE218" s="2"/>
      <c r="AF218" s="2"/>
      <c r="AG218" s="2"/>
      <c r="AH218" s="2"/>
      <c r="AI218" s="2"/>
      <c r="AJ218" s="2"/>
      <c r="AM218" s="2"/>
      <c r="AO218" s="2"/>
    </row>
    <row r="219" spans="5:41" x14ac:dyDescent="0.35">
      <c r="X219" s="260"/>
      <c r="Y219" s="104"/>
      <c r="Z219" s="13"/>
      <c r="AA219" s="49"/>
      <c r="AB219" s="2"/>
      <c r="AC219" s="2"/>
      <c r="AD219" s="2"/>
      <c r="AE219" s="2"/>
      <c r="AF219" s="2"/>
      <c r="AG219" s="2"/>
      <c r="AH219" s="2"/>
      <c r="AI219" s="2"/>
      <c r="AJ219" s="2"/>
      <c r="AM219" s="2"/>
      <c r="AO219" s="2"/>
    </row>
    <row r="220" spans="5:41" ht="16" thickBot="1" x14ac:dyDescent="0.4">
      <c r="E220" s="104" t="s">
        <v>81</v>
      </c>
      <c r="F220" s="13"/>
      <c r="G220" s="13"/>
      <c r="H220" s="9" t="s">
        <v>3</v>
      </c>
      <c r="I220" s="9" t="s">
        <v>4</v>
      </c>
      <c r="J220" s="9" t="s">
        <v>5</v>
      </c>
      <c r="K220" s="9" t="s">
        <v>6</v>
      </c>
      <c r="L220" s="9" t="s">
        <v>7</v>
      </c>
      <c r="M220" s="9" t="s">
        <v>8</v>
      </c>
      <c r="N220" s="9" t="s">
        <v>9</v>
      </c>
      <c r="O220" s="9" t="s">
        <v>10</v>
      </c>
      <c r="P220" s="44" t="s">
        <v>139</v>
      </c>
      <c r="X220" s="260"/>
      <c r="Y220" s="104" t="s">
        <v>82</v>
      </c>
      <c r="Z220" s="13"/>
      <c r="AA220" s="13"/>
      <c r="AB220" s="9" t="s">
        <v>3</v>
      </c>
      <c r="AC220" s="9" t="s">
        <v>4</v>
      </c>
      <c r="AD220" s="9" t="s">
        <v>5</v>
      </c>
      <c r="AE220" s="9" t="s">
        <v>6</v>
      </c>
      <c r="AF220" s="9" t="s">
        <v>7</v>
      </c>
      <c r="AG220" s="9" t="s">
        <v>8</v>
      </c>
      <c r="AH220" s="9" t="s">
        <v>9</v>
      </c>
      <c r="AI220" s="9" t="s">
        <v>10</v>
      </c>
      <c r="AJ220" s="44" t="s">
        <v>139</v>
      </c>
      <c r="AM220" s="2"/>
      <c r="AO220" s="2"/>
    </row>
    <row r="221" spans="5:41" x14ac:dyDescent="0.35">
      <c r="E221" s="104"/>
      <c r="F221" s="13"/>
      <c r="G221" s="49" t="s">
        <v>77</v>
      </c>
      <c r="H221" s="13">
        <f>AVERAGE(H188,H190,H184:H186,H181:H182)</f>
        <v>3.3152985714285728</v>
      </c>
      <c r="I221" s="13">
        <f t="shared" ref="I221:P221" si="181">AVERAGE(I188,I190,I184:I186,I181:I182)</f>
        <v>9.7609742857142852</v>
      </c>
      <c r="J221" s="13">
        <f t="shared" si="181"/>
        <v>0.25472402337194883</v>
      </c>
      <c r="K221" s="13">
        <f t="shared" si="181"/>
        <v>0.74527597662805101</v>
      </c>
      <c r="L221" s="13">
        <f t="shared" si="181"/>
        <v>0.30814997303263236</v>
      </c>
      <c r="M221" s="13">
        <f t="shared" si="181"/>
        <v>7.7778376092779475E-2</v>
      </c>
      <c r="N221" s="13">
        <f t="shared" si="181"/>
        <v>13.076272857142857</v>
      </c>
      <c r="O221" s="13">
        <f t="shared" si="181"/>
        <v>24</v>
      </c>
      <c r="P221" s="13">
        <f t="shared" si="181"/>
        <v>7.2600996314776269</v>
      </c>
      <c r="X221" s="260"/>
      <c r="Y221" s="104"/>
      <c r="Z221" s="13"/>
      <c r="AA221" s="49" t="s">
        <v>77</v>
      </c>
      <c r="AB221" s="13">
        <f>AVERAGE(AB186,AB188,AB190,AB184,AB193)</f>
        <v>4.3937440000000008</v>
      </c>
      <c r="AC221" s="13">
        <f t="shared" ref="AC221:AJ221" si="182">AVERAGE(AC186,AC188,AC190,AC184,AC193)</f>
        <v>3.8954719999999994</v>
      </c>
      <c r="AD221" s="13">
        <f t="shared" si="182"/>
        <v>0.52991300669570041</v>
      </c>
      <c r="AE221" s="13">
        <f t="shared" si="182"/>
        <v>0.47008699330429959</v>
      </c>
      <c r="AF221" s="13">
        <f t="shared" si="182"/>
        <v>0.22922676225873823</v>
      </c>
      <c r="AG221" s="13">
        <f t="shared" si="182"/>
        <v>0.12093892317344332</v>
      </c>
      <c r="AH221" s="13">
        <f t="shared" si="182"/>
        <v>8.2892159999999997</v>
      </c>
      <c r="AI221" s="13">
        <f t="shared" si="182"/>
        <v>38.4</v>
      </c>
      <c r="AJ221" s="13">
        <f t="shared" si="182"/>
        <v>8.7700908844746426</v>
      </c>
      <c r="AM221" s="2"/>
      <c r="AO221" s="2"/>
    </row>
    <row r="222" spans="5:41" x14ac:dyDescent="0.35">
      <c r="E222" s="104"/>
      <c r="F222" s="13"/>
      <c r="G222" s="49" t="s">
        <v>94</v>
      </c>
      <c r="H222" s="2">
        <f>_xlfn.STDEV.S(H188,H190,H184:H186,H181:H182)</f>
        <v>0.50868033719381456</v>
      </c>
      <c r="I222" s="2">
        <f t="shared" ref="I222:P222" si="183">_xlfn.STDEV.S(I188,I190,I184:I186,I181:I182)</f>
        <v>1.5579492660423568</v>
      </c>
      <c r="J222" s="2">
        <f t="shared" si="183"/>
        <v>3.3253215124249724E-2</v>
      </c>
      <c r="K222" s="2">
        <f t="shared" si="183"/>
        <v>3.3253215124249426E-2</v>
      </c>
      <c r="L222" s="2">
        <f t="shared" si="183"/>
        <v>4.9661493241113713E-2</v>
      </c>
      <c r="M222" s="2">
        <f t="shared" si="183"/>
        <v>1.067588746920709E-2</v>
      </c>
      <c r="N222" s="2">
        <f t="shared" si="183"/>
        <v>1.8657301473303041</v>
      </c>
      <c r="O222" s="2">
        <f t="shared" si="183"/>
        <v>3.415650255319866</v>
      </c>
      <c r="P222" s="2">
        <f t="shared" si="183"/>
        <v>0.35704716082499777</v>
      </c>
      <c r="X222" s="260"/>
      <c r="Y222" s="104"/>
      <c r="Z222" s="13"/>
      <c r="AA222" s="49" t="s">
        <v>94</v>
      </c>
      <c r="AB222" s="2">
        <f>_xlfn.STDEV.S(AB186,AB188,AB190,AB184,AB193)</f>
        <v>0.41342329267954997</v>
      </c>
      <c r="AC222" s="2">
        <f t="shared" ref="AC222:AJ222" si="184">_xlfn.STDEV.S(AC186,AC188,AC190,AC184,AC193)</f>
        <v>0.36122738783210018</v>
      </c>
      <c r="AD222" s="2">
        <f t="shared" si="184"/>
        <v>3.8258817872162197E-2</v>
      </c>
      <c r="AE222" s="2">
        <f t="shared" si="184"/>
        <v>3.8258817872162183E-2</v>
      </c>
      <c r="AF222" s="2">
        <f t="shared" si="184"/>
        <v>2.1693344935159967E-2</v>
      </c>
      <c r="AG222" s="2">
        <f t="shared" si="184"/>
        <v>6.6822894705895319E-3</v>
      </c>
      <c r="AH222" s="2">
        <f t="shared" si="184"/>
        <v>0.46565835269004052</v>
      </c>
      <c r="AI222" s="2">
        <f t="shared" si="184"/>
        <v>1.9493588689617927</v>
      </c>
      <c r="AJ222" s="2">
        <f t="shared" si="184"/>
        <v>0.42808823998670048</v>
      </c>
      <c r="AM222" s="2"/>
      <c r="AO222" s="2"/>
    </row>
    <row r="223" spans="5:41" x14ac:dyDescent="0.35">
      <c r="E223" s="104"/>
      <c r="F223" s="13"/>
      <c r="G223" s="49" t="s">
        <v>95</v>
      </c>
      <c r="H223" s="2">
        <f>H222/(SQRT(COUNT(H188,H190,H184:H186,H181:H182)))</f>
        <v>0.19226309557761612</v>
      </c>
      <c r="I223" s="2">
        <f t="shared" ref="I223:P223" si="185">I222/(SQRT(COUNT(I188,I190,I184:I186,I181:I182)))</f>
        <v>0.58884947331481174</v>
      </c>
      <c r="J223" s="2">
        <f t="shared" si="185"/>
        <v>1.2568533930299511E-2</v>
      </c>
      <c r="K223" s="2">
        <f t="shared" si="185"/>
        <v>1.2568533930299398E-2</v>
      </c>
      <c r="L223" s="2">
        <f t="shared" si="185"/>
        <v>1.8770280121728843E-2</v>
      </c>
      <c r="M223" s="2">
        <f t="shared" si="185"/>
        <v>4.0351061812046703E-3</v>
      </c>
      <c r="N223" s="2">
        <f t="shared" si="185"/>
        <v>0.70517971191312623</v>
      </c>
      <c r="O223" s="2">
        <f t="shared" si="185"/>
        <v>1.2909944487358056</v>
      </c>
      <c r="P223" s="2">
        <f t="shared" si="185"/>
        <v>0.13495114198066108</v>
      </c>
      <c r="X223" s="260"/>
      <c r="Y223" s="104"/>
      <c r="Z223" s="13"/>
      <c r="AA223" s="49" t="s">
        <v>95</v>
      </c>
      <c r="AB223" s="2">
        <f>AB222/(SQRT(COUNT(AB186,AB188,AB190,AB184,AB193)))</f>
        <v>0.18488851718265298</v>
      </c>
      <c r="AC223" s="2">
        <f t="shared" ref="AC223:AJ223" si="186">AC222/(SQRT(COUNT(AC186,AC188,AC190,AC184,AC193)))</f>
        <v>0.16154579890545126</v>
      </c>
      <c r="AD223" s="2">
        <f t="shared" si="186"/>
        <v>1.7109863500187707E-2</v>
      </c>
      <c r="AE223" s="2">
        <f t="shared" si="186"/>
        <v>1.71098635001877E-2</v>
      </c>
      <c r="AF223" s="2">
        <f t="shared" si="186"/>
        <v>9.7015587868736902E-3</v>
      </c>
      <c r="AG223" s="2">
        <f t="shared" si="186"/>
        <v>2.988410700313855E-3</v>
      </c>
      <c r="AH223" s="2">
        <f t="shared" si="186"/>
        <v>0.20824874618110054</v>
      </c>
      <c r="AI223" s="2">
        <f t="shared" si="186"/>
        <v>0.87177978870813466</v>
      </c>
      <c r="AJ223" s="2">
        <f t="shared" si="186"/>
        <v>0.19144688099570117</v>
      </c>
      <c r="AM223" s="2"/>
      <c r="AO223" s="2"/>
    </row>
    <row r="224" spans="5:41" x14ac:dyDescent="0.35">
      <c r="E224" s="104"/>
      <c r="F224" s="13"/>
      <c r="G224" s="49"/>
      <c r="H224" s="2"/>
      <c r="I224" s="2"/>
      <c r="J224" s="2"/>
      <c r="K224" s="2"/>
      <c r="L224" s="2"/>
      <c r="M224" s="2"/>
      <c r="N224" s="2"/>
      <c r="O224" s="2"/>
      <c r="P224" s="2"/>
      <c r="X224" s="260"/>
      <c r="Y224" s="104"/>
      <c r="Z224" s="13"/>
      <c r="AA224" s="49"/>
      <c r="AB224" s="2"/>
      <c r="AC224" s="2"/>
      <c r="AD224" s="2"/>
      <c r="AE224" s="2"/>
      <c r="AF224" s="2"/>
      <c r="AG224" s="2"/>
      <c r="AH224" s="2"/>
      <c r="AI224" s="2"/>
      <c r="AJ224" s="2"/>
      <c r="AM224" s="2"/>
      <c r="AO224" s="2"/>
    </row>
    <row r="225" spans="3:41" x14ac:dyDescent="0.35">
      <c r="E225" s="104"/>
      <c r="F225" s="13"/>
      <c r="G225" s="49"/>
      <c r="H225" s="2"/>
      <c r="I225" s="2"/>
      <c r="J225" s="2"/>
      <c r="K225" s="2"/>
      <c r="L225" s="2"/>
      <c r="M225" s="2"/>
      <c r="N225" s="2"/>
      <c r="O225" s="2"/>
      <c r="P225" s="2"/>
      <c r="X225" s="155"/>
      <c r="AB225" s="2"/>
      <c r="AC225" s="2"/>
      <c r="AD225" s="2"/>
      <c r="AE225" s="2"/>
      <c r="AF225" s="2"/>
      <c r="AG225" s="2"/>
      <c r="AH225" s="2"/>
      <c r="AI225" s="2"/>
      <c r="AM225" s="2"/>
      <c r="AO225" s="2"/>
    </row>
    <row r="226" spans="3:41" ht="16" thickBot="1" x14ac:dyDescent="0.4">
      <c r="E226" s="104" t="s">
        <v>82</v>
      </c>
      <c r="F226" s="13"/>
      <c r="G226" s="13"/>
      <c r="H226" s="9" t="s">
        <v>3</v>
      </c>
      <c r="I226" s="9" t="s">
        <v>4</v>
      </c>
      <c r="J226" s="9" t="s">
        <v>5</v>
      </c>
      <c r="K226" s="9" t="s">
        <v>6</v>
      </c>
      <c r="L226" s="9" t="s">
        <v>7</v>
      </c>
      <c r="M226" s="9" t="s">
        <v>8</v>
      </c>
      <c r="N226" s="9" t="s">
        <v>9</v>
      </c>
      <c r="O226" s="9" t="s">
        <v>10</v>
      </c>
      <c r="P226" s="44" t="s">
        <v>139</v>
      </c>
      <c r="AM226" s="2"/>
      <c r="AO226" s="2"/>
    </row>
    <row r="227" spans="3:41" ht="16" thickBot="1" x14ac:dyDescent="0.4">
      <c r="E227" s="104"/>
      <c r="F227" s="13"/>
      <c r="G227" s="49" t="s">
        <v>77</v>
      </c>
      <c r="H227" s="13">
        <f>AVERAGE(H183,H187,H189)</f>
        <v>3.7952033333333381</v>
      </c>
      <c r="I227" s="13">
        <f t="shared" ref="I227:P227" si="187">AVERAGE(I183,I187,I189)</f>
        <v>3.4267266666666578</v>
      </c>
      <c r="J227" s="13">
        <f t="shared" si="187"/>
        <v>0.52693951498525526</v>
      </c>
      <c r="K227" s="13">
        <f t="shared" si="187"/>
        <v>0.47306048501474468</v>
      </c>
      <c r="L227" s="13">
        <f t="shared" si="187"/>
        <v>0.26380361579164957</v>
      </c>
      <c r="M227" s="13">
        <f t="shared" si="187"/>
        <v>0.13881828922055825</v>
      </c>
      <c r="N227" s="13">
        <f t="shared" si="187"/>
        <v>7.221929999999996</v>
      </c>
      <c r="O227" s="13">
        <f t="shared" si="187"/>
        <v>28.333333333333332</v>
      </c>
      <c r="P227" s="13">
        <f t="shared" si="187"/>
        <v>7.475192880850642</v>
      </c>
      <c r="V227" s="2"/>
      <c r="Z227" s="13"/>
      <c r="AA227" s="13"/>
      <c r="AB227" s="9" t="s">
        <v>3</v>
      </c>
      <c r="AC227" s="9" t="s">
        <v>4</v>
      </c>
      <c r="AD227" s="9" t="s">
        <v>5</v>
      </c>
      <c r="AE227" s="9" t="s">
        <v>6</v>
      </c>
      <c r="AF227" s="9" t="s">
        <v>7</v>
      </c>
      <c r="AG227" s="9" t="s">
        <v>8</v>
      </c>
      <c r="AH227" s="9" t="s">
        <v>9</v>
      </c>
      <c r="AI227" s="9" t="s">
        <v>10</v>
      </c>
      <c r="AJ227" s="44" t="s">
        <v>139</v>
      </c>
      <c r="AM227" s="2"/>
      <c r="AO227" s="2"/>
    </row>
    <row r="228" spans="3:41" x14ac:dyDescent="0.35">
      <c r="E228" s="104"/>
      <c r="F228" s="13"/>
      <c r="G228" s="49" t="s">
        <v>94</v>
      </c>
      <c r="H228" s="2">
        <f>_xlfn.STDEV.S(H183,H187,H189)</f>
        <v>0.16120768974628744</v>
      </c>
      <c r="I228" s="2">
        <f t="shared" ref="I228:P228" si="188">_xlfn.STDEV.S(I183,I187,I189)</f>
        <v>0.49763712133775062</v>
      </c>
      <c r="J228" s="2">
        <f t="shared" si="188"/>
        <v>4.1021216795152034E-2</v>
      </c>
      <c r="K228" s="2">
        <f t="shared" si="188"/>
        <v>4.1021216795152034E-2</v>
      </c>
      <c r="L228" s="2">
        <f t="shared" si="188"/>
        <v>1.1059766364897722E-2</v>
      </c>
      <c r="M228" s="2">
        <f t="shared" si="188"/>
        <v>8.4056417892023876E-3</v>
      </c>
      <c r="N228" s="2">
        <f t="shared" si="188"/>
        <v>0.45256702166639012</v>
      </c>
      <c r="O228" s="2">
        <f t="shared" si="188"/>
        <v>0.57735026918962584</v>
      </c>
      <c r="P228" s="2">
        <f t="shared" si="188"/>
        <v>0.36934764082481142</v>
      </c>
      <c r="V228" s="2"/>
      <c r="Y228" s="104" t="s">
        <v>410</v>
      </c>
      <c r="Z228" s="13"/>
      <c r="AA228" s="49" t="s">
        <v>77</v>
      </c>
      <c r="AB228" s="13">
        <f t="shared" ref="AB228:AJ228" si="189">AVERAGE(AB195:AB204)</f>
        <v>4.3090700000000011</v>
      </c>
      <c r="AC228" s="13">
        <f t="shared" si="189"/>
        <v>6.7756270000000001</v>
      </c>
      <c r="AD228" s="13">
        <f t="shared" si="189"/>
        <v>0.40197964007214437</v>
      </c>
      <c r="AE228" s="13">
        <f t="shared" si="189"/>
        <v>0.59802035992785563</v>
      </c>
      <c r="AF228" s="13">
        <f t="shared" si="189"/>
        <v>0.23353855588543926</v>
      </c>
      <c r="AG228" s="13">
        <f t="shared" si="189"/>
        <v>9.3686256995923561E-2</v>
      </c>
      <c r="AH228" s="13">
        <f t="shared" si="189"/>
        <v>11.084697000000002</v>
      </c>
      <c r="AI228" s="13">
        <f t="shared" si="189"/>
        <v>37.1</v>
      </c>
      <c r="AJ228" s="13">
        <f t="shared" si="189"/>
        <v>8.6349913168842072</v>
      </c>
      <c r="AM228" s="2"/>
      <c r="AO228" s="2"/>
    </row>
    <row r="229" spans="3:41" x14ac:dyDescent="0.35">
      <c r="E229" s="104"/>
      <c r="F229" s="13"/>
      <c r="G229" s="49" t="s">
        <v>95</v>
      </c>
      <c r="H229" s="2">
        <f>H228/(SQRT(COUNT(H183,H187,H189)))</f>
        <v>9.3073303070456734E-2</v>
      </c>
      <c r="I229" s="2">
        <f t="shared" ref="I229:P229" si="190">I228/(SQRT(COUNT(I183,I187,I189)))</f>
        <v>0.28731092596310082</v>
      </c>
      <c r="J229" s="2">
        <f t="shared" si="190"/>
        <v>2.3683610559167026E-2</v>
      </c>
      <c r="K229" s="2">
        <f t="shared" si="190"/>
        <v>2.3683610559167026E-2</v>
      </c>
      <c r="L229" s="2">
        <f t="shared" si="190"/>
        <v>6.3853590879480691E-3</v>
      </c>
      <c r="M229" s="2">
        <f t="shared" si="190"/>
        <v>4.8529995497075661E-3</v>
      </c>
      <c r="N229" s="2">
        <f t="shared" si="190"/>
        <v>0.26128969178543754</v>
      </c>
      <c r="O229" s="2">
        <f t="shared" si="190"/>
        <v>0.33333333333333337</v>
      </c>
      <c r="P229" s="2">
        <f t="shared" si="190"/>
        <v>0.21324295985475811</v>
      </c>
      <c r="V229" s="2"/>
      <c r="Y229" s="104"/>
      <c r="Z229" s="13"/>
      <c r="AA229" s="49" t="s">
        <v>94</v>
      </c>
      <c r="AB229" s="2">
        <f t="shared" ref="AB229:AJ229" si="191">_xlfn.STDEV.S(AB195:AB204)</f>
        <v>0.3602764991256267</v>
      </c>
      <c r="AC229" s="2">
        <f t="shared" si="191"/>
        <v>2.2224085443752721</v>
      </c>
      <c r="AD229" s="2">
        <f t="shared" si="191"/>
        <v>7.822189914826283E-2</v>
      </c>
      <c r="AE229" s="2">
        <f t="shared" si="191"/>
        <v>7.8221899148262983E-2</v>
      </c>
      <c r="AF229" s="2">
        <f t="shared" si="191"/>
        <v>1.9545569683541878E-2</v>
      </c>
      <c r="AG229" s="2">
        <f t="shared" si="191"/>
        <v>1.9131809921358729E-2</v>
      </c>
      <c r="AH229" s="2">
        <f t="shared" si="191"/>
        <v>2.2714944204693377</v>
      </c>
      <c r="AI229" s="2">
        <f t="shared" si="191"/>
        <v>3.0349812373573433</v>
      </c>
      <c r="AJ229" s="2">
        <f t="shared" si="191"/>
        <v>0.66006572805955244</v>
      </c>
      <c r="AM229" s="2"/>
      <c r="AO229" s="2"/>
    </row>
    <row r="230" spans="3:41" x14ac:dyDescent="0.35">
      <c r="E230" s="104"/>
      <c r="F230" s="13"/>
      <c r="G230" s="49"/>
      <c r="H230" s="2"/>
      <c r="I230" s="2"/>
      <c r="J230" s="2"/>
      <c r="K230" s="2"/>
      <c r="L230" s="2"/>
      <c r="M230" s="2"/>
      <c r="N230" s="2"/>
      <c r="O230" s="2"/>
      <c r="P230" s="2"/>
      <c r="V230" s="2"/>
      <c r="Y230" s="104"/>
      <c r="Z230" s="13"/>
      <c r="AA230" s="49" t="s">
        <v>95</v>
      </c>
      <c r="AB230" s="2">
        <f t="shared" ref="AB230:AJ230" si="192">AB229/(SQRT(COUNT(AB195:AB204)))</f>
        <v>0.1139294324668642</v>
      </c>
      <c r="AC230" s="2">
        <f t="shared" si="192"/>
        <v>0.70278728916452493</v>
      </c>
      <c r="AD230" s="2">
        <f t="shared" si="192"/>
        <v>2.4735936421249553E-2</v>
      </c>
      <c r="AE230" s="2">
        <f t="shared" si="192"/>
        <v>2.4735936421249598E-2</v>
      </c>
      <c r="AF230" s="2">
        <f t="shared" si="192"/>
        <v>6.1808518365528819E-3</v>
      </c>
      <c r="AG230" s="2">
        <f t="shared" si="192"/>
        <v>6.0500095112900462E-3</v>
      </c>
      <c r="AH230" s="2">
        <f t="shared" si="192"/>
        <v>0.7183096061047306</v>
      </c>
      <c r="AI230" s="2">
        <f t="shared" si="192"/>
        <v>0.95974533659253114</v>
      </c>
      <c r="AJ230" s="2">
        <f t="shared" si="192"/>
        <v>0.2087311106085499</v>
      </c>
      <c r="AM230" s="2"/>
      <c r="AO230" s="2"/>
    </row>
    <row r="231" spans="3:41" x14ac:dyDescent="0.35">
      <c r="E231" s="104"/>
      <c r="F231" s="13"/>
      <c r="G231" s="49"/>
      <c r="H231" s="2"/>
      <c r="I231" s="2"/>
      <c r="J231" s="2"/>
      <c r="K231" s="2"/>
      <c r="L231" s="2"/>
      <c r="M231" s="2"/>
      <c r="N231" s="2"/>
      <c r="O231" s="2"/>
      <c r="P231" s="2"/>
      <c r="V231" s="2"/>
      <c r="Y231" s="104"/>
      <c r="Z231" s="13"/>
      <c r="AA231" s="49"/>
      <c r="AB231" s="2"/>
      <c r="AC231" s="2"/>
      <c r="AD231" s="2"/>
      <c r="AE231" s="2"/>
      <c r="AF231" s="2"/>
      <c r="AG231" s="2"/>
      <c r="AH231" s="2"/>
      <c r="AI231" s="2"/>
      <c r="AJ231" s="2"/>
      <c r="AM231" s="2"/>
      <c r="AO231" s="2"/>
    </row>
    <row r="232" spans="3:41" x14ac:dyDescent="0.35">
      <c r="E232" s="104"/>
      <c r="V232" s="2"/>
      <c r="Y232" s="104"/>
      <c r="Z232" s="13"/>
      <c r="AA232" s="49"/>
      <c r="AB232" s="2"/>
      <c r="AC232" s="2"/>
      <c r="AD232" s="2"/>
      <c r="AE232" s="2"/>
      <c r="AF232" s="2"/>
      <c r="AG232" s="2"/>
      <c r="AH232" s="2"/>
      <c r="AI232" s="2"/>
      <c r="AJ232" s="2"/>
      <c r="AM232" s="2"/>
      <c r="AO232" s="2"/>
    </row>
    <row r="233" spans="3:41" ht="16" thickBot="1" x14ac:dyDescent="0.4">
      <c r="V233" s="2"/>
      <c r="Y233" s="104" t="s">
        <v>81</v>
      </c>
      <c r="Z233" s="13"/>
      <c r="AA233" s="13"/>
      <c r="AB233" s="9" t="s">
        <v>3</v>
      </c>
      <c r="AC233" s="9" t="s">
        <v>4</v>
      </c>
      <c r="AD233" s="9" t="s">
        <v>5</v>
      </c>
      <c r="AE233" s="9" t="s">
        <v>6</v>
      </c>
      <c r="AF233" s="9" t="s">
        <v>7</v>
      </c>
      <c r="AG233" s="9" t="s">
        <v>8</v>
      </c>
      <c r="AH233" s="9" t="s">
        <v>9</v>
      </c>
      <c r="AI233" s="9" t="s">
        <v>10</v>
      </c>
      <c r="AJ233" s="44" t="s">
        <v>139</v>
      </c>
      <c r="AM233" s="2"/>
      <c r="AO233" s="2"/>
    </row>
    <row r="234" spans="3:41" x14ac:dyDescent="0.35">
      <c r="V234" s="2"/>
      <c r="Y234" s="104"/>
      <c r="Z234" s="13"/>
      <c r="AA234" s="49" t="s">
        <v>77</v>
      </c>
      <c r="AB234" s="13">
        <f>AVERAGE(AB195:AB196,AB198:AB199,AB200:AB201,AB203)</f>
        <v>4.351618571428574</v>
      </c>
      <c r="AC234" s="13">
        <f t="shared" ref="AC234:AJ234" si="193">AVERAGE(AC195:AC196,AC198:AC199,AC200:AC201,AC203)</f>
        <v>7.8058685714285696</v>
      </c>
      <c r="AD234" s="13">
        <f t="shared" si="193"/>
        <v>0.364069716305712</v>
      </c>
      <c r="AE234" s="13">
        <f t="shared" si="193"/>
        <v>0.63593028369428806</v>
      </c>
      <c r="AF234" s="13">
        <f t="shared" si="193"/>
        <v>0.23104724609079891</v>
      </c>
      <c r="AG234" s="13">
        <f t="shared" si="193"/>
        <v>8.3758374704423127E-2</v>
      </c>
      <c r="AH234" s="13">
        <f t="shared" si="193"/>
        <v>12.157487142857144</v>
      </c>
      <c r="AI234" s="13">
        <f t="shared" si="193"/>
        <v>36.571428571428569</v>
      </c>
      <c r="AJ234" s="13">
        <f t="shared" si="193"/>
        <v>8.420407138483414</v>
      </c>
      <c r="AM234" s="2"/>
      <c r="AO234" s="2"/>
    </row>
    <row r="235" spans="3:41" ht="18.5" x14ac:dyDescent="0.45">
      <c r="F235" s="1" t="s">
        <v>405</v>
      </c>
      <c r="G235" s="3"/>
      <c r="H235" s="3"/>
      <c r="I235" s="3"/>
      <c r="J235" s="3"/>
      <c r="K235" s="3"/>
      <c r="L235" s="3"/>
      <c r="M235" s="3"/>
      <c r="N235" s="3"/>
      <c r="O235" s="3"/>
      <c r="V235" s="2"/>
      <c r="Y235" s="104"/>
      <c r="Z235" s="13"/>
      <c r="AA235" s="49" t="s">
        <v>94</v>
      </c>
      <c r="AB235" s="2">
        <f>_xlfn.STDEV.S(AB195:AB196,AB198:AB199,AB200:AB201,AB203)</f>
        <v>0.34136279412713166</v>
      </c>
      <c r="AC235" s="2">
        <f t="shared" ref="AC235:AJ235" si="194">_xlfn.STDEV.S(AC195:AC196,AC198:AC199,AC200:AC201,AC203)</f>
        <v>1.7939711129356648</v>
      </c>
      <c r="AD235" s="2">
        <f t="shared" si="194"/>
        <v>5.5238103264650812E-2</v>
      </c>
      <c r="AE235" s="2">
        <f t="shared" si="194"/>
        <v>5.5238103264650937E-2</v>
      </c>
      <c r="AF235" s="2">
        <f t="shared" si="194"/>
        <v>1.8568206204169817E-2</v>
      </c>
      <c r="AG235" s="2">
        <f t="shared" si="194"/>
        <v>1.2093278864279305E-2</v>
      </c>
      <c r="AH235" s="2">
        <f t="shared" si="194"/>
        <v>1.7793384417034954</v>
      </c>
      <c r="AI235" s="2">
        <f t="shared" si="194"/>
        <v>3.2586880211286902</v>
      </c>
      <c r="AJ235" s="2">
        <f t="shared" si="194"/>
        <v>0.63652961340764558</v>
      </c>
      <c r="AM235" s="2"/>
      <c r="AO235" s="2"/>
    </row>
    <row r="236" spans="3:41" ht="16" thickBot="1" x14ac:dyDescent="0.4">
      <c r="C236" s="204" t="s">
        <v>122</v>
      </c>
      <c r="D236" s="204" t="s">
        <v>406</v>
      </c>
      <c r="F236" s="9" t="s">
        <v>1</v>
      </c>
      <c r="G236" s="9" t="s">
        <v>2</v>
      </c>
      <c r="H236" s="9" t="s">
        <v>3</v>
      </c>
      <c r="I236" s="9" t="s">
        <v>4</v>
      </c>
      <c r="J236" s="9" t="s">
        <v>5</v>
      </c>
      <c r="K236" s="9" t="s">
        <v>6</v>
      </c>
      <c r="L236" s="9" t="s">
        <v>7</v>
      </c>
      <c r="M236" s="9" t="s">
        <v>8</v>
      </c>
      <c r="N236" s="9" t="s">
        <v>9</v>
      </c>
      <c r="O236" s="9" t="s">
        <v>10</v>
      </c>
      <c r="P236" s="44" t="s">
        <v>139</v>
      </c>
      <c r="R236" s="44" t="s">
        <v>138</v>
      </c>
      <c r="V236" s="2"/>
      <c r="Y236" s="104"/>
      <c r="Z236" s="13"/>
      <c r="AA236" s="49" t="s">
        <v>95</v>
      </c>
      <c r="AB236" s="2">
        <f>AB235/(SQRT(COUNT(AB195:AB196,AB198:AB199,AB200:AB201,AB203)))</f>
        <v>0.12902300858721863</v>
      </c>
      <c r="AC236" s="2">
        <f t="shared" ref="AC236:AJ236" si="195">AC235/(SQRT(COUNT(AC195:AC196,AC198:AC199,AC200:AC201,AC203)))</f>
        <v>0.67805734629450543</v>
      </c>
      <c r="AD236" s="2">
        <f t="shared" si="195"/>
        <v>2.0878040590453017E-2</v>
      </c>
      <c r="AE236" s="2">
        <f t="shared" si="195"/>
        <v>2.0878040590453065E-2</v>
      </c>
      <c r="AF236" s="2">
        <f t="shared" si="195"/>
        <v>7.0181222726857081E-3</v>
      </c>
      <c r="AG236" s="2">
        <f t="shared" si="195"/>
        <v>4.5708297728909537E-3</v>
      </c>
      <c r="AH236" s="2">
        <f t="shared" si="195"/>
        <v>0.67252671642352124</v>
      </c>
      <c r="AI236" s="2">
        <f t="shared" si="195"/>
        <v>1.2316683006073867</v>
      </c>
      <c r="AJ236" s="2">
        <f t="shared" si="195"/>
        <v>0.24058557988638787</v>
      </c>
      <c r="AM236" s="2"/>
      <c r="AO236" s="2"/>
    </row>
    <row r="237" spans="3:41" x14ac:dyDescent="0.35">
      <c r="C237" s="258" t="s">
        <v>541</v>
      </c>
      <c r="D237" s="155">
        <v>8</v>
      </c>
      <c r="F237" s="2">
        <v>7.2680400000000001</v>
      </c>
      <c r="G237" s="2">
        <v>11.582979999999999</v>
      </c>
      <c r="H237" s="2">
        <f t="shared" ref="H237:H255" si="196">G237-F237</f>
        <v>4.3149399999999991</v>
      </c>
      <c r="I237" s="2">
        <f t="shared" ref="I237:I255" si="197">F238-G237</f>
        <v>11.000530000000001</v>
      </c>
      <c r="J237" s="2">
        <f>H237/N237</f>
        <v>0.28173735445271997</v>
      </c>
      <c r="K237" s="2">
        <f>I237/N237</f>
        <v>0.71826264554728003</v>
      </c>
      <c r="L237" s="2">
        <f>1/H237</f>
        <v>0.23175293283336507</v>
      </c>
      <c r="M237" s="2">
        <f>1/N237</f>
        <v>6.5293458183131162E-2</v>
      </c>
      <c r="N237" s="2">
        <f>H237+I237</f>
        <v>15.315470000000001</v>
      </c>
      <c r="O237" s="2">
        <v>34</v>
      </c>
      <c r="P237">
        <f>O237/H237</f>
        <v>7.879599716334412</v>
      </c>
      <c r="R237" t="s">
        <v>481</v>
      </c>
      <c r="V237" s="2"/>
      <c r="Y237" s="104"/>
      <c r="Z237" s="13"/>
      <c r="AA237" s="49"/>
      <c r="AB237" s="2"/>
      <c r="AC237" s="2"/>
      <c r="AD237" s="2"/>
      <c r="AE237" s="2"/>
      <c r="AF237" s="2"/>
      <c r="AG237" s="2"/>
      <c r="AH237" s="2"/>
      <c r="AI237" s="2"/>
      <c r="AJ237" s="2"/>
      <c r="AM237" s="2"/>
      <c r="AO237" s="2"/>
    </row>
    <row r="238" spans="3:41" x14ac:dyDescent="0.35">
      <c r="D238" s="155">
        <v>8</v>
      </c>
      <c r="F238" s="2">
        <v>22.58351</v>
      </c>
      <c r="G238" s="2">
        <v>26.626660000000001</v>
      </c>
      <c r="H238" s="2">
        <f t="shared" si="196"/>
        <v>4.0431500000000007</v>
      </c>
      <c r="I238" s="2">
        <f t="shared" si="197"/>
        <v>3.9973700000000001</v>
      </c>
      <c r="J238" s="2">
        <f t="shared" ref="J238:J255" si="198">H238/N238</f>
        <v>0.502846830801988</v>
      </c>
      <c r="K238" s="2">
        <f t="shared" ref="K238:K255" si="199">I238/N238</f>
        <v>0.49715316919801206</v>
      </c>
      <c r="L238" s="2">
        <f t="shared" ref="L238:L255" si="200">1/H238</f>
        <v>0.24733190705266928</v>
      </c>
      <c r="M238" s="2">
        <f t="shared" ref="M238:M255" si="201">1/N238</f>
        <v>0.1243700656176466</v>
      </c>
      <c r="N238" s="2">
        <f t="shared" ref="N238:N255" si="202">H238+I238</f>
        <v>8.0405200000000008</v>
      </c>
      <c r="O238" s="2">
        <v>32</v>
      </c>
      <c r="P238">
        <f t="shared" ref="P238:P258" si="203">O238/H238</f>
        <v>7.9146210256854168</v>
      </c>
      <c r="V238" s="2"/>
      <c r="Y238" s="104"/>
      <c r="Z238" s="13"/>
      <c r="AA238" s="49"/>
      <c r="AB238" s="2"/>
      <c r="AC238" s="2"/>
      <c r="AD238" s="2"/>
      <c r="AE238" s="2"/>
      <c r="AF238" s="2"/>
      <c r="AG238" s="2"/>
      <c r="AH238" s="2"/>
      <c r="AI238" s="2"/>
      <c r="AJ238" s="2"/>
      <c r="AM238" s="2"/>
      <c r="AO238" s="2"/>
    </row>
    <row r="239" spans="3:41" ht="16" thickBot="1" x14ac:dyDescent="0.4">
      <c r="C239" s="258" t="s">
        <v>541</v>
      </c>
      <c r="D239" s="155">
        <v>8</v>
      </c>
      <c r="F239" s="13">
        <v>30.624030000000001</v>
      </c>
      <c r="G239" s="2">
        <v>33.765970000000003</v>
      </c>
      <c r="H239" s="2">
        <f t="shared" si="196"/>
        <v>3.1419400000000017</v>
      </c>
      <c r="I239" s="2">
        <f t="shared" si="197"/>
        <v>8.5349999999999966</v>
      </c>
      <c r="J239" s="2">
        <f t="shared" si="198"/>
        <v>0.2690722055607036</v>
      </c>
      <c r="K239" s="2">
        <f t="shared" si="199"/>
        <v>0.73092779443929645</v>
      </c>
      <c r="L239" s="2">
        <f t="shared" si="200"/>
        <v>0.31827469652507667</v>
      </c>
      <c r="M239" s="2">
        <f t="shared" si="201"/>
        <v>8.563887456816599E-2</v>
      </c>
      <c r="N239" s="2">
        <f t="shared" si="202"/>
        <v>11.676939999999998</v>
      </c>
      <c r="O239" s="2">
        <v>26</v>
      </c>
      <c r="P239">
        <f t="shared" si="203"/>
        <v>8.275142109651993</v>
      </c>
      <c r="V239" s="2"/>
      <c r="Y239" s="104" t="s">
        <v>82</v>
      </c>
      <c r="Z239" s="13"/>
      <c r="AA239" s="13"/>
      <c r="AB239" s="9" t="s">
        <v>3</v>
      </c>
      <c r="AC239" s="9" t="s">
        <v>4</v>
      </c>
      <c r="AD239" s="9" t="s">
        <v>5</v>
      </c>
      <c r="AE239" s="9" t="s">
        <v>6</v>
      </c>
      <c r="AF239" s="9" t="s">
        <v>7</v>
      </c>
      <c r="AG239" s="9" t="s">
        <v>8</v>
      </c>
      <c r="AH239" s="9" t="s">
        <v>9</v>
      </c>
      <c r="AI239" s="9" t="s">
        <v>10</v>
      </c>
      <c r="AJ239" s="44" t="s">
        <v>139</v>
      </c>
      <c r="AM239" s="2"/>
      <c r="AO239" s="2"/>
    </row>
    <row r="240" spans="3:41" x14ac:dyDescent="0.35">
      <c r="C240" s="258" t="s">
        <v>541</v>
      </c>
      <c r="D240" s="155">
        <v>8</v>
      </c>
      <c r="F240" s="13">
        <v>42.30097</v>
      </c>
      <c r="G240" s="2">
        <v>47.08502</v>
      </c>
      <c r="H240" s="2">
        <f t="shared" si="196"/>
        <v>4.7840500000000006</v>
      </c>
      <c r="I240" s="2">
        <f t="shared" si="197"/>
        <v>9.6266099999999994</v>
      </c>
      <c r="J240" s="2">
        <f t="shared" si="198"/>
        <v>0.33197993707436024</v>
      </c>
      <c r="K240" s="2">
        <f t="shared" si="199"/>
        <v>0.66802006292563976</v>
      </c>
      <c r="L240" s="2">
        <f t="shared" si="200"/>
        <v>0.2090279156781388</v>
      </c>
      <c r="M240" s="2">
        <f t="shared" si="201"/>
        <v>6.9393074293613202E-2</v>
      </c>
      <c r="N240" s="2">
        <f t="shared" si="202"/>
        <v>14.41066</v>
      </c>
      <c r="O240" s="2">
        <v>35</v>
      </c>
      <c r="P240">
        <f t="shared" si="203"/>
        <v>7.3159770487348572</v>
      </c>
      <c r="S240" s="2"/>
      <c r="V240" s="2"/>
      <c r="Y240" s="104"/>
      <c r="Z240" s="13"/>
      <c r="AA240" s="49" t="s">
        <v>77</v>
      </c>
      <c r="AB240" s="13">
        <f>AVERAGE(AB197,AB202,AB204)</f>
        <v>4.2097899999999981</v>
      </c>
      <c r="AC240" s="13">
        <f t="shared" ref="AC240:AJ240" si="204">AVERAGE(AC197,AC202,AC204)</f>
        <v>4.3717300000000039</v>
      </c>
      <c r="AD240" s="13">
        <f t="shared" si="204"/>
        <v>0.4904361288604866</v>
      </c>
      <c r="AE240" s="13">
        <f t="shared" si="204"/>
        <v>0.5095638711395134</v>
      </c>
      <c r="AF240" s="13">
        <f t="shared" si="204"/>
        <v>0.2393516120729334</v>
      </c>
      <c r="AG240" s="13">
        <f t="shared" si="204"/>
        <v>0.11685131567609129</v>
      </c>
      <c r="AH240" s="13">
        <f t="shared" si="204"/>
        <v>8.5815200000000029</v>
      </c>
      <c r="AI240" s="13">
        <f t="shared" si="204"/>
        <v>38.333333333333336</v>
      </c>
      <c r="AJ240" s="13">
        <f t="shared" si="204"/>
        <v>9.1356877331527251</v>
      </c>
      <c r="AM240" s="2"/>
      <c r="AO240" s="2"/>
    </row>
    <row r="241" spans="3:41" x14ac:dyDescent="0.35">
      <c r="C241" s="258" t="s">
        <v>541</v>
      </c>
      <c r="D241" s="155">
        <v>8</v>
      </c>
      <c r="F241" s="13">
        <v>56.71163</v>
      </c>
      <c r="G241" s="2">
        <v>60.827739999999999</v>
      </c>
      <c r="H241" s="2">
        <f t="shared" si="196"/>
        <v>4.116109999999999</v>
      </c>
      <c r="I241" s="2">
        <f t="shared" si="197"/>
        <v>11.267140000000005</v>
      </c>
      <c r="J241" s="2">
        <f t="shared" si="198"/>
        <v>0.26757089691710129</v>
      </c>
      <c r="K241" s="2">
        <f t="shared" si="199"/>
        <v>0.73242910308289877</v>
      </c>
      <c r="L241" s="2">
        <f t="shared" si="200"/>
        <v>0.24294783181207505</v>
      </c>
      <c r="M241" s="2">
        <f t="shared" si="201"/>
        <v>6.5005769262021992E-2</v>
      </c>
      <c r="N241" s="2">
        <f t="shared" si="202"/>
        <v>15.383250000000004</v>
      </c>
      <c r="O241" s="2">
        <v>33</v>
      </c>
      <c r="P241">
        <f t="shared" si="203"/>
        <v>8.0172784497984768</v>
      </c>
      <c r="S241" s="2"/>
      <c r="V241" s="2"/>
      <c r="Y241" s="104"/>
      <c r="Z241" s="13"/>
      <c r="AA241" s="49" t="s">
        <v>94</v>
      </c>
      <c r="AB241" s="2">
        <f>_xlfn.STDEV.S(AB197,AB202,AB204)</f>
        <v>0.46194092555216199</v>
      </c>
      <c r="AC241" s="2">
        <f t="shared" ref="AC241:AJ241" si="205">_xlfn.STDEV.S(AC197,AC202,AC204)</f>
        <v>0.4335650414874308</v>
      </c>
      <c r="AD241" s="2">
        <f t="shared" si="205"/>
        <v>4.0166614105924404E-2</v>
      </c>
      <c r="AE241" s="2">
        <f t="shared" si="205"/>
        <v>4.0166614105924404E-2</v>
      </c>
      <c r="AF241" s="2">
        <f t="shared" si="205"/>
        <v>2.4746441363126453E-2</v>
      </c>
      <c r="AG241" s="2">
        <f t="shared" si="205"/>
        <v>7.6469352404588921E-3</v>
      </c>
      <c r="AH241" s="2">
        <f t="shared" si="205"/>
        <v>0.54179067221575228</v>
      </c>
      <c r="AI241" s="2">
        <f t="shared" si="205"/>
        <v>2.5166114784235831</v>
      </c>
      <c r="AJ241" s="2">
        <f t="shared" si="205"/>
        <v>0.45593086352414636</v>
      </c>
      <c r="AM241" s="2"/>
      <c r="AO241" s="2"/>
    </row>
    <row r="242" spans="3:41" x14ac:dyDescent="0.35">
      <c r="D242" s="155">
        <v>8</v>
      </c>
      <c r="F242" s="13">
        <v>72.094880000000003</v>
      </c>
      <c r="G242" s="2">
        <v>75.941329999999994</v>
      </c>
      <c r="H242" s="2">
        <f t="shared" si="196"/>
        <v>3.8464499999999902</v>
      </c>
      <c r="I242" s="2">
        <f t="shared" si="197"/>
        <v>3.2863400000000098</v>
      </c>
      <c r="J242" s="2">
        <f t="shared" si="198"/>
        <v>0.53926303732480418</v>
      </c>
      <c r="K242" s="2">
        <f t="shared" si="199"/>
        <v>0.46073696267519582</v>
      </c>
      <c r="L242" s="2">
        <f t="shared" si="200"/>
        <v>0.25997998154142199</v>
      </c>
      <c r="M242" s="2">
        <f t="shared" si="201"/>
        <v>0.14019759448967375</v>
      </c>
      <c r="N242" s="2">
        <f t="shared" si="202"/>
        <v>7.13279</v>
      </c>
      <c r="O242" s="2">
        <v>32</v>
      </c>
      <c r="P242">
        <f t="shared" si="203"/>
        <v>8.3193594093255037</v>
      </c>
      <c r="S242" s="2"/>
      <c r="V242" s="2"/>
      <c r="Y242" s="104"/>
      <c r="Z242" s="13"/>
      <c r="AA242" s="49" t="s">
        <v>95</v>
      </c>
      <c r="AB242" s="2">
        <f>AB241/(SQRT(COUNT(AB197,AB202,AB204)))</f>
        <v>0.2667017177172456</v>
      </c>
      <c r="AC242" s="2">
        <f t="shared" ref="AC242:AJ242" si="206">AC241/(SQRT(COUNT(AC197,AC202,AC204)))</f>
        <v>0.25031889341397945</v>
      </c>
      <c r="AD242" s="2">
        <f t="shared" si="206"/>
        <v>2.3190205466491275E-2</v>
      </c>
      <c r="AE242" s="2">
        <f t="shared" si="206"/>
        <v>2.3190205466491275E-2</v>
      </c>
      <c r="AF242" s="2">
        <f t="shared" si="206"/>
        <v>1.4287364582486348E-2</v>
      </c>
      <c r="AG242" s="2">
        <f t="shared" si="206"/>
        <v>4.4149601195545771E-3</v>
      </c>
      <c r="AH242" s="2">
        <f t="shared" si="206"/>
        <v>0.31280299044819287</v>
      </c>
      <c r="AI242" s="2">
        <f t="shared" si="206"/>
        <v>1.4529663145135578</v>
      </c>
      <c r="AJ242" s="2">
        <f t="shared" si="206"/>
        <v>0.26323180678752445</v>
      </c>
      <c r="AM242" s="2"/>
      <c r="AO242" s="2"/>
    </row>
    <row r="243" spans="3:41" x14ac:dyDescent="0.35">
      <c r="C243" s="258" t="s">
        <v>541</v>
      </c>
      <c r="D243" s="155">
        <v>8</v>
      </c>
      <c r="F243" s="13">
        <v>79.227670000000003</v>
      </c>
      <c r="G243" s="2">
        <v>82.209829999999997</v>
      </c>
      <c r="H243" s="2">
        <f t="shared" si="196"/>
        <v>2.9821599999999933</v>
      </c>
      <c r="I243" s="2">
        <f t="shared" si="197"/>
        <v>7.8828299999999984</v>
      </c>
      <c r="J243" s="2">
        <f t="shared" si="198"/>
        <v>0.274474251702026</v>
      </c>
      <c r="K243" s="2">
        <f t="shared" si="199"/>
        <v>0.725525748297974</v>
      </c>
      <c r="L243" s="2">
        <f t="shared" si="200"/>
        <v>0.33532741368672447</v>
      </c>
      <c r="M243" s="2">
        <f t="shared" si="201"/>
        <v>9.203874094683942E-2</v>
      </c>
      <c r="N243" s="2">
        <f t="shared" si="202"/>
        <v>10.864989999999992</v>
      </c>
      <c r="O243" s="2">
        <v>23</v>
      </c>
      <c r="P243">
        <f t="shared" si="203"/>
        <v>7.712530514794663</v>
      </c>
      <c r="S243" s="2"/>
      <c r="V243" s="2"/>
      <c r="Y243" s="104"/>
      <c r="Z243" s="13"/>
      <c r="AA243" s="49"/>
      <c r="AB243" s="2"/>
      <c r="AC243" s="2"/>
      <c r="AD243" s="2"/>
      <c r="AE243" s="2"/>
      <c r="AF243" s="2"/>
      <c r="AG243" s="2"/>
      <c r="AH243" s="2"/>
      <c r="AI243" s="2"/>
      <c r="AJ243" s="2"/>
      <c r="AM243" s="2"/>
      <c r="AO243" s="2"/>
    </row>
    <row r="244" spans="3:41" x14ac:dyDescent="0.35">
      <c r="D244" s="155">
        <v>8</v>
      </c>
      <c r="F244" s="13">
        <v>90.092659999999995</v>
      </c>
      <c r="G244" s="2">
        <v>93.218299999999999</v>
      </c>
      <c r="H244" s="2">
        <f t="shared" si="196"/>
        <v>3.1256400000000042</v>
      </c>
      <c r="I244" s="2">
        <f t="shared" si="197"/>
        <v>4.7981599999999958</v>
      </c>
      <c r="J244" s="2">
        <f t="shared" si="198"/>
        <v>0.39446225295943921</v>
      </c>
      <c r="K244" s="2">
        <f t="shared" si="199"/>
        <v>0.60553774704056085</v>
      </c>
      <c r="L244" s="2">
        <f t="shared" si="200"/>
        <v>0.31993447741902414</v>
      </c>
      <c r="M244" s="2">
        <f t="shared" si="201"/>
        <v>0.1262020747621091</v>
      </c>
      <c r="N244" s="2">
        <f t="shared" si="202"/>
        <v>7.9238</v>
      </c>
      <c r="O244" s="2">
        <v>26</v>
      </c>
      <c r="P244">
        <f t="shared" si="203"/>
        <v>8.3182964128946288</v>
      </c>
      <c r="S244" s="2"/>
      <c r="V244" s="2"/>
      <c r="X244" s="206"/>
      <c r="Y244" s="2"/>
      <c r="Z244" s="13"/>
      <c r="AA244" s="2"/>
      <c r="AB244" s="2"/>
      <c r="AC244" s="2"/>
      <c r="AD244" s="2"/>
      <c r="AE244" s="2"/>
      <c r="AF244" s="2"/>
      <c r="AG244" s="2"/>
      <c r="AH244" s="2"/>
      <c r="AI244" s="2"/>
      <c r="AJ244" s="2"/>
      <c r="AK244" s="2"/>
      <c r="AL244" s="2"/>
      <c r="AM244" s="2"/>
      <c r="AO244" s="2"/>
    </row>
    <row r="245" spans="3:41" x14ac:dyDescent="0.35">
      <c r="C245" s="258" t="s">
        <v>541</v>
      </c>
      <c r="D245" s="155">
        <v>8</v>
      </c>
      <c r="F245" s="13">
        <v>98.016459999999995</v>
      </c>
      <c r="G245" s="2">
        <v>101.21633</v>
      </c>
      <c r="H245" s="2">
        <f t="shared" si="196"/>
        <v>3.1998700000000042</v>
      </c>
      <c r="I245" s="2">
        <f t="shared" si="197"/>
        <v>8.591070000000002</v>
      </c>
      <c r="J245" s="2">
        <f t="shared" si="198"/>
        <v>0.27138379128381646</v>
      </c>
      <c r="K245" s="2">
        <f t="shared" si="199"/>
        <v>0.7286162087161836</v>
      </c>
      <c r="L245" s="2">
        <f t="shared" si="200"/>
        <v>0.31251269582826763</v>
      </c>
      <c r="M245" s="2">
        <f t="shared" si="201"/>
        <v>8.4810880218201393E-2</v>
      </c>
      <c r="N245" s="2">
        <f t="shared" si="202"/>
        <v>11.790940000000006</v>
      </c>
      <c r="O245" s="2">
        <v>25</v>
      </c>
      <c r="P245">
        <f t="shared" si="203"/>
        <v>7.8128173957066904</v>
      </c>
      <c r="S245" s="2"/>
      <c r="V245" s="2"/>
      <c r="X245" s="206"/>
      <c r="Y245" s="2"/>
      <c r="Z245" s="13"/>
      <c r="AA245" s="2"/>
      <c r="AB245" s="2"/>
      <c r="AC245" s="2"/>
      <c r="AD245" s="2"/>
      <c r="AE245" s="2"/>
      <c r="AF245" s="2"/>
      <c r="AG245" s="2"/>
      <c r="AH245" s="2"/>
      <c r="AI245" s="2"/>
      <c r="AJ245" s="2"/>
      <c r="AK245" s="2"/>
      <c r="AL245" s="2"/>
      <c r="AM245" s="2"/>
      <c r="AO245" s="2"/>
    </row>
    <row r="246" spans="3:41" ht="18.5" x14ac:dyDescent="0.45">
      <c r="C246" s="2"/>
      <c r="D246" s="155">
        <v>8</v>
      </c>
      <c r="F246" s="13">
        <v>109.8074</v>
      </c>
      <c r="G246" s="2">
        <v>113.67574999999999</v>
      </c>
      <c r="H246" s="2">
        <f t="shared" si="196"/>
        <v>3.8683499999999924</v>
      </c>
      <c r="I246" s="2">
        <f t="shared" si="197"/>
        <v>4.1090599999999995</v>
      </c>
      <c r="J246" s="2">
        <f t="shared" si="198"/>
        <v>0.48491302314911688</v>
      </c>
      <c r="K246" s="2">
        <f t="shared" si="199"/>
        <v>0.51508697685088312</v>
      </c>
      <c r="L246" s="2">
        <f t="shared" si="200"/>
        <v>0.25850814946941253</v>
      </c>
      <c r="M246" s="2">
        <f t="shared" si="201"/>
        <v>0.1253539682678966</v>
      </c>
      <c r="N246" s="2">
        <f t="shared" si="202"/>
        <v>7.9774099999999919</v>
      </c>
      <c r="O246" s="2">
        <v>28</v>
      </c>
      <c r="P246">
        <f t="shared" si="203"/>
        <v>7.2382281851435506</v>
      </c>
      <c r="R246" t="s">
        <v>482</v>
      </c>
      <c r="S246" s="2"/>
      <c r="V246" s="2"/>
      <c r="Z246" s="1" t="s">
        <v>501</v>
      </c>
      <c r="AA246" s="3"/>
      <c r="AB246" s="3"/>
      <c r="AC246" s="3"/>
      <c r="AD246" s="3"/>
      <c r="AE246" s="3"/>
      <c r="AF246" s="3"/>
      <c r="AG246" s="3"/>
      <c r="AH246" s="3"/>
      <c r="AI246" s="3"/>
      <c r="AM246" s="2"/>
      <c r="AO246" s="2"/>
    </row>
    <row r="247" spans="3:41" ht="16" thickBot="1" x14ac:dyDescent="0.4">
      <c r="C247" s="258" t="s">
        <v>541</v>
      </c>
      <c r="D247" s="155">
        <v>8</v>
      </c>
      <c r="F247" s="13">
        <v>117.78480999999999</v>
      </c>
      <c r="G247" s="2">
        <v>119.84520000000001</v>
      </c>
      <c r="H247" s="2">
        <f t="shared" si="196"/>
        <v>2.0603900000000124</v>
      </c>
      <c r="I247" s="2">
        <f t="shared" si="197"/>
        <v>9.4880699999999933</v>
      </c>
      <c r="J247" s="2">
        <f t="shared" si="198"/>
        <v>0.17841253292646911</v>
      </c>
      <c r="K247" s="2">
        <f t="shared" si="199"/>
        <v>0.82158746707353092</v>
      </c>
      <c r="L247" s="2">
        <f t="shared" si="200"/>
        <v>0.48534500749857745</v>
      </c>
      <c r="M247" s="2">
        <f t="shared" si="201"/>
        <v>8.6591632131037335E-2</v>
      </c>
      <c r="N247" s="2">
        <f t="shared" si="202"/>
        <v>11.548460000000006</v>
      </c>
      <c r="O247" s="2">
        <v>17</v>
      </c>
      <c r="P247">
        <f t="shared" si="203"/>
        <v>8.2508651274758158</v>
      </c>
      <c r="S247" s="2"/>
      <c r="V247" s="2"/>
      <c r="W247" s="204" t="s">
        <v>122</v>
      </c>
      <c r="X247" s="204" t="s">
        <v>406</v>
      </c>
      <c r="Z247" s="9" t="s">
        <v>1</v>
      </c>
      <c r="AA247" s="9" t="s">
        <v>2</v>
      </c>
      <c r="AB247" s="9" t="s">
        <v>3</v>
      </c>
      <c r="AC247" s="9" t="s">
        <v>4</v>
      </c>
      <c r="AD247" s="9" t="s">
        <v>5</v>
      </c>
      <c r="AE247" s="9" t="s">
        <v>6</v>
      </c>
      <c r="AF247" s="9" t="s">
        <v>7</v>
      </c>
      <c r="AG247" s="9" t="s">
        <v>8</v>
      </c>
      <c r="AH247" s="9" t="s">
        <v>9</v>
      </c>
      <c r="AI247" s="9" t="s">
        <v>10</v>
      </c>
      <c r="AJ247" s="44" t="s">
        <v>139</v>
      </c>
      <c r="AL247" s="44" t="s">
        <v>138</v>
      </c>
      <c r="AM247" s="2"/>
      <c r="AO247" s="2"/>
    </row>
    <row r="248" spans="3:41" x14ac:dyDescent="0.35">
      <c r="C248" s="2"/>
      <c r="D248" s="155">
        <v>0</v>
      </c>
      <c r="F248" s="13">
        <v>129.33327</v>
      </c>
      <c r="G248" s="2">
        <v>132.44347999999999</v>
      </c>
      <c r="H248" s="2">
        <f t="shared" si="196"/>
        <v>3.110209999999995</v>
      </c>
      <c r="I248" s="2">
        <f t="shared" si="197"/>
        <v>4.8498100000000193</v>
      </c>
      <c r="J248" s="2">
        <f t="shared" si="198"/>
        <v>0.39072891776653695</v>
      </c>
      <c r="K248" s="2">
        <f t="shared" si="199"/>
        <v>0.60927108223346305</v>
      </c>
      <c r="L248" s="2">
        <f t="shared" si="200"/>
        <v>0.32152169789178275</v>
      </c>
      <c r="M248" s="2">
        <f t="shared" si="201"/>
        <v>0.12562782505571571</v>
      </c>
      <c r="N248" s="2">
        <f t="shared" si="202"/>
        <v>7.9600200000000143</v>
      </c>
      <c r="O248" s="2">
        <v>24</v>
      </c>
      <c r="P248">
        <f t="shared" si="203"/>
        <v>7.7165207494027861</v>
      </c>
      <c r="S248" s="2"/>
      <c r="V248" s="2"/>
      <c r="W248" s="263" t="s">
        <v>541</v>
      </c>
      <c r="X248" s="155">
        <v>-4</v>
      </c>
      <c r="Z248" s="2">
        <v>2.7683800000000001</v>
      </c>
      <c r="AA248" s="2">
        <v>7.4710999999999999</v>
      </c>
      <c r="AB248" s="2">
        <f t="shared" ref="AB248:AB269" si="207">AA248-Z248</f>
        <v>4.7027199999999993</v>
      </c>
      <c r="AC248" s="2">
        <f t="shared" ref="AC248:AC268" si="208">Z249-AA248</f>
        <v>11.247430000000001</v>
      </c>
      <c r="AD248" s="2">
        <f>AB248/AH248</f>
        <v>0.29483860653348082</v>
      </c>
      <c r="AE248" s="2">
        <f>AC248/AH248</f>
        <v>0.70516139346651918</v>
      </c>
      <c r="AF248" s="2">
        <f>1/AB248</f>
        <v>0.2126428960261296</v>
      </c>
      <c r="AG248" s="2">
        <f>1/AH248</f>
        <v>6.2695335153587897E-2</v>
      </c>
      <c r="AH248" s="2">
        <f>AB248+AC248</f>
        <v>15.950150000000001</v>
      </c>
      <c r="AI248" s="2">
        <v>39</v>
      </c>
      <c r="AJ248">
        <f>AI248/AB248</f>
        <v>8.2930729450190537</v>
      </c>
      <c r="AL248" t="s">
        <v>502</v>
      </c>
      <c r="AM248" s="2"/>
      <c r="AO248" s="2"/>
    </row>
    <row r="249" spans="3:41" x14ac:dyDescent="0.35">
      <c r="C249" s="258" t="s">
        <v>541</v>
      </c>
      <c r="D249" s="155">
        <v>0</v>
      </c>
      <c r="F249" s="13">
        <v>137.29329000000001</v>
      </c>
      <c r="G249" s="2">
        <v>140.47972999999999</v>
      </c>
      <c r="H249" s="2">
        <f t="shared" si="196"/>
        <v>3.1864399999999762</v>
      </c>
      <c r="I249" s="2">
        <f t="shared" si="197"/>
        <v>9.4251500000000021</v>
      </c>
      <c r="J249" s="2">
        <f t="shared" si="198"/>
        <v>0.25265965671259388</v>
      </c>
      <c r="K249" s="2">
        <f t="shared" si="199"/>
        <v>0.74734034328740617</v>
      </c>
      <c r="L249" s="2">
        <f t="shared" si="200"/>
        <v>0.31382985400635427</v>
      </c>
      <c r="M249" s="2">
        <f t="shared" si="201"/>
        <v>7.9292143179408914E-2</v>
      </c>
      <c r="N249" s="2">
        <f t="shared" si="202"/>
        <v>12.611589999999978</v>
      </c>
      <c r="O249" s="2">
        <v>21</v>
      </c>
      <c r="P249">
        <f t="shared" si="203"/>
        <v>6.5904269341334398</v>
      </c>
      <c r="S249" s="2"/>
      <c r="V249" s="2"/>
      <c r="W249" s="263"/>
      <c r="X249" s="155">
        <v>-4</v>
      </c>
      <c r="Z249" s="2">
        <v>18.718530000000001</v>
      </c>
      <c r="AA249" s="2">
        <v>22.675920000000001</v>
      </c>
      <c r="AB249" s="2">
        <f t="shared" si="207"/>
        <v>3.9573900000000002</v>
      </c>
      <c r="AC249" s="2">
        <f t="shared" si="208"/>
        <v>4.7920699999999989</v>
      </c>
      <c r="AD249" s="2">
        <f t="shared" ref="AD249:AD268" si="209">AB249/AH249</f>
        <v>0.45230105629375988</v>
      </c>
      <c r="AE249" s="2">
        <f t="shared" ref="AE249:AE268" si="210">AC249/AH249</f>
        <v>0.54769894370624006</v>
      </c>
      <c r="AF249" s="2">
        <f t="shared" ref="AF249:AF268" si="211">1/AB249</f>
        <v>0.25269179939303427</v>
      </c>
      <c r="AG249" s="2">
        <f t="shared" ref="AG249:AG268" si="212">1/AH249</f>
        <v>0.11429276778224029</v>
      </c>
      <c r="AH249" s="2">
        <f t="shared" ref="AH249:AH268" si="213">AB249+AC249</f>
        <v>8.7494599999999991</v>
      </c>
      <c r="AI249" s="2">
        <v>35</v>
      </c>
      <c r="AJ249">
        <f t="shared" ref="AJ249:AJ268" si="214">AI249/AB249</f>
        <v>8.8442129787562003</v>
      </c>
      <c r="AM249" s="2"/>
      <c r="AO249" s="2"/>
    </row>
    <row r="250" spans="3:41" x14ac:dyDescent="0.35">
      <c r="C250" s="2"/>
      <c r="D250" s="155">
        <v>0</v>
      </c>
      <c r="F250" s="13">
        <v>149.90487999999999</v>
      </c>
      <c r="G250" s="2">
        <v>153.13324</v>
      </c>
      <c r="H250" s="2">
        <f t="shared" si="196"/>
        <v>3.2283600000000092</v>
      </c>
      <c r="I250" s="2">
        <f t="shared" si="197"/>
        <v>4.7885599999999897</v>
      </c>
      <c r="J250" s="2">
        <f t="shared" si="198"/>
        <v>0.40269330366275446</v>
      </c>
      <c r="K250" s="2">
        <f t="shared" si="199"/>
        <v>0.59730669633724554</v>
      </c>
      <c r="L250" s="2">
        <f t="shared" si="200"/>
        <v>0.30975479810182172</v>
      </c>
      <c r="M250" s="2">
        <f t="shared" si="201"/>
        <v>0.1247361829730121</v>
      </c>
      <c r="N250" s="2">
        <f t="shared" si="202"/>
        <v>8.0169199999999989</v>
      </c>
      <c r="O250" s="2">
        <v>25</v>
      </c>
      <c r="P250">
        <f t="shared" si="203"/>
        <v>7.743869952545543</v>
      </c>
      <c r="S250" s="2"/>
      <c r="V250" s="2"/>
      <c r="W250" s="263" t="s">
        <v>541</v>
      </c>
      <c r="X250" s="155">
        <v>-4</v>
      </c>
      <c r="Z250" s="13">
        <v>27.46799</v>
      </c>
      <c r="AA250" s="2">
        <v>31.145689999999998</v>
      </c>
      <c r="AB250" s="2">
        <f t="shared" si="207"/>
        <v>3.677699999999998</v>
      </c>
      <c r="AC250" s="2">
        <f t="shared" si="208"/>
        <v>7.0448699999999995</v>
      </c>
      <c r="AD250" s="2">
        <f t="shared" si="209"/>
        <v>0.34298680260422632</v>
      </c>
      <c r="AE250" s="2">
        <f t="shared" si="210"/>
        <v>0.65701319739577368</v>
      </c>
      <c r="AF250" s="2">
        <f t="shared" si="211"/>
        <v>0.27190907360578637</v>
      </c>
      <c r="AG250" s="2">
        <f t="shared" si="212"/>
        <v>9.3261223755125897E-2</v>
      </c>
      <c r="AH250" s="2">
        <f t="shared" si="213"/>
        <v>10.722569999999997</v>
      </c>
      <c r="AI250" s="2">
        <v>30</v>
      </c>
      <c r="AJ250">
        <f t="shared" si="214"/>
        <v>8.1572722081735911</v>
      </c>
      <c r="AM250" s="2"/>
      <c r="AO250" s="2"/>
    </row>
    <row r="251" spans="3:41" x14ac:dyDescent="0.35">
      <c r="C251" s="258" t="s">
        <v>541</v>
      </c>
      <c r="D251" s="155">
        <v>0</v>
      </c>
      <c r="F251" s="13">
        <v>157.92179999999999</v>
      </c>
      <c r="G251" s="2">
        <v>160.83609000000001</v>
      </c>
      <c r="H251" s="2">
        <f t="shared" si="196"/>
        <v>2.9142900000000225</v>
      </c>
      <c r="I251" s="2">
        <f t="shared" si="197"/>
        <v>8.8341799999999751</v>
      </c>
      <c r="J251" s="2">
        <f t="shared" si="198"/>
        <v>0.24805698103668164</v>
      </c>
      <c r="K251" s="2">
        <f t="shared" si="199"/>
        <v>0.75194301896331839</v>
      </c>
      <c r="L251" s="2">
        <f t="shared" si="200"/>
        <v>0.34313675028909008</v>
      </c>
      <c r="M251" s="2">
        <f t="shared" si="201"/>
        <v>8.5117466359449376E-2</v>
      </c>
      <c r="N251" s="2">
        <f t="shared" si="202"/>
        <v>11.748469999999998</v>
      </c>
      <c r="O251" s="2">
        <v>21</v>
      </c>
      <c r="P251">
        <f t="shared" si="203"/>
        <v>7.2058717560708914</v>
      </c>
      <c r="S251" s="2"/>
      <c r="V251" s="2"/>
      <c r="W251" s="263"/>
      <c r="X251" s="155">
        <v>-4</v>
      </c>
      <c r="Z251" s="13">
        <v>38.190559999999998</v>
      </c>
      <c r="AA251" s="2">
        <v>42.926780000000001</v>
      </c>
      <c r="AB251" s="2">
        <f t="shared" si="207"/>
        <v>4.736220000000003</v>
      </c>
      <c r="AC251" s="2">
        <f t="shared" si="208"/>
        <v>4.3094600000000014</v>
      </c>
      <c r="AD251" s="2">
        <f t="shared" si="209"/>
        <v>0.52358916079277629</v>
      </c>
      <c r="AE251" s="2">
        <f t="shared" si="210"/>
        <v>0.47641083920722371</v>
      </c>
      <c r="AF251" s="2">
        <f t="shared" si="211"/>
        <v>0.21113884067885347</v>
      </c>
      <c r="AG251" s="2">
        <f t="shared" si="212"/>
        <v>0.11055000840180058</v>
      </c>
      <c r="AH251" s="2">
        <f t="shared" si="213"/>
        <v>9.0456800000000044</v>
      </c>
      <c r="AI251" s="2">
        <v>37</v>
      </c>
      <c r="AJ251">
        <f t="shared" si="214"/>
        <v>7.8121371051175785</v>
      </c>
      <c r="AM251" s="2"/>
    </row>
    <row r="252" spans="3:41" x14ac:dyDescent="0.35">
      <c r="C252" s="2"/>
      <c r="D252" s="155">
        <v>0</v>
      </c>
      <c r="F252" s="13">
        <v>169.67026999999999</v>
      </c>
      <c r="G252" s="2">
        <v>173.34778</v>
      </c>
      <c r="H252" s="2">
        <f t="shared" si="196"/>
        <v>3.6775100000000123</v>
      </c>
      <c r="I252" s="2">
        <f t="shared" si="197"/>
        <v>4.2945100000000025</v>
      </c>
      <c r="J252" s="2">
        <f t="shared" si="198"/>
        <v>0.46130215428461113</v>
      </c>
      <c r="K252" s="2">
        <f t="shared" si="199"/>
        <v>0.53869784571538892</v>
      </c>
      <c r="L252" s="2">
        <f t="shared" si="200"/>
        <v>0.27192312189497697</v>
      </c>
      <c r="M252" s="2">
        <f t="shared" si="201"/>
        <v>0.12543872192994976</v>
      </c>
      <c r="N252" s="2">
        <f t="shared" si="202"/>
        <v>7.9720200000000148</v>
      </c>
      <c r="O252" s="2">
        <v>26</v>
      </c>
      <c r="P252">
        <f t="shared" si="203"/>
        <v>7.0700011692694007</v>
      </c>
      <c r="S252" s="2"/>
      <c r="V252" s="2"/>
      <c r="W252" s="263" t="s">
        <v>541</v>
      </c>
      <c r="X252" s="155">
        <v>-4</v>
      </c>
      <c r="Z252" s="13">
        <v>47.236240000000002</v>
      </c>
      <c r="AA252" s="2">
        <v>51.040790000000001</v>
      </c>
      <c r="AB252" s="2">
        <f t="shared" si="207"/>
        <v>3.804549999999999</v>
      </c>
      <c r="AC252" s="2">
        <f t="shared" si="208"/>
        <v>8.3786100000000019</v>
      </c>
      <c r="AD252" s="2">
        <f t="shared" si="209"/>
        <v>0.3122794086263333</v>
      </c>
      <c r="AE252" s="2">
        <f t="shared" si="210"/>
        <v>0.6877205913736667</v>
      </c>
      <c r="AF252" s="2">
        <f t="shared" si="211"/>
        <v>0.26284317461986312</v>
      </c>
      <c r="AG252" s="2">
        <f t="shared" si="212"/>
        <v>8.2080511131758918E-2</v>
      </c>
      <c r="AH252" s="2">
        <f t="shared" si="213"/>
        <v>12.183160000000001</v>
      </c>
      <c r="AI252" s="2">
        <v>35</v>
      </c>
      <c r="AJ252">
        <f t="shared" si="214"/>
        <v>9.1995111116952089</v>
      </c>
      <c r="AM252" s="2"/>
    </row>
    <row r="253" spans="3:41" x14ac:dyDescent="0.35">
      <c r="C253" s="258" t="s">
        <v>541</v>
      </c>
      <c r="D253" s="155">
        <v>0</v>
      </c>
      <c r="F253" s="13">
        <v>177.64229</v>
      </c>
      <c r="G253" s="13">
        <v>180.80712</v>
      </c>
      <c r="H253" s="2">
        <f t="shared" si="196"/>
        <v>3.1648299999999949</v>
      </c>
      <c r="I253" s="2">
        <f t="shared" si="197"/>
        <v>9.4157900000000154</v>
      </c>
      <c r="J253" s="2">
        <f t="shared" si="198"/>
        <v>0.25156391338423639</v>
      </c>
      <c r="K253" s="2">
        <f t="shared" si="199"/>
        <v>0.74843608661576355</v>
      </c>
      <c r="L253" s="2">
        <f t="shared" si="200"/>
        <v>0.31597273787217689</v>
      </c>
      <c r="M253" s="2">
        <f t="shared" si="201"/>
        <v>7.9487338461856349E-2</v>
      </c>
      <c r="N253" s="2">
        <f t="shared" si="202"/>
        <v>12.58062000000001</v>
      </c>
      <c r="O253" s="2">
        <v>23</v>
      </c>
      <c r="P253">
        <f t="shared" si="203"/>
        <v>7.2673729710600687</v>
      </c>
      <c r="S253" s="2"/>
      <c r="V253" s="2"/>
      <c r="W253" s="263"/>
      <c r="X253" s="155">
        <v>-4</v>
      </c>
      <c r="Z253" s="13">
        <v>59.419400000000003</v>
      </c>
      <c r="AA253" s="2">
        <v>63.751809999999999</v>
      </c>
      <c r="AB253" s="2">
        <f t="shared" si="207"/>
        <v>4.3324099999999959</v>
      </c>
      <c r="AC253" s="2">
        <f t="shared" si="208"/>
        <v>3.3583000000000069</v>
      </c>
      <c r="AD253" s="2">
        <f t="shared" si="209"/>
        <v>0.56333030370407855</v>
      </c>
      <c r="AE253" s="2">
        <f t="shared" si="210"/>
        <v>0.43666969629592139</v>
      </c>
      <c r="AF253" s="2">
        <f t="shared" si="211"/>
        <v>0.23081841284642982</v>
      </c>
      <c r="AG253" s="2">
        <f t="shared" si="212"/>
        <v>0.13002700660927269</v>
      </c>
      <c r="AH253" s="2">
        <f t="shared" si="213"/>
        <v>7.6907100000000028</v>
      </c>
      <c r="AI253" s="2">
        <v>36</v>
      </c>
      <c r="AJ253">
        <f t="shared" si="214"/>
        <v>8.3094628624714737</v>
      </c>
      <c r="AM253" s="2"/>
    </row>
    <row r="254" spans="3:41" x14ac:dyDescent="0.35">
      <c r="C254" s="2"/>
      <c r="D254" s="155">
        <v>0</v>
      </c>
      <c r="F254" s="13">
        <v>190.22291000000001</v>
      </c>
      <c r="G254" s="13">
        <v>193.29075</v>
      </c>
      <c r="H254" s="2">
        <f t="shared" si="196"/>
        <v>3.0678399999999897</v>
      </c>
      <c r="I254" s="2">
        <f t="shared" si="197"/>
        <v>4.8427499999999952</v>
      </c>
      <c r="J254" s="2">
        <f t="shared" si="198"/>
        <v>0.3878143096785443</v>
      </c>
      <c r="K254" s="2">
        <f t="shared" si="199"/>
        <v>0.61218569032145576</v>
      </c>
      <c r="L254" s="2">
        <f t="shared" si="200"/>
        <v>0.32596224053405765</v>
      </c>
      <c r="M254" s="2">
        <f t="shared" si="201"/>
        <v>0.12641282129398715</v>
      </c>
      <c r="N254" s="2">
        <f t="shared" si="202"/>
        <v>7.9105899999999849</v>
      </c>
      <c r="O254" s="2">
        <v>24</v>
      </c>
      <c r="P254">
        <f t="shared" si="203"/>
        <v>7.8230937728173835</v>
      </c>
      <c r="S254" s="2"/>
      <c r="V254" s="2"/>
      <c r="W254" s="263" t="s">
        <v>541</v>
      </c>
      <c r="X254" s="155">
        <v>-4</v>
      </c>
      <c r="Z254" s="13">
        <v>67.110110000000006</v>
      </c>
      <c r="AA254" s="2">
        <v>71.41489</v>
      </c>
      <c r="AB254" s="2">
        <f t="shared" si="207"/>
        <v>4.3047799999999938</v>
      </c>
      <c r="AC254" s="2">
        <f t="shared" si="208"/>
        <v>6.6881699999999995</v>
      </c>
      <c r="AD254" s="2">
        <f t="shared" si="209"/>
        <v>0.39159461291100173</v>
      </c>
      <c r="AE254" s="2">
        <f t="shared" si="210"/>
        <v>0.60840538708899827</v>
      </c>
      <c r="AF254" s="2">
        <f t="shared" si="211"/>
        <v>0.23229990847383639</v>
      </c>
      <c r="AG254" s="2">
        <f t="shared" si="212"/>
        <v>9.0967392738073097E-2</v>
      </c>
      <c r="AH254" s="2">
        <f t="shared" si="213"/>
        <v>10.992949999999993</v>
      </c>
      <c r="AI254" s="2">
        <v>33</v>
      </c>
      <c r="AJ254">
        <f t="shared" si="214"/>
        <v>7.6658969796366012</v>
      </c>
      <c r="AM254" s="2"/>
      <c r="AN254" s="2"/>
    </row>
    <row r="255" spans="3:41" x14ac:dyDescent="0.35">
      <c r="C255" s="258" t="s">
        <v>541</v>
      </c>
      <c r="D255" s="155">
        <v>0</v>
      </c>
      <c r="F255" s="13">
        <v>198.1335</v>
      </c>
      <c r="G255" s="13">
        <v>201.09048000000001</v>
      </c>
      <c r="H255" s="2">
        <f t="shared" si="196"/>
        <v>2.9569800000000157</v>
      </c>
      <c r="I255" s="2">
        <f t="shared" si="197"/>
        <v>8.8558799999999849</v>
      </c>
      <c r="J255" s="2">
        <f t="shared" si="198"/>
        <v>0.25031872044534648</v>
      </c>
      <c r="K255" s="2">
        <f t="shared" si="199"/>
        <v>0.74968127955465358</v>
      </c>
      <c r="L255" s="2">
        <f t="shared" si="200"/>
        <v>0.33818287577190059</v>
      </c>
      <c r="M255" s="2">
        <f t="shared" si="201"/>
        <v>8.4653504739749724E-2</v>
      </c>
      <c r="N255" s="2">
        <f t="shared" si="202"/>
        <v>11.812860000000001</v>
      </c>
      <c r="O255" s="2">
        <v>22</v>
      </c>
      <c r="P255">
        <f t="shared" si="203"/>
        <v>7.4400232669818136</v>
      </c>
      <c r="S255" s="2"/>
      <c r="V255" s="2"/>
      <c r="W255" s="263"/>
      <c r="X255" s="155">
        <v>-4</v>
      </c>
      <c r="Z255" s="13">
        <v>78.103059999999999</v>
      </c>
      <c r="AA255" s="2">
        <v>82.502719999999997</v>
      </c>
      <c r="AB255" s="2">
        <f t="shared" si="207"/>
        <v>4.3996599999999972</v>
      </c>
      <c r="AC255" s="2">
        <f t="shared" si="208"/>
        <v>4.950950000000006</v>
      </c>
      <c r="AD255" s="2">
        <f t="shared" si="209"/>
        <v>0.47052117455438691</v>
      </c>
      <c r="AE255" s="2">
        <f t="shared" si="210"/>
        <v>0.52947882544561309</v>
      </c>
      <c r="AF255" s="2">
        <f t="shared" si="211"/>
        <v>0.22729029061336573</v>
      </c>
      <c r="AG255" s="2">
        <f t="shared" si="212"/>
        <v>0.10694489450420878</v>
      </c>
      <c r="AH255" s="2">
        <f t="shared" si="213"/>
        <v>9.3506100000000032</v>
      </c>
      <c r="AI255" s="2">
        <v>38</v>
      </c>
      <c r="AJ255">
        <f t="shared" si="214"/>
        <v>8.6370310433078981</v>
      </c>
      <c r="AM255" s="2"/>
      <c r="AN255" s="2"/>
    </row>
    <row r="256" spans="3:41" x14ac:dyDescent="0.35">
      <c r="C256" s="2"/>
      <c r="D256" s="155">
        <v>0</v>
      </c>
      <c r="F256" s="13">
        <v>209.94636</v>
      </c>
      <c r="G256" s="13">
        <v>213.62878000000001</v>
      </c>
      <c r="H256" s="2">
        <f>G256-F256</f>
        <v>3.6824200000000076</v>
      </c>
      <c r="I256" s="2">
        <f>F257-G256</f>
        <v>4.2456300000000056</v>
      </c>
      <c r="J256" s="2">
        <f>H256/N256</f>
        <v>0.46447991624674434</v>
      </c>
      <c r="K256" s="2">
        <f>I256/N256</f>
        <v>0.53552008375325566</v>
      </c>
      <c r="L256" s="2">
        <f>1/H256</f>
        <v>0.2715605498558008</v>
      </c>
      <c r="M256" s="2">
        <f>1/N256</f>
        <v>0.12613442145294218</v>
      </c>
      <c r="N256" s="2">
        <f>H256+I256</f>
        <v>7.9280500000000131</v>
      </c>
      <c r="O256" s="2">
        <v>27</v>
      </c>
      <c r="P256">
        <f t="shared" si="203"/>
        <v>7.3321348461066211</v>
      </c>
      <c r="S256" s="2"/>
      <c r="V256" s="2"/>
      <c r="W256" s="263" t="s">
        <v>541</v>
      </c>
      <c r="X256" s="155">
        <v>-4</v>
      </c>
      <c r="Z256" s="13">
        <v>87.453670000000002</v>
      </c>
      <c r="AA256" s="2">
        <v>91.451130000000006</v>
      </c>
      <c r="AB256" s="2">
        <f t="shared" si="207"/>
        <v>3.9974600000000038</v>
      </c>
      <c r="AC256" s="2">
        <f t="shared" si="208"/>
        <v>8.1462599999999981</v>
      </c>
      <c r="AD256" s="2">
        <f t="shared" si="209"/>
        <v>0.32917919714881461</v>
      </c>
      <c r="AE256" s="2">
        <f t="shared" si="210"/>
        <v>0.67082080285118539</v>
      </c>
      <c r="AF256" s="2">
        <f t="shared" si="211"/>
        <v>0.25015885087030243</v>
      </c>
      <c r="AG256" s="2">
        <f t="shared" si="212"/>
        <v>8.2347089689156189E-2</v>
      </c>
      <c r="AH256" s="2">
        <f t="shared" si="213"/>
        <v>12.143720000000002</v>
      </c>
      <c r="AI256" s="2">
        <v>34</v>
      </c>
      <c r="AJ256">
        <f t="shared" si="214"/>
        <v>8.5054009295902819</v>
      </c>
      <c r="AM256" s="2"/>
      <c r="AN256" s="2"/>
    </row>
    <row r="257" spans="3:40" x14ac:dyDescent="0.35">
      <c r="C257" s="258" t="s">
        <v>541</v>
      </c>
      <c r="D257" s="155">
        <v>0</v>
      </c>
      <c r="F257" s="13">
        <v>217.87441000000001</v>
      </c>
      <c r="G257" s="13">
        <v>220.91263000000001</v>
      </c>
      <c r="H257" s="2">
        <f>G257-F257</f>
        <v>3.0382199999999955</v>
      </c>
      <c r="I257" s="2">
        <f>F258-G257</f>
        <v>9.4823499999999967</v>
      </c>
      <c r="J257" s="2">
        <f>H257/N257</f>
        <v>0.24265828153191088</v>
      </c>
      <c r="K257" s="2">
        <f>I257/N257</f>
        <v>0.75734171846808918</v>
      </c>
      <c r="L257" s="2">
        <f>1/H257</f>
        <v>0.32914008860451233</v>
      </c>
      <c r="M257" s="2">
        <f>1/N257</f>
        <v>7.9868568284031841E-2</v>
      </c>
      <c r="N257" s="2">
        <f>H257+I257</f>
        <v>12.520569999999992</v>
      </c>
      <c r="O257" s="2">
        <v>24</v>
      </c>
      <c r="P257">
        <f t="shared" si="203"/>
        <v>7.8993621265082963</v>
      </c>
      <c r="S257" s="2"/>
      <c r="V257" s="2"/>
      <c r="W257" s="263"/>
      <c r="X257" s="155">
        <v>-4</v>
      </c>
      <c r="Z257" s="13">
        <v>99.597390000000004</v>
      </c>
      <c r="AA257" s="2">
        <v>103.14722</v>
      </c>
      <c r="AB257" s="2">
        <f t="shared" si="207"/>
        <v>3.54983</v>
      </c>
      <c r="AC257" s="2">
        <f t="shared" si="208"/>
        <v>4.884689999999992</v>
      </c>
      <c r="AD257" s="2">
        <f t="shared" si="209"/>
        <v>0.420869237372133</v>
      </c>
      <c r="AE257" s="2">
        <f t="shared" si="210"/>
        <v>0.579130762627867</v>
      </c>
      <c r="AF257" s="2">
        <f t="shared" si="211"/>
        <v>0.28170363087809841</v>
      </c>
      <c r="AG257" s="2">
        <f t="shared" si="212"/>
        <v>0.11856039229262613</v>
      </c>
      <c r="AH257" s="2">
        <f t="shared" si="213"/>
        <v>8.434519999999992</v>
      </c>
      <c r="AI257" s="2">
        <v>34</v>
      </c>
      <c r="AJ257">
        <f t="shared" si="214"/>
        <v>9.5779234498553443</v>
      </c>
      <c r="AM257" s="2"/>
      <c r="AN257" s="2"/>
    </row>
    <row r="258" spans="3:40" x14ac:dyDescent="0.35">
      <c r="C258" s="2"/>
      <c r="D258" s="155">
        <v>0</v>
      </c>
      <c r="F258" s="13">
        <v>230.39498</v>
      </c>
      <c r="G258" s="13">
        <v>234.13738000000001</v>
      </c>
      <c r="H258" s="2">
        <f>G258-F258</f>
        <v>3.7424000000000035</v>
      </c>
      <c r="I258" s="2">
        <f>F259-G258</f>
        <v>4.1071799999999996</v>
      </c>
      <c r="J258" s="2">
        <f>H258/N258</f>
        <v>0.47676436191490523</v>
      </c>
      <c r="K258" s="2">
        <f>I258/N258</f>
        <v>0.52323563808509477</v>
      </c>
      <c r="L258" s="2">
        <f>1/H258</f>
        <v>0.26720820863616906</v>
      </c>
      <c r="M258" s="2">
        <f>1/N258</f>
        <v>0.127395351088848</v>
      </c>
      <c r="N258" s="2">
        <f>H258+I258</f>
        <v>7.8495800000000031</v>
      </c>
      <c r="O258" s="2">
        <v>28</v>
      </c>
      <c r="P258">
        <f t="shared" si="203"/>
        <v>7.4818298418127336</v>
      </c>
      <c r="S258" s="2"/>
      <c r="V258" s="2"/>
      <c r="W258" s="263" t="s">
        <v>541</v>
      </c>
      <c r="X258" s="155">
        <v>-4</v>
      </c>
      <c r="Z258" s="13">
        <v>108.03191</v>
      </c>
      <c r="AA258" s="2">
        <v>112.53587</v>
      </c>
      <c r="AB258" s="2">
        <f t="shared" si="207"/>
        <v>4.5039600000000064</v>
      </c>
      <c r="AC258" s="2">
        <f t="shared" si="208"/>
        <v>7.4765099999999904</v>
      </c>
      <c r="AD258" s="2">
        <f t="shared" si="209"/>
        <v>0.37594184535331315</v>
      </c>
      <c r="AE258" s="2">
        <f t="shared" si="210"/>
        <v>0.6240581546466869</v>
      </c>
      <c r="AF258" s="2">
        <f t="shared" si="211"/>
        <v>0.22202683860425015</v>
      </c>
      <c r="AG258" s="2">
        <f t="shared" si="212"/>
        <v>8.3469179422844028E-2</v>
      </c>
      <c r="AH258" s="2">
        <f t="shared" si="213"/>
        <v>11.980469999999997</v>
      </c>
      <c r="AI258" s="2">
        <v>37</v>
      </c>
      <c r="AJ258">
        <f t="shared" si="214"/>
        <v>8.2149930283572559</v>
      </c>
      <c r="AM258" s="2"/>
      <c r="AN258" s="2"/>
    </row>
    <row r="259" spans="3:40" x14ac:dyDescent="0.35">
      <c r="C259" s="2"/>
      <c r="D259" s="155"/>
      <c r="E259" s="2"/>
      <c r="F259" s="13">
        <v>238.24456000000001</v>
      </c>
      <c r="G259" s="13">
        <v>239.98838000000001</v>
      </c>
      <c r="H259" s="2">
        <f>G259-F259</f>
        <v>1.7438199999999995</v>
      </c>
      <c r="I259" s="2"/>
      <c r="J259" s="2"/>
      <c r="K259" s="2"/>
      <c r="L259" s="2"/>
      <c r="M259" s="2"/>
      <c r="N259" s="2"/>
      <c r="O259" s="2"/>
      <c r="P259" s="2"/>
      <c r="S259" s="2"/>
      <c r="V259" s="2"/>
      <c r="W259" s="263"/>
      <c r="X259" s="155">
        <v>0</v>
      </c>
      <c r="Z259" s="13">
        <v>120.01237999999999</v>
      </c>
      <c r="AA259" s="2">
        <v>124.19092999999999</v>
      </c>
      <c r="AB259" s="2">
        <f t="shared" si="207"/>
        <v>4.1785500000000013</v>
      </c>
      <c r="AC259" s="2">
        <f t="shared" si="208"/>
        <v>3.9791599999999931</v>
      </c>
      <c r="AD259" s="2">
        <f t="shared" si="209"/>
        <v>0.51222095416483349</v>
      </c>
      <c r="AE259" s="2">
        <f t="shared" si="210"/>
        <v>0.48777904583516646</v>
      </c>
      <c r="AF259" s="2">
        <f t="shared" si="211"/>
        <v>0.23931746658529865</v>
      </c>
      <c r="AG259" s="2">
        <f t="shared" si="212"/>
        <v>0.12258342108263234</v>
      </c>
      <c r="AH259" s="2">
        <f t="shared" si="213"/>
        <v>8.1577099999999945</v>
      </c>
      <c r="AI259" s="2">
        <v>38</v>
      </c>
      <c r="AJ259">
        <f t="shared" si="214"/>
        <v>9.0940637302413485</v>
      </c>
      <c r="AL259" t="s">
        <v>503</v>
      </c>
      <c r="AM259" s="2"/>
      <c r="AN259" s="2"/>
    </row>
    <row r="260" spans="3:40" x14ac:dyDescent="0.35">
      <c r="C260" s="2"/>
      <c r="D260" s="155"/>
      <c r="E260" s="2"/>
      <c r="F260" s="2"/>
      <c r="G260" s="2"/>
      <c r="H260" s="2"/>
      <c r="I260" s="2"/>
      <c r="J260" s="2"/>
      <c r="K260" s="2"/>
      <c r="L260" s="2"/>
      <c r="M260" s="2"/>
      <c r="N260" s="2"/>
      <c r="O260" s="2"/>
      <c r="P260" s="2"/>
      <c r="S260" s="2"/>
      <c r="V260" s="2"/>
      <c r="W260" s="263" t="s">
        <v>541</v>
      </c>
      <c r="X260" s="155">
        <v>0</v>
      </c>
      <c r="Z260" s="13">
        <v>128.17008999999999</v>
      </c>
      <c r="AA260" s="2">
        <v>132.44657000000001</v>
      </c>
      <c r="AB260" s="2">
        <f t="shared" si="207"/>
        <v>4.2764800000000207</v>
      </c>
      <c r="AC260" s="2">
        <f t="shared" si="208"/>
        <v>7.7361099999999965</v>
      </c>
      <c r="AD260" s="2">
        <f t="shared" si="209"/>
        <v>0.3559998301781726</v>
      </c>
      <c r="AE260" s="2">
        <f t="shared" si="210"/>
        <v>0.6440001698218274</v>
      </c>
      <c r="AF260" s="2">
        <f t="shared" si="211"/>
        <v>0.23383717449865196</v>
      </c>
      <c r="AG260" s="2">
        <f t="shared" si="212"/>
        <v>8.3245994410863819E-2</v>
      </c>
      <c r="AH260" s="2">
        <f t="shared" si="213"/>
        <v>12.012590000000017</v>
      </c>
      <c r="AI260" s="2">
        <v>34</v>
      </c>
      <c r="AJ260">
        <f t="shared" si="214"/>
        <v>7.9504639329541664</v>
      </c>
      <c r="AM260" s="2"/>
      <c r="AN260" s="2"/>
    </row>
    <row r="261" spans="3:40" ht="16" thickBot="1" x14ac:dyDescent="0.4">
      <c r="C261" s="2"/>
      <c r="D261" s="155"/>
      <c r="F261" s="2"/>
      <c r="G261" s="2"/>
      <c r="H261" s="9" t="s">
        <v>3</v>
      </c>
      <c r="I261" s="9" t="s">
        <v>4</v>
      </c>
      <c r="J261" s="9" t="s">
        <v>5</v>
      </c>
      <c r="K261" s="9" t="s">
        <v>6</v>
      </c>
      <c r="L261" s="9" t="s">
        <v>7</v>
      </c>
      <c r="M261" s="9" t="s">
        <v>8</v>
      </c>
      <c r="N261" s="9" t="s">
        <v>9</v>
      </c>
      <c r="O261" s="9" t="s">
        <v>10</v>
      </c>
      <c r="P261" s="44" t="s">
        <v>139</v>
      </c>
      <c r="S261" s="2"/>
      <c r="V261" s="2"/>
      <c r="W261" s="263"/>
      <c r="X261" s="155">
        <v>0</v>
      </c>
      <c r="Z261" s="13">
        <v>140.18268</v>
      </c>
      <c r="AA261" s="2">
        <v>144.67832000000001</v>
      </c>
      <c r="AB261" s="2">
        <f t="shared" si="207"/>
        <v>4.4956400000000087</v>
      </c>
      <c r="AC261" s="2">
        <f t="shared" si="208"/>
        <v>4.0254199999999969</v>
      </c>
      <c r="AD261" s="2">
        <f t="shared" si="209"/>
        <v>0.52759163766010397</v>
      </c>
      <c r="AE261" s="2">
        <f t="shared" si="210"/>
        <v>0.47240836233989603</v>
      </c>
      <c r="AF261" s="2">
        <f t="shared" si="211"/>
        <v>0.22243773967666408</v>
      </c>
      <c r="AG261" s="2">
        <f t="shared" si="212"/>
        <v>0.11735629135342308</v>
      </c>
      <c r="AH261" s="2">
        <f t="shared" si="213"/>
        <v>8.5210600000000056</v>
      </c>
      <c r="AI261" s="2">
        <v>37</v>
      </c>
      <c r="AJ261">
        <f t="shared" si="214"/>
        <v>8.2301963680365713</v>
      </c>
      <c r="AM261" s="2"/>
      <c r="AN261" s="2"/>
    </row>
    <row r="262" spans="3:40" x14ac:dyDescent="0.35">
      <c r="C262" s="2"/>
      <c r="D262" s="155"/>
      <c r="E262" s="104" t="s">
        <v>413</v>
      </c>
      <c r="F262" s="13"/>
      <c r="G262" s="49" t="s">
        <v>77</v>
      </c>
      <c r="H262" s="13">
        <f>AVERAGE(H237:H247)</f>
        <v>3.5893681818181817</v>
      </c>
      <c r="I262" s="13">
        <f t="shared" ref="I262:P262" si="215">AVERAGE(I237:I247)</f>
        <v>7.5074709090909089</v>
      </c>
      <c r="J262" s="13">
        <f t="shared" si="215"/>
        <v>0.34510146492295862</v>
      </c>
      <c r="K262" s="13">
        <f t="shared" si="215"/>
        <v>0.65489853507704143</v>
      </c>
      <c r="L262" s="13">
        <f t="shared" si="215"/>
        <v>0.292813000849523</v>
      </c>
      <c r="M262" s="13">
        <f t="shared" si="215"/>
        <v>9.6808739340030592E-2</v>
      </c>
      <c r="N262" s="13">
        <f t="shared" si="215"/>
        <v>11.096839090909091</v>
      </c>
      <c r="O262" s="13">
        <f t="shared" si="215"/>
        <v>28.272727272727273</v>
      </c>
      <c r="P262" s="13">
        <f t="shared" si="215"/>
        <v>7.9140650359587283</v>
      </c>
      <c r="S262" s="2"/>
      <c r="V262" s="2"/>
      <c r="W262" s="263" t="s">
        <v>541</v>
      </c>
      <c r="X262" s="155">
        <v>0</v>
      </c>
      <c r="Z262" s="13">
        <v>148.70374000000001</v>
      </c>
      <c r="AA262" s="13">
        <v>153.14767000000001</v>
      </c>
      <c r="AB262" s="2">
        <f t="shared" si="207"/>
        <v>4.4439299999999946</v>
      </c>
      <c r="AC262" s="2">
        <f t="shared" si="208"/>
        <v>6.7525799999999947</v>
      </c>
      <c r="AD262" s="2">
        <f t="shared" si="209"/>
        <v>0.39690314213982741</v>
      </c>
      <c r="AE262" s="2">
        <f t="shared" si="210"/>
        <v>0.60309685786017264</v>
      </c>
      <c r="AF262" s="2">
        <f t="shared" si="211"/>
        <v>0.22502604676491331</v>
      </c>
      <c r="AG262" s="2">
        <f t="shared" si="212"/>
        <v>8.9313545024297836E-2</v>
      </c>
      <c r="AH262" s="2">
        <f t="shared" si="213"/>
        <v>11.196509999999989</v>
      </c>
      <c r="AI262" s="2">
        <v>37</v>
      </c>
      <c r="AJ262">
        <f t="shared" si="214"/>
        <v>8.3259637303017922</v>
      </c>
      <c r="AM262" s="2"/>
      <c r="AN262" s="2"/>
    </row>
    <row r="263" spans="3:40" x14ac:dyDescent="0.35">
      <c r="C263" s="2"/>
      <c r="E263" s="104"/>
      <c r="F263" s="13"/>
      <c r="G263" s="49" t="s">
        <v>94</v>
      </c>
      <c r="H263" s="2">
        <f>_xlfn.STDEV.S(H237:H247)</f>
        <v>0.76514290184014588</v>
      </c>
      <c r="I263" s="2">
        <f t="shared" ref="I263:P263" si="216">_xlfn.STDEV.S(I237:I247)</f>
        <v>2.9351202880579002</v>
      </c>
      <c r="J263" s="2">
        <f t="shared" si="216"/>
        <v>0.11779320727893322</v>
      </c>
      <c r="K263" s="2">
        <f t="shared" si="216"/>
        <v>0.11779320727893294</v>
      </c>
      <c r="L263" s="2">
        <f t="shared" si="216"/>
        <v>7.6292966037470669E-2</v>
      </c>
      <c r="M263" s="2">
        <f t="shared" si="216"/>
        <v>2.7337035187078369E-2</v>
      </c>
      <c r="N263" s="2">
        <f t="shared" si="216"/>
        <v>3.0509239475229606</v>
      </c>
      <c r="O263" s="2">
        <f t="shared" si="216"/>
        <v>5.5152680640365794</v>
      </c>
      <c r="P263" s="2">
        <f t="shared" si="216"/>
        <v>0.38061142959869476</v>
      </c>
      <c r="V263" s="2"/>
      <c r="W263" s="263"/>
      <c r="X263" s="155">
        <v>0</v>
      </c>
      <c r="Z263" s="13">
        <v>159.90025</v>
      </c>
      <c r="AA263">
        <v>165.23083</v>
      </c>
      <c r="AB263" s="2">
        <f t="shared" si="207"/>
        <v>5.3305799999999977</v>
      </c>
      <c r="AC263" s="2">
        <f t="shared" si="208"/>
        <v>4.0027800000000013</v>
      </c>
      <c r="AD263" s="2">
        <f t="shared" si="209"/>
        <v>0.57113193962302944</v>
      </c>
      <c r="AE263" s="2">
        <f t="shared" si="210"/>
        <v>0.42886806037697056</v>
      </c>
      <c r="AF263" s="2">
        <f t="shared" si="211"/>
        <v>0.18759684687219785</v>
      </c>
      <c r="AG263" s="2">
        <f t="shared" si="212"/>
        <v>0.10714255102128281</v>
      </c>
      <c r="AH263" s="2">
        <f t="shared" si="213"/>
        <v>9.333359999999999</v>
      </c>
      <c r="AI263" s="2">
        <v>42</v>
      </c>
      <c r="AJ263">
        <f t="shared" si="214"/>
        <v>7.8790675686323102</v>
      </c>
      <c r="AM263" s="2"/>
      <c r="AN263" s="2"/>
    </row>
    <row r="264" spans="3:40" x14ac:dyDescent="0.35">
      <c r="C264" s="2"/>
      <c r="E264" s="104"/>
      <c r="F264" s="13"/>
      <c r="G264" s="49" t="s">
        <v>95</v>
      </c>
      <c r="H264" s="2">
        <f>H263/(SQRT(COUNT(H237:H247)))</f>
        <v>0.23069926512795419</v>
      </c>
      <c r="I264" s="2">
        <f t="shared" ref="I264:P264" si="217">I263/(SQRT(COUNT(I237:I247)))</f>
        <v>0.88497206454981037</v>
      </c>
      <c r="J264" s="2">
        <f t="shared" si="217"/>
        <v>3.5515988308798367E-2</v>
      </c>
      <c r="K264" s="2">
        <f t="shared" si="217"/>
        <v>3.5515988308798284E-2</v>
      </c>
      <c r="L264" s="2">
        <f t="shared" si="217"/>
        <v>2.3003194771783437E-2</v>
      </c>
      <c r="M264" s="2">
        <f t="shared" si="217"/>
        <v>8.2424262360256354E-3</v>
      </c>
      <c r="N264" s="2">
        <f t="shared" si="217"/>
        <v>0.91988818162214625</v>
      </c>
      <c r="O264" s="2">
        <f t="shared" si="217"/>
        <v>1.6629158896944685</v>
      </c>
      <c r="P264" s="2">
        <f t="shared" si="217"/>
        <v>0.11475866389996728</v>
      </c>
      <c r="V264" s="2"/>
      <c r="W264" s="263" t="s">
        <v>541</v>
      </c>
      <c r="X264" s="155">
        <v>0</v>
      </c>
      <c r="Z264">
        <v>169.23361</v>
      </c>
      <c r="AA264">
        <v>173.62415999999999</v>
      </c>
      <c r="AB264" s="2">
        <f t="shared" si="207"/>
        <v>4.3905499999999904</v>
      </c>
      <c r="AC264" s="2">
        <f t="shared" si="208"/>
        <v>7.5758200000000215</v>
      </c>
      <c r="AD264" s="2">
        <f t="shared" si="209"/>
        <v>0.36690742472445581</v>
      </c>
      <c r="AE264" s="2">
        <f t="shared" si="210"/>
        <v>0.63309257527554419</v>
      </c>
      <c r="AF264" s="2">
        <f t="shared" si="211"/>
        <v>0.22776189771213223</v>
      </c>
      <c r="AG264" s="2">
        <f t="shared" si="212"/>
        <v>8.3567531339913362E-2</v>
      </c>
      <c r="AH264" s="2">
        <f t="shared" si="213"/>
        <v>11.966370000000012</v>
      </c>
      <c r="AI264" s="2">
        <v>34</v>
      </c>
      <c r="AJ264">
        <f t="shared" si="214"/>
        <v>7.743904522212496</v>
      </c>
      <c r="AM264" s="2"/>
      <c r="AN264" s="2"/>
    </row>
    <row r="265" spans="3:40" x14ac:dyDescent="0.35">
      <c r="C265" s="2"/>
      <c r="E265" s="104"/>
      <c r="F265" s="13"/>
      <c r="G265" s="49"/>
      <c r="H265" s="2"/>
      <c r="I265" s="2"/>
      <c r="J265" s="2"/>
      <c r="K265" s="2"/>
      <c r="L265" s="2"/>
      <c r="M265" s="2"/>
      <c r="N265" s="2"/>
      <c r="O265" s="2"/>
      <c r="P265" s="2"/>
      <c r="V265" s="2"/>
      <c r="W265" s="263"/>
      <c r="X265" s="155">
        <v>0</v>
      </c>
      <c r="Z265">
        <v>181.19998000000001</v>
      </c>
      <c r="AA265">
        <v>185.58978999999999</v>
      </c>
      <c r="AB265" s="2">
        <f t="shared" si="207"/>
        <v>4.3898099999999829</v>
      </c>
      <c r="AC265" s="2">
        <f t="shared" si="208"/>
        <v>4.9581799999999987</v>
      </c>
      <c r="AD265" s="2">
        <f t="shared" si="209"/>
        <v>0.4695993470254024</v>
      </c>
      <c r="AE265" s="2">
        <f t="shared" si="210"/>
        <v>0.5304006529745976</v>
      </c>
      <c r="AF265" s="2">
        <f t="shared" si="211"/>
        <v>0.22780029203997529</v>
      </c>
      <c r="AG265" s="2">
        <f t="shared" si="212"/>
        <v>0.10697486839416837</v>
      </c>
      <c r="AH265" s="2">
        <f t="shared" si="213"/>
        <v>9.3479899999999816</v>
      </c>
      <c r="AI265">
        <v>36</v>
      </c>
      <c r="AJ265">
        <f t="shared" si="214"/>
        <v>8.2008105134391105</v>
      </c>
      <c r="AM265" s="2"/>
      <c r="AN265" s="2"/>
    </row>
    <row r="266" spans="3:40" x14ac:dyDescent="0.35">
      <c r="C266" s="2"/>
      <c r="E266" s="104"/>
      <c r="W266" s="263" t="s">
        <v>541</v>
      </c>
      <c r="X266" s="155">
        <v>0</v>
      </c>
      <c r="Z266">
        <v>190.54796999999999</v>
      </c>
      <c r="AA266">
        <v>194.92471</v>
      </c>
      <c r="AB266" s="2">
        <f t="shared" si="207"/>
        <v>4.3767400000000123</v>
      </c>
      <c r="AC266" s="2">
        <f t="shared" si="208"/>
        <v>8.5723999999999876</v>
      </c>
      <c r="AD266" s="2">
        <f t="shared" si="209"/>
        <v>0.33799464674874258</v>
      </c>
      <c r="AE266" s="2">
        <f t="shared" si="210"/>
        <v>0.66200535325125742</v>
      </c>
      <c r="AF266" s="2">
        <f t="shared" si="211"/>
        <v>0.22848055858926899</v>
      </c>
      <c r="AG266" s="2">
        <f t="shared" si="212"/>
        <v>7.7225205689335358E-2</v>
      </c>
      <c r="AH266" s="2">
        <f t="shared" si="213"/>
        <v>12.94914</v>
      </c>
      <c r="AI266">
        <v>37</v>
      </c>
      <c r="AJ266">
        <f t="shared" si="214"/>
        <v>8.4537806678029526</v>
      </c>
      <c r="AM266" s="2"/>
      <c r="AN266" s="2"/>
    </row>
    <row r="267" spans="3:40" ht="16" thickBot="1" x14ac:dyDescent="0.4">
      <c r="E267" s="104" t="s">
        <v>81</v>
      </c>
      <c r="F267" s="13"/>
      <c r="G267" s="13"/>
      <c r="H267" s="9" t="s">
        <v>3</v>
      </c>
      <c r="I267" s="9" t="s">
        <v>4</v>
      </c>
      <c r="J267" s="9" t="s">
        <v>5</v>
      </c>
      <c r="K267" s="9" t="s">
        <v>6</v>
      </c>
      <c r="L267" s="9" t="s">
        <v>7</v>
      </c>
      <c r="M267" s="9" t="s">
        <v>8</v>
      </c>
      <c r="N267" s="9" t="s">
        <v>9</v>
      </c>
      <c r="O267" s="9" t="s">
        <v>10</v>
      </c>
      <c r="P267" s="44" t="s">
        <v>139</v>
      </c>
      <c r="W267" s="263" t="s">
        <v>541</v>
      </c>
      <c r="X267" s="155">
        <v>0</v>
      </c>
      <c r="Z267">
        <v>203.49710999999999</v>
      </c>
      <c r="AA267">
        <v>208.16380000000001</v>
      </c>
      <c r="AB267" s="2">
        <f t="shared" si="207"/>
        <v>4.6666900000000169</v>
      </c>
      <c r="AC267" s="2">
        <f t="shared" si="208"/>
        <v>12.302480000000003</v>
      </c>
      <c r="AD267" s="2">
        <f t="shared" si="209"/>
        <v>0.27500991504004096</v>
      </c>
      <c r="AE267" s="2">
        <f t="shared" si="210"/>
        <v>0.72499008495995909</v>
      </c>
      <c r="AF267" s="2">
        <f t="shared" si="211"/>
        <v>0.21428464286249921</v>
      </c>
      <c r="AG267" s="2">
        <f t="shared" si="212"/>
        <v>5.8930401428001419E-2</v>
      </c>
      <c r="AH267" s="2">
        <f t="shared" si="213"/>
        <v>16.96917000000002</v>
      </c>
      <c r="AI267">
        <v>43</v>
      </c>
      <c r="AJ267">
        <f t="shared" si="214"/>
        <v>9.2142396430874651</v>
      </c>
      <c r="AM267" s="2"/>
      <c r="AN267" s="2"/>
    </row>
    <row r="268" spans="3:40" x14ac:dyDescent="0.35">
      <c r="E268" s="104"/>
      <c r="F268" s="13"/>
      <c r="G268" s="49" t="s">
        <v>77</v>
      </c>
      <c r="H268" s="13">
        <f>AVERAGE(H237,H239:H241,H243,H245,H247)</f>
        <v>3.5142085714285729</v>
      </c>
      <c r="I268" s="13">
        <f t="shared" ref="I268:P268" si="218">AVERAGE(I237,I239:I241,I243,I245,I247)</f>
        <v>9.4844642857142851</v>
      </c>
      <c r="J268" s="13">
        <f t="shared" si="218"/>
        <v>0.26780442427388523</v>
      </c>
      <c r="K268" s="13">
        <f t="shared" si="218"/>
        <v>0.73219557572611482</v>
      </c>
      <c r="L268" s="13">
        <f t="shared" si="218"/>
        <v>0.3050269276946036</v>
      </c>
      <c r="M268" s="13">
        <f t="shared" si="218"/>
        <v>7.8396061371858644E-2</v>
      </c>
      <c r="N268" s="13">
        <f t="shared" si="218"/>
        <v>12.998672857142859</v>
      </c>
      <c r="O268" s="13">
        <f t="shared" si="218"/>
        <v>27.571428571428573</v>
      </c>
      <c r="P268" s="13">
        <f t="shared" si="218"/>
        <v>7.8948871946424157</v>
      </c>
      <c r="X268" s="155">
        <v>0</v>
      </c>
      <c r="Z268">
        <v>220.46628000000001</v>
      </c>
      <c r="AA268">
        <v>224.24092999999999</v>
      </c>
      <c r="AB268" s="2">
        <f t="shared" si="207"/>
        <v>3.7746499999999799</v>
      </c>
      <c r="AC268" s="2">
        <f t="shared" si="208"/>
        <v>4.6581700000000126</v>
      </c>
      <c r="AD268" s="2">
        <f t="shared" si="209"/>
        <v>0.44761420260363477</v>
      </c>
      <c r="AE268" s="2">
        <f t="shared" si="210"/>
        <v>0.55238579739636529</v>
      </c>
      <c r="AF268" s="2">
        <f t="shared" si="211"/>
        <v>0.26492522485528602</v>
      </c>
      <c r="AG268" s="2">
        <f t="shared" si="212"/>
        <v>0.11858429327318748</v>
      </c>
      <c r="AH268" s="2">
        <f t="shared" si="213"/>
        <v>8.4328199999999924</v>
      </c>
      <c r="AI268">
        <v>35</v>
      </c>
      <c r="AJ268">
        <f t="shared" si="214"/>
        <v>9.2723828699350097</v>
      </c>
      <c r="AM268" s="2"/>
      <c r="AN268" s="2"/>
    </row>
    <row r="269" spans="3:40" x14ac:dyDescent="0.35">
      <c r="E269" s="104"/>
      <c r="F269" s="13"/>
      <c r="G269" s="49" t="s">
        <v>94</v>
      </c>
      <c r="H269" s="2">
        <f>_xlfn.STDEV.S(H237,H239:H241,H243,H245,H247)</f>
        <v>0.93541525109490464</v>
      </c>
      <c r="I269" s="2">
        <f t="shared" ref="I269:P269" si="219">_xlfn.STDEV.S(I237,I239:I241,I243,I245,I247)</f>
        <v>1.275504770824174</v>
      </c>
      <c r="J269" s="2">
        <f t="shared" si="219"/>
        <v>4.5391800830419826E-2</v>
      </c>
      <c r="K269" s="2">
        <f t="shared" si="219"/>
        <v>4.5391800830419812E-2</v>
      </c>
      <c r="L269" s="2">
        <f t="shared" si="219"/>
        <v>9.3187062975270255E-2</v>
      </c>
      <c r="M269" s="2">
        <f t="shared" si="219"/>
        <v>1.139393288349368E-2</v>
      </c>
      <c r="N269" s="2">
        <f t="shared" si="219"/>
        <v>1.9540036296768963</v>
      </c>
      <c r="O269" s="2">
        <f t="shared" si="219"/>
        <v>6.6797490685689347</v>
      </c>
      <c r="P269" s="2">
        <f t="shared" si="219"/>
        <v>0.33207774767417853</v>
      </c>
      <c r="X269" s="155">
        <v>0</v>
      </c>
      <c r="Z269">
        <v>228.8991</v>
      </c>
      <c r="AA269">
        <v>233.63047</v>
      </c>
      <c r="AB269" s="2">
        <f t="shared" si="207"/>
        <v>4.7313699999999983</v>
      </c>
      <c r="AC269" s="2"/>
      <c r="AD269" s="2"/>
      <c r="AE269" s="2"/>
      <c r="AF269" s="2"/>
      <c r="AG269" s="2"/>
      <c r="AH269" s="2"/>
      <c r="AI269">
        <v>41</v>
      </c>
      <c r="AM269" s="2"/>
      <c r="AN269" s="2"/>
    </row>
    <row r="270" spans="3:40" x14ac:dyDescent="0.35">
      <c r="E270" s="104"/>
      <c r="F270" s="13"/>
      <c r="G270" s="49" t="s">
        <v>95</v>
      </c>
      <c r="H270" s="2">
        <f>H269/(SQRT(COUNT(H237,H239:H241,H243,H245,H247)))</f>
        <v>0.35355373242487959</v>
      </c>
      <c r="I270" s="2">
        <f t="shared" ref="I270:P270" si="220">I269/(SQRT(COUNT(I237,I239:I241,I243,I245,I247)))</f>
        <v>0.48209548852531403</v>
      </c>
      <c r="J270" s="2">
        <f t="shared" si="220"/>
        <v>1.7156488079809431E-2</v>
      </c>
      <c r="K270" s="2">
        <f t="shared" si="220"/>
        <v>1.7156488079809427E-2</v>
      </c>
      <c r="L270" s="2">
        <f t="shared" si="220"/>
        <v>3.5221399148725692E-2</v>
      </c>
      <c r="M270" s="2">
        <f t="shared" si="220"/>
        <v>4.3065018378121937E-3</v>
      </c>
      <c r="N270" s="2">
        <f t="shared" si="220"/>
        <v>0.7385439521489453</v>
      </c>
      <c r="O270" s="2">
        <f t="shared" si="220"/>
        <v>2.5247078365355335</v>
      </c>
      <c r="P270" s="2">
        <f t="shared" si="220"/>
        <v>0.12551359089776201</v>
      </c>
      <c r="W270" s="2"/>
      <c r="X270" s="155"/>
      <c r="AB270" s="2"/>
      <c r="AC270" s="2"/>
      <c r="AD270" s="2"/>
      <c r="AE270" s="2"/>
      <c r="AF270" s="2"/>
      <c r="AG270" s="2"/>
      <c r="AH270" s="2"/>
      <c r="AM270" s="2"/>
      <c r="AN270" s="2"/>
    </row>
    <row r="271" spans="3:40" x14ac:dyDescent="0.35">
      <c r="E271" s="104"/>
      <c r="F271" s="13"/>
      <c r="G271" s="49"/>
      <c r="H271" s="2"/>
      <c r="I271" s="2"/>
      <c r="J271" s="2"/>
      <c r="K271" s="2"/>
      <c r="L271" s="2"/>
      <c r="M271" s="2"/>
      <c r="N271" s="2"/>
      <c r="O271" s="2"/>
      <c r="P271" s="2"/>
      <c r="W271" s="2"/>
      <c r="AM271" s="2"/>
      <c r="AN271" s="2"/>
    </row>
    <row r="272" spans="3:40" ht="16" thickBot="1" x14ac:dyDescent="0.4">
      <c r="E272" s="104"/>
      <c r="F272" s="13"/>
      <c r="G272" s="49"/>
      <c r="H272" s="2"/>
      <c r="I272" s="2"/>
      <c r="J272" s="2"/>
      <c r="K272" s="2"/>
      <c r="L272" s="2"/>
      <c r="M272" s="2"/>
      <c r="N272" s="2"/>
      <c r="O272" s="2"/>
      <c r="P272" s="2"/>
      <c r="W272" s="2"/>
      <c r="Z272" s="13"/>
      <c r="AA272" s="13"/>
      <c r="AB272" s="9" t="s">
        <v>3</v>
      </c>
      <c r="AC272" s="9" t="s">
        <v>4</v>
      </c>
      <c r="AD272" s="9" t="s">
        <v>5</v>
      </c>
      <c r="AE272" s="9" t="s">
        <v>6</v>
      </c>
      <c r="AF272" s="9" t="s">
        <v>7</v>
      </c>
      <c r="AG272" s="9" t="s">
        <v>8</v>
      </c>
      <c r="AH272" s="9" t="s">
        <v>9</v>
      </c>
      <c r="AI272" s="9" t="s">
        <v>10</v>
      </c>
      <c r="AJ272" s="44" t="s">
        <v>139</v>
      </c>
      <c r="AM272" s="2"/>
      <c r="AN272" s="2"/>
    </row>
    <row r="273" spans="3:40" ht="16" thickBot="1" x14ac:dyDescent="0.4">
      <c r="E273" s="104" t="s">
        <v>82</v>
      </c>
      <c r="F273" s="13"/>
      <c r="G273" s="13"/>
      <c r="H273" s="9" t="s">
        <v>3</v>
      </c>
      <c r="I273" s="9" t="s">
        <v>4</v>
      </c>
      <c r="J273" s="9" t="s">
        <v>5</v>
      </c>
      <c r="K273" s="9" t="s">
        <v>6</v>
      </c>
      <c r="L273" s="9" t="s">
        <v>7</v>
      </c>
      <c r="M273" s="9" t="s">
        <v>8</v>
      </c>
      <c r="N273" s="9" t="s">
        <v>9</v>
      </c>
      <c r="O273" s="9" t="s">
        <v>10</v>
      </c>
      <c r="P273" s="44" t="s">
        <v>139</v>
      </c>
      <c r="W273" s="2"/>
      <c r="Y273" s="104" t="s">
        <v>427</v>
      </c>
      <c r="Z273" s="13"/>
      <c r="AA273" s="49" t="s">
        <v>77</v>
      </c>
      <c r="AB273" s="13">
        <f>AVERAGE(AB248:AB258)</f>
        <v>4.178789090909091</v>
      </c>
      <c r="AC273" s="13">
        <f t="shared" ref="AC273:AJ273" si="221">AVERAGE(AC248:AC258)</f>
        <v>6.4797563636363638</v>
      </c>
      <c r="AD273" s="13">
        <f t="shared" si="221"/>
        <v>0.40703921871766402</v>
      </c>
      <c r="AE273" s="13">
        <f t="shared" si="221"/>
        <v>0.59296078128233598</v>
      </c>
      <c r="AF273" s="13">
        <f t="shared" si="221"/>
        <v>0.24141124696454092</v>
      </c>
      <c r="AG273" s="13">
        <f t="shared" si="221"/>
        <v>9.7745072861881305E-2</v>
      </c>
      <c r="AH273" s="13">
        <f t="shared" si="221"/>
        <v>10.658545454545454</v>
      </c>
      <c r="AI273" s="13">
        <f t="shared" si="221"/>
        <v>35.272727272727273</v>
      </c>
      <c r="AJ273" s="13">
        <f t="shared" si="221"/>
        <v>8.4742649674527701</v>
      </c>
      <c r="AM273" s="2"/>
      <c r="AN273" s="2"/>
    </row>
    <row r="274" spans="3:40" x14ac:dyDescent="0.35">
      <c r="E274" s="104"/>
      <c r="F274" s="13"/>
      <c r="G274" s="49" t="s">
        <v>77</v>
      </c>
      <c r="H274" s="13">
        <f>AVERAGE(H238,H242,H244,H246)</f>
        <v>3.7208974999999969</v>
      </c>
      <c r="I274" s="13">
        <f t="shared" ref="I274:P274" si="222">AVERAGE(I238,I242,I244,I246)</f>
        <v>4.0477325000000013</v>
      </c>
      <c r="J274" s="13">
        <f t="shared" si="222"/>
        <v>0.48037128605883705</v>
      </c>
      <c r="K274" s="13">
        <f t="shared" si="222"/>
        <v>0.51962871394116295</v>
      </c>
      <c r="L274" s="13">
        <f t="shared" si="222"/>
        <v>0.27143862887063197</v>
      </c>
      <c r="M274" s="13">
        <f t="shared" si="222"/>
        <v>0.12903092578433151</v>
      </c>
      <c r="N274" s="13">
        <f t="shared" si="222"/>
        <v>7.7686299999999981</v>
      </c>
      <c r="O274" s="13">
        <f t="shared" si="222"/>
        <v>29.5</v>
      </c>
      <c r="P274" s="13">
        <f t="shared" si="222"/>
        <v>7.9476262582622752</v>
      </c>
      <c r="Y274" s="104"/>
      <c r="Z274" s="13"/>
      <c r="AA274" s="49" t="s">
        <v>94</v>
      </c>
      <c r="AB274" s="2">
        <f>_xlfn.STDEV.S(AB248:AB258)</f>
        <v>0.40593823376111215</v>
      </c>
      <c r="AC274" s="2">
        <f t="shared" ref="AC274:AJ274" si="223">_xlfn.STDEV.S(AC248:AC258)</f>
        <v>2.2946316890223226</v>
      </c>
      <c r="AD274" s="2">
        <f t="shared" si="223"/>
        <v>8.7874644094842386E-2</v>
      </c>
      <c r="AE274" s="2">
        <f t="shared" si="223"/>
        <v>8.7874644094842386E-2</v>
      </c>
      <c r="AF274" s="2">
        <f t="shared" si="223"/>
        <v>2.3939737903790111E-2</v>
      </c>
      <c r="AG274" s="2">
        <f t="shared" si="223"/>
        <v>1.9946512343375699E-2</v>
      </c>
      <c r="AH274" s="2">
        <f t="shared" si="223"/>
        <v>2.3686632424781786</v>
      </c>
      <c r="AI274" s="2">
        <f t="shared" si="223"/>
        <v>2.5334130768948473</v>
      </c>
      <c r="AJ274" s="2">
        <f t="shared" si="223"/>
        <v>0.56814932285594966</v>
      </c>
      <c r="AM274" s="2"/>
      <c r="AN274" s="2"/>
    </row>
    <row r="275" spans="3:40" x14ac:dyDescent="0.35">
      <c r="E275" s="104"/>
      <c r="F275" s="13"/>
      <c r="G275" s="49" t="s">
        <v>94</v>
      </c>
      <c r="H275" s="2">
        <f>_xlfn.STDEV.S(H238,H242,H244,H246)</f>
        <v>0.40648240432397181</v>
      </c>
      <c r="I275" s="2">
        <f t="shared" ref="I275:P275" si="224">_xlfn.STDEV.S(I238,I242,I244,I246)</f>
        <v>0.61891232967601817</v>
      </c>
      <c r="J275" s="2">
        <f t="shared" si="224"/>
        <v>6.1574826627295721E-2</v>
      </c>
      <c r="K275" s="2">
        <f t="shared" si="224"/>
        <v>6.1574826627296325E-2</v>
      </c>
      <c r="L275" s="2">
        <f t="shared" si="224"/>
        <v>3.2820112021938713E-2</v>
      </c>
      <c r="M275" s="2">
        <f t="shared" si="224"/>
        <v>7.4819899793182442E-3</v>
      </c>
      <c r="N275" s="2">
        <f t="shared" si="224"/>
        <v>0.42656906240373205</v>
      </c>
      <c r="O275" s="2">
        <f t="shared" si="224"/>
        <v>3</v>
      </c>
      <c r="P275" s="2">
        <f t="shared" si="224"/>
        <v>0.50987477895936439</v>
      </c>
      <c r="X275" s="155"/>
      <c r="Y275" s="104"/>
      <c r="Z275" s="13"/>
      <c r="AA275" s="49" t="s">
        <v>95</v>
      </c>
      <c r="AB275" s="2">
        <f t="shared" ref="AB275:AJ275" si="225">AB274/(SQRT(COUNT(AB248:AB258)))</f>
        <v>0.12239498267683545</v>
      </c>
      <c r="AC275" s="2">
        <f t="shared" si="225"/>
        <v>0.69185748586786522</v>
      </c>
      <c r="AD275" s="2">
        <f t="shared" si="225"/>
        <v>2.6495202095328366E-2</v>
      </c>
      <c r="AE275" s="2">
        <f t="shared" si="225"/>
        <v>2.6495202095328366E-2</v>
      </c>
      <c r="AF275" s="2">
        <f t="shared" si="225"/>
        <v>7.2181025642110092E-3</v>
      </c>
      <c r="AG275" s="2">
        <f t="shared" si="225"/>
        <v>6.014099756288166E-3</v>
      </c>
      <c r="AH275" s="2">
        <f t="shared" si="225"/>
        <v>0.71417883909152102</v>
      </c>
      <c r="AI275" s="2">
        <f t="shared" si="225"/>
        <v>0.76385278318545469</v>
      </c>
      <c r="AJ275" s="2">
        <f t="shared" si="225"/>
        <v>0.17130346625524331</v>
      </c>
      <c r="AM275" s="2"/>
      <c r="AN275" s="2"/>
    </row>
    <row r="276" spans="3:40" x14ac:dyDescent="0.35">
      <c r="E276" s="104"/>
      <c r="F276" s="13"/>
      <c r="G276" s="49" t="s">
        <v>95</v>
      </c>
      <c r="H276" s="2">
        <f>H275/(SQRT(COUNT(H238,H242,H244,H246)))</f>
        <v>0.20324120216198591</v>
      </c>
      <c r="I276" s="2">
        <f t="shared" ref="I276:P276" si="226">I275/(SQRT(COUNT(I238,I242,I244,I246)))</f>
        <v>0.30945616483800908</v>
      </c>
      <c r="J276" s="2">
        <f t="shared" si="226"/>
        <v>3.0787413313647861E-2</v>
      </c>
      <c r="K276" s="2">
        <f t="shared" si="226"/>
        <v>3.0787413313648163E-2</v>
      </c>
      <c r="L276" s="2">
        <f t="shared" si="226"/>
        <v>1.6410056010969357E-2</v>
      </c>
      <c r="M276" s="2">
        <f t="shared" si="226"/>
        <v>3.7409949896591221E-3</v>
      </c>
      <c r="N276" s="2">
        <f t="shared" si="226"/>
        <v>0.21328453120186602</v>
      </c>
      <c r="O276" s="2">
        <f t="shared" si="226"/>
        <v>1.5</v>
      </c>
      <c r="P276" s="2">
        <f t="shared" si="226"/>
        <v>0.2549373894796822</v>
      </c>
      <c r="X276" s="263"/>
      <c r="Y276" s="104"/>
      <c r="Z276" s="13"/>
      <c r="AA276" s="49"/>
      <c r="AB276" s="2"/>
      <c r="AC276" s="2"/>
      <c r="AD276" s="2"/>
      <c r="AE276" s="2"/>
      <c r="AF276" s="2"/>
      <c r="AG276" s="2"/>
      <c r="AH276" s="2"/>
      <c r="AI276" s="2"/>
      <c r="AJ276" s="2"/>
      <c r="AM276" s="2"/>
      <c r="AN276" s="2"/>
    </row>
    <row r="277" spans="3:40" x14ac:dyDescent="0.35">
      <c r="E277" s="104"/>
      <c r="F277" s="13"/>
      <c r="G277" s="49"/>
      <c r="H277" s="2"/>
      <c r="I277" s="2"/>
      <c r="J277" s="2"/>
      <c r="K277" s="2"/>
      <c r="L277" s="2"/>
      <c r="M277" s="2"/>
      <c r="N277" s="2"/>
      <c r="O277" s="2"/>
      <c r="P277" s="2"/>
      <c r="X277" s="263"/>
      <c r="Y277" s="104"/>
      <c r="Z277" s="13"/>
      <c r="AA277" s="49"/>
      <c r="AB277" s="2"/>
      <c r="AC277" s="2"/>
      <c r="AD277" s="2"/>
      <c r="AE277" s="2"/>
      <c r="AF277" s="2"/>
      <c r="AG277" s="2"/>
      <c r="AH277" s="2"/>
      <c r="AI277" s="2"/>
      <c r="AJ277" s="2"/>
      <c r="AM277" s="2"/>
      <c r="AN277" s="2"/>
    </row>
    <row r="278" spans="3:40" ht="16" thickBot="1" x14ac:dyDescent="0.4">
      <c r="C278" s="2"/>
      <c r="E278" s="104"/>
      <c r="X278" s="263"/>
      <c r="Y278" s="104" t="s">
        <v>81</v>
      </c>
      <c r="Z278" s="13"/>
      <c r="AA278" s="13"/>
      <c r="AB278" s="9" t="s">
        <v>3</v>
      </c>
      <c r="AC278" s="9" t="s">
        <v>4</v>
      </c>
      <c r="AD278" s="9" t="s">
        <v>5</v>
      </c>
      <c r="AE278" s="9" t="s">
        <v>6</v>
      </c>
      <c r="AF278" s="9" t="s">
        <v>7</v>
      </c>
      <c r="AG278" s="9" t="s">
        <v>8</v>
      </c>
      <c r="AH278" s="9" t="s">
        <v>9</v>
      </c>
      <c r="AI278" s="9" t="s">
        <v>10</v>
      </c>
      <c r="AJ278" s="44" t="s">
        <v>139</v>
      </c>
      <c r="AM278" s="2"/>
      <c r="AN278" s="2"/>
    </row>
    <row r="279" spans="3:40" ht="16" thickBot="1" x14ac:dyDescent="0.4">
      <c r="C279" s="2"/>
      <c r="E279" s="104"/>
      <c r="G279" s="13"/>
      <c r="H279" s="9" t="s">
        <v>3</v>
      </c>
      <c r="I279" s="9" t="s">
        <v>4</v>
      </c>
      <c r="J279" s="9" t="s">
        <v>5</v>
      </c>
      <c r="K279" s="9" t="s">
        <v>6</v>
      </c>
      <c r="L279" s="9" t="s">
        <v>7</v>
      </c>
      <c r="M279" s="9" t="s">
        <v>8</v>
      </c>
      <c r="N279" s="9" t="s">
        <v>9</v>
      </c>
      <c r="O279" s="9" t="s">
        <v>10</v>
      </c>
      <c r="P279" s="44" t="s">
        <v>139</v>
      </c>
      <c r="X279" s="263"/>
      <c r="Y279" s="104"/>
      <c r="Z279" s="13"/>
      <c r="AA279" s="49" t="s">
        <v>77</v>
      </c>
      <c r="AB279" s="13">
        <f>AVERAGE(AB248,AB250,AB252,AB254,AB256,AB258)</f>
        <v>4.1651949999999998</v>
      </c>
      <c r="AC279" s="13">
        <f t="shared" ref="AC279:AJ279" si="227">AVERAGE(AC248,AC250,AC252,AC254,AC256,AC258)</f>
        <v>8.1636416666666651</v>
      </c>
      <c r="AD279" s="13">
        <f t="shared" si="227"/>
        <v>0.34113674552952827</v>
      </c>
      <c r="AE279" s="13">
        <f t="shared" si="227"/>
        <v>0.65886325447047167</v>
      </c>
      <c r="AF279" s="13">
        <f t="shared" si="227"/>
        <v>0.241980123700028</v>
      </c>
      <c r="AG279" s="13">
        <f t="shared" si="227"/>
        <v>8.2470121981757669E-2</v>
      </c>
      <c r="AH279" s="13">
        <f t="shared" si="227"/>
        <v>12.328836666666666</v>
      </c>
      <c r="AI279" s="13">
        <f t="shared" si="227"/>
        <v>34.666666666666664</v>
      </c>
      <c r="AJ279" s="13">
        <f t="shared" si="227"/>
        <v>8.3393578670786646</v>
      </c>
      <c r="AM279" s="2"/>
      <c r="AN279" s="2"/>
    </row>
    <row r="280" spans="3:40" x14ac:dyDescent="0.35">
      <c r="C280" s="2"/>
      <c r="E280" s="104" t="s">
        <v>410</v>
      </c>
      <c r="G280" s="49" t="s">
        <v>77</v>
      </c>
      <c r="H280" s="13">
        <f t="shared" ref="H280:P280" si="228">AVERAGE(H248:H258)</f>
        <v>3.2517727272727295</v>
      </c>
      <c r="I280" s="13">
        <f t="shared" si="228"/>
        <v>6.6492536363636354</v>
      </c>
      <c r="J280" s="13">
        <f t="shared" si="228"/>
        <v>0.34809459242407875</v>
      </c>
      <c r="K280" s="13">
        <f t="shared" si="228"/>
        <v>0.65190540757592141</v>
      </c>
      <c r="L280" s="13">
        <f t="shared" si="228"/>
        <v>0.30983572031442203</v>
      </c>
      <c r="M280" s="13">
        <f t="shared" si="228"/>
        <v>0.10583312225626827</v>
      </c>
      <c r="N280" s="13">
        <f t="shared" si="228"/>
        <v>9.9010263636363636</v>
      </c>
      <c r="O280" s="13">
        <f t="shared" si="228"/>
        <v>24.09090909090909</v>
      </c>
      <c r="P280" s="13">
        <f t="shared" si="228"/>
        <v>7.4155006715189984</v>
      </c>
      <c r="X280" s="263"/>
      <c r="Y280" s="104"/>
      <c r="Z280" s="13"/>
      <c r="AA280" s="49" t="s">
        <v>94</v>
      </c>
      <c r="AB280" s="2">
        <f>_xlfn.STDEV.S(AB248,AB250,AB252,AB254,AB256,AB258)</f>
        <v>0.40472955028018481</v>
      </c>
      <c r="AC280" s="2">
        <f t="shared" ref="AC280:AJ280" si="229">_xlfn.STDEV.S(AC248,AC250,AC252,AC254,AC256,AC258)</f>
        <v>1.6405536016895796</v>
      </c>
      <c r="AD280" s="2">
        <f t="shared" si="229"/>
        <v>3.7094637338916173E-2</v>
      </c>
      <c r="AE280" s="2">
        <f t="shared" si="229"/>
        <v>3.7094637338916159E-2</v>
      </c>
      <c r="AF280" s="2">
        <f t="shared" si="229"/>
        <v>2.3453842306964307E-2</v>
      </c>
      <c r="AG280" s="2">
        <f t="shared" si="229"/>
        <v>1.0778299784464424E-2</v>
      </c>
      <c r="AH280" s="2">
        <f t="shared" si="229"/>
        <v>1.879119222121546</v>
      </c>
      <c r="AI280" s="2">
        <f t="shared" si="229"/>
        <v>3.1411250638372659</v>
      </c>
      <c r="AJ280" s="2">
        <f t="shared" si="229"/>
        <v>0.50433075734997923</v>
      </c>
      <c r="AM280" s="2"/>
      <c r="AN280" s="2"/>
    </row>
    <row r="281" spans="3:40" x14ac:dyDescent="0.35">
      <c r="G281" s="49" t="s">
        <v>94</v>
      </c>
      <c r="H281" s="2">
        <f t="shared" ref="H281:P281" si="230">_xlfn.STDEV.S(H248:H258)</f>
        <v>0.30332710775962446</v>
      </c>
      <c r="I281" s="2">
        <f t="shared" si="230"/>
        <v>2.4652962976051045</v>
      </c>
      <c r="J281" s="2">
        <f t="shared" si="230"/>
        <v>9.9198904019972167E-2</v>
      </c>
      <c r="K281" s="2">
        <f t="shared" si="230"/>
        <v>9.9198904019971501E-2</v>
      </c>
      <c r="L281" s="2">
        <f t="shared" si="230"/>
        <v>2.730363778437675E-2</v>
      </c>
      <c r="M281" s="2">
        <f t="shared" si="230"/>
        <v>2.3204586896101682E-2</v>
      </c>
      <c r="N281" s="2">
        <f t="shared" si="230"/>
        <v>2.2706579413124852</v>
      </c>
      <c r="O281" s="2">
        <f t="shared" si="230"/>
        <v>2.3001976199685741</v>
      </c>
      <c r="P281" s="2">
        <f t="shared" si="230"/>
        <v>0.3842716447048255</v>
      </c>
      <c r="X281" s="263"/>
      <c r="Y281" s="104"/>
      <c r="Z281" s="13"/>
      <c r="AA281" s="49" t="s">
        <v>95</v>
      </c>
      <c r="AB281" s="2">
        <f>AB280/(SQRT(COUNT(AB248,AB250,AB252,AB254,AB256,AB258)))</f>
        <v>0.16523014700209357</v>
      </c>
      <c r="AC281" s="2">
        <f t="shared" ref="AC281:AJ281" si="231">AC280/(SQRT(COUNT(AC248,AC250,AC252,AC254,AC256,AC258)))</f>
        <v>0.66975320330410415</v>
      </c>
      <c r="AD281" s="2">
        <f t="shared" si="231"/>
        <v>1.514382227898951E-2</v>
      </c>
      <c r="AE281" s="2">
        <f t="shared" si="231"/>
        <v>1.5143822278989505E-2</v>
      </c>
      <c r="AF281" s="2">
        <f t="shared" si="231"/>
        <v>9.5749910266272036E-3</v>
      </c>
      <c r="AG281" s="2">
        <f t="shared" si="231"/>
        <v>4.4002224611146244E-3</v>
      </c>
      <c r="AH281" s="2">
        <f t="shared" si="231"/>
        <v>0.76714721000890529</v>
      </c>
      <c r="AI281" s="2">
        <f t="shared" si="231"/>
        <v>1.2823589374447566</v>
      </c>
      <c r="AJ281" s="2">
        <f t="shared" si="231"/>
        <v>0.20589216951647435</v>
      </c>
      <c r="AM281" s="2"/>
      <c r="AN281" s="2"/>
    </row>
    <row r="282" spans="3:40" x14ac:dyDescent="0.35">
      <c r="G282" s="49" t="s">
        <v>95</v>
      </c>
      <c r="H282" s="2">
        <f t="shared" ref="H282:P282" si="232">H281/(SQRT(COUNT(H248:H258)))</f>
        <v>9.1456564107488564E-2</v>
      </c>
      <c r="I282" s="2">
        <f t="shared" si="232"/>
        <v>0.7433148014734976</v>
      </c>
      <c r="J282" s="2">
        <f t="shared" si="232"/>
        <v>2.9909594931702331E-2</v>
      </c>
      <c r="K282" s="2">
        <f t="shared" si="232"/>
        <v>2.990959493170213E-2</v>
      </c>
      <c r="L282" s="2">
        <f t="shared" si="232"/>
        <v>8.2323565402316647E-3</v>
      </c>
      <c r="M282" s="2">
        <f t="shared" si="232"/>
        <v>6.9964461954151727E-3</v>
      </c>
      <c r="N282" s="2">
        <f t="shared" si="232"/>
        <v>0.68462912896130412</v>
      </c>
      <c r="O282" s="2">
        <f t="shared" si="232"/>
        <v>0.6935356771912965</v>
      </c>
      <c r="P282" s="2">
        <f t="shared" si="232"/>
        <v>0.1158622602780606</v>
      </c>
      <c r="X282" s="263"/>
      <c r="Y282" s="104"/>
      <c r="Z282" s="13"/>
      <c r="AA282" s="49"/>
      <c r="AB282" s="2"/>
      <c r="AC282" s="2"/>
      <c r="AD282" s="2"/>
      <c r="AE282" s="2"/>
      <c r="AF282" s="2"/>
      <c r="AG282" s="2"/>
      <c r="AH282" s="2"/>
      <c r="AI282" s="2"/>
      <c r="AJ282" s="2"/>
      <c r="AM282" s="2"/>
      <c r="AN282" s="2"/>
    </row>
    <row r="283" spans="3:40" x14ac:dyDescent="0.35">
      <c r="X283" s="263"/>
      <c r="Y283" s="104"/>
      <c r="Z283" s="13"/>
      <c r="AA283" s="49"/>
      <c r="AB283" s="2"/>
      <c r="AC283" s="2"/>
      <c r="AD283" s="2"/>
      <c r="AE283" s="2"/>
      <c r="AF283" s="2"/>
      <c r="AG283" s="2"/>
      <c r="AH283" s="2"/>
      <c r="AI283" s="2"/>
      <c r="AJ283" s="2"/>
      <c r="AM283" s="2"/>
      <c r="AN283" s="2"/>
    </row>
    <row r="284" spans="3:40" ht="16" thickBot="1" x14ac:dyDescent="0.4">
      <c r="X284" s="263"/>
      <c r="Y284" s="104" t="s">
        <v>82</v>
      </c>
      <c r="Z284" s="13"/>
      <c r="AA284" s="13"/>
      <c r="AB284" s="9" t="s">
        <v>3</v>
      </c>
      <c r="AC284" s="9" t="s">
        <v>4</v>
      </c>
      <c r="AD284" s="9" t="s">
        <v>5</v>
      </c>
      <c r="AE284" s="9" t="s">
        <v>6</v>
      </c>
      <c r="AF284" s="9" t="s">
        <v>7</v>
      </c>
      <c r="AG284" s="9" t="s">
        <v>8</v>
      </c>
      <c r="AH284" s="9" t="s">
        <v>9</v>
      </c>
      <c r="AI284" s="9" t="s">
        <v>10</v>
      </c>
      <c r="AJ284" s="44" t="s">
        <v>139</v>
      </c>
      <c r="AM284" s="2"/>
      <c r="AN284" s="2"/>
    </row>
    <row r="285" spans="3:40" ht="16" thickBot="1" x14ac:dyDescent="0.4">
      <c r="E285" s="104" t="s">
        <v>81</v>
      </c>
      <c r="F285" s="13"/>
      <c r="G285" s="13"/>
      <c r="H285" s="9" t="s">
        <v>3</v>
      </c>
      <c r="I285" s="9" t="s">
        <v>4</v>
      </c>
      <c r="J285" s="9" t="s">
        <v>5</v>
      </c>
      <c r="K285" s="9" t="s">
        <v>6</v>
      </c>
      <c r="L285" s="9" t="s">
        <v>7</v>
      </c>
      <c r="M285" s="9" t="s">
        <v>8</v>
      </c>
      <c r="N285" s="9" t="s">
        <v>9</v>
      </c>
      <c r="O285" s="9" t="s">
        <v>10</v>
      </c>
      <c r="P285" s="44" t="s">
        <v>139</v>
      </c>
      <c r="X285" s="263"/>
      <c r="Y285" s="104"/>
      <c r="Z285" s="13"/>
      <c r="AA285" s="49" t="s">
        <v>77</v>
      </c>
      <c r="AB285" s="13">
        <f>AVERAGE(AB251,AB253,AB255,AB249,AB257)</f>
        <v>4.1951019999999994</v>
      </c>
      <c r="AC285" s="13">
        <f t="shared" ref="AC285:AJ285" si="233">AVERAGE(AC251,AC253,AC255,AC249,AC257)</f>
        <v>4.4590940000000012</v>
      </c>
      <c r="AD285" s="13">
        <f t="shared" si="233"/>
        <v>0.48612218654342687</v>
      </c>
      <c r="AE285" s="13">
        <f t="shared" si="233"/>
        <v>0.51387781345657302</v>
      </c>
      <c r="AF285" s="13">
        <f t="shared" si="233"/>
        <v>0.24072859488195633</v>
      </c>
      <c r="AG285" s="13">
        <f t="shared" si="233"/>
        <v>0.1160750139180297</v>
      </c>
      <c r="AH285" s="13">
        <f t="shared" si="233"/>
        <v>8.6541960000000007</v>
      </c>
      <c r="AI285" s="13">
        <f t="shared" si="233"/>
        <v>36</v>
      </c>
      <c r="AJ285" s="13">
        <f t="shared" si="233"/>
        <v>8.6361534879016997</v>
      </c>
      <c r="AM285" s="2"/>
      <c r="AN285" s="2"/>
    </row>
    <row r="286" spans="3:40" x14ac:dyDescent="0.35">
      <c r="E286" s="104"/>
      <c r="F286" s="13"/>
      <c r="G286" s="49" t="s">
        <v>77</v>
      </c>
      <c r="H286" s="13">
        <f>AVERAGE(H255,H257,H253,H251,H249)</f>
        <v>3.0521520000000009</v>
      </c>
      <c r="I286" s="13">
        <f t="shared" ref="I286:P286" si="234">AVERAGE(I255,I257,I253,I251,I249)</f>
        <v>9.2026699999999941</v>
      </c>
      <c r="J286" s="13">
        <f t="shared" si="234"/>
        <v>0.24905151062215386</v>
      </c>
      <c r="K286" s="13">
        <f t="shared" si="234"/>
        <v>0.7509484893778462</v>
      </c>
      <c r="L286" s="13">
        <f t="shared" si="234"/>
        <v>0.32805246130880683</v>
      </c>
      <c r="M286" s="13">
        <f t="shared" si="234"/>
        <v>8.1683804204899249E-2</v>
      </c>
      <c r="N286" s="13">
        <f t="shared" si="234"/>
        <v>12.254821999999995</v>
      </c>
      <c r="O286" s="13">
        <f t="shared" si="234"/>
        <v>22.2</v>
      </c>
      <c r="P286" s="13">
        <f t="shared" si="234"/>
        <v>7.2806114109509021</v>
      </c>
      <c r="X286" s="263"/>
      <c r="Y286" s="104"/>
      <c r="Z286" s="13"/>
      <c r="AA286" s="49" t="s">
        <v>94</v>
      </c>
      <c r="AB286" s="2">
        <f>_xlfn.STDEV.S(AB251,AB253,AB255,AB249,AB257)</f>
        <v>0.45452972979773304</v>
      </c>
      <c r="AC286" s="2">
        <f t="shared" ref="AC286:AJ286" si="235">_xlfn.STDEV.S(AC251,AC253,AC255,AC249,AC257)</f>
        <v>0.66484303803980038</v>
      </c>
      <c r="AD286" s="2">
        <f t="shared" si="235"/>
        <v>5.7030858569929344E-2</v>
      </c>
      <c r="AE286" s="2">
        <f t="shared" si="235"/>
        <v>5.7030858569928844E-2</v>
      </c>
      <c r="AF286" s="2">
        <f t="shared" si="235"/>
        <v>2.7278311533394061E-2</v>
      </c>
      <c r="AG286" s="2">
        <f t="shared" si="235"/>
        <v>8.9148243599486785E-3</v>
      </c>
      <c r="AH286" s="2">
        <f t="shared" si="235"/>
        <v>0.63715975793359825</v>
      </c>
      <c r="AI286" s="2">
        <f t="shared" si="235"/>
        <v>1.5811388300841898</v>
      </c>
      <c r="AJ286" s="2">
        <f t="shared" si="235"/>
        <v>0.65497136328944061</v>
      </c>
      <c r="AM286" s="2"/>
      <c r="AN286" s="2"/>
    </row>
    <row r="287" spans="3:40" x14ac:dyDescent="0.35">
      <c r="E287" s="104"/>
      <c r="F287" s="13"/>
      <c r="G287" s="49" t="s">
        <v>94</v>
      </c>
      <c r="H287" s="2">
        <f>_xlfn.STDEV.S(H255,H257,H253,H251,H249)</f>
        <v>0.12143654709351649</v>
      </c>
      <c r="I287" s="2">
        <f t="shared" ref="I287:P287" si="236">_xlfn.STDEV.S(I255,I257,I253,I251,I249)</f>
        <v>0.32756166266828091</v>
      </c>
      <c r="J287" s="2">
        <f t="shared" si="236"/>
        <v>3.9622964894610695E-3</v>
      </c>
      <c r="K287" s="2">
        <f t="shared" si="236"/>
        <v>3.9622964894610851E-3</v>
      </c>
      <c r="L287" s="2">
        <f t="shared" si="236"/>
        <v>1.3034054253707487E-2</v>
      </c>
      <c r="M287" s="2">
        <f t="shared" si="236"/>
        <v>2.9346525658030987E-3</v>
      </c>
      <c r="N287" s="2">
        <f t="shared" si="236"/>
        <v>0.43467588484984682</v>
      </c>
      <c r="O287" s="2">
        <f t="shared" si="236"/>
        <v>1.3038404810405297</v>
      </c>
      <c r="P287" s="2">
        <f t="shared" si="236"/>
        <v>0.47179987075775248</v>
      </c>
      <c r="X287" s="263"/>
      <c r="Y287" s="104"/>
      <c r="Z287" s="13"/>
      <c r="AA287" s="49" t="s">
        <v>95</v>
      </c>
      <c r="AB287" s="2">
        <f>AB286/(SQRT(COUNT(AB251,AB253,AB255,AB249,AB257)))</f>
        <v>0.20327187472446856</v>
      </c>
      <c r="AC287" s="2">
        <f t="shared" ref="AC287:AJ287" si="237">AC286/(SQRT(COUNT(AC251,AC253,AC255,AC249,AC257)))</f>
        <v>0.29732684548489441</v>
      </c>
      <c r="AD287" s="2">
        <f t="shared" si="237"/>
        <v>2.5504975315507689E-2</v>
      </c>
      <c r="AE287" s="2">
        <f t="shared" si="237"/>
        <v>2.5504975315507467E-2</v>
      </c>
      <c r="AF287" s="2">
        <f t="shared" si="237"/>
        <v>1.2199231780017129E-2</v>
      </c>
      <c r="AG287" s="2">
        <f t="shared" si="237"/>
        <v>3.9868306552632597E-3</v>
      </c>
      <c r="AH287" s="2">
        <f t="shared" si="237"/>
        <v>0.28494650625336732</v>
      </c>
      <c r="AI287" s="2">
        <f t="shared" si="237"/>
        <v>0.70710678118654757</v>
      </c>
      <c r="AJ287" s="2">
        <f t="shared" si="237"/>
        <v>0.29291209832617987</v>
      </c>
      <c r="AM287" s="2"/>
      <c r="AN287" s="2"/>
    </row>
    <row r="288" spans="3:40" x14ac:dyDescent="0.35">
      <c r="E288" s="104"/>
      <c r="F288" s="13"/>
      <c r="G288" s="49" t="s">
        <v>95</v>
      </c>
      <c r="H288" s="2">
        <f>H287/(SQRT(COUNT(H255,H257,H253,H251,H249)))</f>
        <v>5.4308074850791477E-2</v>
      </c>
      <c r="I288" s="2">
        <f t="shared" ref="I288:P288" si="238">I287/(SQRT(COUNT(I255,I257,I253,I251,I249)))</f>
        <v>0.14649002890982624</v>
      </c>
      <c r="J288" s="2">
        <f t="shared" si="238"/>
        <v>1.771992859488746E-3</v>
      </c>
      <c r="K288" s="2">
        <f t="shared" si="238"/>
        <v>1.771992859488753E-3</v>
      </c>
      <c r="L288" s="2">
        <f t="shared" si="238"/>
        <v>5.8290062667420463E-3</v>
      </c>
      <c r="M288" s="2">
        <f t="shared" si="238"/>
        <v>1.3124165254959806E-3</v>
      </c>
      <c r="N288" s="2">
        <f t="shared" si="238"/>
        <v>0.19439296534082567</v>
      </c>
      <c r="O288" s="2">
        <f t="shared" si="238"/>
        <v>0.58309518948452999</v>
      </c>
      <c r="P288" s="2">
        <f t="shared" si="238"/>
        <v>0.21099531655798995</v>
      </c>
      <c r="X288" s="263"/>
      <c r="Y288" s="104"/>
      <c r="Z288" s="13"/>
      <c r="AA288" s="49"/>
      <c r="AB288" s="2"/>
      <c r="AC288" s="2"/>
      <c r="AD288" s="2"/>
      <c r="AE288" s="2"/>
      <c r="AF288" s="2"/>
      <c r="AG288" s="2"/>
      <c r="AH288" s="2"/>
      <c r="AI288" s="2"/>
      <c r="AJ288" s="2"/>
      <c r="AM288" s="2"/>
      <c r="AN288" s="2"/>
    </row>
    <row r="289" spans="3:40" x14ac:dyDescent="0.35">
      <c r="E289" s="104"/>
      <c r="F289" s="13"/>
      <c r="G289" s="49"/>
      <c r="H289" s="2"/>
      <c r="I289" s="2"/>
      <c r="J289" s="2"/>
      <c r="K289" s="2"/>
      <c r="L289" s="2"/>
      <c r="M289" s="2"/>
      <c r="N289" s="2"/>
      <c r="O289" s="2"/>
      <c r="P289" s="2"/>
      <c r="X289" s="263"/>
      <c r="Y289" s="104"/>
      <c r="Z289" s="13"/>
      <c r="AA289" s="49"/>
      <c r="AB289" s="2"/>
      <c r="AC289" s="2"/>
      <c r="AD289" s="2"/>
      <c r="AE289" s="2"/>
      <c r="AF289" s="2"/>
      <c r="AG289" s="2"/>
      <c r="AH289" s="2"/>
      <c r="AI289" s="2"/>
      <c r="AJ289" s="2"/>
      <c r="AM289" s="2"/>
      <c r="AN289" s="2"/>
    </row>
    <row r="290" spans="3:40" x14ac:dyDescent="0.35">
      <c r="E290" s="104"/>
      <c r="F290" s="13"/>
      <c r="G290" s="49"/>
      <c r="H290" s="2"/>
      <c r="I290" s="2"/>
      <c r="J290" s="2"/>
      <c r="K290" s="2"/>
      <c r="L290" s="2"/>
      <c r="M290" s="2"/>
      <c r="N290" s="2"/>
      <c r="O290" s="2"/>
      <c r="P290" s="2"/>
      <c r="X290" s="155"/>
      <c r="AB290" s="2"/>
      <c r="AC290" s="2"/>
      <c r="AD290" s="2"/>
      <c r="AE290" s="2"/>
      <c r="AF290" s="2"/>
      <c r="AG290" s="2"/>
      <c r="AH290" s="2"/>
      <c r="AI290" s="2"/>
      <c r="AM290" s="2"/>
      <c r="AN290" s="2"/>
    </row>
    <row r="291" spans="3:40" ht="16" thickBot="1" x14ac:dyDescent="0.4">
      <c r="E291" s="104" t="s">
        <v>82</v>
      </c>
      <c r="F291" s="13"/>
      <c r="G291" s="13"/>
      <c r="H291" s="9" t="s">
        <v>3</v>
      </c>
      <c r="I291" s="9" t="s">
        <v>4</v>
      </c>
      <c r="J291" s="9" t="s">
        <v>5</v>
      </c>
      <c r="K291" s="9" t="s">
        <v>6</v>
      </c>
      <c r="L291" s="9" t="s">
        <v>7</v>
      </c>
      <c r="M291" s="9" t="s">
        <v>8</v>
      </c>
      <c r="N291" s="9" t="s">
        <v>9</v>
      </c>
      <c r="O291" s="9" t="s">
        <v>10</v>
      </c>
      <c r="P291" s="44" t="s">
        <v>139</v>
      </c>
      <c r="AM291" s="2"/>
    </row>
    <row r="292" spans="3:40" ht="16" thickBot="1" x14ac:dyDescent="0.4">
      <c r="E292" s="104"/>
      <c r="F292" s="13"/>
      <c r="G292" s="49" t="s">
        <v>77</v>
      </c>
      <c r="H292" s="13">
        <f>AVERAGE(H256,H258,H254,H252,H250,H248)</f>
        <v>3.4181233333333361</v>
      </c>
      <c r="I292" s="13">
        <f t="shared" ref="I292:P292" si="239">AVERAGE(I256,I258,I254,I252,I250,I248)</f>
        <v>4.5214066666666684</v>
      </c>
      <c r="J292" s="13">
        <f t="shared" si="239"/>
        <v>0.4306304939256827</v>
      </c>
      <c r="K292" s="13">
        <f t="shared" si="239"/>
        <v>0.56936950607431724</v>
      </c>
      <c r="L292" s="13">
        <f t="shared" si="239"/>
        <v>0.29465510281910151</v>
      </c>
      <c r="M292" s="13">
        <f t="shared" si="239"/>
        <v>0.12595755396574249</v>
      </c>
      <c r="N292" s="13">
        <f t="shared" si="239"/>
        <v>7.9395300000000049</v>
      </c>
      <c r="O292" s="13">
        <f t="shared" si="239"/>
        <v>25.666666666666668</v>
      </c>
      <c r="P292" s="13">
        <f t="shared" si="239"/>
        <v>7.5279083886590783</v>
      </c>
      <c r="Z292" s="13"/>
      <c r="AA292" s="13"/>
      <c r="AB292" s="9" t="s">
        <v>3</v>
      </c>
      <c r="AC292" s="9" t="s">
        <v>4</v>
      </c>
      <c r="AD292" s="9" t="s">
        <v>5</v>
      </c>
      <c r="AE292" s="9" t="s">
        <v>6</v>
      </c>
      <c r="AF292" s="9" t="s">
        <v>7</v>
      </c>
      <c r="AG292" s="9" t="s">
        <v>8</v>
      </c>
      <c r="AH292" s="9" t="s">
        <v>9</v>
      </c>
      <c r="AI292" s="9" t="s">
        <v>10</v>
      </c>
      <c r="AJ292" s="44" t="s">
        <v>139</v>
      </c>
      <c r="AM292" s="2"/>
    </row>
    <row r="293" spans="3:40" x14ac:dyDescent="0.35">
      <c r="E293" s="104"/>
      <c r="F293" s="13"/>
      <c r="G293" s="49" t="s">
        <v>94</v>
      </c>
      <c r="H293" s="2">
        <f>_xlfn.STDEV.S(H256,H258,H254,H252,H250,H248)</f>
        <v>0.31489956638056926</v>
      </c>
      <c r="I293" s="2">
        <f t="shared" ref="I293:P293" si="240">_xlfn.STDEV.S(I256,I258,I254,I252,I250,I248)</f>
        <v>0.34105711818794621</v>
      </c>
      <c r="J293" s="2">
        <f t="shared" si="240"/>
        <v>4.1038313633837642E-2</v>
      </c>
      <c r="K293" s="2">
        <f t="shared" si="240"/>
        <v>4.1038313633837642E-2</v>
      </c>
      <c r="L293" s="2">
        <f t="shared" si="240"/>
        <v>2.7325390880762187E-2</v>
      </c>
      <c r="M293" s="2">
        <f t="shared" si="240"/>
        <v>9.1383433430368996E-4</v>
      </c>
      <c r="N293" s="2">
        <f t="shared" si="240"/>
        <v>5.7489075136066319E-2</v>
      </c>
      <c r="O293" s="2">
        <f t="shared" si="240"/>
        <v>1.6329931618554521</v>
      </c>
      <c r="P293" s="2">
        <f t="shared" si="240"/>
        <v>0.28964735964081711</v>
      </c>
      <c r="Y293" s="104" t="s">
        <v>410</v>
      </c>
      <c r="Z293" s="13"/>
      <c r="AA293" s="49" t="s">
        <v>77</v>
      </c>
      <c r="AB293" s="13">
        <f t="shared" ref="AB293:AJ293" si="241">AVERAGE(AB259:AB268)</f>
        <v>4.4323620000000004</v>
      </c>
      <c r="AC293" s="13">
        <f t="shared" si="241"/>
        <v>6.4563100000000002</v>
      </c>
      <c r="AD293" s="13">
        <f t="shared" si="241"/>
        <v>0.42609730399082435</v>
      </c>
      <c r="AE293" s="13">
        <f t="shared" si="241"/>
        <v>0.57390269600917565</v>
      </c>
      <c r="AF293" s="13">
        <f t="shared" si="241"/>
        <v>0.2271467890456888</v>
      </c>
      <c r="AG293" s="13">
        <f t="shared" si="241"/>
        <v>9.6492410301710588E-2</v>
      </c>
      <c r="AH293" s="13">
        <f t="shared" si="241"/>
        <v>10.888672000000001</v>
      </c>
      <c r="AI293" s="13">
        <f t="shared" si="241"/>
        <v>37.299999999999997</v>
      </c>
      <c r="AJ293" s="13">
        <f t="shared" si="241"/>
        <v>8.4364873546643242</v>
      </c>
      <c r="AM293" s="2"/>
    </row>
    <row r="294" spans="3:40" x14ac:dyDescent="0.35">
      <c r="E294" s="104"/>
      <c r="F294" s="13"/>
      <c r="G294" s="49" t="s">
        <v>95</v>
      </c>
      <c r="H294" s="2">
        <f>H293/(SQRT(COUNT(H256,H258,H254,H252,H250,H248)))</f>
        <v>0.12855720964267917</v>
      </c>
      <c r="I294" s="2">
        <f t="shared" ref="I294:P294" si="242">I293/(SQRT(COUNT(I256,I258,I254,I252,I250,I248)))</f>
        <v>0.13923598545076074</v>
      </c>
      <c r="J294" s="2">
        <f t="shared" si="242"/>
        <v>1.6753821384534059E-2</v>
      </c>
      <c r="K294" s="2">
        <f t="shared" si="242"/>
        <v>1.6753821384534059E-2</v>
      </c>
      <c r="L294" s="2">
        <f t="shared" si="242"/>
        <v>1.1155544113327996E-2</v>
      </c>
      <c r="M294" s="2">
        <f t="shared" si="242"/>
        <v>3.7307130474666377E-4</v>
      </c>
      <c r="N294" s="2">
        <f t="shared" si="242"/>
        <v>2.3469816644647649E-2</v>
      </c>
      <c r="O294" s="2">
        <f t="shared" si="242"/>
        <v>0.66666666666666674</v>
      </c>
      <c r="P294" s="2">
        <f t="shared" si="242"/>
        <v>0.11824803941073531</v>
      </c>
      <c r="Y294" s="104"/>
      <c r="Z294" s="13"/>
      <c r="AA294" s="49" t="s">
        <v>94</v>
      </c>
      <c r="AB294" s="2">
        <f t="shared" ref="AB294:AJ294" si="243">_xlfn.STDEV.S(AB259:AB268)</f>
        <v>0.39353111385675227</v>
      </c>
      <c r="AC294" s="2">
        <f t="shared" si="243"/>
        <v>2.6910864365737335</v>
      </c>
      <c r="AD294" s="2">
        <f t="shared" si="243"/>
        <v>9.4849416992921834E-2</v>
      </c>
      <c r="AE294" s="2">
        <f t="shared" si="243"/>
        <v>9.4849416992922209E-2</v>
      </c>
      <c r="AF294" s="2">
        <f t="shared" si="243"/>
        <v>1.9376350567059539E-2</v>
      </c>
      <c r="AG294" s="2">
        <f t="shared" si="243"/>
        <v>2.1091301301584101E-2</v>
      </c>
      <c r="AH294" s="2">
        <f t="shared" si="243"/>
        <v>2.7411477463841112</v>
      </c>
      <c r="AI294" s="2">
        <f t="shared" si="243"/>
        <v>3.0568684048294332</v>
      </c>
      <c r="AJ294" s="2">
        <f t="shared" si="243"/>
        <v>0.56502185437646801</v>
      </c>
      <c r="AM294" s="2"/>
    </row>
    <row r="295" spans="3:40" x14ac:dyDescent="0.35">
      <c r="E295" s="104"/>
      <c r="F295" s="13"/>
      <c r="G295" s="49"/>
      <c r="H295" s="2"/>
      <c r="I295" s="2"/>
      <c r="J295" s="2"/>
      <c r="K295" s="2"/>
      <c r="L295" s="2"/>
      <c r="M295" s="2"/>
      <c r="N295" s="2"/>
      <c r="O295" s="2"/>
      <c r="P295" s="2"/>
      <c r="Y295" s="104"/>
      <c r="Z295" s="13"/>
      <c r="AA295" s="49" t="s">
        <v>95</v>
      </c>
      <c r="AB295" s="2">
        <f t="shared" ref="AB295:AJ295" si="244">AB294/(SQRT(COUNT(AB259:AB268)))</f>
        <v>0.12444546499303866</v>
      </c>
      <c r="AC295" s="2">
        <f t="shared" si="244"/>
        <v>0.85099625199592477</v>
      </c>
      <c r="AD295" s="2">
        <f t="shared" si="244"/>
        <v>2.9994019243671177E-2</v>
      </c>
      <c r="AE295" s="2">
        <f t="shared" si="244"/>
        <v>2.9994019243671295E-2</v>
      </c>
      <c r="AF295" s="2">
        <f t="shared" si="244"/>
        <v>6.1273400533803282E-3</v>
      </c>
      <c r="AG295" s="2">
        <f t="shared" si="244"/>
        <v>6.6696550929879663E-3</v>
      </c>
      <c r="AH295" s="2">
        <f t="shared" si="244"/>
        <v>0.86682702816113721</v>
      </c>
      <c r="AI295" s="2">
        <f t="shared" si="244"/>
        <v>0.96666666666666656</v>
      </c>
      <c r="AJ295" s="2">
        <f t="shared" si="244"/>
        <v>0.17867559876016159</v>
      </c>
      <c r="AM295" s="2"/>
    </row>
    <row r="296" spans="3:40" x14ac:dyDescent="0.35">
      <c r="C296" s="2"/>
      <c r="E296" s="104"/>
      <c r="Y296" s="104"/>
      <c r="Z296" s="13"/>
      <c r="AA296" s="49"/>
      <c r="AB296" s="2"/>
      <c r="AC296" s="2"/>
      <c r="AD296" s="2"/>
      <c r="AE296" s="2"/>
      <c r="AF296" s="2"/>
      <c r="AG296" s="2"/>
      <c r="AH296" s="2"/>
      <c r="AI296" s="2"/>
      <c r="AJ296" s="2"/>
      <c r="AM296" s="2"/>
    </row>
    <row r="297" spans="3:40" x14ac:dyDescent="0.35">
      <c r="Y297" s="104"/>
      <c r="Z297" s="13"/>
      <c r="AA297" s="49"/>
      <c r="AB297" s="2"/>
      <c r="AC297" s="2"/>
      <c r="AD297" s="2"/>
      <c r="AE297" s="2"/>
      <c r="AF297" s="2"/>
      <c r="AG297" s="2"/>
      <c r="AH297" s="2"/>
      <c r="AI297" s="2"/>
      <c r="AJ297" s="2"/>
      <c r="AM297" s="2"/>
    </row>
    <row r="298" spans="3:40" ht="16" thickBot="1" x14ac:dyDescent="0.4">
      <c r="Y298" s="104" t="s">
        <v>81</v>
      </c>
      <c r="Z298" s="13"/>
      <c r="AA298" s="13"/>
      <c r="AB298" s="9" t="s">
        <v>3</v>
      </c>
      <c r="AC298" s="9" t="s">
        <v>4</v>
      </c>
      <c r="AD298" s="9" t="s">
        <v>5</v>
      </c>
      <c r="AE298" s="9" t="s">
        <v>6</v>
      </c>
      <c r="AF298" s="9" t="s">
        <v>7</v>
      </c>
      <c r="AG298" s="9" t="s">
        <v>8</v>
      </c>
      <c r="AH298" s="9" t="s">
        <v>9</v>
      </c>
      <c r="AI298" s="9" t="s">
        <v>10</v>
      </c>
      <c r="AJ298" s="44" t="s">
        <v>139</v>
      </c>
      <c r="AM298" s="2"/>
    </row>
    <row r="299" spans="3:40" ht="18.5" x14ac:dyDescent="0.45">
      <c r="F299" s="1" t="s">
        <v>405</v>
      </c>
      <c r="G299" s="3"/>
      <c r="H299" s="3"/>
      <c r="I299" s="3"/>
      <c r="J299" s="3"/>
      <c r="K299" s="3"/>
      <c r="L299" s="3"/>
      <c r="M299" s="3"/>
      <c r="N299" s="3"/>
      <c r="O299" s="3"/>
      <c r="Y299" s="104"/>
      <c r="Z299" s="13"/>
      <c r="AA299" s="49" t="s">
        <v>77</v>
      </c>
      <c r="AB299" s="13">
        <f>AVERAGE(AB260,AB262,AB264,AB266:AB267)</f>
        <v>4.430878000000007</v>
      </c>
      <c r="AC299" s="13">
        <f t="shared" ref="AC299:AJ299" si="245">AVERAGE(AC260,AC262,AC264,AC266:AC267)</f>
        <v>8.5878779999999999</v>
      </c>
      <c r="AD299" s="13">
        <f t="shared" si="245"/>
        <v>0.34656299176624794</v>
      </c>
      <c r="AE299" s="13">
        <f t="shared" si="245"/>
        <v>0.65343700823375206</v>
      </c>
      <c r="AF299" s="13">
        <f t="shared" si="245"/>
        <v>0.22587806408549316</v>
      </c>
      <c r="AG299" s="13">
        <f t="shared" si="245"/>
        <v>7.8456535578482353E-2</v>
      </c>
      <c r="AH299" s="13">
        <f t="shared" si="245"/>
        <v>13.018756000000007</v>
      </c>
      <c r="AI299" s="13">
        <f t="shared" si="245"/>
        <v>37</v>
      </c>
      <c r="AJ299" s="13">
        <f t="shared" si="245"/>
        <v>8.3376704992717752</v>
      </c>
      <c r="AM299" s="2"/>
    </row>
    <row r="300" spans="3:40" ht="16" thickBot="1" x14ac:dyDescent="0.4">
      <c r="C300" s="204" t="s">
        <v>122</v>
      </c>
      <c r="D300" s="204" t="s">
        <v>406</v>
      </c>
      <c r="F300" s="9" t="s">
        <v>1</v>
      </c>
      <c r="G300" s="9" t="s">
        <v>2</v>
      </c>
      <c r="H300" s="9" t="s">
        <v>3</v>
      </c>
      <c r="I300" s="9" t="s">
        <v>4</v>
      </c>
      <c r="J300" s="9" t="s">
        <v>5</v>
      </c>
      <c r="K300" s="9" t="s">
        <v>6</v>
      </c>
      <c r="L300" s="9" t="s">
        <v>7</v>
      </c>
      <c r="M300" s="9" t="s">
        <v>8</v>
      </c>
      <c r="N300" s="9" t="s">
        <v>9</v>
      </c>
      <c r="O300" s="9" t="s">
        <v>10</v>
      </c>
      <c r="P300" s="44" t="s">
        <v>139</v>
      </c>
      <c r="R300" s="44" t="s">
        <v>138</v>
      </c>
      <c r="Y300" s="104"/>
      <c r="Z300" s="13"/>
      <c r="AA300" s="49" t="s">
        <v>94</v>
      </c>
      <c r="AB300" s="2">
        <f>_xlfn.STDEV.S(AB260,AB262,AB264,AB266:AB267)</f>
        <v>0.14506349220255321</v>
      </c>
      <c r="AC300" s="2">
        <f t="shared" ref="AC300:AJ300" si="246">_xlfn.STDEV.S(AC260,AC262,AC264,AC266:AC267)</f>
        <v>2.1746606894455955</v>
      </c>
      <c r="AD300" s="2">
        <f t="shared" si="246"/>
        <v>4.5360610491272761E-2</v>
      </c>
      <c r="AE300" s="2">
        <f t="shared" si="246"/>
        <v>4.5360610491272761E-2</v>
      </c>
      <c r="AF300" s="2">
        <f t="shared" si="246"/>
        <v>7.2250016351594528E-3</v>
      </c>
      <c r="AG300" s="2">
        <f t="shared" si="246"/>
        <v>1.1723074850966573E-2</v>
      </c>
      <c r="AH300" s="2">
        <f t="shared" si="246"/>
        <v>2.2940730130011264</v>
      </c>
      <c r="AI300" s="2">
        <f t="shared" si="246"/>
        <v>3.6742346141747673</v>
      </c>
      <c r="AJ300" s="2">
        <f t="shared" si="246"/>
        <v>0.56667429888747822</v>
      </c>
      <c r="AM300" s="2"/>
    </row>
    <row r="301" spans="3:40" x14ac:dyDescent="0.35">
      <c r="C301" s="258" t="s">
        <v>541</v>
      </c>
      <c r="D301" s="155">
        <v>10</v>
      </c>
      <c r="F301" s="2">
        <v>8.6755399999999998</v>
      </c>
      <c r="G301" s="2">
        <v>12.6356</v>
      </c>
      <c r="H301" s="2">
        <f t="shared" ref="H301:H322" si="247">G301-F301</f>
        <v>3.9600600000000004</v>
      </c>
      <c r="I301" s="2">
        <f t="shared" ref="I301:I322" si="248">F302-G301</f>
        <v>12.043420000000001</v>
      </c>
      <c r="J301" s="2">
        <f>H301/N301</f>
        <v>0.24744992964030321</v>
      </c>
      <c r="K301" s="2">
        <f>I301/N301</f>
        <v>0.75255007035969668</v>
      </c>
      <c r="L301" s="2">
        <f>1/H301</f>
        <v>0.25252142644303366</v>
      </c>
      <c r="M301" s="2">
        <f>1/N301</f>
        <v>6.2486409205997684E-2</v>
      </c>
      <c r="N301" s="2">
        <f>H301+I301</f>
        <v>16.003480000000003</v>
      </c>
      <c r="O301" s="2">
        <v>31</v>
      </c>
      <c r="P301">
        <f>O301/H301</f>
        <v>7.8281642197340435</v>
      </c>
      <c r="R301" t="s">
        <v>483</v>
      </c>
      <c r="Y301" s="104"/>
      <c r="Z301" s="13"/>
      <c r="AA301" s="49" t="s">
        <v>95</v>
      </c>
      <c r="AB301" s="2">
        <f>AB300/(SQRT(COUNT(AB260,AB262,AB264,AB266:AB267)))</f>
        <v>6.4874365923683938E-2</v>
      </c>
      <c r="AC301" s="2">
        <f t="shared" ref="AC301:AJ301" si="249">AC300/(SQRT(COUNT(AC260,AC262,AC264,AC266:AC267)))</f>
        <v>0.9725378259193822</v>
      </c>
      <c r="AD301" s="2">
        <f t="shared" si="249"/>
        <v>2.0285881711875203E-2</v>
      </c>
      <c r="AE301" s="2">
        <f t="shared" si="249"/>
        <v>2.0285881711875203E-2</v>
      </c>
      <c r="AF301" s="2">
        <f t="shared" si="249"/>
        <v>3.2311189587527342E-3</v>
      </c>
      <c r="AG301" s="2">
        <f t="shared" si="249"/>
        <v>5.2427184544158942E-3</v>
      </c>
      <c r="AH301" s="2">
        <f t="shared" si="249"/>
        <v>1.0259406404836555</v>
      </c>
      <c r="AI301" s="2">
        <f t="shared" si="249"/>
        <v>1.6431676725154982</v>
      </c>
      <c r="AJ301" s="2">
        <f t="shared" si="249"/>
        <v>0.25342445068288694</v>
      </c>
      <c r="AM301" s="2"/>
    </row>
    <row r="302" spans="3:40" x14ac:dyDescent="0.35">
      <c r="D302" s="155">
        <v>10</v>
      </c>
      <c r="F302" s="2">
        <v>24.679020000000001</v>
      </c>
      <c r="G302" s="2">
        <v>28.219760000000001</v>
      </c>
      <c r="H302" s="2">
        <f t="shared" si="247"/>
        <v>3.5407399999999996</v>
      </c>
      <c r="I302" s="2">
        <f t="shared" si="248"/>
        <v>3.5272599999999983</v>
      </c>
      <c r="J302" s="2">
        <f t="shared" ref="J302:J322" si="250">H302/N302</f>
        <v>0.50095359366157333</v>
      </c>
      <c r="K302" s="2">
        <f t="shared" ref="K302:K322" si="251">I302/N302</f>
        <v>0.49904640633842662</v>
      </c>
      <c r="L302" s="2">
        <f t="shared" ref="L302:L322" si="252">1/H302</f>
        <v>0.28242683732779028</v>
      </c>
      <c r="M302" s="2">
        <f t="shared" ref="M302:M322" si="253">1/N302</f>
        <v>0.14148273910582912</v>
      </c>
      <c r="N302" s="2">
        <f t="shared" ref="N302:N322" si="254">H302+I302</f>
        <v>7.0679999999999978</v>
      </c>
      <c r="O302" s="2">
        <v>28</v>
      </c>
      <c r="P302">
        <f t="shared" ref="P302:P323" si="255">O302/H302</f>
        <v>7.9079514451781279</v>
      </c>
      <c r="Y302" s="104"/>
      <c r="Z302" s="13"/>
      <c r="AA302" s="49"/>
      <c r="AB302" s="2"/>
      <c r="AC302" s="2"/>
      <c r="AD302" s="2"/>
      <c r="AE302" s="2"/>
      <c r="AF302" s="2"/>
      <c r="AG302" s="2"/>
      <c r="AH302" s="2"/>
      <c r="AI302" s="2"/>
      <c r="AJ302" s="2"/>
      <c r="AM302" s="2"/>
    </row>
    <row r="303" spans="3:40" x14ac:dyDescent="0.35">
      <c r="C303" s="258" t="s">
        <v>541</v>
      </c>
      <c r="D303" s="155">
        <v>10</v>
      </c>
      <c r="F303" s="13">
        <v>31.747019999999999</v>
      </c>
      <c r="G303" s="2">
        <v>34.716740000000001</v>
      </c>
      <c r="H303" s="2">
        <f t="shared" si="247"/>
        <v>2.9697200000000024</v>
      </c>
      <c r="I303" s="2">
        <f t="shared" si="248"/>
        <v>7.7637599999999978</v>
      </c>
      <c r="J303" s="2">
        <f t="shared" si="250"/>
        <v>0.27667820688164529</v>
      </c>
      <c r="K303" s="2">
        <f t="shared" si="251"/>
        <v>0.72332179311835465</v>
      </c>
      <c r="L303" s="2">
        <f t="shared" si="252"/>
        <v>0.33673208248589065</v>
      </c>
      <c r="M303" s="2">
        <f t="shared" si="253"/>
        <v>9.3166428781718505E-2</v>
      </c>
      <c r="N303" s="2">
        <f t="shared" si="254"/>
        <v>10.73348</v>
      </c>
      <c r="O303" s="2">
        <v>24</v>
      </c>
      <c r="P303">
        <f t="shared" si="255"/>
        <v>8.081569979661376</v>
      </c>
      <c r="Y303" s="104"/>
      <c r="Z303" s="13"/>
      <c r="AA303" s="49"/>
      <c r="AB303" s="2"/>
      <c r="AC303" s="2"/>
      <c r="AD303" s="2"/>
      <c r="AE303" s="2"/>
      <c r="AF303" s="2"/>
      <c r="AG303" s="2"/>
      <c r="AH303" s="2"/>
      <c r="AI303" s="2"/>
      <c r="AJ303" s="2"/>
      <c r="AM303" s="2"/>
    </row>
    <row r="304" spans="3:40" ht="16" thickBot="1" x14ac:dyDescent="0.4">
      <c r="C304" s="258"/>
      <c r="D304" s="155">
        <v>10</v>
      </c>
      <c r="F304" s="13">
        <v>42.480499999999999</v>
      </c>
      <c r="G304" s="2">
        <v>46.460709999999999</v>
      </c>
      <c r="H304" s="2">
        <f t="shared" si="247"/>
        <v>3.9802099999999996</v>
      </c>
      <c r="I304" s="2">
        <f t="shared" si="248"/>
        <v>3.9427300000000045</v>
      </c>
      <c r="J304" s="2">
        <f t="shared" si="250"/>
        <v>0.50236528359422106</v>
      </c>
      <c r="K304" s="2">
        <f t="shared" si="251"/>
        <v>0.497634716405779</v>
      </c>
      <c r="L304" s="2">
        <f t="shared" si="252"/>
        <v>0.25124302486552219</v>
      </c>
      <c r="M304" s="2">
        <f t="shared" si="253"/>
        <v>0.12621577343763798</v>
      </c>
      <c r="N304" s="2">
        <f t="shared" si="254"/>
        <v>7.9229400000000041</v>
      </c>
      <c r="O304" s="2">
        <v>32</v>
      </c>
      <c r="P304">
        <f t="shared" si="255"/>
        <v>8.0397767956967101</v>
      </c>
      <c r="Y304" s="104" t="s">
        <v>82</v>
      </c>
      <c r="Z304" s="13"/>
      <c r="AA304" s="13"/>
      <c r="AB304" s="9" t="s">
        <v>3</v>
      </c>
      <c r="AC304" s="9" t="s">
        <v>4</v>
      </c>
      <c r="AD304" s="9" t="s">
        <v>5</v>
      </c>
      <c r="AE304" s="9" t="s">
        <v>6</v>
      </c>
      <c r="AF304" s="9" t="s">
        <v>7</v>
      </c>
      <c r="AG304" s="9" t="s">
        <v>8</v>
      </c>
      <c r="AH304" s="9" t="s">
        <v>9</v>
      </c>
      <c r="AI304" s="9" t="s">
        <v>10</v>
      </c>
      <c r="AJ304" s="44" t="s">
        <v>139</v>
      </c>
      <c r="AM304" s="2"/>
    </row>
    <row r="305" spans="3:39" x14ac:dyDescent="0.35">
      <c r="C305" s="258" t="s">
        <v>541</v>
      </c>
      <c r="D305" s="155">
        <v>10</v>
      </c>
      <c r="F305" s="13">
        <v>50.403440000000003</v>
      </c>
      <c r="G305" s="2">
        <v>54.166289999999996</v>
      </c>
      <c r="H305" s="2">
        <f t="shared" si="247"/>
        <v>3.7628499999999931</v>
      </c>
      <c r="I305" s="2">
        <f t="shared" si="248"/>
        <v>7.99512</v>
      </c>
      <c r="J305" s="2">
        <f t="shared" si="250"/>
        <v>0.32002548058891078</v>
      </c>
      <c r="K305" s="2">
        <f t="shared" si="251"/>
        <v>0.67997451941108922</v>
      </c>
      <c r="L305" s="2">
        <f t="shared" si="252"/>
        <v>0.26575600940776323</v>
      </c>
      <c r="M305" s="2">
        <f t="shared" si="253"/>
        <v>8.5048694630110513E-2</v>
      </c>
      <c r="N305" s="2">
        <f t="shared" si="254"/>
        <v>11.757969999999993</v>
      </c>
      <c r="O305" s="2">
        <v>26</v>
      </c>
      <c r="P305">
        <f t="shared" si="255"/>
        <v>6.9096562446018437</v>
      </c>
      <c r="Y305" s="104"/>
      <c r="Z305" s="13"/>
      <c r="AA305" s="49" t="s">
        <v>77</v>
      </c>
      <c r="AB305" s="13">
        <f>AVERAGE(AB259,AB261,AB263,AB265,AB268)</f>
        <v>4.4338459999999937</v>
      </c>
      <c r="AC305" s="13">
        <f t="shared" ref="AC305:AJ305" si="256">AVERAGE(AC259,AC261,AC263,AC265,AC268)</f>
        <v>4.3247420000000005</v>
      </c>
      <c r="AD305" s="13">
        <f t="shared" si="256"/>
        <v>0.50563161621540087</v>
      </c>
      <c r="AE305" s="13">
        <f t="shared" si="256"/>
        <v>0.49436838378459919</v>
      </c>
      <c r="AF305" s="13">
        <f t="shared" si="256"/>
        <v>0.22841551400588439</v>
      </c>
      <c r="AG305" s="13">
        <f t="shared" si="256"/>
        <v>0.11452828502493881</v>
      </c>
      <c r="AH305" s="13">
        <f t="shared" si="256"/>
        <v>8.7585879999999943</v>
      </c>
      <c r="AI305" s="13">
        <f t="shared" si="256"/>
        <v>37.6</v>
      </c>
      <c r="AJ305" s="13">
        <f t="shared" si="256"/>
        <v>8.5353042100568679</v>
      </c>
      <c r="AM305" s="2"/>
    </row>
    <row r="306" spans="3:39" x14ac:dyDescent="0.35">
      <c r="D306" s="155">
        <v>10</v>
      </c>
      <c r="F306" s="13">
        <v>62.161409999999997</v>
      </c>
      <c r="G306" s="2">
        <v>65.991590000000002</v>
      </c>
      <c r="H306" s="2">
        <f t="shared" si="247"/>
        <v>3.8301800000000057</v>
      </c>
      <c r="I306" s="2">
        <f t="shared" si="248"/>
        <v>4.0496200000000044</v>
      </c>
      <c r="J306" s="2">
        <f t="shared" si="250"/>
        <v>0.48607578872560225</v>
      </c>
      <c r="K306" s="2">
        <f t="shared" si="251"/>
        <v>0.51392421127439769</v>
      </c>
      <c r="L306" s="2">
        <f t="shared" si="252"/>
        <v>0.26108433546204057</v>
      </c>
      <c r="M306" s="2">
        <f t="shared" si="253"/>
        <v>0.12690677428361111</v>
      </c>
      <c r="N306" s="2">
        <f t="shared" si="254"/>
        <v>7.8798000000000101</v>
      </c>
      <c r="O306" s="2">
        <v>28</v>
      </c>
      <c r="P306">
        <f t="shared" si="255"/>
        <v>7.3103613929371356</v>
      </c>
      <c r="Y306" s="104"/>
      <c r="Z306" s="13"/>
      <c r="AA306" s="49" t="s">
        <v>94</v>
      </c>
      <c r="AB306" s="2">
        <f>_xlfn.STDEV.S(AB259,AB261,AB263,AB265,AB268)</f>
        <v>0.57218986108633962</v>
      </c>
      <c r="AC306" s="2">
        <f t="shared" ref="AC306:AJ306" si="257">_xlfn.STDEV.S(AC259,AC261,AC263,AC265,AC268)</f>
        <v>0.45417453662661794</v>
      </c>
      <c r="AD306" s="2">
        <f t="shared" si="257"/>
        <v>4.868341346944266E-2</v>
      </c>
      <c r="AE306" s="2">
        <f t="shared" si="257"/>
        <v>4.8683413469442674E-2</v>
      </c>
      <c r="AF306" s="2">
        <f t="shared" si="257"/>
        <v>2.8080631344931533E-2</v>
      </c>
      <c r="AG306" s="2">
        <f t="shared" si="257"/>
        <v>7.0876161221972737E-3</v>
      </c>
      <c r="AH306" s="2">
        <f t="shared" si="257"/>
        <v>0.54803199748736986</v>
      </c>
      <c r="AI306" s="2">
        <f t="shared" si="257"/>
        <v>2.7018512172212592</v>
      </c>
      <c r="AJ306" s="2">
        <f t="shared" si="257"/>
        <v>0.61055722707458526</v>
      </c>
      <c r="AM306" s="2"/>
    </row>
    <row r="307" spans="3:39" x14ac:dyDescent="0.35">
      <c r="C307" s="258" t="s">
        <v>541</v>
      </c>
      <c r="D307" s="155">
        <v>10</v>
      </c>
      <c r="F307" s="13">
        <v>70.041210000000007</v>
      </c>
      <c r="G307" s="2">
        <v>73.812259999999995</v>
      </c>
      <c r="H307" s="2">
        <f t="shared" si="247"/>
        <v>3.7710499999999882</v>
      </c>
      <c r="I307" s="2">
        <f t="shared" si="248"/>
        <v>7.8089300000000037</v>
      </c>
      <c r="J307" s="2">
        <f t="shared" si="250"/>
        <v>0.32565254862270843</v>
      </c>
      <c r="K307" s="2">
        <f t="shared" si="251"/>
        <v>0.67434745137729157</v>
      </c>
      <c r="L307" s="2">
        <f t="shared" si="252"/>
        <v>0.26517813341111973</v>
      </c>
      <c r="M307" s="2">
        <f t="shared" si="253"/>
        <v>8.6355934984343727E-2</v>
      </c>
      <c r="N307" s="2">
        <f t="shared" si="254"/>
        <v>11.579979999999992</v>
      </c>
      <c r="O307" s="2">
        <v>25</v>
      </c>
      <c r="P307">
        <f t="shared" si="255"/>
        <v>6.6294533352779936</v>
      </c>
      <c r="Y307" s="104"/>
      <c r="Z307" s="13"/>
      <c r="AA307" s="49" t="s">
        <v>95</v>
      </c>
      <c r="AB307" s="2">
        <f>AB306/(SQRT(COUNT(AB259,AB261,AB263,AB265,AB268)))</f>
        <v>0.25589108508504338</v>
      </c>
      <c r="AC307" s="2">
        <f t="shared" ref="AC307:AJ307" si="258">AC306/(SQRT(COUNT(AC259,AC261,AC263,AC265,AC268)))</f>
        <v>0.20311302750931715</v>
      </c>
      <c r="AD307" s="2">
        <f t="shared" si="258"/>
        <v>2.1771884378880533E-2</v>
      </c>
      <c r="AE307" s="2">
        <f t="shared" si="258"/>
        <v>2.177188437888054E-2</v>
      </c>
      <c r="AF307" s="2">
        <f t="shared" si="258"/>
        <v>1.2558040107675649E-2</v>
      </c>
      <c r="AG307" s="2">
        <f t="shared" si="258"/>
        <v>3.1696782895313117E-3</v>
      </c>
      <c r="AH307" s="2">
        <f t="shared" si="258"/>
        <v>0.24508736004535059</v>
      </c>
      <c r="AI307" s="2">
        <f t="shared" si="258"/>
        <v>1.2083045973594571</v>
      </c>
      <c r="AJ307" s="2">
        <f t="shared" si="258"/>
        <v>0.27304949277850954</v>
      </c>
      <c r="AM307" s="2"/>
    </row>
    <row r="308" spans="3:39" x14ac:dyDescent="0.35">
      <c r="D308" s="155">
        <v>10</v>
      </c>
      <c r="F308" s="13">
        <v>81.621189999999999</v>
      </c>
      <c r="G308" s="2">
        <v>85.420249999999996</v>
      </c>
      <c r="H308" s="2">
        <f t="shared" si="247"/>
        <v>3.7990599999999972</v>
      </c>
      <c r="I308" s="2">
        <f t="shared" si="248"/>
        <v>4.1319000000000017</v>
      </c>
      <c r="J308" s="2">
        <f t="shared" si="250"/>
        <v>0.47901641163238723</v>
      </c>
      <c r="K308" s="2">
        <f t="shared" si="251"/>
        <v>0.52098358836761283</v>
      </c>
      <c r="L308" s="2">
        <f t="shared" si="252"/>
        <v>0.26322300779666569</v>
      </c>
      <c r="M308" s="2">
        <f t="shared" si="253"/>
        <v>0.12608814065384269</v>
      </c>
      <c r="N308" s="2">
        <f t="shared" si="254"/>
        <v>7.9309599999999989</v>
      </c>
      <c r="O308" s="2">
        <v>29</v>
      </c>
      <c r="P308">
        <f t="shared" si="255"/>
        <v>7.6334672261033045</v>
      </c>
      <c r="X308" s="2"/>
      <c r="Y308" s="2"/>
      <c r="Z308" s="2"/>
      <c r="AA308" s="2"/>
      <c r="AB308" s="2"/>
      <c r="AC308" s="2"/>
      <c r="AD308" s="2"/>
      <c r="AE308" s="2"/>
      <c r="AF308" s="2"/>
      <c r="AG308" s="2"/>
      <c r="AH308" s="2"/>
      <c r="AI308" s="2"/>
      <c r="AJ308" s="2"/>
      <c r="AK308" s="2"/>
      <c r="AL308" s="2"/>
      <c r="AM308" s="2"/>
    </row>
    <row r="309" spans="3:39" x14ac:dyDescent="0.35">
      <c r="C309" s="258" t="s">
        <v>541</v>
      </c>
      <c r="D309" s="155">
        <v>10</v>
      </c>
      <c r="F309" s="13">
        <v>89.552149999999997</v>
      </c>
      <c r="G309" s="2">
        <v>93.262180000000001</v>
      </c>
      <c r="H309" s="2">
        <f t="shared" si="247"/>
        <v>3.7100300000000033</v>
      </c>
      <c r="I309" s="2">
        <f t="shared" si="248"/>
        <v>7.0093700000000041</v>
      </c>
      <c r="J309" s="2">
        <f t="shared" si="250"/>
        <v>0.34610425956676688</v>
      </c>
      <c r="K309" s="2">
        <f t="shared" si="251"/>
        <v>0.65389574043323317</v>
      </c>
      <c r="L309" s="2">
        <f t="shared" si="252"/>
        <v>0.26953959941024713</v>
      </c>
      <c r="M309" s="2">
        <f t="shared" si="253"/>
        <v>9.3288803477806534E-2</v>
      </c>
      <c r="N309" s="2">
        <f t="shared" si="254"/>
        <v>10.719400000000007</v>
      </c>
      <c r="O309" s="2">
        <v>26</v>
      </c>
      <c r="P309">
        <f t="shared" si="255"/>
        <v>7.0080295846664251</v>
      </c>
      <c r="X309" s="2"/>
      <c r="Y309" s="2"/>
      <c r="Z309" s="2"/>
      <c r="AA309" s="2"/>
      <c r="AB309" s="2"/>
      <c r="AC309" s="2"/>
      <c r="AD309" s="2"/>
      <c r="AE309" s="2"/>
      <c r="AF309" s="2"/>
      <c r="AG309" s="2"/>
      <c r="AH309" s="2"/>
      <c r="AI309" s="2"/>
      <c r="AJ309" s="2"/>
      <c r="AK309" s="2"/>
      <c r="AL309" s="2"/>
      <c r="AM309" s="2"/>
    </row>
    <row r="310" spans="3:39" x14ac:dyDescent="0.35">
      <c r="C310" s="2"/>
      <c r="D310" s="155">
        <v>10</v>
      </c>
      <c r="F310" s="13">
        <v>100.27155</v>
      </c>
      <c r="G310" s="2">
        <v>104.15232</v>
      </c>
      <c r="H310" s="2">
        <f t="shared" si="247"/>
        <v>3.8807699999999983</v>
      </c>
      <c r="I310" s="2">
        <f t="shared" si="248"/>
        <v>4.1406399999999906</v>
      </c>
      <c r="J310" s="2">
        <f t="shared" si="250"/>
        <v>0.48380147629905512</v>
      </c>
      <c r="K310" s="2">
        <f t="shared" si="251"/>
        <v>0.51619852370094488</v>
      </c>
      <c r="L310" s="2">
        <f t="shared" si="252"/>
        <v>0.2576808210741684</v>
      </c>
      <c r="M310" s="2">
        <f t="shared" si="253"/>
        <v>0.12466636164963533</v>
      </c>
      <c r="N310" s="2">
        <f t="shared" si="254"/>
        <v>8.0214099999999888</v>
      </c>
      <c r="O310" s="2">
        <v>32</v>
      </c>
      <c r="P310">
        <f t="shared" si="255"/>
        <v>8.2457862743733887</v>
      </c>
      <c r="X310" s="2"/>
      <c r="Y310" s="2"/>
      <c r="Z310" s="2"/>
      <c r="AA310" s="2"/>
      <c r="AB310" s="2"/>
      <c r="AC310" s="2"/>
      <c r="AD310" s="2"/>
      <c r="AE310" s="2"/>
      <c r="AF310" s="2"/>
      <c r="AG310" s="2"/>
      <c r="AH310" s="2"/>
      <c r="AI310" s="2"/>
      <c r="AJ310" s="2"/>
      <c r="AK310" s="2"/>
      <c r="AL310" s="2"/>
      <c r="AM310" s="2"/>
    </row>
    <row r="311" spans="3:39" x14ac:dyDescent="0.35">
      <c r="C311" s="258" t="s">
        <v>541</v>
      </c>
      <c r="D311" s="155">
        <v>10</v>
      </c>
      <c r="F311" s="13">
        <v>108.29295999999999</v>
      </c>
      <c r="G311" s="2">
        <v>112.0322</v>
      </c>
      <c r="H311" s="2">
        <f t="shared" si="247"/>
        <v>3.7392400000000094</v>
      </c>
      <c r="I311" s="2">
        <f t="shared" si="248"/>
        <v>8.032669999999996</v>
      </c>
      <c r="J311" s="2">
        <f t="shared" si="250"/>
        <v>0.31764089259941741</v>
      </c>
      <c r="K311" s="2">
        <f t="shared" si="251"/>
        <v>0.68235910740058259</v>
      </c>
      <c r="L311" s="2">
        <f t="shared" si="252"/>
        <v>0.26743402402627203</v>
      </c>
      <c r="M311" s="2">
        <f t="shared" si="253"/>
        <v>8.4947982103159098E-2</v>
      </c>
      <c r="N311" s="2">
        <f t="shared" si="254"/>
        <v>11.771910000000005</v>
      </c>
      <c r="O311" s="2">
        <v>28</v>
      </c>
      <c r="P311">
        <f t="shared" si="255"/>
        <v>7.4881526727356169</v>
      </c>
      <c r="X311" s="2"/>
      <c r="Y311" s="2"/>
      <c r="Z311" s="2"/>
      <c r="AA311" s="2"/>
      <c r="AB311" s="2"/>
      <c r="AC311" s="2"/>
      <c r="AD311" s="2"/>
      <c r="AE311" s="2"/>
      <c r="AF311" s="2"/>
      <c r="AG311" s="2"/>
      <c r="AH311" s="2"/>
      <c r="AI311" s="2"/>
      <c r="AJ311" s="2"/>
      <c r="AK311" s="2"/>
      <c r="AL311" s="2"/>
      <c r="AM311" s="2"/>
    </row>
    <row r="312" spans="3:39" ht="18.5" x14ac:dyDescent="0.45">
      <c r="C312" s="2"/>
      <c r="D312" s="155">
        <v>0</v>
      </c>
      <c r="F312" s="13">
        <v>120.06487</v>
      </c>
      <c r="G312" s="2">
        <v>123.3301</v>
      </c>
      <c r="H312" s="2">
        <f t="shared" si="247"/>
        <v>3.2652300000000025</v>
      </c>
      <c r="I312" s="2">
        <f t="shared" si="248"/>
        <v>4.0712800000000016</v>
      </c>
      <c r="J312" s="2">
        <f t="shared" si="250"/>
        <v>0.44506584193301729</v>
      </c>
      <c r="K312" s="2">
        <f t="shared" si="251"/>
        <v>0.55493415806698265</v>
      </c>
      <c r="L312" s="2">
        <f t="shared" si="252"/>
        <v>0.30625713961956713</v>
      </c>
      <c r="M312" s="2">
        <f t="shared" si="253"/>
        <v>0.13630459169278028</v>
      </c>
      <c r="N312" s="2">
        <f t="shared" si="254"/>
        <v>7.3365100000000041</v>
      </c>
      <c r="O312" s="2">
        <v>21</v>
      </c>
      <c r="P312">
        <f t="shared" si="255"/>
        <v>6.4313999320109101</v>
      </c>
      <c r="R312" t="s">
        <v>484</v>
      </c>
      <c r="Z312" s="1" t="s">
        <v>501</v>
      </c>
      <c r="AA312" s="3"/>
      <c r="AB312" s="3"/>
      <c r="AC312" s="3"/>
      <c r="AD312" s="3"/>
      <c r="AE312" s="3"/>
      <c r="AF312" s="3"/>
      <c r="AG312" s="3"/>
      <c r="AH312" s="3"/>
      <c r="AI312" s="3"/>
      <c r="AM312" s="2"/>
    </row>
    <row r="313" spans="3:39" ht="16" thickBot="1" x14ac:dyDescent="0.4">
      <c r="C313" s="258" t="s">
        <v>541</v>
      </c>
      <c r="D313" s="155">
        <v>0</v>
      </c>
      <c r="F313" s="13">
        <v>127.40138</v>
      </c>
      <c r="G313" s="2">
        <v>130.42567</v>
      </c>
      <c r="H313" s="2">
        <f t="shared" si="247"/>
        <v>3.0242899999999935</v>
      </c>
      <c r="I313" s="2">
        <f t="shared" si="248"/>
        <v>8.6374500000000012</v>
      </c>
      <c r="J313" s="2">
        <f t="shared" si="250"/>
        <v>0.2593343703426757</v>
      </c>
      <c r="K313" s="2">
        <f t="shared" si="251"/>
        <v>0.7406656296573243</v>
      </c>
      <c r="L313" s="2">
        <f t="shared" si="252"/>
        <v>0.3306561209407835</v>
      </c>
      <c r="M313" s="2">
        <f t="shared" si="253"/>
        <v>8.5750496924129713E-2</v>
      </c>
      <c r="N313" s="2">
        <f t="shared" si="254"/>
        <v>11.661739999999995</v>
      </c>
      <c r="O313" s="2">
        <v>23</v>
      </c>
      <c r="P313">
        <f t="shared" si="255"/>
        <v>7.6050907816380207</v>
      </c>
      <c r="W313" s="204" t="s">
        <v>122</v>
      </c>
      <c r="X313" s="204" t="s">
        <v>406</v>
      </c>
      <c r="Z313" s="9" t="s">
        <v>1</v>
      </c>
      <c r="AA313" s="9" t="s">
        <v>2</v>
      </c>
      <c r="AB313" s="9" t="s">
        <v>3</v>
      </c>
      <c r="AC313" s="9" t="s">
        <v>4</v>
      </c>
      <c r="AD313" s="9" t="s">
        <v>5</v>
      </c>
      <c r="AE313" s="9" t="s">
        <v>6</v>
      </c>
      <c r="AF313" s="9" t="s">
        <v>7</v>
      </c>
      <c r="AG313" s="9" t="s">
        <v>8</v>
      </c>
      <c r="AH313" s="9" t="s">
        <v>9</v>
      </c>
      <c r="AI313" s="9" t="s">
        <v>10</v>
      </c>
      <c r="AJ313" s="44" t="s">
        <v>139</v>
      </c>
      <c r="AL313" s="44" t="s">
        <v>138</v>
      </c>
      <c r="AM313" s="2"/>
    </row>
    <row r="314" spans="3:39" x14ac:dyDescent="0.35">
      <c r="C314" s="2"/>
      <c r="D314" s="155">
        <v>0</v>
      </c>
      <c r="F314" s="13">
        <v>139.06312</v>
      </c>
      <c r="G314" s="2">
        <v>142.1097</v>
      </c>
      <c r="H314" s="2">
        <f t="shared" si="247"/>
        <v>3.0465800000000058</v>
      </c>
      <c r="I314" s="2">
        <f t="shared" si="248"/>
        <v>4.8184300000000064</v>
      </c>
      <c r="J314" s="2">
        <f t="shared" si="250"/>
        <v>0.38735869375881288</v>
      </c>
      <c r="K314" s="2">
        <f t="shared" si="251"/>
        <v>0.61264130624118707</v>
      </c>
      <c r="L314" s="2">
        <f t="shared" si="252"/>
        <v>0.32823690827091301</v>
      </c>
      <c r="M314" s="2">
        <f t="shared" si="253"/>
        <v>0.12714542003125215</v>
      </c>
      <c r="N314" s="2">
        <f t="shared" si="254"/>
        <v>7.8650100000000123</v>
      </c>
      <c r="O314" s="2">
        <v>24</v>
      </c>
      <c r="P314">
        <f t="shared" si="255"/>
        <v>7.8776857985019113</v>
      </c>
      <c r="W314" s="263" t="s">
        <v>541</v>
      </c>
      <c r="X314" s="155">
        <v>-6</v>
      </c>
      <c r="Z314" s="2">
        <v>1.6996899999999999</v>
      </c>
      <c r="AA314" s="2">
        <v>6.0983099999999997</v>
      </c>
      <c r="AB314" s="2">
        <f t="shared" ref="AB314:AB335" si="259">AA314-Z314</f>
        <v>4.3986199999999993</v>
      </c>
      <c r="AC314" s="2">
        <f t="shared" ref="AC314:AC334" si="260">Z315-AA314</f>
        <v>12.55241</v>
      </c>
      <c r="AD314" s="2">
        <f>AB314/AH314</f>
        <v>0.25948983631083183</v>
      </c>
      <c r="AE314" s="2">
        <f>AC314/AH314</f>
        <v>0.74051016368916822</v>
      </c>
      <c r="AF314" s="2">
        <f>1/AB314</f>
        <v>0.22734403062778785</v>
      </c>
      <c r="AG314" s="2">
        <f>1/AH314</f>
        <v>5.8993465293849405E-2</v>
      </c>
      <c r="AH314" s="2">
        <f>AB314+AC314</f>
        <v>16.951029999999999</v>
      </c>
      <c r="AI314" s="2">
        <v>35</v>
      </c>
      <c r="AJ314">
        <f>AI314/AB314</f>
        <v>7.9570410719725748</v>
      </c>
      <c r="AL314" t="s">
        <v>505</v>
      </c>
      <c r="AM314" s="2"/>
    </row>
    <row r="315" spans="3:39" x14ac:dyDescent="0.35">
      <c r="C315" s="258" t="s">
        <v>541</v>
      </c>
      <c r="D315" s="155">
        <v>0</v>
      </c>
      <c r="F315" s="13">
        <v>146.92813000000001</v>
      </c>
      <c r="G315" s="2">
        <v>149.92393000000001</v>
      </c>
      <c r="H315" s="2">
        <f t="shared" si="247"/>
        <v>2.9958000000000027</v>
      </c>
      <c r="I315" s="2">
        <f t="shared" si="248"/>
        <v>8.6616399999999771</v>
      </c>
      <c r="J315" s="2">
        <f t="shared" si="250"/>
        <v>0.25698609643283671</v>
      </c>
      <c r="K315" s="2">
        <f t="shared" si="251"/>
        <v>0.74301390356716335</v>
      </c>
      <c r="L315" s="2">
        <f t="shared" si="252"/>
        <v>0.33380065424928201</v>
      </c>
      <c r="M315" s="2">
        <f t="shared" si="253"/>
        <v>8.5782127122249974E-2</v>
      </c>
      <c r="N315" s="2">
        <f t="shared" si="254"/>
        <v>11.65743999999998</v>
      </c>
      <c r="O315" s="2">
        <v>22</v>
      </c>
      <c r="P315">
        <f t="shared" si="255"/>
        <v>7.3436143934842049</v>
      </c>
      <c r="W315" s="263"/>
      <c r="X315" s="155">
        <v>-6</v>
      </c>
      <c r="Z315" s="2">
        <v>18.65072</v>
      </c>
      <c r="AA315" s="2">
        <v>23.112950000000001</v>
      </c>
      <c r="AB315" s="2">
        <f t="shared" si="259"/>
        <v>4.4622300000000017</v>
      </c>
      <c r="AC315" s="2">
        <f t="shared" si="260"/>
        <v>4.0598700000000001</v>
      </c>
      <c r="AD315" s="2">
        <f t="shared" ref="AD315:AD334" si="261">AB315/AH315</f>
        <v>0.52360685746470947</v>
      </c>
      <c r="AE315" s="2">
        <f t="shared" ref="AE315:AE334" si="262">AC315/AH315</f>
        <v>0.47639314253529053</v>
      </c>
      <c r="AF315" s="2">
        <f t="shared" ref="AF315:AF334" si="263">1/AB315</f>
        <v>0.22410319503925158</v>
      </c>
      <c r="AG315" s="2">
        <f t="shared" ref="AG315:AG334" si="264">1/AH315</f>
        <v>0.1173419697023034</v>
      </c>
      <c r="AH315" s="2">
        <f t="shared" ref="AH315:AH334" si="265">AB315+AC315</f>
        <v>8.5221000000000018</v>
      </c>
      <c r="AI315" s="2">
        <v>37</v>
      </c>
      <c r="AJ315">
        <f t="shared" ref="AJ315:AJ334" si="266">AI315/AB315</f>
        <v>8.2918182164523095</v>
      </c>
      <c r="AM315" s="2"/>
    </row>
    <row r="316" spans="3:39" x14ac:dyDescent="0.35">
      <c r="C316" s="2"/>
      <c r="D316" s="155">
        <v>0</v>
      </c>
      <c r="F316" s="13">
        <v>158.58556999999999</v>
      </c>
      <c r="G316" s="2">
        <v>162.08922000000001</v>
      </c>
      <c r="H316" s="2">
        <f t="shared" si="247"/>
        <v>3.5036500000000217</v>
      </c>
      <c r="I316" s="2">
        <f t="shared" si="248"/>
        <v>4.1261799999999766</v>
      </c>
      <c r="J316" s="2">
        <f t="shared" si="250"/>
        <v>0.45920420245274435</v>
      </c>
      <c r="K316" s="2">
        <f t="shared" si="251"/>
        <v>0.5407957975472556</v>
      </c>
      <c r="L316" s="2">
        <f t="shared" si="252"/>
        <v>0.28541663693576524</v>
      </c>
      <c r="M316" s="2">
        <f t="shared" si="253"/>
        <v>0.13106451913083256</v>
      </c>
      <c r="N316" s="2">
        <f t="shared" si="254"/>
        <v>7.6298299999999983</v>
      </c>
      <c r="O316" s="2">
        <v>26</v>
      </c>
      <c r="P316">
        <f t="shared" si="255"/>
        <v>7.4208325603298961</v>
      </c>
      <c r="W316" s="263" t="s">
        <v>541</v>
      </c>
      <c r="X316" s="155">
        <v>-6</v>
      </c>
      <c r="Z316" s="13">
        <v>27.172820000000002</v>
      </c>
      <c r="AA316" s="2">
        <v>30.751999999999999</v>
      </c>
      <c r="AB316" s="2">
        <f t="shared" si="259"/>
        <v>3.5791799999999974</v>
      </c>
      <c r="AC316" s="2">
        <f t="shared" si="260"/>
        <v>8.2533399999999979</v>
      </c>
      <c r="AD316" s="2">
        <f t="shared" si="261"/>
        <v>0.30248670612853379</v>
      </c>
      <c r="AE316" s="2">
        <f t="shared" si="262"/>
        <v>0.69751329387146621</v>
      </c>
      <c r="AF316" s="2">
        <f t="shared" si="263"/>
        <v>0.27939360412161468</v>
      </c>
      <c r="AG316" s="2">
        <f t="shared" si="264"/>
        <v>8.4512851024126756E-2</v>
      </c>
      <c r="AH316" s="2">
        <f t="shared" si="265"/>
        <v>11.832519999999995</v>
      </c>
      <c r="AI316" s="2">
        <v>32</v>
      </c>
      <c r="AJ316">
        <f t="shared" si="266"/>
        <v>8.9405953318916698</v>
      </c>
      <c r="AM316" s="2"/>
    </row>
    <row r="317" spans="3:39" x14ac:dyDescent="0.35">
      <c r="C317" s="258" t="s">
        <v>541</v>
      </c>
      <c r="D317" s="155">
        <v>0</v>
      </c>
      <c r="F317" s="13">
        <v>166.21539999999999</v>
      </c>
      <c r="G317" s="13">
        <v>169.08421999999999</v>
      </c>
      <c r="H317" s="2">
        <f t="shared" si="247"/>
        <v>2.8688199999999995</v>
      </c>
      <c r="I317" s="2">
        <f t="shared" si="248"/>
        <v>7.4967800000000011</v>
      </c>
      <c r="J317" s="2">
        <f t="shared" si="250"/>
        <v>0.27676352550744765</v>
      </c>
      <c r="K317" s="2">
        <f t="shared" si="251"/>
        <v>0.72323647449255235</v>
      </c>
      <c r="L317" s="2">
        <f t="shared" si="252"/>
        <v>0.34857537245278553</v>
      </c>
      <c r="M317" s="2">
        <f t="shared" si="253"/>
        <v>9.647294898510457E-2</v>
      </c>
      <c r="N317" s="2">
        <f t="shared" si="254"/>
        <v>10.365600000000001</v>
      </c>
      <c r="O317" s="2">
        <v>21</v>
      </c>
      <c r="P317">
        <f t="shared" si="255"/>
        <v>7.3200828215084961</v>
      </c>
      <c r="W317" s="263" t="s">
        <v>541</v>
      </c>
      <c r="X317" s="155">
        <v>-6</v>
      </c>
      <c r="Z317" s="13">
        <v>39.005339999999997</v>
      </c>
      <c r="AA317" s="2">
        <v>43.455770000000001</v>
      </c>
      <c r="AB317" s="2">
        <f t="shared" si="259"/>
        <v>4.4504300000000043</v>
      </c>
      <c r="AC317" s="2">
        <f t="shared" si="260"/>
        <v>10.174749999999996</v>
      </c>
      <c r="AD317" s="2">
        <f t="shared" si="261"/>
        <v>0.3042991607624661</v>
      </c>
      <c r="AE317" s="2">
        <f t="shared" si="262"/>
        <v>0.6957008392375339</v>
      </c>
      <c r="AF317" s="2">
        <f t="shared" si="263"/>
        <v>0.22469738879164464</v>
      </c>
      <c r="AG317" s="2">
        <f t="shared" si="264"/>
        <v>6.837522683481502E-2</v>
      </c>
      <c r="AH317" s="2">
        <f t="shared" si="265"/>
        <v>14.62518</v>
      </c>
      <c r="AI317" s="2">
        <v>36</v>
      </c>
      <c r="AJ317">
        <f t="shared" si="266"/>
        <v>8.0891059964992067</v>
      </c>
      <c r="AM317" s="2"/>
    </row>
    <row r="318" spans="3:39" x14ac:dyDescent="0.35">
      <c r="C318" s="2"/>
      <c r="D318" s="155">
        <v>0</v>
      </c>
      <c r="F318" s="13">
        <v>176.58099999999999</v>
      </c>
      <c r="G318" s="13">
        <v>179.32159999999999</v>
      </c>
      <c r="H318" s="2">
        <f t="shared" si="247"/>
        <v>2.7406000000000006</v>
      </c>
      <c r="I318" s="2">
        <f t="shared" si="248"/>
        <v>4.0474700000000041</v>
      </c>
      <c r="J318" s="2">
        <f t="shared" si="250"/>
        <v>0.40373773399508234</v>
      </c>
      <c r="K318" s="2">
        <f t="shared" si="251"/>
        <v>0.59626226600491761</v>
      </c>
      <c r="L318" s="2">
        <f t="shared" si="252"/>
        <v>0.36488360213092014</v>
      </c>
      <c r="M318" s="2">
        <f t="shared" si="253"/>
        <v>0.1473172786963009</v>
      </c>
      <c r="N318" s="2">
        <f t="shared" si="254"/>
        <v>6.7880700000000047</v>
      </c>
      <c r="O318" s="2">
        <v>23</v>
      </c>
      <c r="P318">
        <f t="shared" si="255"/>
        <v>8.3923228490111637</v>
      </c>
      <c r="W318" s="263"/>
      <c r="X318" s="155">
        <v>-6</v>
      </c>
      <c r="Z318" s="13">
        <v>53.630519999999997</v>
      </c>
      <c r="AA318" s="2">
        <v>58.102829999999997</v>
      </c>
      <c r="AB318" s="2">
        <f t="shared" si="259"/>
        <v>4.4723100000000002</v>
      </c>
      <c r="AC318" s="2">
        <f t="shared" si="260"/>
        <v>4.2175000000000011</v>
      </c>
      <c r="AD318" s="2">
        <f t="shared" si="261"/>
        <v>0.51466142527857339</v>
      </c>
      <c r="AE318" s="2">
        <f t="shared" si="262"/>
        <v>0.48533857472142666</v>
      </c>
      <c r="AF318" s="2">
        <f t="shared" si="263"/>
        <v>0.22359809583861584</v>
      </c>
      <c r="AG318" s="2">
        <f t="shared" si="264"/>
        <v>0.11507731469387707</v>
      </c>
      <c r="AH318" s="2">
        <f t="shared" si="265"/>
        <v>8.6898100000000014</v>
      </c>
      <c r="AI318" s="2">
        <v>36</v>
      </c>
      <c r="AJ318">
        <f t="shared" si="266"/>
        <v>8.0495314501901696</v>
      </c>
      <c r="AM318" s="2"/>
    </row>
    <row r="319" spans="3:39" x14ac:dyDescent="0.35">
      <c r="C319" s="258" t="s">
        <v>541</v>
      </c>
      <c r="D319" s="155">
        <v>0</v>
      </c>
      <c r="F319" s="13">
        <v>183.36906999999999</v>
      </c>
      <c r="G319" s="13">
        <v>186.92117999999999</v>
      </c>
      <c r="H319" s="2">
        <f t="shared" si="247"/>
        <v>3.552109999999999</v>
      </c>
      <c r="I319" s="2">
        <f t="shared" si="248"/>
        <v>8.4268800000000113</v>
      </c>
      <c r="J319" s="2">
        <f t="shared" si="250"/>
        <v>0.29652833836575504</v>
      </c>
      <c r="K319" s="2">
        <f t="shared" si="251"/>
        <v>0.70347166163424502</v>
      </c>
      <c r="L319" s="2">
        <f t="shared" si="252"/>
        <v>0.28152281320116784</v>
      </c>
      <c r="M319" s="2">
        <f t="shared" si="253"/>
        <v>8.3479492010595152E-2</v>
      </c>
      <c r="N319" s="2">
        <f t="shared" si="254"/>
        <v>11.97899000000001</v>
      </c>
      <c r="O319" s="2">
        <v>22</v>
      </c>
      <c r="P319">
        <f t="shared" si="255"/>
        <v>6.1935018904256927</v>
      </c>
      <c r="W319" s="263" t="s">
        <v>541</v>
      </c>
      <c r="X319" s="155">
        <v>-6</v>
      </c>
      <c r="Z319" s="13">
        <v>62.320329999999998</v>
      </c>
      <c r="AA319" s="2">
        <v>66.239949999999993</v>
      </c>
      <c r="AB319" s="2">
        <f t="shared" si="259"/>
        <v>3.9196199999999948</v>
      </c>
      <c r="AC319" s="2">
        <f t="shared" si="260"/>
        <v>9.3343700000000069</v>
      </c>
      <c r="AD319" s="2">
        <f t="shared" si="261"/>
        <v>0.29573132317136153</v>
      </c>
      <c r="AE319" s="2">
        <f t="shared" si="262"/>
        <v>0.70426867682863847</v>
      </c>
      <c r="AF319" s="2">
        <f t="shared" si="263"/>
        <v>0.25512677249325222</v>
      </c>
      <c r="AG319" s="2">
        <f t="shared" si="264"/>
        <v>7.5448978005868417E-2</v>
      </c>
      <c r="AH319" s="2">
        <f t="shared" si="265"/>
        <v>13.253990000000002</v>
      </c>
      <c r="AI319" s="2">
        <v>33</v>
      </c>
      <c r="AJ319">
        <f t="shared" si="266"/>
        <v>8.4191834922773232</v>
      </c>
      <c r="AM319" s="2"/>
    </row>
    <row r="320" spans="3:39" x14ac:dyDescent="0.35">
      <c r="C320" s="2"/>
      <c r="D320" s="155">
        <v>0</v>
      </c>
      <c r="F320" s="13">
        <v>195.34806</v>
      </c>
      <c r="G320" s="13">
        <v>198.92263</v>
      </c>
      <c r="H320" s="2">
        <f t="shared" si="247"/>
        <v>3.5745699999999943</v>
      </c>
      <c r="I320" s="2">
        <f t="shared" si="248"/>
        <v>3.2909600000000125</v>
      </c>
      <c r="J320" s="2">
        <f t="shared" si="250"/>
        <v>0.52065463263578937</v>
      </c>
      <c r="K320" s="2">
        <f t="shared" si="251"/>
        <v>0.47934536736421068</v>
      </c>
      <c r="L320" s="2">
        <f t="shared" si="252"/>
        <v>0.27975392844454061</v>
      </c>
      <c r="M320" s="2">
        <f t="shared" si="253"/>
        <v>0.1456551788427112</v>
      </c>
      <c r="N320" s="2">
        <f t="shared" si="254"/>
        <v>6.8655300000000068</v>
      </c>
      <c r="O320" s="2">
        <v>25</v>
      </c>
      <c r="P320">
        <f t="shared" si="255"/>
        <v>6.9938482111135158</v>
      </c>
      <c r="W320" s="263"/>
      <c r="X320" s="155">
        <v>-6</v>
      </c>
      <c r="Z320" s="13">
        <v>75.57432</v>
      </c>
      <c r="AA320" s="2">
        <v>79.353880000000004</v>
      </c>
      <c r="AB320" s="2">
        <f t="shared" si="259"/>
        <v>3.7795600000000036</v>
      </c>
      <c r="AC320" s="2">
        <f t="shared" si="260"/>
        <v>4.8421900000000022</v>
      </c>
      <c r="AD320" s="2">
        <f t="shared" si="261"/>
        <v>0.43837503987009607</v>
      </c>
      <c r="AE320" s="2">
        <f t="shared" si="262"/>
        <v>0.56162496012990393</v>
      </c>
      <c r="AF320" s="2">
        <f t="shared" si="263"/>
        <v>0.2645810623458813</v>
      </c>
      <c r="AG320" s="2">
        <f t="shared" si="264"/>
        <v>0.11598573375474809</v>
      </c>
      <c r="AH320" s="2">
        <f t="shared" si="265"/>
        <v>8.6217500000000058</v>
      </c>
      <c r="AI320" s="2">
        <v>35</v>
      </c>
      <c r="AJ320">
        <f t="shared" si="266"/>
        <v>9.2603371821058449</v>
      </c>
      <c r="AM320" s="2"/>
    </row>
    <row r="321" spans="3:39" x14ac:dyDescent="0.35">
      <c r="C321" s="258" t="s">
        <v>541</v>
      </c>
      <c r="D321" s="155">
        <v>0</v>
      </c>
      <c r="F321" s="13">
        <v>202.21359000000001</v>
      </c>
      <c r="G321" s="13">
        <v>205.71621999999999</v>
      </c>
      <c r="H321" s="2">
        <f t="shared" si="247"/>
        <v>3.5026299999999821</v>
      </c>
      <c r="I321" s="2">
        <f t="shared" si="248"/>
        <v>8.5450400000000002</v>
      </c>
      <c r="J321" s="2">
        <f t="shared" si="250"/>
        <v>0.2907309048139588</v>
      </c>
      <c r="K321" s="2">
        <f t="shared" si="251"/>
        <v>0.7092690951860412</v>
      </c>
      <c r="L321" s="2">
        <f t="shared" si="252"/>
        <v>0.28549975304271508</v>
      </c>
      <c r="M321" s="2">
        <f t="shared" si="253"/>
        <v>8.3003601526270343E-2</v>
      </c>
      <c r="N321" s="2">
        <f t="shared" si="254"/>
        <v>12.047669999999982</v>
      </c>
      <c r="O321" s="2">
        <v>24</v>
      </c>
      <c r="P321">
        <f t="shared" si="255"/>
        <v>6.8519940730251614</v>
      </c>
      <c r="W321" s="263" t="s">
        <v>541</v>
      </c>
      <c r="X321" s="155">
        <v>-6</v>
      </c>
      <c r="Z321" s="13">
        <v>84.196070000000006</v>
      </c>
      <c r="AA321" s="2">
        <v>88.241470000000007</v>
      </c>
      <c r="AB321" s="2">
        <f t="shared" si="259"/>
        <v>4.0454000000000008</v>
      </c>
      <c r="AC321" s="2">
        <f t="shared" si="260"/>
        <v>9.1984099999999955</v>
      </c>
      <c r="AD321" s="2">
        <f t="shared" si="261"/>
        <v>0.30545590732576217</v>
      </c>
      <c r="AE321" s="2">
        <f t="shared" si="262"/>
        <v>0.69454409267423789</v>
      </c>
      <c r="AF321" s="2">
        <f t="shared" si="263"/>
        <v>0.2471943441934048</v>
      </c>
      <c r="AG321" s="2">
        <f t="shared" si="264"/>
        <v>7.5506972691393212E-2</v>
      </c>
      <c r="AH321" s="2">
        <f t="shared" si="265"/>
        <v>13.243809999999996</v>
      </c>
      <c r="AI321" s="2">
        <v>32</v>
      </c>
      <c r="AJ321">
        <f t="shared" si="266"/>
        <v>7.9102190141889537</v>
      </c>
      <c r="AM321" s="2"/>
    </row>
    <row r="322" spans="3:39" x14ac:dyDescent="0.35">
      <c r="D322" s="155">
        <v>0</v>
      </c>
      <c r="F322" s="13">
        <v>214.26125999999999</v>
      </c>
      <c r="G322" s="13">
        <v>217.22516999999999</v>
      </c>
      <c r="H322" s="2">
        <f t="shared" si="247"/>
        <v>2.9639099999999985</v>
      </c>
      <c r="I322" s="2">
        <f t="shared" si="248"/>
        <v>4.5693500000000142</v>
      </c>
      <c r="J322" s="2">
        <f t="shared" si="250"/>
        <v>0.39344321050912801</v>
      </c>
      <c r="K322" s="2">
        <f t="shared" si="251"/>
        <v>0.60655678949087199</v>
      </c>
      <c r="L322" s="2">
        <f t="shared" si="252"/>
        <v>0.33739216103053077</v>
      </c>
      <c r="M322" s="2">
        <f t="shared" si="253"/>
        <v>0.13274465503646474</v>
      </c>
      <c r="N322" s="2">
        <f t="shared" si="254"/>
        <v>7.5332600000000127</v>
      </c>
      <c r="O322" s="2">
        <v>24</v>
      </c>
      <c r="P322">
        <f t="shared" si="255"/>
        <v>8.0974118647327398</v>
      </c>
      <c r="W322" s="263"/>
      <c r="X322" s="155">
        <v>-6</v>
      </c>
      <c r="Z322" s="13">
        <v>97.439880000000002</v>
      </c>
      <c r="AA322" s="2">
        <v>102.15631</v>
      </c>
      <c r="AB322" s="2">
        <f t="shared" si="259"/>
        <v>4.7164300000000026</v>
      </c>
      <c r="AC322" s="2">
        <f t="shared" si="260"/>
        <v>3.3325699999999898</v>
      </c>
      <c r="AD322" s="2">
        <f t="shared" si="261"/>
        <v>0.58596471611380385</v>
      </c>
      <c r="AE322" s="2">
        <f t="shared" si="262"/>
        <v>0.41403528388619615</v>
      </c>
      <c r="AF322" s="2">
        <f t="shared" si="263"/>
        <v>0.21202477297447422</v>
      </c>
      <c r="AG322" s="2">
        <f t="shared" si="264"/>
        <v>0.12423903590508149</v>
      </c>
      <c r="AH322" s="2">
        <f t="shared" si="265"/>
        <v>8.0489999999999924</v>
      </c>
      <c r="AI322" s="2">
        <v>37</v>
      </c>
      <c r="AJ322">
        <f t="shared" si="266"/>
        <v>7.8449166000555461</v>
      </c>
      <c r="AM322" s="2"/>
    </row>
    <row r="323" spans="3:39" x14ac:dyDescent="0.35">
      <c r="C323" s="258" t="s">
        <v>541</v>
      </c>
      <c r="D323" s="155">
        <v>0</v>
      </c>
      <c r="E323" s="2"/>
      <c r="F323" s="13">
        <v>221.79452000000001</v>
      </c>
      <c r="G323" s="13">
        <v>225.48016999999999</v>
      </c>
      <c r="H323" s="2">
        <f>G323-F323</f>
        <v>3.6856499999999812</v>
      </c>
      <c r="I323" s="2">
        <f>F324-G323</f>
        <v>8.4528700000000185</v>
      </c>
      <c r="J323" s="2">
        <f>H323/N323</f>
        <v>0.30363256805607119</v>
      </c>
      <c r="K323" s="2">
        <f>I323/N323</f>
        <v>0.69636743194392881</v>
      </c>
      <c r="L323" s="2">
        <f>1/H323</f>
        <v>0.27132256182763015</v>
      </c>
      <c r="M323" s="2">
        <f>1/N323</f>
        <v>8.2382366219275499E-2</v>
      </c>
      <c r="N323" s="2">
        <f>H323+I323</f>
        <v>12.13852</v>
      </c>
      <c r="O323" s="2">
        <v>25</v>
      </c>
      <c r="P323">
        <f t="shared" si="255"/>
        <v>6.7830640456907538</v>
      </c>
      <c r="W323" s="263" t="s">
        <v>541</v>
      </c>
      <c r="X323" s="155">
        <v>-6</v>
      </c>
      <c r="Z323" s="13">
        <v>105.48887999999999</v>
      </c>
      <c r="AA323" s="2">
        <v>109.26791</v>
      </c>
      <c r="AB323" s="2">
        <f t="shared" si="259"/>
        <v>3.7790300000000059</v>
      </c>
      <c r="AC323" s="2">
        <f t="shared" si="260"/>
        <v>9.4561499999999938</v>
      </c>
      <c r="AD323" s="2">
        <f t="shared" si="261"/>
        <v>0.28552917300709213</v>
      </c>
      <c r="AE323" s="2">
        <f t="shared" si="262"/>
        <v>0.71447082699290787</v>
      </c>
      <c r="AF323" s="2">
        <f t="shared" si="263"/>
        <v>0.26461816921273407</v>
      </c>
      <c r="AG323" s="2">
        <f t="shared" si="264"/>
        <v>7.5556207017962729E-2</v>
      </c>
      <c r="AH323" s="2">
        <f t="shared" si="265"/>
        <v>13.23518</v>
      </c>
      <c r="AI323" s="2">
        <v>33</v>
      </c>
      <c r="AJ323">
        <f t="shared" si="266"/>
        <v>8.7323995840202251</v>
      </c>
      <c r="AM323" s="2"/>
    </row>
    <row r="324" spans="3:39" x14ac:dyDescent="0.35">
      <c r="D324" s="155"/>
      <c r="E324" s="2"/>
      <c r="F324" s="2">
        <v>233.93304000000001</v>
      </c>
      <c r="G324" s="2">
        <v>236.82401999999999</v>
      </c>
      <c r="H324" s="2">
        <f>G324-F324</f>
        <v>2.8909799999999848</v>
      </c>
      <c r="I324" s="2"/>
      <c r="J324" s="2"/>
      <c r="K324" s="2"/>
      <c r="L324" s="2"/>
      <c r="M324" s="2"/>
      <c r="N324" s="2"/>
      <c r="O324" s="2"/>
      <c r="P324" s="2"/>
      <c r="W324" s="263"/>
      <c r="X324" s="155">
        <v>-6</v>
      </c>
      <c r="Z324" s="13">
        <v>118.72405999999999</v>
      </c>
      <c r="AA324" s="2">
        <v>122.07778</v>
      </c>
      <c r="AB324" s="2">
        <f t="shared" si="259"/>
        <v>3.3537200000000098</v>
      </c>
      <c r="AC324" s="2">
        <f t="shared" si="260"/>
        <v>3.9695799999999934</v>
      </c>
      <c r="AD324" s="2">
        <f t="shared" si="261"/>
        <v>0.45795201616757586</v>
      </c>
      <c r="AE324" s="2">
        <f t="shared" si="262"/>
        <v>0.54204798383242414</v>
      </c>
      <c r="AF324" s="2">
        <f t="shared" si="263"/>
        <v>0.29817635342246729</v>
      </c>
      <c r="AG324" s="2">
        <f t="shared" si="264"/>
        <v>0.13655046222331457</v>
      </c>
      <c r="AH324" s="2">
        <f t="shared" si="265"/>
        <v>7.3233000000000033</v>
      </c>
      <c r="AI324" s="2">
        <v>30</v>
      </c>
      <c r="AJ324">
        <f t="shared" si="266"/>
        <v>8.9452906026740191</v>
      </c>
      <c r="AM324" s="2"/>
    </row>
    <row r="325" spans="3:39" x14ac:dyDescent="0.35">
      <c r="D325" s="155"/>
      <c r="W325" s="263" t="s">
        <v>541</v>
      </c>
      <c r="X325" s="155">
        <v>0</v>
      </c>
      <c r="Z325" s="13">
        <v>126.04736</v>
      </c>
      <c r="AA325" s="2">
        <v>130.54309000000001</v>
      </c>
      <c r="AB325" s="2">
        <f t="shared" si="259"/>
        <v>4.4957300000000089</v>
      </c>
      <c r="AC325" s="2">
        <f t="shared" si="260"/>
        <v>7.7601999999999975</v>
      </c>
      <c r="AD325" s="2">
        <f t="shared" si="261"/>
        <v>0.36682079613705421</v>
      </c>
      <c r="AE325" s="2">
        <f t="shared" si="262"/>
        <v>0.63317920386294579</v>
      </c>
      <c r="AF325" s="2">
        <f t="shared" si="263"/>
        <v>0.22243328669648713</v>
      </c>
      <c r="AG325" s="2">
        <f t="shared" si="264"/>
        <v>8.1593155313387025E-2</v>
      </c>
      <c r="AH325" s="2">
        <f t="shared" si="265"/>
        <v>12.255930000000006</v>
      </c>
      <c r="AI325" s="2">
        <v>34</v>
      </c>
      <c r="AJ325">
        <f t="shared" si="266"/>
        <v>7.5627317476805622</v>
      </c>
      <c r="AL325" t="s">
        <v>504</v>
      </c>
      <c r="AM325" s="2"/>
    </row>
    <row r="326" spans="3:39" x14ac:dyDescent="0.35">
      <c r="D326" s="155"/>
      <c r="W326" s="263" t="s">
        <v>541</v>
      </c>
      <c r="X326" s="155">
        <v>0</v>
      </c>
      <c r="Z326" s="13">
        <v>138.30329</v>
      </c>
      <c r="AA326" s="2">
        <v>142.86682999999999</v>
      </c>
      <c r="AB326" s="2">
        <f t="shared" si="259"/>
        <v>4.563539999999989</v>
      </c>
      <c r="AC326" s="2">
        <f t="shared" si="260"/>
        <v>12.25284000000002</v>
      </c>
      <c r="AD326" s="2">
        <f t="shared" si="261"/>
        <v>0.27137469538628328</v>
      </c>
      <c r="AE326" s="2">
        <f t="shared" si="262"/>
        <v>0.72862530461371666</v>
      </c>
      <c r="AF326" s="2">
        <f t="shared" si="263"/>
        <v>0.21912813298448186</v>
      </c>
      <c r="AG326" s="2">
        <f t="shared" si="264"/>
        <v>5.946583033922874E-2</v>
      </c>
      <c r="AH326" s="2">
        <f t="shared" si="265"/>
        <v>16.816380000000009</v>
      </c>
      <c r="AI326" s="2">
        <v>39</v>
      </c>
      <c r="AJ326">
        <f t="shared" si="266"/>
        <v>8.5459971863947928</v>
      </c>
      <c r="AM326" s="2"/>
    </row>
    <row r="327" spans="3:39" ht="16" thickBot="1" x14ac:dyDescent="0.4">
      <c r="F327" s="2"/>
      <c r="G327" s="2"/>
      <c r="H327" s="9" t="s">
        <v>3</v>
      </c>
      <c r="I327" s="9" t="s">
        <v>4</v>
      </c>
      <c r="J327" s="9" t="s">
        <v>5</v>
      </c>
      <c r="K327" s="9" t="s">
        <v>6</v>
      </c>
      <c r="L327" s="9" t="s">
        <v>7</v>
      </c>
      <c r="M327" s="9" t="s">
        <v>8</v>
      </c>
      <c r="N327" s="9" t="s">
        <v>9</v>
      </c>
      <c r="O327" s="9" t="s">
        <v>10</v>
      </c>
      <c r="P327" s="44" t="s">
        <v>139</v>
      </c>
      <c r="W327" s="263"/>
      <c r="X327" s="155">
        <v>0</v>
      </c>
      <c r="Z327" s="13">
        <v>155.11967000000001</v>
      </c>
      <c r="AA327" s="13">
        <v>159.82551000000001</v>
      </c>
      <c r="AB327" s="2">
        <f t="shared" si="259"/>
        <v>4.7058399999999949</v>
      </c>
      <c r="AC327" s="2">
        <f t="shared" si="260"/>
        <v>4.2523199999999974</v>
      </c>
      <c r="AD327" s="2">
        <f t="shared" si="261"/>
        <v>0.5253132339676897</v>
      </c>
      <c r="AE327" s="2">
        <f t="shared" si="262"/>
        <v>0.4746867660323103</v>
      </c>
      <c r="AF327" s="2">
        <f t="shared" si="263"/>
        <v>0.21250191251721287</v>
      </c>
      <c r="AG327" s="2">
        <f t="shared" si="264"/>
        <v>0.11163006688873618</v>
      </c>
      <c r="AH327" s="2">
        <f t="shared" si="265"/>
        <v>8.9581599999999924</v>
      </c>
      <c r="AI327" s="2">
        <v>41</v>
      </c>
      <c r="AJ327">
        <f t="shared" si="266"/>
        <v>8.712578413205728</v>
      </c>
      <c r="AM327" s="2"/>
    </row>
    <row r="328" spans="3:39" x14ac:dyDescent="0.35">
      <c r="E328" s="104" t="s">
        <v>414</v>
      </c>
      <c r="F328" s="13"/>
      <c r="G328" s="49" t="s">
        <v>77</v>
      </c>
      <c r="H328" s="13">
        <f t="shared" ref="H328:P328" si="267">AVERAGE(H301:H311)</f>
        <v>3.7221736363636357</v>
      </c>
      <c r="I328" s="13">
        <f t="shared" si="267"/>
        <v>6.4041290909090911</v>
      </c>
      <c r="J328" s="13">
        <f t="shared" si="267"/>
        <v>0.38961489743750827</v>
      </c>
      <c r="K328" s="13">
        <f t="shared" si="267"/>
        <v>0.61038510256249179</v>
      </c>
      <c r="L328" s="13">
        <f t="shared" si="267"/>
        <v>0.27025630015550123</v>
      </c>
      <c r="M328" s="13">
        <f t="shared" si="267"/>
        <v>0.1046049129376084</v>
      </c>
      <c r="N328" s="13">
        <f t="shared" si="267"/>
        <v>10.126302727272728</v>
      </c>
      <c r="O328" s="13">
        <f t="shared" si="267"/>
        <v>28.09090909090909</v>
      </c>
      <c r="P328" s="13">
        <f t="shared" si="267"/>
        <v>7.5529426519059975</v>
      </c>
      <c r="W328" s="263" t="s">
        <v>541</v>
      </c>
      <c r="X328" s="155">
        <v>0</v>
      </c>
      <c r="Z328" s="13">
        <v>164.07783000000001</v>
      </c>
      <c r="AA328">
        <v>167.87671</v>
      </c>
      <c r="AB328" s="2">
        <f t="shared" si="259"/>
        <v>3.7988799999999969</v>
      </c>
      <c r="AC328" s="2">
        <f t="shared" si="260"/>
        <v>7.7264899999999841</v>
      </c>
      <c r="AD328" s="2">
        <f t="shared" si="261"/>
        <v>0.32961024244774817</v>
      </c>
      <c r="AE328" s="2">
        <f t="shared" si="262"/>
        <v>0.67038975755225183</v>
      </c>
      <c r="AF328" s="2">
        <f t="shared" si="263"/>
        <v>0.26323547993092722</v>
      </c>
      <c r="AG328" s="2">
        <f t="shared" si="264"/>
        <v>8.6765110360882261E-2</v>
      </c>
      <c r="AH328" s="2">
        <f t="shared" si="265"/>
        <v>11.525369999999981</v>
      </c>
      <c r="AI328" s="2">
        <v>31</v>
      </c>
      <c r="AJ328">
        <f t="shared" si="266"/>
        <v>8.1602998778587441</v>
      </c>
      <c r="AM328" s="2"/>
    </row>
    <row r="329" spans="3:39" x14ac:dyDescent="0.35">
      <c r="E329" s="104"/>
      <c r="F329" s="13"/>
      <c r="G329" s="49" t="s">
        <v>94</v>
      </c>
      <c r="H329" s="2">
        <f t="shared" ref="H329:P329" si="268">_xlfn.STDEV.S(H301:H311)</f>
        <v>0.2773966860751117</v>
      </c>
      <c r="I329" s="2">
        <f t="shared" si="268"/>
        <v>2.6709241864997035</v>
      </c>
      <c r="J329" s="2">
        <f t="shared" si="268"/>
        <v>0.1001250602534214</v>
      </c>
      <c r="K329" s="2">
        <f t="shared" si="268"/>
        <v>0.10012506025342151</v>
      </c>
      <c r="L329" s="2">
        <f t="shared" si="268"/>
        <v>2.3641988289953217E-2</v>
      </c>
      <c r="M329" s="2">
        <f t="shared" si="268"/>
        <v>2.5145764219475331E-2</v>
      </c>
      <c r="N329" s="2">
        <f t="shared" si="268"/>
        <v>2.6692710760696103</v>
      </c>
      <c r="O329" s="2">
        <f t="shared" si="268"/>
        <v>2.736952518935813</v>
      </c>
      <c r="P329" s="2">
        <f t="shared" si="268"/>
        <v>0.53210643308951677</v>
      </c>
      <c r="W329" s="263"/>
      <c r="X329" s="155">
        <v>0</v>
      </c>
      <c r="Z329">
        <v>175.60319999999999</v>
      </c>
      <c r="AA329">
        <v>179.63548</v>
      </c>
      <c r="AB329" s="2">
        <f t="shared" si="259"/>
        <v>4.0322800000000143</v>
      </c>
      <c r="AC329" s="2">
        <f t="shared" si="260"/>
        <v>4.7362300000000062</v>
      </c>
      <c r="AD329" s="2">
        <f t="shared" si="261"/>
        <v>0.45985920070798858</v>
      </c>
      <c r="AE329" s="2">
        <f t="shared" si="262"/>
        <v>0.54014079929201142</v>
      </c>
      <c r="AF329" s="2">
        <f t="shared" si="263"/>
        <v>0.2479986508873383</v>
      </c>
      <c r="AG329" s="2">
        <f t="shared" si="264"/>
        <v>0.1140444613737109</v>
      </c>
      <c r="AH329" s="2">
        <f t="shared" si="265"/>
        <v>8.7685100000000205</v>
      </c>
      <c r="AI329" s="2">
        <v>37</v>
      </c>
      <c r="AJ329">
        <f t="shared" si="266"/>
        <v>9.1759500828315161</v>
      </c>
      <c r="AM329" s="2"/>
    </row>
    <row r="330" spans="3:39" x14ac:dyDescent="0.35">
      <c r="E330" s="104"/>
      <c r="F330" s="13"/>
      <c r="G330" s="49" t="s">
        <v>95</v>
      </c>
      <c r="H330" s="2">
        <f t="shared" ref="H330:P330" si="269">H329/(SQRT(COUNT(H301:H311)))</f>
        <v>8.3638247799922724E-2</v>
      </c>
      <c r="I330" s="2">
        <f t="shared" si="269"/>
        <v>0.80531394273679513</v>
      </c>
      <c r="J330" s="2">
        <f t="shared" si="269"/>
        <v>3.0188841542938685E-2</v>
      </c>
      <c r="K330" s="2">
        <f t="shared" si="269"/>
        <v>3.0188841542938716E-2</v>
      </c>
      <c r="L330" s="2">
        <f t="shared" si="269"/>
        <v>7.128327677795537E-3</v>
      </c>
      <c r="M330" s="2">
        <f t="shared" si="269"/>
        <v>7.5817331802494259E-3</v>
      </c>
      <c r="N330" s="2">
        <f t="shared" si="269"/>
        <v>0.80481551118828221</v>
      </c>
      <c r="O330" s="2">
        <f t="shared" si="269"/>
        <v>0.82522223402983408</v>
      </c>
      <c r="P330" s="2">
        <f t="shared" si="269"/>
        <v>0.16043612609929803</v>
      </c>
      <c r="W330" s="263" t="s">
        <v>541</v>
      </c>
      <c r="X330" s="155">
        <v>0</v>
      </c>
      <c r="Z330">
        <v>184.37171000000001</v>
      </c>
      <c r="AA330">
        <v>189.00550999999999</v>
      </c>
      <c r="AB330" s="2">
        <f t="shared" si="259"/>
        <v>4.6337999999999795</v>
      </c>
      <c r="AC330" s="2">
        <f t="shared" si="260"/>
        <v>7.9322200000000009</v>
      </c>
      <c r="AD330" s="2">
        <f t="shared" si="261"/>
        <v>0.36875637632281238</v>
      </c>
      <c r="AE330" s="2">
        <f t="shared" si="262"/>
        <v>0.63124362367718767</v>
      </c>
      <c r="AF330" s="2">
        <f t="shared" si="263"/>
        <v>0.21580560231343701</v>
      </c>
      <c r="AG330" s="2">
        <f t="shared" si="264"/>
        <v>7.9579691899264962E-2</v>
      </c>
      <c r="AH330" s="2">
        <f t="shared" si="265"/>
        <v>12.56601999999998</v>
      </c>
      <c r="AI330">
        <v>39</v>
      </c>
      <c r="AJ330">
        <f t="shared" si="266"/>
        <v>8.4164184902240429</v>
      </c>
      <c r="AM330" s="2"/>
    </row>
    <row r="331" spans="3:39" x14ac:dyDescent="0.35">
      <c r="E331" s="104"/>
      <c r="W331" s="263"/>
      <c r="X331" s="155">
        <v>0</v>
      </c>
      <c r="Z331">
        <v>196.93772999999999</v>
      </c>
      <c r="AA331">
        <v>200.93469999999999</v>
      </c>
      <c r="AB331" s="2">
        <f t="shared" si="259"/>
        <v>3.9969700000000046</v>
      </c>
      <c r="AC331" s="2">
        <f t="shared" si="260"/>
        <v>4.1478800000000149</v>
      </c>
      <c r="AD331" s="2">
        <f t="shared" si="261"/>
        <v>0.49073586376667405</v>
      </c>
      <c r="AE331" s="2">
        <f t="shared" si="262"/>
        <v>0.509264136233326</v>
      </c>
      <c r="AF331" s="2">
        <f t="shared" si="263"/>
        <v>0.25018951856030913</v>
      </c>
      <c r="AG331" s="2">
        <f t="shared" si="264"/>
        <v>0.12277696949606164</v>
      </c>
      <c r="AH331" s="2">
        <f t="shared" si="265"/>
        <v>8.1448500000000195</v>
      </c>
      <c r="AI331">
        <v>38</v>
      </c>
      <c r="AJ331">
        <f t="shared" si="266"/>
        <v>9.507201705291747</v>
      </c>
      <c r="AM331" s="2"/>
    </row>
    <row r="332" spans="3:39" ht="16" thickBot="1" x14ac:dyDescent="0.4">
      <c r="E332" s="104" t="s">
        <v>81</v>
      </c>
      <c r="F332" s="13"/>
      <c r="G332" s="13"/>
      <c r="H332" s="9" t="s">
        <v>3</v>
      </c>
      <c r="I332" s="9" t="s">
        <v>4</v>
      </c>
      <c r="J332" s="9" t="s">
        <v>5</v>
      </c>
      <c r="K332" s="9" t="s">
        <v>6</v>
      </c>
      <c r="L332" s="9" t="s">
        <v>7</v>
      </c>
      <c r="M332" s="9" t="s">
        <v>8</v>
      </c>
      <c r="N332" s="9" t="s">
        <v>9</v>
      </c>
      <c r="O332" s="9" t="s">
        <v>10</v>
      </c>
      <c r="P332" s="44" t="s">
        <v>139</v>
      </c>
      <c r="W332" s="263" t="s">
        <v>541</v>
      </c>
      <c r="X332" s="155">
        <v>0</v>
      </c>
      <c r="Z332">
        <v>205.08258000000001</v>
      </c>
      <c r="AA332">
        <v>209.66601</v>
      </c>
      <c r="AB332" s="2">
        <f t="shared" si="259"/>
        <v>4.5834299999999928</v>
      </c>
      <c r="AC332" s="2">
        <f t="shared" si="260"/>
        <v>6.2484599999999944</v>
      </c>
      <c r="AD332" s="2">
        <f t="shared" si="261"/>
        <v>0.42314222171753946</v>
      </c>
      <c r="AE332" s="2">
        <f t="shared" si="262"/>
        <v>0.57685777828246054</v>
      </c>
      <c r="AF332" s="2">
        <f t="shared" si="263"/>
        <v>0.21817721662597697</v>
      </c>
      <c r="AG332" s="2">
        <f t="shared" si="264"/>
        <v>9.231999217126477E-2</v>
      </c>
      <c r="AH332" s="2">
        <f t="shared" si="265"/>
        <v>10.831889999999987</v>
      </c>
      <c r="AI332">
        <v>34</v>
      </c>
      <c r="AJ332">
        <f t="shared" si="266"/>
        <v>7.4180253652832162</v>
      </c>
      <c r="AM332" s="2"/>
    </row>
    <row r="333" spans="3:39" x14ac:dyDescent="0.35">
      <c r="E333" s="104"/>
      <c r="F333" s="13"/>
      <c r="G333" s="49" t="s">
        <v>77</v>
      </c>
      <c r="H333" s="13">
        <f>AVERAGE(H301,H303,H305,H307,H309,H311)</f>
        <v>3.6521583333333325</v>
      </c>
      <c r="I333" s="13">
        <f t="shared" ref="I333:P333" si="270">AVERAGE(I301,I303,I305,I307,I309,I311)</f>
        <v>8.4422116666666671</v>
      </c>
      <c r="J333" s="13">
        <f t="shared" si="270"/>
        <v>0.30559188631662532</v>
      </c>
      <c r="K333" s="13">
        <f t="shared" si="270"/>
        <v>0.69440811368337474</v>
      </c>
      <c r="L333" s="13">
        <f t="shared" si="270"/>
        <v>0.27619354586405442</v>
      </c>
      <c r="M333" s="13">
        <f t="shared" si="270"/>
        <v>8.4215708863856001E-2</v>
      </c>
      <c r="N333" s="13">
        <f t="shared" si="270"/>
        <v>12.09437</v>
      </c>
      <c r="O333" s="13">
        <f t="shared" si="270"/>
        <v>26.666666666666668</v>
      </c>
      <c r="P333" s="13">
        <f t="shared" si="270"/>
        <v>7.3241710061128833</v>
      </c>
      <c r="W333" s="263"/>
      <c r="X333" s="155">
        <v>0</v>
      </c>
      <c r="Z333">
        <v>215.91446999999999</v>
      </c>
      <c r="AA333">
        <v>220.66111000000001</v>
      </c>
      <c r="AB333" s="2">
        <f t="shared" si="259"/>
        <v>4.7466400000000135</v>
      </c>
      <c r="AC333" s="2">
        <f t="shared" si="260"/>
        <v>4.1537500000000023</v>
      </c>
      <c r="AD333" s="2">
        <f t="shared" si="261"/>
        <v>0.5333069674474944</v>
      </c>
      <c r="AE333" s="2">
        <f t="shared" si="262"/>
        <v>0.46669303255250555</v>
      </c>
      <c r="AF333" s="2">
        <f t="shared" si="263"/>
        <v>0.21067534087270093</v>
      </c>
      <c r="AG333" s="2">
        <f t="shared" si="264"/>
        <v>0.11235462715678732</v>
      </c>
      <c r="AH333" s="2">
        <f t="shared" si="265"/>
        <v>8.9003900000000158</v>
      </c>
      <c r="AI333">
        <v>46</v>
      </c>
      <c r="AJ333">
        <f t="shared" si="266"/>
        <v>9.6910656801442432</v>
      </c>
      <c r="AM333" s="2"/>
    </row>
    <row r="334" spans="3:39" x14ac:dyDescent="0.35">
      <c r="E334" s="104"/>
      <c r="F334" s="13"/>
      <c r="G334" s="49" t="s">
        <v>94</v>
      </c>
      <c r="H334" s="2">
        <f>_xlfn.STDEV.S(H301,H303,H305,H307,H309,H311)</f>
        <v>0.34578771958625948</v>
      </c>
      <c r="I334" s="2">
        <f t="shared" ref="I334:P334" si="271">_xlfn.STDEV.S(I301,I303,I305,I307,I309,I311)</f>
        <v>1.8028141540537821</v>
      </c>
      <c r="J334" s="2">
        <f t="shared" si="271"/>
        <v>3.6369431502725834E-2</v>
      </c>
      <c r="K334" s="2">
        <f t="shared" si="271"/>
        <v>3.6369431502725716E-2</v>
      </c>
      <c r="L334" s="2">
        <f t="shared" si="271"/>
        <v>3.0254154621201606E-2</v>
      </c>
      <c r="M334" s="2">
        <f t="shared" si="271"/>
        <v>1.1317327898168607E-2</v>
      </c>
      <c r="N334" s="2">
        <f t="shared" si="271"/>
        <v>1.9751175949193582</v>
      </c>
      <c r="O334" s="2">
        <f t="shared" si="271"/>
        <v>2.503331114069145</v>
      </c>
      <c r="P334" s="2">
        <f t="shared" si="271"/>
        <v>0.5672658776150491</v>
      </c>
      <c r="W334" s="263" t="s">
        <v>541</v>
      </c>
      <c r="X334" s="155">
        <v>0</v>
      </c>
      <c r="Z334">
        <v>224.81486000000001</v>
      </c>
      <c r="AA334">
        <v>229.48571000000001</v>
      </c>
      <c r="AB334" s="2">
        <f t="shared" si="259"/>
        <v>4.6708500000000015</v>
      </c>
      <c r="AC334" s="2">
        <f t="shared" si="260"/>
        <v>7.9736899999999764</v>
      </c>
      <c r="AD334" s="2">
        <f t="shared" si="261"/>
        <v>0.36939659331221297</v>
      </c>
      <c r="AE334" s="2">
        <f t="shared" si="262"/>
        <v>0.63060340668778703</v>
      </c>
      <c r="AF334" s="2">
        <f t="shared" si="263"/>
        <v>0.21409379449136659</v>
      </c>
      <c r="AG334" s="2">
        <f t="shared" si="264"/>
        <v>7.9085518334395852E-2</v>
      </c>
      <c r="AH334" s="2">
        <f t="shared" si="265"/>
        <v>12.644539999999978</v>
      </c>
      <c r="AI334">
        <v>37</v>
      </c>
      <c r="AJ334">
        <f t="shared" si="266"/>
        <v>7.9214703961805641</v>
      </c>
      <c r="AM334" s="2"/>
    </row>
    <row r="335" spans="3:39" x14ac:dyDescent="0.35">
      <c r="E335" s="104"/>
      <c r="F335" s="13"/>
      <c r="G335" s="49" t="s">
        <v>95</v>
      </c>
      <c r="H335" s="2">
        <f>H334/(SQRT(COUNT(H301,H303,H305,H307,H309,H311)))</f>
        <v>0.14116724538448808</v>
      </c>
      <c r="I335" s="2">
        <f t="shared" ref="I335:P335" si="272">I334/(SQRT(COUNT(I301,I303,I305,I307,I309,I311)))</f>
        <v>0.73599579641651203</v>
      </c>
      <c r="J335" s="2">
        <f t="shared" si="272"/>
        <v>1.4847758236130387E-2</v>
      </c>
      <c r="K335" s="2">
        <f t="shared" si="272"/>
        <v>1.484775823613034E-2</v>
      </c>
      <c r="L335" s="2">
        <f t="shared" si="272"/>
        <v>1.2351206903534938E-2</v>
      </c>
      <c r="M335" s="2">
        <f t="shared" si="272"/>
        <v>4.6202797670463185E-3</v>
      </c>
      <c r="N335" s="2">
        <f t="shared" si="272"/>
        <v>0.80633838159092475</v>
      </c>
      <c r="O335" s="2">
        <f t="shared" si="272"/>
        <v>1.0219806477837261</v>
      </c>
      <c r="P335" s="2">
        <f t="shared" si="272"/>
        <v>0.23158532477482677</v>
      </c>
      <c r="W335" s="263"/>
      <c r="X335" s="155">
        <v>0</v>
      </c>
      <c r="Z335">
        <v>237.45939999999999</v>
      </c>
      <c r="AA335">
        <v>239.98068000000001</v>
      </c>
      <c r="AB335" s="2">
        <f t="shared" si="259"/>
        <v>2.5212800000000186</v>
      </c>
      <c r="AC335" s="2"/>
      <c r="AD335" s="2"/>
      <c r="AE335" s="2"/>
      <c r="AF335" s="2"/>
      <c r="AG335" s="2"/>
      <c r="AH335" s="2"/>
      <c r="AI335">
        <v>28</v>
      </c>
      <c r="AM335" s="2"/>
    </row>
    <row r="336" spans="3:39" x14ac:dyDescent="0.35">
      <c r="E336" s="104"/>
      <c r="F336" s="13"/>
      <c r="G336" s="49"/>
      <c r="H336" s="2"/>
      <c r="I336" s="2"/>
      <c r="J336" s="2"/>
      <c r="K336" s="2"/>
      <c r="L336" s="2"/>
      <c r="M336" s="2"/>
      <c r="N336" s="2"/>
      <c r="O336" s="2"/>
      <c r="P336" s="2"/>
      <c r="X336" s="155"/>
      <c r="AB336" s="2"/>
      <c r="AC336" s="2"/>
      <c r="AD336" s="2"/>
      <c r="AE336" s="2"/>
      <c r="AF336" s="2"/>
      <c r="AG336" s="2"/>
      <c r="AH336" s="2"/>
      <c r="AM336" s="2"/>
    </row>
    <row r="337" spans="3:39" x14ac:dyDescent="0.35">
      <c r="E337" s="104"/>
      <c r="F337" s="13"/>
      <c r="G337" s="49"/>
      <c r="H337" s="2"/>
      <c r="I337" s="2"/>
      <c r="J337" s="2"/>
      <c r="K337" s="2"/>
      <c r="L337" s="2"/>
      <c r="M337" s="2"/>
      <c r="N337" s="2"/>
      <c r="O337" s="2"/>
      <c r="P337" s="2"/>
      <c r="AM337" s="2"/>
    </row>
    <row r="338" spans="3:39" ht="16" thickBot="1" x14ac:dyDescent="0.4">
      <c r="E338" s="104" t="s">
        <v>82</v>
      </c>
      <c r="F338" s="13"/>
      <c r="G338" s="13"/>
      <c r="H338" s="9" t="s">
        <v>3</v>
      </c>
      <c r="I338" s="9" t="s">
        <v>4</v>
      </c>
      <c r="J338" s="9" t="s">
        <v>5</v>
      </c>
      <c r="K338" s="9" t="s">
        <v>6</v>
      </c>
      <c r="L338" s="9" t="s">
        <v>7</v>
      </c>
      <c r="M338" s="9" t="s">
        <v>8</v>
      </c>
      <c r="N338" s="9" t="s">
        <v>9</v>
      </c>
      <c r="O338" s="9" t="s">
        <v>10</v>
      </c>
      <c r="P338" s="44" t="s">
        <v>139</v>
      </c>
      <c r="Z338" s="13"/>
      <c r="AA338" s="13"/>
      <c r="AB338" s="9" t="s">
        <v>3</v>
      </c>
      <c r="AC338" s="9" t="s">
        <v>4</v>
      </c>
      <c r="AD338" s="9" t="s">
        <v>5</v>
      </c>
      <c r="AE338" s="9" t="s">
        <v>6</v>
      </c>
      <c r="AF338" s="9" t="s">
        <v>7</v>
      </c>
      <c r="AG338" s="9" t="s">
        <v>8</v>
      </c>
      <c r="AH338" s="9" t="s">
        <v>9</v>
      </c>
      <c r="AI338" s="9" t="s">
        <v>10</v>
      </c>
      <c r="AJ338" s="44" t="s">
        <v>139</v>
      </c>
      <c r="AM338" s="2"/>
    </row>
    <row r="339" spans="3:39" x14ac:dyDescent="0.35">
      <c r="E339" s="104"/>
      <c r="F339" s="13"/>
      <c r="G339" s="49" t="s">
        <v>77</v>
      </c>
      <c r="H339" s="13">
        <f>AVERAGE(H302,H304,H306,H310,H308)</f>
        <v>3.8061920000000002</v>
      </c>
      <c r="I339" s="13">
        <f t="shared" ref="I339:P339" si="273">AVERAGE(I302,I304,I306,I310,I308)</f>
        <v>3.9584299999999999</v>
      </c>
      <c r="J339" s="13">
        <f t="shared" si="273"/>
        <v>0.49044251078256779</v>
      </c>
      <c r="K339" s="13">
        <f t="shared" si="273"/>
        <v>0.50955748921743227</v>
      </c>
      <c r="L339" s="13">
        <f t="shared" si="273"/>
        <v>0.26313160530523744</v>
      </c>
      <c r="M339" s="13">
        <f t="shared" si="273"/>
        <v>0.12907195782611122</v>
      </c>
      <c r="N339" s="13">
        <f t="shared" si="273"/>
        <v>7.7646220000000001</v>
      </c>
      <c r="O339" s="13">
        <f t="shared" si="273"/>
        <v>29.8</v>
      </c>
      <c r="P339" s="13">
        <f t="shared" si="273"/>
        <v>7.8274686268577343</v>
      </c>
      <c r="Y339" s="104" t="s">
        <v>432</v>
      </c>
      <c r="Z339" s="13"/>
      <c r="AA339" s="49" t="s">
        <v>77</v>
      </c>
      <c r="AB339" s="13">
        <f>AVERAGE(AB314:AB324)</f>
        <v>4.0869572727272745</v>
      </c>
      <c r="AC339" s="13">
        <f t="shared" ref="AC339:AJ339" si="274">AVERAGE(AC314:AC324)</f>
        <v>7.2173763636363617</v>
      </c>
      <c r="AD339" s="13">
        <f t="shared" si="274"/>
        <v>0.38850474196370965</v>
      </c>
      <c r="AE339" s="13">
        <f t="shared" si="274"/>
        <v>0.61149525803629035</v>
      </c>
      <c r="AF339" s="13">
        <f t="shared" si="274"/>
        <v>0.24735070809646628</v>
      </c>
      <c r="AG339" s="13">
        <f t="shared" si="274"/>
        <v>9.5235292467939991E-2</v>
      </c>
      <c r="AH339" s="13">
        <f t="shared" si="274"/>
        <v>11.304333636363635</v>
      </c>
      <c r="AI339" s="13">
        <f t="shared" si="274"/>
        <v>34.18181818181818</v>
      </c>
      <c r="AJ339" s="13">
        <f t="shared" si="274"/>
        <v>8.4036762311207127</v>
      </c>
      <c r="AM339" s="2"/>
    </row>
    <row r="340" spans="3:39" x14ac:dyDescent="0.35">
      <c r="E340" s="104"/>
      <c r="F340" s="13"/>
      <c r="G340" s="49" t="s">
        <v>94</v>
      </c>
      <c r="H340" s="2">
        <f>_xlfn.STDEV.S(H302,H304,H306,H310,H308)</f>
        <v>0.16350473714849989</v>
      </c>
      <c r="I340" s="2">
        <f t="shared" ref="I340:P340" si="275">_xlfn.STDEV.S(I302,I304,I306,I310,I308)</f>
        <v>0.25385133444597019</v>
      </c>
      <c r="J340" s="2">
        <f t="shared" si="275"/>
        <v>1.0563648956816156E-2</v>
      </c>
      <c r="K340" s="2">
        <f t="shared" si="275"/>
        <v>1.0563648956816165E-2</v>
      </c>
      <c r="L340" s="2">
        <f t="shared" si="275"/>
        <v>1.1699947015218724E-2</v>
      </c>
      <c r="M340" s="2">
        <f t="shared" si="275"/>
        <v>6.9854445741550936E-3</v>
      </c>
      <c r="N340" s="2">
        <f t="shared" si="275"/>
        <v>0.39281712630688614</v>
      </c>
      <c r="O340" s="2">
        <f t="shared" si="275"/>
        <v>2.0493901531919199</v>
      </c>
      <c r="P340" s="2">
        <f t="shared" si="275"/>
        <v>0.36454709287391029</v>
      </c>
      <c r="Y340" s="104"/>
      <c r="Z340" s="13"/>
      <c r="AA340" s="49" t="s">
        <v>94</v>
      </c>
      <c r="AB340" s="2">
        <f>_xlfn.STDEV.S(AB314:AB324)</f>
        <v>0.43924071450836316</v>
      </c>
      <c r="AC340" s="2">
        <f t="shared" ref="AC340:AJ340" si="276">_xlfn.STDEV.S(AC314:AC324)</f>
        <v>3.1929710881850246</v>
      </c>
      <c r="AD340" s="2">
        <f t="shared" si="276"/>
        <v>0.11735033638763448</v>
      </c>
      <c r="AE340" s="2">
        <f t="shared" si="276"/>
        <v>0.11735033638763401</v>
      </c>
      <c r="AF340" s="2">
        <f t="shared" si="276"/>
        <v>2.7443634089056663E-2</v>
      </c>
      <c r="AG340" s="2">
        <f t="shared" si="276"/>
        <v>2.6793707063101229E-2</v>
      </c>
      <c r="AH340" s="2">
        <f t="shared" si="276"/>
        <v>3.2047108469634917</v>
      </c>
      <c r="AI340" s="2">
        <f t="shared" si="276"/>
        <v>2.3159525823376357</v>
      </c>
      <c r="AJ340" s="2">
        <f t="shared" si="276"/>
        <v>0.49151563968318779</v>
      </c>
      <c r="AM340" s="2"/>
    </row>
    <row r="341" spans="3:39" x14ac:dyDescent="0.35">
      <c r="E341" s="104"/>
      <c r="F341" s="13"/>
      <c r="G341" s="49" t="s">
        <v>95</v>
      </c>
      <c r="H341" s="2">
        <f>H340/(SQRT(COUNT(H302,H304,H306,H310,H308)))</f>
        <v>7.312154138145617E-2</v>
      </c>
      <c r="I341" s="2">
        <f t="shared" ref="I341:P341" si="277">I340/(SQRT(COUNT(I302,I304,I306,I310,I308)))</f>
        <v>0.11352576800004464</v>
      </c>
      <c r="J341" s="2">
        <f t="shared" si="277"/>
        <v>4.7242074315771328E-3</v>
      </c>
      <c r="K341" s="2">
        <f t="shared" si="277"/>
        <v>4.7242074315771362E-3</v>
      </c>
      <c r="L341" s="2">
        <f t="shared" si="277"/>
        <v>5.2323753718349665E-3</v>
      </c>
      <c r="M341" s="2">
        <f t="shared" si="277"/>
        <v>3.1239857841735717E-3</v>
      </c>
      <c r="N341" s="2">
        <f t="shared" si="277"/>
        <v>0.17567315942966366</v>
      </c>
      <c r="O341" s="2">
        <f t="shared" si="277"/>
        <v>0.91651513899116799</v>
      </c>
      <c r="P341" s="2">
        <f t="shared" si="277"/>
        <v>0.16303041613319852</v>
      </c>
      <c r="X341" s="155"/>
      <c r="Y341" s="104"/>
      <c r="Z341" s="13"/>
      <c r="AA341" s="49" t="s">
        <v>95</v>
      </c>
      <c r="AB341" s="2">
        <f t="shared" ref="AB341:AJ341" si="278">AB340/(SQRT(COUNT(AB314:AB324)))</f>
        <v>0.13243605842471418</v>
      </c>
      <c r="AC341" s="2">
        <f t="shared" si="278"/>
        <v>0.96271700599659182</v>
      </c>
      <c r="AD341" s="2">
        <f t="shared" si="278"/>
        <v>3.5382457710888535E-2</v>
      </c>
      <c r="AE341" s="2">
        <f t="shared" si="278"/>
        <v>3.5382457710888389E-2</v>
      </c>
      <c r="AF341" s="2">
        <f t="shared" si="278"/>
        <v>8.2745670142916235E-3</v>
      </c>
      <c r="AG341" s="2">
        <f t="shared" si="278"/>
        <v>8.0786066428183735E-3</v>
      </c>
      <c r="AH341" s="2">
        <f t="shared" si="278"/>
        <v>0.96625667645090607</v>
      </c>
      <c r="AI341" s="2">
        <f t="shared" si="278"/>
        <v>0.69828597707896434</v>
      </c>
      <c r="AJ341" s="2">
        <f t="shared" si="278"/>
        <v>0.14819754140187755</v>
      </c>
      <c r="AM341" s="2"/>
    </row>
    <row r="342" spans="3:39" x14ac:dyDescent="0.35">
      <c r="E342" s="104"/>
      <c r="F342" s="13"/>
      <c r="G342" s="49"/>
      <c r="H342" s="2"/>
      <c r="I342" s="2"/>
      <c r="J342" s="2"/>
      <c r="K342" s="2"/>
      <c r="L342" s="2"/>
      <c r="M342" s="2"/>
      <c r="N342" s="2"/>
      <c r="O342" s="2"/>
      <c r="P342" s="2"/>
      <c r="X342" s="263"/>
      <c r="Y342" s="104"/>
      <c r="Z342" s="13"/>
      <c r="AA342" s="49"/>
      <c r="AB342" s="2"/>
      <c r="AC342" s="2"/>
      <c r="AD342" s="2"/>
      <c r="AE342" s="2"/>
      <c r="AF342" s="2"/>
      <c r="AG342" s="2"/>
      <c r="AH342" s="2"/>
      <c r="AI342" s="2"/>
      <c r="AJ342" s="2"/>
      <c r="AM342" s="2"/>
    </row>
    <row r="343" spans="3:39" x14ac:dyDescent="0.35">
      <c r="C343" s="2"/>
      <c r="E343" s="104"/>
      <c r="X343" s="263"/>
      <c r="Y343" s="104"/>
      <c r="Z343" s="13"/>
      <c r="AA343" s="49"/>
      <c r="AB343" s="2"/>
      <c r="AC343" s="2"/>
      <c r="AD343" s="2"/>
      <c r="AE343" s="2"/>
      <c r="AF343" s="2"/>
      <c r="AG343" s="2"/>
      <c r="AH343" s="2"/>
      <c r="AI343" s="2"/>
      <c r="AJ343" s="2"/>
      <c r="AM343" s="2"/>
    </row>
    <row r="344" spans="3:39" ht="16" thickBot="1" x14ac:dyDescent="0.4">
      <c r="E344" s="104"/>
      <c r="X344" s="263"/>
      <c r="Y344" s="104" t="s">
        <v>81</v>
      </c>
      <c r="Z344" s="13"/>
      <c r="AA344" s="13"/>
      <c r="AB344" s="9" t="s">
        <v>3</v>
      </c>
      <c r="AC344" s="9" t="s">
        <v>4</v>
      </c>
      <c r="AD344" s="9" t="s">
        <v>5</v>
      </c>
      <c r="AE344" s="9" t="s">
        <v>6</v>
      </c>
      <c r="AF344" s="9" t="s">
        <v>7</v>
      </c>
      <c r="AG344" s="9" t="s">
        <v>8</v>
      </c>
      <c r="AH344" s="9" t="s">
        <v>9</v>
      </c>
      <c r="AI344" s="9" t="s">
        <v>10</v>
      </c>
      <c r="AJ344" s="44" t="s">
        <v>139</v>
      </c>
      <c r="AM344" s="2"/>
    </row>
    <row r="345" spans="3:39" ht="16" thickBot="1" x14ac:dyDescent="0.4">
      <c r="E345" s="104"/>
      <c r="G345" s="13"/>
      <c r="H345" s="9" t="s">
        <v>3</v>
      </c>
      <c r="I345" s="9" t="s">
        <v>4</v>
      </c>
      <c r="J345" s="9" t="s">
        <v>5</v>
      </c>
      <c r="K345" s="9" t="s">
        <v>6</v>
      </c>
      <c r="L345" s="9" t="s">
        <v>7</v>
      </c>
      <c r="M345" s="9" t="s">
        <v>8</v>
      </c>
      <c r="N345" s="9" t="s">
        <v>9</v>
      </c>
      <c r="O345" s="9" t="s">
        <v>10</v>
      </c>
      <c r="P345" s="44" t="s">
        <v>139</v>
      </c>
      <c r="X345" s="263"/>
      <c r="Y345" s="104"/>
      <c r="Z345" s="13"/>
      <c r="AA345" s="49" t="s">
        <v>77</v>
      </c>
      <c r="AB345" s="13">
        <f>AVERAGE(AB314,AB316,AB317,AB319,AB321,AB323)</f>
        <v>4.0287133333333331</v>
      </c>
      <c r="AC345" s="13">
        <f t="shared" ref="AC345:AJ345" si="279">AVERAGE(AC314,AC316,AC317,AC319,AC321,AC323)</f>
        <v>9.8282383333333314</v>
      </c>
      <c r="AD345" s="13">
        <f t="shared" si="279"/>
        <v>0.29216535111767461</v>
      </c>
      <c r="AE345" s="13">
        <f t="shared" si="279"/>
        <v>0.70783464888232539</v>
      </c>
      <c r="AF345" s="13">
        <f t="shared" si="279"/>
        <v>0.24972905157340639</v>
      </c>
      <c r="AG345" s="13">
        <f t="shared" si="279"/>
        <v>7.3065616811335929E-2</v>
      </c>
      <c r="AH345" s="13">
        <f t="shared" si="279"/>
        <v>13.856951666666665</v>
      </c>
      <c r="AI345" s="13">
        <f t="shared" si="279"/>
        <v>33.5</v>
      </c>
      <c r="AJ345" s="13">
        <f t="shared" si="279"/>
        <v>8.3414240818083254</v>
      </c>
      <c r="AM345" s="2"/>
    </row>
    <row r="346" spans="3:39" x14ac:dyDescent="0.35">
      <c r="E346" s="104" t="s">
        <v>410</v>
      </c>
      <c r="G346" s="49" t="s">
        <v>77</v>
      </c>
      <c r="H346" s="13">
        <f t="shared" ref="H346:P346" si="280">AVERAGE(H312:H323)</f>
        <v>3.2269866666666651</v>
      </c>
      <c r="I346" s="13">
        <f t="shared" si="280"/>
        <v>6.2620275000000021</v>
      </c>
      <c r="J346" s="13">
        <f t="shared" si="280"/>
        <v>0.3577866765669433</v>
      </c>
      <c r="K346" s="13">
        <f t="shared" si="280"/>
        <v>0.6422133234330567</v>
      </c>
      <c r="L346" s="13">
        <f t="shared" si="280"/>
        <v>0.31277647101221678</v>
      </c>
      <c r="M346" s="13">
        <f t="shared" si="280"/>
        <v>0.11142522301816393</v>
      </c>
      <c r="N346" s="13">
        <f t="shared" si="280"/>
        <v>9.4890141666666672</v>
      </c>
      <c r="O346" s="13">
        <f t="shared" si="280"/>
        <v>23.333333333333332</v>
      </c>
      <c r="P346" s="13">
        <f t="shared" si="280"/>
        <v>7.2759041017893722</v>
      </c>
      <c r="X346" s="263"/>
      <c r="Y346" s="104"/>
      <c r="Z346" s="13"/>
      <c r="AA346" s="49" t="s">
        <v>94</v>
      </c>
      <c r="AB346" s="2">
        <f>_xlfn.STDEV.S(AB314,AB316,AB317,AB319,AB321,AB323)</f>
        <v>0.34388302485971511</v>
      </c>
      <c r="AC346" s="2">
        <f t="shared" ref="AC346:AJ346" si="281">_xlfn.STDEV.S(AC314,AC316,AC317,AC319,AC321,AC323)</f>
        <v>1.4697296181871997</v>
      </c>
      <c r="AD346" s="2">
        <f t="shared" si="281"/>
        <v>1.7634301089477913E-2</v>
      </c>
      <c r="AE346" s="2">
        <f t="shared" si="281"/>
        <v>1.7634301089477923E-2</v>
      </c>
      <c r="AF346" s="2">
        <f t="shared" si="281"/>
        <v>2.1283350013329868E-2</v>
      </c>
      <c r="AG346" s="2">
        <f t="shared" si="281"/>
        <v>8.5896221835359849E-3</v>
      </c>
      <c r="AH346" s="2">
        <f t="shared" si="281"/>
        <v>1.7543046803952516</v>
      </c>
      <c r="AI346" s="2">
        <f t="shared" si="281"/>
        <v>1.6431676725154984</v>
      </c>
      <c r="AJ346" s="2">
        <f t="shared" si="281"/>
        <v>0.42784742162080358</v>
      </c>
      <c r="AM346" s="2"/>
    </row>
    <row r="347" spans="3:39" x14ac:dyDescent="0.35">
      <c r="G347" s="49" t="s">
        <v>94</v>
      </c>
      <c r="H347" s="2">
        <f t="shared" ref="H347:P347" si="282">_xlfn.STDEV.S(H312:H323)</f>
        <v>0.32361878115330345</v>
      </c>
      <c r="I347" s="2">
        <f t="shared" si="282"/>
        <v>2.2495608913948466</v>
      </c>
      <c r="J347" s="2">
        <f t="shared" si="282"/>
        <v>8.8567705599725058E-2</v>
      </c>
      <c r="K347" s="2">
        <f t="shared" si="282"/>
        <v>8.8567705599725169E-2</v>
      </c>
      <c r="L347" s="2">
        <f t="shared" si="282"/>
        <v>3.151357212955145E-2</v>
      </c>
      <c r="M347" s="2">
        <f t="shared" si="282"/>
        <v>2.7200982028431797E-2</v>
      </c>
      <c r="N347" s="2">
        <f t="shared" si="282"/>
        <v>2.3098162807833731</v>
      </c>
      <c r="O347" s="2">
        <f t="shared" si="282"/>
        <v>1.6143297699232975</v>
      </c>
      <c r="P347" s="2">
        <f t="shared" si="282"/>
        <v>0.66100749577445306</v>
      </c>
      <c r="X347" s="263"/>
      <c r="Y347" s="104"/>
      <c r="Z347" s="13"/>
      <c r="AA347" s="49" t="s">
        <v>95</v>
      </c>
      <c r="AB347" s="2">
        <f>AB346/(SQRT(COUNT(AB314,AB316,AB317,AB319,AB321,AB323)))</f>
        <v>0.14038965701852082</v>
      </c>
      <c r="AC347" s="2">
        <f t="shared" ref="AC347:AJ347" si="283">AC346/(SQRT(COUNT(AC314,AC316,AC317,AC319,AC321,AC323)))</f>
        <v>0.6000146040690304</v>
      </c>
      <c r="AD347" s="2">
        <f t="shared" si="283"/>
        <v>7.1991732733043953E-3</v>
      </c>
      <c r="AE347" s="2">
        <f t="shared" si="283"/>
        <v>7.1991732733043996E-3</v>
      </c>
      <c r="AF347" s="2">
        <f t="shared" si="283"/>
        <v>8.6888912582859558E-3</v>
      </c>
      <c r="AG347" s="2">
        <f t="shared" si="283"/>
        <v>3.5066985721590406E-3</v>
      </c>
      <c r="AH347" s="2">
        <f t="shared" si="283"/>
        <v>0.71619188672411505</v>
      </c>
      <c r="AI347" s="2">
        <f t="shared" si="283"/>
        <v>0.67082039324993703</v>
      </c>
      <c r="AJ347" s="2">
        <f t="shared" si="283"/>
        <v>0.17466797845606469</v>
      </c>
      <c r="AM347" s="2"/>
    </row>
    <row r="348" spans="3:39" x14ac:dyDescent="0.35">
      <c r="G348" s="49" t="s">
        <v>95</v>
      </c>
      <c r="H348" s="2">
        <f t="shared" ref="H348:P348" si="284">H347/(SQRT(COUNT(H312:H323)))</f>
        <v>9.3420695206839169E-2</v>
      </c>
      <c r="I348" s="2">
        <f t="shared" si="284"/>
        <v>0.64939229310263458</v>
      </c>
      <c r="J348" s="2">
        <f t="shared" si="284"/>
        <v>2.5567294334754395E-2</v>
      </c>
      <c r="K348" s="2">
        <f t="shared" si="284"/>
        <v>2.5567294334754426E-2</v>
      </c>
      <c r="L348" s="2">
        <f t="shared" si="284"/>
        <v>9.097184676061609E-3</v>
      </c>
      <c r="M348" s="2">
        <f t="shared" si="284"/>
        <v>7.852247148168635E-3</v>
      </c>
      <c r="N348" s="2">
        <f t="shared" si="284"/>
        <v>0.66678652574443031</v>
      </c>
      <c r="O348" s="2">
        <f t="shared" si="284"/>
        <v>0.46601686361302125</v>
      </c>
      <c r="P348" s="2">
        <f t="shared" si="284"/>
        <v>0.19081642781087046</v>
      </c>
      <c r="X348" s="263"/>
      <c r="Y348" s="104"/>
      <c r="Z348" s="13"/>
      <c r="AA348" s="49"/>
      <c r="AB348" s="2"/>
      <c r="AC348" s="2"/>
      <c r="AD348" s="2"/>
      <c r="AE348" s="2"/>
      <c r="AF348" s="2"/>
      <c r="AG348" s="2"/>
      <c r="AH348" s="2"/>
      <c r="AI348" s="2"/>
      <c r="AJ348" s="2"/>
      <c r="AM348" s="2"/>
    </row>
    <row r="349" spans="3:39" x14ac:dyDescent="0.35">
      <c r="X349" s="263"/>
      <c r="Y349" s="104"/>
      <c r="Z349" s="13"/>
      <c r="AA349" s="49"/>
      <c r="AB349" s="2"/>
      <c r="AC349" s="2"/>
      <c r="AD349" s="2"/>
      <c r="AE349" s="2"/>
      <c r="AF349" s="2"/>
      <c r="AG349" s="2"/>
      <c r="AH349" s="2"/>
      <c r="AI349" s="2"/>
      <c r="AJ349" s="2"/>
      <c r="AM349" s="2"/>
    </row>
    <row r="350" spans="3:39" ht="16" thickBot="1" x14ac:dyDescent="0.4">
      <c r="X350" s="263"/>
      <c r="Y350" s="104" t="s">
        <v>82</v>
      </c>
      <c r="Z350" s="13"/>
      <c r="AA350" s="13"/>
      <c r="AB350" s="9" t="s">
        <v>3</v>
      </c>
      <c r="AC350" s="9" t="s">
        <v>4</v>
      </c>
      <c r="AD350" s="9" t="s">
        <v>5</v>
      </c>
      <c r="AE350" s="9" t="s">
        <v>6</v>
      </c>
      <c r="AF350" s="9" t="s">
        <v>7</v>
      </c>
      <c r="AG350" s="9" t="s">
        <v>8</v>
      </c>
      <c r="AH350" s="9" t="s">
        <v>9</v>
      </c>
      <c r="AI350" s="9" t="s">
        <v>10</v>
      </c>
      <c r="AJ350" s="44" t="s">
        <v>139</v>
      </c>
      <c r="AM350" s="2"/>
    </row>
    <row r="351" spans="3:39" ht="16" thickBot="1" x14ac:dyDescent="0.4">
      <c r="E351" s="104" t="s">
        <v>81</v>
      </c>
      <c r="F351" s="13"/>
      <c r="G351" s="13"/>
      <c r="H351" s="9" t="s">
        <v>3</v>
      </c>
      <c r="I351" s="9" t="s">
        <v>4</v>
      </c>
      <c r="J351" s="9" t="s">
        <v>5</v>
      </c>
      <c r="K351" s="9" t="s">
        <v>6</v>
      </c>
      <c r="L351" s="9" t="s">
        <v>7</v>
      </c>
      <c r="M351" s="9" t="s">
        <v>8</v>
      </c>
      <c r="N351" s="9" t="s">
        <v>9</v>
      </c>
      <c r="O351" s="9" t="s">
        <v>10</v>
      </c>
      <c r="P351" s="44" t="s">
        <v>139</v>
      </c>
      <c r="X351" s="263"/>
      <c r="Y351" s="104"/>
      <c r="Z351" s="13"/>
      <c r="AA351" s="49" t="s">
        <v>77</v>
      </c>
      <c r="AB351" s="13">
        <f>AVERAGE(AB318,AB320,AB322,AB315,AB324)</f>
        <v>4.1568500000000039</v>
      </c>
      <c r="AC351" s="13">
        <f t="shared" ref="AC351:AJ351" si="285">AVERAGE(AC318,AC320,AC322,AC315,AC324)</f>
        <v>4.0843419999999977</v>
      </c>
      <c r="AD351" s="13">
        <f t="shared" si="285"/>
        <v>0.50411201097895175</v>
      </c>
      <c r="AE351" s="13">
        <f t="shared" si="285"/>
        <v>0.49588798902104825</v>
      </c>
      <c r="AF351" s="13">
        <f t="shared" si="285"/>
        <v>0.24449669592413806</v>
      </c>
      <c r="AG351" s="13">
        <f t="shared" si="285"/>
        <v>0.12183890325586492</v>
      </c>
      <c r="AH351" s="13">
        <f t="shared" si="285"/>
        <v>8.2411920000000016</v>
      </c>
      <c r="AI351" s="13">
        <f t="shared" si="285"/>
        <v>35</v>
      </c>
      <c r="AJ351" s="13">
        <f t="shared" si="285"/>
        <v>8.4783788102955775</v>
      </c>
      <c r="AM351" s="2"/>
    </row>
    <row r="352" spans="3:39" x14ac:dyDescent="0.35">
      <c r="E352" s="104"/>
      <c r="F352" s="13"/>
      <c r="G352" s="49" t="s">
        <v>77</v>
      </c>
      <c r="H352" s="13">
        <f>AVERAGE(H321,H323,H319,H317,H315,H313)</f>
        <v>3.2715499999999929</v>
      </c>
      <c r="I352" s="13">
        <f t="shared" ref="I352:P352" si="286">AVERAGE(I321,I323,I319,I317,I315,I313)</f>
        <v>8.3701100000000022</v>
      </c>
      <c r="J352" s="13">
        <f t="shared" si="286"/>
        <v>0.28066263391979085</v>
      </c>
      <c r="K352" s="13">
        <f t="shared" si="286"/>
        <v>0.71933736608020915</v>
      </c>
      <c r="L352" s="13">
        <f t="shared" si="286"/>
        <v>0.30856287928572734</v>
      </c>
      <c r="M352" s="13">
        <f t="shared" si="286"/>
        <v>8.6145172131270875E-2</v>
      </c>
      <c r="N352" s="13">
        <f t="shared" si="286"/>
        <v>11.641659999999995</v>
      </c>
      <c r="O352" s="13">
        <f t="shared" si="286"/>
        <v>22.833333333333332</v>
      </c>
      <c r="P352" s="13">
        <f t="shared" si="286"/>
        <v>7.0162246676287205</v>
      </c>
      <c r="X352" s="263"/>
      <c r="Y352" s="104"/>
      <c r="Z352" s="13"/>
      <c r="AA352" s="49" t="s">
        <v>94</v>
      </c>
      <c r="AB352" s="2">
        <f>_xlfn.STDEV.S(AB318,AB320,AB322,AB315,AB324)</f>
        <v>0.56860954824026144</v>
      </c>
      <c r="AC352" s="2">
        <f t="shared" ref="AC352:AJ352" si="287">_xlfn.STDEV.S(AC318,AC320,AC322,AC315,AC324)</f>
        <v>0.54106260716298538</v>
      </c>
      <c r="AD352" s="2">
        <f t="shared" si="287"/>
        <v>5.8402266674792348E-2</v>
      </c>
      <c r="AE352" s="2">
        <f t="shared" si="287"/>
        <v>5.8402266674792348E-2</v>
      </c>
      <c r="AF352" s="2">
        <f t="shared" si="287"/>
        <v>3.6027626717652854E-2</v>
      </c>
      <c r="AG352" s="2">
        <f t="shared" si="287"/>
        <v>8.9776345501214883E-3</v>
      </c>
      <c r="AH352" s="2">
        <f t="shared" si="287"/>
        <v>0.57106376488970201</v>
      </c>
      <c r="AI352" s="2">
        <f t="shared" si="287"/>
        <v>2.9154759474226504</v>
      </c>
      <c r="AJ352" s="2">
        <f t="shared" si="287"/>
        <v>0.6019665277972126</v>
      </c>
      <c r="AM352" s="2"/>
    </row>
    <row r="353" spans="3:39" x14ac:dyDescent="0.35">
      <c r="E353" s="104"/>
      <c r="F353" s="13"/>
      <c r="G353" s="49" t="s">
        <v>94</v>
      </c>
      <c r="H353" s="2">
        <f>_xlfn.STDEV.S(H321,H323,H319,H317,H315,H313)</f>
        <v>0.34726293006883929</v>
      </c>
      <c r="I353" s="2">
        <f t="shared" ref="I353:P353" si="288">_xlfn.STDEV.S(I321,I323,I319,I317,I315,I313)</f>
        <v>0.43814113269584487</v>
      </c>
      <c r="J353" s="2">
        <f t="shared" si="288"/>
        <v>1.955190441664106E-2</v>
      </c>
      <c r="K353" s="2">
        <f t="shared" si="288"/>
        <v>1.9551904416641064E-2</v>
      </c>
      <c r="L353" s="2">
        <f t="shared" si="288"/>
        <v>3.279015227693198E-2</v>
      </c>
      <c r="M353" s="2">
        <f t="shared" si="288"/>
        <v>5.2551797237317469E-3</v>
      </c>
      <c r="N353" s="2">
        <f t="shared" si="288"/>
        <v>0.65642773357011508</v>
      </c>
      <c r="O353" s="2">
        <f t="shared" si="288"/>
        <v>1.4719601443879746</v>
      </c>
      <c r="P353" s="2">
        <f t="shared" si="288"/>
        <v>0.51078086151663316</v>
      </c>
      <c r="X353" s="263"/>
      <c r="Y353" s="104"/>
      <c r="Z353" s="13"/>
      <c r="AA353" s="49" t="s">
        <v>95</v>
      </c>
      <c r="AB353" s="2">
        <f>AB352/(SQRT(COUNT(AB318,AB320,AB322,AB315,AB324)))</f>
        <v>0.25428992050413407</v>
      </c>
      <c r="AC353" s="2">
        <f t="shared" ref="AC353:AJ353" si="289">AC352/(SQRT(COUNT(AC318,AC320,AC322,AC315,AC324)))</f>
        <v>0.24197055393993996</v>
      </c>
      <c r="AD353" s="2">
        <f t="shared" si="289"/>
        <v>2.6118287664981258E-2</v>
      </c>
      <c r="AE353" s="2">
        <f t="shared" si="289"/>
        <v>2.6118287664981258E-2</v>
      </c>
      <c r="AF353" s="2">
        <f t="shared" si="289"/>
        <v>1.6112044481731879E-2</v>
      </c>
      <c r="AG353" s="2">
        <f t="shared" si="289"/>
        <v>4.014920226244478E-3</v>
      </c>
      <c r="AH353" s="2">
        <f t="shared" si="289"/>
        <v>0.25538747955606628</v>
      </c>
      <c r="AI353" s="2">
        <f t="shared" si="289"/>
        <v>1.3038404810405297</v>
      </c>
      <c r="AJ353" s="2">
        <f t="shared" si="289"/>
        <v>0.2692076152668168</v>
      </c>
      <c r="AM353" s="2"/>
    </row>
    <row r="354" spans="3:39" x14ac:dyDescent="0.35">
      <c r="E354" s="104"/>
      <c r="F354" s="13"/>
      <c r="G354" s="49" t="s">
        <v>95</v>
      </c>
      <c r="H354" s="2">
        <f>H353/(SQRT(COUNT(H321,H323,H319,H317,H315,H313)))</f>
        <v>0.14176949754207566</v>
      </c>
      <c r="I354" s="2">
        <f t="shared" ref="I354:P354" si="290">I353/(SQRT(COUNT(I321,I323,I319,I317,I315,I313)))</f>
        <v>0.17887036840497925</v>
      </c>
      <c r="J354" s="2">
        <f t="shared" si="290"/>
        <v>7.9820315534065659E-3</v>
      </c>
      <c r="K354" s="2">
        <f t="shared" si="290"/>
        <v>7.9820315534065676E-3</v>
      </c>
      <c r="L354" s="2">
        <f t="shared" si="290"/>
        <v>1.3386523611107228E-2</v>
      </c>
      <c r="M354" s="2">
        <f t="shared" si="290"/>
        <v>2.1454181382938417E-3</v>
      </c>
      <c r="N354" s="2">
        <f t="shared" si="290"/>
        <v>0.26798550004306765</v>
      </c>
      <c r="O354" s="2">
        <f t="shared" si="290"/>
        <v>0.60092521257733167</v>
      </c>
      <c r="P354" s="2">
        <f t="shared" si="290"/>
        <v>0.20852541351582465</v>
      </c>
      <c r="X354" s="263"/>
      <c r="Y354" s="104"/>
      <c r="Z354" s="13"/>
      <c r="AA354" s="49"/>
      <c r="AB354" s="2"/>
      <c r="AC354" s="2"/>
      <c r="AD354" s="2"/>
      <c r="AE354" s="2"/>
      <c r="AF354" s="2"/>
      <c r="AG354" s="2"/>
      <c r="AH354" s="2"/>
      <c r="AI354" s="2"/>
      <c r="AJ354" s="2"/>
      <c r="AM354" s="2"/>
    </row>
    <row r="355" spans="3:39" x14ac:dyDescent="0.35">
      <c r="E355" s="104"/>
      <c r="F355" s="13"/>
      <c r="G355" s="49"/>
      <c r="H355" s="2"/>
      <c r="I355" s="2"/>
      <c r="J355" s="2"/>
      <c r="K355" s="2"/>
      <c r="L355" s="2"/>
      <c r="M355" s="2"/>
      <c r="N355" s="2"/>
      <c r="O355" s="2"/>
      <c r="P355" s="2"/>
      <c r="X355" s="263"/>
      <c r="Y355" s="104"/>
      <c r="Z355" s="13"/>
      <c r="AA355" s="49"/>
      <c r="AB355" s="2"/>
      <c r="AC355" s="2"/>
      <c r="AD355" s="2"/>
      <c r="AE355" s="2"/>
      <c r="AF355" s="2"/>
      <c r="AG355" s="2"/>
      <c r="AH355" s="2"/>
      <c r="AI355" s="2"/>
      <c r="AJ355" s="2"/>
      <c r="AM355" s="2"/>
    </row>
    <row r="356" spans="3:39" x14ac:dyDescent="0.35">
      <c r="E356" s="104"/>
      <c r="F356" s="13"/>
      <c r="G356" s="49"/>
      <c r="H356" s="2"/>
      <c r="I356" s="2"/>
      <c r="J356" s="2"/>
      <c r="K356" s="2"/>
      <c r="L356" s="2"/>
      <c r="M356" s="2"/>
      <c r="N356" s="2"/>
      <c r="O356" s="2"/>
      <c r="P356" s="2"/>
      <c r="AM356" s="2"/>
    </row>
    <row r="357" spans="3:39" ht="16" thickBot="1" x14ac:dyDescent="0.4">
      <c r="E357" s="104" t="s">
        <v>82</v>
      </c>
      <c r="F357" s="13"/>
      <c r="G357" s="13"/>
      <c r="H357" s="9" t="s">
        <v>3</v>
      </c>
      <c r="I357" s="9" t="s">
        <v>4</v>
      </c>
      <c r="J357" s="9" t="s">
        <v>5</v>
      </c>
      <c r="K357" s="9" t="s">
        <v>6</v>
      </c>
      <c r="L357" s="9" t="s">
        <v>7</v>
      </c>
      <c r="M357" s="9" t="s">
        <v>8</v>
      </c>
      <c r="N357" s="9" t="s">
        <v>9</v>
      </c>
      <c r="O357" s="9" t="s">
        <v>10</v>
      </c>
      <c r="P357" s="44" t="s">
        <v>139</v>
      </c>
      <c r="Z357" s="13"/>
      <c r="AA357" s="13"/>
      <c r="AB357" s="9" t="s">
        <v>3</v>
      </c>
      <c r="AC357" s="9" t="s">
        <v>4</v>
      </c>
      <c r="AD357" s="9" t="s">
        <v>5</v>
      </c>
      <c r="AE357" s="9" t="s">
        <v>6</v>
      </c>
      <c r="AF357" s="9" t="s">
        <v>7</v>
      </c>
      <c r="AG357" s="9" t="s">
        <v>8</v>
      </c>
      <c r="AH357" s="9" t="s">
        <v>9</v>
      </c>
      <c r="AI357" s="9" t="s">
        <v>10</v>
      </c>
      <c r="AJ357" s="44" t="s">
        <v>139</v>
      </c>
      <c r="AM357" s="2"/>
    </row>
    <row r="358" spans="3:39" x14ac:dyDescent="0.35">
      <c r="E358" s="104"/>
      <c r="F358" s="13"/>
      <c r="G358" s="49" t="s">
        <v>77</v>
      </c>
      <c r="H358" s="13">
        <f>AVERAGE(H320,H322,H318,H316,H314,H312)</f>
        <v>3.1824233333333374</v>
      </c>
      <c r="I358" s="13">
        <f t="shared" ref="I358:P358" si="291">AVERAGE(I320,I322,I318,I316,I314,I312)</f>
        <v>4.1539450000000029</v>
      </c>
      <c r="J358" s="13">
        <f t="shared" si="291"/>
        <v>0.43491071921409569</v>
      </c>
      <c r="K358" s="13">
        <f t="shared" si="291"/>
        <v>0.56508928078590426</v>
      </c>
      <c r="L358" s="13">
        <f t="shared" si="291"/>
        <v>0.31699006273870611</v>
      </c>
      <c r="M358" s="13">
        <f t="shared" si="291"/>
        <v>0.13670527390505699</v>
      </c>
      <c r="N358" s="13">
        <f t="shared" si="291"/>
        <v>7.3363683333333398</v>
      </c>
      <c r="O358" s="13">
        <f t="shared" si="291"/>
        <v>23.833333333333332</v>
      </c>
      <c r="P358" s="13">
        <f t="shared" si="291"/>
        <v>7.5355835359500238</v>
      </c>
      <c r="Y358" s="104" t="s">
        <v>410</v>
      </c>
      <c r="Z358" s="13"/>
      <c r="AA358" s="49" t="s">
        <v>77</v>
      </c>
      <c r="AB358" s="13">
        <f t="shared" ref="AB358:AJ358" si="292">AVERAGE(AB325:AB334)</f>
        <v>4.4227959999999999</v>
      </c>
      <c r="AC358" s="13">
        <f t="shared" si="292"/>
        <v>6.7184079999999993</v>
      </c>
      <c r="AD358" s="13">
        <f t="shared" si="292"/>
        <v>0.41383161912134969</v>
      </c>
      <c r="AE358" s="13">
        <f t="shared" si="292"/>
        <v>0.58616838087865031</v>
      </c>
      <c r="AF358" s="13">
        <f t="shared" si="292"/>
        <v>0.22742389358802378</v>
      </c>
      <c r="AG358" s="13">
        <f t="shared" si="292"/>
        <v>9.3961542333371964E-2</v>
      </c>
      <c r="AH358" s="13">
        <f t="shared" si="292"/>
        <v>11.141203999999998</v>
      </c>
      <c r="AI358" s="13">
        <f t="shared" si="292"/>
        <v>37.6</v>
      </c>
      <c r="AJ358" s="13">
        <f t="shared" si="292"/>
        <v>8.5111738945095166</v>
      </c>
      <c r="AM358" s="2"/>
    </row>
    <row r="359" spans="3:39" x14ac:dyDescent="0.35">
      <c r="E359" s="104"/>
      <c r="F359" s="13"/>
      <c r="G359" s="49" t="s">
        <v>94</v>
      </c>
      <c r="H359" s="2">
        <f>_xlfn.STDEV.S(H320,H322,H318,H316,H314,H312)</f>
        <v>0.32410858351279181</v>
      </c>
      <c r="I359" s="2">
        <f t="shared" ref="I359:P359" si="293">_xlfn.STDEV.S(I320,I322,I318,I316,I314,I312)</f>
        <v>0.52493543651577101</v>
      </c>
      <c r="J359" s="2">
        <f t="shared" si="293"/>
        <v>5.0985925400508232E-2</v>
      </c>
      <c r="K359" s="2">
        <f t="shared" si="293"/>
        <v>5.0985925400508343E-2</v>
      </c>
      <c r="L359" s="2">
        <f t="shared" si="293"/>
        <v>3.2665378667440674E-2</v>
      </c>
      <c r="M359" s="2">
        <f t="shared" si="293"/>
        <v>8.145813804051159E-3</v>
      </c>
      <c r="N359" s="2">
        <f t="shared" si="293"/>
        <v>0.43050386954900621</v>
      </c>
      <c r="O359" s="2">
        <f t="shared" si="293"/>
        <v>1.7224014243685084</v>
      </c>
      <c r="P359" s="2">
        <f t="shared" si="293"/>
        <v>0.73383290460428807</v>
      </c>
      <c r="Y359" s="104"/>
      <c r="Z359" s="13"/>
      <c r="AA359" s="49" t="s">
        <v>94</v>
      </c>
      <c r="AB359" s="2">
        <f t="shared" ref="AB359:AJ359" si="294">_xlfn.STDEV.S(AB325:AB334)</f>
        <v>0.34400832429204425</v>
      </c>
      <c r="AC359" s="2">
        <f t="shared" si="294"/>
        <v>2.5646556093115778</v>
      </c>
      <c r="AD359" s="2">
        <f t="shared" si="294"/>
        <v>8.7194214676083098E-2</v>
      </c>
      <c r="AE359" s="2">
        <f t="shared" si="294"/>
        <v>8.7194214676082821E-2</v>
      </c>
      <c r="AF359" s="2">
        <f t="shared" si="294"/>
        <v>1.8912508035925948E-2</v>
      </c>
      <c r="AG359" s="2">
        <f t="shared" si="294"/>
        <v>2.0302388979541522E-2</v>
      </c>
      <c r="AH359" s="2">
        <f t="shared" si="294"/>
        <v>2.6326656899306022</v>
      </c>
      <c r="AI359" s="2">
        <f t="shared" si="294"/>
        <v>4.1686661868969237</v>
      </c>
      <c r="AJ359" s="2">
        <f t="shared" si="294"/>
        <v>0.77762297626973065</v>
      </c>
      <c r="AM359" s="2"/>
    </row>
    <row r="360" spans="3:39" x14ac:dyDescent="0.35">
      <c r="E360" s="104"/>
      <c r="F360" s="13"/>
      <c r="G360" s="49" t="s">
        <v>95</v>
      </c>
      <c r="H360" s="2">
        <f>H359/(SQRT(COUNT(H320,H322,H318,H316,H314,H312)))</f>
        <v>0.13231677514376144</v>
      </c>
      <c r="I360" s="2">
        <f t="shared" ref="I360:P360" si="295">I359/(SQRT(COUNT(I320,I322,I318,I316,I314,I312)))</f>
        <v>0.21430399456146523</v>
      </c>
      <c r="J360" s="2">
        <f t="shared" si="295"/>
        <v>2.0814916882475536E-2</v>
      </c>
      <c r="K360" s="2">
        <f t="shared" si="295"/>
        <v>2.0814916882475585E-2</v>
      </c>
      <c r="L360" s="2">
        <f t="shared" si="295"/>
        <v>1.3335584998337396E-2</v>
      </c>
      <c r="M360" s="2">
        <f t="shared" si="295"/>
        <v>3.3255145599408228E-3</v>
      </c>
      <c r="N360" s="2">
        <f t="shared" si="295"/>
        <v>0.1757524687814597</v>
      </c>
      <c r="O360" s="2">
        <f t="shared" si="295"/>
        <v>0.70316743699096629</v>
      </c>
      <c r="P360" s="2">
        <f t="shared" si="295"/>
        <v>0.29958602879083168</v>
      </c>
      <c r="Y360" s="104"/>
      <c r="Z360" s="13"/>
      <c r="AA360" s="49" t="s">
        <v>95</v>
      </c>
      <c r="AB360" s="2">
        <f t="shared" ref="AB360:AJ360" si="296">AB359/(SQRT(COUNT(AB325:AB334)))</f>
        <v>0.10878498388206907</v>
      </c>
      <c r="AC360" s="2">
        <f t="shared" si="296"/>
        <v>0.81101531393515247</v>
      </c>
      <c r="AD360" s="2">
        <f t="shared" si="296"/>
        <v>2.7573231716610341E-2</v>
      </c>
      <c r="AE360" s="2">
        <f t="shared" si="296"/>
        <v>2.7573231716610254E-2</v>
      </c>
      <c r="AF360" s="2">
        <f t="shared" si="296"/>
        <v>5.9806601659763573E-3</v>
      </c>
      <c r="AG360" s="2">
        <f t="shared" si="296"/>
        <v>6.4201791118052853E-3</v>
      </c>
      <c r="AH360" s="2">
        <f t="shared" si="296"/>
        <v>0.83252198979593162</v>
      </c>
      <c r="AI360" s="2">
        <f t="shared" si="296"/>
        <v>1.3182479955523443</v>
      </c>
      <c r="AJ360" s="2">
        <f t="shared" si="296"/>
        <v>0.24590597658914148</v>
      </c>
      <c r="AM360" s="2"/>
    </row>
    <row r="361" spans="3:39" x14ac:dyDescent="0.35">
      <c r="Y361" s="104"/>
      <c r="Z361" s="13"/>
      <c r="AA361" s="49"/>
      <c r="AB361" s="2"/>
      <c r="AC361" s="2"/>
      <c r="AD361" s="2"/>
      <c r="AE361" s="2"/>
      <c r="AF361" s="2"/>
      <c r="AG361" s="2"/>
      <c r="AH361" s="2"/>
      <c r="AI361" s="2"/>
      <c r="AJ361" s="2"/>
      <c r="AM361" s="2"/>
    </row>
    <row r="362" spans="3:39" x14ac:dyDescent="0.35">
      <c r="Y362" s="104"/>
      <c r="Z362" s="13"/>
      <c r="AA362" s="49"/>
      <c r="AB362" s="2"/>
      <c r="AC362" s="2"/>
      <c r="AD362" s="2"/>
      <c r="AE362" s="2"/>
      <c r="AF362" s="2"/>
      <c r="AG362" s="2"/>
      <c r="AH362" s="2"/>
      <c r="AI362" s="2"/>
      <c r="AJ362" s="2"/>
      <c r="AM362" s="2"/>
    </row>
    <row r="363" spans="3:39" ht="19" thickBot="1" x14ac:dyDescent="0.5">
      <c r="F363" s="1" t="s">
        <v>405</v>
      </c>
      <c r="G363" s="3"/>
      <c r="H363" s="3"/>
      <c r="I363" s="3"/>
      <c r="J363" s="3"/>
      <c r="K363" s="3"/>
      <c r="L363" s="3"/>
      <c r="M363" s="3"/>
      <c r="N363" s="3"/>
      <c r="O363" s="3"/>
      <c r="Y363" s="104" t="s">
        <v>81</v>
      </c>
      <c r="Z363" s="13"/>
      <c r="AA363" s="13"/>
      <c r="AB363" s="9" t="s">
        <v>3</v>
      </c>
      <c r="AC363" s="9" t="s">
        <v>4</v>
      </c>
      <c r="AD363" s="9" t="s">
        <v>5</v>
      </c>
      <c r="AE363" s="9" t="s">
        <v>6</v>
      </c>
      <c r="AF363" s="9" t="s">
        <v>7</v>
      </c>
      <c r="AG363" s="9" t="s">
        <v>8</v>
      </c>
      <c r="AH363" s="9" t="s">
        <v>9</v>
      </c>
      <c r="AI363" s="9" t="s">
        <v>10</v>
      </c>
      <c r="AJ363" s="44" t="s">
        <v>139</v>
      </c>
      <c r="AM363" s="2"/>
    </row>
    <row r="364" spans="3:39" ht="16" thickBot="1" x14ac:dyDescent="0.4">
      <c r="C364" s="204" t="s">
        <v>122</v>
      </c>
      <c r="D364" s="204" t="s">
        <v>406</v>
      </c>
      <c r="F364" s="9" t="s">
        <v>1</v>
      </c>
      <c r="G364" s="9" t="s">
        <v>2</v>
      </c>
      <c r="H364" s="9" t="s">
        <v>3</v>
      </c>
      <c r="I364" s="9" t="s">
        <v>4</v>
      </c>
      <c r="J364" s="9" t="s">
        <v>5</v>
      </c>
      <c r="K364" s="9" t="s">
        <v>6</v>
      </c>
      <c r="L364" s="9" t="s">
        <v>7</v>
      </c>
      <c r="M364" s="9" t="s">
        <v>8</v>
      </c>
      <c r="N364" s="9" t="s">
        <v>9</v>
      </c>
      <c r="O364" s="9" t="s">
        <v>10</v>
      </c>
      <c r="P364" s="44" t="s">
        <v>139</v>
      </c>
      <c r="R364" s="44" t="s">
        <v>138</v>
      </c>
      <c r="Y364" s="104"/>
      <c r="Z364" s="13"/>
      <c r="AA364" s="49" t="s">
        <v>77</v>
      </c>
      <c r="AB364" s="13">
        <f>AVERAGE(AB325:AB326,AB328,AB330,AB332,AB334)</f>
        <v>4.4577049999999945</v>
      </c>
      <c r="AC364" s="13">
        <f t="shared" ref="AC364:AJ364" si="297">AVERAGE(AC325:AC326,AC328,AC330,AC332,AC334)</f>
        <v>8.3156499999999962</v>
      </c>
      <c r="AD364" s="13">
        <f t="shared" si="297"/>
        <v>0.35485015422060845</v>
      </c>
      <c r="AE364" s="13">
        <f t="shared" si="297"/>
        <v>0.6451498457793915</v>
      </c>
      <c r="AF364" s="13">
        <f t="shared" si="297"/>
        <v>0.22547891884044613</v>
      </c>
      <c r="AG364" s="13">
        <f t="shared" si="297"/>
        <v>7.9801549736403937E-2</v>
      </c>
      <c r="AH364" s="13">
        <f t="shared" si="297"/>
        <v>12.77335499999999</v>
      </c>
      <c r="AI364" s="13">
        <f t="shared" si="297"/>
        <v>35.666666666666664</v>
      </c>
      <c r="AJ364" s="13">
        <f t="shared" si="297"/>
        <v>8.0041571772703204</v>
      </c>
      <c r="AM364" s="2"/>
    </row>
    <row r="365" spans="3:39" x14ac:dyDescent="0.35">
      <c r="C365" s="258" t="s">
        <v>541</v>
      </c>
      <c r="D365" s="155">
        <v>12</v>
      </c>
      <c r="F365" s="2">
        <v>1.32761</v>
      </c>
      <c r="G365" s="2">
        <v>5.1185600000000004</v>
      </c>
      <c r="H365" s="2">
        <f t="shared" ref="H365:H388" si="298">G365-F365</f>
        <v>3.7909500000000005</v>
      </c>
      <c r="I365" s="2">
        <f t="shared" ref="I365:I387" si="299">F366-G365</f>
        <v>7.5101899999999997</v>
      </c>
      <c r="J365" s="2">
        <f>H365/N365</f>
        <v>0.33544845918199406</v>
      </c>
      <c r="K365" s="2">
        <f>I365/N365</f>
        <v>0.66455154081800594</v>
      </c>
      <c r="L365" s="2">
        <f>1/H365</f>
        <v>0.2637861222121104</v>
      </c>
      <c r="M365" s="2">
        <f>1/N365</f>
        <v>8.8486648249645611E-2</v>
      </c>
      <c r="N365" s="2">
        <f>H365+I365</f>
        <v>11.30114</v>
      </c>
      <c r="O365" s="2">
        <v>28</v>
      </c>
      <c r="P365">
        <f>O365/H365</f>
        <v>7.3860114219390907</v>
      </c>
      <c r="R365" t="s">
        <v>489</v>
      </c>
      <c r="Y365" s="104"/>
      <c r="Z365" s="13"/>
      <c r="AA365" s="49" t="s">
        <v>94</v>
      </c>
      <c r="AB365" s="2">
        <f>_xlfn.STDEV.S(AB325:AB326,AB328,AB330,AB332,AB334)</f>
        <v>0.32831215151133047</v>
      </c>
      <c r="AC365" s="2">
        <f t="shared" ref="AC365:AJ365" si="300">_xlfn.STDEV.S(AC325:AC326,AC328,AC330,AC332,AC334)</f>
        <v>2.0344202617355251</v>
      </c>
      <c r="AD365" s="2">
        <f t="shared" si="300"/>
        <v>5.0630603449299934E-2</v>
      </c>
      <c r="AE365" s="2">
        <f t="shared" si="300"/>
        <v>5.0630603449300524E-2</v>
      </c>
      <c r="AF365" s="2">
        <f t="shared" si="300"/>
        <v>1.871723925063928E-2</v>
      </c>
      <c r="AG365" s="2">
        <f t="shared" si="300"/>
        <v>1.1158098703438602E-2</v>
      </c>
      <c r="AH365" s="2">
        <f t="shared" si="300"/>
        <v>2.0976231212565448</v>
      </c>
      <c r="AI365" s="2">
        <f t="shared" si="300"/>
        <v>3.2041639575194445</v>
      </c>
      <c r="AJ365" s="2">
        <f t="shared" si="300"/>
        <v>0.45457112606767169</v>
      </c>
      <c r="AM365" s="2"/>
    </row>
    <row r="366" spans="3:39" x14ac:dyDescent="0.35">
      <c r="D366" s="155">
        <v>12</v>
      </c>
      <c r="F366" s="2">
        <v>12.62875</v>
      </c>
      <c r="G366" s="2">
        <v>16.282589999999999</v>
      </c>
      <c r="H366" s="2">
        <f t="shared" si="298"/>
        <v>3.6538399999999989</v>
      </c>
      <c r="I366" s="2">
        <f t="shared" si="299"/>
        <v>4.0340000000000025</v>
      </c>
      <c r="J366" s="2">
        <f t="shared" ref="J366:J387" si="301">H366/N366</f>
        <v>0.47527523985931008</v>
      </c>
      <c r="K366" s="2">
        <f t="shared" ref="K366:K387" si="302">I366/N366</f>
        <v>0.52472476014068992</v>
      </c>
      <c r="L366" s="2">
        <f t="shared" ref="L366:L387" si="303">1/H366</f>
        <v>0.27368467146892045</v>
      </c>
      <c r="M366" s="2">
        <f t="shared" ref="M366:M387" si="304">1/N366</f>
        <v>0.13007554787820763</v>
      </c>
      <c r="N366" s="2">
        <f t="shared" ref="N366:N387" si="305">H366+I366</f>
        <v>7.6878400000000013</v>
      </c>
      <c r="O366" s="2">
        <v>30</v>
      </c>
      <c r="P366">
        <f t="shared" ref="P366:P387" si="306">O366/H366</f>
        <v>8.2105401440676129</v>
      </c>
      <c r="Y366" s="104"/>
      <c r="Z366" s="13"/>
      <c r="AA366" s="49" t="s">
        <v>95</v>
      </c>
      <c r="AB366" s="2">
        <f>AB365/(SQRT(COUNT(AB325:AB326,AB328,AB330,AB332,AB334)))</f>
        <v>0.13403287459301347</v>
      </c>
      <c r="AC366" s="2">
        <f t="shared" ref="AC366:AJ366" si="307">AC365/(SQRT(COUNT(AC325:AC326,AC328,AC330,AC332,AC334)))</f>
        <v>0.83054859393857294</v>
      </c>
      <c r="AD366" s="2">
        <f t="shared" si="307"/>
        <v>2.0669857303330465E-2</v>
      </c>
      <c r="AE366" s="2">
        <f t="shared" si="307"/>
        <v>2.0669857303330708E-2</v>
      </c>
      <c r="AF366" s="2">
        <f t="shared" si="307"/>
        <v>7.6412809262766035E-3</v>
      </c>
      <c r="AG366" s="2">
        <f t="shared" si="307"/>
        <v>4.5552747205058561E-3</v>
      </c>
      <c r="AH366" s="2">
        <f t="shared" si="307"/>
        <v>0.85635105329045691</v>
      </c>
      <c r="AI366" s="2">
        <f t="shared" si="307"/>
        <v>1.3080944580232392</v>
      </c>
      <c r="AJ366" s="2">
        <f t="shared" si="307"/>
        <v>0.18557788511136014</v>
      </c>
      <c r="AM366" s="2"/>
    </row>
    <row r="367" spans="3:39" x14ac:dyDescent="0.35">
      <c r="C367" s="258" t="s">
        <v>541</v>
      </c>
      <c r="D367" s="155">
        <v>12</v>
      </c>
      <c r="F367" s="13">
        <v>20.316590000000001</v>
      </c>
      <c r="G367" s="2">
        <v>23.850059999999999</v>
      </c>
      <c r="H367" s="2">
        <f t="shared" si="298"/>
        <v>3.5334699999999977</v>
      </c>
      <c r="I367" s="2">
        <f t="shared" si="299"/>
        <v>8.4341300000000032</v>
      </c>
      <c r="J367" s="2">
        <f t="shared" si="301"/>
        <v>0.29525301647782326</v>
      </c>
      <c r="K367" s="2">
        <f t="shared" si="302"/>
        <v>0.7047469835221768</v>
      </c>
      <c r="L367" s="2">
        <f t="shared" si="303"/>
        <v>0.28300792139171993</v>
      </c>
      <c r="M367" s="2">
        <f t="shared" si="304"/>
        <v>8.3558942478023993E-2</v>
      </c>
      <c r="N367" s="2">
        <f t="shared" si="305"/>
        <v>11.967600000000001</v>
      </c>
      <c r="O367" s="2">
        <v>26</v>
      </c>
      <c r="P367">
        <f t="shared" si="306"/>
        <v>7.3582059561847188</v>
      </c>
      <c r="Y367" s="104"/>
      <c r="Z367" s="13"/>
      <c r="AA367" s="49"/>
      <c r="AB367" s="2"/>
      <c r="AC367" s="2"/>
      <c r="AD367" s="2"/>
      <c r="AE367" s="2"/>
      <c r="AF367" s="2"/>
      <c r="AG367" s="2"/>
      <c r="AH367" s="2"/>
      <c r="AI367" s="2"/>
      <c r="AJ367" s="2"/>
      <c r="AM367" s="2"/>
    </row>
    <row r="368" spans="3:39" x14ac:dyDescent="0.35">
      <c r="C368" s="258"/>
      <c r="D368" s="155">
        <v>12</v>
      </c>
      <c r="F368" s="13">
        <v>32.284190000000002</v>
      </c>
      <c r="G368" s="2">
        <v>36.108669999999996</v>
      </c>
      <c r="H368" s="2">
        <f t="shared" si="298"/>
        <v>3.8244799999999941</v>
      </c>
      <c r="I368" s="2">
        <f t="shared" si="299"/>
        <v>3.8909700000000029</v>
      </c>
      <c r="J368" s="2">
        <f t="shared" si="301"/>
        <v>0.49569111328567944</v>
      </c>
      <c r="K368" s="2">
        <f t="shared" si="302"/>
        <v>0.5043088867143205</v>
      </c>
      <c r="L368" s="2">
        <f t="shared" si="303"/>
        <v>0.26147345521482701</v>
      </c>
      <c r="M368" s="2">
        <f t="shared" si="304"/>
        <v>0.12961006811009085</v>
      </c>
      <c r="N368" s="2">
        <f t="shared" si="305"/>
        <v>7.715449999999997</v>
      </c>
      <c r="O368" s="2">
        <v>32</v>
      </c>
      <c r="P368">
        <f t="shared" si="306"/>
        <v>8.3671505668744643</v>
      </c>
      <c r="Y368" s="104"/>
      <c r="Z368" s="13"/>
      <c r="AA368" s="49"/>
      <c r="AB368" s="2"/>
      <c r="AC368" s="2"/>
      <c r="AD368" s="2"/>
      <c r="AE368" s="2"/>
      <c r="AF368" s="2"/>
      <c r="AG368" s="2"/>
      <c r="AH368" s="2"/>
      <c r="AI368" s="2"/>
      <c r="AJ368" s="2"/>
      <c r="AM368" s="2"/>
    </row>
    <row r="369" spans="3:39" ht="16" thickBot="1" x14ac:dyDescent="0.4">
      <c r="C369" s="258" t="s">
        <v>541</v>
      </c>
      <c r="D369" s="155">
        <v>12</v>
      </c>
      <c r="F369" s="13">
        <v>39.999639999999999</v>
      </c>
      <c r="G369" s="2">
        <v>43.532739999999997</v>
      </c>
      <c r="H369" s="2">
        <f t="shared" si="298"/>
        <v>3.5330999999999975</v>
      </c>
      <c r="I369" s="2">
        <f t="shared" si="299"/>
        <v>7.6585800000000006</v>
      </c>
      <c r="J369" s="2">
        <f t="shared" si="301"/>
        <v>0.3156898696174299</v>
      </c>
      <c r="K369" s="2">
        <f t="shared" si="302"/>
        <v>0.68431013038257005</v>
      </c>
      <c r="L369" s="2">
        <f t="shared" si="303"/>
        <v>0.28303755908409067</v>
      </c>
      <c r="M369" s="2">
        <f t="shared" si="304"/>
        <v>8.9352090124092204E-2</v>
      </c>
      <c r="N369" s="2">
        <f t="shared" si="305"/>
        <v>11.191679999999998</v>
      </c>
      <c r="O369" s="2">
        <v>24</v>
      </c>
      <c r="P369">
        <f t="shared" si="306"/>
        <v>6.7929014180181762</v>
      </c>
      <c r="Y369" s="104" t="s">
        <v>82</v>
      </c>
      <c r="Z369" s="13"/>
      <c r="AA369" s="13"/>
      <c r="AB369" s="9" t="s">
        <v>3</v>
      </c>
      <c r="AC369" s="9" t="s">
        <v>4</v>
      </c>
      <c r="AD369" s="9" t="s">
        <v>5</v>
      </c>
      <c r="AE369" s="9" t="s">
        <v>6</v>
      </c>
      <c r="AF369" s="9" t="s">
        <v>7</v>
      </c>
      <c r="AG369" s="9" t="s">
        <v>8</v>
      </c>
      <c r="AH369" s="9" t="s">
        <v>9</v>
      </c>
      <c r="AI369" s="9" t="s">
        <v>10</v>
      </c>
      <c r="AJ369" s="44" t="s">
        <v>139</v>
      </c>
      <c r="AM369" s="2"/>
    </row>
    <row r="370" spans="3:39" x14ac:dyDescent="0.35">
      <c r="D370" s="155">
        <v>12</v>
      </c>
      <c r="F370" s="13">
        <v>51.191319999999997</v>
      </c>
      <c r="G370" s="2">
        <v>55.036409999999997</v>
      </c>
      <c r="H370" s="2">
        <f t="shared" si="298"/>
        <v>3.845089999999999</v>
      </c>
      <c r="I370" s="2">
        <f t="shared" si="299"/>
        <v>4.6722400000000022</v>
      </c>
      <c r="J370" s="2">
        <f t="shared" si="301"/>
        <v>0.45144311656352382</v>
      </c>
      <c r="K370" s="2">
        <f t="shared" si="302"/>
        <v>0.54855688343647613</v>
      </c>
      <c r="L370" s="2">
        <f t="shared" si="303"/>
        <v>0.2600719358974693</v>
      </c>
      <c r="M370" s="2">
        <f t="shared" si="304"/>
        <v>0.11740768527226253</v>
      </c>
      <c r="N370" s="2">
        <f t="shared" si="305"/>
        <v>8.5173300000000012</v>
      </c>
      <c r="O370" s="2">
        <v>32</v>
      </c>
      <c r="P370">
        <f t="shared" si="306"/>
        <v>8.3223019487190175</v>
      </c>
      <c r="Y370" s="104"/>
      <c r="Z370" s="13"/>
      <c r="AA370" s="49" t="s">
        <v>77</v>
      </c>
      <c r="AB370" s="13">
        <f>AVERAGE(AB327,AB329,AB331,AB333)</f>
        <v>4.3704325000000068</v>
      </c>
      <c r="AC370" s="13">
        <f t="shared" ref="AC370:AJ370" si="308">AVERAGE(AC327,AC329,AC331,AC333)</f>
        <v>4.3225450000000052</v>
      </c>
      <c r="AD370" s="13">
        <f t="shared" si="308"/>
        <v>0.50230381647246169</v>
      </c>
      <c r="AE370" s="13">
        <f t="shared" si="308"/>
        <v>0.49769618352753836</v>
      </c>
      <c r="AF370" s="13">
        <f t="shared" si="308"/>
        <v>0.23034135570939029</v>
      </c>
      <c r="AG370" s="13">
        <f t="shared" si="308"/>
        <v>0.11520153122882401</v>
      </c>
      <c r="AH370" s="13">
        <f t="shared" si="308"/>
        <v>8.692977500000012</v>
      </c>
      <c r="AI370" s="13">
        <f t="shared" si="308"/>
        <v>40.5</v>
      </c>
      <c r="AJ370" s="13">
        <f t="shared" si="308"/>
        <v>9.271698970368309</v>
      </c>
      <c r="AM370" s="2"/>
    </row>
    <row r="371" spans="3:39" x14ac:dyDescent="0.35">
      <c r="C371" s="258" t="s">
        <v>541</v>
      </c>
      <c r="D371" s="155">
        <v>12</v>
      </c>
      <c r="F371" s="13">
        <v>59.708649999999999</v>
      </c>
      <c r="G371" s="2">
        <v>63.221179999999997</v>
      </c>
      <c r="H371" s="2">
        <f t="shared" si="298"/>
        <v>3.5125299999999982</v>
      </c>
      <c r="I371" s="2">
        <f t="shared" si="299"/>
        <v>7.7262300000000081</v>
      </c>
      <c r="J371" s="2">
        <f t="shared" si="301"/>
        <v>0.31253714822631645</v>
      </c>
      <c r="K371" s="2">
        <f t="shared" si="302"/>
        <v>0.6874628517736836</v>
      </c>
      <c r="L371" s="2">
        <f t="shared" si="303"/>
        <v>0.28469507733741789</v>
      </c>
      <c r="M371" s="2">
        <f t="shared" si="304"/>
        <v>8.8977787585107201E-2</v>
      </c>
      <c r="N371" s="2">
        <f t="shared" si="305"/>
        <v>11.238760000000006</v>
      </c>
      <c r="O371" s="2">
        <v>24</v>
      </c>
      <c r="P371">
        <f t="shared" si="306"/>
        <v>6.8326818560980298</v>
      </c>
      <c r="X371" s="2"/>
      <c r="Y371" s="104"/>
      <c r="Z371" s="13"/>
      <c r="AA371" s="49" t="s">
        <v>94</v>
      </c>
      <c r="AB371" s="2">
        <f>_xlfn.STDEV.S(AB327,AB329,AB331,AB333)</f>
        <v>0.41144121746003753</v>
      </c>
      <c r="AC371" s="2">
        <f t="shared" ref="AC371:AJ371" si="309">_xlfn.STDEV.S(AC327,AC329,AC331,AC333)</f>
        <v>0.27992049115180279</v>
      </c>
      <c r="AD371" s="2">
        <f t="shared" si="309"/>
        <v>3.3793449074475339E-2</v>
      </c>
      <c r="AE371" s="2">
        <f t="shared" si="309"/>
        <v>3.3793449074475367E-2</v>
      </c>
      <c r="AF371" s="2">
        <f t="shared" si="309"/>
        <v>2.1685075624505688E-2</v>
      </c>
      <c r="AG371" s="2">
        <f t="shared" si="309"/>
        <v>5.1506082462248332E-3</v>
      </c>
      <c r="AH371" s="2">
        <f t="shared" si="309"/>
        <v>0.37393877318574681</v>
      </c>
      <c r="AI371" s="2">
        <f t="shared" si="309"/>
        <v>4.0414518843273806</v>
      </c>
      <c r="AJ371" s="2">
        <f t="shared" si="309"/>
        <v>0.42938468468691343</v>
      </c>
      <c r="AK371" s="2"/>
      <c r="AL371" s="2"/>
      <c r="AM371" s="2"/>
    </row>
    <row r="372" spans="3:39" x14ac:dyDescent="0.35">
      <c r="D372" s="155">
        <v>12</v>
      </c>
      <c r="F372" s="13">
        <v>70.947410000000005</v>
      </c>
      <c r="G372" s="2">
        <v>75.335769999999997</v>
      </c>
      <c r="H372" s="2">
        <f t="shared" si="298"/>
        <v>4.3883599999999916</v>
      </c>
      <c r="I372" s="2">
        <f t="shared" si="299"/>
        <v>3.2478399999999965</v>
      </c>
      <c r="J372" s="2">
        <f t="shared" si="301"/>
        <v>0.57467850501558349</v>
      </c>
      <c r="K372" s="2">
        <f t="shared" si="302"/>
        <v>0.42532149498441651</v>
      </c>
      <c r="L372" s="2">
        <f t="shared" si="303"/>
        <v>0.22787556171326007</v>
      </c>
      <c r="M372" s="2">
        <f t="shared" si="304"/>
        <v>0.13095518713496263</v>
      </c>
      <c r="N372" s="2">
        <f t="shared" si="305"/>
        <v>7.6361999999999881</v>
      </c>
      <c r="O372" s="2">
        <v>32</v>
      </c>
      <c r="P372">
        <f t="shared" si="306"/>
        <v>7.2920179748243221</v>
      </c>
      <c r="X372" s="2"/>
      <c r="Y372" s="104"/>
      <c r="Z372" s="13"/>
      <c r="AA372" s="49" t="s">
        <v>95</v>
      </c>
      <c r="AB372" s="2">
        <f>AB371/(SQRT(COUNT(AB327,AB329,AB331,AB333)))</f>
        <v>0.20572060873001877</v>
      </c>
      <c r="AC372" s="2">
        <f t="shared" ref="AC372:AJ372" si="310">AC371/(SQRT(COUNT(AC327,AC329,AC331,AC333)))</f>
        <v>0.13996024557590139</v>
      </c>
      <c r="AD372" s="2">
        <f t="shared" si="310"/>
        <v>1.6896724537237669E-2</v>
      </c>
      <c r="AE372" s="2">
        <f t="shared" si="310"/>
        <v>1.6896724537237683E-2</v>
      </c>
      <c r="AF372" s="2">
        <f t="shared" si="310"/>
        <v>1.0842537812252844E-2</v>
      </c>
      <c r="AG372" s="2">
        <f t="shared" si="310"/>
        <v>2.5753041231124166E-3</v>
      </c>
      <c r="AH372" s="2">
        <f t="shared" si="310"/>
        <v>0.1869693865928734</v>
      </c>
      <c r="AI372" s="2">
        <f t="shared" si="310"/>
        <v>2.0207259421636903</v>
      </c>
      <c r="AJ372" s="2">
        <f t="shared" si="310"/>
        <v>0.21469234234345672</v>
      </c>
      <c r="AK372" s="2"/>
      <c r="AL372" s="2"/>
      <c r="AM372" s="2"/>
    </row>
    <row r="373" spans="3:39" x14ac:dyDescent="0.35">
      <c r="C373" s="258" t="s">
        <v>541</v>
      </c>
      <c r="D373" s="155">
        <v>12</v>
      </c>
      <c r="F373" s="13">
        <v>78.583609999999993</v>
      </c>
      <c r="G373" s="2">
        <v>81.960759999999993</v>
      </c>
      <c r="H373" s="2">
        <f t="shared" si="298"/>
        <v>3.3771500000000003</v>
      </c>
      <c r="I373" s="2">
        <f t="shared" si="299"/>
        <v>7.8635000000000019</v>
      </c>
      <c r="J373" s="2">
        <f t="shared" si="301"/>
        <v>0.30044081080720419</v>
      </c>
      <c r="K373" s="2">
        <f t="shared" si="302"/>
        <v>0.69955918919279581</v>
      </c>
      <c r="L373" s="2">
        <f t="shared" si="303"/>
        <v>0.29610766474690192</v>
      </c>
      <c r="M373" s="2">
        <f t="shared" si="304"/>
        <v>8.8962826882787005E-2</v>
      </c>
      <c r="N373" s="2">
        <f t="shared" si="305"/>
        <v>11.240650000000002</v>
      </c>
      <c r="O373" s="2">
        <v>25</v>
      </c>
      <c r="P373">
        <f t="shared" si="306"/>
        <v>7.4026916186725487</v>
      </c>
      <c r="X373" s="2"/>
      <c r="Y373" s="2"/>
      <c r="Z373" s="2"/>
      <c r="AA373" s="2"/>
      <c r="AB373" s="2"/>
      <c r="AC373" s="2"/>
      <c r="AD373" s="2"/>
      <c r="AE373" s="2"/>
      <c r="AF373" s="2"/>
      <c r="AG373" s="2"/>
      <c r="AH373" s="2"/>
      <c r="AI373" s="2"/>
      <c r="AJ373" s="2"/>
      <c r="AK373" s="2"/>
      <c r="AL373" s="2"/>
      <c r="AM373" s="2"/>
    </row>
    <row r="374" spans="3:39" x14ac:dyDescent="0.35">
      <c r="C374" s="2"/>
      <c r="D374" s="155">
        <v>12</v>
      </c>
      <c r="F374" s="13">
        <v>89.824259999999995</v>
      </c>
      <c r="G374" s="2">
        <v>93.483019999999996</v>
      </c>
      <c r="H374" s="2">
        <f t="shared" si="298"/>
        <v>3.6587600000000009</v>
      </c>
      <c r="I374" s="2">
        <f t="shared" si="299"/>
        <v>3.9162900000000036</v>
      </c>
      <c r="J374" s="2">
        <f t="shared" si="301"/>
        <v>0.48300143233377979</v>
      </c>
      <c r="K374" s="2">
        <f t="shared" si="302"/>
        <v>0.51699856766622021</v>
      </c>
      <c r="L374" s="2">
        <f t="shared" si="303"/>
        <v>0.27331664279701312</v>
      </c>
      <c r="M374" s="2">
        <f t="shared" si="304"/>
        <v>0.13201232995161741</v>
      </c>
      <c r="N374" s="2">
        <f t="shared" si="305"/>
        <v>7.5750500000000045</v>
      </c>
      <c r="O374" s="2">
        <v>31</v>
      </c>
      <c r="P374">
        <f t="shared" si="306"/>
        <v>8.4728159267074066</v>
      </c>
      <c r="X374" s="2"/>
      <c r="Y374" s="2"/>
      <c r="Z374" s="2"/>
      <c r="AA374" s="2"/>
      <c r="AB374" s="2"/>
      <c r="AC374" s="2"/>
      <c r="AD374" s="2"/>
      <c r="AE374" s="2"/>
      <c r="AF374" s="2"/>
      <c r="AG374" s="2"/>
      <c r="AH374" s="2"/>
      <c r="AI374" s="2"/>
      <c r="AJ374" s="2"/>
      <c r="AK374" s="2"/>
      <c r="AL374" s="2"/>
      <c r="AM374" s="2"/>
    </row>
    <row r="375" spans="3:39" x14ac:dyDescent="0.35">
      <c r="C375" s="258" t="s">
        <v>541</v>
      </c>
      <c r="D375" s="155">
        <v>12</v>
      </c>
      <c r="F375" s="13">
        <v>97.39931</v>
      </c>
      <c r="G375" s="2">
        <v>101.15275</v>
      </c>
      <c r="H375" s="2">
        <f t="shared" si="298"/>
        <v>3.7534399999999977</v>
      </c>
      <c r="I375" s="2">
        <f t="shared" si="299"/>
        <v>7.5774899999999974</v>
      </c>
      <c r="J375" s="2">
        <f t="shared" si="301"/>
        <v>0.3312561281377609</v>
      </c>
      <c r="K375" s="2">
        <f t="shared" si="302"/>
        <v>0.66874387186223905</v>
      </c>
      <c r="L375" s="2">
        <f t="shared" si="303"/>
        <v>0.26642226863890206</v>
      </c>
      <c r="M375" s="2">
        <f t="shared" si="304"/>
        <v>8.8254009159001112E-2</v>
      </c>
      <c r="N375" s="2">
        <f t="shared" si="305"/>
        <v>11.330929999999995</v>
      </c>
      <c r="O375" s="2">
        <v>28</v>
      </c>
      <c r="P375">
        <f t="shared" si="306"/>
        <v>7.4598235218892581</v>
      </c>
      <c r="X375" s="2"/>
      <c r="Y375" s="2"/>
      <c r="Z375" s="2"/>
      <c r="AA375" s="2"/>
      <c r="AB375" s="2"/>
      <c r="AC375" s="2"/>
      <c r="AD375" s="2"/>
      <c r="AE375" s="2"/>
      <c r="AF375" s="2"/>
      <c r="AG375" s="2"/>
      <c r="AH375" s="2"/>
      <c r="AI375" s="2"/>
      <c r="AJ375" s="2"/>
      <c r="AK375" s="2"/>
      <c r="AL375" s="2"/>
      <c r="AM375" s="2"/>
    </row>
    <row r="376" spans="3:39" x14ac:dyDescent="0.35">
      <c r="C376" s="2"/>
      <c r="D376" s="155">
        <v>12</v>
      </c>
      <c r="F376" s="13">
        <v>108.73023999999999</v>
      </c>
      <c r="G376" s="2">
        <v>112.61158</v>
      </c>
      <c r="H376" s="2">
        <f t="shared" si="298"/>
        <v>3.8813400000000087</v>
      </c>
      <c r="I376" s="2">
        <f t="shared" si="299"/>
        <v>3.7878299999999996</v>
      </c>
      <c r="J376" s="2">
        <f t="shared" si="301"/>
        <v>0.50609648762512816</v>
      </c>
      <c r="K376" s="2">
        <f t="shared" si="302"/>
        <v>0.49390351237487179</v>
      </c>
      <c r="L376" s="2">
        <f t="shared" si="303"/>
        <v>0.25764297897117949</v>
      </c>
      <c r="M376" s="2">
        <f t="shared" si="304"/>
        <v>0.1303922067185887</v>
      </c>
      <c r="N376" s="2">
        <f t="shared" si="305"/>
        <v>7.6691700000000083</v>
      </c>
      <c r="O376" s="2">
        <v>32</v>
      </c>
      <c r="P376">
        <f t="shared" si="306"/>
        <v>8.2445753270777438</v>
      </c>
      <c r="X376" s="2"/>
      <c r="Y376" s="2"/>
      <c r="Z376" s="2"/>
      <c r="AA376" s="2"/>
      <c r="AB376" s="2"/>
      <c r="AC376" s="2"/>
      <c r="AD376" s="2"/>
      <c r="AE376" s="2"/>
      <c r="AF376" s="2"/>
      <c r="AG376" s="2"/>
      <c r="AH376" s="2"/>
      <c r="AI376" s="2"/>
      <c r="AJ376" s="2"/>
      <c r="AK376" s="2"/>
      <c r="AL376" s="2"/>
      <c r="AM376" s="2"/>
    </row>
    <row r="377" spans="3:39" ht="18.5" x14ac:dyDescent="0.45">
      <c r="C377" s="258" t="s">
        <v>541</v>
      </c>
      <c r="D377" s="155">
        <v>12</v>
      </c>
      <c r="F377" s="13">
        <v>116.39941</v>
      </c>
      <c r="G377" s="2">
        <v>119.83111</v>
      </c>
      <c r="H377" s="2">
        <f t="shared" si="298"/>
        <v>3.4316999999999922</v>
      </c>
      <c r="I377" s="2">
        <f t="shared" si="299"/>
        <v>8.3574800000000096</v>
      </c>
      <c r="J377" s="2">
        <f t="shared" si="301"/>
        <v>0.29108894766217769</v>
      </c>
      <c r="K377" s="2">
        <f t="shared" si="302"/>
        <v>0.70891105233782237</v>
      </c>
      <c r="L377" s="2">
        <f t="shared" si="303"/>
        <v>0.29140076347000093</v>
      </c>
      <c r="M377" s="2">
        <f t="shared" si="304"/>
        <v>8.482354158643772E-2</v>
      </c>
      <c r="N377" s="2">
        <f t="shared" si="305"/>
        <v>11.789180000000002</v>
      </c>
      <c r="O377" s="2">
        <v>26</v>
      </c>
      <c r="P377">
        <f t="shared" si="306"/>
        <v>7.5764198502200246</v>
      </c>
      <c r="Z377" s="1" t="s">
        <v>501</v>
      </c>
      <c r="AA377" s="3"/>
      <c r="AB377" s="3"/>
      <c r="AC377" s="3"/>
      <c r="AD377" s="3"/>
      <c r="AE377" s="3"/>
      <c r="AF377" s="3"/>
      <c r="AG377" s="3"/>
      <c r="AH377" s="3"/>
      <c r="AI377" s="3"/>
      <c r="AM377" s="2"/>
    </row>
    <row r="378" spans="3:39" ht="16" thickBot="1" x14ac:dyDescent="0.4">
      <c r="C378" s="2"/>
      <c r="D378" s="155">
        <v>0</v>
      </c>
      <c r="F378" s="13">
        <v>128.18859</v>
      </c>
      <c r="G378" s="2">
        <v>132.49038999999999</v>
      </c>
      <c r="H378" s="2">
        <f t="shared" si="298"/>
        <v>4.3017999999999859</v>
      </c>
      <c r="I378" s="2">
        <f t="shared" si="299"/>
        <v>4.8372800000000211</v>
      </c>
      <c r="J378" s="2">
        <f t="shared" si="301"/>
        <v>0.47070383452163483</v>
      </c>
      <c r="K378" s="2">
        <f t="shared" si="302"/>
        <v>0.52929616547836511</v>
      </c>
      <c r="L378" s="2">
        <f t="shared" si="303"/>
        <v>0.23246083035008677</v>
      </c>
      <c r="M378" s="2">
        <f t="shared" si="304"/>
        <v>0.10942020422186907</v>
      </c>
      <c r="N378" s="2">
        <f t="shared" si="305"/>
        <v>9.139080000000007</v>
      </c>
      <c r="O378" s="2">
        <v>28</v>
      </c>
      <c r="P378">
        <f t="shared" si="306"/>
        <v>6.5089032498024295</v>
      </c>
      <c r="R378" t="s">
        <v>490</v>
      </c>
      <c r="W378" s="204" t="s">
        <v>122</v>
      </c>
      <c r="X378" s="204" t="s">
        <v>406</v>
      </c>
      <c r="Z378" s="9" t="s">
        <v>1</v>
      </c>
      <c r="AA378" s="9" t="s">
        <v>2</v>
      </c>
      <c r="AB378" s="9" t="s">
        <v>3</v>
      </c>
      <c r="AC378" s="9" t="s">
        <v>4</v>
      </c>
      <c r="AD378" s="9" t="s">
        <v>5</v>
      </c>
      <c r="AE378" s="9" t="s">
        <v>6</v>
      </c>
      <c r="AF378" s="9" t="s">
        <v>7</v>
      </c>
      <c r="AG378" s="9" t="s">
        <v>8</v>
      </c>
      <c r="AH378" s="9" t="s">
        <v>9</v>
      </c>
      <c r="AI378" s="9" t="s">
        <v>10</v>
      </c>
      <c r="AJ378" s="44" t="s">
        <v>139</v>
      </c>
      <c r="AL378" s="44" t="s">
        <v>138</v>
      </c>
      <c r="AM378" s="2"/>
    </row>
    <row r="379" spans="3:39" x14ac:dyDescent="0.35">
      <c r="C379" s="258" t="s">
        <v>541</v>
      </c>
      <c r="D379" s="155">
        <v>0</v>
      </c>
      <c r="F379" s="13">
        <v>137.32767000000001</v>
      </c>
      <c r="G379" s="2">
        <v>140.97898000000001</v>
      </c>
      <c r="H379" s="2">
        <f t="shared" si="298"/>
        <v>3.6513099999999952</v>
      </c>
      <c r="I379" s="2">
        <f t="shared" si="299"/>
        <v>8.3894799999999918</v>
      </c>
      <c r="J379" s="2">
        <f t="shared" si="301"/>
        <v>0.30324505285782738</v>
      </c>
      <c r="K379" s="2">
        <f t="shared" si="302"/>
        <v>0.69675494714217268</v>
      </c>
      <c r="L379" s="2">
        <f t="shared" si="303"/>
        <v>0.27387430812502944</v>
      </c>
      <c r="M379" s="2">
        <f t="shared" si="304"/>
        <v>8.3051029043775454E-2</v>
      </c>
      <c r="N379" s="2">
        <f t="shared" si="305"/>
        <v>12.040789999999987</v>
      </c>
      <c r="O379" s="2">
        <v>27</v>
      </c>
      <c r="P379">
        <f t="shared" si="306"/>
        <v>7.3946063193757956</v>
      </c>
      <c r="W379" t="s">
        <v>541</v>
      </c>
      <c r="X379" s="155">
        <v>-8</v>
      </c>
      <c r="Z379" s="2">
        <v>6.1648500000000004</v>
      </c>
      <c r="AA379" s="2">
        <v>10.87013</v>
      </c>
      <c r="AB379" s="2">
        <f t="shared" ref="AB379:AB385" si="311">AA379-Z379</f>
        <v>4.7052799999999992</v>
      </c>
      <c r="AC379" s="2">
        <f t="shared" ref="AC379:AC385" si="312">Z380-AA379</f>
        <v>8.8685399999999994</v>
      </c>
      <c r="AD379" s="2">
        <f t="shared" ref="AD379:AD385" si="313">AB379/AH379</f>
        <v>0.34664375982590018</v>
      </c>
      <c r="AE379" s="2">
        <f t="shared" ref="AE379:AE385" si="314">AC379/AH379</f>
        <v>0.65335624017409988</v>
      </c>
      <c r="AF379" s="2">
        <f t="shared" ref="AF379:AF385" si="315">1/AB379</f>
        <v>0.21252720348204573</v>
      </c>
      <c r="AG379" s="2">
        <f t="shared" ref="AG379:AG385" si="316">1/AH379</f>
        <v>7.3671228880300477E-2</v>
      </c>
      <c r="AH379" s="2">
        <f t="shared" ref="AH379:AH385" si="317">AB379+AC379</f>
        <v>13.573819999999998</v>
      </c>
      <c r="AI379" s="2">
        <v>36</v>
      </c>
      <c r="AJ379">
        <f t="shared" ref="AJ379:AJ398" si="318">AI379/AB379</f>
        <v>7.6509793253536467</v>
      </c>
      <c r="AL379" t="s">
        <v>506</v>
      </c>
      <c r="AM379" s="2"/>
    </row>
    <row r="380" spans="3:39" x14ac:dyDescent="0.35">
      <c r="C380" s="2"/>
      <c r="D380" s="155">
        <v>0</v>
      </c>
      <c r="F380" s="13">
        <v>149.36846</v>
      </c>
      <c r="G380" s="2">
        <v>152.86188000000001</v>
      </c>
      <c r="H380" s="2">
        <f t="shared" si="298"/>
        <v>3.4934200000000146</v>
      </c>
      <c r="I380" s="2">
        <f t="shared" si="299"/>
        <v>2.6848399999999799</v>
      </c>
      <c r="J380" s="2">
        <f t="shared" si="301"/>
        <v>0.56543751800669084</v>
      </c>
      <c r="K380" s="2">
        <f t="shared" si="302"/>
        <v>0.43456248199330916</v>
      </c>
      <c r="L380" s="2">
        <f t="shared" si="303"/>
        <v>0.28625244030205238</v>
      </c>
      <c r="M380" s="2">
        <f t="shared" si="304"/>
        <v>0.16185786936775093</v>
      </c>
      <c r="N380" s="2">
        <f t="shared" si="305"/>
        <v>6.1782599999999945</v>
      </c>
      <c r="O380" s="2">
        <v>26</v>
      </c>
      <c r="P380">
        <f t="shared" si="306"/>
        <v>7.4425634478533622</v>
      </c>
      <c r="X380" s="155">
        <v>-8</v>
      </c>
      <c r="Z380" s="13">
        <v>19.738669999999999</v>
      </c>
      <c r="AA380" s="2">
        <v>23.894449999999999</v>
      </c>
      <c r="AB380" s="2">
        <f t="shared" si="311"/>
        <v>4.15578</v>
      </c>
      <c r="AC380" s="2">
        <f t="shared" si="312"/>
        <v>4.76755</v>
      </c>
      <c r="AD380" s="2">
        <f t="shared" si="313"/>
        <v>0.46572075671302082</v>
      </c>
      <c r="AE380" s="2">
        <f t="shared" si="314"/>
        <v>0.53427924328697918</v>
      </c>
      <c r="AF380" s="2">
        <f t="shared" si="315"/>
        <v>0.24062871470578326</v>
      </c>
      <c r="AG380" s="2">
        <f t="shared" si="316"/>
        <v>0.11206578709965899</v>
      </c>
      <c r="AH380" s="2">
        <f t="shared" si="317"/>
        <v>8.92333</v>
      </c>
      <c r="AI380" s="2">
        <v>40</v>
      </c>
      <c r="AJ380">
        <f t="shared" si="318"/>
        <v>9.6251485882313315</v>
      </c>
      <c r="AM380" s="2"/>
    </row>
    <row r="381" spans="3:39" x14ac:dyDescent="0.35">
      <c r="C381" s="258" t="s">
        <v>541</v>
      </c>
      <c r="D381" s="155">
        <v>0</v>
      </c>
      <c r="F381" s="13">
        <v>155.54671999999999</v>
      </c>
      <c r="G381" s="13">
        <v>158.9254</v>
      </c>
      <c r="H381" s="2">
        <f t="shared" si="298"/>
        <v>3.3786800000000028</v>
      </c>
      <c r="I381" s="2">
        <f t="shared" si="299"/>
        <v>7.8353899999999896</v>
      </c>
      <c r="J381" s="2">
        <f t="shared" si="301"/>
        <v>0.301289362381366</v>
      </c>
      <c r="K381" s="2">
        <f t="shared" si="302"/>
        <v>0.69871063761863395</v>
      </c>
      <c r="L381" s="2">
        <f t="shared" si="303"/>
        <v>0.29597357547918096</v>
      </c>
      <c r="M381" s="2">
        <f t="shared" si="304"/>
        <v>8.9173689837855535E-2</v>
      </c>
      <c r="N381" s="2">
        <f t="shared" si="305"/>
        <v>11.214069999999992</v>
      </c>
      <c r="O381" s="2">
        <v>21</v>
      </c>
      <c r="P381">
        <f t="shared" si="306"/>
        <v>6.2154450850628002</v>
      </c>
      <c r="W381" t="s">
        <v>541</v>
      </c>
      <c r="X381" s="155">
        <v>-8</v>
      </c>
      <c r="Z381" s="13">
        <v>28.661999999999999</v>
      </c>
      <c r="AA381" s="2">
        <v>30.759229999999999</v>
      </c>
      <c r="AB381" s="2">
        <f t="shared" si="311"/>
        <v>2.0972299999999997</v>
      </c>
      <c r="AC381" s="2">
        <f t="shared" si="312"/>
        <v>7.0918000000000028</v>
      </c>
      <c r="AD381" s="2">
        <f t="shared" si="313"/>
        <v>0.22823192437068973</v>
      </c>
      <c r="AE381" s="2">
        <f t="shared" si="314"/>
        <v>0.77176807562931027</v>
      </c>
      <c r="AF381" s="2">
        <f t="shared" si="315"/>
        <v>0.47681942371604458</v>
      </c>
      <c r="AG381" s="2">
        <f t="shared" si="316"/>
        <v>0.10882541465203614</v>
      </c>
      <c r="AH381" s="2">
        <f t="shared" si="317"/>
        <v>9.1890300000000025</v>
      </c>
      <c r="AI381" s="2">
        <v>19</v>
      </c>
      <c r="AJ381">
        <f t="shared" si="318"/>
        <v>9.0595690506048463</v>
      </c>
      <c r="AM381" s="2"/>
    </row>
    <row r="382" spans="3:39" x14ac:dyDescent="0.35">
      <c r="C382" s="2"/>
      <c r="D382" s="155">
        <v>0</v>
      </c>
      <c r="F382" s="13">
        <v>166.76078999999999</v>
      </c>
      <c r="G382" s="13">
        <v>170.30806000000001</v>
      </c>
      <c r="H382" s="2">
        <f t="shared" si="298"/>
        <v>3.5472700000000259</v>
      </c>
      <c r="I382" s="2">
        <f t="shared" si="299"/>
        <v>4.1885499999999922</v>
      </c>
      <c r="J382" s="2">
        <f t="shared" si="301"/>
        <v>0.45855125894863347</v>
      </c>
      <c r="K382" s="2">
        <f t="shared" si="302"/>
        <v>0.54144874105136653</v>
      </c>
      <c r="L382" s="2">
        <f t="shared" si="303"/>
        <v>0.28190693124571647</v>
      </c>
      <c r="M382" s="2">
        <f t="shared" si="304"/>
        <v>0.12926877822906915</v>
      </c>
      <c r="N382" s="2">
        <f t="shared" si="305"/>
        <v>7.7358200000000181</v>
      </c>
      <c r="O382" s="2">
        <v>29</v>
      </c>
      <c r="P382">
        <f t="shared" si="306"/>
        <v>8.1753010061257783</v>
      </c>
      <c r="W382" t="s">
        <v>541</v>
      </c>
      <c r="X382" s="155">
        <v>-8</v>
      </c>
      <c r="Z382" s="13">
        <v>37.851030000000002</v>
      </c>
      <c r="AA382" s="2">
        <v>42.583410000000001</v>
      </c>
      <c r="AB382" s="2">
        <f t="shared" si="311"/>
        <v>4.7323799999999991</v>
      </c>
      <c r="AC382" s="2">
        <f t="shared" si="312"/>
        <v>6.9693299999999994</v>
      </c>
      <c r="AD382" s="2">
        <f t="shared" si="313"/>
        <v>0.40441781585768233</v>
      </c>
      <c r="AE382" s="2">
        <f t="shared" si="314"/>
        <v>0.59558218414231767</v>
      </c>
      <c r="AF382" s="2">
        <f t="shared" si="315"/>
        <v>0.21131016528681132</v>
      </c>
      <c r="AG382" s="2">
        <f t="shared" si="316"/>
        <v>8.5457595513818083E-2</v>
      </c>
      <c r="AH382" s="2">
        <f t="shared" si="317"/>
        <v>11.701709999999999</v>
      </c>
      <c r="AI382" s="2">
        <v>42</v>
      </c>
      <c r="AJ382">
        <f t="shared" si="318"/>
        <v>8.875026942046075</v>
      </c>
      <c r="AM382" s="2"/>
    </row>
    <row r="383" spans="3:39" x14ac:dyDescent="0.35">
      <c r="C383" s="258" t="s">
        <v>541</v>
      </c>
      <c r="D383" s="155">
        <v>0</v>
      </c>
      <c r="F383" s="13">
        <v>174.49661</v>
      </c>
      <c r="G383" s="13">
        <v>177.36582999999999</v>
      </c>
      <c r="H383" s="2">
        <f t="shared" si="298"/>
        <v>2.8692199999999843</v>
      </c>
      <c r="I383" s="2">
        <f t="shared" si="299"/>
        <v>9.2571200000000147</v>
      </c>
      <c r="J383" s="2">
        <f t="shared" si="301"/>
        <v>0.23661055190601488</v>
      </c>
      <c r="K383" s="2">
        <f t="shared" si="302"/>
        <v>0.76338944809398512</v>
      </c>
      <c r="L383" s="2">
        <f t="shared" si="303"/>
        <v>0.3485267773123028</v>
      </c>
      <c r="M383" s="2">
        <f t="shared" si="304"/>
        <v>8.2465113133888712E-2</v>
      </c>
      <c r="N383" s="2">
        <f t="shared" si="305"/>
        <v>12.126339999999999</v>
      </c>
      <c r="O383" s="2">
        <v>22</v>
      </c>
      <c r="P383">
        <f t="shared" si="306"/>
        <v>7.6675891008706616</v>
      </c>
      <c r="X383" s="155">
        <v>-8</v>
      </c>
      <c r="Z383" s="13">
        <v>49.55274</v>
      </c>
      <c r="AA383" s="2">
        <v>54.515770000000003</v>
      </c>
      <c r="AB383" s="2">
        <f t="shared" si="311"/>
        <v>4.9630300000000034</v>
      </c>
      <c r="AC383" s="2">
        <f t="shared" si="312"/>
        <v>5.8364999999999938</v>
      </c>
      <c r="AD383" s="2">
        <f t="shared" si="313"/>
        <v>0.4595598141770989</v>
      </c>
      <c r="AE383" s="2">
        <f t="shared" si="314"/>
        <v>0.5404401858229011</v>
      </c>
      <c r="AF383" s="2">
        <f t="shared" si="315"/>
        <v>0.20148981569726546</v>
      </c>
      <c r="AG383" s="2">
        <f t="shared" si="316"/>
        <v>9.2596622260413208E-2</v>
      </c>
      <c r="AH383" s="2">
        <f t="shared" si="317"/>
        <v>10.799529999999997</v>
      </c>
      <c r="AI383" s="2">
        <v>37</v>
      </c>
      <c r="AJ383">
        <f t="shared" si="318"/>
        <v>7.4551231807988216</v>
      </c>
      <c r="AM383" s="2"/>
    </row>
    <row r="384" spans="3:39" x14ac:dyDescent="0.35">
      <c r="C384" s="2"/>
      <c r="D384" s="155">
        <v>0</v>
      </c>
      <c r="F384" s="13">
        <v>186.62295</v>
      </c>
      <c r="G384" s="13">
        <v>190.28317999999999</v>
      </c>
      <c r="H384" s="2">
        <f t="shared" si="298"/>
        <v>3.6602299999999843</v>
      </c>
      <c r="I384" s="2">
        <f t="shared" si="299"/>
        <v>4.072180000000003</v>
      </c>
      <c r="J384" s="2">
        <f t="shared" si="301"/>
        <v>0.4733621212532691</v>
      </c>
      <c r="K384" s="2">
        <f t="shared" si="302"/>
        <v>0.52663787874673096</v>
      </c>
      <c r="L384" s="2">
        <f t="shared" si="303"/>
        <v>0.2732068749778031</v>
      </c>
      <c r="M384" s="2">
        <f t="shared" si="304"/>
        <v>0.12932578588046956</v>
      </c>
      <c r="N384" s="2">
        <f t="shared" si="305"/>
        <v>7.7324099999999873</v>
      </c>
      <c r="O384" s="2">
        <v>28</v>
      </c>
      <c r="P384">
        <f t="shared" si="306"/>
        <v>7.6497924993784867</v>
      </c>
      <c r="W384" t="s">
        <v>541</v>
      </c>
      <c r="X384" s="155">
        <v>-8</v>
      </c>
      <c r="Z384" s="13">
        <v>60.352269999999997</v>
      </c>
      <c r="AA384" s="2">
        <v>65.195570000000004</v>
      </c>
      <c r="AB384" s="2">
        <f t="shared" si="311"/>
        <v>4.8433000000000064</v>
      </c>
      <c r="AC384" s="2">
        <f t="shared" si="312"/>
        <v>7.04101</v>
      </c>
      <c r="AD384" s="2">
        <f t="shared" si="313"/>
        <v>0.40753733283631982</v>
      </c>
      <c r="AE384" s="2">
        <f t="shared" si="314"/>
        <v>0.59246266716368023</v>
      </c>
      <c r="AF384" s="2">
        <f t="shared" si="315"/>
        <v>0.20647079470608856</v>
      </c>
      <c r="AG384" s="2">
        <f t="shared" si="316"/>
        <v>8.4144556983114668E-2</v>
      </c>
      <c r="AH384" s="2">
        <f t="shared" si="317"/>
        <v>11.884310000000006</v>
      </c>
      <c r="AI384" s="2">
        <v>42</v>
      </c>
      <c r="AJ384">
        <f t="shared" si="318"/>
        <v>8.67177337765572</v>
      </c>
      <c r="AM384" s="2"/>
    </row>
    <row r="385" spans="3:39" x14ac:dyDescent="0.35">
      <c r="C385" s="258" t="s">
        <v>541</v>
      </c>
      <c r="D385" s="155">
        <v>0</v>
      </c>
      <c r="F385" s="13">
        <v>194.35535999999999</v>
      </c>
      <c r="G385" s="13">
        <v>197.80296999999999</v>
      </c>
      <c r="H385" s="2">
        <f t="shared" si="298"/>
        <v>3.4476099999999974</v>
      </c>
      <c r="I385" s="2">
        <f t="shared" si="299"/>
        <v>7.8562300000000107</v>
      </c>
      <c r="J385" s="2">
        <f t="shared" si="301"/>
        <v>0.30499458591062817</v>
      </c>
      <c r="K385" s="2">
        <f t="shared" si="302"/>
        <v>0.69500541408937189</v>
      </c>
      <c r="L385" s="2">
        <f t="shared" si="303"/>
        <v>0.29005600981549556</v>
      </c>
      <c r="M385" s="2">
        <f t="shared" si="304"/>
        <v>8.8465512604566171E-2</v>
      </c>
      <c r="N385" s="2">
        <f t="shared" si="305"/>
        <v>11.303840000000008</v>
      </c>
      <c r="O385" s="2">
        <v>23</v>
      </c>
      <c r="P385">
        <f t="shared" si="306"/>
        <v>6.671288225756399</v>
      </c>
      <c r="W385" t="s">
        <v>541</v>
      </c>
      <c r="X385" s="155">
        <v>-8</v>
      </c>
      <c r="Z385" s="13">
        <v>72.236580000000004</v>
      </c>
      <c r="AA385" s="2">
        <v>76.035529999999994</v>
      </c>
      <c r="AB385" s="2">
        <f t="shared" si="311"/>
        <v>3.7989499999999907</v>
      </c>
      <c r="AC385" s="2">
        <f t="shared" si="312"/>
        <v>6.9810300000000041</v>
      </c>
      <c r="AD385" s="2">
        <f t="shared" si="313"/>
        <v>0.35240788943949736</v>
      </c>
      <c r="AE385" s="2">
        <f t="shared" si="314"/>
        <v>0.6475921105605027</v>
      </c>
      <c r="AF385" s="2">
        <f t="shared" si="315"/>
        <v>0.26323062951605114</v>
      </c>
      <c r="AG385" s="2">
        <f t="shared" si="316"/>
        <v>9.2764550583581837E-2</v>
      </c>
      <c r="AH385" s="2">
        <f t="shared" si="317"/>
        <v>10.779979999999995</v>
      </c>
      <c r="AI385" s="2">
        <v>30</v>
      </c>
      <c r="AJ385">
        <f t="shared" si="318"/>
        <v>7.8969188854815338</v>
      </c>
      <c r="AM385" s="2"/>
    </row>
    <row r="386" spans="3:39" x14ac:dyDescent="0.35">
      <c r="D386" s="155">
        <v>0</v>
      </c>
      <c r="F386" s="13">
        <v>205.6592</v>
      </c>
      <c r="G386" s="13">
        <v>209.27126000000001</v>
      </c>
      <c r="H386" s="2">
        <f t="shared" si="298"/>
        <v>3.6120600000000138</v>
      </c>
      <c r="I386" s="2">
        <f t="shared" si="299"/>
        <v>4.1321699999999737</v>
      </c>
      <c r="J386" s="2">
        <f t="shared" si="301"/>
        <v>0.46641951491626921</v>
      </c>
      <c r="K386" s="2">
        <f t="shared" si="302"/>
        <v>0.53358048508373079</v>
      </c>
      <c r="L386" s="2">
        <f t="shared" si="303"/>
        <v>0.27685032917504032</v>
      </c>
      <c r="M386" s="2">
        <f t="shared" si="304"/>
        <v>0.12912839623823177</v>
      </c>
      <c r="N386" s="2">
        <f t="shared" si="305"/>
        <v>7.7442299999999875</v>
      </c>
      <c r="O386" s="2">
        <v>27</v>
      </c>
      <c r="P386">
        <f t="shared" si="306"/>
        <v>7.4749588877260891</v>
      </c>
      <c r="W386" t="s">
        <v>541</v>
      </c>
      <c r="X386" s="155">
        <v>-8</v>
      </c>
      <c r="Z386" s="13">
        <v>83.016559999999998</v>
      </c>
      <c r="AA386" s="2">
        <v>87.854089999999999</v>
      </c>
      <c r="AB386" s="2">
        <f t="shared" ref="AB386:AB409" si="319">AA386-Z386</f>
        <v>4.837530000000001</v>
      </c>
      <c r="AC386" s="2">
        <f t="shared" ref="AC386:AC408" si="320">Z387-AA386</f>
        <v>8.8185500000000019</v>
      </c>
      <c r="AD386" s="2">
        <f t="shared" ref="AD386:AD408" si="321">AB386/AH386</f>
        <v>0.35424001616862233</v>
      </c>
      <c r="AE386" s="2">
        <f t="shared" ref="AE386:AE408" si="322">AC386/AH386</f>
        <v>0.64575998383137767</v>
      </c>
      <c r="AF386" s="2">
        <f t="shared" ref="AF386:AF408" si="323">1/AB386</f>
        <v>0.20671706428693978</v>
      </c>
      <c r="AG386" s="2">
        <f t="shared" ref="AG386:AG408" si="324">1/AH386</f>
        <v>7.3227456195335688E-2</v>
      </c>
      <c r="AH386" s="2">
        <f t="shared" ref="AH386:AH408" si="325">AB386+AC386</f>
        <v>13.656080000000003</v>
      </c>
      <c r="AI386" s="2">
        <v>43</v>
      </c>
      <c r="AJ386">
        <f t="shared" si="318"/>
        <v>8.8888337643384112</v>
      </c>
      <c r="AM386" s="2"/>
    </row>
    <row r="387" spans="3:39" x14ac:dyDescent="0.35">
      <c r="C387" s="258" t="s">
        <v>541</v>
      </c>
      <c r="D387" s="155">
        <v>0</v>
      </c>
      <c r="E387" s="2"/>
      <c r="F387" s="13">
        <v>213.40342999999999</v>
      </c>
      <c r="G387" s="13">
        <v>217.02584999999999</v>
      </c>
      <c r="H387" s="2">
        <f t="shared" si="298"/>
        <v>3.6224200000000053</v>
      </c>
      <c r="I387" s="2">
        <f t="shared" si="299"/>
        <v>8.6244200000000149</v>
      </c>
      <c r="J387" s="2">
        <f t="shared" si="301"/>
        <v>0.29578405531549357</v>
      </c>
      <c r="K387" s="2">
        <f t="shared" si="302"/>
        <v>0.70421594468450643</v>
      </c>
      <c r="L387" s="2">
        <f t="shared" si="303"/>
        <v>0.2760585464965406</v>
      </c>
      <c r="M387" s="2">
        <f t="shared" si="304"/>
        <v>8.1653716387247513E-2</v>
      </c>
      <c r="N387" s="2">
        <f t="shared" si="305"/>
        <v>12.24684000000002</v>
      </c>
      <c r="O387" s="2">
        <v>27</v>
      </c>
      <c r="P387">
        <f t="shared" si="306"/>
        <v>7.4535807554065956</v>
      </c>
      <c r="W387" t="s">
        <v>541</v>
      </c>
      <c r="X387" s="155">
        <v>-8</v>
      </c>
      <c r="Z387" s="13">
        <v>96.672640000000001</v>
      </c>
      <c r="AA387" s="2">
        <v>100.73327</v>
      </c>
      <c r="AB387" s="2">
        <f t="shared" si="319"/>
        <v>4.0606300000000033</v>
      </c>
      <c r="AC387" s="2">
        <f t="shared" si="320"/>
        <v>5.172939999999997</v>
      </c>
      <c r="AD387" s="2">
        <f t="shared" si="321"/>
        <v>0.43976815034704919</v>
      </c>
      <c r="AE387" s="2">
        <f t="shared" si="322"/>
        <v>0.56023184965295081</v>
      </c>
      <c r="AF387" s="2">
        <f t="shared" si="323"/>
        <v>0.24626720484259812</v>
      </c>
      <c r="AG387" s="2">
        <f t="shared" si="324"/>
        <v>0.10830047316476725</v>
      </c>
      <c r="AH387" s="2">
        <f t="shared" si="325"/>
        <v>9.2335700000000003</v>
      </c>
      <c r="AI387" s="2">
        <v>38</v>
      </c>
      <c r="AJ387">
        <f t="shared" si="318"/>
        <v>9.3581537840187288</v>
      </c>
      <c r="AM387" s="2"/>
    </row>
    <row r="388" spans="3:39" x14ac:dyDescent="0.35">
      <c r="D388" s="155"/>
      <c r="E388" s="2"/>
      <c r="F388" s="2">
        <v>225.65027000000001</v>
      </c>
      <c r="G388" s="2">
        <v>229.56594000000001</v>
      </c>
      <c r="H388" s="2">
        <f t="shared" si="298"/>
        <v>3.9156700000000058</v>
      </c>
      <c r="I388" s="2"/>
      <c r="J388" s="2"/>
      <c r="K388" s="2"/>
      <c r="L388" s="2"/>
      <c r="M388" s="2"/>
      <c r="N388" s="2"/>
      <c r="O388" s="2">
        <v>31</v>
      </c>
      <c r="W388" t="s">
        <v>541</v>
      </c>
      <c r="X388" s="155">
        <v>-8</v>
      </c>
      <c r="Z388" s="13">
        <v>105.90621</v>
      </c>
      <c r="AA388" s="2">
        <v>109.99041</v>
      </c>
      <c r="AB388" s="2">
        <f t="shared" si="319"/>
        <v>4.0841999999999956</v>
      </c>
      <c r="AC388" s="2">
        <f t="shared" si="320"/>
        <v>7.9259700000000066</v>
      </c>
      <c r="AD388" s="2">
        <f t="shared" si="321"/>
        <v>0.34006179762651112</v>
      </c>
      <c r="AE388" s="2">
        <f t="shared" si="322"/>
        <v>0.65993820237348888</v>
      </c>
      <c r="AF388" s="2">
        <f t="shared" si="323"/>
        <v>0.24484599187111333</v>
      </c>
      <c r="AG388" s="2">
        <f t="shared" si="324"/>
        <v>8.3262768137336921E-2</v>
      </c>
      <c r="AH388" s="2">
        <f t="shared" si="325"/>
        <v>12.010170000000002</v>
      </c>
      <c r="AI388" s="2">
        <v>34</v>
      </c>
      <c r="AJ388">
        <f t="shared" si="318"/>
        <v>8.3247637236178527</v>
      </c>
      <c r="AM388" s="2"/>
    </row>
    <row r="389" spans="3:39" x14ac:dyDescent="0.35">
      <c r="D389" s="155"/>
      <c r="W389" t="s">
        <v>541</v>
      </c>
      <c r="X389" s="155">
        <v>-8</v>
      </c>
      <c r="Z389" s="13">
        <v>117.91638</v>
      </c>
      <c r="AA389" s="2">
        <v>122.68885</v>
      </c>
      <c r="AB389" s="2">
        <f t="shared" si="319"/>
        <v>4.7724699999999984</v>
      </c>
      <c r="AC389" s="2">
        <f t="shared" si="320"/>
        <v>11.264019999999988</v>
      </c>
      <c r="AD389" s="2">
        <f t="shared" si="321"/>
        <v>0.29760065949593723</v>
      </c>
      <c r="AE389" s="2">
        <f t="shared" si="322"/>
        <v>0.70239934050406272</v>
      </c>
      <c r="AF389" s="2">
        <f t="shared" si="323"/>
        <v>0.20953510446372639</v>
      </c>
      <c r="AG389" s="2">
        <f t="shared" si="324"/>
        <v>6.2357785275955077E-2</v>
      </c>
      <c r="AH389" s="2">
        <f t="shared" si="325"/>
        <v>16.036489999999986</v>
      </c>
      <c r="AI389" s="2">
        <v>42</v>
      </c>
      <c r="AJ389">
        <f t="shared" si="318"/>
        <v>8.800474387476509</v>
      </c>
      <c r="AM389" s="2"/>
    </row>
    <row r="390" spans="3:39" x14ac:dyDescent="0.35">
      <c r="D390" s="155"/>
      <c r="X390" s="155">
        <v>0</v>
      </c>
      <c r="Z390" s="13">
        <v>133.95286999999999</v>
      </c>
      <c r="AA390" s="13">
        <v>138.66623999999999</v>
      </c>
      <c r="AB390" s="2">
        <f t="shared" si="319"/>
        <v>4.7133699999999976</v>
      </c>
      <c r="AC390" s="2">
        <f t="shared" si="320"/>
        <v>4.2906400000000247</v>
      </c>
      <c r="AD390" s="2">
        <f t="shared" si="321"/>
        <v>0.5234745407879362</v>
      </c>
      <c r="AE390" s="2">
        <f t="shared" si="322"/>
        <v>0.47652545921206374</v>
      </c>
      <c r="AF390" s="2">
        <f t="shared" si="323"/>
        <v>0.21216242306460145</v>
      </c>
      <c r="AG390" s="2">
        <f t="shared" si="324"/>
        <v>0.11106162698619809</v>
      </c>
      <c r="AH390" s="2">
        <f t="shared" si="325"/>
        <v>9.0040100000000223</v>
      </c>
      <c r="AI390" s="2">
        <v>41</v>
      </c>
      <c r="AJ390">
        <f t="shared" si="318"/>
        <v>8.6986593456486592</v>
      </c>
      <c r="AL390" t="s">
        <v>507</v>
      </c>
      <c r="AM390" s="2"/>
    </row>
    <row r="391" spans="3:39" ht="16" thickBot="1" x14ac:dyDescent="0.4">
      <c r="F391" s="2"/>
      <c r="G391" s="2"/>
      <c r="H391" s="9" t="s">
        <v>3</v>
      </c>
      <c r="I391" s="9" t="s">
        <v>4</v>
      </c>
      <c r="J391" s="9" t="s">
        <v>5</v>
      </c>
      <c r="K391" s="9" t="s">
        <v>6</v>
      </c>
      <c r="L391" s="9" t="s">
        <v>7</v>
      </c>
      <c r="M391" s="9" t="s">
        <v>8</v>
      </c>
      <c r="N391" s="9" t="s">
        <v>9</v>
      </c>
      <c r="O391" s="9" t="s">
        <v>10</v>
      </c>
      <c r="P391" s="44" t="s">
        <v>139</v>
      </c>
      <c r="W391" t="s">
        <v>541</v>
      </c>
      <c r="X391" s="155">
        <v>0</v>
      </c>
      <c r="Z391" s="13">
        <v>142.95688000000001</v>
      </c>
      <c r="AA391">
        <v>147.62153000000001</v>
      </c>
      <c r="AB391" s="2">
        <f t="shared" si="319"/>
        <v>4.6646499999999946</v>
      </c>
      <c r="AC391" s="2">
        <f t="shared" si="320"/>
        <v>8.1776199999999903</v>
      </c>
      <c r="AD391" s="2">
        <f t="shared" si="321"/>
        <v>0.36322628320382611</v>
      </c>
      <c r="AE391" s="2">
        <f t="shared" si="322"/>
        <v>0.63677371679617389</v>
      </c>
      <c r="AF391" s="2">
        <f t="shared" si="323"/>
        <v>0.21437835636114203</v>
      </c>
      <c r="AG391" s="2">
        <f t="shared" si="324"/>
        <v>7.7867853580402935E-2</v>
      </c>
      <c r="AH391" s="2">
        <f t="shared" si="325"/>
        <v>12.842269999999985</v>
      </c>
      <c r="AI391" s="2">
        <v>40</v>
      </c>
      <c r="AJ391">
        <f t="shared" si="318"/>
        <v>8.5751342544456808</v>
      </c>
      <c r="AM391" s="2"/>
    </row>
    <row r="392" spans="3:39" x14ac:dyDescent="0.35">
      <c r="E392" s="104" t="s">
        <v>419</v>
      </c>
      <c r="F392" s="13"/>
      <c r="G392" s="49" t="s">
        <v>77</v>
      </c>
      <c r="H392" s="13">
        <f>AVERAGE(H365:H377)</f>
        <v>3.7064776923076908</v>
      </c>
      <c r="I392" s="13">
        <f t="shared" ref="I392:P392" si="326">AVERAGE(I365:I377)</f>
        <v>6.052059230769232</v>
      </c>
      <c r="J392" s="13">
        <f t="shared" si="326"/>
        <v>0.397530790368747</v>
      </c>
      <c r="K392" s="13">
        <f t="shared" si="326"/>
        <v>0.60246920963125294</v>
      </c>
      <c r="L392" s="13">
        <f t="shared" si="326"/>
        <v>0.27096327868798564</v>
      </c>
      <c r="M392" s="13">
        <f t="shared" si="326"/>
        <v>0.10637452854852499</v>
      </c>
      <c r="N392" s="13">
        <f t="shared" si="326"/>
        <v>9.7585369230769228</v>
      </c>
      <c r="O392" s="13">
        <f t="shared" si="326"/>
        <v>28.46153846153846</v>
      </c>
      <c r="P392" s="13">
        <f t="shared" si="326"/>
        <v>7.6706259639455698</v>
      </c>
      <c r="W392" t="s">
        <v>541</v>
      </c>
      <c r="X392" s="155">
        <v>0</v>
      </c>
      <c r="Z392">
        <v>155.79915</v>
      </c>
      <c r="AA392">
        <v>160.69640000000001</v>
      </c>
      <c r="AB392" s="2">
        <f t="shared" si="319"/>
        <v>4.8972500000000139</v>
      </c>
      <c r="AC392" s="2">
        <f t="shared" si="320"/>
        <v>7.8720299999999952</v>
      </c>
      <c r="AD392" s="2">
        <f t="shared" si="321"/>
        <v>0.38351809968925504</v>
      </c>
      <c r="AE392" s="2">
        <f t="shared" si="322"/>
        <v>0.61648190031074501</v>
      </c>
      <c r="AF392" s="2">
        <f t="shared" si="323"/>
        <v>0.20419623257950834</v>
      </c>
      <c r="AG392" s="2">
        <f t="shared" si="324"/>
        <v>7.8312951082598184E-2</v>
      </c>
      <c r="AH392" s="2">
        <f t="shared" si="325"/>
        <v>12.769280000000009</v>
      </c>
      <c r="AI392" s="2">
        <v>47</v>
      </c>
      <c r="AJ392">
        <f t="shared" si="318"/>
        <v>9.5972229312368906</v>
      </c>
      <c r="AM392" s="2"/>
    </row>
    <row r="393" spans="3:39" x14ac:dyDescent="0.35">
      <c r="E393" s="104"/>
      <c r="F393" s="13"/>
      <c r="G393" s="49" t="s">
        <v>94</v>
      </c>
      <c r="H393" s="2">
        <f>_xlfn.STDEV.S(H365:H377)</f>
        <v>0.26214399046306042</v>
      </c>
      <c r="I393" s="2">
        <f t="shared" ref="I393:P393" si="327">_xlfn.STDEV.S(I365:I377)</f>
        <v>2.0877828230424353</v>
      </c>
      <c r="J393" s="2">
        <f t="shared" si="327"/>
        <v>0.10101349606873525</v>
      </c>
      <c r="K393" s="2">
        <f t="shared" si="327"/>
        <v>0.1010134960687358</v>
      </c>
      <c r="L393" s="2">
        <f t="shared" si="327"/>
        <v>1.792830949969575E-2</v>
      </c>
      <c r="M393" s="2">
        <f t="shared" si="327"/>
        <v>2.1584362621957676E-2</v>
      </c>
      <c r="N393" s="2">
        <f t="shared" si="327"/>
        <v>1.913485077027367</v>
      </c>
      <c r="O393" s="2">
        <f t="shared" si="327"/>
        <v>3.2045640529143418</v>
      </c>
      <c r="P393" s="2">
        <f t="shared" si="327"/>
        <v>0.58408544828093001</v>
      </c>
      <c r="W393" t="s">
        <v>541</v>
      </c>
      <c r="X393" s="155">
        <v>0</v>
      </c>
      <c r="Z393">
        <v>168.56843000000001</v>
      </c>
      <c r="AA393">
        <v>172.43776</v>
      </c>
      <c r="AB393" s="2">
        <f t="shared" si="319"/>
        <v>3.8693299999999908</v>
      </c>
      <c r="AC393" s="2">
        <f t="shared" si="320"/>
        <v>6.7642999999999915</v>
      </c>
      <c r="AD393" s="2">
        <f t="shared" si="321"/>
        <v>0.36387668181044452</v>
      </c>
      <c r="AE393" s="2">
        <f t="shared" si="322"/>
        <v>0.63612331818955548</v>
      </c>
      <c r="AF393" s="2">
        <f t="shared" si="323"/>
        <v>0.25844267612222332</v>
      </c>
      <c r="AG393" s="2">
        <f t="shared" si="324"/>
        <v>9.4041263425566027E-2</v>
      </c>
      <c r="AH393" s="2">
        <f t="shared" si="325"/>
        <v>10.633629999999982</v>
      </c>
      <c r="AI393">
        <v>33</v>
      </c>
      <c r="AJ393">
        <f t="shared" si="318"/>
        <v>8.52860831203337</v>
      </c>
      <c r="AM393" s="2"/>
    </row>
    <row r="394" spans="3:39" x14ac:dyDescent="0.35">
      <c r="E394" s="104"/>
      <c r="F394" s="13"/>
      <c r="G394" s="49" t="s">
        <v>95</v>
      </c>
      <c r="H394" s="2">
        <f>H393/(SQRT(COUNT(H365:H377)))</f>
        <v>7.2705661474562103E-2</v>
      </c>
      <c r="I394" s="2">
        <f t="shared" ref="I394:P394" si="328">I393/(SQRT(COUNT(I365:I377)))</f>
        <v>0.57904677080865086</v>
      </c>
      <c r="J394" s="2">
        <f t="shared" si="328"/>
        <v>2.8016103045361927E-2</v>
      </c>
      <c r="K394" s="2">
        <f t="shared" si="328"/>
        <v>2.8016103045362083E-2</v>
      </c>
      <c r="L394" s="2">
        <f t="shared" si="328"/>
        <v>4.9724183987339358E-3</v>
      </c>
      <c r="M394" s="2">
        <f t="shared" si="328"/>
        <v>5.9864250908982118E-3</v>
      </c>
      <c r="N394" s="2">
        <f t="shared" si="328"/>
        <v>0.5307052738505641</v>
      </c>
      <c r="O394" s="2">
        <f t="shared" si="328"/>
        <v>0.88878615448395049</v>
      </c>
      <c r="P394" s="2">
        <f t="shared" si="328"/>
        <v>0.1619961563868664</v>
      </c>
      <c r="W394" t="s">
        <v>541</v>
      </c>
      <c r="X394" s="155">
        <v>0</v>
      </c>
      <c r="Z394">
        <v>179.20205999999999</v>
      </c>
      <c r="AA394">
        <v>183.96566999999999</v>
      </c>
      <c r="AB394" s="2">
        <f t="shared" si="319"/>
        <v>4.7636099999999999</v>
      </c>
      <c r="AC394" s="2">
        <f t="shared" si="320"/>
        <v>10.666690000000017</v>
      </c>
      <c r="AD394" s="2">
        <f t="shared" si="321"/>
        <v>0.30871791215984101</v>
      </c>
      <c r="AE394" s="2">
        <f t="shared" si="322"/>
        <v>0.69128208784015899</v>
      </c>
      <c r="AF394" s="2">
        <f t="shared" si="323"/>
        <v>0.2099248259198381</v>
      </c>
      <c r="AG394" s="2">
        <f t="shared" si="324"/>
        <v>6.48075539684905E-2</v>
      </c>
      <c r="AH394" s="2">
        <f t="shared" si="325"/>
        <v>15.430300000000017</v>
      </c>
      <c r="AI394">
        <v>42</v>
      </c>
      <c r="AJ394">
        <f t="shared" si="318"/>
        <v>8.8168426886332014</v>
      </c>
      <c r="AM394" s="2"/>
    </row>
    <row r="395" spans="3:39" x14ac:dyDescent="0.35">
      <c r="E395" s="104"/>
      <c r="W395" t="s">
        <v>541</v>
      </c>
      <c r="X395" s="155">
        <v>0</v>
      </c>
      <c r="Z395">
        <v>194.63236000000001</v>
      </c>
      <c r="AA395">
        <v>199.54740000000001</v>
      </c>
      <c r="AB395" s="2">
        <f t="shared" si="319"/>
        <v>4.9150400000000047</v>
      </c>
      <c r="AC395" s="2">
        <f t="shared" si="320"/>
        <v>10.520009999999985</v>
      </c>
      <c r="AD395" s="2">
        <f t="shared" si="321"/>
        <v>0.31843369474021838</v>
      </c>
      <c r="AE395" s="2">
        <f t="shared" si="322"/>
        <v>0.68156630525978157</v>
      </c>
      <c r="AF395" s="2">
        <f t="shared" si="323"/>
        <v>0.20345714378723245</v>
      </c>
      <c r="AG395" s="2">
        <f t="shared" si="324"/>
        <v>6.4787610017460306E-2</v>
      </c>
      <c r="AH395" s="2">
        <f t="shared" si="325"/>
        <v>15.43504999999999</v>
      </c>
      <c r="AI395">
        <v>42</v>
      </c>
      <c r="AJ395">
        <f t="shared" si="318"/>
        <v>8.5452000390637632</v>
      </c>
      <c r="AM395" s="2"/>
    </row>
    <row r="396" spans="3:39" x14ac:dyDescent="0.35">
      <c r="E396" s="104"/>
      <c r="X396" s="155">
        <v>0</v>
      </c>
      <c r="Z396">
        <v>210.06741</v>
      </c>
      <c r="AA396">
        <v>214.90322</v>
      </c>
      <c r="AB396" s="2">
        <f t="shared" si="319"/>
        <v>4.8358100000000093</v>
      </c>
      <c r="AC396" s="2">
        <f t="shared" si="320"/>
        <v>5.1788499999999829</v>
      </c>
      <c r="AD396" s="2">
        <f t="shared" si="321"/>
        <v>0.48287310802363864</v>
      </c>
      <c r="AE396" s="2">
        <f t="shared" si="322"/>
        <v>0.5171268919763613</v>
      </c>
      <c r="AF396" s="2">
        <f t="shared" si="323"/>
        <v>0.20679058937385839</v>
      </c>
      <c r="AG396" s="2">
        <f t="shared" si="324"/>
        <v>9.9853614600995025E-2</v>
      </c>
      <c r="AH396" s="2">
        <f t="shared" si="325"/>
        <v>10.014659999999992</v>
      </c>
      <c r="AI396">
        <v>42</v>
      </c>
      <c r="AJ396">
        <f t="shared" si="318"/>
        <v>8.6852047537020525</v>
      </c>
      <c r="AM396" s="2"/>
    </row>
    <row r="397" spans="3:39" ht="16" thickBot="1" x14ac:dyDescent="0.4">
      <c r="E397" s="104" t="s">
        <v>81</v>
      </c>
      <c r="F397" s="13"/>
      <c r="G397" s="13"/>
      <c r="H397" s="9" t="s">
        <v>3</v>
      </c>
      <c r="I397" s="9" t="s">
        <v>4</v>
      </c>
      <c r="J397" s="9" t="s">
        <v>5</v>
      </c>
      <c r="K397" s="9" t="s">
        <v>6</v>
      </c>
      <c r="L397" s="9" t="s">
        <v>7</v>
      </c>
      <c r="M397" s="9" t="s">
        <v>8</v>
      </c>
      <c r="N397" s="9" t="s">
        <v>9</v>
      </c>
      <c r="O397" s="9" t="s">
        <v>10</v>
      </c>
      <c r="P397" s="44" t="s">
        <v>139</v>
      </c>
      <c r="W397" t="s">
        <v>541</v>
      </c>
      <c r="X397" s="155">
        <v>0</v>
      </c>
      <c r="Z397">
        <v>220.08206999999999</v>
      </c>
      <c r="AA397">
        <v>225.24122</v>
      </c>
      <c r="AB397" s="2">
        <f t="shared" si="319"/>
        <v>5.159150000000011</v>
      </c>
      <c r="AC397" s="2">
        <f t="shared" si="320"/>
        <v>9.557850000000002</v>
      </c>
      <c r="AD397" s="2">
        <f t="shared" si="321"/>
        <v>0.35055717877284814</v>
      </c>
      <c r="AE397" s="2">
        <f t="shared" si="322"/>
        <v>0.6494428212271518</v>
      </c>
      <c r="AF397" s="2">
        <f t="shared" si="323"/>
        <v>0.19383037903530578</v>
      </c>
      <c r="AG397" s="2">
        <f t="shared" si="324"/>
        <v>6.7948630835088619E-2</v>
      </c>
      <c r="AH397" s="2">
        <f t="shared" si="325"/>
        <v>14.717000000000013</v>
      </c>
      <c r="AI397">
        <v>42</v>
      </c>
      <c r="AJ397">
        <f t="shared" si="318"/>
        <v>8.1408759194828431</v>
      </c>
      <c r="AM397" s="2"/>
    </row>
    <row r="398" spans="3:39" x14ac:dyDescent="0.35">
      <c r="E398" s="104"/>
      <c r="F398" s="13"/>
      <c r="G398" s="49" t="s">
        <v>77</v>
      </c>
      <c r="H398" s="13">
        <f>AVERAGE(H365,H367,H369,H371,H373,H375,H377)</f>
        <v>3.5617628571428548</v>
      </c>
      <c r="I398" s="13">
        <f t="shared" ref="I398:P398" si="329">AVERAGE(I365,I367,I369,I371,I373,I375,I377)</f>
        <v>7.875371428571432</v>
      </c>
      <c r="J398" s="13">
        <f t="shared" si="329"/>
        <v>0.31167348287295804</v>
      </c>
      <c r="K398" s="13">
        <f t="shared" si="329"/>
        <v>0.68832651712704196</v>
      </c>
      <c r="L398" s="13">
        <f t="shared" si="329"/>
        <v>0.28120819669730623</v>
      </c>
      <c r="M398" s="13">
        <f t="shared" si="329"/>
        <v>8.7487978009299278E-2</v>
      </c>
      <c r="N398" s="13">
        <f t="shared" si="329"/>
        <v>11.437134285714285</v>
      </c>
      <c r="O398" s="13">
        <f t="shared" si="329"/>
        <v>25.857142857142858</v>
      </c>
      <c r="P398" s="13">
        <f t="shared" si="329"/>
        <v>7.2583908061459779</v>
      </c>
      <c r="W398" t="s">
        <v>541</v>
      </c>
      <c r="X398" s="155">
        <v>0</v>
      </c>
      <c r="Z398">
        <v>234.79907</v>
      </c>
      <c r="AA398">
        <v>239.78065000000001</v>
      </c>
      <c r="AB398" s="2">
        <f t="shared" si="319"/>
        <v>4.9815800000000081</v>
      </c>
      <c r="AC398" s="2">
        <f t="shared" si="320"/>
        <v>6.7515999999999963</v>
      </c>
      <c r="AD398" s="2">
        <f t="shared" si="321"/>
        <v>0.42457202565715402</v>
      </c>
      <c r="AE398" s="2">
        <f t="shared" si="322"/>
        <v>0.57542797434284598</v>
      </c>
      <c r="AF398" s="2">
        <f t="shared" si="323"/>
        <v>0.20073952440791845</v>
      </c>
      <c r="AG398" s="2">
        <f t="shared" si="324"/>
        <v>8.5228386507323645E-2</v>
      </c>
      <c r="AH398" s="2">
        <f t="shared" si="325"/>
        <v>11.733180000000004</v>
      </c>
      <c r="AI398">
        <v>44</v>
      </c>
      <c r="AJ398">
        <f t="shared" si="318"/>
        <v>8.8325390739484124</v>
      </c>
      <c r="AM398" s="2"/>
    </row>
    <row r="399" spans="3:39" x14ac:dyDescent="0.35">
      <c r="E399" s="104"/>
      <c r="F399" s="13"/>
      <c r="G399" s="49" t="s">
        <v>94</v>
      </c>
      <c r="H399" s="2">
        <f>_xlfn.STDEV.S(H365,H367,H369,H371,H373,H375,H377)</f>
        <v>0.15508656010051228</v>
      </c>
      <c r="I399" s="2">
        <f t="shared" ref="I399:P399" si="330">_xlfn.STDEV.S(I365,I367,I369,I371,I373,I375,I377)</f>
        <v>0.37329908855271493</v>
      </c>
      <c r="J399" s="2">
        <f t="shared" si="330"/>
        <v>1.7248838137685601E-2</v>
      </c>
      <c r="K399" s="2">
        <f t="shared" si="330"/>
        <v>1.7248838137685636E-2</v>
      </c>
      <c r="L399" s="2">
        <f t="shared" si="330"/>
        <v>1.2019281910115845E-2</v>
      </c>
      <c r="M399" s="2">
        <f t="shared" si="330"/>
        <v>2.3090515144057393E-3</v>
      </c>
      <c r="N399" s="2">
        <f t="shared" si="330"/>
        <v>0.30911435132526316</v>
      </c>
      <c r="O399" s="2">
        <f t="shared" si="330"/>
        <v>1.6761634196950514</v>
      </c>
      <c r="P399" s="2">
        <f t="shared" si="330"/>
        <v>0.31270297480340264</v>
      </c>
      <c r="W399" t="s">
        <v>541</v>
      </c>
      <c r="X399" s="155">
        <v>0</v>
      </c>
      <c r="Z399">
        <v>246.53225</v>
      </c>
      <c r="AA399">
        <v>250.5924</v>
      </c>
      <c r="AB399" s="2">
        <f t="shared" si="319"/>
        <v>4.060149999999993</v>
      </c>
      <c r="AC399" s="2">
        <f t="shared" si="320"/>
        <v>5.9285399999999981</v>
      </c>
      <c r="AD399" s="2">
        <f t="shared" si="321"/>
        <v>0.40647472291161268</v>
      </c>
      <c r="AE399" s="2">
        <f t="shared" si="322"/>
        <v>0.59352527708838732</v>
      </c>
      <c r="AF399" s="2">
        <f t="shared" si="323"/>
        <v>0.24629631910151145</v>
      </c>
      <c r="AG399" s="2">
        <f t="shared" si="324"/>
        <v>0.100113228060937</v>
      </c>
      <c r="AH399" s="2">
        <f t="shared" si="325"/>
        <v>9.9886899999999912</v>
      </c>
      <c r="AI399">
        <v>32</v>
      </c>
      <c r="AM399" s="2"/>
    </row>
    <row r="400" spans="3:39" x14ac:dyDescent="0.35">
      <c r="E400" s="104"/>
      <c r="F400" s="13"/>
      <c r="G400" s="49" t="s">
        <v>95</v>
      </c>
      <c r="H400" s="2">
        <f>H399/(SQRT(COUNT(H365,H367,H369,H371,H373,H375,H377)))</f>
        <v>5.8617209959203963E-2</v>
      </c>
      <c r="I400" s="2">
        <f t="shared" ref="I400:P400" si="331">I399/(SQRT(COUNT(I365,I367,I369,I371,I373,I375,I377)))</f>
        <v>0.14109379327965174</v>
      </c>
      <c r="J400" s="2">
        <f t="shared" si="331"/>
        <v>6.5194480167317988E-3</v>
      </c>
      <c r="K400" s="2">
        <f t="shared" si="331"/>
        <v>6.5194480167318119E-3</v>
      </c>
      <c r="L400" s="2">
        <f t="shared" si="331"/>
        <v>4.5428615531062731E-3</v>
      </c>
      <c r="M400" s="2">
        <f t="shared" si="331"/>
        <v>8.727394387935232E-4</v>
      </c>
      <c r="N400" s="2">
        <f t="shared" si="331"/>
        <v>0.11683424289824221</v>
      </c>
      <c r="O400" s="2">
        <f t="shared" si="331"/>
        <v>0.6335302236023842</v>
      </c>
      <c r="P400" s="2">
        <f t="shared" si="331"/>
        <v>0.11819061507998574</v>
      </c>
      <c r="X400" s="155">
        <v>0</v>
      </c>
      <c r="Z400">
        <v>256.52094</v>
      </c>
      <c r="AA400">
        <v>260.48066999999998</v>
      </c>
      <c r="AB400" s="2">
        <f t="shared" si="319"/>
        <v>3.9597299999999791</v>
      </c>
      <c r="AC400" s="2">
        <f t="shared" si="320"/>
        <v>4.3293200000000525</v>
      </c>
      <c r="AD400" s="2">
        <f t="shared" si="321"/>
        <v>0.47770613037681808</v>
      </c>
      <c r="AE400" s="2">
        <f t="shared" si="322"/>
        <v>0.52229386962318192</v>
      </c>
      <c r="AF400" s="2">
        <f t="shared" si="323"/>
        <v>0.25254247133011726</v>
      </c>
      <c r="AG400" s="2">
        <f t="shared" si="324"/>
        <v>0.12064108673490885</v>
      </c>
      <c r="AH400" s="2">
        <f t="shared" si="325"/>
        <v>8.2890500000000316</v>
      </c>
      <c r="AI400">
        <v>37</v>
      </c>
      <c r="AL400" t="s">
        <v>508</v>
      </c>
      <c r="AM400" s="2"/>
    </row>
    <row r="401" spans="3:39" x14ac:dyDescent="0.35">
      <c r="E401" s="104"/>
      <c r="F401" s="13"/>
      <c r="G401" s="49"/>
      <c r="H401" s="2"/>
      <c r="I401" s="2"/>
      <c r="J401" s="2"/>
      <c r="K401" s="2"/>
      <c r="L401" s="2"/>
      <c r="M401" s="2"/>
      <c r="N401" s="2"/>
      <c r="O401" s="2"/>
      <c r="P401" s="2"/>
      <c r="W401" t="s">
        <v>541</v>
      </c>
      <c r="X401" s="155">
        <v>0</v>
      </c>
      <c r="Z401">
        <v>264.80999000000003</v>
      </c>
      <c r="AA401">
        <v>268.71255000000002</v>
      </c>
      <c r="AB401" s="2">
        <f t="shared" si="319"/>
        <v>3.902559999999994</v>
      </c>
      <c r="AC401" s="2">
        <f t="shared" si="320"/>
        <v>8.0922899999999913</v>
      </c>
      <c r="AD401" s="2">
        <f t="shared" si="321"/>
        <v>0.32535296398037483</v>
      </c>
      <c r="AE401" s="2">
        <f t="shared" si="322"/>
        <v>0.67464703601962517</v>
      </c>
      <c r="AF401" s="2">
        <f t="shared" si="323"/>
        <v>0.25624205649624898</v>
      </c>
      <c r="AG401" s="2">
        <f t="shared" si="324"/>
        <v>8.3369112577481266E-2</v>
      </c>
      <c r="AH401" s="2">
        <f t="shared" si="325"/>
        <v>11.994849999999985</v>
      </c>
      <c r="AI401">
        <v>31</v>
      </c>
      <c r="AM401" s="2"/>
    </row>
    <row r="402" spans="3:39" x14ac:dyDescent="0.35">
      <c r="E402" s="104"/>
      <c r="F402" s="13"/>
      <c r="G402" s="49"/>
      <c r="H402" s="2"/>
      <c r="I402" s="2"/>
      <c r="J402" s="2"/>
      <c r="K402" s="2"/>
      <c r="L402" s="2"/>
      <c r="M402" s="2"/>
      <c r="N402" s="2"/>
      <c r="O402" s="2"/>
      <c r="P402" s="2"/>
      <c r="X402" s="155">
        <v>0</v>
      </c>
      <c r="Z402">
        <v>276.80484000000001</v>
      </c>
      <c r="AA402">
        <v>280.79800999999998</v>
      </c>
      <c r="AB402" s="2">
        <f t="shared" si="319"/>
        <v>3.9931699999999637</v>
      </c>
      <c r="AC402" s="2">
        <f t="shared" si="320"/>
        <v>5.9459700000000453</v>
      </c>
      <c r="AD402" s="2">
        <f t="shared" si="321"/>
        <v>0.40176212428841529</v>
      </c>
      <c r="AE402" s="2">
        <f t="shared" si="322"/>
        <v>0.59823787571158471</v>
      </c>
      <c r="AF402" s="2">
        <f t="shared" si="323"/>
        <v>0.25042760513577161</v>
      </c>
      <c r="AG402" s="2">
        <f t="shared" si="324"/>
        <v>0.10061232661980807</v>
      </c>
      <c r="AH402" s="2">
        <f t="shared" si="325"/>
        <v>9.939140000000009</v>
      </c>
      <c r="AI402">
        <v>37</v>
      </c>
      <c r="AM402" s="2"/>
    </row>
    <row r="403" spans="3:39" ht="16" thickBot="1" x14ac:dyDescent="0.4">
      <c r="E403" s="104" t="s">
        <v>82</v>
      </c>
      <c r="F403" s="13"/>
      <c r="G403" s="13"/>
      <c r="H403" s="9" t="s">
        <v>3</v>
      </c>
      <c r="I403" s="9" t="s">
        <v>4</v>
      </c>
      <c r="J403" s="9" t="s">
        <v>5</v>
      </c>
      <c r="K403" s="9" t="s">
        <v>6</v>
      </c>
      <c r="L403" s="9" t="s">
        <v>7</v>
      </c>
      <c r="M403" s="9" t="s">
        <v>8</v>
      </c>
      <c r="N403" s="9" t="s">
        <v>9</v>
      </c>
      <c r="O403" s="9" t="s">
        <v>10</v>
      </c>
      <c r="P403" s="44" t="s">
        <v>139</v>
      </c>
      <c r="W403" t="s">
        <v>541</v>
      </c>
      <c r="X403" s="155">
        <v>0</v>
      </c>
      <c r="Z403">
        <v>286.74398000000002</v>
      </c>
      <c r="AA403">
        <v>290.77285000000001</v>
      </c>
      <c r="AB403" s="2">
        <f t="shared" si="319"/>
        <v>4.0288699999999835</v>
      </c>
      <c r="AC403" s="2">
        <f t="shared" si="320"/>
        <v>7.8837899999999763</v>
      </c>
      <c r="AD403" s="2">
        <f t="shared" si="321"/>
        <v>0.33820070412485514</v>
      </c>
      <c r="AE403" s="2">
        <f t="shared" si="322"/>
        <v>0.66179929587514486</v>
      </c>
      <c r="AF403" s="2">
        <f t="shared" si="323"/>
        <v>0.24820855475604925</v>
      </c>
      <c r="AG403" s="2">
        <f t="shared" si="324"/>
        <v>8.3944307988308514E-2</v>
      </c>
      <c r="AH403" s="2">
        <f t="shared" si="325"/>
        <v>11.91265999999996</v>
      </c>
      <c r="AI403">
        <v>38</v>
      </c>
      <c r="AM403" s="2"/>
    </row>
    <row r="404" spans="3:39" x14ac:dyDescent="0.35">
      <c r="E404" s="104"/>
      <c r="F404" s="13"/>
      <c r="G404" s="49" t="s">
        <v>77</v>
      </c>
      <c r="H404" s="13">
        <f>AVERAGE(H366,H368,H370,H372,H374,H376)</f>
        <v>3.8753116666666654</v>
      </c>
      <c r="I404" s="13">
        <f t="shared" ref="I404:P404" si="332">AVERAGE(I366,I368,I370,I372,I374,I376)</f>
        <v>3.924861666666668</v>
      </c>
      <c r="J404" s="13">
        <f t="shared" si="332"/>
        <v>0.49769764911383407</v>
      </c>
      <c r="K404" s="13">
        <f t="shared" si="332"/>
        <v>0.50230235088616582</v>
      </c>
      <c r="L404" s="13">
        <f t="shared" si="332"/>
        <v>0.25901087434377823</v>
      </c>
      <c r="M404" s="13">
        <f t="shared" si="332"/>
        <v>0.12840883751095497</v>
      </c>
      <c r="N404" s="13">
        <f t="shared" si="332"/>
        <v>7.8001733333333334</v>
      </c>
      <c r="O404" s="13">
        <f t="shared" si="332"/>
        <v>31.5</v>
      </c>
      <c r="P404" s="13">
        <f t="shared" si="332"/>
        <v>8.1515669813784282</v>
      </c>
      <c r="X404" s="155">
        <v>0</v>
      </c>
      <c r="Z404">
        <v>298.65663999999998</v>
      </c>
      <c r="AA404">
        <v>303.37297000000001</v>
      </c>
      <c r="AB404" s="2">
        <f t="shared" si="319"/>
        <v>4.7163300000000277</v>
      </c>
      <c r="AC404" s="2">
        <f t="shared" si="320"/>
        <v>4.3415400000000091</v>
      </c>
      <c r="AD404" s="2">
        <f t="shared" si="321"/>
        <v>0.52068863871969995</v>
      </c>
      <c r="AE404" s="2">
        <f t="shared" si="322"/>
        <v>0.47931136128030005</v>
      </c>
      <c r="AF404" s="2">
        <f t="shared" si="323"/>
        <v>0.2120292685202253</v>
      </c>
      <c r="AG404" s="2">
        <f t="shared" si="324"/>
        <v>0.11040123119452984</v>
      </c>
      <c r="AH404" s="2">
        <f t="shared" si="325"/>
        <v>9.0578700000000367</v>
      </c>
      <c r="AI404">
        <v>43</v>
      </c>
      <c r="AM404" s="2"/>
    </row>
    <row r="405" spans="3:39" x14ac:dyDescent="0.35">
      <c r="E405" s="104"/>
      <c r="F405" s="13"/>
      <c r="G405" s="49" t="s">
        <v>94</v>
      </c>
      <c r="H405" s="2">
        <f>_xlfn.STDEV.S(H366,H368,H370,H372,H374,H376)</f>
        <v>0.26933119540199041</v>
      </c>
      <c r="I405" s="2">
        <f t="shared" ref="I405:P405" si="333">_xlfn.STDEV.S(I366,I368,I370,I372,I374,I376)</f>
        <v>0.45800517077503561</v>
      </c>
      <c r="J405" s="2">
        <f t="shared" si="333"/>
        <v>4.2092383766201211E-2</v>
      </c>
      <c r="K405" s="2">
        <f t="shared" si="333"/>
        <v>4.2092383766201197E-2</v>
      </c>
      <c r="L405" s="2">
        <f t="shared" si="333"/>
        <v>1.6723900978091566E-2</v>
      </c>
      <c r="M405" s="2">
        <f t="shared" si="333"/>
        <v>5.4525046826367869E-3</v>
      </c>
      <c r="N405" s="2">
        <f t="shared" si="333"/>
        <v>0.35463788521062861</v>
      </c>
      <c r="O405" s="2">
        <f t="shared" si="333"/>
        <v>0.83666002653407556</v>
      </c>
      <c r="P405" s="2">
        <f t="shared" si="333"/>
        <v>0.43122626943138304</v>
      </c>
      <c r="W405" t="s">
        <v>541</v>
      </c>
      <c r="X405" s="155">
        <v>0</v>
      </c>
      <c r="Z405">
        <v>307.71451000000002</v>
      </c>
      <c r="AA405">
        <v>312.50355999999999</v>
      </c>
      <c r="AB405" s="2">
        <f t="shared" si="319"/>
        <v>4.7890499999999747</v>
      </c>
      <c r="AC405" s="2">
        <f t="shared" si="320"/>
        <v>8.0873700000000213</v>
      </c>
      <c r="AD405" s="2">
        <f t="shared" si="321"/>
        <v>0.37192402857315748</v>
      </c>
      <c r="AE405" s="2">
        <f t="shared" si="322"/>
        <v>0.62807597142684257</v>
      </c>
      <c r="AF405" s="2">
        <f t="shared" si="323"/>
        <v>0.20880968041678521</v>
      </c>
      <c r="AG405" s="2">
        <f t="shared" si="324"/>
        <v>7.76613375456843E-2</v>
      </c>
      <c r="AH405" s="2">
        <f t="shared" si="325"/>
        <v>12.876419999999996</v>
      </c>
      <c r="AI405">
        <v>35</v>
      </c>
      <c r="AM405" s="2"/>
    </row>
    <row r="406" spans="3:39" x14ac:dyDescent="0.35">
      <c r="E406" s="104"/>
      <c r="F406" s="13"/>
      <c r="G406" s="49" t="s">
        <v>95</v>
      </c>
      <c r="H406" s="2">
        <f>H405/(SQRT(COUNT(H366,H368,H370,H372,H374,H376)))</f>
        <v>0.10995400009145123</v>
      </c>
      <c r="I406" s="2">
        <f t="shared" ref="I406:P406" si="334">I405/(SQRT(COUNT(I366,I368,I370,I372,I374,I376)))</f>
        <v>0.18697982799251794</v>
      </c>
      <c r="J406" s="2">
        <f t="shared" si="334"/>
        <v>1.7184143714100507E-2</v>
      </c>
      <c r="K406" s="2">
        <f t="shared" si="334"/>
        <v>1.71841437141005E-2</v>
      </c>
      <c r="L406" s="2">
        <f t="shared" si="334"/>
        <v>6.8275039841928092E-3</v>
      </c>
      <c r="M406" s="2">
        <f t="shared" si="334"/>
        <v>2.2259757154326765E-3</v>
      </c>
      <c r="N406" s="2">
        <f t="shared" si="334"/>
        <v>0.14478031037095884</v>
      </c>
      <c r="O406" s="2">
        <f t="shared" si="334"/>
        <v>0.34156502553198664</v>
      </c>
      <c r="P406" s="2">
        <f t="shared" si="334"/>
        <v>0.17604738729847133</v>
      </c>
      <c r="W406" t="s">
        <v>541</v>
      </c>
      <c r="X406" s="155">
        <v>0</v>
      </c>
      <c r="Z406">
        <v>320.59093000000001</v>
      </c>
      <c r="AA406">
        <v>325.43943999999999</v>
      </c>
      <c r="AB406" s="2">
        <f t="shared" si="319"/>
        <v>4.8485099999999761</v>
      </c>
      <c r="AC406" s="2">
        <f t="shared" si="320"/>
        <v>9.8237100000000055</v>
      </c>
      <c r="AD406" s="2">
        <f t="shared" si="321"/>
        <v>0.33045510495344144</v>
      </c>
      <c r="AE406" s="2">
        <f t="shared" si="322"/>
        <v>0.66954489504655856</v>
      </c>
      <c r="AF406" s="2">
        <f t="shared" si="323"/>
        <v>0.2062489300836762</v>
      </c>
      <c r="AG406" s="2">
        <f t="shared" si="324"/>
        <v>6.8156011837336217E-2</v>
      </c>
      <c r="AH406" s="2">
        <f t="shared" si="325"/>
        <v>14.672219999999982</v>
      </c>
      <c r="AI406">
        <v>41</v>
      </c>
      <c r="AM406" s="2"/>
    </row>
    <row r="407" spans="3:39" x14ac:dyDescent="0.35">
      <c r="E407" s="104"/>
      <c r="F407" s="13"/>
      <c r="G407" s="49"/>
      <c r="H407" s="2"/>
      <c r="I407" s="2"/>
      <c r="J407" s="2"/>
      <c r="K407" s="2"/>
      <c r="L407" s="2"/>
      <c r="M407" s="2"/>
      <c r="N407" s="2"/>
      <c r="O407" s="2"/>
      <c r="P407" s="2"/>
      <c r="X407" s="155">
        <v>0</v>
      </c>
      <c r="Z407">
        <v>335.26315</v>
      </c>
      <c r="AA407">
        <v>339.97435999999999</v>
      </c>
      <c r="AB407" s="2">
        <f t="shared" si="319"/>
        <v>4.7112099999999941</v>
      </c>
      <c r="AC407" s="2">
        <f t="shared" si="320"/>
        <v>4.3325300000000198</v>
      </c>
      <c r="AD407" s="2">
        <f t="shared" si="321"/>
        <v>0.52093602867839928</v>
      </c>
      <c r="AE407" s="2">
        <f t="shared" si="322"/>
        <v>0.47906397132160072</v>
      </c>
      <c r="AF407" s="2">
        <f t="shared" si="323"/>
        <v>0.21225969549224111</v>
      </c>
      <c r="AG407" s="2">
        <f t="shared" si="324"/>
        <v>0.11057372281821441</v>
      </c>
      <c r="AH407" s="2">
        <f t="shared" si="325"/>
        <v>9.0437400000000139</v>
      </c>
      <c r="AI407">
        <v>38</v>
      </c>
      <c r="AM407" s="2"/>
    </row>
    <row r="408" spans="3:39" x14ac:dyDescent="0.35">
      <c r="C408" s="2"/>
      <c r="E408" s="104"/>
      <c r="W408" t="s">
        <v>541</v>
      </c>
      <c r="X408" s="155">
        <v>0</v>
      </c>
      <c r="Z408">
        <v>344.30689000000001</v>
      </c>
      <c r="AA408">
        <v>348.63542999999999</v>
      </c>
      <c r="AB408" s="2">
        <f t="shared" si="319"/>
        <v>4.3285399999999754</v>
      </c>
      <c r="AC408" s="2">
        <f t="shared" si="320"/>
        <v>8.5801000000000158</v>
      </c>
      <c r="AD408" s="2">
        <f t="shared" si="321"/>
        <v>0.33532114924577477</v>
      </c>
      <c r="AE408" s="2">
        <f t="shared" si="322"/>
        <v>0.66467885075422517</v>
      </c>
      <c r="AF408" s="2">
        <f t="shared" si="323"/>
        <v>0.23102477971787386</v>
      </c>
      <c r="AG408" s="2">
        <f t="shared" si="324"/>
        <v>7.7467494639249429E-2</v>
      </c>
      <c r="AH408" s="2">
        <f t="shared" si="325"/>
        <v>12.908639999999991</v>
      </c>
      <c r="AI408">
        <v>39</v>
      </c>
      <c r="AM408" s="2"/>
    </row>
    <row r="409" spans="3:39" x14ac:dyDescent="0.35">
      <c r="E409" s="104"/>
      <c r="X409" s="155">
        <v>0</v>
      </c>
      <c r="Z409">
        <v>357.21553</v>
      </c>
      <c r="AA409">
        <v>359.98505</v>
      </c>
      <c r="AB409" s="2">
        <f t="shared" si="319"/>
        <v>2.76952</v>
      </c>
      <c r="AC409" s="2"/>
      <c r="AD409" s="2"/>
      <c r="AE409" s="2"/>
      <c r="AF409" s="2"/>
      <c r="AG409" s="2"/>
      <c r="AH409" s="2"/>
      <c r="AM409" s="2"/>
    </row>
    <row r="410" spans="3:39" ht="16" thickBot="1" x14ac:dyDescent="0.4">
      <c r="E410" s="104"/>
      <c r="G410" s="13"/>
      <c r="H410" s="9" t="s">
        <v>3</v>
      </c>
      <c r="I410" s="9" t="s">
        <v>4</v>
      </c>
      <c r="J410" s="9" t="s">
        <v>5</v>
      </c>
      <c r="K410" s="9" t="s">
        <v>6</v>
      </c>
      <c r="L410" s="9" t="s">
        <v>7</v>
      </c>
      <c r="M410" s="9" t="s">
        <v>8</v>
      </c>
      <c r="N410" s="9" t="s">
        <v>9</v>
      </c>
      <c r="O410" s="9" t="s">
        <v>10</v>
      </c>
      <c r="P410" s="44" t="s">
        <v>139</v>
      </c>
      <c r="X410" s="155"/>
      <c r="AB410" s="2"/>
      <c r="AC410" s="2"/>
      <c r="AD410" s="2"/>
      <c r="AE410" s="2"/>
      <c r="AF410" s="2"/>
      <c r="AG410" s="2"/>
      <c r="AH410" s="2"/>
      <c r="AM410" s="2"/>
    </row>
    <row r="411" spans="3:39" x14ac:dyDescent="0.35">
      <c r="E411" s="104" t="s">
        <v>410</v>
      </c>
      <c r="G411" s="49" t="s">
        <v>77</v>
      </c>
      <c r="H411" s="13">
        <f t="shared" ref="H411:P411" si="335">AVERAGE(H378:H387)</f>
        <v>3.558402000000001</v>
      </c>
      <c r="I411" s="13">
        <f t="shared" si="335"/>
        <v>6.187765999999999</v>
      </c>
      <c r="J411" s="13">
        <f t="shared" si="335"/>
        <v>0.38763978560178269</v>
      </c>
      <c r="K411" s="13">
        <f t="shared" si="335"/>
        <v>0.6123602143982172</v>
      </c>
      <c r="L411" s="13">
        <f t="shared" si="335"/>
        <v>0.28351666232792488</v>
      </c>
      <c r="M411" s="13">
        <f t="shared" si="335"/>
        <v>0.10838100949447238</v>
      </c>
      <c r="N411" s="13">
        <f t="shared" si="335"/>
        <v>9.7461680000000008</v>
      </c>
      <c r="O411" s="13">
        <f t="shared" si="335"/>
        <v>25.8</v>
      </c>
      <c r="P411" s="13">
        <f t="shared" si="335"/>
        <v>7.2654028577358387</v>
      </c>
      <c r="AM411" s="2"/>
    </row>
    <row r="412" spans="3:39" ht="16" thickBot="1" x14ac:dyDescent="0.4">
      <c r="G412" s="49" t="s">
        <v>94</v>
      </c>
      <c r="H412" s="2">
        <f t="shared" ref="H412:P412" si="336">_xlfn.STDEV.S(H378:H387)</f>
        <v>0.35000193414703612</v>
      </c>
      <c r="I412" s="2">
        <f t="shared" si="336"/>
        <v>2.4151499803081085</v>
      </c>
      <c r="J412" s="2">
        <f t="shared" si="336"/>
        <v>0.11042899763011932</v>
      </c>
      <c r="K412" s="2">
        <f t="shared" si="336"/>
        <v>0.11042899763011965</v>
      </c>
      <c r="L412" s="2">
        <f t="shared" si="336"/>
        <v>2.8558627212905925E-2</v>
      </c>
      <c r="M412" s="2">
        <f t="shared" si="336"/>
        <v>2.7807730740170351E-2</v>
      </c>
      <c r="N412" s="2">
        <f t="shared" si="336"/>
        <v>2.2844388350791527</v>
      </c>
      <c r="O412" s="2">
        <f t="shared" si="336"/>
        <v>2.7808871486152351</v>
      </c>
      <c r="P412" s="2">
        <f t="shared" si="336"/>
        <v>0.60484185705503946</v>
      </c>
      <c r="X412" s="2"/>
      <c r="Z412" s="13"/>
      <c r="AA412" s="13"/>
      <c r="AB412" s="9" t="s">
        <v>3</v>
      </c>
      <c r="AC412" s="9" t="s">
        <v>4</v>
      </c>
      <c r="AD412" s="9" t="s">
        <v>5</v>
      </c>
      <c r="AE412" s="9" t="s">
        <v>6</v>
      </c>
      <c r="AF412" s="9" t="s">
        <v>7</v>
      </c>
      <c r="AG412" s="9" t="s">
        <v>8</v>
      </c>
      <c r="AH412" s="9" t="s">
        <v>9</v>
      </c>
      <c r="AI412" s="9" t="s">
        <v>10</v>
      </c>
      <c r="AJ412" s="44" t="s">
        <v>139</v>
      </c>
      <c r="AK412" s="2"/>
      <c r="AM412" s="2"/>
    </row>
    <row r="413" spans="3:39" x14ac:dyDescent="0.35">
      <c r="G413" s="49" t="s">
        <v>95</v>
      </c>
      <c r="H413" s="2">
        <f t="shared" ref="H413:P413" si="337">H412/(SQRT(COUNT(H378:H387)))</f>
        <v>0.11068032973688965</v>
      </c>
      <c r="I413" s="2">
        <f t="shared" si="337"/>
        <v>0.76373748286844323</v>
      </c>
      <c r="J413" s="2">
        <f t="shared" si="337"/>
        <v>3.4920715224051317E-2</v>
      </c>
      <c r="K413" s="2">
        <f t="shared" si="337"/>
        <v>3.4920715224051428E-2</v>
      </c>
      <c r="L413" s="2">
        <f t="shared" si="337"/>
        <v>9.0310308840449143E-3</v>
      </c>
      <c r="M413" s="2">
        <f t="shared" si="337"/>
        <v>8.7935765699618217E-3</v>
      </c>
      <c r="N413" s="2">
        <f t="shared" si="337"/>
        <v>0.72240298941918812</v>
      </c>
      <c r="O413" s="2">
        <f t="shared" si="337"/>
        <v>0.87939373055153014</v>
      </c>
      <c r="P413" s="2">
        <f t="shared" si="337"/>
        <v>0.19126778924999074</v>
      </c>
      <c r="X413" s="2"/>
      <c r="Y413" s="104" t="s">
        <v>435</v>
      </c>
      <c r="Z413" s="13"/>
      <c r="AA413" s="49" t="s">
        <v>77</v>
      </c>
      <c r="AB413" s="13">
        <f>AVERAGE(AB379:AB389)</f>
        <v>4.2773436363636357</v>
      </c>
      <c r="AC413" s="13">
        <f t="shared" ref="AC413:AJ413" si="338">AVERAGE(AC379:AC388)</f>
        <v>6.9473219999999998</v>
      </c>
      <c r="AD413" s="13">
        <f t="shared" si="338"/>
        <v>0.37985892573623914</v>
      </c>
      <c r="AE413" s="13">
        <f t="shared" si="338"/>
        <v>0.62014107426376075</v>
      </c>
      <c r="AF413" s="13">
        <f t="shared" si="338"/>
        <v>0.25103070081107415</v>
      </c>
      <c r="AG413" s="13">
        <f t="shared" si="338"/>
        <v>9.1431645347036322E-2</v>
      </c>
      <c r="AH413" s="13">
        <f t="shared" si="338"/>
        <v>11.175153</v>
      </c>
      <c r="AI413" s="13">
        <f t="shared" si="338"/>
        <v>36.1</v>
      </c>
      <c r="AJ413" s="13">
        <f t="shared" si="338"/>
        <v>8.5806290622146957</v>
      </c>
      <c r="AK413" s="2"/>
      <c r="AL413" s="2"/>
      <c r="AM413" s="2"/>
    </row>
    <row r="414" spans="3:39" x14ac:dyDescent="0.35">
      <c r="G414" s="49"/>
      <c r="H414" s="2"/>
      <c r="I414" s="2"/>
      <c r="J414" s="2"/>
      <c r="K414" s="2"/>
      <c r="L414" s="2"/>
      <c r="M414" s="2"/>
      <c r="N414" s="2"/>
      <c r="O414" s="2"/>
      <c r="P414" s="2"/>
      <c r="X414" s="2"/>
      <c r="Y414" s="104"/>
      <c r="Z414" s="13"/>
      <c r="AA414" s="49" t="s">
        <v>94</v>
      </c>
      <c r="AB414" s="2">
        <f>_xlfn.STDEV.S(AB379:AB389)</f>
        <v>0.82585845138586622</v>
      </c>
      <c r="AC414" s="2">
        <f t="shared" ref="AC414:AJ414" si="339">_xlfn.STDEV.S(AC379:AC388)</f>
        <v>1.3870576221371973</v>
      </c>
      <c r="AD414" s="2">
        <f t="shared" si="339"/>
        <v>7.131349276302007E-2</v>
      </c>
      <c r="AE414" s="2">
        <f t="shared" si="339"/>
        <v>7.1313492763021097E-2</v>
      </c>
      <c r="AF414" s="2">
        <f t="shared" si="339"/>
        <v>8.216673539263579E-2</v>
      </c>
      <c r="AG414" s="2">
        <f t="shared" si="339"/>
        <v>1.4214032795753432E-2</v>
      </c>
      <c r="AH414" s="2">
        <f t="shared" si="339"/>
        <v>1.7149153445193011</v>
      </c>
      <c r="AI414" s="2">
        <f t="shared" si="339"/>
        <v>7.2334101378410844</v>
      </c>
      <c r="AJ414" s="2">
        <f t="shared" si="339"/>
        <v>0.72868645761736672</v>
      </c>
      <c r="AK414" s="2"/>
      <c r="AL414" s="2"/>
      <c r="AM414" s="2"/>
    </row>
    <row r="415" spans="3:39" x14ac:dyDescent="0.35">
      <c r="X415" s="2"/>
      <c r="Y415" s="104"/>
      <c r="Z415" s="13"/>
      <c r="AA415" s="49" t="s">
        <v>95</v>
      </c>
      <c r="AB415" s="2">
        <f>AB414/(SQRT(COUNT(AB379:AB389)))</f>
        <v>0.24900569210826215</v>
      </c>
      <c r="AC415" s="2">
        <f t="shared" ref="AC415:AJ415" si="340">AC414/(SQRT(COUNT(AC379:AC388)))</f>
        <v>0.43862613318507321</v>
      </c>
      <c r="AD415" s="2">
        <f t="shared" si="340"/>
        <v>2.2551306503307774E-2</v>
      </c>
      <c r="AE415" s="2">
        <f t="shared" si="340"/>
        <v>2.25513065033081E-2</v>
      </c>
      <c r="AF415" s="2">
        <f t="shared" si="340"/>
        <v>2.5983403174109864E-2</v>
      </c>
      <c r="AG415" s="2">
        <f t="shared" si="340"/>
        <v>4.4948718370911769E-3</v>
      </c>
      <c r="AH415" s="2">
        <f t="shared" si="340"/>
        <v>0.54230384830533451</v>
      </c>
      <c r="AI415" s="2">
        <f t="shared" si="340"/>
        <v>2.2874051285730337</v>
      </c>
      <c r="AJ415" s="2">
        <f t="shared" si="340"/>
        <v>0.23043089061906313</v>
      </c>
      <c r="AK415" s="2"/>
      <c r="AL415" s="2"/>
      <c r="AM415" s="2"/>
    </row>
    <row r="416" spans="3:39" ht="16" thickBot="1" x14ac:dyDescent="0.4">
      <c r="E416" s="104" t="s">
        <v>81</v>
      </c>
      <c r="F416" s="13"/>
      <c r="G416" s="13"/>
      <c r="H416" s="9" t="s">
        <v>3</v>
      </c>
      <c r="I416" s="9" t="s">
        <v>4</v>
      </c>
      <c r="J416" s="9" t="s">
        <v>5</v>
      </c>
      <c r="K416" s="9" t="s">
        <v>6</v>
      </c>
      <c r="L416" s="9" t="s">
        <v>7</v>
      </c>
      <c r="M416" s="9" t="s">
        <v>8</v>
      </c>
      <c r="N416" s="9" t="s">
        <v>9</v>
      </c>
      <c r="O416" s="9" t="s">
        <v>10</v>
      </c>
      <c r="P416" s="44" t="s">
        <v>139</v>
      </c>
      <c r="X416" s="2"/>
      <c r="Y416" s="2"/>
      <c r="Z416" s="2"/>
      <c r="AA416" s="2"/>
      <c r="AB416" s="2"/>
      <c r="AC416" s="2"/>
      <c r="AD416" s="2"/>
      <c r="AE416" s="2"/>
      <c r="AF416" s="2"/>
      <c r="AG416" s="2"/>
      <c r="AH416" s="2"/>
      <c r="AI416" s="2"/>
      <c r="AJ416" s="2"/>
      <c r="AK416" s="2"/>
      <c r="AL416" s="2"/>
      <c r="AM416" s="2"/>
    </row>
    <row r="417" spans="3:39" x14ac:dyDescent="0.35">
      <c r="E417" s="104"/>
      <c r="F417" s="13"/>
      <c r="G417" s="49" t="s">
        <v>77</v>
      </c>
      <c r="H417" s="13">
        <f>AVERAGE(H385,H387,H383,H381,H379)</f>
        <v>3.3938479999999971</v>
      </c>
      <c r="I417" s="13">
        <f t="shared" ref="I417:P417" si="341">AVERAGE(I385,I387,I383,I381,I379)</f>
        <v>8.392528000000004</v>
      </c>
      <c r="J417" s="13">
        <f t="shared" si="341"/>
        <v>0.28838472167426599</v>
      </c>
      <c r="K417" s="13">
        <f t="shared" si="341"/>
        <v>0.71161527832573401</v>
      </c>
      <c r="L417" s="13">
        <f t="shared" si="341"/>
        <v>0.29689784344570991</v>
      </c>
      <c r="M417" s="13">
        <f t="shared" si="341"/>
        <v>8.4961812201466674E-2</v>
      </c>
      <c r="N417" s="13">
        <f t="shared" si="341"/>
        <v>11.786376000000001</v>
      </c>
      <c r="O417" s="13">
        <f t="shared" si="341"/>
        <v>24</v>
      </c>
      <c r="P417" s="13">
        <f t="shared" si="341"/>
        <v>7.0805018972944493</v>
      </c>
      <c r="X417" s="2"/>
      <c r="Y417" s="2"/>
      <c r="Z417" s="2"/>
      <c r="AA417" s="2"/>
      <c r="AB417" s="2"/>
      <c r="AC417" s="2"/>
      <c r="AD417" s="2"/>
      <c r="AE417" s="2"/>
      <c r="AF417" s="2"/>
      <c r="AG417" s="2"/>
      <c r="AH417" s="2"/>
      <c r="AI417" s="2"/>
      <c r="AJ417" s="2"/>
      <c r="AK417" s="2"/>
      <c r="AL417" s="2"/>
      <c r="AM417" s="2"/>
    </row>
    <row r="418" spans="3:39" ht="16" thickBot="1" x14ac:dyDescent="0.4">
      <c r="E418" s="104"/>
      <c r="F418" s="13"/>
      <c r="G418" s="49" t="s">
        <v>94</v>
      </c>
      <c r="H418" s="2">
        <f>_xlfn.STDEV.S(H385,H387,H383,H381,H379)</f>
        <v>0.31499476181359592</v>
      </c>
      <c r="I418" s="2">
        <f t="shared" ref="I418:P418" si="342">_xlfn.STDEV.S(I385,I387,I383,I381,I379)</f>
        <v>0.59146445630317301</v>
      </c>
      <c r="J418" s="2">
        <f t="shared" si="342"/>
        <v>2.9148591638965778E-2</v>
      </c>
      <c r="K418" s="2">
        <f t="shared" si="342"/>
        <v>2.9148591638965767E-2</v>
      </c>
      <c r="L418" s="2">
        <f t="shared" si="342"/>
        <v>3.0321490921856004E-2</v>
      </c>
      <c r="M418" s="2">
        <f t="shared" si="342"/>
        <v>3.5652463506890947E-3</v>
      </c>
      <c r="N418" s="2">
        <f t="shared" si="342"/>
        <v>0.48803284953986759</v>
      </c>
      <c r="O418" s="2">
        <f t="shared" si="342"/>
        <v>2.8284271247461903</v>
      </c>
      <c r="P418" s="2">
        <f t="shared" si="342"/>
        <v>0.61202531081367262</v>
      </c>
      <c r="X418" s="2"/>
      <c r="Y418" s="104" t="s">
        <v>81</v>
      </c>
      <c r="Z418" s="13"/>
      <c r="AA418" s="13"/>
      <c r="AB418" s="9" t="s">
        <v>3</v>
      </c>
      <c r="AC418" s="9" t="s">
        <v>4</v>
      </c>
      <c r="AD418" s="9" t="s">
        <v>5</v>
      </c>
      <c r="AE418" s="9" t="s">
        <v>6</v>
      </c>
      <c r="AF418" s="9" t="s">
        <v>7</v>
      </c>
      <c r="AG418" s="9" t="s">
        <v>8</v>
      </c>
      <c r="AH418" s="9" t="s">
        <v>9</v>
      </c>
      <c r="AI418" s="9" t="s">
        <v>10</v>
      </c>
      <c r="AJ418" s="44" t="s">
        <v>139</v>
      </c>
      <c r="AK418" s="2"/>
      <c r="AL418" s="2"/>
      <c r="AM418" s="2"/>
    </row>
    <row r="419" spans="3:39" x14ac:dyDescent="0.35">
      <c r="E419" s="104"/>
      <c r="F419" s="13"/>
      <c r="G419" s="49" t="s">
        <v>95</v>
      </c>
      <c r="H419" s="2">
        <f>H418/(SQRT(COUNT(H385,H387,H383,H381,H379)))</f>
        <v>0.14086993999431108</v>
      </c>
      <c r="I419" s="2">
        <f t="shared" ref="I419:P419" si="343">I418/(SQRT(COUNT(I385,I387,I383,I381,I379)))</f>
        <v>0.26451094611376974</v>
      </c>
      <c r="J419" s="2">
        <f t="shared" si="343"/>
        <v>1.3035646470621897E-2</v>
      </c>
      <c r="K419" s="2">
        <f t="shared" si="343"/>
        <v>1.3035646470621892E-2</v>
      </c>
      <c r="L419" s="2">
        <f t="shared" si="343"/>
        <v>1.3560182976082557E-2</v>
      </c>
      <c r="M419" s="2">
        <f t="shared" si="343"/>
        <v>1.5944266393347738E-3</v>
      </c>
      <c r="N419" s="2">
        <f t="shared" si="343"/>
        <v>0.21825492536481417</v>
      </c>
      <c r="O419" s="2">
        <f t="shared" si="343"/>
        <v>1.2649110640673518</v>
      </c>
      <c r="P419" s="2">
        <f t="shared" si="343"/>
        <v>0.27370603978596181</v>
      </c>
      <c r="X419" s="2"/>
      <c r="Y419" s="104"/>
      <c r="Z419" s="13"/>
      <c r="AA419" s="49" t="s">
        <v>77</v>
      </c>
      <c r="AB419" s="13">
        <f>AVERAGE(AB379,AB381:AB382,AB384:AB389)</f>
        <v>4.2146633333333323</v>
      </c>
      <c r="AC419" s="13">
        <f t="shared" ref="AC419:AJ419" si="344">AVERAGE(AC388,AC390,AC391,AC393,AC395,AC397)</f>
        <v>7.8727316666666667</v>
      </c>
      <c r="AD419" s="13">
        <f t="shared" si="344"/>
        <v>0.37660502949029745</v>
      </c>
      <c r="AE419" s="13">
        <f t="shared" si="344"/>
        <v>0.6233949705097025</v>
      </c>
      <c r="AF419" s="13">
        <f t="shared" si="344"/>
        <v>0.22118616170693636</v>
      </c>
      <c r="AG419" s="13">
        <f t="shared" si="344"/>
        <v>8.3161625497008812E-2</v>
      </c>
      <c r="AH419" s="13">
        <f t="shared" si="344"/>
        <v>12.440354999999998</v>
      </c>
      <c r="AI419" s="13">
        <f t="shared" si="344"/>
        <v>38.666666666666664</v>
      </c>
      <c r="AJ419" s="13">
        <f t="shared" si="344"/>
        <v>8.4688735990486954</v>
      </c>
      <c r="AK419" s="2"/>
      <c r="AL419" s="2"/>
      <c r="AM419" s="2"/>
    </row>
    <row r="420" spans="3:39" x14ac:dyDescent="0.35">
      <c r="E420" s="104"/>
      <c r="F420" s="13"/>
      <c r="G420" s="49"/>
      <c r="H420" s="2"/>
      <c r="I420" s="2"/>
      <c r="J420" s="2"/>
      <c r="K420" s="2"/>
      <c r="L420" s="2"/>
      <c r="M420" s="2"/>
      <c r="N420" s="2"/>
      <c r="O420" s="2"/>
      <c r="P420" s="2"/>
      <c r="X420" s="2"/>
      <c r="Y420" s="104"/>
      <c r="Z420" s="13"/>
      <c r="AA420" s="49" t="s">
        <v>94</v>
      </c>
      <c r="AB420" s="2">
        <f>_xlfn.STDEV.S(AB379,AB381:AB382,AB384:AB389)</f>
        <v>0.8874203433830008</v>
      </c>
      <c r="AC420" s="2">
        <f t="shared" ref="AC420:AJ420" si="345">_xlfn.STDEV.S(AC388,AC390,AC391,AC393,AC395,AC397)</f>
        <v>2.1910499335014313</v>
      </c>
      <c r="AD420" s="2">
        <f t="shared" si="345"/>
        <v>7.3904610876884644E-2</v>
      </c>
      <c r="AE420" s="2">
        <f t="shared" si="345"/>
        <v>7.3904610876885241E-2</v>
      </c>
      <c r="AF420" s="2">
        <f t="shared" si="345"/>
        <v>2.5053009497704486E-2</v>
      </c>
      <c r="AG420" s="2">
        <f t="shared" si="345"/>
        <v>1.7284967497327327E-2</v>
      </c>
      <c r="AH420" s="2">
        <f t="shared" si="345"/>
        <v>2.4318975136773329</v>
      </c>
      <c r="AI420" s="2">
        <f t="shared" si="345"/>
        <v>4.0824829046386304</v>
      </c>
      <c r="AJ420" s="2">
        <f t="shared" si="345"/>
        <v>0.20091635652873632</v>
      </c>
      <c r="AK420" s="2"/>
      <c r="AL420" s="2"/>
      <c r="AM420" s="2"/>
    </row>
    <row r="421" spans="3:39" x14ac:dyDescent="0.35">
      <c r="E421" s="104"/>
      <c r="F421" s="13"/>
      <c r="G421" s="49"/>
      <c r="H421" s="2"/>
      <c r="I421" s="2"/>
      <c r="J421" s="2"/>
      <c r="K421" s="2"/>
      <c r="L421" s="2"/>
      <c r="M421" s="2"/>
      <c r="N421" s="2"/>
      <c r="O421" s="2"/>
      <c r="P421" s="2"/>
      <c r="X421" s="2"/>
      <c r="Y421" s="104"/>
      <c r="Z421" s="13"/>
      <c r="AA421" s="49" t="s">
        <v>95</v>
      </c>
      <c r="AB421" s="2">
        <f>AB420/(SQRT(COUNT(AB379,AB381:AB382,AB384:AB389)))</f>
        <v>0.29580678112766695</v>
      </c>
      <c r="AC421" s="2">
        <f t="shared" ref="AC421:AJ421" si="346">AC420/(SQRT(COUNT(AC388,AC390,AC391,AC393,AC395,AC397)))</f>
        <v>0.89449238967292011</v>
      </c>
      <c r="AD421" s="2">
        <f t="shared" si="346"/>
        <v>3.0171431047885174E-2</v>
      </c>
      <c r="AE421" s="2">
        <f t="shared" si="346"/>
        <v>3.017143104788542E-2</v>
      </c>
      <c r="AF421" s="2">
        <f t="shared" si="346"/>
        <v>1.0227848298412782E-2</v>
      </c>
      <c r="AG421" s="2">
        <f t="shared" si="346"/>
        <v>7.0565584315073187E-3</v>
      </c>
      <c r="AH421" s="2">
        <f t="shared" si="346"/>
        <v>0.99281800254209018</v>
      </c>
      <c r="AI421" s="2">
        <f t="shared" si="346"/>
        <v>1.666666666666667</v>
      </c>
      <c r="AJ421" s="2">
        <f t="shared" si="346"/>
        <v>8.2023759079084615E-2</v>
      </c>
      <c r="AK421" s="2"/>
      <c r="AL421" s="2"/>
      <c r="AM421" s="2"/>
    </row>
    <row r="422" spans="3:39" ht="16" thickBot="1" x14ac:dyDescent="0.4">
      <c r="E422" s="104" t="s">
        <v>82</v>
      </c>
      <c r="F422" s="13"/>
      <c r="G422" s="13"/>
      <c r="H422" s="9" t="s">
        <v>3</v>
      </c>
      <c r="I422" s="9" t="s">
        <v>4</v>
      </c>
      <c r="J422" s="9" t="s">
        <v>5</v>
      </c>
      <c r="K422" s="9" t="s">
        <v>6</v>
      </c>
      <c r="L422" s="9" t="s">
        <v>7</v>
      </c>
      <c r="M422" s="9" t="s">
        <v>8</v>
      </c>
      <c r="N422" s="9" t="s">
        <v>9</v>
      </c>
      <c r="O422" s="9" t="s">
        <v>10</v>
      </c>
      <c r="P422" s="44" t="s">
        <v>139</v>
      </c>
      <c r="X422" s="2"/>
      <c r="Y422" s="104"/>
      <c r="Z422" s="13"/>
      <c r="AA422" s="49"/>
      <c r="AB422" s="2"/>
      <c r="AC422" s="2"/>
      <c r="AD422" s="2"/>
      <c r="AE422" s="2"/>
      <c r="AF422" s="2"/>
      <c r="AG422" s="2"/>
      <c r="AH422" s="2"/>
      <c r="AI422" s="2"/>
      <c r="AJ422" s="2"/>
      <c r="AK422" s="2"/>
      <c r="AL422" s="2"/>
      <c r="AM422" s="2"/>
    </row>
    <row r="423" spans="3:39" x14ac:dyDescent="0.35">
      <c r="E423" s="104"/>
      <c r="F423" s="13"/>
      <c r="G423" s="49" t="s">
        <v>77</v>
      </c>
      <c r="H423" s="13">
        <f>AVERAGE(H384,H386,H382,H380,H378)</f>
        <v>3.7229560000000048</v>
      </c>
      <c r="I423" s="13">
        <f t="shared" ref="I423:P423" si="347">AVERAGE(I384,I386,I382,I380,I378)</f>
        <v>3.983003999999994</v>
      </c>
      <c r="J423" s="13">
        <f t="shared" si="347"/>
        <v>0.48689484952929957</v>
      </c>
      <c r="K423" s="13">
        <f t="shared" si="347"/>
        <v>0.51310515047070049</v>
      </c>
      <c r="L423" s="13">
        <f t="shared" si="347"/>
        <v>0.27013548121013981</v>
      </c>
      <c r="M423" s="13">
        <f t="shared" si="347"/>
        <v>0.13180020678747809</v>
      </c>
      <c r="N423" s="13">
        <f t="shared" si="347"/>
        <v>7.7059599999999993</v>
      </c>
      <c r="O423" s="13">
        <f t="shared" si="347"/>
        <v>27.6</v>
      </c>
      <c r="P423" s="13">
        <f t="shared" si="347"/>
        <v>7.4503038181772299</v>
      </c>
      <c r="X423" s="2"/>
      <c r="Y423" s="104"/>
      <c r="Z423" s="13"/>
      <c r="AA423" s="49"/>
      <c r="AB423" s="2"/>
      <c r="AC423" s="2"/>
      <c r="AD423" s="2"/>
      <c r="AE423" s="2"/>
      <c r="AF423" s="2"/>
      <c r="AG423" s="2"/>
      <c r="AH423" s="2"/>
      <c r="AI423" s="2"/>
      <c r="AJ423" s="2"/>
      <c r="AK423" s="2"/>
      <c r="AL423" s="2"/>
      <c r="AM423" s="2"/>
    </row>
    <row r="424" spans="3:39" ht="16" thickBot="1" x14ac:dyDescent="0.4">
      <c r="E424" s="104"/>
      <c r="F424" s="13"/>
      <c r="G424" s="49" t="s">
        <v>94</v>
      </c>
      <c r="H424" s="2">
        <f>_xlfn.STDEV.S(H384,H386,H382,H380,H378)</f>
        <v>0.32971396547612553</v>
      </c>
      <c r="I424" s="2">
        <f t="shared" ref="I424:P424" si="348">_xlfn.STDEV.S(I384,I386,I382,I380,I378)</f>
        <v>0.78858564337047232</v>
      </c>
      <c r="J424" s="2">
        <f t="shared" si="348"/>
        <v>4.4262944230023485E-2</v>
      </c>
      <c r="K424" s="2">
        <f t="shared" si="348"/>
        <v>4.4262944230023478E-2</v>
      </c>
      <c r="L424" s="2">
        <f t="shared" si="348"/>
        <v>2.1634609810469923E-2</v>
      </c>
      <c r="M424" s="2">
        <f t="shared" si="348"/>
        <v>1.8867942757549369E-2</v>
      </c>
      <c r="N424" s="2">
        <f t="shared" si="348"/>
        <v>1.0477065475838236</v>
      </c>
      <c r="O424" s="2">
        <f t="shared" si="348"/>
        <v>1.1401754250991381</v>
      </c>
      <c r="P424" s="2">
        <f t="shared" si="348"/>
        <v>0.60256109075850695</v>
      </c>
      <c r="X424" s="2"/>
      <c r="Y424" s="104" t="s">
        <v>82</v>
      </c>
      <c r="Z424" s="13"/>
      <c r="AA424" s="13"/>
      <c r="AB424" s="9" t="s">
        <v>3</v>
      </c>
      <c r="AC424" s="9" t="s">
        <v>4</v>
      </c>
      <c r="AD424" s="9" t="s">
        <v>5</v>
      </c>
      <c r="AE424" s="9" t="s">
        <v>6</v>
      </c>
      <c r="AF424" s="9" t="s">
        <v>7</v>
      </c>
      <c r="AG424" s="9" t="s">
        <v>8</v>
      </c>
      <c r="AH424" s="9" t="s">
        <v>9</v>
      </c>
      <c r="AI424" s="9" t="s">
        <v>10</v>
      </c>
      <c r="AJ424" s="44" t="s">
        <v>139</v>
      </c>
      <c r="AK424" s="2"/>
      <c r="AL424" s="2"/>
      <c r="AM424" s="2"/>
    </row>
    <row r="425" spans="3:39" x14ac:dyDescent="0.35">
      <c r="E425" s="104"/>
      <c r="F425" s="13"/>
      <c r="G425" s="49" t="s">
        <v>95</v>
      </c>
      <c r="H425" s="2">
        <f>H424/(SQRT(COUNT(H384,H386,H382,H380,H378)))</f>
        <v>0.14745256798712708</v>
      </c>
      <c r="I425" s="2">
        <f t="shared" ref="I425:P425" si="349">I424/(SQRT(COUNT(I384,I386,I382,I380,I378)))</f>
        <v>0.35266622093135647</v>
      </c>
      <c r="J425" s="2">
        <f t="shared" si="349"/>
        <v>1.979499043652292E-2</v>
      </c>
      <c r="K425" s="2">
        <f t="shared" si="349"/>
        <v>1.9794990436522917E-2</v>
      </c>
      <c r="L425" s="2">
        <f t="shared" si="349"/>
        <v>9.6752916405789171E-3</v>
      </c>
      <c r="M425" s="2">
        <f t="shared" si="349"/>
        <v>8.4380005202910439E-3</v>
      </c>
      <c r="N425" s="2">
        <f t="shared" si="349"/>
        <v>0.4685486121738095</v>
      </c>
      <c r="O425" s="2">
        <f t="shared" si="349"/>
        <v>0.50990195135927852</v>
      </c>
      <c r="P425" s="2">
        <f t="shared" si="349"/>
        <v>0.26947351190648838</v>
      </c>
      <c r="X425" s="2"/>
      <c r="Y425" s="104"/>
      <c r="Z425" s="13"/>
      <c r="AA425" s="49" t="s">
        <v>77</v>
      </c>
      <c r="AB425" s="13">
        <f>AVERAGE(AB380,AB383)</f>
        <v>4.5594050000000017</v>
      </c>
      <c r="AC425" s="13">
        <f t="shared" ref="AC425:AJ425" si="350">AVERAGE(AC380,AC383)</f>
        <v>5.3020249999999969</v>
      </c>
      <c r="AD425" s="13">
        <f t="shared" si="350"/>
        <v>0.46264028544505986</v>
      </c>
      <c r="AE425" s="13">
        <f t="shared" si="350"/>
        <v>0.53735971455494014</v>
      </c>
      <c r="AF425" s="13">
        <f t="shared" si="350"/>
        <v>0.22105926520152436</v>
      </c>
      <c r="AG425" s="13">
        <f t="shared" si="350"/>
        <v>0.10233120468003609</v>
      </c>
      <c r="AH425" s="13">
        <f t="shared" si="350"/>
        <v>9.8614299999999986</v>
      </c>
      <c r="AI425" s="13">
        <f t="shared" si="350"/>
        <v>38.5</v>
      </c>
      <c r="AJ425" s="13">
        <f t="shared" si="350"/>
        <v>8.5401358845150774</v>
      </c>
      <c r="AK425" s="2"/>
      <c r="AL425" s="2"/>
      <c r="AM425" s="2"/>
    </row>
    <row r="426" spans="3:39" x14ac:dyDescent="0.35">
      <c r="E426" s="104"/>
      <c r="F426" s="13"/>
      <c r="G426" s="49"/>
      <c r="H426" s="2"/>
      <c r="I426" s="2"/>
      <c r="J426" s="2"/>
      <c r="K426" s="2"/>
      <c r="L426" s="2"/>
      <c r="M426" s="2"/>
      <c r="N426" s="2"/>
      <c r="O426" s="2"/>
      <c r="P426" s="2"/>
      <c r="X426" s="2"/>
      <c r="Y426" s="104"/>
      <c r="Z426" s="13"/>
      <c r="AA426" s="49" t="s">
        <v>94</v>
      </c>
      <c r="AB426" s="2">
        <f>_xlfn.STDEV.S(AB380,AB383)</f>
        <v>0.57081194911284283</v>
      </c>
      <c r="AC426" s="2">
        <f t="shared" ref="AC426:AJ426" si="351">_xlfn.STDEV.S(AC380,AC383)</f>
        <v>0.75586179374935636</v>
      </c>
      <c r="AD426" s="2">
        <f t="shared" si="351"/>
        <v>4.3564442456510344E-3</v>
      </c>
      <c r="AE426" s="2">
        <f t="shared" si="351"/>
        <v>4.3564442456510344E-3</v>
      </c>
      <c r="AF426" s="2">
        <f t="shared" si="351"/>
        <v>2.7675380897098378E-2</v>
      </c>
      <c r="AG426" s="2">
        <f t="shared" si="351"/>
        <v>1.3766778481869392E-2</v>
      </c>
      <c r="AH426" s="2">
        <f t="shared" si="351"/>
        <v>1.3266737428621984</v>
      </c>
      <c r="AI426" s="2">
        <f t="shared" si="351"/>
        <v>2.1213203435596424</v>
      </c>
      <c r="AJ426" s="2">
        <f t="shared" si="351"/>
        <v>1.5344396809426146</v>
      </c>
      <c r="AK426" s="2"/>
      <c r="AL426" s="2"/>
      <c r="AM426" s="2"/>
    </row>
    <row r="427" spans="3:39" x14ac:dyDescent="0.35">
      <c r="X427" s="2"/>
      <c r="Y427" s="104"/>
      <c r="Z427" s="13"/>
      <c r="AA427" s="49" t="s">
        <v>95</v>
      </c>
      <c r="AB427" s="2">
        <f>AB426/(SQRT(COUNT(AB380,AB383)))</f>
        <v>0.40362500000000162</v>
      </c>
      <c r="AC427" s="2">
        <f t="shared" ref="AC427:AJ427" si="352">AC426/(SQRT(COUNT(AC380,AC383)))</f>
        <v>0.53447499999999737</v>
      </c>
      <c r="AD427" s="2">
        <f t="shared" si="352"/>
        <v>3.0804712679609598E-3</v>
      </c>
      <c r="AE427" s="2">
        <f t="shared" si="352"/>
        <v>3.0804712679609598E-3</v>
      </c>
      <c r="AF427" s="2">
        <f t="shared" si="352"/>
        <v>1.9569449504258898E-2</v>
      </c>
      <c r="AG427" s="2">
        <f t="shared" si="352"/>
        <v>9.7345824196228906E-3</v>
      </c>
      <c r="AH427" s="2">
        <f t="shared" si="352"/>
        <v>0.93809999999999849</v>
      </c>
      <c r="AI427" s="2">
        <f t="shared" si="352"/>
        <v>1.4999999999999998</v>
      </c>
      <c r="AJ427" s="2">
        <f t="shared" si="352"/>
        <v>1.0850127037162451</v>
      </c>
      <c r="AK427" s="2"/>
      <c r="AL427" s="2"/>
      <c r="AM427" s="2"/>
    </row>
    <row r="428" spans="3:39" x14ac:dyDescent="0.35">
      <c r="X428" s="2"/>
      <c r="Y428" s="2"/>
      <c r="Z428" s="2"/>
      <c r="AA428" s="2"/>
      <c r="AB428" s="2"/>
      <c r="AC428" s="2"/>
      <c r="AD428" s="2"/>
      <c r="AE428" s="2"/>
      <c r="AF428" s="2"/>
      <c r="AG428" s="2"/>
      <c r="AH428" s="2"/>
      <c r="AI428" s="2"/>
      <c r="AJ428" s="2"/>
      <c r="AK428" s="2"/>
      <c r="AL428" s="2"/>
      <c r="AM428" s="2"/>
    </row>
    <row r="429" spans="3:39" ht="18.5" x14ac:dyDescent="0.45">
      <c r="F429" s="1" t="s">
        <v>405</v>
      </c>
      <c r="G429" s="3"/>
      <c r="H429" s="3"/>
      <c r="I429" s="3"/>
      <c r="J429" s="3"/>
      <c r="K429" s="3"/>
      <c r="L429" s="3"/>
      <c r="M429" s="3"/>
      <c r="N429" s="3"/>
      <c r="O429" s="3"/>
      <c r="X429" s="2"/>
      <c r="Y429" s="2"/>
      <c r="Z429" s="2"/>
      <c r="AA429" s="2"/>
      <c r="AB429" s="2"/>
      <c r="AC429" s="2"/>
      <c r="AD429" s="2"/>
      <c r="AE429" s="2"/>
      <c r="AF429" s="2"/>
      <c r="AG429" s="2"/>
      <c r="AH429" s="2"/>
      <c r="AI429" s="2"/>
      <c r="AJ429" s="2"/>
      <c r="AK429" s="2"/>
      <c r="AL429" s="2"/>
      <c r="AM429" s="2"/>
    </row>
    <row r="430" spans="3:39" ht="16" thickBot="1" x14ac:dyDescent="0.4">
      <c r="C430" s="204" t="s">
        <v>122</v>
      </c>
      <c r="D430" s="204" t="s">
        <v>406</v>
      </c>
      <c r="F430" s="9" t="s">
        <v>1</v>
      </c>
      <c r="G430" s="9" t="s">
        <v>2</v>
      </c>
      <c r="H430" s="9" t="s">
        <v>3</v>
      </c>
      <c r="I430" s="9" t="s">
        <v>4</v>
      </c>
      <c r="J430" s="9" t="s">
        <v>5</v>
      </c>
      <c r="K430" s="9" t="s">
        <v>6</v>
      </c>
      <c r="L430" s="9" t="s">
        <v>7</v>
      </c>
      <c r="M430" s="9" t="s">
        <v>8</v>
      </c>
      <c r="N430" s="9" t="s">
        <v>9</v>
      </c>
      <c r="O430" s="9" t="s">
        <v>10</v>
      </c>
      <c r="P430" s="44" t="s">
        <v>139</v>
      </c>
      <c r="R430" s="44" t="s">
        <v>138</v>
      </c>
      <c r="X430" s="2"/>
      <c r="AK430" s="2"/>
      <c r="AL430" s="2"/>
      <c r="AM430" s="2"/>
    </row>
    <row r="431" spans="3:39" x14ac:dyDescent="0.35">
      <c r="D431" s="155">
        <v>14</v>
      </c>
      <c r="F431" s="2">
        <v>0.95916000000000001</v>
      </c>
      <c r="G431" s="2">
        <v>5.7404700000000002</v>
      </c>
      <c r="H431" s="2">
        <f t="shared" ref="H431:H452" si="353">G431-F431</f>
        <v>4.7813100000000004</v>
      </c>
      <c r="I431" s="2">
        <f t="shared" ref="I431:I452" si="354">F432-G431</f>
        <v>3.9064300000000003</v>
      </c>
      <c r="J431" s="2">
        <f>H431/N431</f>
        <v>0.550351414752283</v>
      </c>
      <c r="K431" s="2">
        <f>I431/N431</f>
        <v>0.44964858524771684</v>
      </c>
      <c r="L431" s="2">
        <f>1/H431</f>
        <v>0.20914770219876977</v>
      </c>
      <c r="M431" s="2">
        <f>1/N431</f>
        <v>0.11510473379728213</v>
      </c>
      <c r="N431" s="2">
        <f>H431+I431</f>
        <v>8.6877400000000016</v>
      </c>
      <c r="O431" s="2">
        <v>38</v>
      </c>
      <c r="P431">
        <f>O431/H431</f>
        <v>7.9476126835532517</v>
      </c>
      <c r="R431" t="s">
        <v>491</v>
      </c>
      <c r="X431" s="2"/>
      <c r="AK431" s="2"/>
      <c r="AL431" s="2"/>
      <c r="AM431" s="2"/>
    </row>
    <row r="432" spans="3:39" ht="16" thickBot="1" x14ac:dyDescent="0.4">
      <c r="C432" s="258" t="s">
        <v>541</v>
      </c>
      <c r="D432" s="155">
        <v>14</v>
      </c>
      <c r="F432" s="2">
        <v>9.6469000000000005</v>
      </c>
      <c r="G432" s="2">
        <v>13.424300000000001</v>
      </c>
      <c r="H432" s="2">
        <f t="shared" si="353"/>
        <v>3.7774000000000001</v>
      </c>
      <c r="I432" s="2">
        <f t="shared" si="354"/>
        <v>7.7607799999999987</v>
      </c>
      <c r="J432" s="2">
        <f t="shared" ref="J432:J452" si="355">H432/N432</f>
        <v>0.32738265480344392</v>
      </c>
      <c r="K432" s="2">
        <f t="shared" ref="K432:K452" si="356">I432/N432</f>
        <v>0.67261734519655614</v>
      </c>
      <c r="L432" s="2">
        <f t="shared" ref="L432:L452" si="357">1/H432</f>
        <v>0.2647323555885</v>
      </c>
      <c r="M432" s="2">
        <f t="shared" ref="M432:M452" si="358">1/N432</f>
        <v>8.6668781384932475E-2</v>
      </c>
      <c r="N432" s="2">
        <f t="shared" ref="N432:N452" si="359">H432+I432</f>
        <v>11.538179999999999</v>
      </c>
      <c r="O432" s="2">
        <v>30</v>
      </c>
      <c r="P432">
        <f t="shared" ref="P432:P455" si="360">O432/H432</f>
        <v>7.941970667655001</v>
      </c>
      <c r="X432" s="2"/>
      <c r="Z432" s="13"/>
      <c r="AA432" s="13"/>
      <c r="AB432" s="9" t="s">
        <v>3</v>
      </c>
      <c r="AC432" s="9" t="s">
        <v>4</v>
      </c>
      <c r="AD432" s="9" t="s">
        <v>5</v>
      </c>
      <c r="AE432" s="9" t="s">
        <v>6</v>
      </c>
      <c r="AF432" s="9" t="s">
        <v>7</v>
      </c>
      <c r="AG432" s="9" t="s">
        <v>8</v>
      </c>
      <c r="AH432" s="9" t="s">
        <v>9</v>
      </c>
      <c r="AI432" s="9" t="s">
        <v>10</v>
      </c>
      <c r="AJ432" s="44" t="s">
        <v>139</v>
      </c>
      <c r="AK432" s="2"/>
      <c r="AL432" s="2"/>
      <c r="AM432" s="2"/>
    </row>
    <row r="433" spans="3:39" x14ac:dyDescent="0.35">
      <c r="D433" s="155">
        <v>14</v>
      </c>
      <c r="F433" s="13">
        <v>21.185079999999999</v>
      </c>
      <c r="G433" s="2">
        <v>25.608070000000001</v>
      </c>
      <c r="H433" s="2">
        <f t="shared" si="353"/>
        <v>4.4229900000000022</v>
      </c>
      <c r="I433" s="2">
        <f t="shared" si="354"/>
        <v>3.3038299999999978</v>
      </c>
      <c r="J433" s="2">
        <f t="shared" si="355"/>
        <v>0.5724204782821396</v>
      </c>
      <c r="K433" s="2">
        <f t="shared" si="356"/>
        <v>0.42757952171786034</v>
      </c>
      <c r="L433" s="2">
        <f t="shared" si="357"/>
        <v>0.22609139970924635</v>
      </c>
      <c r="M433" s="2">
        <f t="shared" si="358"/>
        <v>0.1294193471570452</v>
      </c>
      <c r="N433" s="2">
        <f t="shared" si="359"/>
        <v>7.72682</v>
      </c>
      <c r="O433" s="2">
        <v>36</v>
      </c>
      <c r="P433">
        <f t="shared" si="360"/>
        <v>8.139290389532869</v>
      </c>
      <c r="X433" s="2"/>
      <c r="Y433" s="104" t="s">
        <v>410</v>
      </c>
      <c r="Z433" s="13"/>
      <c r="AA433" s="49" t="s">
        <v>77</v>
      </c>
      <c r="AB433" s="13">
        <f t="shared" ref="AB433:AJ433" si="361">AVERAGE(AB390:AB408)</f>
        <v>4.5335742105263099</v>
      </c>
      <c r="AC433" s="13">
        <f t="shared" si="361"/>
        <v>7.2170921052631645</v>
      </c>
      <c r="AD433" s="13">
        <f t="shared" si="361"/>
        <v>0.39726690108935314</v>
      </c>
      <c r="AE433" s="13">
        <f t="shared" si="361"/>
        <v>0.60273309891064675</v>
      </c>
      <c r="AF433" s="13">
        <f t="shared" si="361"/>
        <v>0.22252692166853305</v>
      </c>
      <c r="AG433" s="13">
        <f t="shared" si="361"/>
        <v>8.8255229001083221E-2</v>
      </c>
      <c r="AH433" s="13">
        <f t="shared" si="361"/>
        <v>11.750666315789474</v>
      </c>
      <c r="AI433" s="13">
        <f t="shared" si="361"/>
        <v>39.157894736842103</v>
      </c>
      <c r="AJ433" s="13">
        <f t="shared" si="361"/>
        <v>8.7133652575772071</v>
      </c>
      <c r="AK433" s="2"/>
      <c r="AL433" s="2"/>
      <c r="AM433" s="2"/>
    </row>
    <row r="434" spans="3:39" x14ac:dyDescent="0.35">
      <c r="C434" s="258" t="s">
        <v>541</v>
      </c>
      <c r="D434" s="155">
        <v>14</v>
      </c>
      <c r="F434" s="13">
        <v>28.911899999999999</v>
      </c>
      <c r="G434" s="2">
        <v>32.672150000000002</v>
      </c>
      <c r="H434" s="2">
        <f t="shared" si="353"/>
        <v>3.7602500000000028</v>
      </c>
      <c r="I434" s="2">
        <f t="shared" si="354"/>
        <v>7.635629999999999</v>
      </c>
      <c r="J434" s="2">
        <f t="shared" si="355"/>
        <v>0.3299657420050055</v>
      </c>
      <c r="K434" s="2">
        <f t="shared" si="356"/>
        <v>0.6700342579949945</v>
      </c>
      <c r="L434" s="2">
        <f t="shared" si="357"/>
        <v>0.2659397646433081</v>
      </c>
      <c r="M434" s="2">
        <f t="shared" si="358"/>
        <v>8.7751011769165679E-2</v>
      </c>
      <c r="N434" s="2">
        <f t="shared" si="359"/>
        <v>11.395880000000002</v>
      </c>
      <c r="O434" s="2">
        <v>30</v>
      </c>
      <c r="P434">
        <f t="shared" si="360"/>
        <v>7.9781929392992428</v>
      </c>
      <c r="X434" s="2"/>
      <c r="Y434" s="104"/>
      <c r="Z434" s="13"/>
      <c r="AA434" s="49" t="s">
        <v>94</v>
      </c>
      <c r="AB434" s="2">
        <f t="shared" ref="AB434:AJ434" si="362">_xlfn.STDEV.S(AB390:AB408)</f>
        <v>0.42652578643313599</v>
      </c>
      <c r="AC434" s="2">
        <f t="shared" si="362"/>
        <v>2.1292263356481178</v>
      </c>
      <c r="AD434" s="2">
        <f t="shared" si="362"/>
        <v>7.3563532360665651E-2</v>
      </c>
      <c r="AE434" s="2">
        <f t="shared" si="362"/>
        <v>7.3563532360665818E-2</v>
      </c>
      <c r="AF434" s="2">
        <f t="shared" si="362"/>
        <v>2.1921133054231125E-2</v>
      </c>
      <c r="AG434" s="2">
        <f t="shared" si="362"/>
        <v>1.7356840017340096E-2</v>
      </c>
      <c r="AH434" s="2">
        <f t="shared" si="362"/>
        <v>2.2867463007081246</v>
      </c>
      <c r="AI434" s="2">
        <f t="shared" si="362"/>
        <v>4.2460852283111148</v>
      </c>
      <c r="AJ434" s="2">
        <f t="shared" si="362"/>
        <v>0.3899343156963298</v>
      </c>
      <c r="AK434" s="2"/>
      <c r="AL434" s="2"/>
      <c r="AM434" s="2"/>
    </row>
    <row r="435" spans="3:39" x14ac:dyDescent="0.35">
      <c r="D435" s="155">
        <v>14</v>
      </c>
      <c r="F435" s="13">
        <v>40.307780000000001</v>
      </c>
      <c r="G435" s="2">
        <v>44.700650000000003</v>
      </c>
      <c r="H435" s="2">
        <f t="shared" si="353"/>
        <v>4.3928700000000021</v>
      </c>
      <c r="I435" s="2">
        <f t="shared" si="354"/>
        <v>4.1952199999999991</v>
      </c>
      <c r="J435" s="2">
        <f t="shared" si="355"/>
        <v>0.51150721522480569</v>
      </c>
      <c r="K435" s="2">
        <f t="shared" si="356"/>
        <v>0.48849278477519431</v>
      </c>
      <c r="L435" s="2">
        <f t="shared" si="357"/>
        <v>0.22764161015463685</v>
      </c>
      <c r="M435" s="2">
        <f t="shared" si="358"/>
        <v>0.11644032607948913</v>
      </c>
      <c r="N435" s="2">
        <f t="shared" si="359"/>
        <v>8.5880900000000011</v>
      </c>
      <c r="O435" s="2">
        <v>35</v>
      </c>
      <c r="P435">
        <f t="shared" si="360"/>
        <v>7.9674563554122892</v>
      </c>
      <c r="X435" s="2"/>
      <c r="Y435" s="104"/>
      <c r="Z435" s="13"/>
      <c r="AA435" s="49" t="s">
        <v>95</v>
      </c>
      <c r="AB435" s="2">
        <f t="shared" ref="AB435:AJ435" si="363">AB434/(SQRT(COUNT(AB390:AB408)))</f>
        <v>9.7851726309276382E-2</v>
      </c>
      <c r="AC435" s="2">
        <f t="shared" si="363"/>
        <v>0.48847802236923998</v>
      </c>
      <c r="AD435" s="2">
        <f t="shared" si="363"/>
        <v>1.6876631762632929E-2</v>
      </c>
      <c r="AE435" s="2">
        <f t="shared" si="363"/>
        <v>1.6876631762632967E-2</v>
      </c>
      <c r="AF435" s="2">
        <f t="shared" si="363"/>
        <v>5.0290528269106623E-3</v>
      </c>
      <c r="AG435" s="2">
        <f t="shared" si="363"/>
        <v>3.9819321902520117E-3</v>
      </c>
      <c r="AH435" s="2">
        <f t="shared" si="363"/>
        <v>0.52461558075274661</v>
      </c>
      <c r="AI435" s="2">
        <f t="shared" si="363"/>
        <v>0.97411875872994613</v>
      </c>
      <c r="AJ435" s="2">
        <f t="shared" si="363"/>
        <v>0.12997810523210993</v>
      </c>
      <c r="AK435" s="2"/>
      <c r="AL435" s="2"/>
      <c r="AM435" s="2"/>
    </row>
    <row r="436" spans="3:39" x14ac:dyDescent="0.35">
      <c r="C436" s="258" t="s">
        <v>541</v>
      </c>
      <c r="D436" s="155">
        <v>14</v>
      </c>
      <c r="F436" s="13">
        <v>48.895870000000002</v>
      </c>
      <c r="G436" s="2">
        <v>52.696559999999998</v>
      </c>
      <c r="H436" s="2">
        <f t="shared" si="353"/>
        <v>3.8006899999999959</v>
      </c>
      <c r="I436" s="2">
        <f t="shared" si="354"/>
        <v>6.8682900000000018</v>
      </c>
      <c r="J436" s="2">
        <f t="shared" si="355"/>
        <v>0.35623742850769208</v>
      </c>
      <c r="K436" s="2">
        <f t="shared" si="356"/>
        <v>0.64376257149230787</v>
      </c>
      <c r="L436" s="2">
        <f t="shared" si="357"/>
        <v>0.26311011947830554</v>
      </c>
      <c r="M436" s="2">
        <f t="shared" si="358"/>
        <v>9.3729672377303189E-2</v>
      </c>
      <c r="N436" s="2">
        <f t="shared" si="359"/>
        <v>10.668979999999998</v>
      </c>
      <c r="O436" s="2">
        <v>29</v>
      </c>
      <c r="P436">
        <f t="shared" si="360"/>
        <v>7.6301934648708603</v>
      </c>
      <c r="X436" s="2"/>
      <c r="Y436" s="2"/>
      <c r="Z436" s="2"/>
      <c r="AA436" s="2"/>
      <c r="AB436" s="2"/>
      <c r="AC436" s="2"/>
      <c r="AD436" s="2"/>
      <c r="AE436" s="2"/>
      <c r="AF436" s="2"/>
      <c r="AG436" s="2"/>
      <c r="AH436" s="2"/>
      <c r="AI436" s="2"/>
      <c r="AJ436" s="2"/>
      <c r="AK436" s="2"/>
      <c r="AL436" s="2"/>
      <c r="AM436" s="2"/>
    </row>
    <row r="437" spans="3:39" x14ac:dyDescent="0.35">
      <c r="D437" s="155">
        <v>14</v>
      </c>
      <c r="F437" s="13">
        <v>59.56485</v>
      </c>
      <c r="G437" s="2">
        <v>64.043019999999999</v>
      </c>
      <c r="H437" s="2">
        <f t="shared" si="353"/>
        <v>4.4781699999999987</v>
      </c>
      <c r="I437" s="2">
        <f t="shared" si="354"/>
        <v>3.2824499999999972</v>
      </c>
      <c r="J437" s="2">
        <f t="shared" si="355"/>
        <v>0.57703765936226759</v>
      </c>
      <c r="K437" s="2">
        <f t="shared" si="356"/>
        <v>0.42296234063773241</v>
      </c>
      <c r="L437" s="2">
        <f t="shared" si="357"/>
        <v>0.22330550202426444</v>
      </c>
      <c r="M437" s="2">
        <f t="shared" si="358"/>
        <v>0.12885568421079766</v>
      </c>
      <c r="N437" s="2">
        <f t="shared" si="359"/>
        <v>7.7606199999999959</v>
      </c>
      <c r="O437" s="2">
        <v>35</v>
      </c>
      <c r="P437">
        <f t="shared" si="360"/>
        <v>7.8156925708492553</v>
      </c>
      <c r="X437" s="2"/>
      <c r="Y437" s="2"/>
      <c r="Z437" s="2"/>
      <c r="AA437" s="2"/>
      <c r="AB437" s="2"/>
      <c r="AC437" s="2"/>
      <c r="AD437" s="2"/>
      <c r="AE437" s="2"/>
      <c r="AF437" s="2"/>
      <c r="AG437" s="2"/>
      <c r="AH437" s="2"/>
      <c r="AI437" s="2"/>
      <c r="AJ437" s="2"/>
      <c r="AK437" s="2"/>
      <c r="AL437" s="2"/>
      <c r="AM437" s="2"/>
    </row>
    <row r="438" spans="3:39" ht="16" thickBot="1" x14ac:dyDescent="0.4">
      <c r="C438" s="258" t="s">
        <v>541</v>
      </c>
      <c r="D438" s="155">
        <v>14</v>
      </c>
      <c r="F438" s="13">
        <v>67.325469999999996</v>
      </c>
      <c r="G438" s="2">
        <v>71.002070000000003</v>
      </c>
      <c r="H438" s="2">
        <f t="shared" si="353"/>
        <v>3.6766000000000076</v>
      </c>
      <c r="I438" s="2">
        <f t="shared" si="354"/>
        <v>6.8296599999999899</v>
      </c>
      <c r="J438" s="2">
        <f t="shared" si="355"/>
        <v>0.34994374782272747</v>
      </c>
      <c r="K438" s="2">
        <f t="shared" si="356"/>
        <v>0.65005625217727259</v>
      </c>
      <c r="L438" s="2">
        <f t="shared" si="357"/>
        <v>0.27199042593700645</v>
      </c>
      <c r="M438" s="2">
        <f t="shared" si="358"/>
        <v>9.5181349024296008E-2</v>
      </c>
      <c r="N438" s="2">
        <f t="shared" si="359"/>
        <v>10.506259999999997</v>
      </c>
      <c r="O438" s="2">
        <v>27</v>
      </c>
      <c r="P438">
        <f t="shared" si="360"/>
        <v>7.3437415002991742</v>
      </c>
      <c r="X438" s="2"/>
      <c r="Y438" s="104" t="s">
        <v>81</v>
      </c>
      <c r="Z438" s="13"/>
      <c r="AA438" s="13"/>
      <c r="AB438" s="9" t="s">
        <v>3</v>
      </c>
      <c r="AC438" s="9" t="s">
        <v>4</v>
      </c>
      <c r="AD438" s="9" t="s">
        <v>5</v>
      </c>
      <c r="AE438" s="9" t="s">
        <v>6</v>
      </c>
      <c r="AF438" s="9" t="s">
        <v>7</v>
      </c>
      <c r="AG438" s="9" t="s">
        <v>8</v>
      </c>
      <c r="AH438" s="9" t="s">
        <v>9</v>
      </c>
      <c r="AI438" s="9" t="s">
        <v>10</v>
      </c>
      <c r="AJ438" s="44" t="s">
        <v>139</v>
      </c>
      <c r="AK438" s="2"/>
      <c r="AL438" s="2"/>
      <c r="AM438" s="2"/>
    </row>
    <row r="439" spans="3:39" x14ac:dyDescent="0.35">
      <c r="D439" s="155">
        <v>14</v>
      </c>
      <c r="F439" s="13">
        <v>77.831729999999993</v>
      </c>
      <c r="G439" s="2">
        <v>82.424009999999996</v>
      </c>
      <c r="H439" s="2">
        <f t="shared" si="353"/>
        <v>4.5922800000000024</v>
      </c>
      <c r="I439" s="2">
        <f t="shared" si="354"/>
        <v>3.3245500000000021</v>
      </c>
      <c r="J439" s="2">
        <f t="shared" si="355"/>
        <v>0.58006550601692841</v>
      </c>
      <c r="K439" s="2">
        <f t="shared" si="356"/>
        <v>0.41993449398307153</v>
      </c>
      <c r="L439" s="2">
        <f t="shared" si="357"/>
        <v>0.21775675699216934</v>
      </c>
      <c r="M439" s="2">
        <f t="shared" si="358"/>
        <v>0.12631318343326806</v>
      </c>
      <c r="N439" s="2">
        <f t="shared" si="359"/>
        <v>7.9168300000000045</v>
      </c>
      <c r="O439" s="2">
        <v>37</v>
      </c>
      <c r="P439">
        <f t="shared" si="360"/>
        <v>8.0570000087102667</v>
      </c>
      <c r="X439" s="2"/>
      <c r="Y439" s="104"/>
      <c r="Z439" s="13"/>
      <c r="AA439" s="49" t="s">
        <v>77</v>
      </c>
      <c r="AB439" s="13">
        <f>AVERAGE(AB391:AB395,AB397:AB399,AB401,AB405:AB406,AB408,AB403)</f>
        <v>4.5544838461538397</v>
      </c>
      <c r="AC439" s="13">
        <f t="shared" ref="AC439:AJ439" si="364">AVERAGE(AC391:AC395,AC397:AC399,AC401,AC405:AC406,AC408,AC403)</f>
        <v>8.3619923076923062</v>
      </c>
      <c r="AD439" s="13">
        <f t="shared" si="364"/>
        <v>0.35543311921713872</v>
      </c>
      <c r="AE439" s="13">
        <f t="shared" si="364"/>
        <v>0.64456688078286128</v>
      </c>
      <c r="AF439" s="13">
        <f t="shared" si="364"/>
        <v>0.22167688144502409</v>
      </c>
      <c r="AG439" s="13">
        <f t="shared" si="364"/>
        <v>7.8746595543532832E-2</v>
      </c>
      <c r="AH439" s="13">
        <f t="shared" si="364"/>
        <v>12.916476153846146</v>
      </c>
      <c r="AI439" s="13">
        <f t="shared" si="364"/>
        <v>38.92307692307692</v>
      </c>
      <c r="AJ439" s="13">
        <f t="shared" si="364"/>
        <v>8.7194890312634517</v>
      </c>
      <c r="AK439" s="2"/>
      <c r="AL439" s="2"/>
      <c r="AM439" s="2"/>
    </row>
    <row r="440" spans="3:39" x14ac:dyDescent="0.35">
      <c r="C440" s="258" t="s">
        <v>541</v>
      </c>
      <c r="D440" s="155">
        <v>14</v>
      </c>
      <c r="F440" s="13">
        <v>85.748559999999998</v>
      </c>
      <c r="G440" s="2">
        <v>88.712729999999993</v>
      </c>
      <c r="H440" s="2">
        <f t="shared" si="353"/>
        <v>2.9641699999999958</v>
      </c>
      <c r="I440" s="2">
        <f t="shared" si="354"/>
        <v>8.4420800000000042</v>
      </c>
      <c r="J440" s="2">
        <f t="shared" si="355"/>
        <v>0.25987243835616403</v>
      </c>
      <c r="K440" s="2">
        <f t="shared" si="356"/>
        <v>0.74012756164383597</v>
      </c>
      <c r="L440" s="2">
        <f t="shared" si="357"/>
        <v>0.33736256692429972</v>
      </c>
      <c r="M440" s="2">
        <f t="shared" si="358"/>
        <v>8.7671232876712329E-2</v>
      </c>
      <c r="N440" s="2">
        <f t="shared" si="359"/>
        <v>11.40625</v>
      </c>
      <c r="O440" s="2">
        <v>26</v>
      </c>
      <c r="P440">
        <f t="shared" si="360"/>
        <v>8.7714267400317922</v>
      </c>
      <c r="X440" s="2"/>
      <c r="Y440" s="104"/>
      <c r="Z440" s="13"/>
      <c r="AA440" s="49" t="s">
        <v>94</v>
      </c>
      <c r="AB440" s="2">
        <f>_xlfn.STDEV.S(AB391:AB395,AB397:AB399,AB401,AB405:AB406,AB408,AB403)</f>
        <v>0.4526764508921497</v>
      </c>
      <c r="AC440" s="2">
        <f t="shared" ref="AC440:AJ440" si="365">_xlfn.STDEV.S(AC391:AC395,AC397:AC399,AC401,AC405:AC406,AC408,AC403)</f>
        <v>1.4520531912901515</v>
      </c>
      <c r="AD440" s="2">
        <f t="shared" si="365"/>
        <v>3.4621024734540366E-2</v>
      </c>
      <c r="AE440" s="2">
        <f t="shared" si="365"/>
        <v>3.4621024734540352E-2</v>
      </c>
      <c r="AF440" s="2">
        <f t="shared" si="365"/>
        <v>2.3076327968469122E-2</v>
      </c>
      <c r="AG440" s="2">
        <f t="shared" si="365"/>
        <v>1.0811021090665002E-2</v>
      </c>
      <c r="AH440" s="2">
        <f t="shared" si="365"/>
        <v>1.7334079158867897</v>
      </c>
      <c r="AI440" s="2">
        <f t="shared" si="365"/>
        <v>4.8898114902577285</v>
      </c>
      <c r="AJ440" s="2">
        <f t="shared" si="365"/>
        <v>0.45002192213403058</v>
      </c>
      <c r="AK440" s="2"/>
      <c r="AL440" s="2"/>
      <c r="AM440" s="2"/>
    </row>
    <row r="441" spans="3:39" x14ac:dyDescent="0.35">
      <c r="D441" s="155">
        <v>14</v>
      </c>
      <c r="F441" s="13">
        <v>97.154809999999998</v>
      </c>
      <c r="G441" s="2">
        <v>101.25416</v>
      </c>
      <c r="H441" s="2">
        <f t="shared" si="353"/>
        <v>4.0993500000000012</v>
      </c>
      <c r="I441" s="2">
        <f t="shared" si="354"/>
        <v>3.7796199999999942</v>
      </c>
      <c r="J441" s="2">
        <f t="shared" si="355"/>
        <v>0.52029008867910442</v>
      </c>
      <c r="K441" s="2">
        <f t="shared" si="356"/>
        <v>0.47970991132089558</v>
      </c>
      <c r="L441" s="2">
        <f t="shared" si="357"/>
        <v>0.24394111261541457</v>
      </c>
      <c r="M441" s="2">
        <f t="shared" si="358"/>
        <v>0.12692014311515346</v>
      </c>
      <c r="N441" s="2">
        <f t="shared" si="359"/>
        <v>7.8789699999999954</v>
      </c>
      <c r="O441" s="2">
        <v>35</v>
      </c>
      <c r="P441">
        <f t="shared" si="360"/>
        <v>8.5379389415395099</v>
      </c>
      <c r="X441" s="2"/>
      <c r="Y441" s="104"/>
      <c r="Z441" s="13"/>
      <c r="AA441" s="49" t="s">
        <v>95</v>
      </c>
      <c r="AB441" s="2">
        <f>AB440/(SQRT(COUNT(AB391:AB395,AB397:AB399,AB401,AB405:AB406,AB408,AB403)))</f>
        <v>0.12554985806820787</v>
      </c>
      <c r="AC441" s="2">
        <f t="shared" ref="AC441:AJ441" si="366">AC440/(SQRT(COUNT(AC391:AC395,AC397:AC399,AC401,AC405:AC406,AC408,AC403)))</f>
        <v>0.40272709506905863</v>
      </c>
      <c r="AD441" s="2">
        <f t="shared" si="366"/>
        <v>9.6021446068840274E-3</v>
      </c>
      <c r="AE441" s="2">
        <f t="shared" si="366"/>
        <v>9.6021446068840222E-3</v>
      </c>
      <c r="AF441" s="2">
        <f t="shared" si="366"/>
        <v>6.4002218261337823E-3</v>
      </c>
      <c r="AG441" s="2">
        <f t="shared" si="366"/>
        <v>2.9984377601934837E-3</v>
      </c>
      <c r="AH441" s="2">
        <f t="shared" si="366"/>
        <v>0.48076085554038389</v>
      </c>
      <c r="AI441" s="2">
        <f t="shared" si="366"/>
        <v>1.3561896965751712</v>
      </c>
      <c r="AJ441" s="2">
        <f t="shared" si="366"/>
        <v>0.17009229864198835</v>
      </c>
      <c r="AK441" s="2"/>
      <c r="AL441" s="2"/>
      <c r="AM441" s="2"/>
    </row>
    <row r="442" spans="3:39" x14ac:dyDescent="0.35">
      <c r="C442" s="258" t="s">
        <v>541</v>
      </c>
      <c r="D442" s="155">
        <v>14</v>
      </c>
      <c r="F442" s="13">
        <v>105.03377999999999</v>
      </c>
      <c r="G442" s="2">
        <v>108.63836000000001</v>
      </c>
      <c r="H442" s="2">
        <f t="shared" si="353"/>
        <v>3.6045800000000128</v>
      </c>
      <c r="I442" s="2">
        <f t="shared" si="354"/>
        <v>7.0227000000000004</v>
      </c>
      <c r="J442" s="2">
        <f t="shared" si="355"/>
        <v>0.33918180381057134</v>
      </c>
      <c r="K442" s="2">
        <f t="shared" si="356"/>
        <v>0.66081819618942872</v>
      </c>
      <c r="L442" s="2">
        <f t="shared" si="357"/>
        <v>0.27742483174183857</v>
      </c>
      <c r="M442" s="2">
        <f t="shared" si="358"/>
        <v>9.4097454852041046E-2</v>
      </c>
      <c r="N442" s="2">
        <f t="shared" si="359"/>
        <v>10.627280000000013</v>
      </c>
      <c r="O442" s="2">
        <v>27</v>
      </c>
      <c r="P442">
        <f t="shared" si="360"/>
        <v>7.490470457029641</v>
      </c>
      <c r="X442" s="2"/>
      <c r="Y442" s="104"/>
      <c r="Z442" s="13"/>
      <c r="AA442" s="49"/>
      <c r="AB442" s="2"/>
      <c r="AC442" s="2"/>
      <c r="AD442" s="2"/>
      <c r="AE442" s="2"/>
      <c r="AF442" s="2"/>
      <c r="AG442" s="2"/>
      <c r="AH442" s="2"/>
      <c r="AI442" s="2"/>
      <c r="AJ442" s="2"/>
      <c r="AK442" s="2"/>
      <c r="AL442" s="2"/>
      <c r="AM442" s="2"/>
    </row>
    <row r="443" spans="3:39" x14ac:dyDescent="0.35">
      <c r="D443" s="155">
        <v>14</v>
      </c>
      <c r="F443" s="13">
        <v>115.66106000000001</v>
      </c>
      <c r="G443" s="2">
        <v>119.43886999999999</v>
      </c>
      <c r="H443" s="2">
        <f t="shared" si="353"/>
        <v>3.7778099999999881</v>
      </c>
      <c r="I443" s="2"/>
      <c r="J443" s="2"/>
      <c r="K443" s="2"/>
      <c r="L443" s="2"/>
      <c r="M443" s="2"/>
      <c r="N443" s="2"/>
      <c r="O443" s="2">
        <v>33</v>
      </c>
      <c r="P443">
        <f t="shared" si="360"/>
        <v>8.7352196113621652</v>
      </c>
      <c r="X443" s="2"/>
      <c r="Y443" s="104"/>
      <c r="Z443" s="13"/>
      <c r="AA443" s="49"/>
      <c r="AB443" s="2"/>
      <c r="AC443" s="2"/>
      <c r="AD443" s="2"/>
      <c r="AE443" s="2"/>
      <c r="AF443" s="2"/>
      <c r="AG443" s="2"/>
      <c r="AH443" s="2"/>
      <c r="AI443" s="2"/>
      <c r="AJ443" s="2"/>
      <c r="AK443" s="2"/>
      <c r="AL443" s="2"/>
      <c r="AM443" s="2"/>
    </row>
    <row r="444" spans="3:39" ht="16" thickBot="1" x14ac:dyDescent="0.4">
      <c r="C444" s="258" t="s">
        <v>541</v>
      </c>
      <c r="D444" s="155">
        <v>0</v>
      </c>
      <c r="F444" s="13">
        <v>240.02446</v>
      </c>
      <c r="G444" s="2">
        <v>242.45644999999999</v>
      </c>
      <c r="H444" s="2">
        <f t="shared" si="353"/>
        <v>2.4319899999999848</v>
      </c>
      <c r="I444" s="2">
        <f t="shared" si="354"/>
        <v>11.719840000000005</v>
      </c>
      <c r="J444" s="2">
        <f t="shared" si="355"/>
        <v>0.17184985970012265</v>
      </c>
      <c r="K444" s="2">
        <f t="shared" si="356"/>
        <v>0.82815014029987732</v>
      </c>
      <c r="L444" s="2">
        <f t="shared" si="357"/>
        <v>0.41118590125782023</v>
      </c>
      <c r="M444" s="2">
        <f t="shared" si="358"/>
        <v>7.0662239441824884E-2</v>
      </c>
      <c r="N444" s="2">
        <f t="shared" si="359"/>
        <v>14.15182999999999</v>
      </c>
      <c r="O444" s="2">
        <v>17</v>
      </c>
      <c r="P444">
        <f t="shared" si="360"/>
        <v>6.9901603213829437</v>
      </c>
      <c r="R444" t="s">
        <v>492</v>
      </c>
      <c r="X444" s="2"/>
      <c r="Y444" s="104" t="s">
        <v>82</v>
      </c>
      <c r="Z444" s="13"/>
      <c r="AA444" s="13"/>
      <c r="AB444" s="9" t="s">
        <v>3</v>
      </c>
      <c r="AC444" s="9" t="s">
        <v>4</v>
      </c>
      <c r="AD444" s="9" t="s">
        <v>5</v>
      </c>
      <c r="AE444" s="9" t="s">
        <v>6</v>
      </c>
      <c r="AF444" s="9" t="s">
        <v>7</v>
      </c>
      <c r="AG444" s="9" t="s">
        <v>8</v>
      </c>
      <c r="AH444" s="9" t="s">
        <v>9</v>
      </c>
      <c r="AI444" s="9" t="s">
        <v>10</v>
      </c>
      <c r="AJ444" s="44" t="s">
        <v>139</v>
      </c>
      <c r="AK444" s="2"/>
      <c r="AL444" s="2"/>
      <c r="AM444" s="2"/>
    </row>
    <row r="445" spans="3:39" x14ac:dyDescent="0.35">
      <c r="D445" s="155">
        <v>0</v>
      </c>
      <c r="F445" s="13">
        <v>254.17628999999999</v>
      </c>
      <c r="G445" s="2">
        <v>258.06599</v>
      </c>
      <c r="H445" s="2">
        <f t="shared" si="353"/>
        <v>3.8897000000000048</v>
      </c>
      <c r="I445" s="2">
        <f t="shared" si="354"/>
        <v>3.1193700000000035</v>
      </c>
      <c r="J445" s="2">
        <f t="shared" si="355"/>
        <v>0.55495236885920673</v>
      </c>
      <c r="K445" s="2">
        <f t="shared" si="356"/>
        <v>0.44504763114079327</v>
      </c>
      <c r="L445" s="2">
        <f t="shared" si="357"/>
        <v>0.25708923567370201</v>
      </c>
      <c r="M445" s="2">
        <f t="shared" si="358"/>
        <v>0.14267228034532381</v>
      </c>
      <c r="N445" s="2">
        <f t="shared" si="359"/>
        <v>7.0090700000000083</v>
      </c>
      <c r="O445" s="2">
        <v>32</v>
      </c>
      <c r="P445">
        <f t="shared" si="360"/>
        <v>8.2268555415584643</v>
      </c>
      <c r="X445" s="2"/>
      <c r="Y445" s="104"/>
      <c r="Z445" s="13"/>
      <c r="AA445" s="49" t="s">
        <v>77</v>
      </c>
      <c r="AB445" s="13">
        <f>AVERAGE(AB400,AB402,AB404,AB407,AB390,AB396)</f>
        <v>4.4882699999999955</v>
      </c>
      <c r="AC445" s="13">
        <f t="shared" ref="AC445:AJ445" si="367">AVERAGE(AC400,AC402,AC404,AC407,AC390,AC396)</f>
        <v>4.7364750000000226</v>
      </c>
      <c r="AD445" s="13">
        <f t="shared" si="367"/>
        <v>0.48790676181248455</v>
      </c>
      <c r="AE445" s="13">
        <f t="shared" si="367"/>
        <v>0.51209323818751529</v>
      </c>
      <c r="AF445" s="13">
        <f t="shared" si="367"/>
        <v>0.22436867548613584</v>
      </c>
      <c r="AG445" s="13">
        <f t="shared" si="367"/>
        <v>0.10885726815910907</v>
      </c>
      <c r="AH445" s="13">
        <f t="shared" si="367"/>
        <v>9.2247450000000182</v>
      </c>
      <c r="AI445" s="13">
        <f t="shared" si="367"/>
        <v>39.666666666666664</v>
      </c>
      <c r="AJ445" s="13">
        <f t="shared" si="367"/>
        <v>8.6919320496753549</v>
      </c>
      <c r="AK445" s="2"/>
      <c r="AL445" s="2"/>
      <c r="AM445" s="2"/>
    </row>
    <row r="446" spans="3:39" x14ac:dyDescent="0.35">
      <c r="C446" s="258" t="s">
        <v>541</v>
      </c>
      <c r="D446" s="155">
        <v>0</v>
      </c>
      <c r="F446" s="13">
        <v>261.18536</v>
      </c>
      <c r="G446" s="2">
        <v>264.04881</v>
      </c>
      <c r="H446" s="2">
        <f t="shared" si="353"/>
        <v>2.8634500000000003</v>
      </c>
      <c r="I446" s="2">
        <f t="shared" si="354"/>
        <v>8.3593099999999936</v>
      </c>
      <c r="J446" s="2">
        <f t="shared" si="355"/>
        <v>0.25514668405989271</v>
      </c>
      <c r="K446" s="2">
        <f t="shared" si="356"/>
        <v>0.74485331594010729</v>
      </c>
      <c r="L446" s="2">
        <f t="shared" si="357"/>
        <v>0.34922907681293541</v>
      </c>
      <c r="M446" s="2">
        <f t="shared" si="358"/>
        <v>8.9104640926118042E-2</v>
      </c>
      <c r="N446" s="2">
        <f t="shared" si="359"/>
        <v>11.222759999999994</v>
      </c>
      <c r="O446" s="2">
        <v>21</v>
      </c>
      <c r="P446">
        <f t="shared" si="360"/>
        <v>7.3338106130716438</v>
      </c>
      <c r="Y446" s="104"/>
      <c r="Z446" s="13"/>
      <c r="AA446" s="49" t="s">
        <v>94</v>
      </c>
      <c r="AB446" s="2">
        <f>_xlfn.STDEV.S(AB400,AB402,AB404,AB407,AB390,AB396)</f>
        <v>0.39941111912416094</v>
      </c>
      <c r="AC446" s="2">
        <f t="shared" ref="AC446:AJ446" si="368">_xlfn.STDEV.S(AC400,AC402,AC404,AC407,AC390,AC396)</f>
        <v>0.68443598008141127</v>
      </c>
      <c r="AD446" s="2">
        <f t="shared" si="368"/>
        <v>4.686350381866846E-2</v>
      </c>
      <c r="AE446" s="2">
        <f t="shared" si="368"/>
        <v>4.6863503818668467E-2</v>
      </c>
      <c r="AF446" s="2">
        <f t="shared" si="368"/>
        <v>2.1117294604445766E-2</v>
      </c>
      <c r="AG446" s="2">
        <f t="shared" si="368"/>
        <v>7.7213011196102218E-3</v>
      </c>
      <c r="AH446" s="2">
        <f t="shared" si="368"/>
        <v>0.65102766026489445</v>
      </c>
      <c r="AI446" s="2">
        <f t="shared" si="368"/>
        <v>2.6583202716502514</v>
      </c>
      <c r="AJ446" s="2">
        <f t="shared" si="368"/>
        <v>9.513833203543506E-3</v>
      </c>
      <c r="AL446" s="2"/>
      <c r="AM446" s="2"/>
    </row>
    <row r="447" spans="3:39" x14ac:dyDescent="0.35">
      <c r="D447" s="155">
        <v>0</v>
      </c>
      <c r="F447" s="13">
        <v>272.40812</v>
      </c>
      <c r="G447" s="13">
        <v>276.14886999999999</v>
      </c>
      <c r="H447" s="2">
        <f t="shared" si="353"/>
        <v>3.7407499999999914</v>
      </c>
      <c r="I447" s="2">
        <f t="shared" si="354"/>
        <v>3.9989699999999857</v>
      </c>
      <c r="J447" s="2">
        <f t="shared" si="355"/>
        <v>0.48331851798256298</v>
      </c>
      <c r="K447" s="2">
        <f t="shared" si="356"/>
        <v>0.51668148201743702</v>
      </c>
      <c r="L447" s="2">
        <f t="shared" si="357"/>
        <v>0.26732607097507244</v>
      </c>
      <c r="M447" s="2">
        <f t="shared" si="358"/>
        <v>0.12920364044177346</v>
      </c>
      <c r="N447" s="2">
        <f t="shared" si="359"/>
        <v>7.7397199999999771</v>
      </c>
      <c r="O447" s="2">
        <v>31</v>
      </c>
      <c r="P447">
        <f t="shared" si="360"/>
        <v>8.2871082002272463</v>
      </c>
      <c r="Y447" s="104"/>
      <c r="Z447" s="13"/>
      <c r="AA447" s="49" t="s">
        <v>95</v>
      </c>
      <c r="AB447" s="2">
        <f>AB446/(SQRT(COUNT(AB400,AB402,AB404,AB407,AB390,AB396)))</f>
        <v>0.16305890657469707</v>
      </c>
      <c r="AC447" s="2">
        <f t="shared" ref="AC447:AJ447" si="369">AC446/(SQRT(COUNT(AC400,AC402,AC404,AC407,AC390,AC396)))</f>
        <v>0.27941981880019479</v>
      </c>
      <c r="AD447" s="2">
        <f t="shared" si="369"/>
        <v>1.9131945319118118E-2</v>
      </c>
      <c r="AE447" s="2">
        <f t="shared" si="369"/>
        <v>1.9131945319118118E-2</v>
      </c>
      <c r="AF447" s="2">
        <f t="shared" si="369"/>
        <v>8.6210994214867432E-3</v>
      </c>
      <c r="AG447" s="2">
        <f t="shared" si="369"/>
        <v>3.1522079822375849E-3</v>
      </c>
      <c r="AH447" s="2">
        <f t="shared" si="369"/>
        <v>0.26578092934783176</v>
      </c>
      <c r="AI447" s="2">
        <f t="shared" si="369"/>
        <v>1.0852547064066471</v>
      </c>
      <c r="AJ447" s="2">
        <f t="shared" si="369"/>
        <v>6.727295973303348E-3</v>
      </c>
    </row>
    <row r="448" spans="3:39" x14ac:dyDescent="0.35">
      <c r="C448" s="258" t="s">
        <v>541</v>
      </c>
      <c r="D448" s="155">
        <v>0</v>
      </c>
      <c r="F448" s="13">
        <v>280.14783999999997</v>
      </c>
      <c r="G448" s="13">
        <v>283.06380000000001</v>
      </c>
      <c r="H448" s="2">
        <f t="shared" si="353"/>
        <v>2.915960000000041</v>
      </c>
      <c r="I448" s="2">
        <f t="shared" si="354"/>
        <v>8.2671699999999646</v>
      </c>
      <c r="J448" s="2">
        <f t="shared" si="355"/>
        <v>0.26074632057393943</v>
      </c>
      <c r="K448" s="2">
        <f t="shared" si="356"/>
        <v>0.73925367942606057</v>
      </c>
      <c r="L448" s="2">
        <f t="shared" si="357"/>
        <v>0.34294023237629662</v>
      </c>
      <c r="M448" s="2">
        <f t="shared" si="358"/>
        <v>8.9420403768891127E-2</v>
      </c>
      <c r="N448" s="2">
        <f t="shared" si="359"/>
        <v>11.183130000000006</v>
      </c>
      <c r="O448" s="2">
        <v>24</v>
      </c>
      <c r="P448">
        <f t="shared" si="360"/>
        <v>8.2305655770311201</v>
      </c>
    </row>
    <row r="449" spans="3:16" x14ac:dyDescent="0.35">
      <c r="D449" s="155">
        <v>0</v>
      </c>
      <c r="F449" s="13">
        <v>291.33096999999998</v>
      </c>
      <c r="G449" s="13">
        <v>295.2955</v>
      </c>
      <c r="H449" s="2">
        <f t="shared" si="353"/>
        <v>3.9645300000000248</v>
      </c>
      <c r="I449" s="2">
        <f t="shared" si="354"/>
        <v>3.7702899999999886</v>
      </c>
      <c r="J449" s="2">
        <f t="shared" si="355"/>
        <v>0.51255620686713044</v>
      </c>
      <c r="K449" s="2">
        <f t="shared" si="356"/>
        <v>0.48744379313286956</v>
      </c>
      <c r="L449" s="2">
        <f t="shared" si="357"/>
        <v>0.25223670901720852</v>
      </c>
      <c r="M449" s="2">
        <f t="shared" si="358"/>
        <v>0.12928549080650853</v>
      </c>
      <c r="N449" s="2">
        <f t="shared" si="359"/>
        <v>7.7348200000000134</v>
      </c>
      <c r="O449" s="2">
        <v>31</v>
      </c>
      <c r="P449">
        <f t="shared" si="360"/>
        <v>7.819337979533465</v>
      </c>
    </row>
    <row r="450" spans="3:16" x14ac:dyDescent="0.35">
      <c r="C450" s="258" t="s">
        <v>541</v>
      </c>
      <c r="D450" s="155">
        <v>0</v>
      </c>
      <c r="F450" s="13">
        <v>299.06578999999999</v>
      </c>
      <c r="G450" s="13">
        <v>301.96906999999999</v>
      </c>
      <c r="H450" s="2">
        <f t="shared" si="353"/>
        <v>2.9032799999999952</v>
      </c>
      <c r="I450" s="2">
        <f t="shared" si="354"/>
        <v>8.3781500000000051</v>
      </c>
      <c r="J450" s="2">
        <f t="shared" si="355"/>
        <v>0.2573503536342463</v>
      </c>
      <c r="K450" s="2">
        <f t="shared" si="356"/>
        <v>0.7426496463657537</v>
      </c>
      <c r="L450" s="2">
        <f t="shared" si="357"/>
        <v>0.34443801493483289</v>
      </c>
      <c r="M450" s="2">
        <f t="shared" si="358"/>
        <v>8.8641244948557046E-2</v>
      </c>
      <c r="N450" s="2">
        <f t="shared" si="359"/>
        <v>11.28143</v>
      </c>
      <c r="O450" s="2">
        <v>22</v>
      </c>
      <c r="P450">
        <f t="shared" si="360"/>
        <v>7.5776363285663235</v>
      </c>
    </row>
    <row r="451" spans="3:16" x14ac:dyDescent="0.35">
      <c r="D451" s="155">
        <v>0</v>
      </c>
      <c r="F451" s="13">
        <v>310.34721999999999</v>
      </c>
      <c r="G451" s="13">
        <v>314.07166000000001</v>
      </c>
      <c r="H451" s="2">
        <f t="shared" si="353"/>
        <v>3.7244400000000155</v>
      </c>
      <c r="I451" s="2">
        <f t="shared" si="354"/>
        <v>3.9320700000000102</v>
      </c>
      <c r="J451" s="2">
        <f t="shared" si="355"/>
        <v>0.48644095025017964</v>
      </c>
      <c r="K451" s="2">
        <f t="shared" si="356"/>
        <v>0.51355904974982036</v>
      </c>
      <c r="L451" s="2">
        <f t="shared" si="357"/>
        <v>0.26849674044956984</v>
      </c>
      <c r="M451" s="2">
        <f t="shared" si="358"/>
        <v>0.1306078095633646</v>
      </c>
      <c r="N451" s="2">
        <f t="shared" si="359"/>
        <v>7.6565100000000257</v>
      </c>
      <c r="O451" s="2">
        <v>30</v>
      </c>
      <c r="P451">
        <f t="shared" si="360"/>
        <v>8.0549022134870949</v>
      </c>
    </row>
    <row r="452" spans="3:16" x14ac:dyDescent="0.35">
      <c r="C452" s="258" t="s">
        <v>541</v>
      </c>
      <c r="D452" s="155">
        <v>0</v>
      </c>
      <c r="F452" s="13">
        <v>318.00373000000002</v>
      </c>
      <c r="G452" s="13">
        <v>321.65915000000001</v>
      </c>
      <c r="H452" s="2">
        <f t="shared" si="353"/>
        <v>3.6554199999999923</v>
      </c>
      <c r="I452" s="2">
        <f t="shared" si="354"/>
        <v>7.5437999999999761</v>
      </c>
      <c r="J452" s="2">
        <f t="shared" si="355"/>
        <v>0.32639951710922749</v>
      </c>
      <c r="K452" s="2">
        <f t="shared" si="356"/>
        <v>0.67360048289077257</v>
      </c>
      <c r="L452" s="2">
        <f t="shared" si="357"/>
        <v>0.27356637540966622</v>
      </c>
      <c r="M452" s="2">
        <f t="shared" si="358"/>
        <v>8.9291932831036702E-2</v>
      </c>
      <c r="N452" s="2">
        <f t="shared" si="359"/>
        <v>11.199219999999968</v>
      </c>
      <c r="O452" s="2">
        <v>26</v>
      </c>
      <c r="P452">
        <f t="shared" si="360"/>
        <v>7.1127257606513217</v>
      </c>
    </row>
    <row r="453" spans="3:16" x14ac:dyDescent="0.35">
      <c r="D453" s="155">
        <v>0</v>
      </c>
      <c r="E453" s="2"/>
      <c r="F453" s="13">
        <v>329.20294999999999</v>
      </c>
      <c r="G453" s="13">
        <v>332.86403000000001</v>
      </c>
      <c r="H453" s="2">
        <f>G453-F453</f>
        <v>3.6610800000000268</v>
      </c>
      <c r="I453" s="2">
        <f>F454-G453</f>
        <v>3.9351399999999899</v>
      </c>
      <c r="J453" s="2">
        <f>H453/N453</f>
        <v>0.48196076469612764</v>
      </c>
      <c r="K453" s="2">
        <f>I453/N453</f>
        <v>0.5180392353038723</v>
      </c>
      <c r="L453" s="2">
        <f>1/H453</f>
        <v>0.27314344401105484</v>
      </c>
      <c r="M453" s="2">
        <f>1/N453</f>
        <v>0.13164442314730193</v>
      </c>
      <c r="N453" s="2">
        <f>H453+I453</f>
        <v>7.5962200000000166</v>
      </c>
      <c r="O453" s="2">
        <v>29</v>
      </c>
      <c r="P453">
        <f t="shared" si="360"/>
        <v>7.9211598763205906</v>
      </c>
    </row>
    <row r="454" spans="3:16" x14ac:dyDescent="0.35">
      <c r="C454" s="258" t="s">
        <v>541</v>
      </c>
      <c r="D454" s="155">
        <v>0</v>
      </c>
      <c r="E454" s="2"/>
      <c r="F454" s="2">
        <v>336.79917</v>
      </c>
      <c r="G454" s="2">
        <v>340.30043999999998</v>
      </c>
      <c r="H454" s="2">
        <f>G454-F454</f>
        <v>3.5012699999999768</v>
      </c>
      <c r="I454" s="2">
        <f>F455-G454</f>
        <v>8.2022100000000364</v>
      </c>
      <c r="J454" s="2">
        <f>H454/N454</f>
        <v>0.2991648637841029</v>
      </c>
      <c r="K454" s="2">
        <f>I454/N454</f>
        <v>0.7008351362158971</v>
      </c>
      <c r="L454" s="2">
        <f>1/H454</f>
        <v>0.28561064984991352</v>
      </c>
      <c r="M454" s="2">
        <f>1/N454</f>
        <v>8.5444671157638485E-2</v>
      </c>
      <c r="N454" s="2">
        <f>H454+I454</f>
        <v>11.703480000000013</v>
      </c>
      <c r="O454" s="2">
        <v>25</v>
      </c>
      <c r="P454">
        <f t="shared" si="360"/>
        <v>7.1402662462478377</v>
      </c>
    </row>
    <row r="455" spans="3:16" x14ac:dyDescent="0.35">
      <c r="D455" s="155">
        <v>0</v>
      </c>
      <c r="F455">
        <v>348.50265000000002</v>
      </c>
      <c r="G455">
        <v>352.20463999999998</v>
      </c>
      <c r="H455" s="2">
        <f>G455-F455</f>
        <v>3.7019899999999666</v>
      </c>
      <c r="I455" s="2">
        <f>F456-G455</f>
        <v>3.1224599999999896</v>
      </c>
      <c r="J455" s="2">
        <f>H455/N455</f>
        <v>0.5424598319278463</v>
      </c>
      <c r="K455" s="2">
        <f>I455/N455</f>
        <v>0.45754016807215375</v>
      </c>
      <c r="L455" s="2">
        <f>1/H455</f>
        <v>0.27012498683140934</v>
      </c>
      <c r="M455" s="2">
        <f>1/N455</f>
        <v>0.14653195495607799</v>
      </c>
      <c r="N455" s="2">
        <f>H455+I455</f>
        <v>6.8244499999999562</v>
      </c>
      <c r="O455">
        <v>30</v>
      </c>
      <c r="P455">
        <f t="shared" si="360"/>
        <v>8.1037496049422799</v>
      </c>
    </row>
    <row r="456" spans="3:16" x14ac:dyDescent="0.35">
      <c r="D456" s="155"/>
      <c r="F456">
        <v>355.32709999999997</v>
      </c>
      <c r="G456">
        <v>359.80862000000002</v>
      </c>
      <c r="H456" s="2">
        <f>G456-F456</f>
        <v>4.4815200000000459</v>
      </c>
      <c r="I456" s="2"/>
      <c r="J456" s="2"/>
      <c r="K456" s="2"/>
      <c r="L456" s="2"/>
      <c r="M456" s="2"/>
      <c r="N456" s="2"/>
    </row>
    <row r="458" spans="3:16" ht="16" thickBot="1" x14ac:dyDescent="0.4">
      <c r="F458" s="2"/>
      <c r="G458" s="2"/>
      <c r="H458" s="9" t="s">
        <v>3</v>
      </c>
      <c r="I458" s="9" t="s">
        <v>4</v>
      </c>
      <c r="J458" s="9" t="s">
        <v>5</v>
      </c>
      <c r="K458" s="9" t="s">
        <v>6</v>
      </c>
      <c r="L458" s="9" t="s">
        <v>7</v>
      </c>
      <c r="M458" s="9" t="s">
        <v>8</v>
      </c>
      <c r="N458" s="9" t="s">
        <v>9</v>
      </c>
      <c r="O458" s="9" t="s">
        <v>10</v>
      </c>
      <c r="P458" s="44" t="s">
        <v>139</v>
      </c>
    </row>
    <row r="459" spans="3:16" x14ac:dyDescent="0.35">
      <c r="E459" s="104" t="s">
        <v>459</v>
      </c>
      <c r="F459" s="13"/>
      <c r="G459" s="49" t="s">
        <v>77</v>
      </c>
      <c r="H459" s="13">
        <f>AVERAGE(H431:H442)</f>
        <v>4.0292216666666683</v>
      </c>
      <c r="I459" s="13">
        <f t="shared" ref="I459:P459" si="370">AVERAGE(I431:I442)</f>
        <v>5.5292699999999995</v>
      </c>
      <c r="J459" s="13">
        <f t="shared" si="370"/>
        <v>0.43952134813526106</v>
      </c>
      <c r="K459" s="13">
        <f t="shared" si="370"/>
        <v>0.560478651864739</v>
      </c>
      <c r="L459" s="13">
        <f t="shared" si="370"/>
        <v>0.25237034566731331</v>
      </c>
      <c r="M459" s="13">
        <f t="shared" si="370"/>
        <v>0.10734607667312386</v>
      </c>
      <c r="N459" s="13">
        <f t="shared" si="370"/>
        <v>9.5584916666666668</v>
      </c>
      <c r="O459" s="13">
        <f t="shared" si="370"/>
        <v>32.083333333333336</v>
      </c>
      <c r="P459" s="13">
        <f t="shared" si="370"/>
        <v>7.9684155598985953</v>
      </c>
    </row>
    <row r="460" spans="3:16" x14ac:dyDescent="0.35">
      <c r="E460" s="104"/>
      <c r="F460" s="13"/>
      <c r="G460" s="49" t="s">
        <v>94</v>
      </c>
      <c r="H460" s="2">
        <f>_xlfn.STDEV.S(H431:H442)</f>
        <v>0.52253073134215877</v>
      </c>
      <c r="I460" s="2">
        <f t="shared" ref="I460:P460" si="371">_xlfn.STDEV.S(I431:I442)</f>
        <v>2.0438671251553768</v>
      </c>
      <c r="J460" s="2">
        <f t="shared" si="371"/>
        <v>0.12142864092322471</v>
      </c>
      <c r="K460" s="2">
        <f t="shared" si="371"/>
        <v>0.12142864092322438</v>
      </c>
      <c r="L460" s="2">
        <f t="shared" si="371"/>
        <v>3.5640696292727828E-2</v>
      </c>
      <c r="M460" s="2">
        <f t="shared" si="371"/>
        <v>1.7947447190359813E-2</v>
      </c>
      <c r="N460" s="2">
        <f t="shared" si="371"/>
        <v>1.5893460014954903</v>
      </c>
      <c r="O460" s="2">
        <f t="shared" si="371"/>
        <v>4.3371195580253499</v>
      </c>
      <c r="P460" s="2">
        <f t="shared" si="371"/>
        <v>0.40043448651338026</v>
      </c>
    </row>
    <row r="461" spans="3:16" x14ac:dyDescent="0.35">
      <c r="E461" s="104"/>
      <c r="F461" s="13"/>
      <c r="G461" s="49" t="s">
        <v>95</v>
      </c>
      <c r="H461" s="2">
        <f>H460/(SQRT(COUNT(H431:H442)))</f>
        <v>0.1508416292001237</v>
      </c>
      <c r="I461" s="2">
        <f t="shared" ref="I461:P461" si="372">I460/(SQRT(COUNT(I431:I442)))</f>
        <v>0.59001361744814174</v>
      </c>
      <c r="J461" s="2">
        <f t="shared" si="372"/>
        <v>3.5053429262177097E-2</v>
      </c>
      <c r="K461" s="2">
        <f t="shared" si="372"/>
        <v>3.5053429262176999E-2</v>
      </c>
      <c r="L461" s="2">
        <f t="shared" si="372"/>
        <v>1.0288582799356055E-2</v>
      </c>
      <c r="M461" s="2">
        <f t="shared" si="372"/>
        <v>5.1809817333104153E-3</v>
      </c>
      <c r="N461" s="2">
        <f t="shared" si="372"/>
        <v>0.45880467089943838</v>
      </c>
      <c r="O461" s="2">
        <f t="shared" si="372"/>
        <v>1.2520185721667634</v>
      </c>
      <c r="P461" s="2">
        <f t="shared" si="372"/>
        <v>0.11559547929065483</v>
      </c>
    </row>
    <row r="462" spans="3:16" x14ac:dyDescent="0.35">
      <c r="E462" s="104"/>
    </row>
    <row r="463" spans="3:16" x14ac:dyDescent="0.35">
      <c r="E463" s="104"/>
    </row>
    <row r="464" spans="3:16" ht="16" thickBot="1" x14ac:dyDescent="0.4">
      <c r="E464" s="104" t="s">
        <v>81</v>
      </c>
      <c r="F464" s="13"/>
      <c r="G464" s="13"/>
      <c r="H464" s="9" t="s">
        <v>3</v>
      </c>
      <c r="I464" s="9" t="s">
        <v>4</v>
      </c>
      <c r="J464" s="9" t="s">
        <v>5</v>
      </c>
      <c r="K464" s="9" t="s">
        <v>6</v>
      </c>
      <c r="L464" s="9" t="s">
        <v>7</v>
      </c>
      <c r="M464" s="9" t="s">
        <v>8</v>
      </c>
      <c r="N464" s="9" t="s">
        <v>9</v>
      </c>
      <c r="O464" s="9" t="s">
        <v>10</v>
      </c>
      <c r="P464" s="44" t="s">
        <v>139</v>
      </c>
    </row>
    <row r="465" spans="5:16" x14ac:dyDescent="0.35">
      <c r="E465" s="104"/>
      <c r="F465" s="13"/>
      <c r="G465" s="49" t="s">
        <v>77</v>
      </c>
      <c r="H465" s="13">
        <f>AVERAGE(H432,H434,H436,H438,H440,H442)</f>
        <v>3.5972816666666692</v>
      </c>
      <c r="I465" s="13">
        <f t="shared" ref="I465:P465" si="373">AVERAGE(I432,I434,I436,I438,I440,I442)</f>
        <v>7.426523333333332</v>
      </c>
      <c r="J465" s="13">
        <f t="shared" si="373"/>
        <v>0.32709730255093405</v>
      </c>
      <c r="K465" s="13">
        <f t="shared" si="373"/>
        <v>0.67290269744906606</v>
      </c>
      <c r="L465" s="13">
        <f t="shared" si="373"/>
        <v>0.2800933440522097</v>
      </c>
      <c r="M465" s="13">
        <f t="shared" si="373"/>
        <v>9.0849917047408454E-2</v>
      </c>
      <c r="N465" s="13">
        <f t="shared" si="373"/>
        <v>11.023805000000001</v>
      </c>
      <c r="O465" s="13">
        <f t="shared" si="373"/>
        <v>28.166666666666668</v>
      </c>
      <c r="P465" s="13">
        <f t="shared" si="373"/>
        <v>7.8593326281976177</v>
      </c>
    </row>
    <row r="466" spans="5:16" x14ac:dyDescent="0.35">
      <c r="E466" s="104"/>
      <c r="F466" s="13"/>
      <c r="G466" s="49" t="s">
        <v>94</v>
      </c>
      <c r="H466" s="2">
        <f>_xlfn.STDEV.S(H432,H434,H436,H438,H440,H442)</f>
        <v>0.31860674439921682</v>
      </c>
      <c r="I466" s="2">
        <f t="shared" ref="I466:P466" si="374">_xlfn.STDEV.S(I432,I434,I436,I438,I440,I442)</f>
        <v>0.63525617480404717</v>
      </c>
      <c r="J466" s="2">
        <f t="shared" si="374"/>
        <v>3.4769624415118175E-2</v>
      </c>
      <c r="K466" s="2">
        <f t="shared" si="374"/>
        <v>3.4769624415118175E-2</v>
      </c>
      <c r="L466" s="2">
        <f t="shared" si="374"/>
        <v>2.855610555345171E-2</v>
      </c>
      <c r="M466" s="2">
        <f t="shared" si="374"/>
        <v>3.867555763827136E-3</v>
      </c>
      <c r="N466" s="2">
        <f t="shared" si="374"/>
        <v>0.46909941538015032</v>
      </c>
      <c r="O466" s="2">
        <f t="shared" si="374"/>
        <v>1.7224014243685084</v>
      </c>
      <c r="P466" s="2">
        <f t="shared" si="374"/>
        <v>0.51132587585991307</v>
      </c>
    </row>
    <row r="467" spans="5:16" x14ac:dyDescent="0.35">
      <c r="E467" s="104"/>
      <c r="F467" s="13"/>
      <c r="G467" s="49" t="s">
        <v>95</v>
      </c>
      <c r="H467" s="2">
        <f>H466/(SQRT(COUNT(H432,H434,H436,H438,H440,H442)))</f>
        <v>0.13007065873123724</v>
      </c>
      <c r="I467" s="2">
        <f t="shared" ref="I467:P467" si="375">I466/(SQRT(COUNT(I432,I434,I436,I438,I440,I442)))</f>
        <v>0.25934224737036521</v>
      </c>
      <c r="J467" s="2">
        <f t="shared" si="375"/>
        <v>1.4194639727542589E-2</v>
      </c>
      <c r="K467" s="2">
        <f t="shared" si="375"/>
        <v>1.4194639727542589E-2</v>
      </c>
      <c r="L467" s="2">
        <f t="shared" si="375"/>
        <v>1.1657981274502287E-2</v>
      </c>
      <c r="M467" s="2">
        <f t="shared" si="375"/>
        <v>1.5789230288560884E-3</v>
      </c>
      <c r="N467" s="2">
        <f t="shared" si="375"/>
        <v>0.19150903438654396</v>
      </c>
      <c r="O467" s="2">
        <f t="shared" si="375"/>
        <v>0.70316743699096629</v>
      </c>
      <c r="P467" s="2">
        <f t="shared" si="375"/>
        <v>0.20874791468974696</v>
      </c>
    </row>
    <row r="468" spans="5:16" x14ac:dyDescent="0.35">
      <c r="E468" s="104"/>
      <c r="F468" s="13"/>
      <c r="G468" s="49"/>
      <c r="H468" s="2"/>
      <c r="I468" s="2"/>
      <c r="J468" s="2"/>
      <c r="K468" s="2"/>
      <c r="L468" s="2"/>
      <c r="M468" s="2"/>
      <c r="N468" s="2"/>
      <c r="O468" s="2"/>
      <c r="P468" s="2"/>
    </row>
    <row r="469" spans="5:16" x14ac:dyDescent="0.35">
      <c r="E469" s="104"/>
      <c r="F469" s="13"/>
      <c r="G469" s="49"/>
      <c r="H469" s="2"/>
      <c r="I469" s="2"/>
      <c r="J469" s="2"/>
      <c r="K469" s="2"/>
      <c r="L469" s="2"/>
      <c r="M469" s="2"/>
      <c r="N469" s="2"/>
      <c r="O469" s="2"/>
      <c r="P469" s="2"/>
    </row>
    <row r="470" spans="5:16" ht="16" thickBot="1" x14ac:dyDescent="0.4">
      <c r="E470" s="104" t="s">
        <v>82</v>
      </c>
      <c r="F470" s="13"/>
      <c r="G470" s="13"/>
      <c r="H470" s="9" t="s">
        <v>3</v>
      </c>
      <c r="I470" s="9" t="s">
        <v>4</v>
      </c>
      <c r="J470" s="9" t="s">
        <v>5</v>
      </c>
      <c r="K470" s="9" t="s">
        <v>6</v>
      </c>
      <c r="L470" s="9" t="s">
        <v>7</v>
      </c>
      <c r="M470" s="9" t="s">
        <v>8</v>
      </c>
      <c r="N470" s="9" t="s">
        <v>9</v>
      </c>
      <c r="O470" s="9" t="s">
        <v>10</v>
      </c>
      <c r="P470" s="44" t="s">
        <v>139</v>
      </c>
    </row>
    <row r="471" spans="5:16" x14ac:dyDescent="0.35">
      <c r="E471" s="104"/>
      <c r="F471" s="13"/>
      <c r="G471" s="49" t="s">
        <v>77</v>
      </c>
      <c r="H471" s="13">
        <f>AVERAGE(H433,H435,H437,H439,H441,H431)</f>
        <v>4.4611616666666682</v>
      </c>
      <c r="I471" s="13">
        <f t="shared" ref="I471:P471" si="376">AVERAGE(I433,I435,I437,I439,I441,I431)</f>
        <v>3.6320166666666651</v>
      </c>
      <c r="J471" s="13">
        <f t="shared" si="376"/>
        <v>0.55194539371958806</v>
      </c>
      <c r="K471" s="13">
        <f t="shared" si="376"/>
        <v>0.44805460628041183</v>
      </c>
      <c r="L471" s="13">
        <f t="shared" si="376"/>
        <v>0.22464734728241689</v>
      </c>
      <c r="M471" s="13">
        <f t="shared" si="376"/>
        <v>0.12384223629883927</v>
      </c>
      <c r="N471" s="13">
        <f t="shared" si="376"/>
        <v>8.0931783333333343</v>
      </c>
      <c r="O471" s="13">
        <f t="shared" si="376"/>
        <v>36</v>
      </c>
      <c r="P471" s="13">
        <f t="shared" si="376"/>
        <v>8.0774984915995738</v>
      </c>
    </row>
    <row r="472" spans="5:16" x14ac:dyDescent="0.35">
      <c r="E472" s="104"/>
      <c r="F472" s="13"/>
      <c r="G472" s="49" t="s">
        <v>94</v>
      </c>
      <c r="H472" s="2">
        <f>_xlfn.STDEV.S(H433,H435,H437,H439,H441,H431)</f>
        <v>0.22671778319458441</v>
      </c>
      <c r="I472" s="2">
        <f t="shared" ref="I472:P472" si="377">_xlfn.STDEV.S(I433,I435,I437,I439,I441,I431)</f>
        <v>0.38437651071139423</v>
      </c>
      <c r="J472" s="2">
        <f t="shared" si="377"/>
        <v>2.9931378132894659E-2</v>
      </c>
      <c r="K472" s="2">
        <f t="shared" si="377"/>
        <v>2.9931378132894673E-2</v>
      </c>
      <c r="L472" s="2">
        <f t="shared" si="377"/>
        <v>1.1600172923263484E-2</v>
      </c>
      <c r="M472" s="2">
        <f t="shared" si="377"/>
        <v>6.3710303791730703E-3</v>
      </c>
      <c r="N472" s="2">
        <f t="shared" si="377"/>
        <v>0.42900782078729971</v>
      </c>
      <c r="O472" s="2">
        <f t="shared" si="377"/>
        <v>1.2649110640673518</v>
      </c>
      <c r="P472" s="2">
        <f t="shared" si="377"/>
        <v>0.25050579610072171</v>
      </c>
    </row>
    <row r="473" spans="5:16" x14ac:dyDescent="0.35">
      <c r="E473" s="104"/>
      <c r="F473" s="13"/>
      <c r="G473" s="49" t="s">
        <v>95</v>
      </c>
      <c r="H473" s="2">
        <f>H472/(SQRT(COUNT(H433,H435,H437,H439,H441,H431)))</f>
        <v>9.2557147406945831E-2</v>
      </c>
      <c r="I473" s="2">
        <f t="shared" ref="I473:P473" si="378">I472/(SQRT(COUNT(I433,I435,I437,I439,I441,I431)))</f>
        <v>0.15692105339239143</v>
      </c>
      <c r="J473" s="2">
        <f t="shared" si="378"/>
        <v>1.2219433953981697E-2</v>
      </c>
      <c r="K473" s="2">
        <f t="shared" si="378"/>
        <v>1.2219433953981703E-2</v>
      </c>
      <c r="L473" s="2">
        <f t="shared" si="378"/>
        <v>4.73575076500751E-3</v>
      </c>
      <c r="M473" s="2">
        <f t="shared" si="378"/>
        <v>2.6009622607907432E-3</v>
      </c>
      <c r="N473" s="2">
        <f t="shared" si="378"/>
        <v>0.17514170943204244</v>
      </c>
      <c r="O473" s="2">
        <f t="shared" si="378"/>
        <v>0.51639777949432231</v>
      </c>
      <c r="P473" s="2">
        <f t="shared" si="378"/>
        <v>0.10226856300940869</v>
      </c>
    </row>
    <row r="474" spans="5:16" x14ac:dyDescent="0.35">
      <c r="E474" s="104"/>
      <c r="F474" s="13"/>
      <c r="G474" s="49"/>
      <c r="H474" s="2"/>
      <c r="I474" s="2"/>
      <c r="J474" s="2"/>
      <c r="K474" s="2"/>
      <c r="L474" s="2"/>
      <c r="M474" s="2"/>
      <c r="N474" s="2"/>
      <c r="O474" s="2"/>
      <c r="P474" s="2"/>
    </row>
    <row r="475" spans="5:16" x14ac:dyDescent="0.35">
      <c r="E475" s="104"/>
      <c r="F475" s="13"/>
      <c r="G475" s="49"/>
      <c r="H475" s="2"/>
      <c r="I475" s="2"/>
      <c r="J475" s="2"/>
      <c r="K475" s="2"/>
      <c r="L475" s="2"/>
      <c r="M475" s="2"/>
      <c r="N475" s="2"/>
      <c r="O475" s="2"/>
      <c r="P475" s="2"/>
    </row>
    <row r="476" spans="5:16" x14ac:dyDescent="0.35">
      <c r="E476" s="104"/>
    </row>
    <row r="477" spans="5:16" ht="16" thickBot="1" x14ac:dyDescent="0.4">
      <c r="E477" s="104"/>
      <c r="G477" s="13"/>
      <c r="H477" s="9" t="s">
        <v>3</v>
      </c>
      <c r="I477" s="9" t="s">
        <v>4</v>
      </c>
      <c r="J477" s="9" t="s">
        <v>5</v>
      </c>
      <c r="K477" s="9" t="s">
        <v>6</v>
      </c>
      <c r="L477" s="9" t="s">
        <v>7</v>
      </c>
      <c r="M477" s="9" t="s">
        <v>8</v>
      </c>
      <c r="N477" s="9" t="s">
        <v>9</v>
      </c>
      <c r="O477" s="9" t="s">
        <v>10</v>
      </c>
      <c r="P477" s="44" t="s">
        <v>139</v>
      </c>
    </row>
    <row r="478" spans="5:16" x14ac:dyDescent="0.35">
      <c r="E478" s="104" t="s">
        <v>410</v>
      </c>
      <c r="G478" s="49" t="s">
        <v>77</v>
      </c>
      <c r="H478" s="13">
        <f t="shared" ref="H478:P478" si="379">AVERAGE(H444:H455)</f>
        <v>3.4128216666666682</v>
      </c>
      <c r="I478" s="13">
        <f t="shared" si="379"/>
        <v>6.1957316666666626</v>
      </c>
      <c r="J478" s="13">
        <f t="shared" si="379"/>
        <v>0.38602885328704883</v>
      </c>
      <c r="K478" s="13">
        <f t="shared" si="379"/>
        <v>0.61397114671295105</v>
      </c>
      <c r="L478" s="13">
        <f t="shared" si="379"/>
        <v>0.29961561979995682</v>
      </c>
      <c r="M478" s="13">
        <f t="shared" si="379"/>
        <v>0.11020922769453471</v>
      </c>
      <c r="N478" s="13">
        <f t="shared" si="379"/>
        <v>9.6085533333333313</v>
      </c>
      <c r="O478" s="13">
        <f t="shared" si="379"/>
        <v>26.5</v>
      </c>
      <c r="P478" s="13">
        <f t="shared" si="379"/>
        <v>7.7331898552516938</v>
      </c>
    </row>
    <row r="479" spans="5:16" x14ac:dyDescent="0.35">
      <c r="G479" s="49" t="s">
        <v>94</v>
      </c>
      <c r="H479" s="2">
        <f t="shared" ref="H479:P479" si="380">_xlfn.STDEV.S(H444:H455)</f>
        <v>0.49714729880193559</v>
      </c>
      <c r="I479" s="2">
        <f t="shared" si="380"/>
        <v>2.8595273279332329</v>
      </c>
      <c r="J479" s="2">
        <f t="shared" si="380"/>
        <v>0.13622289197963516</v>
      </c>
      <c r="K479" s="2">
        <f t="shared" si="380"/>
        <v>0.13622289197963636</v>
      </c>
      <c r="L479" s="2">
        <f t="shared" si="380"/>
        <v>4.9822340709515356E-2</v>
      </c>
      <c r="M479" s="2">
        <f t="shared" si="380"/>
        <v>2.6851424554651001E-2</v>
      </c>
      <c r="N479" s="2">
        <f t="shared" si="380"/>
        <v>2.4274133344639344</v>
      </c>
      <c r="O479" s="2">
        <f t="shared" si="380"/>
        <v>4.7768380565162367</v>
      </c>
      <c r="P479" s="2">
        <f t="shared" si="380"/>
        <v>0.48183448825344327</v>
      </c>
    </row>
    <row r="480" spans="5:16" x14ac:dyDescent="0.35">
      <c r="G480" s="49" t="s">
        <v>95</v>
      </c>
      <c r="H480" s="2">
        <f t="shared" ref="H480:P480" si="381">H479/(SQRT(COUNT(H444:H455)))</f>
        <v>0.14351406339509643</v>
      </c>
      <c r="I480" s="2">
        <f t="shared" si="381"/>
        <v>0.82547443626867167</v>
      </c>
      <c r="J480" s="2">
        <f t="shared" si="381"/>
        <v>3.9324161677115839E-2</v>
      </c>
      <c r="K480" s="2">
        <f t="shared" si="381"/>
        <v>3.9324161677116186E-2</v>
      </c>
      <c r="L480" s="2">
        <f t="shared" si="381"/>
        <v>1.4382470910147971E-2</v>
      </c>
      <c r="M480" s="2">
        <f t="shared" si="381"/>
        <v>7.7513385973763419E-3</v>
      </c>
      <c r="N480" s="2">
        <f t="shared" si="381"/>
        <v>0.70073387104361984</v>
      </c>
      <c r="O480" s="2">
        <f t="shared" si="381"/>
        <v>1.378954368902449</v>
      </c>
      <c r="P480" s="2">
        <f t="shared" si="381"/>
        <v>0.13909363574898553</v>
      </c>
    </row>
    <row r="483" spans="5:16" ht="16" thickBot="1" x14ac:dyDescent="0.4">
      <c r="E483" s="104" t="s">
        <v>81</v>
      </c>
      <c r="F483" s="13"/>
      <c r="G483" s="13"/>
      <c r="H483" s="9" t="s">
        <v>3</v>
      </c>
      <c r="I483" s="9" t="s">
        <v>4</v>
      </c>
      <c r="J483" s="9" t="s">
        <v>5</v>
      </c>
      <c r="K483" s="9" t="s">
        <v>6</v>
      </c>
      <c r="L483" s="9" t="s">
        <v>7</v>
      </c>
      <c r="M483" s="9" t="s">
        <v>8</v>
      </c>
      <c r="N483" s="9" t="s">
        <v>9</v>
      </c>
      <c r="O483" s="9" t="s">
        <v>10</v>
      </c>
      <c r="P483" s="44" t="s">
        <v>139</v>
      </c>
    </row>
    <row r="484" spans="5:16" x14ac:dyDescent="0.35">
      <c r="E484" s="104"/>
      <c r="F484" s="13"/>
      <c r="G484" s="49" t="s">
        <v>77</v>
      </c>
      <c r="H484" s="13">
        <f>AVERAGE(H452,H454,H450,H448,H446,H444)</f>
        <v>3.0452283333333319</v>
      </c>
      <c r="I484" s="13">
        <f t="shared" ref="I484:P484" si="382">AVERAGE(I452,I454,I450,I448,I446,I444)</f>
        <v>8.7450799999999962</v>
      </c>
      <c r="J484" s="13">
        <f t="shared" si="382"/>
        <v>0.26177626647692187</v>
      </c>
      <c r="K484" s="13">
        <f t="shared" si="382"/>
        <v>0.73822373352307802</v>
      </c>
      <c r="L484" s="13">
        <f t="shared" si="382"/>
        <v>0.33449504177357747</v>
      </c>
      <c r="M484" s="13">
        <f t="shared" si="382"/>
        <v>8.5427522179011062E-2</v>
      </c>
      <c r="N484" s="13">
        <f t="shared" si="382"/>
        <v>11.790308333333329</v>
      </c>
      <c r="O484" s="13">
        <f t="shared" si="382"/>
        <v>22.5</v>
      </c>
      <c r="P484" s="13">
        <f t="shared" si="382"/>
        <v>7.3975274744918655</v>
      </c>
    </row>
    <row r="485" spans="5:16" x14ac:dyDescent="0.35">
      <c r="E485" s="104"/>
      <c r="F485" s="13"/>
      <c r="G485" s="49" t="s">
        <v>94</v>
      </c>
      <c r="H485" s="2">
        <f>_xlfn.STDEV.S(H452,H454,H450,H448,H446,H444)</f>
        <v>0.45305013388880244</v>
      </c>
      <c r="I485" s="2">
        <f t="shared" ref="I485:P485" si="383">_xlfn.STDEV.S(I452,I454,I450,I448,I446,I444)</f>
        <v>1.4898880910189216</v>
      </c>
      <c r="J485" s="2">
        <f t="shared" si="383"/>
        <v>5.2393570641346927E-2</v>
      </c>
      <c r="K485" s="2">
        <f t="shared" si="383"/>
        <v>5.2393570641346629E-2</v>
      </c>
      <c r="L485" s="2">
        <f t="shared" si="383"/>
        <v>4.9740827968995288E-2</v>
      </c>
      <c r="M485" s="2">
        <f t="shared" si="383"/>
        <v>7.3856598594117841E-3</v>
      </c>
      <c r="N485" s="2">
        <f t="shared" si="383"/>
        <v>1.1733237367992961</v>
      </c>
      <c r="O485" s="2">
        <f t="shared" si="383"/>
        <v>3.271085446759225</v>
      </c>
      <c r="P485" s="2">
        <f t="shared" si="383"/>
        <v>0.45687960585337239</v>
      </c>
    </row>
    <row r="486" spans="5:16" x14ac:dyDescent="0.35">
      <c r="E486" s="104"/>
      <c r="F486" s="13"/>
      <c r="G486" s="49" t="s">
        <v>95</v>
      </c>
      <c r="H486" s="2">
        <f>H485/(SQRT(COUNT(H452,H454,H450,H448,H446,H444)))</f>
        <v>0.18495694265452786</v>
      </c>
      <c r="I486" s="2">
        <f t="shared" ref="I486:P486" si="384">I485/(SQRT(COUNT(I452,I454,I450,I448,I446,I444)))</f>
        <v>0.60824426614094318</v>
      </c>
      <c r="J486" s="2">
        <f t="shared" si="384"/>
        <v>2.1389585645627526E-2</v>
      </c>
      <c r="K486" s="2">
        <f t="shared" si="384"/>
        <v>2.1389585645627405E-2</v>
      </c>
      <c r="L486" s="2">
        <f t="shared" si="384"/>
        <v>2.0306607984599431E-2</v>
      </c>
      <c r="M486" s="2">
        <f t="shared" si="384"/>
        <v>3.0151830115524359E-3</v>
      </c>
      <c r="N486" s="2">
        <f t="shared" si="384"/>
        <v>0.47900740970898426</v>
      </c>
      <c r="O486" s="2">
        <f t="shared" si="384"/>
        <v>1.3354150416006754</v>
      </c>
      <c r="P486" s="2">
        <f t="shared" si="384"/>
        <v>0.18652031803744284</v>
      </c>
    </row>
    <row r="487" spans="5:16" x14ac:dyDescent="0.35">
      <c r="E487" s="104"/>
      <c r="F487" s="13"/>
      <c r="G487" s="49"/>
      <c r="H487" s="2"/>
      <c r="I487" s="2"/>
      <c r="J487" s="2"/>
      <c r="K487" s="2"/>
      <c r="L487" s="2"/>
      <c r="M487" s="2"/>
      <c r="N487" s="2"/>
      <c r="O487" s="2"/>
      <c r="P487" s="2"/>
    </row>
    <row r="488" spans="5:16" x14ac:dyDescent="0.35">
      <c r="E488" s="104"/>
      <c r="F488" s="13"/>
      <c r="G488" s="49"/>
      <c r="H488" s="2"/>
      <c r="I488" s="2"/>
      <c r="J488" s="2"/>
      <c r="K488" s="2"/>
      <c r="L488" s="2"/>
      <c r="M488" s="2"/>
      <c r="N488" s="2"/>
      <c r="O488" s="2"/>
      <c r="P488" s="2"/>
    </row>
    <row r="489" spans="5:16" ht="16" thickBot="1" x14ac:dyDescent="0.4">
      <c r="E489" s="104" t="s">
        <v>82</v>
      </c>
      <c r="F489" s="13"/>
      <c r="G489" s="13"/>
      <c r="H489" s="9" t="s">
        <v>3</v>
      </c>
      <c r="I489" s="9" t="s">
        <v>4</v>
      </c>
      <c r="J489" s="9" t="s">
        <v>5</v>
      </c>
      <c r="K489" s="9" t="s">
        <v>6</v>
      </c>
      <c r="L489" s="9" t="s">
        <v>7</v>
      </c>
      <c r="M489" s="9" t="s">
        <v>8</v>
      </c>
      <c r="N489" s="9" t="s">
        <v>9</v>
      </c>
      <c r="O489" s="9" t="s">
        <v>10</v>
      </c>
      <c r="P489" s="44" t="s">
        <v>139</v>
      </c>
    </row>
    <row r="490" spans="5:16" x14ac:dyDescent="0.35">
      <c r="E490" s="104"/>
      <c r="F490" s="13"/>
      <c r="G490" s="49" t="s">
        <v>77</v>
      </c>
      <c r="H490" s="13">
        <f>AVERAGE(H451,H453,H449,H447,H445,H455)</f>
        <v>3.780415000000005</v>
      </c>
      <c r="I490" s="13">
        <f t="shared" ref="I490:P490" si="385">AVERAGE(I451,I453,I449,I447,I445,I455)</f>
        <v>3.6463833333333278</v>
      </c>
      <c r="J490" s="13">
        <f t="shared" si="385"/>
        <v>0.51028144009717558</v>
      </c>
      <c r="K490" s="13">
        <f t="shared" si="385"/>
        <v>0.48971855990282442</v>
      </c>
      <c r="L490" s="13">
        <f t="shared" si="385"/>
        <v>0.26473619782633617</v>
      </c>
      <c r="M490" s="13">
        <f t="shared" si="385"/>
        <v>0.13499093321005839</v>
      </c>
      <c r="N490" s="13">
        <f t="shared" si="385"/>
        <v>7.4267983333333332</v>
      </c>
      <c r="O490" s="13">
        <f t="shared" si="385"/>
        <v>30.5</v>
      </c>
      <c r="P490" s="13">
        <f t="shared" si="385"/>
        <v>8.0688522360115229</v>
      </c>
    </row>
    <row r="491" spans="5:16" x14ac:dyDescent="0.35">
      <c r="E491" s="104"/>
      <c r="F491" s="13"/>
      <c r="G491" s="49" t="s">
        <v>94</v>
      </c>
      <c r="H491" s="2">
        <f>_xlfn.STDEV.S(H451,H453,H449,H447,H445,H455)</f>
        <v>0.1191128709670017</v>
      </c>
      <c r="I491" s="2">
        <f t="shared" ref="I491:P491" si="386">_xlfn.STDEV.S(I451,I453,I449,I447,I445,I455)</f>
        <v>0.41398217747466581</v>
      </c>
      <c r="J491" s="2">
        <f t="shared" si="386"/>
        <v>3.2042297425132406E-2</v>
      </c>
      <c r="K491" s="2">
        <f t="shared" si="386"/>
        <v>3.2042297425132385E-2</v>
      </c>
      <c r="L491" s="2">
        <f t="shared" si="386"/>
        <v>8.1888119987296448E-3</v>
      </c>
      <c r="M491" s="2">
        <f t="shared" si="386"/>
        <v>7.5980788343232115E-3</v>
      </c>
      <c r="N491" s="2">
        <f t="shared" si="386"/>
        <v>0.40288681851939273</v>
      </c>
      <c r="O491" s="2">
        <f t="shared" si="386"/>
        <v>1.0488088481701516</v>
      </c>
      <c r="P491" s="2">
        <f t="shared" si="386"/>
        <v>0.17781087551839481</v>
      </c>
    </row>
    <row r="492" spans="5:16" x14ac:dyDescent="0.35">
      <c r="E492" s="104"/>
      <c r="F492" s="13"/>
      <c r="G492" s="49" t="s">
        <v>95</v>
      </c>
      <c r="H492" s="2">
        <f>H491/(SQRT(COUNT(H451,H453,H449,H447,H445,H455)))</f>
        <v>4.862762594452115E-2</v>
      </c>
      <c r="I492" s="2">
        <f t="shared" ref="I492:P492" si="387">I491/(SQRT(COUNT(I451,I453,I449,I447,I445,I455)))</f>
        <v>0.16900751623653987</v>
      </c>
      <c r="J492" s="2">
        <f t="shared" si="387"/>
        <v>1.3081213146344946E-2</v>
      </c>
      <c r="K492" s="2">
        <f t="shared" si="387"/>
        <v>1.3081213146344937E-2</v>
      </c>
      <c r="L492" s="2">
        <f t="shared" si="387"/>
        <v>3.3430684994113472E-3</v>
      </c>
      <c r="M492" s="2">
        <f t="shared" si="387"/>
        <v>3.1019026949221126E-3</v>
      </c>
      <c r="N492" s="2">
        <f t="shared" si="387"/>
        <v>0.16447785491096673</v>
      </c>
      <c r="O492" s="2">
        <f t="shared" si="387"/>
        <v>0.4281744192888377</v>
      </c>
      <c r="P492" s="2">
        <f t="shared" si="387"/>
        <v>7.2590985956267437E-2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D332"/>
  <sheetViews>
    <sheetView topLeftCell="AN83" workbookViewId="0">
      <selection activeCell="AA101" sqref="AA101"/>
    </sheetView>
  </sheetViews>
  <sheetFormatPr defaultRowHeight="14.5" x14ac:dyDescent="0.35"/>
  <sheetData>
    <row r="4" spans="2:56" ht="18.5" x14ac:dyDescent="0.45">
      <c r="B4" s="2"/>
      <c r="C4" s="1" t="s">
        <v>448</v>
      </c>
      <c r="D4" s="2"/>
      <c r="E4" s="2"/>
      <c r="F4" s="2"/>
      <c r="G4" s="2"/>
      <c r="H4" s="2"/>
      <c r="I4" s="2"/>
      <c r="J4" s="2"/>
      <c r="K4" s="2"/>
      <c r="L4" s="2"/>
      <c r="M4" s="2"/>
      <c r="N4" s="2"/>
      <c r="O4" s="2"/>
    </row>
    <row r="5" spans="2:56" ht="18.5" x14ac:dyDescent="0.45">
      <c r="B5" s="2"/>
      <c r="C5" s="2"/>
      <c r="D5" s="2"/>
      <c r="E5" s="2"/>
      <c r="F5" s="1" t="s">
        <v>0</v>
      </c>
      <c r="G5" s="3"/>
      <c r="H5" s="3"/>
      <c r="I5" s="3"/>
      <c r="J5" s="3"/>
      <c r="K5" s="3"/>
      <c r="L5" s="3"/>
      <c r="M5" s="3"/>
      <c r="N5" s="3"/>
      <c r="O5" s="3"/>
      <c r="Y5" s="1" t="s">
        <v>91</v>
      </c>
      <c r="Z5" s="3"/>
      <c r="AA5" s="3"/>
      <c r="AB5" s="3"/>
      <c r="AC5" s="3"/>
      <c r="AD5" s="3"/>
      <c r="AE5" s="3"/>
      <c r="AF5" s="3"/>
      <c r="AG5" s="3"/>
      <c r="AH5" s="3"/>
      <c r="AR5" s="1" t="s">
        <v>622</v>
      </c>
      <c r="AS5" s="3"/>
      <c r="AT5" s="3"/>
      <c r="AU5" s="3"/>
      <c r="AV5" s="3"/>
      <c r="AW5" s="3"/>
      <c r="AX5" s="3"/>
      <c r="AY5" s="3"/>
      <c r="AZ5" s="3"/>
      <c r="BA5" s="3"/>
    </row>
    <row r="6" spans="2:56" ht="16" thickBot="1" x14ac:dyDescent="0.4">
      <c r="B6" s="4"/>
      <c r="C6" s="204" t="s">
        <v>122</v>
      </c>
      <c r="D6" s="4"/>
      <c r="E6" s="4"/>
      <c r="F6" s="9" t="s">
        <v>1</v>
      </c>
      <c r="G6" s="9" t="s">
        <v>2</v>
      </c>
      <c r="H6" s="9" t="s">
        <v>3</v>
      </c>
      <c r="I6" s="9" t="s">
        <v>4</v>
      </c>
      <c r="J6" s="9" t="s">
        <v>5</v>
      </c>
      <c r="K6" s="9" t="s">
        <v>6</v>
      </c>
      <c r="L6" s="9" t="s">
        <v>7</v>
      </c>
      <c r="M6" s="9" t="s">
        <v>8</v>
      </c>
      <c r="N6" s="9" t="s">
        <v>9</v>
      </c>
      <c r="O6" s="9" t="s">
        <v>10</v>
      </c>
      <c r="P6" s="44" t="s">
        <v>139</v>
      </c>
      <c r="R6" s="44" t="s">
        <v>138</v>
      </c>
      <c r="V6" s="204" t="s">
        <v>122</v>
      </c>
      <c r="W6" s="204" t="s">
        <v>406</v>
      </c>
      <c r="Y6" s="9" t="s">
        <v>1</v>
      </c>
      <c r="Z6" s="9" t="s">
        <v>2</v>
      </c>
      <c r="AA6" s="9" t="s">
        <v>3</v>
      </c>
      <c r="AB6" s="9" t="s">
        <v>4</v>
      </c>
      <c r="AC6" s="9" t="s">
        <v>5</v>
      </c>
      <c r="AD6" s="9" t="s">
        <v>6</v>
      </c>
      <c r="AE6" s="9" t="s">
        <v>7</v>
      </c>
      <c r="AF6" s="9" t="s">
        <v>8</v>
      </c>
      <c r="AG6" s="9" t="s">
        <v>9</v>
      </c>
      <c r="AH6" s="9" t="s">
        <v>10</v>
      </c>
      <c r="AI6" s="44" t="s">
        <v>139</v>
      </c>
      <c r="AK6" s="44" t="s">
        <v>138</v>
      </c>
      <c r="AR6" s="9" t="s">
        <v>1</v>
      </c>
      <c r="AS6" s="9" t="s">
        <v>2</v>
      </c>
      <c r="AT6" s="9" t="s">
        <v>3</v>
      </c>
      <c r="AU6" s="9" t="s">
        <v>4</v>
      </c>
      <c r="AV6" s="9" t="s">
        <v>5</v>
      </c>
      <c r="AW6" s="9" t="s">
        <v>6</v>
      </c>
      <c r="AX6" s="9" t="s">
        <v>7</v>
      </c>
      <c r="AY6" s="9" t="s">
        <v>8</v>
      </c>
      <c r="AZ6" s="9" t="s">
        <v>9</v>
      </c>
      <c r="BA6" s="9" t="s">
        <v>10</v>
      </c>
      <c r="BB6" s="44" t="s">
        <v>139</v>
      </c>
      <c r="BD6" s="44" t="s">
        <v>138</v>
      </c>
    </row>
    <row r="7" spans="2:56" x14ac:dyDescent="0.35">
      <c r="B7" s="2"/>
      <c r="C7" s="2" t="s">
        <v>714</v>
      </c>
      <c r="D7" s="2"/>
      <c r="E7" s="2"/>
      <c r="F7" s="2">
        <v>6.2612500000000004</v>
      </c>
      <c r="G7" s="2">
        <v>9.5887700000000002</v>
      </c>
      <c r="H7" s="2">
        <f t="shared" ref="H7:H14" si="0">G7-F7</f>
        <v>3.3275199999999998</v>
      </c>
      <c r="I7" s="2">
        <f t="shared" ref="I7:I14" si="1">F8-G7</f>
        <v>4.6236999999999995</v>
      </c>
      <c r="J7" s="2">
        <f>H7/N7</f>
        <v>0.41849175346676359</v>
      </c>
      <c r="K7" s="2">
        <f>I7/N7</f>
        <v>0.58150824653323641</v>
      </c>
      <c r="L7" s="2">
        <f>1/H7</f>
        <v>0.30052411405491181</v>
      </c>
      <c r="M7" s="2">
        <f>1/N7</f>
        <v>0.12576686344988569</v>
      </c>
      <c r="N7" s="2">
        <f>H7+I7</f>
        <v>7.9512199999999993</v>
      </c>
      <c r="O7" s="2">
        <v>18</v>
      </c>
      <c r="P7">
        <f>O7/H7</f>
        <v>5.409434052988412</v>
      </c>
      <c r="R7" t="s">
        <v>509</v>
      </c>
      <c r="V7" s="265"/>
      <c r="W7" s="155">
        <v>0</v>
      </c>
      <c r="Y7" s="2">
        <v>1.0253399999999999</v>
      </c>
      <c r="Z7" s="2">
        <v>4.0120399999999998</v>
      </c>
      <c r="AA7" s="2">
        <f>Z7-Y7</f>
        <v>2.9866999999999999</v>
      </c>
      <c r="AB7" s="2">
        <f>Y8-Z7</f>
        <v>6.00861</v>
      </c>
      <c r="AC7" s="2">
        <f>AA7/AG7</f>
        <v>0.33202857933745472</v>
      </c>
      <c r="AD7" s="2">
        <f>AB7/AG7</f>
        <v>0.66797142066254522</v>
      </c>
      <c r="AE7" s="2">
        <f>1/AA7</f>
        <v>0.33481769176683296</v>
      </c>
      <c r="AF7" s="2">
        <f>1/AG7</f>
        <v>0.11116904253438736</v>
      </c>
      <c r="AG7" s="2">
        <f>AA7+AB7</f>
        <v>8.9953099999999999</v>
      </c>
      <c r="AH7" s="2">
        <v>17</v>
      </c>
      <c r="AI7">
        <f>AH7/AA7</f>
        <v>5.6919007600361606</v>
      </c>
      <c r="AK7" t="s">
        <v>521</v>
      </c>
      <c r="AR7" s="46">
        <v>10.815580000000001</v>
      </c>
      <c r="AS7" s="2">
        <v>15.462199999999999</v>
      </c>
      <c r="AT7" s="2">
        <f t="shared" ref="AT7:AT28" si="2">AS7-AR7</f>
        <v>4.6466199999999986</v>
      </c>
      <c r="AU7" s="2">
        <f t="shared" ref="AU7:AU27" si="3">AR8-AS7</f>
        <v>2.1035800000000009</v>
      </c>
      <c r="AV7" s="2">
        <f>AT7/AZ7</f>
        <v>0.68836775206660528</v>
      </c>
      <c r="AW7" s="2">
        <f>AU7/AZ7</f>
        <v>0.31163224793339472</v>
      </c>
      <c r="AX7" s="2">
        <f>1/AT7</f>
        <v>0.21521019579823619</v>
      </c>
      <c r="AY7" s="2">
        <f>1/AZ7</f>
        <v>0.14814375870344584</v>
      </c>
      <c r="AZ7" s="2">
        <f>AT7+AU7</f>
        <v>6.7501999999999995</v>
      </c>
      <c r="BA7" s="2">
        <v>24</v>
      </c>
      <c r="BB7">
        <f>BA7/AT7</f>
        <v>5.1650446991576686</v>
      </c>
      <c r="BD7" t="s">
        <v>623</v>
      </c>
    </row>
    <row r="8" spans="2:56" x14ac:dyDescent="0.35">
      <c r="B8" s="2"/>
      <c r="C8" s="261" t="s">
        <v>32</v>
      </c>
      <c r="D8" s="2"/>
      <c r="E8" s="2"/>
      <c r="F8" s="13">
        <v>14.21247</v>
      </c>
      <c r="G8" s="2">
        <v>17.704789999999999</v>
      </c>
      <c r="H8" s="2">
        <f t="shared" si="0"/>
        <v>3.4923199999999994</v>
      </c>
      <c r="I8" s="2">
        <f t="shared" si="1"/>
        <v>6.9305200000000013</v>
      </c>
      <c r="J8" s="2">
        <f t="shared" ref="J8:J14" si="4">H8/N8</f>
        <v>0.335064147583576</v>
      </c>
      <c r="K8" s="2">
        <f t="shared" ref="K8:K14" si="5">I8/N8</f>
        <v>0.66493585241642406</v>
      </c>
      <c r="L8" s="2">
        <f t="shared" ref="L8:L14" si="6">1/H8</f>
        <v>0.28634260319787425</v>
      </c>
      <c r="M8" s="2">
        <f t="shared" ref="M8:M30" si="7">1/N8</f>
        <v>9.5943140257357867E-2</v>
      </c>
      <c r="N8" s="2">
        <f t="shared" ref="N8:N14" si="8">H8+I8</f>
        <v>10.422840000000001</v>
      </c>
      <c r="O8" s="2">
        <v>19</v>
      </c>
      <c r="P8">
        <f t="shared" ref="P8:P30" si="9">O8/H8</f>
        <v>5.4405094607596105</v>
      </c>
      <c r="V8" s="265"/>
      <c r="W8" s="155">
        <v>0</v>
      </c>
      <c r="Y8" s="2">
        <v>10.02065</v>
      </c>
      <c r="Z8" s="2">
        <v>13.18403</v>
      </c>
      <c r="AA8" s="2">
        <f t="shared" ref="AA8:AA26" si="10">Z8-Y8</f>
        <v>3.1633800000000001</v>
      </c>
      <c r="AB8" s="2">
        <f t="shared" ref="AB8:AB25" si="11">Y9-Z8</f>
        <v>5.5862499999999997</v>
      </c>
      <c r="AC8" s="2">
        <f t="shared" ref="AC8:AC25" si="12">AA8/AG8</f>
        <v>0.36154443102165462</v>
      </c>
      <c r="AD8" s="2">
        <f t="shared" ref="AD8:AD25" si="13">AB8/AG8</f>
        <v>0.63845556897834532</v>
      </c>
      <c r="AE8" s="2">
        <f t="shared" ref="AE8:AE25" si="14">1/AA8</f>
        <v>0.31611757044680056</v>
      </c>
      <c r="AF8" s="2">
        <f t="shared" ref="AF8:AF25" si="15">1/AG8</f>
        <v>0.11429054714313634</v>
      </c>
      <c r="AG8" s="2">
        <f t="shared" ref="AG8:AG25" si="16">AA8+AB8</f>
        <v>8.7496299999999998</v>
      </c>
      <c r="AH8" s="2">
        <v>16</v>
      </c>
      <c r="AI8">
        <f t="shared" ref="AI8:AI25" si="17">AH8/AA8</f>
        <v>5.0578811271488089</v>
      </c>
      <c r="AR8" s="13">
        <v>17.56578</v>
      </c>
      <c r="AS8" s="2">
        <v>20.2746</v>
      </c>
      <c r="AT8" s="2">
        <f t="shared" si="2"/>
        <v>2.7088199999999993</v>
      </c>
      <c r="AU8" s="2">
        <f t="shared" si="3"/>
        <v>3.925139999999999</v>
      </c>
      <c r="AV8" s="2">
        <f t="shared" ref="AV8:AV27" si="18">AT8/AZ8</f>
        <v>0.40832624857551147</v>
      </c>
      <c r="AW8" s="2">
        <f t="shared" ref="AW8:AW27" si="19">AU8/AZ8</f>
        <v>0.59167375142448853</v>
      </c>
      <c r="AX8" s="2">
        <f t="shared" ref="AX8:AX27" si="20">1/AT8</f>
        <v>0.36916443322184578</v>
      </c>
      <c r="AY8" s="2">
        <f t="shared" ref="AY8:AY27" si="21">1/AZ8</f>
        <v>0.1507395281249812</v>
      </c>
      <c r="AZ8" s="2">
        <f t="shared" ref="AZ8:AZ27" si="22">AT8+AU8</f>
        <v>6.6339599999999983</v>
      </c>
      <c r="BA8" s="2">
        <v>14</v>
      </c>
      <c r="BB8">
        <f t="shared" ref="BB8:BB27" si="23">BA8/AT8</f>
        <v>5.1683020651058404</v>
      </c>
    </row>
    <row r="9" spans="2:56" x14ac:dyDescent="0.35">
      <c r="B9" s="2"/>
      <c r="C9" s="261" t="s">
        <v>32</v>
      </c>
      <c r="D9" s="2"/>
      <c r="E9" s="2"/>
      <c r="F9" s="13">
        <v>24.63531</v>
      </c>
      <c r="G9" s="2">
        <v>27.758900000000001</v>
      </c>
      <c r="H9" s="2">
        <f t="shared" si="0"/>
        <v>3.1235900000000001</v>
      </c>
      <c r="I9" s="2">
        <f t="shared" si="1"/>
        <v>6.7093299999999978</v>
      </c>
      <c r="J9" s="2">
        <f t="shared" si="4"/>
        <v>0.3176665731034119</v>
      </c>
      <c r="K9" s="2">
        <f t="shared" si="5"/>
        <v>0.68233342689658816</v>
      </c>
      <c r="L9" s="2">
        <f t="shared" si="6"/>
        <v>0.32014444917546797</v>
      </c>
      <c r="M9" s="2">
        <f t="shared" si="7"/>
        <v>0.10169919006765032</v>
      </c>
      <c r="N9" s="2">
        <f t="shared" si="8"/>
        <v>9.8329199999999979</v>
      </c>
      <c r="O9" s="2">
        <v>19</v>
      </c>
      <c r="P9">
        <f t="shared" si="9"/>
        <v>6.0827445343338908</v>
      </c>
      <c r="V9" s="265" t="s">
        <v>541</v>
      </c>
      <c r="W9" s="155">
        <v>0</v>
      </c>
      <c r="Y9" s="13">
        <v>18.77028</v>
      </c>
      <c r="Z9" s="2">
        <v>21.577950000000001</v>
      </c>
      <c r="AA9" s="2">
        <f t="shared" si="10"/>
        <v>2.8076700000000017</v>
      </c>
      <c r="AB9" s="2">
        <f t="shared" si="11"/>
        <v>7.3741999999999983</v>
      </c>
      <c r="AC9" s="2">
        <f t="shared" si="12"/>
        <v>0.27575190019122242</v>
      </c>
      <c r="AD9" s="2">
        <f t="shared" si="13"/>
        <v>0.72424809980877758</v>
      </c>
      <c r="AE9" s="2">
        <f t="shared" si="14"/>
        <v>0.35616721338333901</v>
      </c>
      <c r="AF9" s="2">
        <f t="shared" si="15"/>
        <v>9.8213785876268306E-2</v>
      </c>
      <c r="AG9" s="2">
        <f t="shared" si="16"/>
        <v>10.18187</v>
      </c>
      <c r="AH9" s="2">
        <v>19</v>
      </c>
      <c r="AI9">
        <f t="shared" si="17"/>
        <v>6.7671770542834411</v>
      </c>
      <c r="AR9" s="13">
        <v>24.199739999999998</v>
      </c>
      <c r="AS9" s="2">
        <v>27.940899999999999</v>
      </c>
      <c r="AT9" s="2">
        <f t="shared" si="2"/>
        <v>3.7411600000000007</v>
      </c>
      <c r="AU9" s="2">
        <f t="shared" si="3"/>
        <v>7.1024499999999975</v>
      </c>
      <c r="AV9" s="2">
        <f t="shared" si="18"/>
        <v>0.34501056382514689</v>
      </c>
      <c r="AW9" s="2">
        <f t="shared" si="19"/>
        <v>0.65498943617485306</v>
      </c>
      <c r="AX9" s="2">
        <f t="shared" si="20"/>
        <v>0.26729677426252813</v>
      </c>
      <c r="AY9" s="2">
        <f t="shared" si="21"/>
        <v>9.2220210796957858E-2</v>
      </c>
      <c r="AZ9" s="2">
        <f t="shared" si="22"/>
        <v>10.843609999999998</v>
      </c>
      <c r="BA9" s="2">
        <v>18</v>
      </c>
      <c r="BB9">
        <f t="shared" si="23"/>
        <v>4.8113419367255066</v>
      </c>
    </row>
    <row r="10" spans="2:56" x14ac:dyDescent="0.35">
      <c r="B10" s="2"/>
      <c r="C10" s="261" t="s">
        <v>32</v>
      </c>
      <c r="D10" s="2"/>
      <c r="E10" s="2"/>
      <c r="F10" s="13">
        <v>34.468229999999998</v>
      </c>
      <c r="G10" s="2">
        <v>38.016030000000001</v>
      </c>
      <c r="H10" s="2">
        <f t="shared" si="0"/>
        <v>3.5478000000000023</v>
      </c>
      <c r="I10" s="2">
        <f t="shared" si="1"/>
        <v>6.4346800000000002</v>
      </c>
      <c r="J10" s="2">
        <f t="shared" si="4"/>
        <v>0.3554026654699034</v>
      </c>
      <c r="K10" s="2">
        <f t="shared" si="5"/>
        <v>0.6445973345300966</v>
      </c>
      <c r="L10" s="2">
        <f t="shared" si="6"/>
        <v>0.28186481763346283</v>
      </c>
      <c r="M10" s="2">
        <f t="shared" si="7"/>
        <v>0.10017550748912092</v>
      </c>
      <c r="N10" s="2">
        <f t="shared" si="8"/>
        <v>9.9824800000000025</v>
      </c>
      <c r="O10" s="2">
        <v>17</v>
      </c>
      <c r="P10">
        <f t="shared" si="9"/>
        <v>4.7917018997688681</v>
      </c>
      <c r="V10" s="265"/>
      <c r="W10" s="155">
        <v>0</v>
      </c>
      <c r="Y10" s="13">
        <v>28.95215</v>
      </c>
      <c r="Z10" s="2">
        <v>31.872520000000002</v>
      </c>
      <c r="AA10" s="2">
        <f t="shared" si="10"/>
        <v>2.9203700000000019</v>
      </c>
      <c r="AB10" s="2">
        <f t="shared" si="11"/>
        <v>7.5822399999999988</v>
      </c>
      <c r="AC10" s="2">
        <f t="shared" si="12"/>
        <v>0.27806135808146754</v>
      </c>
      <c r="AD10" s="2">
        <f t="shared" si="13"/>
        <v>0.72193864191853252</v>
      </c>
      <c r="AE10" s="2">
        <f t="shared" si="14"/>
        <v>0.34242236428945627</v>
      </c>
      <c r="AF10" s="2">
        <f t="shared" si="15"/>
        <v>9.5214427651793221E-2</v>
      </c>
      <c r="AG10" s="2">
        <f t="shared" si="16"/>
        <v>10.502610000000001</v>
      </c>
      <c r="AH10" s="2">
        <v>18</v>
      </c>
      <c r="AI10">
        <f t="shared" si="17"/>
        <v>6.1636025572102122</v>
      </c>
      <c r="AR10" s="13">
        <v>35.043349999999997</v>
      </c>
      <c r="AS10" s="2">
        <v>39.533140000000003</v>
      </c>
      <c r="AT10" s="2">
        <f t="shared" si="2"/>
        <v>4.4897900000000064</v>
      </c>
      <c r="AU10" s="2">
        <f t="shared" si="3"/>
        <v>6.3106099999999969</v>
      </c>
      <c r="AV10" s="2">
        <f t="shared" si="18"/>
        <v>0.41570589978149003</v>
      </c>
      <c r="AW10" s="2">
        <f t="shared" si="19"/>
        <v>0.58429410021850992</v>
      </c>
      <c r="AX10" s="2">
        <f t="shared" si="20"/>
        <v>0.22272756632270074</v>
      </c>
      <c r="AY10" s="2">
        <f t="shared" si="21"/>
        <v>9.2589163364319813E-2</v>
      </c>
      <c r="AZ10" s="2">
        <f t="shared" si="22"/>
        <v>10.800400000000003</v>
      </c>
      <c r="BA10" s="2">
        <v>22</v>
      </c>
      <c r="BB10">
        <f t="shared" si="23"/>
        <v>4.9000064590994166</v>
      </c>
    </row>
    <row r="11" spans="2:56" x14ac:dyDescent="0.35">
      <c r="B11" s="2"/>
      <c r="C11" s="261" t="s">
        <v>32</v>
      </c>
      <c r="D11" s="2"/>
      <c r="E11" s="2"/>
      <c r="F11" s="13">
        <v>44.450710000000001</v>
      </c>
      <c r="G11" s="2">
        <v>48.117100000000001</v>
      </c>
      <c r="H11" s="2">
        <f t="shared" si="0"/>
        <v>3.6663899999999998</v>
      </c>
      <c r="I11" s="2">
        <f t="shared" si="1"/>
        <v>6.2535200000000017</v>
      </c>
      <c r="J11" s="2">
        <f t="shared" si="4"/>
        <v>0.36959911934684886</v>
      </c>
      <c r="K11" s="2">
        <f t="shared" si="5"/>
        <v>0.63040088065315114</v>
      </c>
      <c r="L11" s="2">
        <f t="shared" si="6"/>
        <v>0.27274785279252889</v>
      </c>
      <c r="M11" s="2">
        <f t="shared" si="7"/>
        <v>0.10080736619586265</v>
      </c>
      <c r="N11" s="2">
        <f t="shared" si="8"/>
        <v>9.9199100000000016</v>
      </c>
      <c r="O11" s="2">
        <v>20</v>
      </c>
      <c r="P11">
        <f t="shared" si="9"/>
        <v>5.4549570558505778</v>
      </c>
      <c r="V11" s="265"/>
      <c r="W11" s="155">
        <v>0</v>
      </c>
      <c r="Y11" s="13">
        <v>39.45476</v>
      </c>
      <c r="Z11" s="2">
        <v>42.692239999999998</v>
      </c>
      <c r="AA11" s="2">
        <f t="shared" si="10"/>
        <v>3.2374799999999979</v>
      </c>
      <c r="AB11" s="2">
        <f t="shared" si="11"/>
        <v>5.791560000000004</v>
      </c>
      <c r="AC11" s="2">
        <f t="shared" si="12"/>
        <v>0.35856303660189759</v>
      </c>
      <c r="AD11" s="2">
        <f t="shared" si="13"/>
        <v>0.64143696339810241</v>
      </c>
      <c r="AE11" s="2">
        <f t="shared" si="14"/>
        <v>0.30888221703300117</v>
      </c>
      <c r="AF11" s="2">
        <f t="shared" si="15"/>
        <v>0.11075374569167927</v>
      </c>
      <c r="AG11" s="2">
        <f t="shared" si="16"/>
        <v>9.029040000000002</v>
      </c>
      <c r="AH11" s="2">
        <v>18</v>
      </c>
      <c r="AI11">
        <f t="shared" si="17"/>
        <v>5.5598799065940208</v>
      </c>
      <c r="AR11" s="13">
        <v>45.84375</v>
      </c>
      <c r="AS11" s="2">
        <v>50.342910000000003</v>
      </c>
      <c r="AT11" s="2">
        <f t="shared" si="2"/>
        <v>4.4991600000000034</v>
      </c>
      <c r="AU11" s="2">
        <f t="shared" si="3"/>
        <v>7.2765599999999964</v>
      </c>
      <c r="AV11" s="2">
        <f t="shared" si="18"/>
        <v>0.38207090521853471</v>
      </c>
      <c r="AW11" s="2">
        <f t="shared" si="19"/>
        <v>0.61792909478146529</v>
      </c>
      <c r="AX11" s="2">
        <f t="shared" si="20"/>
        <v>0.22226371144835907</v>
      </c>
      <c r="AY11" s="2">
        <f t="shared" si="21"/>
        <v>8.4920497430305747E-2</v>
      </c>
      <c r="AZ11" s="2">
        <f t="shared" si="22"/>
        <v>11.77572</v>
      </c>
      <c r="BA11" s="2">
        <v>20</v>
      </c>
      <c r="BB11">
        <f t="shared" si="23"/>
        <v>4.4452742289671816</v>
      </c>
    </row>
    <row r="12" spans="2:56" x14ac:dyDescent="0.35">
      <c r="B12" s="2"/>
      <c r="C12" s="261" t="s">
        <v>32</v>
      </c>
      <c r="D12" s="2"/>
      <c r="E12" s="2"/>
      <c r="F12" s="13">
        <v>54.370620000000002</v>
      </c>
      <c r="G12" s="2">
        <v>57.843519999999998</v>
      </c>
      <c r="H12" s="2">
        <f t="shared" si="0"/>
        <v>3.4728999999999957</v>
      </c>
      <c r="I12" s="2">
        <f t="shared" si="1"/>
        <v>5.5296300000000045</v>
      </c>
      <c r="J12" s="2">
        <f t="shared" si="4"/>
        <v>0.38576933373173938</v>
      </c>
      <c r="K12" s="2">
        <f t="shared" si="5"/>
        <v>0.61423066626826062</v>
      </c>
      <c r="L12" s="2">
        <f t="shared" si="6"/>
        <v>0.28794379337153425</v>
      </c>
      <c r="M12" s="2">
        <f t="shared" si="7"/>
        <v>0.11107988532112639</v>
      </c>
      <c r="N12" s="2">
        <f t="shared" si="8"/>
        <v>9.0025300000000001</v>
      </c>
      <c r="O12" s="2">
        <v>20</v>
      </c>
      <c r="P12">
        <f t="shared" si="9"/>
        <v>5.7588758674306844</v>
      </c>
      <c r="V12" s="265"/>
      <c r="W12" s="155">
        <v>0</v>
      </c>
      <c r="Y12" s="13">
        <v>48.483800000000002</v>
      </c>
      <c r="Z12" s="2">
        <v>51.406059999999997</v>
      </c>
      <c r="AA12" s="2">
        <f t="shared" si="10"/>
        <v>2.9222599999999943</v>
      </c>
      <c r="AB12" s="2">
        <f t="shared" si="11"/>
        <v>8.6691800000000043</v>
      </c>
      <c r="AC12" s="2">
        <f t="shared" si="12"/>
        <v>0.25210500162188604</v>
      </c>
      <c r="AD12" s="2">
        <f t="shared" si="13"/>
        <v>0.74789499837811402</v>
      </c>
      <c r="AE12" s="2">
        <f t="shared" si="14"/>
        <v>0.34220089930396402</v>
      </c>
      <c r="AF12" s="2">
        <f t="shared" si="15"/>
        <v>8.6270558274036707E-2</v>
      </c>
      <c r="AG12" s="2">
        <f t="shared" si="16"/>
        <v>11.591439999999999</v>
      </c>
      <c r="AH12" s="2">
        <v>17</v>
      </c>
      <c r="AI12">
        <f t="shared" si="17"/>
        <v>5.8174152881673891</v>
      </c>
      <c r="AR12" s="13">
        <v>57.61947</v>
      </c>
      <c r="AS12" s="2">
        <v>60.157600000000002</v>
      </c>
      <c r="AT12" s="2">
        <f t="shared" si="2"/>
        <v>2.5381300000000024</v>
      </c>
      <c r="AU12" s="2">
        <f t="shared" si="3"/>
        <v>9.1480499999999978</v>
      </c>
      <c r="AV12" s="2">
        <f t="shared" si="18"/>
        <v>0.21719073298545824</v>
      </c>
      <c r="AW12" s="2">
        <f t="shared" si="19"/>
        <v>0.78280926701454179</v>
      </c>
      <c r="AX12" s="2">
        <f t="shared" si="20"/>
        <v>0.39399085153242702</v>
      </c>
      <c r="AY12" s="2">
        <f t="shared" si="21"/>
        <v>8.5571161833892684E-2</v>
      </c>
      <c r="AZ12" s="2">
        <f t="shared" si="22"/>
        <v>11.68618</v>
      </c>
      <c r="BA12" s="2">
        <v>14</v>
      </c>
      <c r="BB12">
        <f t="shared" si="23"/>
        <v>5.5158719214539786</v>
      </c>
    </row>
    <row r="13" spans="2:56" x14ac:dyDescent="0.35">
      <c r="B13" s="2"/>
      <c r="C13" s="261" t="s">
        <v>32</v>
      </c>
      <c r="D13" s="2"/>
      <c r="E13" s="2"/>
      <c r="F13" s="13">
        <v>63.373150000000003</v>
      </c>
      <c r="G13" s="2">
        <v>66.640820000000005</v>
      </c>
      <c r="H13" s="2">
        <f t="shared" si="0"/>
        <v>3.2676700000000025</v>
      </c>
      <c r="I13" s="2">
        <f t="shared" si="1"/>
        <v>4.6326999999999998</v>
      </c>
      <c r="J13" s="2">
        <f t="shared" si="4"/>
        <v>0.41360974232852404</v>
      </c>
      <c r="K13" s="2">
        <f t="shared" si="5"/>
        <v>0.5863902576714759</v>
      </c>
      <c r="L13" s="2">
        <f t="shared" si="6"/>
        <v>0.30602845452570154</v>
      </c>
      <c r="M13" s="2">
        <f t="shared" si="7"/>
        <v>0.12657635022157188</v>
      </c>
      <c r="N13" s="2">
        <f t="shared" si="8"/>
        <v>7.9003700000000023</v>
      </c>
      <c r="O13" s="2">
        <v>18</v>
      </c>
      <c r="P13">
        <f t="shared" si="9"/>
        <v>5.5085121814626286</v>
      </c>
      <c r="V13" s="265" t="s">
        <v>541</v>
      </c>
      <c r="W13" s="155">
        <v>0</v>
      </c>
      <c r="Y13" s="13">
        <v>60.075240000000001</v>
      </c>
      <c r="Z13" s="2">
        <v>63.171680000000002</v>
      </c>
      <c r="AA13" s="2">
        <f t="shared" si="10"/>
        <v>3.0964400000000012</v>
      </c>
      <c r="AB13" s="2">
        <f t="shared" si="11"/>
        <v>7.4284599999999941</v>
      </c>
      <c r="AC13" s="2">
        <f t="shared" si="12"/>
        <v>0.2942013700842766</v>
      </c>
      <c r="AD13" s="2">
        <f t="shared" si="13"/>
        <v>0.7057986299157234</v>
      </c>
      <c r="AE13" s="2">
        <f t="shared" si="14"/>
        <v>0.32295151851803994</v>
      </c>
      <c r="AF13" s="2">
        <f t="shared" si="15"/>
        <v>9.5012779218804966E-2</v>
      </c>
      <c r="AG13" s="2">
        <f t="shared" si="16"/>
        <v>10.524899999999995</v>
      </c>
      <c r="AH13" s="2">
        <v>17</v>
      </c>
      <c r="AI13">
        <f t="shared" si="17"/>
        <v>5.4901758148066788</v>
      </c>
      <c r="AR13" s="13">
        <v>69.30565</v>
      </c>
      <c r="AS13" s="2">
        <v>73.890090000000001</v>
      </c>
      <c r="AT13" s="2">
        <f t="shared" si="2"/>
        <v>4.5844400000000007</v>
      </c>
      <c r="AU13" s="2">
        <f t="shared" si="3"/>
        <v>6.1674799999999976</v>
      </c>
      <c r="AV13" s="2">
        <f t="shared" si="18"/>
        <v>0.42638338082872651</v>
      </c>
      <c r="AW13" s="2">
        <f t="shared" si="19"/>
        <v>0.57361661917127349</v>
      </c>
      <c r="AX13" s="2">
        <f t="shared" si="20"/>
        <v>0.21812914990707694</v>
      </c>
      <c r="AY13" s="2">
        <f t="shared" si="21"/>
        <v>9.3006644394675569E-2</v>
      </c>
      <c r="AZ13" s="2">
        <f t="shared" si="22"/>
        <v>10.751919999999998</v>
      </c>
      <c r="BA13" s="2">
        <v>21</v>
      </c>
      <c r="BB13">
        <f t="shared" si="23"/>
        <v>4.5807121480486162</v>
      </c>
    </row>
    <row r="14" spans="2:56" x14ac:dyDescent="0.35">
      <c r="B14" s="2"/>
      <c r="C14" s="261" t="s">
        <v>32</v>
      </c>
      <c r="D14" s="2"/>
      <c r="E14" s="2"/>
      <c r="F14" s="13">
        <v>71.273520000000005</v>
      </c>
      <c r="G14" s="2">
        <v>75.445819999999998</v>
      </c>
      <c r="H14" s="2">
        <f t="shared" si="0"/>
        <v>4.1722999999999928</v>
      </c>
      <c r="I14" s="2">
        <f t="shared" si="1"/>
        <v>6.7016600000000039</v>
      </c>
      <c r="J14" s="2">
        <f t="shared" si="4"/>
        <v>0.38369646384573736</v>
      </c>
      <c r="K14" s="2">
        <f t="shared" si="5"/>
        <v>0.6163035361542627</v>
      </c>
      <c r="L14" s="2">
        <f t="shared" si="6"/>
        <v>0.23967595810464293</v>
      </c>
      <c r="M14" s="2">
        <f t="shared" si="7"/>
        <v>9.1962817593590582E-2</v>
      </c>
      <c r="N14" s="2">
        <f t="shared" si="8"/>
        <v>10.873959999999997</v>
      </c>
      <c r="O14" s="2">
        <v>22</v>
      </c>
      <c r="P14">
        <f t="shared" si="9"/>
        <v>5.2728710783021446</v>
      </c>
      <c r="V14" s="265"/>
      <c r="W14" s="155">
        <v>0</v>
      </c>
      <c r="Y14" s="13">
        <v>70.600139999999996</v>
      </c>
      <c r="Z14" s="2">
        <v>73.435919999999996</v>
      </c>
      <c r="AA14" s="2">
        <f t="shared" si="10"/>
        <v>2.8357799999999997</v>
      </c>
      <c r="AB14" s="2">
        <f t="shared" si="11"/>
        <v>7.6831600000000009</v>
      </c>
      <c r="AC14" s="2">
        <f t="shared" si="12"/>
        <v>0.26958800031181845</v>
      </c>
      <c r="AD14" s="2">
        <f t="shared" si="13"/>
        <v>0.7304119996881816</v>
      </c>
      <c r="AE14" s="2">
        <f t="shared" si="14"/>
        <v>0.35263666433926472</v>
      </c>
      <c r="AF14" s="2">
        <f t="shared" si="15"/>
        <v>9.5066613175852313E-2</v>
      </c>
      <c r="AG14" s="2">
        <f t="shared" si="16"/>
        <v>10.518940000000001</v>
      </c>
      <c r="AH14" s="2">
        <v>16</v>
      </c>
      <c r="AI14">
        <f t="shared" si="17"/>
        <v>5.6421866294282355</v>
      </c>
      <c r="AR14" s="13">
        <v>80.057569999999998</v>
      </c>
      <c r="AS14" s="2">
        <v>84.558509999999998</v>
      </c>
      <c r="AT14" s="2">
        <f t="shared" si="2"/>
        <v>4.5009399999999999</v>
      </c>
      <c r="AU14" s="2">
        <f t="shared" si="3"/>
        <v>6.2926800000000043</v>
      </c>
      <c r="AV14" s="2">
        <f t="shared" si="18"/>
        <v>0.41700004261776846</v>
      </c>
      <c r="AW14" s="2">
        <f t="shared" si="19"/>
        <v>0.58299995738223154</v>
      </c>
      <c r="AX14" s="2">
        <f t="shared" si="20"/>
        <v>0.22217581216368137</v>
      </c>
      <c r="AY14" s="2">
        <f t="shared" si="21"/>
        <v>9.2647323140892454E-2</v>
      </c>
      <c r="AZ14" s="2">
        <f t="shared" si="22"/>
        <v>10.793620000000004</v>
      </c>
      <c r="BA14" s="2">
        <v>22</v>
      </c>
      <c r="BB14">
        <f t="shared" si="23"/>
        <v>4.8878678676009901</v>
      </c>
    </row>
    <row r="15" spans="2:56" x14ac:dyDescent="0.35">
      <c r="B15" s="2"/>
      <c r="C15" s="261" t="s">
        <v>32</v>
      </c>
      <c r="D15" s="2"/>
      <c r="E15" s="2"/>
      <c r="F15" s="13">
        <v>82.147480000000002</v>
      </c>
      <c r="G15" s="2">
        <v>85.03443</v>
      </c>
      <c r="H15" s="2">
        <f t="shared" ref="H15:H31" si="24">G15-F15</f>
        <v>2.8869499999999988</v>
      </c>
      <c r="I15" s="2">
        <f t="shared" ref="I15:I30" si="25">F16-G15</f>
        <v>6.1931000000000012</v>
      </c>
      <c r="J15" s="2">
        <f t="shared" ref="J15:J30" si="26">H15/N15</f>
        <v>0.31794428444777273</v>
      </c>
      <c r="K15" s="2">
        <f t="shared" ref="K15:K30" si="27">I15/N15</f>
        <v>0.68205571555222722</v>
      </c>
      <c r="L15" s="2">
        <f t="shared" ref="L15:L30" si="28">1/H15</f>
        <v>0.34638632466790226</v>
      </c>
      <c r="M15" s="2">
        <f t="shared" si="7"/>
        <v>0.11013155213903007</v>
      </c>
      <c r="N15" s="2">
        <f t="shared" ref="N15:N30" si="29">H15+I15</f>
        <v>9.08005</v>
      </c>
      <c r="O15" s="2">
        <v>17</v>
      </c>
      <c r="P15">
        <f t="shared" si="9"/>
        <v>5.8885675193543383</v>
      </c>
      <c r="V15" s="265" t="s">
        <v>541</v>
      </c>
      <c r="W15" s="155">
        <v>0</v>
      </c>
      <c r="Y15" s="13">
        <v>81.119079999999997</v>
      </c>
      <c r="Z15" s="2">
        <v>83.764539999999997</v>
      </c>
      <c r="AA15" s="2">
        <f t="shared" si="10"/>
        <v>2.6454599999999999</v>
      </c>
      <c r="AB15" s="2">
        <f t="shared" si="11"/>
        <v>15.572850000000003</v>
      </c>
      <c r="AC15" s="2">
        <f t="shared" si="12"/>
        <v>0.14520885856042628</v>
      </c>
      <c r="AD15" s="2">
        <f t="shared" si="13"/>
        <v>0.85479114143957369</v>
      </c>
      <c r="AE15" s="2">
        <f t="shared" si="14"/>
        <v>0.37800609345822656</v>
      </c>
      <c r="AF15" s="2">
        <f t="shared" si="15"/>
        <v>5.4889833359954898E-2</v>
      </c>
      <c r="AG15" s="2">
        <f t="shared" si="16"/>
        <v>18.218310000000002</v>
      </c>
      <c r="AH15" s="2">
        <v>16</v>
      </c>
      <c r="AI15">
        <f t="shared" si="17"/>
        <v>6.0480974953316249</v>
      </c>
      <c r="AR15" s="13">
        <v>90.851190000000003</v>
      </c>
      <c r="AS15" s="2">
        <v>95.364239999999995</v>
      </c>
      <c r="AT15" s="2">
        <f t="shared" si="2"/>
        <v>4.5130499999999927</v>
      </c>
      <c r="AU15" s="2">
        <f t="shared" si="3"/>
        <v>7.3400100000000066</v>
      </c>
      <c r="AV15" s="2">
        <f t="shared" si="18"/>
        <v>0.38074978106919166</v>
      </c>
      <c r="AW15" s="2">
        <f t="shared" si="19"/>
        <v>0.61925021893080834</v>
      </c>
      <c r="AX15" s="2">
        <f t="shared" si="20"/>
        <v>0.22157964126256116</v>
      </c>
      <c r="AY15" s="2">
        <f t="shared" si="21"/>
        <v>8.4366399900110189E-2</v>
      </c>
      <c r="AZ15" s="2">
        <f t="shared" si="22"/>
        <v>11.853059999999999</v>
      </c>
      <c r="BA15" s="2">
        <v>21</v>
      </c>
      <c r="BB15">
        <f t="shared" si="23"/>
        <v>4.6531724665137846</v>
      </c>
    </row>
    <row r="16" spans="2:56" x14ac:dyDescent="0.35">
      <c r="B16" s="2"/>
      <c r="C16" s="261" t="s">
        <v>32</v>
      </c>
      <c r="D16" s="2"/>
      <c r="E16" s="2"/>
      <c r="F16" s="13">
        <v>91.227530000000002</v>
      </c>
      <c r="G16" s="2">
        <v>95.417479999999998</v>
      </c>
      <c r="H16" s="2">
        <f t="shared" si="24"/>
        <v>4.1899499999999961</v>
      </c>
      <c r="I16" s="2">
        <f t="shared" si="25"/>
        <v>6.7100400000000064</v>
      </c>
      <c r="J16" s="2">
        <f t="shared" si="26"/>
        <v>0.38439943522883924</v>
      </c>
      <c r="K16" s="2">
        <f t="shared" si="27"/>
        <v>0.61560056477116076</v>
      </c>
      <c r="L16" s="2">
        <f t="shared" si="28"/>
        <v>0.23866633253380135</v>
      </c>
      <c r="M16" s="2">
        <f t="shared" si="7"/>
        <v>9.1743203434131573E-2</v>
      </c>
      <c r="N16" s="2">
        <f t="shared" si="29"/>
        <v>10.899990000000003</v>
      </c>
      <c r="O16" s="2">
        <v>21</v>
      </c>
      <c r="P16">
        <f t="shared" si="9"/>
        <v>5.0119929832098284</v>
      </c>
      <c r="V16" s="265"/>
      <c r="W16" s="155">
        <v>0</v>
      </c>
      <c r="Y16" s="13">
        <v>99.337389999999999</v>
      </c>
      <c r="Z16" s="2">
        <v>102.41782000000001</v>
      </c>
      <c r="AA16" s="2">
        <f t="shared" si="10"/>
        <v>3.0804300000000069</v>
      </c>
      <c r="AB16" s="2">
        <f t="shared" si="11"/>
        <v>8.9499899999999997</v>
      </c>
      <c r="AC16" s="2">
        <f t="shared" si="12"/>
        <v>0.25605340461929055</v>
      </c>
      <c r="AD16" s="2">
        <f t="shared" si="13"/>
        <v>0.74394659538070951</v>
      </c>
      <c r="AE16" s="2">
        <f t="shared" si="14"/>
        <v>0.3246300029541323</v>
      </c>
      <c r="AF16" s="2">
        <f t="shared" si="15"/>
        <v>8.312261749797592E-2</v>
      </c>
      <c r="AG16" s="2">
        <f t="shared" si="16"/>
        <v>12.030420000000007</v>
      </c>
      <c r="AH16" s="2">
        <v>20</v>
      </c>
      <c r="AI16">
        <f t="shared" si="17"/>
        <v>6.4926000590826458</v>
      </c>
      <c r="AR16" s="13">
        <v>102.70425</v>
      </c>
      <c r="AS16" s="2">
        <v>106.337</v>
      </c>
      <c r="AT16" s="2">
        <f t="shared" si="2"/>
        <v>3.6327500000000015</v>
      </c>
      <c r="AU16" s="2">
        <f t="shared" si="3"/>
        <v>7.7736000000000018</v>
      </c>
      <c r="AV16" s="2">
        <f t="shared" si="18"/>
        <v>0.31848487903667699</v>
      </c>
      <c r="AW16" s="2">
        <f t="shared" si="19"/>
        <v>0.68151512096332301</v>
      </c>
      <c r="AX16" s="2">
        <f t="shared" si="20"/>
        <v>0.27527355309338641</v>
      </c>
      <c r="AY16" s="2">
        <f t="shared" si="21"/>
        <v>8.7670464258943454E-2</v>
      </c>
      <c r="AZ16" s="2">
        <f t="shared" si="22"/>
        <v>11.406350000000003</v>
      </c>
      <c r="BA16" s="2">
        <v>18</v>
      </c>
      <c r="BB16">
        <f t="shared" si="23"/>
        <v>4.9549239556809557</v>
      </c>
    </row>
    <row r="17" spans="2:56" x14ac:dyDescent="0.35">
      <c r="B17" s="2"/>
      <c r="C17" s="261" t="s">
        <v>32</v>
      </c>
      <c r="D17" s="2"/>
      <c r="E17" s="2"/>
      <c r="F17" s="13">
        <v>102.12752</v>
      </c>
      <c r="G17" s="2">
        <v>106.12848</v>
      </c>
      <c r="H17" s="2">
        <f t="shared" si="24"/>
        <v>4.0009599999999921</v>
      </c>
      <c r="I17" s="2">
        <f t="shared" si="25"/>
        <v>5.0020999999999987</v>
      </c>
      <c r="J17" s="2">
        <f t="shared" si="26"/>
        <v>0.44440001510597466</v>
      </c>
      <c r="K17" s="2">
        <f t="shared" si="27"/>
        <v>0.55559998489402529</v>
      </c>
      <c r="L17" s="2">
        <f t="shared" si="28"/>
        <v>0.24994001439654531</v>
      </c>
      <c r="M17" s="2">
        <f t="shared" si="7"/>
        <v>0.11107334617341226</v>
      </c>
      <c r="N17" s="2">
        <f t="shared" si="29"/>
        <v>9.0030599999999907</v>
      </c>
      <c r="O17" s="2">
        <v>21</v>
      </c>
      <c r="P17">
        <f t="shared" si="9"/>
        <v>5.2487403023274517</v>
      </c>
      <c r="V17" s="265"/>
      <c r="W17" s="155">
        <v>0</v>
      </c>
      <c r="Y17" s="13">
        <v>111.36781000000001</v>
      </c>
      <c r="Z17" s="2">
        <v>114.64381</v>
      </c>
      <c r="AA17" s="2">
        <f t="shared" si="10"/>
        <v>3.2759999999999962</v>
      </c>
      <c r="AB17" s="2">
        <f t="shared" si="11"/>
        <v>7.1092799999999983</v>
      </c>
      <c r="AC17" s="2">
        <f t="shared" si="12"/>
        <v>0.31544647809206861</v>
      </c>
      <c r="AD17" s="2">
        <f t="shared" si="13"/>
        <v>0.68455352190793139</v>
      </c>
      <c r="AE17" s="2">
        <f t="shared" si="14"/>
        <v>0.30525030525030561</v>
      </c>
      <c r="AF17" s="2">
        <f t="shared" si="15"/>
        <v>9.6290133727737773E-2</v>
      </c>
      <c r="AG17" s="2">
        <f t="shared" si="16"/>
        <v>10.385279999999995</v>
      </c>
      <c r="AH17" s="2">
        <v>19</v>
      </c>
      <c r="AI17">
        <f t="shared" si="17"/>
        <v>5.7997557997558067</v>
      </c>
      <c r="AR17" s="13">
        <v>114.11060000000001</v>
      </c>
      <c r="AS17" s="2">
        <v>117.57653000000001</v>
      </c>
      <c r="AT17" s="2">
        <f t="shared" si="2"/>
        <v>3.4659300000000002</v>
      </c>
      <c r="AU17" s="2">
        <f t="shared" si="3"/>
        <v>8.9054199999999923</v>
      </c>
      <c r="AV17" s="2">
        <f t="shared" si="18"/>
        <v>0.28015778391202273</v>
      </c>
      <c r="AW17" s="2">
        <f t="shared" si="19"/>
        <v>0.71984221608797727</v>
      </c>
      <c r="AX17" s="2">
        <f t="shared" si="20"/>
        <v>0.28852284956707147</v>
      </c>
      <c r="AY17" s="2">
        <f t="shared" si="21"/>
        <v>8.0831922142692636E-2</v>
      </c>
      <c r="AZ17" s="2">
        <f t="shared" si="22"/>
        <v>12.371349999999993</v>
      </c>
      <c r="BA17" s="2">
        <v>18</v>
      </c>
      <c r="BB17">
        <f t="shared" si="23"/>
        <v>5.1934112922072861</v>
      </c>
    </row>
    <row r="18" spans="2:56" x14ac:dyDescent="0.35">
      <c r="B18" s="2"/>
      <c r="C18" s="261" t="s">
        <v>32</v>
      </c>
      <c r="D18" s="2"/>
      <c r="E18" s="2"/>
      <c r="F18" s="13">
        <v>111.13057999999999</v>
      </c>
      <c r="G18" s="2">
        <v>113.79755</v>
      </c>
      <c r="H18" s="2">
        <f t="shared" si="24"/>
        <v>2.6669700000000063</v>
      </c>
      <c r="I18" s="2">
        <f t="shared" si="25"/>
        <v>5.6558200000000056</v>
      </c>
      <c r="J18" s="2">
        <f t="shared" si="26"/>
        <v>0.3204418229944529</v>
      </c>
      <c r="K18" s="2">
        <f t="shared" si="27"/>
        <v>0.6795581770055471</v>
      </c>
      <c r="L18" s="2">
        <f t="shared" si="28"/>
        <v>0.37495734860159569</v>
      </c>
      <c r="M18" s="2">
        <f t="shared" si="7"/>
        <v>0.12015201633106189</v>
      </c>
      <c r="N18" s="2">
        <f t="shared" si="29"/>
        <v>8.3227900000000119</v>
      </c>
      <c r="O18" s="2">
        <v>16</v>
      </c>
      <c r="P18">
        <f t="shared" si="9"/>
        <v>5.999317577625531</v>
      </c>
      <c r="V18" s="265" t="s">
        <v>541</v>
      </c>
      <c r="W18" s="155">
        <v>0</v>
      </c>
      <c r="Y18" s="13">
        <v>121.75309</v>
      </c>
      <c r="Z18" s="2">
        <v>124.90581</v>
      </c>
      <c r="AA18" s="2">
        <f t="shared" si="10"/>
        <v>3.1527200000000022</v>
      </c>
      <c r="AB18" s="2">
        <f t="shared" si="11"/>
        <v>10.065859999999986</v>
      </c>
      <c r="AC18" s="2">
        <f t="shared" si="12"/>
        <v>0.2385067079822496</v>
      </c>
      <c r="AD18" s="2">
        <f t="shared" si="13"/>
        <v>0.7614932920177504</v>
      </c>
      <c r="AE18" s="2">
        <f t="shared" si="14"/>
        <v>0.31718642949580023</v>
      </c>
      <c r="AF18" s="2">
        <f t="shared" si="15"/>
        <v>7.5651091115687227E-2</v>
      </c>
      <c r="AG18" s="2">
        <f t="shared" si="16"/>
        <v>13.218579999999989</v>
      </c>
      <c r="AH18" s="2">
        <v>21</v>
      </c>
      <c r="AI18">
        <f t="shared" si="17"/>
        <v>6.6609150194118047</v>
      </c>
      <c r="AK18" t="s">
        <v>522</v>
      </c>
      <c r="AR18" s="13">
        <v>126.48195</v>
      </c>
      <c r="AS18" s="2">
        <v>131.13996</v>
      </c>
      <c r="AT18" s="2">
        <f t="shared" si="2"/>
        <v>4.6580100000000044</v>
      </c>
      <c r="AU18" s="2">
        <f t="shared" si="3"/>
        <v>6.0136300000000062</v>
      </c>
      <c r="AV18" s="2">
        <f t="shared" si="18"/>
        <v>0.43648492640306452</v>
      </c>
      <c r="AW18" s="2">
        <f t="shared" si="19"/>
        <v>0.56351507359693542</v>
      </c>
      <c r="AX18" s="2">
        <f t="shared" si="20"/>
        <v>0.21468395301856352</v>
      </c>
      <c r="AY18" s="2">
        <f t="shared" si="21"/>
        <v>9.3706309433226664E-2</v>
      </c>
      <c r="AZ18" s="2">
        <f t="shared" si="22"/>
        <v>10.671640000000011</v>
      </c>
      <c r="BA18" s="2">
        <v>23</v>
      </c>
      <c r="BB18">
        <f t="shared" si="23"/>
        <v>4.9377309194269605</v>
      </c>
      <c r="BD18" t="s">
        <v>624</v>
      </c>
    </row>
    <row r="19" spans="2:56" x14ac:dyDescent="0.35">
      <c r="B19" s="2"/>
      <c r="C19" s="261" t="s">
        <v>32</v>
      </c>
      <c r="D19" s="2"/>
      <c r="E19" s="2"/>
      <c r="F19" s="13">
        <v>119.45337000000001</v>
      </c>
      <c r="G19">
        <v>121.97766</v>
      </c>
      <c r="H19" s="2">
        <f t="shared" si="24"/>
        <v>2.5242899999999935</v>
      </c>
      <c r="I19" s="2">
        <f t="shared" si="25"/>
        <v>7.1597599999999915</v>
      </c>
      <c r="J19" s="2">
        <f t="shared" si="26"/>
        <v>0.26066470123553653</v>
      </c>
      <c r="K19" s="2">
        <f t="shared" si="27"/>
        <v>0.73933529876446347</v>
      </c>
      <c r="L19" s="2">
        <f t="shared" si="28"/>
        <v>0.39615099691398475</v>
      </c>
      <c r="M19" s="2">
        <f t="shared" si="7"/>
        <v>0.10326258125474379</v>
      </c>
      <c r="N19" s="2">
        <f t="shared" si="29"/>
        <v>9.6840499999999849</v>
      </c>
      <c r="O19" s="2">
        <v>12</v>
      </c>
      <c r="P19">
        <f t="shared" si="9"/>
        <v>4.7538119629678173</v>
      </c>
      <c r="R19" t="s">
        <v>510</v>
      </c>
      <c r="V19" s="265"/>
      <c r="W19" s="155">
        <v>0</v>
      </c>
      <c r="Y19" s="13">
        <v>134.97166999999999</v>
      </c>
      <c r="Z19" s="2">
        <v>138.25756999999999</v>
      </c>
      <c r="AA19" s="2">
        <f t="shared" si="10"/>
        <v>3.285899999999998</v>
      </c>
      <c r="AB19" s="2">
        <f t="shared" si="11"/>
        <v>8.8149600000000135</v>
      </c>
      <c r="AC19" s="2">
        <f t="shared" si="12"/>
        <v>0.2715426837431385</v>
      </c>
      <c r="AD19" s="2">
        <f t="shared" si="13"/>
        <v>0.7284573162568615</v>
      </c>
      <c r="AE19" s="2">
        <f t="shared" si="14"/>
        <v>0.30433062479077289</v>
      </c>
      <c r="AF19" s="2">
        <f t="shared" si="15"/>
        <v>8.2638754600912578E-2</v>
      </c>
      <c r="AG19" s="2">
        <f t="shared" si="16"/>
        <v>12.100860000000011</v>
      </c>
      <c r="AH19" s="2">
        <v>21</v>
      </c>
      <c r="AI19">
        <f t="shared" si="17"/>
        <v>6.3909431206062308</v>
      </c>
      <c r="AR19" s="13">
        <v>137.15359000000001</v>
      </c>
      <c r="AS19">
        <v>140.70634999999999</v>
      </c>
      <c r="AT19" s="2">
        <f t="shared" si="2"/>
        <v>3.5527599999999779</v>
      </c>
      <c r="AU19" s="2">
        <f t="shared" si="3"/>
        <v>7.0258300000000133</v>
      </c>
      <c r="AV19" s="2">
        <f t="shared" si="18"/>
        <v>0.33584438001661665</v>
      </c>
      <c r="AW19" s="2">
        <f t="shared" si="19"/>
        <v>0.66415561998338335</v>
      </c>
      <c r="AX19" s="2">
        <f t="shared" si="20"/>
        <v>0.28147130681498506</v>
      </c>
      <c r="AY19" s="2">
        <f t="shared" si="21"/>
        <v>9.4530556529745541E-2</v>
      </c>
      <c r="AZ19" s="2">
        <f t="shared" si="22"/>
        <v>10.578589999999991</v>
      </c>
      <c r="BA19" s="2">
        <v>21</v>
      </c>
      <c r="BB19">
        <f t="shared" si="23"/>
        <v>5.9108974431146857</v>
      </c>
    </row>
    <row r="20" spans="2:56" x14ac:dyDescent="0.35">
      <c r="B20" s="2"/>
      <c r="C20" s="261" t="s">
        <v>32</v>
      </c>
      <c r="D20" s="2"/>
      <c r="E20" s="2"/>
      <c r="F20" s="13">
        <v>129.13741999999999</v>
      </c>
      <c r="G20">
        <v>133.0241</v>
      </c>
      <c r="H20" s="2">
        <f t="shared" si="24"/>
        <v>3.8866800000000126</v>
      </c>
      <c r="I20" s="2">
        <f t="shared" si="25"/>
        <v>5.0086100000000044</v>
      </c>
      <c r="J20" s="2">
        <f t="shared" si="26"/>
        <v>0.436936850850282</v>
      </c>
      <c r="K20" s="2">
        <f t="shared" si="27"/>
        <v>0.563063149149718</v>
      </c>
      <c r="L20" s="2">
        <f t="shared" si="28"/>
        <v>0.25728899729331894</v>
      </c>
      <c r="M20" s="2">
        <f t="shared" si="7"/>
        <v>0.1124190442357695</v>
      </c>
      <c r="N20" s="2">
        <f t="shared" si="29"/>
        <v>8.895290000000017</v>
      </c>
      <c r="O20" s="2">
        <v>20</v>
      </c>
      <c r="P20">
        <f t="shared" si="9"/>
        <v>5.1457799458663782</v>
      </c>
      <c r="V20" s="265" t="s">
        <v>541</v>
      </c>
      <c r="W20" s="155">
        <v>0</v>
      </c>
      <c r="Y20" s="13">
        <v>147.07253</v>
      </c>
      <c r="Z20" s="2">
        <v>150.18039999999999</v>
      </c>
      <c r="AA20" s="2">
        <f t="shared" si="10"/>
        <v>3.1078699999999913</v>
      </c>
      <c r="AB20" s="2">
        <f t="shared" si="11"/>
        <v>14.280079999999998</v>
      </c>
      <c r="AC20" s="2">
        <f t="shared" si="12"/>
        <v>0.17873699889866218</v>
      </c>
      <c r="AD20" s="2">
        <f t="shared" si="13"/>
        <v>0.82126300110133776</v>
      </c>
      <c r="AE20" s="2">
        <f t="shared" si="14"/>
        <v>0.32176378033830333</v>
      </c>
      <c r="AF20" s="2">
        <f t="shared" si="15"/>
        <v>5.7511092451956708E-2</v>
      </c>
      <c r="AG20" s="2">
        <f t="shared" si="16"/>
        <v>17.387949999999989</v>
      </c>
      <c r="AH20" s="2">
        <v>20</v>
      </c>
      <c r="AI20">
        <f t="shared" si="17"/>
        <v>6.4352756067660666</v>
      </c>
      <c r="AR20" s="13">
        <v>147.73218</v>
      </c>
      <c r="AS20">
        <v>152.21866</v>
      </c>
      <c r="AT20" s="2">
        <f t="shared" si="2"/>
        <v>4.4864800000000002</v>
      </c>
      <c r="AU20" s="2">
        <f t="shared" si="3"/>
        <v>7.1368699999999876</v>
      </c>
      <c r="AV20" s="2">
        <f t="shared" si="18"/>
        <v>0.38598854891231915</v>
      </c>
      <c r="AW20" s="2">
        <f t="shared" si="19"/>
        <v>0.61401145108768085</v>
      </c>
      <c r="AX20" s="2">
        <f t="shared" si="20"/>
        <v>0.22289188851839303</v>
      </c>
      <c r="AY20" s="2">
        <f t="shared" si="21"/>
        <v>8.6033716613540936E-2</v>
      </c>
      <c r="AZ20" s="2">
        <f t="shared" si="22"/>
        <v>11.623349999999988</v>
      </c>
      <c r="BA20" s="2">
        <v>22</v>
      </c>
      <c r="BB20">
        <f t="shared" si="23"/>
        <v>4.9036215474046463</v>
      </c>
    </row>
    <row r="21" spans="2:56" x14ac:dyDescent="0.35">
      <c r="B21" s="2"/>
      <c r="C21" s="261" t="s">
        <v>32</v>
      </c>
      <c r="D21" s="2"/>
      <c r="E21" s="2"/>
      <c r="F21" s="13">
        <v>138.03271000000001</v>
      </c>
      <c r="G21">
        <v>140.45060000000001</v>
      </c>
      <c r="H21" s="2">
        <f t="shared" si="24"/>
        <v>2.4178899999999999</v>
      </c>
      <c r="I21" s="2">
        <f t="shared" si="25"/>
        <v>5.8197199999999896</v>
      </c>
      <c r="J21" s="2">
        <f t="shared" si="26"/>
        <v>0.29351838700788252</v>
      </c>
      <c r="K21" s="2">
        <f t="shared" si="27"/>
        <v>0.70648161299211754</v>
      </c>
      <c r="L21" s="2">
        <f t="shared" si="28"/>
        <v>0.41358374450450602</v>
      </c>
      <c r="M21" s="2">
        <f t="shared" si="7"/>
        <v>0.12139443357964279</v>
      </c>
      <c r="N21" s="2">
        <f t="shared" si="29"/>
        <v>8.2376099999999894</v>
      </c>
      <c r="O21" s="2">
        <v>15</v>
      </c>
      <c r="P21">
        <f t="shared" si="9"/>
        <v>6.2037561675675903</v>
      </c>
      <c r="V21" s="265"/>
      <c r="W21" s="155">
        <v>0</v>
      </c>
      <c r="Y21" s="13">
        <v>164.46047999999999</v>
      </c>
      <c r="Z21" s="2">
        <v>167.60048</v>
      </c>
      <c r="AA21" s="2">
        <f t="shared" si="10"/>
        <v>3.1400000000000148</v>
      </c>
      <c r="AB21" s="2">
        <f t="shared" si="11"/>
        <v>7.2808799999999962</v>
      </c>
      <c r="AC21" s="2">
        <f t="shared" si="12"/>
        <v>0.3013181228456725</v>
      </c>
      <c r="AD21" s="2">
        <f t="shared" si="13"/>
        <v>0.6986818771543275</v>
      </c>
      <c r="AE21" s="2">
        <f t="shared" si="14"/>
        <v>0.31847133757961632</v>
      </c>
      <c r="AF21" s="2">
        <f t="shared" si="15"/>
        <v>9.5961185619640468E-2</v>
      </c>
      <c r="AG21" s="2">
        <f t="shared" si="16"/>
        <v>10.420880000000011</v>
      </c>
      <c r="AH21" s="2">
        <v>20</v>
      </c>
      <c r="AI21">
        <f t="shared" si="17"/>
        <v>6.3694267515923269</v>
      </c>
      <c r="AR21" s="13">
        <v>159.35552999999999</v>
      </c>
      <c r="AS21">
        <v>162.86208999999999</v>
      </c>
      <c r="AT21" s="2">
        <f t="shared" si="2"/>
        <v>3.5065600000000074</v>
      </c>
      <c r="AU21" s="2">
        <f t="shared" si="3"/>
        <v>7.877980000000008</v>
      </c>
      <c r="AV21" s="2">
        <f t="shared" si="18"/>
        <v>0.30801068817888144</v>
      </c>
      <c r="AW21" s="2">
        <f t="shared" si="19"/>
        <v>0.69198931182111856</v>
      </c>
      <c r="AX21" s="2">
        <f t="shared" si="20"/>
        <v>0.28517977733162925</v>
      </c>
      <c r="AY21" s="2">
        <f t="shared" si="21"/>
        <v>8.7838419470615298E-2</v>
      </c>
      <c r="AZ21" s="2">
        <f t="shared" si="22"/>
        <v>11.384540000000015</v>
      </c>
      <c r="BA21" s="2">
        <v>18</v>
      </c>
      <c r="BB21">
        <f t="shared" si="23"/>
        <v>5.1332359919693262</v>
      </c>
    </row>
    <row r="22" spans="2:56" x14ac:dyDescent="0.35">
      <c r="B22" s="2"/>
      <c r="C22" s="261" t="s">
        <v>32</v>
      </c>
      <c r="D22" s="2"/>
      <c r="E22" s="2"/>
      <c r="F22" s="13">
        <v>146.27032</v>
      </c>
      <c r="G22" s="13">
        <v>148.92041</v>
      </c>
      <c r="H22" s="2">
        <f t="shared" si="24"/>
        <v>2.6500900000000058</v>
      </c>
      <c r="I22" s="2">
        <f t="shared" si="25"/>
        <v>5.9857999999999834</v>
      </c>
      <c r="J22" s="2">
        <f t="shared" si="26"/>
        <v>0.30686935567729662</v>
      </c>
      <c r="K22" s="2">
        <f t="shared" si="27"/>
        <v>0.69313064432270333</v>
      </c>
      <c r="L22" s="2">
        <f t="shared" si="28"/>
        <v>0.37734567505254457</v>
      </c>
      <c r="M22" s="2">
        <f t="shared" si="7"/>
        <v>0.1157958241709889</v>
      </c>
      <c r="N22" s="2">
        <f t="shared" si="29"/>
        <v>8.6358899999999892</v>
      </c>
      <c r="O22" s="2">
        <v>15</v>
      </c>
      <c r="P22">
        <f t="shared" si="9"/>
        <v>5.6601851257881686</v>
      </c>
      <c r="V22" s="265" t="s">
        <v>541</v>
      </c>
      <c r="W22" s="155">
        <v>0</v>
      </c>
      <c r="Y22" s="13">
        <v>174.88136</v>
      </c>
      <c r="Z22" s="2">
        <v>177.89102</v>
      </c>
      <c r="AA22" s="2">
        <f t="shared" si="10"/>
        <v>3.0096599999999967</v>
      </c>
      <c r="AB22" s="2">
        <f t="shared" si="11"/>
        <v>7.4815100000000143</v>
      </c>
      <c r="AC22" s="2">
        <f t="shared" si="12"/>
        <v>0.28687553437795721</v>
      </c>
      <c r="AD22" s="2">
        <f t="shared" si="13"/>
        <v>0.71312446562204279</v>
      </c>
      <c r="AE22" s="2">
        <f t="shared" si="14"/>
        <v>0.33226344504030392</v>
      </c>
      <c r="AF22" s="2">
        <f t="shared" si="15"/>
        <v>9.5318253350198209E-2</v>
      </c>
      <c r="AG22" s="2">
        <f t="shared" si="16"/>
        <v>10.491170000000011</v>
      </c>
      <c r="AH22" s="2">
        <v>19</v>
      </c>
      <c r="AI22">
        <f t="shared" si="17"/>
        <v>6.3130054557657749</v>
      </c>
      <c r="AR22" s="13">
        <v>170.74007</v>
      </c>
      <c r="AS22" s="13">
        <v>174.31791999999999</v>
      </c>
      <c r="AT22" s="2">
        <f t="shared" si="2"/>
        <v>3.5778499999999838</v>
      </c>
      <c r="AU22" s="2">
        <f t="shared" si="3"/>
        <v>8.9826000000000192</v>
      </c>
      <c r="AV22" s="2">
        <f t="shared" si="18"/>
        <v>0.28485046316015611</v>
      </c>
      <c r="AW22" s="2">
        <f t="shared" si="19"/>
        <v>0.71514953683984384</v>
      </c>
      <c r="AX22" s="2">
        <f t="shared" si="20"/>
        <v>0.27949746356051947</v>
      </c>
      <c r="AY22" s="2">
        <f t="shared" si="21"/>
        <v>7.9614981947302821E-2</v>
      </c>
      <c r="AZ22" s="2">
        <f t="shared" si="22"/>
        <v>12.560450000000003</v>
      </c>
      <c r="BA22" s="2">
        <v>19</v>
      </c>
      <c r="BB22">
        <f t="shared" si="23"/>
        <v>5.3104518076498692</v>
      </c>
    </row>
    <row r="23" spans="2:56" x14ac:dyDescent="0.35">
      <c r="B23" s="2"/>
      <c r="C23" s="261" t="s">
        <v>32</v>
      </c>
      <c r="D23" s="2"/>
      <c r="E23" s="2"/>
      <c r="F23" s="13">
        <v>154.90620999999999</v>
      </c>
      <c r="G23">
        <v>157.49395000000001</v>
      </c>
      <c r="H23" s="2">
        <f t="shared" si="24"/>
        <v>2.587740000000025</v>
      </c>
      <c r="I23" s="2">
        <f t="shared" si="25"/>
        <v>6.1354599999999948</v>
      </c>
      <c r="J23" s="2">
        <f t="shared" si="26"/>
        <v>0.29665031181218121</v>
      </c>
      <c r="K23" s="2">
        <f t="shared" si="27"/>
        <v>0.70334968818781884</v>
      </c>
      <c r="L23" s="2">
        <f t="shared" si="28"/>
        <v>0.38643758646540621</v>
      </c>
      <c r="M23" s="2">
        <f t="shared" si="7"/>
        <v>0.11463683052090949</v>
      </c>
      <c r="N23" s="2">
        <f t="shared" si="29"/>
        <v>8.7232000000000198</v>
      </c>
      <c r="O23" s="2">
        <v>17</v>
      </c>
      <c r="P23">
        <f t="shared" si="9"/>
        <v>6.5694389699119062</v>
      </c>
      <c r="V23" s="265"/>
      <c r="W23" s="155">
        <v>0</v>
      </c>
      <c r="Y23" s="13">
        <v>185.37253000000001</v>
      </c>
      <c r="Z23" s="13">
        <v>188.36502999999999</v>
      </c>
      <c r="AA23" s="2">
        <f t="shared" si="10"/>
        <v>2.9924999999999784</v>
      </c>
      <c r="AB23" s="2">
        <f t="shared" si="11"/>
        <v>8.6589600000000075</v>
      </c>
      <c r="AC23" s="2">
        <f t="shared" si="12"/>
        <v>0.25683476577184167</v>
      </c>
      <c r="AD23" s="2">
        <f t="shared" si="13"/>
        <v>0.74316523422815839</v>
      </c>
      <c r="AE23" s="2">
        <f t="shared" si="14"/>
        <v>0.33416875522138922</v>
      </c>
      <c r="AF23" s="2">
        <f t="shared" si="15"/>
        <v>8.5826153975553376E-2</v>
      </c>
      <c r="AG23" s="2">
        <f t="shared" si="16"/>
        <v>11.651459999999986</v>
      </c>
      <c r="AH23" s="2">
        <v>21</v>
      </c>
      <c r="AI23">
        <f t="shared" si="17"/>
        <v>7.017543859649173</v>
      </c>
      <c r="AR23" s="13">
        <v>183.30052000000001</v>
      </c>
      <c r="AS23">
        <v>187.74963</v>
      </c>
      <c r="AT23" s="2">
        <f t="shared" si="2"/>
        <v>4.4491099999999904</v>
      </c>
      <c r="AU23" s="2">
        <f t="shared" si="3"/>
        <v>2.0813799999999958</v>
      </c>
      <c r="AV23" s="2">
        <f t="shared" si="18"/>
        <v>0.68128272151094327</v>
      </c>
      <c r="AW23" s="2">
        <f t="shared" si="19"/>
        <v>0.31871727848905673</v>
      </c>
      <c r="AX23" s="2">
        <f t="shared" si="20"/>
        <v>0.22476405393438287</v>
      </c>
      <c r="AY23" s="2">
        <f t="shared" si="21"/>
        <v>0.15312786636224879</v>
      </c>
      <c r="AZ23" s="2">
        <f t="shared" si="22"/>
        <v>6.5304899999999861</v>
      </c>
      <c r="BA23" s="2">
        <v>21</v>
      </c>
      <c r="BB23">
        <f t="shared" si="23"/>
        <v>4.7200451326220403</v>
      </c>
    </row>
    <row r="24" spans="2:56" x14ac:dyDescent="0.35">
      <c r="B24" s="2"/>
      <c r="C24" s="261" t="s">
        <v>32</v>
      </c>
      <c r="D24" s="2"/>
      <c r="E24" s="2"/>
      <c r="F24" s="13">
        <v>163.62941000000001</v>
      </c>
      <c r="G24">
        <v>167.58708999999999</v>
      </c>
      <c r="H24" s="2">
        <f t="shared" si="24"/>
        <v>3.9576799999999821</v>
      </c>
      <c r="I24" s="2">
        <f t="shared" si="25"/>
        <v>6.669210000000021</v>
      </c>
      <c r="J24" s="2">
        <f t="shared" si="26"/>
        <v>0.37242128223779308</v>
      </c>
      <c r="K24" s="2">
        <f t="shared" si="27"/>
        <v>0.62757871776220686</v>
      </c>
      <c r="L24" s="2">
        <f t="shared" si="28"/>
        <v>0.25267328333771416</v>
      </c>
      <c r="M24" s="2">
        <f t="shared" si="7"/>
        <v>9.4100908167864705E-2</v>
      </c>
      <c r="N24" s="2">
        <f t="shared" si="29"/>
        <v>10.626890000000003</v>
      </c>
      <c r="O24" s="2">
        <v>19</v>
      </c>
      <c r="P24">
        <f t="shared" si="9"/>
        <v>4.8007923834165691</v>
      </c>
      <c r="V24" s="265" t="s">
        <v>541</v>
      </c>
      <c r="W24" s="155">
        <v>0</v>
      </c>
      <c r="Y24" s="13">
        <v>197.02399</v>
      </c>
      <c r="Z24" s="13">
        <v>200.16219000000001</v>
      </c>
      <c r="AA24" s="2">
        <f t="shared" si="10"/>
        <v>3.1382000000000119</v>
      </c>
      <c r="AB24" s="2">
        <f t="shared" si="11"/>
        <v>12.527539999999988</v>
      </c>
      <c r="AC24" s="2">
        <f t="shared" si="12"/>
        <v>0.20032248715987958</v>
      </c>
      <c r="AD24" s="2">
        <f t="shared" si="13"/>
        <v>0.79967751284012045</v>
      </c>
      <c r="AE24" s="2">
        <f t="shared" si="14"/>
        <v>0.31865400548084771</v>
      </c>
      <c r="AF24" s="2">
        <f t="shared" si="15"/>
        <v>6.3833562921381315E-2</v>
      </c>
      <c r="AG24" s="2">
        <f t="shared" si="16"/>
        <v>15.66574</v>
      </c>
      <c r="AH24" s="2">
        <v>20</v>
      </c>
      <c r="AI24">
        <f t="shared" si="17"/>
        <v>6.3730801096169536</v>
      </c>
      <c r="AR24" s="13">
        <v>189.83100999999999</v>
      </c>
      <c r="AS24">
        <v>192.41650000000001</v>
      </c>
      <c r="AT24" s="2">
        <f t="shared" si="2"/>
        <v>2.5854900000000214</v>
      </c>
      <c r="AU24" s="2">
        <f t="shared" si="3"/>
        <v>5.8077499999999986</v>
      </c>
      <c r="AV24" s="2">
        <f t="shared" si="18"/>
        <v>0.3080443309139278</v>
      </c>
      <c r="AW24" s="2">
        <f t="shared" si="19"/>
        <v>0.6919556690860722</v>
      </c>
      <c r="AX24" s="2">
        <f t="shared" si="20"/>
        <v>0.38677388038630656</v>
      </c>
      <c r="AY24" s="2">
        <f t="shared" si="21"/>
        <v>0.11914350119858334</v>
      </c>
      <c r="AZ24" s="2">
        <f t="shared" si="22"/>
        <v>8.39324000000002</v>
      </c>
      <c r="BA24" s="2">
        <v>13</v>
      </c>
      <c r="BB24">
        <f t="shared" si="23"/>
        <v>5.0280604450219855</v>
      </c>
    </row>
    <row r="25" spans="2:56" x14ac:dyDescent="0.35">
      <c r="B25" s="2"/>
      <c r="C25" s="261" t="s">
        <v>32</v>
      </c>
      <c r="D25" s="2"/>
      <c r="E25" s="2"/>
      <c r="F25" s="13">
        <v>174.25630000000001</v>
      </c>
      <c r="G25">
        <v>176.59629000000001</v>
      </c>
      <c r="H25" s="2">
        <f t="shared" si="24"/>
        <v>2.3399900000000002</v>
      </c>
      <c r="I25" s="2">
        <f t="shared" si="25"/>
        <v>6.3100999999999772</v>
      </c>
      <c r="J25" s="2">
        <f t="shared" si="26"/>
        <v>0.27051626052445771</v>
      </c>
      <c r="K25" s="2">
        <f t="shared" si="27"/>
        <v>0.72948373947554235</v>
      </c>
      <c r="L25" s="2">
        <f t="shared" si="28"/>
        <v>0.42735225364210955</v>
      </c>
      <c r="M25" s="2">
        <f t="shared" si="7"/>
        <v>0.11560573358196304</v>
      </c>
      <c r="N25" s="2">
        <f t="shared" si="29"/>
        <v>8.6500899999999774</v>
      </c>
      <c r="O25" s="2">
        <v>14</v>
      </c>
      <c r="P25">
        <f t="shared" si="9"/>
        <v>5.9829315509895338</v>
      </c>
      <c r="V25" s="265"/>
      <c r="W25" s="155">
        <v>0</v>
      </c>
      <c r="Y25">
        <v>212.68973</v>
      </c>
      <c r="Z25">
        <v>216.0754</v>
      </c>
      <c r="AA25" s="2">
        <f t="shared" si="10"/>
        <v>3.3856700000000046</v>
      </c>
      <c r="AB25" s="2">
        <f t="shared" si="11"/>
        <v>8.7866799999999898</v>
      </c>
      <c r="AC25" s="2">
        <f t="shared" si="12"/>
        <v>0.27814431888665758</v>
      </c>
      <c r="AD25" s="2">
        <f t="shared" si="13"/>
        <v>0.72185568111334242</v>
      </c>
      <c r="AE25" s="2">
        <f t="shared" si="14"/>
        <v>0.29536251318055173</v>
      </c>
      <c r="AF25" s="2">
        <f t="shared" si="15"/>
        <v>8.2153405053255982E-2</v>
      </c>
      <c r="AG25" s="2">
        <f t="shared" si="16"/>
        <v>12.172349999999994</v>
      </c>
      <c r="AH25" s="2">
        <v>23</v>
      </c>
      <c r="AI25">
        <f t="shared" si="17"/>
        <v>6.7933378031526903</v>
      </c>
      <c r="AR25" s="13">
        <v>198.22425000000001</v>
      </c>
      <c r="AS25">
        <v>202.0762</v>
      </c>
      <c r="AT25" s="2">
        <f t="shared" si="2"/>
        <v>3.851949999999988</v>
      </c>
      <c r="AU25" s="2">
        <f t="shared" si="3"/>
        <v>6.7699399999999912</v>
      </c>
      <c r="AV25" s="2">
        <f t="shared" si="18"/>
        <v>0.36264261821577848</v>
      </c>
      <c r="AW25" s="2">
        <f t="shared" si="19"/>
        <v>0.63735738178422152</v>
      </c>
      <c r="AX25" s="2">
        <f t="shared" si="20"/>
        <v>0.25960876958423734</v>
      </c>
      <c r="AY25" s="2">
        <f t="shared" si="21"/>
        <v>9.4145203913804598E-2</v>
      </c>
      <c r="AZ25" s="2">
        <f t="shared" si="22"/>
        <v>10.621889999999979</v>
      </c>
      <c r="BA25" s="2">
        <v>20</v>
      </c>
      <c r="BB25">
        <f t="shared" si="23"/>
        <v>5.1921753916847475</v>
      </c>
    </row>
    <row r="26" spans="2:56" x14ac:dyDescent="0.35">
      <c r="B26" s="2"/>
      <c r="C26" s="261" t="s">
        <v>32</v>
      </c>
      <c r="D26" s="2"/>
      <c r="E26" s="2"/>
      <c r="F26" s="13">
        <v>182.90638999999999</v>
      </c>
      <c r="G26">
        <v>185.28664000000001</v>
      </c>
      <c r="H26" s="2">
        <f t="shared" si="24"/>
        <v>2.380250000000018</v>
      </c>
      <c r="I26" s="2">
        <f t="shared" si="25"/>
        <v>7.7014999999999816</v>
      </c>
      <c r="J26" s="2">
        <f t="shared" si="26"/>
        <v>0.23609492399633181</v>
      </c>
      <c r="K26" s="2">
        <f t="shared" si="27"/>
        <v>0.76390507600366819</v>
      </c>
      <c r="L26" s="2">
        <f t="shared" si="28"/>
        <v>0.42012393656128239</v>
      </c>
      <c r="M26" s="2">
        <f t="shared" si="7"/>
        <v>9.9189128871475685E-2</v>
      </c>
      <c r="N26" s="2">
        <f t="shared" si="29"/>
        <v>10.08175</v>
      </c>
      <c r="O26">
        <v>16</v>
      </c>
      <c r="P26">
        <f t="shared" si="9"/>
        <v>6.7219829849805182</v>
      </c>
      <c r="V26" s="265" t="s">
        <v>541</v>
      </c>
      <c r="W26" s="265">
        <v>0</v>
      </c>
      <c r="Y26">
        <v>224.86207999999999</v>
      </c>
      <c r="Z26">
        <v>228.29277999999999</v>
      </c>
      <c r="AA26" s="2">
        <f t="shared" si="10"/>
        <v>3.4307000000000016</v>
      </c>
      <c r="AB26" s="2"/>
      <c r="AC26" s="2"/>
      <c r="AD26" s="2"/>
      <c r="AE26" s="2"/>
      <c r="AF26" s="2"/>
      <c r="AG26" s="2"/>
      <c r="AH26" s="2"/>
      <c r="AR26" s="13">
        <v>208.84613999999999</v>
      </c>
      <c r="AS26">
        <v>212.50083000000001</v>
      </c>
      <c r="AT26" s="2">
        <f t="shared" si="2"/>
        <v>3.6546900000000164</v>
      </c>
      <c r="AU26" s="2">
        <f t="shared" si="3"/>
        <v>6.9164499999999975</v>
      </c>
      <c r="AV26" s="2">
        <f t="shared" si="18"/>
        <v>0.34572335623215772</v>
      </c>
      <c r="AW26" s="2">
        <f t="shared" si="19"/>
        <v>0.65427664376784234</v>
      </c>
      <c r="AX26" s="2">
        <f t="shared" si="20"/>
        <v>0.27362101847215375</v>
      </c>
      <c r="AY26" s="2">
        <f t="shared" si="21"/>
        <v>9.4597176841854203E-2</v>
      </c>
      <c r="AZ26" s="2">
        <f t="shared" si="22"/>
        <v>10.571140000000014</v>
      </c>
      <c r="BA26">
        <v>20</v>
      </c>
      <c r="BB26">
        <f t="shared" si="23"/>
        <v>5.4724203694430749</v>
      </c>
    </row>
    <row r="27" spans="2:56" x14ac:dyDescent="0.35">
      <c r="B27" s="2"/>
      <c r="C27" s="261" t="s">
        <v>32</v>
      </c>
      <c r="D27" s="2"/>
      <c r="E27" s="2"/>
      <c r="F27" s="13">
        <v>192.98813999999999</v>
      </c>
      <c r="G27">
        <v>196.749</v>
      </c>
      <c r="H27" s="2">
        <f t="shared" si="24"/>
        <v>3.7608600000000081</v>
      </c>
      <c r="I27" s="2">
        <f t="shared" si="25"/>
        <v>6.7460499999999968</v>
      </c>
      <c r="J27" s="2">
        <f t="shared" si="26"/>
        <v>0.3579415832057195</v>
      </c>
      <c r="K27" s="2">
        <f t="shared" si="27"/>
        <v>0.64205841679428044</v>
      </c>
      <c r="L27" s="2">
        <f t="shared" si="28"/>
        <v>0.26589663002611047</v>
      </c>
      <c r="M27" s="2">
        <f t="shared" si="7"/>
        <v>9.5175460720611435E-2</v>
      </c>
      <c r="N27" s="2">
        <f t="shared" si="29"/>
        <v>10.506910000000005</v>
      </c>
      <c r="O27">
        <v>20</v>
      </c>
      <c r="P27">
        <f t="shared" si="9"/>
        <v>5.3179326005222096</v>
      </c>
      <c r="W27" s="155"/>
      <c r="AR27" s="13">
        <v>219.41728000000001</v>
      </c>
      <c r="AS27">
        <v>222.95477</v>
      </c>
      <c r="AT27" s="2">
        <f t="shared" si="2"/>
        <v>3.5374899999999911</v>
      </c>
      <c r="AU27" s="2">
        <f t="shared" si="3"/>
        <v>7.9633200000000102</v>
      </c>
      <c r="AV27" s="2">
        <f t="shared" si="18"/>
        <v>0.30758616132254951</v>
      </c>
      <c r="AW27" s="2">
        <f t="shared" si="19"/>
        <v>0.69241383867745043</v>
      </c>
      <c r="AX27" s="2">
        <f t="shared" si="20"/>
        <v>0.28268631148073986</v>
      </c>
      <c r="AY27" s="2">
        <f t="shared" si="21"/>
        <v>8.6950397406791335E-2</v>
      </c>
      <c r="AZ27" s="2">
        <f t="shared" si="22"/>
        <v>11.500810000000001</v>
      </c>
      <c r="BA27">
        <v>17</v>
      </c>
      <c r="BB27">
        <f t="shared" si="23"/>
        <v>4.8056672951725776</v>
      </c>
    </row>
    <row r="28" spans="2:56" x14ac:dyDescent="0.35">
      <c r="B28" s="2"/>
      <c r="C28" s="261" t="s">
        <v>32</v>
      </c>
      <c r="D28" s="2"/>
      <c r="E28" s="2"/>
      <c r="F28" s="13">
        <v>203.49504999999999</v>
      </c>
      <c r="G28">
        <v>207.59996000000001</v>
      </c>
      <c r="H28" s="2">
        <f t="shared" si="24"/>
        <v>4.104910000000018</v>
      </c>
      <c r="I28" s="2">
        <f t="shared" si="25"/>
        <v>5.1073299999999904</v>
      </c>
      <c r="J28" s="2">
        <f t="shared" si="26"/>
        <v>0.44559303708978643</v>
      </c>
      <c r="K28" s="2">
        <f t="shared" si="27"/>
        <v>0.55440696291021352</v>
      </c>
      <c r="L28" s="2">
        <f t="shared" si="28"/>
        <v>0.24361070035640139</v>
      </c>
      <c r="M28" s="2">
        <f t="shared" si="7"/>
        <v>0.10855123183937881</v>
      </c>
      <c r="N28" s="2">
        <f t="shared" si="29"/>
        <v>9.2122400000000084</v>
      </c>
      <c r="O28">
        <v>22</v>
      </c>
      <c r="P28">
        <f t="shared" si="9"/>
        <v>5.3594354078408308</v>
      </c>
      <c r="W28" s="155"/>
      <c r="AR28" s="13">
        <v>230.91809000000001</v>
      </c>
      <c r="AS28">
        <v>234.40916999999999</v>
      </c>
      <c r="AT28" s="2">
        <f t="shared" si="2"/>
        <v>3.4910799999999824</v>
      </c>
      <c r="AU28" s="2"/>
      <c r="AV28" s="2"/>
      <c r="AW28" s="2"/>
      <c r="AX28" s="2"/>
      <c r="AY28" s="2"/>
      <c r="AZ28" s="2"/>
    </row>
    <row r="29" spans="2:56" ht="16" thickBot="1" x14ac:dyDescent="0.4">
      <c r="B29" s="2"/>
      <c r="C29" s="261" t="s">
        <v>32</v>
      </c>
      <c r="D29" s="2"/>
      <c r="E29" s="2"/>
      <c r="F29">
        <v>212.70729</v>
      </c>
      <c r="G29">
        <v>216.69316000000001</v>
      </c>
      <c r="H29" s="2">
        <f t="shared" si="24"/>
        <v>3.9858700000000056</v>
      </c>
      <c r="I29" s="2">
        <f t="shared" si="25"/>
        <v>4.9807199999999909</v>
      </c>
      <c r="J29" s="2">
        <f t="shared" si="26"/>
        <v>0.4445246186119815</v>
      </c>
      <c r="K29" s="2">
        <f t="shared" si="27"/>
        <v>0.55547538138801855</v>
      </c>
      <c r="L29" s="2">
        <f t="shared" si="28"/>
        <v>0.25088625569825374</v>
      </c>
      <c r="M29" s="2">
        <f t="shared" si="7"/>
        <v>0.11152511712925431</v>
      </c>
      <c r="N29" s="2">
        <f t="shared" si="29"/>
        <v>8.9665899999999965</v>
      </c>
      <c r="O29">
        <v>20</v>
      </c>
      <c r="P29">
        <f t="shared" si="9"/>
        <v>5.0177251139650743</v>
      </c>
      <c r="W29" s="155"/>
      <c r="X29" s="104"/>
      <c r="Z29" s="13"/>
      <c r="AA29" s="9" t="s">
        <v>3</v>
      </c>
      <c r="AB29" s="9" t="s">
        <v>4</v>
      </c>
      <c r="AC29" s="9" t="s">
        <v>5</v>
      </c>
      <c r="AD29" s="9" t="s">
        <v>6</v>
      </c>
      <c r="AE29" s="9" t="s">
        <v>7</v>
      </c>
      <c r="AF29" s="9" t="s">
        <v>8</v>
      </c>
      <c r="AG29" s="9" t="s">
        <v>9</v>
      </c>
      <c r="AH29" s="9" t="s">
        <v>10</v>
      </c>
      <c r="AI29" s="44" t="s">
        <v>139</v>
      </c>
      <c r="AT29" s="2"/>
      <c r="AU29" s="2"/>
      <c r="AV29" s="2"/>
      <c r="AW29" s="2"/>
      <c r="AX29" s="2"/>
      <c r="AY29" s="2"/>
      <c r="AZ29" s="2"/>
    </row>
    <row r="30" spans="2:56" x14ac:dyDescent="0.35">
      <c r="B30" s="2"/>
      <c r="C30" s="261" t="s">
        <v>32</v>
      </c>
      <c r="D30" s="2"/>
      <c r="E30" s="2"/>
      <c r="F30">
        <v>221.67388</v>
      </c>
      <c r="G30">
        <v>224.09936999999999</v>
      </c>
      <c r="H30" s="2">
        <f t="shared" si="24"/>
        <v>2.4254899999999964</v>
      </c>
      <c r="I30" s="2">
        <f t="shared" si="25"/>
        <v>7.7621400000000165</v>
      </c>
      <c r="J30" s="2">
        <f t="shared" si="26"/>
        <v>0.23808186987552485</v>
      </c>
      <c r="K30" s="2">
        <f t="shared" si="27"/>
        <v>0.76191813012447518</v>
      </c>
      <c r="L30" s="2">
        <f t="shared" si="28"/>
        <v>0.41228782637735117</v>
      </c>
      <c r="M30" s="2">
        <f t="shared" si="7"/>
        <v>9.8158256630835508E-2</v>
      </c>
      <c r="N30" s="2">
        <f t="shared" si="29"/>
        <v>10.187630000000013</v>
      </c>
      <c r="O30">
        <v>14</v>
      </c>
      <c r="P30">
        <f t="shared" si="9"/>
        <v>5.7720295692829167</v>
      </c>
      <c r="W30" s="155"/>
      <c r="X30" s="104" t="s">
        <v>410</v>
      </c>
      <c r="Z30" s="49" t="s">
        <v>77</v>
      </c>
      <c r="AA30" s="13">
        <f>AVERAGE(AA7:AA25)</f>
        <v>3.0623415789473682</v>
      </c>
      <c r="AB30" s="13">
        <f t="shared" ref="AB30:AI30" si="30">AVERAGE(AB7:AB25)</f>
        <v>8.7185394736842117</v>
      </c>
      <c r="AC30" s="13">
        <f t="shared" si="30"/>
        <v>0.27109652832576431</v>
      </c>
      <c r="AD30" s="13">
        <f t="shared" si="30"/>
        <v>0.72890347167423553</v>
      </c>
      <c r="AE30" s="13">
        <f t="shared" si="30"/>
        <v>0.32769912799320783</v>
      </c>
      <c r="AF30" s="13">
        <f t="shared" si="30"/>
        <v>8.8378293854748047E-2</v>
      </c>
      <c r="AG30" s="13">
        <f t="shared" si="30"/>
        <v>11.780881052631578</v>
      </c>
      <c r="AH30" s="13">
        <f t="shared" si="30"/>
        <v>18.842105263157894</v>
      </c>
      <c r="AI30" s="13">
        <f t="shared" si="30"/>
        <v>6.1518000114950553</v>
      </c>
      <c r="AT30" s="2"/>
      <c r="AU30" s="2"/>
      <c r="AV30" s="2"/>
      <c r="AW30" s="2"/>
      <c r="AX30" s="2"/>
      <c r="AY30" s="2"/>
      <c r="AZ30" s="2"/>
    </row>
    <row r="31" spans="2:56" x14ac:dyDescent="0.35">
      <c r="C31" s="261" t="s">
        <v>326</v>
      </c>
      <c r="F31">
        <v>231.86151000000001</v>
      </c>
      <c r="G31">
        <v>235.96372</v>
      </c>
      <c r="H31" s="2">
        <f t="shared" si="24"/>
        <v>4.1022099999999853</v>
      </c>
      <c r="I31" s="2"/>
      <c r="J31" s="2"/>
      <c r="K31" s="2"/>
      <c r="L31" s="2"/>
      <c r="M31" s="2"/>
      <c r="N31" s="2"/>
      <c r="W31" s="155"/>
      <c r="Z31" s="49" t="s">
        <v>94</v>
      </c>
      <c r="AA31" s="2">
        <f>_xlfn.STDEV.S(AA7:AA25)</f>
        <v>0.18374192947547069</v>
      </c>
      <c r="AB31" s="2">
        <f t="shared" ref="AB31:AI31" si="31">_xlfn.STDEV.S(AB7:AB25)</f>
        <v>2.7085593381034649</v>
      </c>
      <c r="AC31" s="2">
        <f t="shared" si="31"/>
        <v>5.5059942021438421E-2</v>
      </c>
      <c r="AD31" s="2">
        <f t="shared" si="31"/>
        <v>5.5059942021438657E-2</v>
      </c>
      <c r="AE31" s="2">
        <f t="shared" si="31"/>
        <v>2.0319823616141333E-2</v>
      </c>
      <c r="AF31" s="2">
        <f t="shared" si="31"/>
        <v>1.673479466360208E-2</v>
      </c>
      <c r="AG31" s="2">
        <f t="shared" si="31"/>
        <v>2.664075174493846</v>
      </c>
      <c r="AH31" s="2">
        <f t="shared" si="31"/>
        <v>2.007296631313332</v>
      </c>
      <c r="AI31" s="2">
        <f t="shared" si="31"/>
        <v>0.52055555518907559</v>
      </c>
      <c r="AJ31" s="2"/>
      <c r="AK31" s="2"/>
      <c r="AL31" s="2"/>
      <c r="AT31" s="2"/>
      <c r="AU31" s="2"/>
      <c r="AV31" s="2"/>
      <c r="AW31" s="2"/>
      <c r="AX31" s="2"/>
      <c r="AY31" s="2"/>
      <c r="AZ31" s="2"/>
    </row>
    <row r="32" spans="2:56" x14ac:dyDescent="0.35">
      <c r="Z32" s="49" t="s">
        <v>95</v>
      </c>
      <c r="AA32" s="2">
        <f>AA31/(SQRT(COUNT(AA7:AA25)))</f>
        <v>4.2153289593408111E-2</v>
      </c>
      <c r="AB32" s="2">
        <f t="shared" ref="AB32:AI32" si="32">AB31/(SQRT(COUNT(AB7:AB25)))</f>
        <v>0.62138612828296935</v>
      </c>
      <c r="AC32" s="2">
        <f t="shared" si="32"/>
        <v>1.2631617005718876E-2</v>
      </c>
      <c r="AD32" s="2">
        <f t="shared" si="32"/>
        <v>1.263161700571893E-2</v>
      </c>
      <c r="AE32" s="2">
        <f t="shared" si="32"/>
        <v>4.6616872470174354E-3</v>
      </c>
      <c r="AF32" s="2">
        <f t="shared" si="32"/>
        <v>3.8392251989234315E-3</v>
      </c>
      <c r="AG32" s="2">
        <f t="shared" si="32"/>
        <v>0.61118076124285048</v>
      </c>
      <c r="AH32" s="2">
        <f t="shared" si="32"/>
        <v>0.4605054297686545</v>
      </c>
      <c r="AI32" s="2">
        <f t="shared" si="32"/>
        <v>0.11942363471409949</v>
      </c>
      <c r="AJ32" s="2"/>
      <c r="AK32" s="2"/>
      <c r="AL32" s="2"/>
    </row>
    <row r="33" spans="7:54" x14ac:dyDescent="0.35">
      <c r="Y33" s="2"/>
      <c r="Z33" s="49"/>
      <c r="AA33" s="2"/>
      <c r="AB33" s="2"/>
      <c r="AC33" s="2"/>
      <c r="AD33" s="2"/>
      <c r="AE33" s="2"/>
      <c r="AF33" s="2"/>
      <c r="AG33" s="2"/>
      <c r="AH33" s="2"/>
      <c r="AI33" s="2"/>
      <c r="AJ33" s="2"/>
      <c r="AK33" s="2"/>
      <c r="AL33" s="2"/>
    </row>
    <row r="34" spans="7:54" x14ac:dyDescent="0.35">
      <c r="G34" s="49"/>
      <c r="H34" s="2"/>
      <c r="I34" s="2"/>
      <c r="J34" s="2"/>
      <c r="K34" s="2"/>
      <c r="L34" s="2"/>
      <c r="M34" s="2"/>
      <c r="N34" s="2"/>
      <c r="O34" s="2"/>
      <c r="P34" s="2"/>
      <c r="Y34" s="2"/>
      <c r="Z34" s="49"/>
      <c r="AA34" s="2"/>
      <c r="AB34" s="2"/>
      <c r="AC34" s="2"/>
      <c r="AD34" s="2"/>
      <c r="AE34" s="2"/>
      <c r="AF34" s="2"/>
      <c r="AG34" s="2"/>
      <c r="AH34" s="2"/>
      <c r="AI34" s="2"/>
      <c r="AJ34" s="2"/>
      <c r="AK34" s="2"/>
      <c r="AL34" s="2"/>
      <c r="AS34" s="49"/>
      <c r="AT34" s="2"/>
      <c r="AU34" s="2"/>
      <c r="AV34" s="2"/>
      <c r="AW34" s="2"/>
      <c r="AX34" s="2"/>
      <c r="AY34" s="2"/>
      <c r="AZ34" s="2"/>
      <c r="BA34" s="2"/>
      <c r="BB34" s="2"/>
    </row>
    <row r="35" spans="7:54" ht="16" thickBot="1" x14ac:dyDescent="0.4">
      <c r="G35" s="49"/>
      <c r="H35" s="2"/>
      <c r="I35" s="2"/>
      <c r="J35" s="2"/>
      <c r="K35" s="2"/>
      <c r="L35" s="2"/>
      <c r="M35" s="2"/>
      <c r="N35" s="2"/>
      <c r="O35" s="2"/>
      <c r="P35" s="2"/>
      <c r="X35" s="104" t="s">
        <v>81</v>
      </c>
      <c r="Y35" s="13"/>
      <c r="Z35" s="13"/>
      <c r="AA35" s="9" t="s">
        <v>3</v>
      </c>
      <c r="AB35" s="9" t="s">
        <v>4</v>
      </c>
      <c r="AC35" s="9" t="s">
        <v>5</v>
      </c>
      <c r="AD35" s="9" t="s">
        <v>6</v>
      </c>
      <c r="AE35" s="9" t="s">
        <v>7</v>
      </c>
      <c r="AF35" s="9" t="s">
        <v>8</v>
      </c>
      <c r="AG35" s="9" t="s">
        <v>9</v>
      </c>
      <c r="AH35" s="9" t="s">
        <v>10</v>
      </c>
      <c r="AI35" s="44" t="s">
        <v>139</v>
      </c>
      <c r="AJ35" s="2"/>
      <c r="AK35" s="2"/>
      <c r="AL35" s="2"/>
      <c r="AS35" s="49"/>
      <c r="AT35" s="2"/>
      <c r="AU35" s="2"/>
      <c r="AV35" s="2"/>
      <c r="AW35" s="2"/>
      <c r="AX35" s="2"/>
      <c r="AY35" s="2"/>
      <c r="AZ35" s="2"/>
      <c r="BA35" s="2"/>
      <c r="BB35" s="2"/>
    </row>
    <row r="36" spans="7:54" ht="16" thickBot="1" x14ac:dyDescent="0.4">
      <c r="G36" s="13"/>
      <c r="H36" s="9" t="s">
        <v>3</v>
      </c>
      <c r="I36" s="9" t="s">
        <v>4</v>
      </c>
      <c r="J36" s="9" t="s">
        <v>5</v>
      </c>
      <c r="K36" s="9" t="s">
        <v>6</v>
      </c>
      <c r="L36" s="9" t="s">
        <v>7</v>
      </c>
      <c r="M36" s="9" t="s">
        <v>8</v>
      </c>
      <c r="N36" s="9" t="s">
        <v>9</v>
      </c>
      <c r="O36" s="9" t="s">
        <v>10</v>
      </c>
      <c r="P36" s="44" t="s">
        <v>139</v>
      </c>
      <c r="X36" s="104"/>
      <c r="Y36" s="13"/>
      <c r="Z36" s="49" t="s">
        <v>77</v>
      </c>
      <c r="AA36" s="13">
        <f>AVERAGE(AA9,AA13,AA15,AA18,AA20,AA22,AA24)</f>
        <v>2.9940028571428576</v>
      </c>
      <c r="AB36" s="13">
        <f t="shared" ref="AB36:AI36" si="33">AVERAGE(AB9,AB13,AB15,AB18,AB20,AB22,AB24)</f>
        <v>10.675785714285711</v>
      </c>
      <c r="AC36" s="13">
        <f t="shared" si="33"/>
        <v>0.23137197960781059</v>
      </c>
      <c r="AD36" s="13">
        <f t="shared" si="33"/>
        <v>0.76862802039218947</v>
      </c>
      <c r="AE36" s="13">
        <f t="shared" si="33"/>
        <v>0.33528464081640869</v>
      </c>
      <c r="AF36" s="13">
        <f t="shared" si="33"/>
        <v>7.7204342613464511E-2</v>
      </c>
      <c r="AG36" s="13">
        <f t="shared" si="33"/>
        <v>13.669788571428569</v>
      </c>
      <c r="AH36" s="13">
        <f t="shared" si="33"/>
        <v>18.857142857142858</v>
      </c>
      <c r="AI36" s="13">
        <f t="shared" si="33"/>
        <v>6.2982466508546207</v>
      </c>
      <c r="AJ36" s="2"/>
      <c r="AK36" s="2"/>
      <c r="AL36" s="2"/>
      <c r="AS36" s="13"/>
      <c r="AT36" s="9" t="s">
        <v>3</v>
      </c>
      <c r="AU36" s="9" t="s">
        <v>4</v>
      </c>
      <c r="AV36" s="9" t="s">
        <v>5</v>
      </c>
      <c r="AW36" s="9" t="s">
        <v>6</v>
      </c>
      <c r="AX36" s="9" t="s">
        <v>7</v>
      </c>
      <c r="AY36" s="9" t="s">
        <v>8</v>
      </c>
      <c r="AZ36" s="9" t="s">
        <v>9</v>
      </c>
      <c r="BA36" s="9" t="s">
        <v>10</v>
      </c>
      <c r="BB36" s="44" t="s">
        <v>139</v>
      </c>
    </row>
    <row r="37" spans="7:54" x14ac:dyDescent="0.35">
      <c r="G37" s="49" t="s">
        <v>77</v>
      </c>
      <c r="H37" s="13">
        <f>AVERAGE(H7:H30)</f>
        <v>3.2848775000000021</v>
      </c>
      <c r="I37" s="13">
        <f t="shared" ref="I37:P37" si="34">AVERAGE(I7:I30)</f>
        <v>6.1151333333333318</v>
      </c>
      <c r="J37" s="13">
        <f t="shared" si="34"/>
        <v>0.35026243911576321</v>
      </c>
      <c r="K37" s="13">
        <f t="shared" si="34"/>
        <v>0.64973756088423673</v>
      </c>
      <c r="L37" s="13">
        <f t="shared" si="34"/>
        <v>0.31703583122020634</v>
      </c>
      <c r="M37" s="13">
        <f t="shared" si="34"/>
        <v>0.10737190789071832</v>
      </c>
      <c r="N37" s="13">
        <f t="shared" si="34"/>
        <v>9.400010833333333</v>
      </c>
      <c r="O37" s="13">
        <f t="shared" si="34"/>
        <v>18</v>
      </c>
      <c r="P37" s="13">
        <f t="shared" si="34"/>
        <v>5.5489177623547272</v>
      </c>
      <c r="X37" s="104"/>
      <c r="Y37" s="13"/>
      <c r="Z37" s="49" t="s">
        <v>94</v>
      </c>
      <c r="AA37" s="2">
        <f>_xlfn.STDEV.S(AA9,AA13,AA15,AA18,AA20,AA22,AA24)</f>
        <v>0.19403188953659947</v>
      </c>
      <c r="AB37" s="2">
        <f t="shared" ref="AB37:AI37" si="35">_xlfn.STDEV.S(AB9,AB13,AB15,AB18,AB20,AB22,AB24)</f>
        <v>3.4742425814933973</v>
      </c>
      <c r="AC37" s="2">
        <f t="shared" si="35"/>
        <v>5.8033401594665759E-2</v>
      </c>
      <c r="AD37" s="2">
        <f t="shared" si="35"/>
        <v>5.8033401594665877E-2</v>
      </c>
      <c r="AE37" s="2">
        <f t="shared" si="35"/>
        <v>2.3127814549882258E-2</v>
      </c>
      <c r="AF37" s="2">
        <f t="shared" si="35"/>
        <v>1.8945547619674118E-2</v>
      </c>
      <c r="AG37" s="2">
        <f t="shared" si="35"/>
        <v>3.4365850051440519</v>
      </c>
      <c r="AH37" s="2">
        <f t="shared" si="35"/>
        <v>1.7728105208558365</v>
      </c>
      <c r="AI37" s="2">
        <f t="shared" si="35"/>
        <v>0.42653095794694934</v>
      </c>
      <c r="AJ37" s="2"/>
      <c r="AK37" s="2"/>
      <c r="AL37" s="2"/>
      <c r="AS37" s="49" t="s">
        <v>77</v>
      </c>
      <c r="AT37" s="13">
        <f>AVERAGE(AT7:AT27)</f>
        <v>3.8657704761904754</v>
      </c>
      <c r="AU37" s="13">
        <f t="shared" ref="AU37:BB37" si="36">AVERAGE(AU7:AU27)</f>
        <v>6.6153014285714296</v>
      </c>
      <c r="AV37" s="13">
        <f t="shared" si="36"/>
        <v>0.38266219832302512</v>
      </c>
      <c r="AW37" s="13">
        <f t="shared" si="36"/>
        <v>0.61733780167697483</v>
      </c>
      <c r="AX37" s="13">
        <f t="shared" si="36"/>
        <v>0.26797680769913262</v>
      </c>
      <c r="AY37" s="13">
        <f t="shared" si="36"/>
        <v>9.9161676371853857E-2</v>
      </c>
      <c r="AZ37" s="13">
        <f t="shared" si="36"/>
        <v>10.481071904761906</v>
      </c>
      <c r="BA37" s="13">
        <f t="shared" si="36"/>
        <v>19.333333333333332</v>
      </c>
      <c r="BB37" s="13">
        <f t="shared" si="36"/>
        <v>5.0328683516224357</v>
      </c>
    </row>
    <row r="38" spans="7:54" x14ac:dyDescent="0.35">
      <c r="G38" s="49" t="s">
        <v>94</v>
      </c>
      <c r="H38" s="2">
        <f>_xlfn.STDEV.S(H7:H30)</f>
        <v>0.65457777141983398</v>
      </c>
      <c r="I38" s="2">
        <f t="shared" ref="I38:P38" si="37">_xlfn.STDEV.S(I7:I30)</f>
        <v>0.90295814783683637</v>
      </c>
      <c r="J38" s="2">
        <f t="shared" si="37"/>
        <v>6.5514746634722856E-2</v>
      </c>
      <c r="K38" s="2">
        <f t="shared" si="37"/>
        <v>6.5514746634722662E-2</v>
      </c>
      <c r="L38" s="2">
        <f t="shared" si="37"/>
        <v>6.6670408720746116E-2</v>
      </c>
      <c r="M38" s="2">
        <f t="shared" si="37"/>
        <v>1.0572413932072406E-2</v>
      </c>
      <c r="N38" s="2">
        <f t="shared" si="37"/>
        <v>0.92128197519834498</v>
      </c>
      <c r="O38" s="2">
        <f t="shared" si="37"/>
        <v>2.7186953392806057</v>
      </c>
      <c r="P38" s="2">
        <f t="shared" si="37"/>
        <v>0.53322772046914457</v>
      </c>
      <c r="X38" s="104"/>
      <c r="Y38" s="13"/>
      <c r="Z38" s="49" t="s">
        <v>95</v>
      </c>
      <c r="AA38" s="2">
        <f>AA37/(SQRT(COUNT(AA9,AA13,AA15,AA18,AA20,AA22,AA24)))</f>
        <v>7.3337160875685412E-2</v>
      </c>
      <c r="AB38" s="2">
        <f t="shared" ref="AB38:AI38" si="38">AB37/(SQRT(COUNT(AB9,AB13,AB15,AB18,AB20,AB22,AB24)))</f>
        <v>1.3131402664203691</v>
      </c>
      <c r="AC38" s="2">
        <f t="shared" si="38"/>
        <v>2.1934564050660691E-2</v>
      </c>
      <c r="AD38" s="2">
        <f t="shared" si="38"/>
        <v>2.1934564050660733E-2</v>
      </c>
      <c r="AE38" s="2">
        <f t="shared" si="38"/>
        <v>8.7414922382013857E-3</v>
      </c>
      <c r="AF38" s="2">
        <f t="shared" si="38"/>
        <v>7.1607439219413468E-3</v>
      </c>
      <c r="AG38" s="2">
        <f t="shared" si="38"/>
        <v>1.2989070404206839</v>
      </c>
      <c r="AH38" s="2">
        <f t="shared" si="38"/>
        <v>0.67005939426048988</v>
      </c>
      <c r="AI38" s="2">
        <f t="shared" si="38"/>
        <v>0.16121354874253957</v>
      </c>
      <c r="AJ38" s="2"/>
      <c r="AK38" s="2"/>
      <c r="AL38" s="2"/>
      <c r="AS38" s="49" t="s">
        <v>94</v>
      </c>
      <c r="AT38" s="2">
        <f>_xlfn.STDEV.S(AT7:AT27)</f>
        <v>0.69010197887323876</v>
      </c>
      <c r="AU38" s="2">
        <f t="shared" ref="AU38:BB38" si="39">_xlfn.STDEV.S(AU7:AU27)</f>
        <v>1.9148411619042653</v>
      </c>
      <c r="AV38" s="2">
        <f t="shared" si="39"/>
        <v>0.11491495650140668</v>
      </c>
      <c r="AW38" s="2">
        <f t="shared" si="39"/>
        <v>0.11491495650140689</v>
      </c>
      <c r="AX38" s="2">
        <f t="shared" si="39"/>
        <v>5.5692422231760526E-2</v>
      </c>
      <c r="AY38" s="2">
        <f t="shared" si="39"/>
        <v>2.2963277849676906E-2</v>
      </c>
      <c r="AZ38" s="2">
        <f t="shared" si="39"/>
        <v>1.8178119563794739</v>
      </c>
      <c r="BA38" s="2">
        <f t="shared" si="39"/>
        <v>2.988868236194655</v>
      </c>
      <c r="BB38" s="2">
        <f t="shared" si="39"/>
        <v>0.34164973434572926</v>
      </c>
    </row>
    <row r="39" spans="7:54" x14ac:dyDescent="0.35">
      <c r="G39" s="49" t="s">
        <v>95</v>
      </c>
      <c r="H39" s="2">
        <f>H38/(SQRT(COUNT(H7:H30)))</f>
        <v>0.13361512807889628</v>
      </c>
      <c r="I39" s="2">
        <f t="shared" ref="I39:P39" si="40">I38/(SQRT(COUNT(I7:I30)))</f>
        <v>0.18431556010740227</v>
      </c>
      <c r="J39" s="2">
        <f t="shared" si="40"/>
        <v>1.3373141656899366E-2</v>
      </c>
      <c r="K39" s="2">
        <f t="shared" si="40"/>
        <v>1.3373141656899326E-2</v>
      </c>
      <c r="L39" s="2">
        <f t="shared" si="40"/>
        <v>1.3609040192385815E-2</v>
      </c>
      <c r="M39" s="2">
        <f t="shared" si="40"/>
        <v>2.1580849569224443E-3</v>
      </c>
      <c r="N39" s="2">
        <f t="shared" si="40"/>
        <v>0.18805589570494771</v>
      </c>
      <c r="O39" s="2">
        <f t="shared" si="40"/>
        <v>0.55495136227668973</v>
      </c>
      <c r="P39" s="2">
        <f t="shared" si="40"/>
        <v>0.10884465265473546</v>
      </c>
      <c r="X39" s="104"/>
      <c r="Y39" s="13"/>
      <c r="Z39" s="49"/>
      <c r="AA39" s="2"/>
      <c r="AB39" s="2"/>
      <c r="AC39" s="2"/>
      <c r="AD39" s="2"/>
      <c r="AE39" s="2"/>
      <c r="AF39" s="2"/>
      <c r="AG39" s="2"/>
      <c r="AH39" s="2"/>
      <c r="AI39" s="2"/>
      <c r="AJ39" s="2"/>
      <c r="AK39" s="2"/>
      <c r="AL39" s="2"/>
      <c r="AS39" s="49" t="s">
        <v>95</v>
      </c>
      <c r="AT39" s="2">
        <f>AT38/(SQRT(COUNT(AT7:AT27)))</f>
        <v>0.15059259787740156</v>
      </c>
      <c r="AU39" s="2">
        <f t="shared" ref="AU39:BB39" si="41">AU38/(SQRT(COUNT(AU7:AU27)))</f>
        <v>0.41785259848778511</v>
      </c>
      <c r="AV39" s="2">
        <f t="shared" si="41"/>
        <v>2.5076499364297802E-2</v>
      </c>
      <c r="AW39" s="2">
        <f t="shared" si="41"/>
        <v>2.5076499364297847E-2</v>
      </c>
      <c r="AX39" s="2">
        <f t="shared" si="41"/>
        <v>1.2153082881546861E-2</v>
      </c>
      <c r="AY39" s="2">
        <f t="shared" si="41"/>
        <v>5.01099804525939E-3</v>
      </c>
      <c r="AZ39" s="2">
        <f t="shared" si="41"/>
        <v>0.39667908996689061</v>
      </c>
      <c r="BA39" s="2">
        <f t="shared" si="41"/>
        <v>0.65222452069576942</v>
      </c>
      <c r="BB39" s="2">
        <f t="shared" si="41"/>
        <v>7.4554084228612302E-2</v>
      </c>
    </row>
    <row r="40" spans="7:54" x14ac:dyDescent="0.35">
      <c r="G40" s="49"/>
      <c r="H40" s="2"/>
      <c r="I40" s="2"/>
      <c r="J40" s="2"/>
      <c r="K40" s="2"/>
      <c r="L40" s="2"/>
      <c r="M40" s="2"/>
      <c r="N40" s="2"/>
      <c r="O40" s="2"/>
      <c r="P40" s="2"/>
      <c r="X40" s="104"/>
      <c r="Y40" s="13"/>
      <c r="Z40" s="49"/>
      <c r="AA40" s="2"/>
      <c r="AB40" s="2"/>
      <c r="AC40" s="2"/>
      <c r="AD40" s="2"/>
      <c r="AE40" s="2"/>
      <c r="AF40" s="2"/>
      <c r="AG40" s="2"/>
      <c r="AH40" s="2"/>
      <c r="AI40" s="2"/>
      <c r="AJ40" s="2"/>
      <c r="AK40" s="2"/>
      <c r="AL40" s="2"/>
    </row>
    <row r="41" spans="7:54" ht="16" thickBot="1" x14ac:dyDescent="0.4">
      <c r="G41" s="49"/>
      <c r="H41" s="2"/>
      <c r="I41" s="2"/>
      <c r="J41" s="2"/>
      <c r="K41" s="2"/>
      <c r="L41" s="2"/>
      <c r="M41" s="2"/>
      <c r="N41" s="2"/>
      <c r="O41" s="2"/>
      <c r="P41" s="2"/>
      <c r="X41" s="104" t="s">
        <v>82</v>
      </c>
      <c r="Y41" s="13"/>
      <c r="Z41" s="13"/>
      <c r="AA41" s="9" t="s">
        <v>3</v>
      </c>
      <c r="AB41" s="9" t="s">
        <v>4</v>
      </c>
      <c r="AC41" s="9" t="s">
        <v>5</v>
      </c>
      <c r="AD41" s="9" t="s">
        <v>6</v>
      </c>
      <c r="AE41" s="9" t="s">
        <v>7</v>
      </c>
      <c r="AF41" s="9" t="s">
        <v>8</v>
      </c>
      <c r="AG41" s="9" t="s">
        <v>9</v>
      </c>
      <c r="AH41" s="9" t="s">
        <v>10</v>
      </c>
      <c r="AI41" s="44" t="s">
        <v>139</v>
      </c>
      <c r="AJ41" s="2"/>
      <c r="AK41" s="2"/>
      <c r="AL41" s="2"/>
    </row>
    <row r="42" spans="7:54" x14ac:dyDescent="0.35">
      <c r="G42" s="49"/>
      <c r="H42" s="2"/>
      <c r="I42" s="2"/>
      <c r="J42" s="2"/>
      <c r="K42" s="2"/>
      <c r="L42" s="2"/>
      <c r="M42" s="2"/>
      <c r="N42" s="2"/>
      <c r="O42" s="2"/>
      <c r="P42" s="2"/>
      <c r="X42" s="104"/>
      <c r="Y42" s="13"/>
      <c r="Z42" s="49" t="s">
        <v>77</v>
      </c>
      <c r="AA42" s="13">
        <f>AVERAGE(AA7:AA8,AA10:AA12,AA14,AA16:AA17,AA19,AA21,AA23,AA25)</f>
        <v>3.1022058333333327</v>
      </c>
      <c r="AB42" s="13">
        <f t="shared" ref="AB42:AI42" si="42">AVERAGE(AB7:AB8,AB10:AB12,AB14,AB16:AB17,AB19,AB21,AB23,AB25)</f>
        <v>7.5768125000000017</v>
      </c>
      <c r="AC42" s="13">
        <f t="shared" si="42"/>
        <v>0.29426918174457067</v>
      </c>
      <c r="AD42" s="13">
        <f t="shared" si="42"/>
        <v>0.70573081825542927</v>
      </c>
      <c r="AE42" s="13">
        <f t="shared" si="42"/>
        <v>0.32327424551300737</v>
      </c>
      <c r="AF42" s="13">
        <f t="shared" si="42"/>
        <v>9.4896432078830098E-2</v>
      </c>
      <c r="AG42" s="13">
        <f t="shared" si="42"/>
        <v>10.679018333333334</v>
      </c>
      <c r="AH42" s="13">
        <f t="shared" si="42"/>
        <v>18.833333333333332</v>
      </c>
      <c r="AI42" s="13">
        <f t="shared" si="42"/>
        <v>6.0663728052019756</v>
      </c>
      <c r="AJ42" s="2"/>
      <c r="AK42" s="2"/>
      <c r="AL42" s="2"/>
    </row>
    <row r="43" spans="7:54" x14ac:dyDescent="0.35">
      <c r="X43" s="104"/>
      <c r="Y43" s="13"/>
      <c r="Z43" s="49" t="s">
        <v>94</v>
      </c>
      <c r="AA43" s="2">
        <f>_xlfn.STDEV.S(AA7:AA8,AA10:AA12,AA14,AA16:AA17,AA19,AA21,AA23,AA25)</f>
        <v>0.17321776181539231</v>
      </c>
      <c r="AB43" s="2">
        <f t="shared" ref="AB43:AI43" si="43">_xlfn.STDEV.S(AB7:AB8,AB10:AB12,AB14,AB16:AB17,AB19,AB21,AB23,AB25)</f>
        <v>1.2494704907725327</v>
      </c>
      <c r="AC43" s="2">
        <f t="shared" si="43"/>
        <v>3.9163474263023933E-2</v>
      </c>
      <c r="AD43" s="2">
        <f t="shared" si="43"/>
        <v>3.9163474263023745E-2</v>
      </c>
      <c r="AE43" s="2">
        <f t="shared" si="43"/>
        <v>1.805296320179146E-2</v>
      </c>
      <c r="AF43" s="2">
        <f t="shared" si="43"/>
        <v>1.1691192803441523E-2</v>
      </c>
      <c r="AG43" s="2">
        <f t="shared" si="43"/>
        <v>1.255736651704215</v>
      </c>
      <c r="AH43" s="2">
        <f t="shared" si="43"/>
        <v>2.2087978356535727</v>
      </c>
      <c r="AI43" s="2">
        <f t="shared" si="43"/>
        <v>0.56795755139129966</v>
      </c>
      <c r="AJ43" s="2"/>
      <c r="AK43" s="2"/>
      <c r="AL43" s="2"/>
    </row>
    <row r="44" spans="7:54" x14ac:dyDescent="0.35">
      <c r="X44" s="104"/>
      <c r="Y44" s="13"/>
      <c r="Z44" s="49" t="s">
        <v>95</v>
      </c>
      <c r="AA44" s="2">
        <f>AA43/(SQRT(COUNT(AA7:AA8,AA10:AA12,AA14,AA16:AA17,AA19,AA21,AA23,AA25)))</f>
        <v>5.0003660706270617E-2</v>
      </c>
      <c r="AB44" s="2">
        <f t="shared" ref="AB44:AI44" si="44">AB43/(SQRT(COUNT(AB7:AB8,AB10:AB12,AB14,AB16:AB17,AB19,AB21,AB23,AB25)))</f>
        <v>0.36069106209600782</v>
      </c>
      <c r="AC44" s="2">
        <f t="shared" si="44"/>
        <v>1.1305521204078925E-2</v>
      </c>
      <c r="AD44" s="2">
        <f t="shared" si="44"/>
        <v>1.1305521204078871E-2</v>
      </c>
      <c r="AE44" s="2">
        <f t="shared" si="44"/>
        <v>5.2114415821123538E-3</v>
      </c>
      <c r="AF44" s="2">
        <f t="shared" si="44"/>
        <v>3.3749566561073895E-3</v>
      </c>
      <c r="AG44" s="2">
        <f t="shared" si="44"/>
        <v>0.36249994694635396</v>
      </c>
      <c r="AH44" s="2">
        <f t="shared" si="44"/>
        <v>0.63762501250002657</v>
      </c>
      <c r="AI44" s="2">
        <f t="shared" si="44"/>
        <v>0.1639552225920238</v>
      </c>
      <c r="AJ44" s="2"/>
      <c r="AK44" s="2"/>
      <c r="AL44" s="2"/>
    </row>
    <row r="45" spans="7:54" x14ac:dyDescent="0.35">
      <c r="Y45" s="2"/>
      <c r="Z45" s="49"/>
      <c r="AA45" s="2"/>
      <c r="AB45" s="2"/>
      <c r="AC45" s="2"/>
      <c r="AD45" s="2"/>
      <c r="AE45" s="2"/>
      <c r="AF45" s="2"/>
      <c r="AG45" s="2"/>
      <c r="AH45" s="2"/>
      <c r="AI45" s="2"/>
      <c r="AJ45" s="2"/>
      <c r="AK45" s="2"/>
      <c r="AL45" s="2"/>
    </row>
    <row r="46" spans="7:54" x14ac:dyDescent="0.35">
      <c r="Y46" s="2"/>
      <c r="Z46" s="49"/>
      <c r="AA46" s="2"/>
      <c r="AB46" s="2"/>
      <c r="AC46" s="2"/>
      <c r="AD46" s="2"/>
      <c r="AE46" s="2"/>
      <c r="AF46" s="2"/>
      <c r="AG46" s="2"/>
      <c r="AH46" s="2"/>
      <c r="AI46" s="2"/>
      <c r="AJ46" s="2"/>
      <c r="AK46" s="2"/>
      <c r="AL46" s="2"/>
    </row>
    <row r="47" spans="7:54" x14ac:dyDescent="0.35">
      <c r="G47" s="49"/>
      <c r="H47" s="2"/>
      <c r="I47" s="2"/>
      <c r="J47" s="2"/>
      <c r="K47" s="2"/>
      <c r="L47" s="2"/>
      <c r="M47" s="2"/>
      <c r="N47" s="2"/>
      <c r="O47" s="2"/>
      <c r="P47" s="2"/>
      <c r="Y47" s="2"/>
      <c r="Z47" s="49"/>
      <c r="AA47" s="2"/>
      <c r="AB47" s="2"/>
      <c r="AC47" s="2"/>
      <c r="AD47" s="2"/>
      <c r="AE47" s="2"/>
      <c r="AF47" s="2"/>
      <c r="AG47" s="2"/>
      <c r="AH47" s="2"/>
      <c r="AI47" s="2"/>
      <c r="AJ47" s="2"/>
      <c r="AK47" s="2"/>
      <c r="AL47" s="2"/>
    </row>
    <row r="48" spans="7:54" x14ac:dyDescent="0.35">
      <c r="AJ48" s="2"/>
      <c r="AK48" s="2"/>
      <c r="AL48" s="2"/>
    </row>
    <row r="49" spans="3:56" x14ac:dyDescent="0.35">
      <c r="AJ49" s="2"/>
      <c r="AK49" s="2"/>
      <c r="AL49" s="2"/>
    </row>
    <row r="50" spans="3:56" ht="18.5" x14ac:dyDescent="0.45">
      <c r="F50" s="1" t="s">
        <v>405</v>
      </c>
      <c r="G50" s="3"/>
      <c r="H50" s="3"/>
      <c r="I50" s="3"/>
      <c r="J50" s="3"/>
      <c r="K50" s="3"/>
      <c r="L50" s="3"/>
      <c r="M50" s="3"/>
      <c r="N50" s="3"/>
      <c r="O50" s="3"/>
      <c r="AJ50" s="2"/>
      <c r="AK50" s="2"/>
      <c r="AL50" s="2"/>
    </row>
    <row r="51" spans="3:56" ht="19" thickBot="1" x14ac:dyDescent="0.5">
      <c r="C51" s="204" t="s">
        <v>122</v>
      </c>
      <c r="D51" s="204" t="s">
        <v>406</v>
      </c>
      <c r="F51" s="9" t="s">
        <v>1</v>
      </c>
      <c r="G51" s="9" t="s">
        <v>2</v>
      </c>
      <c r="H51" s="9" t="s">
        <v>3</v>
      </c>
      <c r="I51" s="9" t="s">
        <v>4</v>
      </c>
      <c r="J51" s="9" t="s">
        <v>5</v>
      </c>
      <c r="K51" s="9" t="s">
        <v>6</v>
      </c>
      <c r="L51" s="9" t="s">
        <v>7</v>
      </c>
      <c r="M51" s="9" t="s">
        <v>8</v>
      </c>
      <c r="N51" s="9" t="s">
        <v>9</v>
      </c>
      <c r="O51" s="9" t="s">
        <v>10</v>
      </c>
      <c r="P51" s="44" t="s">
        <v>139</v>
      </c>
      <c r="R51" s="44" t="s">
        <v>138</v>
      </c>
      <c r="Y51" s="1" t="s">
        <v>91</v>
      </c>
      <c r="Z51" s="3"/>
      <c r="AA51" s="3"/>
      <c r="AB51" s="3"/>
      <c r="AC51" s="3"/>
      <c r="AD51" s="3"/>
      <c r="AE51" s="3"/>
      <c r="AF51" s="3"/>
      <c r="AG51" s="3"/>
      <c r="AH51" s="3"/>
      <c r="AL51" s="2"/>
      <c r="AR51" s="1" t="s">
        <v>625</v>
      </c>
      <c r="AS51" s="3"/>
      <c r="AT51" s="3"/>
      <c r="AU51" s="3"/>
      <c r="AV51" s="3"/>
      <c r="AW51" s="3"/>
      <c r="AX51" s="3"/>
      <c r="AY51" s="3"/>
      <c r="AZ51" s="3"/>
      <c r="BA51" s="3"/>
    </row>
    <row r="52" spans="3:56" ht="16" thickBot="1" x14ac:dyDescent="0.4">
      <c r="C52" s="2" t="s">
        <v>714</v>
      </c>
      <c r="D52" s="155">
        <v>4</v>
      </c>
      <c r="F52" s="2">
        <v>2.4510999999999998</v>
      </c>
      <c r="G52" s="2">
        <v>6.2073400000000003</v>
      </c>
      <c r="H52" s="2">
        <f>G52-F52</f>
        <v>3.7562400000000005</v>
      </c>
      <c r="I52" s="2">
        <f>F53-G52</f>
        <v>6.6456699999999991</v>
      </c>
      <c r="J52" s="2">
        <f>H52/N52</f>
        <v>0.361110603725662</v>
      </c>
      <c r="K52" s="2">
        <f>I52/N52</f>
        <v>0.63888939627433805</v>
      </c>
      <c r="L52" s="2">
        <f>1/H52</f>
        <v>0.26622367047898959</v>
      </c>
      <c r="M52" s="2">
        <f>1/N52</f>
        <v>9.6136190372729635E-2</v>
      </c>
      <c r="N52" s="2">
        <f>H52+I52</f>
        <v>10.401909999999999</v>
      </c>
      <c r="O52" s="2">
        <v>20</v>
      </c>
      <c r="P52">
        <f>O52/H52</f>
        <v>5.3244734095797916</v>
      </c>
      <c r="R52" t="s">
        <v>511</v>
      </c>
      <c r="V52" s="204" t="s">
        <v>122</v>
      </c>
      <c r="W52" s="204" t="s">
        <v>406</v>
      </c>
      <c r="Y52" s="9" t="s">
        <v>1</v>
      </c>
      <c r="Z52" s="9" t="s">
        <v>2</v>
      </c>
      <c r="AA52" s="9" t="s">
        <v>3</v>
      </c>
      <c r="AB52" s="9" t="s">
        <v>4</v>
      </c>
      <c r="AC52" s="9" t="s">
        <v>5</v>
      </c>
      <c r="AD52" s="9" t="s">
        <v>6</v>
      </c>
      <c r="AE52" s="9" t="s">
        <v>7</v>
      </c>
      <c r="AF52" s="9" t="s">
        <v>8</v>
      </c>
      <c r="AG52" s="9" t="s">
        <v>9</v>
      </c>
      <c r="AH52" s="9" t="s">
        <v>10</v>
      </c>
      <c r="AI52" s="44" t="s">
        <v>139</v>
      </c>
      <c r="AK52" s="44" t="s">
        <v>138</v>
      </c>
      <c r="AL52" s="2"/>
      <c r="AR52" s="9" t="s">
        <v>1</v>
      </c>
      <c r="AS52" s="9" t="s">
        <v>2</v>
      </c>
      <c r="AT52" s="9" t="s">
        <v>3</v>
      </c>
      <c r="AU52" s="9" t="s">
        <v>4</v>
      </c>
      <c r="AV52" s="9" t="s">
        <v>5</v>
      </c>
      <c r="AW52" s="9" t="s">
        <v>6</v>
      </c>
      <c r="AX52" s="9" t="s">
        <v>7</v>
      </c>
      <c r="AY52" s="9" t="s">
        <v>8</v>
      </c>
      <c r="AZ52" s="9" t="s">
        <v>9</v>
      </c>
      <c r="BA52" s="9" t="s">
        <v>10</v>
      </c>
      <c r="BB52" s="44" t="s">
        <v>139</v>
      </c>
      <c r="BD52" s="44" t="s">
        <v>138</v>
      </c>
    </row>
    <row r="53" spans="3:56" x14ac:dyDescent="0.35">
      <c r="C53" s="261" t="s">
        <v>32</v>
      </c>
      <c r="D53" s="155">
        <v>4</v>
      </c>
      <c r="F53" s="2">
        <v>12.853009999999999</v>
      </c>
      <c r="G53" s="2">
        <v>16.56381</v>
      </c>
      <c r="H53" s="2">
        <f t="shared" ref="H53:H75" si="45">G53-F53</f>
        <v>3.7108000000000008</v>
      </c>
      <c r="I53" s="2">
        <f t="shared" ref="I53:I74" si="46">F54-G53</f>
        <v>5.1250800000000005</v>
      </c>
      <c r="J53" s="2">
        <f t="shared" ref="J53:J74" si="47">H53/N53</f>
        <v>0.41996948804193812</v>
      </c>
      <c r="K53" s="2">
        <f t="shared" ref="K53:K74" si="48">I53/N53</f>
        <v>0.58003051195806188</v>
      </c>
      <c r="L53" s="2">
        <f t="shared" ref="L53:L74" si="49">1/H53</f>
        <v>0.26948366928964101</v>
      </c>
      <c r="M53" s="2">
        <f t="shared" ref="M53:M74" si="50">1/N53</f>
        <v>0.11317491862723349</v>
      </c>
      <c r="N53" s="2">
        <f t="shared" ref="N53:N74" si="51">H53+I53</f>
        <v>8.8358800000000013</v>
      </c>
      <c r="O53" s="2">
        <v>21</v>
      </c>
      <c r="P53">
        <f t="shared" ref="P53:P74" si="52">O53/H53</f>
        <v>5.6591570550824608</v>
      </c>
      <c r="W53" s="155">
        <v>-1</v>
      </c>
      <c r="Y53" s="2">
        <v>9.2710000000000001E-2</v>
      </c>
      <c r="Z53" s="2">
        <v>2.9712900000000002</v>
      </c>
      <c r="AA53" s="2">
        <f t="shared" ref="AA53:AA60" si="53">Z53-Y53</f>
        <v>2.8785800000000004</v>
      </c>
      <c r="AB53" s="2">
        <f t="shared" ref="AB53:AB59" si="54">Y54-Z53</f>
        <v>12.11101</v>
      </c>
      <c r="AC53" s="2">
        <f>AA53/AG53</f>
        <v>0.19203860812737375</v>
      </c>
      <c r="AD53" s="2">
        <f>AB53/AG53</f>
        <v>0.80796139187262628</v>
      </c>
      <c r="AE53" s="2">
        <f>1/AA53</f>
        <v>0.3473935065205761</v>
      </c>
      <c r="AF53" s="2">
        <f>1/AG53</f>
        <v>6.6712965464699167E-2</v>
      </c>
      <c r="AG53" s="2">
        <f>AA53+AB53</f>
        <v>14.98959</v>
      </c>
      <c r="AH53" s="2">
        <v>15</v>
      </c>
      <c r="AI53">
        <f>AH53/AA53</f>
        <v>5.2109025978086407</v>
      </c>
      <c r="AK53" t="s">
        <v>523</v>
      </c>
      <c r="AL53" s="2"/>
      <c r="AR53" s="46">
        <v>1.0599799999999999</v>
      </c>
      <c r="AS53" s="2">
        <v>4.6460600000000003</v>
      </c>
      <c r="AT53" s="2">
        <f t="shared" ref="AT53:AT69" si="55">AS53-AR53</f>
        <v>3.5860800000000004</v>
      </c>
      <c r="AU53" s="2">
        <f t="shared" ref="AU53:AU68" si="56">AR54-AS53</f>
        <v>4.7987400000000004</v>
      </c>
      <c r="AV53" s="2">
        <f>AT53/AZ53</f>
        <v>0.42768717754227281</v>
      </c>
      <c r="AW53" s="2">
        <f>AU53/AZ53</f>
        <v>0.57231282245772719</v>
      </c>
      <c r="AX53" s="2">
        <f>1/AT53</f>
        <v>0.2788560210592067</v>
      </c>
      <c r="AY53" s="2">
        <f>1/AZ53</f>
        <v>0.11926314458748069</v>
      </c>
      <c r="AZ53" s="2">
        <f>AT53+AU53</f>
        <v>8.3848200000000013</v>
      </c>
      <c r="BA53" s="2">
        <v>20</v>
      </c>
      <c r="BB53">
        <f>BA53/AT53</f>
        <v>5.5771204211841336</v>
      </c>
      <c r="BD53" t="s">
        <v>626</v>
      </c>
    </row>
    <row r="54" spans="3:56" x14ac:dyDescent="0.35">
      <c r="C54" s="261" t="s">
        <v>32</v>
      </c>
      <c r="D54" s="155">
        <v>4</v>
      </c>
      <c r="F54" s="13">
        <v>21.688890000000001</v>
      </c>
      <c r="G54" s="2">
        <v>26.181940000000001</v>
      </c>
      <c r="H54" s="2">
        <f t="shared" si="45"/>
        <v>4.4930500000000002</v>
      </c>
      <c r="I54" s="2">
        <f t="shared" si="46"/>
        <v>5.9043699999999966</v>
      </c>
      <c r="J54" s="2">
        <f t="shared" si="47"/>
        <v>0.43213124024998523</v>
      </c>
      <c r="K54" s="2">
        <f t="shared" si="48"/>
        <v>0.56786875975001472</v>
      </c>
      <c r="L54" s="2">
        <f t="shared" si="49"/>
        <v>0.22256596298728035</v>
      </c>
      <c r="M54" s="2">
        <f t="shared" si="50"/>
        <v>9.6177705623125762E-2</v>
      </c>
      <c r="N54" s="2">
        <f t="shared" si="51"/>
        <v>10.397419999999997</v>
      </c>
      <c r="O54" s="2">
        <v>24</v>
      </c>
      <c r="P54">
        <f t="shared" si="52"/>
        <v>5.3415831116947281</v>
      </c>
      <c r="V54" s="265"/>
      <c r="W54" s="155">
        <v>-1</v>
      </c>
      <c r="Y54" s="2">
        <v>15.0823</v>
      </c>
      <c r="Z54" s="2">
        <v>18.29982</v>
      </c>
      <c r="AA54" s="2">
        <f t="shared" si="53"/>
        <v>3.2175200000000004</v>
      </c>
      <c r="AB54" s="2">
        <f t="shared" si="54"/>
        <v>13.956480000000003</v>
      </c>
      <c r="AC54" s="2">
        <f t="shared" ref="AC54:AC59" si="57">AA54/AG54</f>
        <v>0.18734831722371026</v>
      </c>
      <c r="AD54" s="2">
        <f t="shared" ref="AD54:AD59" si="58">AB54/AG54</f>
        <v>0.81265168277628974</v>
      </c>
      <c r="AE54" s="2">
        <f t="shared" ref="AE54:AE59" si="59">1/AA54</f>
        <v>0.31079837887565576</v>
      </c>
      <c r="AF54" s="2">
        <f t="shared" ref="AF54:AF59" si="60">1/AG54</f>
        <v>5.822755327821124E-2</v>
      </c>
      <c r="AG54" s="2">
        <f t="shared" ref="AG54:AG59" si="61">AA54+AB54</f>
        <v>17.174000000000003</v>
      </c>
      <c r="AH54" s="2">
        <v>14</v>
      </c>
      <c r="AI54">
        <f t="shared" ref="AI54:AI59" si="62">AH54/AA54</f>
        <v>4.3511773042591804</v>
      </c>
      <c r="AL54" s="2"/>
      <c r="AQ54" s="144" t="s">
        <v>235</v>
      </c>
      <c r="AR54" s="91">
        <v>9.4448000000000008</v>
      </c>
      <c r="AS54" s="91">
        <v>12.27482</v>
      </c>
      <c r="AT54" s="91">
        <f t="shared" si="55"/>
        <v>2.8300199999999993</v>
      </c>
      <c r="AU54" s="91">
        <f t="shared" si="56"/>
        <v>12.609789999999998</v>
      </c>
      <c r="AV54" s="91">
        <f t="shared" ref="AV54:AV68" si="63">AT54/AZ54</f>
        <v>0.18329370633446912</v>
      </c>
      <c r="AW54" s="91">
        <f t="shared" ref="AW54:AW68" si="64">AU54/AZ54</f>
        <v>0.81670629366553082</v>
      </c>
      <c r="AX54" s="91">
        <f t="shared" ref="AX54:AX68" si="65">1/AT54</f>
        <v>0.35335439325517143</v>
      </c>
      <c r="AY54" s="91">
        <f t="shared" ref="AY54:AY68" si="66">1/AZ54</f>
        <v>6.4767636389307909E-2</v>
      </c>
      <c r="AZ54" s="91">
        <f t="shared" ref="AZ54:AZ68" si="67">AT54+AU54</f>
        <v>15.439809999999998</v>
      </c>
      <c r="BA54" s="91">
        <v>10</v>
      </c>
      <c r="BB54" s="144">
        <f t="shared" ref="BB54:BB69" si="68">BA54/AT54</f>
        <v>3.5335439325517144</v>
      </c>
    </row>
    <row r="55" spans="3:56" x14ac:dyDescent="0.35">
      <c r="C55" s="261" t="s">
        <v>32</v>
      </c>
      <c r="D55" s="155">
        <v>4</v>
      </c>
      <c r="F55" s="13">
        <v>32.086309999999997</v>
      </c>
      <c r="G55" s="2">
        <v>36.362349999999999</v>
      </c>
      <c r="H55" s="2">
        <f t="shared" si="45"/>
        <v>4.2760400000000018</v>
      </c>
      <c r="I55" s="2">
        <f t="shared" si="46"/>
        <v>6.3359400000000008</v>
      </c>
      <c r="J55" s="2">
        <f t="shared" si="47"/>
        <v>0.40294459657858389</v>
      </c>
      <c r="K55" s="2">
        <f t="shared" si="48"/>
        <v>0.59705540342141605</v>
      </c>
      <c r="L55" s="2">
        <f t="shared" si="49"/>
        <v>0.23386123609694942</v>
      </c>
      <c r="M55" s="2">
        <f t="shared" si="50"/>
        <v>9.4233121434454239E-2</v>
      </c>
      <c r="N55" s="2">
        <f t="shared" si="51"/>
        <v>10.611980000000003</v>
      </c>
      <c r="O55" s="2">
        <v>21</v>
      </c>
      <c r="P55">
        <f t="shared" si="52"/>
        <v>4.9110859580359376</v>
      </c>
      <c r="V55" s="265"/>
      <c r="W55" s="155">
        <v>-1</v>
      </c>
      <c r="Y55" s="13">
        <v>32.256300000000003</v>
      </c>
      <c r="Z55" s="2">
        <v>35.357419999999998</v>
      </c>
      <c r="AA55" s="2">
        <f t="shared" si="53"/>
        <v>3.1011199999999945</v>
      </c>
      <c r="AB55" s="2">
        <f t="shared" si="54"/>
        <v>9.4390800000000041</v>
      </c>
      <c r="AC55" s="2">
        <f t="shared" si="57"/>
        <v>0.24729430152629103</v>
      </c>
      <c r="AD55" s="2">
        <f t="shared" si="58"/>
        <v>0.75270569847370894</v>
      </c>
      <c r="AE55" s="2">
        <f t="shared" si="59"/>
        <v>0.32246414198741158</v>
      </c>
      <c r="AF55" s="2">
        <f t="shared" si="60"/>
        <v>7.9743544760051688E-2</v>
      </c>
      <c r="AG55" s="2">
        <f t="shared" si="61"/>
        <v>12.540199999999999</v>
      </c>
      <c r="AH55" s="2">
        <v>15</v>
      </c>
      <c r="AI55">
        <f t="shared" si="62"/>
        <v>4.8369621298111731</v>
      </c>
      <c r="AL55" s="2"/>
      <c r="AQ55" s="144" t="s">
        <v>235</v>
      </c>
      <c r="AR55" s="91">
        <v>24.884609999999999</v>
      </c>
      <c r="AS55" s="91">
        <v>28.40446</v>
      </c>
      <c r="AT55" s="91">
        <f t="shared" si="55"/>
        <v>3.5198500000000017</v>
      </c>
      <c r="AU55" s="91">
        <f t="shared" si="56"/>
        <v>25.021830000000001</v>
      </c>
      <c r="AV55" s="91">
        <f t="shared" si="63"/>
        <v>0.12332315406801567</v>
      </c>
      <c r="AW55" s="91">
        <f t="shared" si="64"/>
        <v>0.87667684593198436</v>
      </c>
      <c r="AX55" s="91">
        <f t="shared" si="65"/>
        <v>0.2841030157535121</v>
      </c>
      <c r="AY55" s="91">
        <f t="shared" si="66"/>
        <v>3.5036479982958252E-2</v>
      </c>
      <c r="AZ55" s="91">
        <f t="shared" si="67"/>
        <v>28.541680000000003</v>
      </c>
      <c r="BA55" s="91">
        <v>18</v>
      </c>
      <c r="BB55" s="144">
        <f t="shared" si="68"/>
        <v>5.1138542835632173</v>
      </c>
    </row>
    <row r="56" spans="3:56" x14ac:dyDescent="0.35">
      <c r="C56" s="261" t="s">
        <v>32</v>
      </c>
      <c r="D56" s="155">
        <v>4</v>
      </c>
      <c r="F56" s="13">
        <v>42.69829</v>
      </c>
      <c r="G56" s="2">
        <v>46.558109999999999</v>
      </c>
      <c r="H56" s="2">
        <f t="shared" si="45"/>
        <v>3.8598199999999991</v>
      </c>
      <c r="I56" s="2">
        <f t="shared" si="46"/>
        <v>6.8062299999999993</v>
      </c>
      <c r="J56" s="2">
        <f t="shared" si="47"/>
        <v>0.3618790461323545</v>
      </c>
      <c r="K56" s="2">
        <f t="shared" si="48"/>
        <v>0.63812095386764556</v>
      </c>
      <c r="L56" s="2">
        <f t="shared" si="49"/>
        <v>0.25907943893756707</v>
      </c>
      <c r="M56" s="2">
        <f t="shared" si="50"/>
        <v>9.3755420235232367E-2</v>
      </c>
      <c r="N56" s="2">
        <f t="shared" si="51"/>
        <v>10.666049999999998</v>
      </c>
      <c r="O56" s="2">
        <v>23</v>
      </c>
      <c r="P56">
        <f t="shared" si="52"/>
        <v>5.9588270955640432</v>
      </c>
      <c r="V56" s="265" t="s">
        <v>541</v>
      </c>
      <c r="W56" s="155">
        <v>-1</v>
      </c>
      <c r="Y56" s="13">
        <v>44.796500000000002</v>
      </c>
      <c r="Z56" s="2">
        <v>48.091299999999997</v>
      </c>
      <c r="AA56" s="2">
        <f t="shared" si="53"/>
        <v>3.2947999999999951</v>
      </c>
      <c r="AB56" s="2">
        <f t="shared" si="54"/>
        <v>14.975710000000007</v>
      </c>
      <c r="AC56" s="2">
        <f t="shared" si="57"/>
        <v>0.18033432016949691</v>
      </c>
      <c r="AD56" s="2">
        <f t="shared" si="58"/>
        <v>0.81966567983050309</v>
      </c>
      <c r="AE56" s="2">
        <f t="shared" si="59"/>
        <v>0.30350855894136258</v>
      </c>
      <c r="AF56" s="2">
        <f t="shared" si="60"/>
        <v>5.4733009642314305E-2</v>
      </c>
      <c r="AG56" s="2">
        <f t="shared" si="61"/>
        <v>18.270510000000002</v>
      </c>
      <c r="AH56" s="2">
        <v>15</v>
      </c>
      <c r="AI56">
        <f t="shared" si="62"/>
        <v>4.5526283841204389</v>
      </c>
      <c r="AL56" s="2"/>
      <c r="AQ56" s="144" t="s">
        <v>235</v>
      </c>
      <c r="AR56" s="91">
        <v>53.426290000000002</v>
      </c>
      <c r="AS56" s="91">
        <v>57.791379999999997</v>
      </c>
      <c r="AT56" s="91">
        <f t="shared" si="55"/>
        <v>4.365089999999995</v>
      </c>
      <c r="AU56" s="91">
        <f t="shared" si="56"/>
        <v>12.623330000000003</v>
      </c>
      <c r="AV56" s="91">
        <f t="shared" si="63"/>
        <v>0.25694502490519988</v>
      </c>
      <c r="AW56" s="91">
        <f t="shared" si="64"/>
        <v>0.74305497509480012</v>
      </c>
      <c r="AX56" s="91">
        <f t="shared" si="65"/>
        <v>0.22909035094350888</v>
      </c>
      <c r="AY56" s="91">
        <f t="shared" si="66"/>
        <v>5.8863625928720867E-2</v>
      </c>
      <c r="AZ56" s="91">
        <f t="shared" si="67"/>
        <v>16.988419999999998</v>
      </c>
      <c r="BA56" s="91">
        <v>27</v>
      </c>
      <c r="BB56" s="144">
        <f t="shared" si="68"/>
        <v>6.1854394754747393</v>
      </c>
    </row>
    <row r="57" spans="3:56" x14ac:dyDescent="0.35">
      <c r="C57" s="261" t="s">
        <v>32</v>
      </c>
      <c r="D57" s="155">
        <v>4</v>
      </c>
      <c r="F57" s="13">
        <v>53.364339999999999</v>
      </c>
      <c r="G57" s="2">
        <v>57.32911</v>
      </c>
      <c r="H57" s="2">
        <f t="shared" si="45"/>
        <v>3.9647700000000015</v>
      </c>
      <c r="I57" s="2">
        <f t="shared" si="46"/>
        <v>6.5242799999999974</v>
      </c>
      <c r="J57" s="2">
        <f t="shared" si="47"/>
        <v>0.37799133381955485</v>
      </c>
      <c r="K57" s="2">
        <f t="shared" si="48"/>
        <v>0.62200866618044515</v>
      </c>
      <c r="L57" s="2">
        <f t="shared" si="49"/>
        <v>0.25222144033575711</v>
      </c>
      <c r="M57" s="2">
        <f t="shared" si="50"/>
        <v>9.5337518650402089E-2</v>
      </c>
      <c r="N57" s="2">
        <f t="shared" si="51"/>
        <v>10.489049999999999</v>
      </c>
      <c r="O57" s="2">
        <v>22</v>
      </c>
      <c r="P57">
        <f t="shared" si="52"/>
        <v>5.5488716873866561</v>
      </c>
      <c r="V57" s="265"/>
      <c r="W57" s="155">
        <v>-1</v>
      </c>
      <c r="Y57" s="13">
        <v>63.067010000000003</v>
      </c>
      <c r="Z57" s="2">
        <v>65.985979999999998</v>
      </c>
      <c r="AA57" s="2">
        <f t="shared" si="53"/>
        <v>2.9189699999999945</v>
      </c>
      <c r="AB57" s="2">
        <f t="shared" si="54"/>
        <v>11.480490000000003</v>
      </c>
      <c r="AC57" s="2">
        <f t="shared" si="57"/>
        <v>0.20271385176944101</v>
      </c>
      <c r="AD57" s="2">
        <f t="shared" si="58"/>
        <v>0.79728614823055899</v>
      </c>
      <c r="AE57" s="2">
        <f t="shared" si="59"/>
        <v>0.34258659732714003</v>
      </c>
      <c r="AF57" s="2">
        <f t="shared" si="60"/>
        <v>6.9447048708771039E-2</v>
      </c>
      <c r="AG57" s="2">
        <f t="shared" si="61"/>
        <v>14.399459999999998</v>
      </c>
      <c r="AH57" s="2">
        <v>14</v>
      </c>
      <c r="AI57">
        <f t="shared" si="62"/>
        <v>4.7962123625799604</v>
      </c>
      <c r="AL57" s="2"/>
      <c r="AR57" s="13">
        <v>70.414709999999999</v>
      </c>
      <c r="AS57" s="2">
        <v>74.191869999999994</v>
      </c>
      <c r="AT57" s="2">
        <f t="shared" si="55"/>
        <v>3.777159999999995</v>
      </c>
      <c r="AU57" s="2">
        <f t="shared" si="56"/>
        <v>7.8297799999999995</v>
      </c>
      <c r="AV57" s="2">
        <f t="shared" si="63"/>
        <v>0.32542254892331629</v>
      </c>
      <c r="AW57" s="2">
        <f t="shared" si="64"/>
        <v>0.67457745107668377</v>
      </c>
      <c r="AX57" s="2">
        <f t="shared" si="65"/>
        <v>0.26474917663006103</v>
      </c>
      <c r="AY57" s="2">
        <f t="shared" si="66"/>
        <v>8.6155351884303746E-2</v>
      </c>
      <c r="AZ57" s="2">
        <f t="shared" si="67"/>
        <v>11.606939999999994</v>
      </c>
      <c r="BA57" s="2">
        <v>25</v>
      </c>
      <c r="BB57">
        <f t="shared" si="68"/>
        <v>6.6187294157515257</v>
      </c>
    </row>
    <row r="58" spans="3:56" x14ac:dyDescent="0.35">
      <c r="C58" s="261" t="s">
        <v>32</v>
      </c>
      <c r="D58" s="155">
        <v>4</v>
      </c>
      <c r="F58" s="13">
        <v>63.853389999999997</v>
      </c>
      <c r="G58" s="2">
        <v>66.624709999999993</v>
      </c>
      <c r="H58" s="2">
        <f t="shared" si="45"/>
        <v>2.7713199999999958</v>
      </c>
      <c r="I58" s="2">
        <f t="shared" si="46"/>
        <v>5.9701800000000134</v>
      </c>
      <c r="J58" s="2">
        <f t="shared" si="47"/>
        <v>0.31703025796487938</v>
      </c>
      <c r="K58" s="2">
        <f t="shared" si="48"/>
        <v>0.68296974203512062</v>
      </c>
      <c r="L58" s="2">
        <f t="shared" si="49"/>
        <v>0.36083887822409594</v>
      </c>
      <c r="M58" s="2">
        <f t="shared" si="50"/>
        <v>0.11439684264714282</v>
      </c>
      <c r="N58" s="2">
        <f t="shared" si="51"/>
        <v>8.7415000000000092</v>
      </c>
      <c r="O58" s="2">
        <v>17</v>
      </c>
      <c r="P58">
        <f t="shared" si="52"/>
        <v>6.1342609298096304</v>
      </c>
      <c r="V58" s="265"/>
      <c r="W58" s="155">
        <v>-1</v>
      </c>
      <c r="Y58" s="13">
        <v>77.466470000000001</v>
      </c>
      <c r="Z58" s="2">
        <v>80.651859999999999</v>
      </c>
      <c r="AA58" s="2">
        <f t="shared" si="53"/>
        <v>3.1853899999999982</v>
      </c>
      <c r="AB58" s="2">
        <f t="shared" si="54"/>
        <v>12.221819999999994</v>
      </c>
      <c r="AC58" s="2">
        <f t="shared" si="57"/>
        <v>0.20674671144224033</v>
      </c>
      <c r="AD58" s="2">
        <f t="shared" si="58"/>
        <v>0.79325328855775967</v>
      </c>
      <c r="AE58" s="2">
        <f t="shared" si="59"/>
        <v>0.31393330173071449</v>
      </c>
      <c r="AF58" s="2">
        <f t="shared" si="60"/>
        <v>6.4904677745029796E-2</v>
      </c>
      <c r="AG58" s="2">
        <f t="shared" si="61"/>
        <v>15.407209999999992</v>
      </c>
      <c r="AH58" s="2">
        <v>16</v>
      </c>
      <c r="AI58">
        <f t="shared" si="62"/>
        <v>5.0229328276914318</v>
      </c>
      <c r="AL58" s="2"/>
      <c r="AQ58" s="144" t="s">
        <v>235</v>
      </c>
      <c r="AR58" s="91">
        <v>82.021649999999994</v>
      </c>
      <c r="AS58" s="91">
        <v>85.797970000000007</v>
      </c>
      <c r="AT58" s="91">
        <f t="shared" si="55"/>
        <v>3.7763200000000126</v>
      </c>
      <c r="AU58" s="91">
        <f t="shared" si="56"/>
        <v>13.119979999999998</v>
      </c>
      <c r="AV58" s="91">
        <f t="shared" si="63"/>
        <v>0.22349981948710723</v>
      </c>
      <c r="AW58" s="91">
        <f t="shared" si="64"/>
        <v>0.77650018051289271</v>
      </c>
      <c r="AX58" s="91">
        <f t="shared" si="65"/>
        <v>0.26480806711295563</v>
      </c>
      <c r="AY58" s="91">
        <f t="shared" si="66"/>
        <v>5.9184555198475368E-2</v>
      </c>
      <c r="AZ58" s="91">
        <f t="shared" si="67"/>
        <v>16.896300000000011</v>
      </c>
      <c r="BA58" s="91">
        <v>24</v>
      </c>
      <c r="BB58" s="144">
        <f t="shared" si="68"/>
        <v>6.3553936107109354</v>
      </c>
    </row>
    <row r="59" spans="3:56" x14ac:dyDescent="0.35">
      <c r="C59" s="261" t="s">
        <v>32</v>
      </c>
      <c r="D59" s="155">
        <v>4</v>
      </c>
      <c r="F59" s="13">
        <v>72.594890000000007</v>
      </c>
      <c r="G59" s="2">
        <v>76.58099</v>
      </c>
      <c r="H59" s="2">
        <f t="shared" si="45"/>
        <v>3.9860999999999933</v>
      </c>
      <c r="I59" s="2">
        <f t="shared" si="46"/>
        <v>5.0462399999999974</v>
      </c>
      <c r="J59" s="2">
        <f t="shared" si="47"/>
        <v>0.44131421093537193</v>
      </c>
      <c r="K59" s="2">
        <f t="shared" si="48"/>
        <v>0.55868578906462807</v>
      </c>
      <c r="L59" s="2">
        <f t="shared" si="49"/>
        <v>0.25087177943353195</v>
      </c>
      <c r="M59" s="2">
        <f t="shared" si="50"/>
        <v>0.11071328138666182</v>
      </c>
      <c r="N59" s="2">
        <f t="shared" si="51"/>
        <v>9.0323399999999907</v>
      </c>
      <c r="O59" s="2">
        <v>22</v>
      </c>
      <c r="P59">
        <f t="shared" si="52"/>
        <v>5.5191791475377023</v>
      </c>
      <c r="V59" s="265"/>
      <c r="W59" s="155">
        <v>-1</v>
      </c>
      <c r="Y59" s="13">
        <v>92.873679999999993</v>
      </c>
      <c r="Z59" s="2">
        <v>94.963260000000005</v>
      </c>
      <c r="AA59" s="2">
        <f t="shared" si="53"/>
        <v>2.0895800000000122</v>
      </c>
      <c r="AB59" s="2">
        <f t="shared" si="54"/>
        <v>13.583129999999997</v>
      </c>
      <c r="AC59" s="2">
        <f t="shared" si="57"/>
        <v>0.13332601700663196</v>
      </c>
      <c r="AD59" s="2">
        <f t="shared" si="58"/>
        <v>0.86667398299336806</v>
      </c>
      <c r="AE59" s="2">
        <f t="shared" si="59"/>
        <v>0.47856507049263208</v>
      </c>
      <c r="AF59" s="2">
        <f t="shared" si="60"/>
        <v>6.38051747272807E-2</v>
      </c>
      <c r="AG59" s="2">
        <f t="shared" si="61"/>
        <v>15.672710000000009</v>
      </c>
      <c r="AH59" s="2">
        <v>11</v>
      </c>
      <c r="AI59">
        <f t="shared" si="62"/>
        <v>5.2642157754189531</v>
      </c>
      <c r="AL59" s="2"/>
      <c r="AR59" s="13">
        <v>98.917950000000005</v>
      </c>
      <c r="AS59" s="2">
        <v>103.38451000000001</v>
      </c>
      <c r="AT59" s="2">
        <f t="shared" si="55"/>
        <v>4.4665600000000012</v>
      </c>
      <c r="AU59" s="2">
        <f t="shared" si="56"/>
        <v>6.66995</v>
      </c>
      <c r="AV59" s="2">
        <f t="shared" si="63"/>
        <v>0.40107358589001407</v>
      </c>
      <c r="AW59" s="2">
        <f t="shared" si="64"/>
        <v>0.59892641410998593</v>
      </c>
      <c r="AX59" s="2">
        <f t="shared" si="65"/>
        <v>0.22388594354492042</v>
      </c>
      <c r="AY59" s="2">
        <f t="shared" si="66"/>
        <v>8.9794738207930477E-2</v>
      </c>
      <c r="AZ59" s="2">
        <f t="shared" si="67"/>
        <v>11.136510000000001</v>
      </c>
      <c r="BA59" s="2">
        <v>26</v>
      </c>
      <c r="BB59">
        <f t="shared" si="68"/>
        <v>5.8210345321679311</v>
      </c>
    </row>
    <row r="60" spans="3:56" x14ac:dyDescent="0.35">
      <c r="C60" s="261" t="s">
        <v>32</v>
      </c>
      <c r="D60" s="155">
        <v>4</v>
      </c>
      <c r="F60" s="13">
        <v>81.627229999999997</v>
      </c>
      <c r="G60" s="2">
        <v>85.357389999999995</v>
      </c>
      <c r="H60" s="2">
        <f t="shared" si="45"/>
        <v>3.7301599999999979</v>
      </c>
      <c r="I60" s="2">
        <f t="shared" si="46"/>
        <v>6.5707200000000086</v>
      </c>
      <c r="J60" s="2">
        <f t="shared" si="47"/>
        <v>0.36212051785866795</v>
      </c>
      <c r="K60" s="2">
        <f t="shared" si="48"/>
        <v>0.63787948214133205</v>
      </c>
      <c r="L60" s="2">
        <f t="shared" si="49"/>
        <v>0.268085015119995</v>
      </c>
      <c r="M60" s="2">
        <f t="shared" si="50"/>
        <v>9.7079084505401425E-2</v>
      </c>
      <c r="N60" s="2">
        <f t="shared" si="51"/>
        <v>10.300880000000006</v>
      </c>
      <c r="O60" s="2">
        <v>21</v>
      </c>
      <c r="P60">
        <f t="shared" si="52"/>
        <v>5.6297853175198949</v>
      </c>
      <c r="V60" s="265"/>
      <c r="W60" s="155">
        <v>-1</v>
      </c>
      <c r="Y60" s="13">
        <v>108.54639</v>
      </c>
      <c r="Z60" s="2">
        <v>111.53737</v>
      </c>
      <c r="AA60" s="2">
        <f t="shared" si="53"/>
        <v>2.9909799999999933</v>
      </c>
      <c r="AB60" s="2"/>
      <c r="AC60" s="2"/>
      <c r="AD60" s="2"/>
      <c r="AE60" s="2"/>
      <c r="AF60" s="2"/>
      <c r="AG60" s="2"/>
      <c r="AH60" s="2"/>
      <c r="AL60" s="2"/>
      <c r="AR60" s="13">
        <v>110.05446000000001</v>
      </c>
      <c r="AS60" s="2">
        <v>114.90372000000001</v>
      </c>
      <c r="AT60" s="2">
        <f t="shared" si="55"/>
        <v>4.849260000000001</v>
      </c>
      <c r="AU60" s="2">
        <f t="shared" si="56"/>
        <v>5.3875799999999998</v>
      </c>
      <c r="AV60" s="2">
        <f t="shared" si="63"/>
        <v>0.47370672981115269</v>
      </c>
      <c r="AW60" s="2">
        <f t="shared" si="64"/>
        <v>0.52629327018884731</v>
      </c>
      <c r="AX60" s="2">
        <f t="shared" si="65"/>
        <v>0.20621703105216049</v>
      </c>
      <c r="AY60" s="2">
        <f t="shared" si="66"/>
        <v>9.7686395411083884E-2</v>
      </c>
      <c r="AZ60" s="2">
        <f t="shared" si="67"/>
        <v>10.236840000000001</v>
      </c>
      <c r="BA60" s="2">
        <v>30</v>
      </c>
      <c r="BB60">
        <f t="shared" si="68"/>
        <v>6.1865109315648148</v>
      </c>
    </row>
    <row r="61" spans="3:56" x14ac:dyDescent="0.35">
      <c r="C61" s="261" t="s">
        <v>32</v>
      </c>
      <c r="D61" s="155">
        <v>4</v>
      </c>
      <c r="F61" s="13">
        <v>91.928110000000004</v>
      </c>
      <c r="G61" s="2">
        <v>95.922229999999999</v>
      </c>
      <c r="H61" s="2">
        <f t="shared" si="45"/>
        <v>3.9941199999999952</v>
      </c>
      <c r="I61" s="2">
        <f t="shared" si="46"/>
        <v>5.2272800000000075</v>
      </c>
      <c r="J61" s="2">
        <f t="shared" si="47"/>
        <v>0.43313596633916696</v>
      </c>
      <c r="K61" s="2">
        <f t="shared" si="48"/>
        <v>0.56686403366083304</v>
      </c>
      <c r="L61" s="2">
        <f t="shared" si="49"/>
        <v>0.25036804102030014</v>
      </c>
      <c r="M61" s="2">
        <f t="shared" si="50"/>
        <v>0.10844340338777189</v>
      </c>
      <c r="N61" s="2">
        <f t="shared" si="51"/>
        <v>9.2214000000000027</v>
      </c>
      <c r="O61" s="2">
        <v>21</v>
      </c>
      <c r="P61">
        <f t="shared" si="52"/>
        <v>5.2577288614263029</v>
      </c>
      <c r="W61" s="155"/>
      <c r="Y61" s="13"/>
      <c r="Z61" s="2"/>
      <c r="AA61" s="2"/>
      <c r="AB61" s="2"/>
      <c r="AC61" s="2"/>
      <c r="AD61" s="2"/>
      <c r="AE61" s="2"/>
      <c r="AF61" s="2"/>
      <c r="AG61" s="2"/>
      <c r="AH61" s="2"/>
      <c r="AL61" s="2"/>
      <c r="AQ61" s="144" t="s">
        <v>235</v>
      </c>
      <c r="AR61" s="91">
        <v>120.29130000000001</v>
      </c>
      <c r="AS61" s="91">
        <v>125.44625000000001</v>
      </c>
      <c r="AT61" s="91">
        <f t="shared" si="55"/>
        <v>5.1549499999999995</v>
      </c>
      <c r="AU61" s="91">
        <f t="shared" si="56"/>
        <v>9.3278899999999823</v>
      </c>
      <c r="AV61" s="91">
        <f t="shared" si="63"/>
        <v>0.35593502379367625</v>
      </c>
      <c r="AW61" s="91">
        <f t="shared" si="64"/>
        <v>0.64406497620632375</v>
      </c>
      <c r="AX61" s="91">
        <f t="shared" si="65"/>
        <v>0.19398830250535895</v>
      </c>
      <c r="AY61" s="91">
        <f t="shared" si="66"/>
        <v>6.9047231067939807E-2</v>
      </c>
      <c r="AZ61" s="91">
        <f t="shared" si="67"/>
        <v>14.482839999999982</v>
      </c>
      <c r="BA61" s="91">
        <v>27</v>
      </c>
      <c r="BB61" s="144">
        <f t="shared" si="68"/>
        <v>5.2376841676446917</v>
      </c>
      <c r="BD61" t="s">
        <v>627</v>
      </c>
    </row>
    <row r="62" spans="3:56" x14ac:dyDescent="0.35">
      <c r="C62" s="261" t="s">
        <v>32</v>
      </c>
      <c r="D62" s="155">
        <v>4</v>
      </c>
      <c r="F62" s="13">
        <v>101.14951000000001</v>
      </c>
      <c r="G62" s="2">
        <v>105.10145</v>
      </c>
      <c r="H62" s="2">
        <f t="shared" si="45"/>
        <v>3.9519399999999933</v>
      </c>
      <c r="I62" s="2">
        <f t="shared" si="46"/>
        <v>5.0542200000000008</v>
      </c>
      <c r="J62" s="2">
        <f t="shared" si="47"/>
        <v>0.43880410741092718</v>
      </c>
      <c r="K62" s="2">
        <f t="shared" si="48"/>
        <v>0.56119589258907288</v>
      </c>
      <c r="L62" s="2">
        <f t="shared" si="49"/>
        <v>0.25304027895160397</v>
      </c>
      <c r="M62" s="2">
        <f t="shared" si="50"/>
        <v>0.1110351137443706</v>
      </c>
      <c r="N62" s="2">
        <f t="shared" si="51"/>
        <v>9.0061599999999942</v>
      </c>
      <c r="O62" s="2">
        <v>21</v>
      </c>
      <c r="P62">
        <f t="shared" si="52"/>
        <v>5.3138458579836829</v>
      </c>
      <c r="W62" s="155"/>
      <c r="Y62" s="13"/>
      <c r="Z62" s="2"/>
      <c r="AA62" s="2"/>
      <c r="AB62" s="2"/>
      <c r="AC62" s="2"/>
      <c r="AD62" s="2"/>
      <c r="AE62" s="2"/>
      <c r="AF62" s="2"/>
      <c r="AG62" s="2"/>
      <c r="AH62" s="2"/>
      <c r="AL62" s="2"/>
      <c r="AR62" s="13">
        <v>134.77413999999999</v>
      </c>
      <c r="AS62" s="2">
        <v>141.72883999999999</v>
      </c>
      <c r="AT62" s="2">
        <f t="shared" si="55"/>
        <v>6.9547000000000025</v>
      </c>
      <c r="AU62" s="2">
        <f t="shared" si="56"/>
        <v>4.7238600000000019</v>
      </c>
      <c r="AV62" s="2">
        <f t="shared" si="63"/>
        <v>0.59551006288446517</v>
      </c>
      <c r="AW62" s="2">
        <f t="shared" si="64"/>
        <v>0.40448993711553483</v>
      </c>
      <c r="AX62" s="2">
        <f t="shared" si="65"/>
        <v>0.14378765439199384</v>
      </c>
      <c r="AY62" s="2">
        <f t="shared" si="66"/>
        <v>8.5626995108986012E-2</v>
      </c>
      <c r="AZ62" s="2">
        <f t="shared" si="67"/>
        <v>11.678560000000004</v>
      </c>
      <c r="BA62" s="2">
        <v>36</v>
      </c>
      <c r="BB62">
        <f t="shared" si="68"/>
        <v>5.1763555581117791</v>
      </c>
    </row>
    <row r="63" spans="3:56" ht="16" thickBot="1" x14ac:dyDescent="0.4">
      <c r="C63" s="261" t="s">
        <v>32</v>
      </c>
      <c r="D63" s="155">
        <v>4</v>
      </c>
      <c r="F63" s="13">
        <v>110.15567</v>
      </c>
      <c r="G63" s="2">
        <v>114.28453</v>
      </c>
      <c r="H63" s="2">
        <f t="shared" si="45"/>
        <v>4.1288600000000031</v>
      </c>
      <c r="I63" s="2">
        <f t="shared" si="46"/>
        <v>5.7619100000000003</v>
      </c>
      <c r="J63" s="2">
        <f t="shared" si="47"/>
        <v>0.41744576003688305</v>
      </c>
      <c r="K63" s="2">
        <f t="shared" si="48"/>
        <v>0.58255423996311695</v>
      </c>
      <c r="L63" s="2">
        <f t="shared" si="49"/>
        <v>0.24219760418129926</v>
      </c>
      <c r="M63" s="2">
        <f t="shared" si="50"/>
        <v>0.10110436295657463</v>
      </c>
      <c r="N63" s="2">
        <f t="shared" si="51"/>
        <v>9.8907700000000034</v>
      </c>
      <c r="O63" s="2">
        <v>21</v>
      </c>
      <c r="P63">
        <f t="shared" si="52"/>
        <v>5.0861496878072847</v>
      </c>
      <c r="W63" s="155"/>
      <c r="X63" s="104" t="s">
        <v>470</v>
      </c>
      <c r="Y63" s="13"/>
      <c r="Z63" s="13"/>
      <c r="AA63" s="9" t="s">
        <v>3</v>
      </c>
      <c r="AB63" s="9" t="s">
        <v>4</v>
      </c>
      <c r="AC63" s="9" t="s">
        <v>5</v>
      </c>
      <c r="AD63" s="9" t="s">
        <v>6</v>
      </c>
      <c r="AE63" s="9" t="s">
        <v>7</v>
      </c>
      <c r="AF63" s="9" t="s">
        <v>8</v>
      </c>
      <c r="AG63" s="9" t="s">
        <v>9</v>
      </c>
      <c r="AH63" s="9" t="s">
        <v>10</v>
      </c>
      <c r="AI63" s="44" t="s">
        <v>139</v>
      </c>
      <c r="AL63" s="2"/>
      <c r="AQ63" s="144" t="s">
        <v>235</v>
      </c>
      <c r="AR63" s="91">
        <v>146.45269999999999</v>
      </c>
      <c r="AS63" s="91">
        <v>150.32570999999999</v>
      </c>
      <c r="AT63" s="91">
        <f t="shared" si="55"/>
        <v>3.8730099999999936</v>
      </c>
      <c r="AU63" s="91">
        <f t="shared" si="56"/>
        <v>15.318630000000013</v>
      </c>
      <c r="AV63" s="91">
        <f t="shared" si="63"/>
        <v>0.20180714102598798</v>
      </c>
      <c r="AW63" s="91">
        <f t="shared" si="64"/>
        <v>0.79819285897401204</v>
      </c>
      <c r="AX63" s="91">
        <f t="shared" si="65"/>
        <v>0.25819711283988467</v>
      </c>
      <c r="AY63" s="91">
        <f t="shared" si="66"/>
        <v>5.210602116338154E-2</v>
      </c>
      <c r="AZ63" s="91">
        <f t="shared" si="67"/>
        <v>19.191640000000007</v>
      </c>
      <c r="BA63" s="91">
        <v>11</v>
      </c>
      <c r="BB63" s="144">
        <f t="shared" si="68"/>
        <v>2.840168241238731</v>
      </c>
    </row>
    <row r="64" spans="3:56" x14ac:dyDescent="0.35">
      <c r="C64" s="261" t="s">
        <v>32</v>
      </c>
      <c r="D64" s="155">
        <v>0</v>
      </c>
      <c r="F64" s="13">
        <v>120.04644</v>
      </c>
      <c r="G64" s="2">
        <v>122.73231</v>
      </c>
      <c r="H64" s="2">
        <f t="shared" si="45"/>
        <v>2.6858699999999942</v>
      </c>
      <c r="I64" s="2">
        <f t="shared" si="46"/>
        <v>8.1261699999999877</v>
      </c>
      <c r="J64" s="2">
        <f t="shared" si="47"/>
        <v>0.24841473024517099</v>
      </c>
      <c r="K64" s="2">
        <f t="shared" si="48"/>
        <v>0.75158526975482898</v>
      </c>
      <c r="L64" s="2">
        <f t="shared" si="49"/>
        <v>0.37231883896093337</v>
      </c>
      <c r="M64" s="2">
        <f t="shared" si="50"/>
        <v>9.2489483945675535E-2</v>
      </c>
      <c r="N64" s="2">
        <f t="shared" si="51"/>
        <v>10.812039999999982</v>
      </c>
      <c r="O64" s="2">
        <v>12</v>
      </c>
      <c r="P64">
        <f t="shared" si="52"/>
        <v>4.4678260675312007</v>
      </c>
      <c r="R64" t="s">
        <v>512</v>
      </c>
      <c r="W64" s="155"/>
      <c r="Y64" s="13"/>
      <c r="Z64" s="49" t="s">
        <v>77</v>
      </c>
      <c r="AA64" s="13">
        <f t="shared" ref="AA64:AI64" si="69">AVERAGE(AA53:AA59)</f>
        <v>2.9551371428571422</v>
      </c>
      <c r="AB64" s="13">
        <f t="shared" si="69"/>
        <v>12.538245714285717</v>
      </c>
      <c r="AC64" s="13">
        <f t="shared" si="69"/>
        <v>0.19282887532359788</v>
      </c>
      <c r="AD64" s="13">
        <f t="shared" si="69"/>
        <v>0.80717112467640206</v>
      </c>
      <c r="AE64" s="13">
        <f t="shared" si="69"/>
        <v>0.34560707941078467</v>
      </c>
      <c r="AF64" s="13">
        <f t="shared" si="69"/>
        <v>6.5367710618051134E-2</v>
      </c>
      <c r="AG64" s="13">
        <f t="shared" si="69"/>
        <v>15.493382857142858</v>
      </c>
      <c r="AH64" s="13">
        <f t="shared" si="69"/>
        <v>14.285714285714286</v>
      </c>
      <c r="AI64" s="13">
        <f t="shared" si="69"/>
        <v>4.8621473402413971</v>
      </c>
      <c r="AL64" s="2"/>
      <c r="AQ64" s="144" t="s">
        <v>235</v>
      </c>
      <c r="AR64" s="91">
        <v>165.64434</v>
      </c>
      <c r="AS64" s="91">
        <v>170.74581000000001</v>
      </c>
      <c r="AT64" s="91">
        <f t="shared" si="55"/>
        <v>5.1014700000000062</v>
      </c>
      <c r="AU64" s="91">
        <f t="shared" si="56"/>
        <v>9.8849400000000003</v>
      </c>
      <c r="AV64" s="91">
        <f t="shared" si="63"/>
        <v>0.34040640820583473</v>
      </c>
      <c r="AW64" s="91">
        <f t="shared" si="64"/>
        <v>0.65959359179416521</v>
      </c>
      <c r="AX64" s="91">
        <f t="shared" si="65"/>
        <v>0.19602193093363263</v>
      </c>
      <c r="AY64" s="91">
        <f t="shared" si="66"/>
        <v>6.6727121438690085E-2</v>
      </c>
      <c r="AZ64" s="91">
        <f t="shared" si="67"/>
        <v>14.986410000000006</v>
      </c>
      <c r="BA64" s="91">
        <v>37</v>
      </c>
      <c r="BB64" s="144">
        <f t="shared" si="68"/>
        <v>7.252811444544407</v>
      </c>
    </row>
    <row r="65" spans="3:54" x14ac:dyDescent="0.35">
      <c r="C65" s="261" t="s">
        <v>32</v>
      </c>
      <c r="D65" s="155">
        <v>0</v>
      </c>
      <c r="F65" s="13">
        <v>130.85847999999999</v>
      </c>
      <c r="G65" s="2">
        <v>133.71091999999999</v>
      </c>
      <c r="H65" s="2">
        <f t="shared" si="45"/>
        <v>2.8524400000000014</v>
      </c>
      <c r="I65" s="2">
        <f t="shared" si="46"/>
        <v>6.9868000000000166</v>
      </c>
      <c r="J65" s="2">
        <f t="shared" si="47"/>
        <v>0.28990450481947755</v>
      </c>
      <c r="K65" s="2">
        <f t="shared" si="48"/>
        <v>0.71009549518052251</v>
      </c>
      <c r="L65" s="2">
        <f t="shared" si="49"/>
        <v>0.35057704982401017</v>
      </c>
      <c r="M65" s="2">
        <f t="shared" si="50"/>
        <v>0.10163386603030297</v>
      </c>
      <c r="N65" s="2">
        <f t="shared" si="51"/>
        <v>9.839240000000018</v>
      </c>
      <c r="O65" s="2">
        <v>18</v>
      </c>
      <c r="P65">
        <f t="shared" si="52"/>
        <v>6.310386896832183</v>
      </c>
      <c r="W65" s="155"/>
      <c r="X65" s="104"/>
      <c r="Y65" s="13"/>
      <c r="Z65" s="49" t="s">
        <v>94</v>
      </c>
      <c r="AA65" s="2">
        <f t="shared" ref="AA65:AI65" si="70">_xlfn.STDEV.S(AA53:AA59)</f>
        <v>0.41127874143595244</v>
      </c>
      <c r="AB65" s="2">
        <f t="shared" si="70"/>
        <v>1.8280561017909691</v>
      </c>
      <c r="AC65" s="2">
        <f t="shared" si="70"/>
        <v>3.4120537971327324E-2</v>
      </c>
      <c r="AD65" s="2">
        <f t="shared" si="70"/>
        <v>3.4120537971327337E-2</v>
      </c>
      <c r="AE65" s="2">
        <f t="shared" si="70"/>
        <v>6.0845291286075548E-2</v>
      </c>
      <c r="AF65" s="2">
        <f t="shared" si="70"/>
        <v>8.0813565968384776E-3</v>
      </c>
      <c r="AG65" s="2">
        <f t="shared" si="70"/>
        <v>1.8595813409628228</v>
      </c>
      <c r="AH65" s="2">
        <f t="shared" si="70"/>
        <v>1.6035674514745413</v>
      </c>
      <c r="AI65" s="2">
        <f t="shared" si="70"/>
        <v>0.33441872634841407</v>
      </c>
      <c r="AR65" s="13">
        <v>180.63075000000001</v>
      </c>
      <c r="AS65">
        <v>186.00825</v>
      </c>
      <c r="AT65" s="2">
        <f t="shared" si="55"/>
        <v>5.3774999999999977</v>
      </c>
      <c r="AU65" s="2">
        <f t="shared" si="56"/>
        <v>5.3163199999999904</v>
      </c>
      <c r="AV65" s="2">
        <f t="shared" si="63"/>
        <v>0.50286053066163483</v>
      </c>
      <c r="AW65" s="2">
        <f t="shared" si="64"/>
        <v>0.49713946933836517</v>
      </c>
      <c r="AX65" s="2">
        <f t="shared" si="65"/>
        <v>0.18596001859600195</v>
      </c>
      <c r="AY65" s="2">
        <f t="shared" si="66"/>
        <v>9.351195363303301E-2</v>
      </c>
      <c r="AZ65" s="2">
        <f t="shared" si="67"/>
        <v>10.693819999999988</v>
      </c>
      <c r="BA65" s="2">
        <v>37</v>
      </c>
      <c r="BB65">
        <f t="shared" si="68"/>
        <v>6.880520688052072</v>
      </c>
    </row>
    <row r="66" spans="3:54" x14ac:dyDescent="0.35">
      <c r="C66" s="261" t="s">
        <v>32</v>
      </c>
      <c r="D66" s="155">
        <v>0</v>
      </c>
      <c r="F66" s="13">
        <v>140.69772</v>
      </c>
      <c r="G66" s="2">
        <v>143.64422999999999</v>
      </c>
      <c r="H66" s="2">
        <f t="shared" si="45"/>
        <v>2.9465099999999893</v>
      </c>
      <c r="I66" s="2">
        <f t="shared" si="46"/>
        <v>6.8883399999999995</v>
      </c>
      <c r="J66" s="2">
        <f t="shared" si="47"/>
        <v>0.29959887542768754</v>
      </c>
      <c r="K66" s="2">
        <f t="shared" si="48"/>
        <v>0.70040112457231252</v>
      </c>
      <c r="L66" s="2">
        <f t="shared" si="49"/>
        <v>0.33938456003882683</v>
      </c>
      <c r="M66" s="2">
        <f t="shared" si="50"/>
        <v>0.10167923252515301</v>
      </c>
      <c r="N66" s="2">
        <f t="shared" si="51"/>
        <v>9.8348499999999888</v>
      </c>
      <c r="O66" s="2">
        <v>19</v>
      </c>
      <c r="P66">
        <f t="shared" si="52"/>
        <v>6.4483066407377096</v>
      </c>
      <c r="W66" s="155"/>
      <c r="X66" s="104"/>
      <c r="Y66" s="13"/>
      <c r="Z66" s="49" t="s">
        <v>95</v>
      </c>
      <c r="AA66" s="2">
        <f t="shared" ref="AA66:AI66" si="71">AA65/(SQRT(COUNT(AA53:AA59)))</f>
        <v>0.15544875276673797</v>
      </c>
      <c r="AB66" s="2">
        <f t="shared" si="71"/>
        <v>0.69094026114472584</v>
      </c>
      <c r="AC66" s="2">
        <f t="shared" si="71"/>
        <v>1.2896351153124059E-2</v>
      </c>
      <c r="AD66" s="2">
        <f t="shared" si="71"/>
        <v>1.2896351153124064E-2</v>
      </c>
      <c r="AE66" s="2">
        <f t="shared" si="71"/>
        <v>2.299735845603447E-2</v>
      </c>
      <c r="AF66" s="2">
        <f t="shared" si="71"/>
        <v>3.0544656873236968E-3</v>
      </c>
      <c r="AG66" s="2">
        <f t="shared" si="71"/>
        <v>0.70285568155480538</v>
      </c>
      <c r="AH66" s="2">
        <f t="shared" si="71"/>
        <v>0.60609152673132449</v>
      </c>
      <c r="AI66" s="2">
        <f t="shared" si="71"/>
        <v>0.12639839766869529</v>
      </c>
      <c r="AQ66" s="144" t="s">
        <v>235</v>
      </c>
      <c r="AR66" s="91">
        <v>191.32456999999999</v>
      </c>
      <c r="AS66" s="144">
        <v>197.33774</v>
      </c>
      <c r="AT66" s="91">
        <f t="shared" si="55"/>
        <v>6.0131700000000023</v>
      </c>
      <c r="AU66" s="91">
        <f t="shared" si="56"/>
        <v>9.6244200000000149</v>
      </c>
      <c r="AV66" s="91">
        <f t="shared" si="63"/>
        <v>0.38453303865877003</v>
      </c>
      <c r="AW66" s="91">
        <f t="shared" si="64"/>
        <v>0.61546696134122991</v>
      </c>
      <c r="AX66" s="91">
        <f t="shared" si="65"/>
        <v>0.16630163457876621</v>
      </c>
      <c r="AY66" s="91">
        <f t="shared" si="66"/>
        <v>6.3948472878493354E-2</v>
      </c>
      <c r="AZ66" s="91">
        <f t="shared" si="67"/>
        <v>15.637590000000017</v>
      </c>
      <c r="BA66" s="91">
        <v>35</v>
      </c>
      <c r="BB66" s="144">
        <f t="shared" si="68"/>
        <v>5.8205572102568173</v>
      </c>
    </row>
    <row r="67" spans="3:54" x14ac:dyDescent="0.35">
      <c r="C67" s="261" t="s">
        <v>32</v>
      </c>
      <c r="D67" s="155">
        <v>0</v>
      </c>
      <c r="F67" s="13">
        <v>150.53256999999999</v>
      </c>
      <c r="G67" s="2">
        <v>153.40631999999999</v>
      </c>
      <c r="H67" s="2">
        <f t="shared" si="45"/>
        <v>2.8737500000000011</v>
      </c>
      <c r="I67" s="2">
        <f t="shared" si="46"/>
        <v>7.0246500000000083</v>
      </c>
      <c r="J67" s="2">
        <f t="shared" si="47"/>
        <v>0.29032469894124285</v>
      </c>
      <c r="K67" s="2">
        <f t="shared" si="48"/>
        <v>0.70967530105875709</v>
      </c>
      <c r="L67" s="2">
        <f t="shared" si="49"/>
        <v>0.34797738147020429</v>
      </c>
      <c r="M67" s="2">
        <f t="shared" si="50"/>
        <v>0.10102642851369908</v>
      </c>
      <c r="N67" s="2">
        <f t="shared" si="51"/>
        <v>9.8984000000000094</v>
      </c>
      <c r="O67" s="2">
        <v>17</v>
      </c>
      <c r="P67">
        <f t="shared" si="52"/>
        <v>5.9156154849934728</v>
      </c>
      <c r="W67" s="155"/>
      <c r="Y67" s="13"/>
      <c r="Z67" s="2"/>
      <c r="AA67" s="2"/>
      <c r="AB67" s="2"/>
      <c r="AC67" s="2"/>
      <c r="AD67" s="2"/>
      <c r="AE67" s="2"/>
      <c r="AF67" s="2"/>
      <c r="AG67" s="2"/>
      <c r="AH67" s="2"/>
      <c r="AQ67" s="144" t="s">
        <v>235</v>
      </c>
      <c r="AR67" s="91">
        <v>206.96216000000001</v>
      </c>
      <c r="AS67" s="144">
        <v>214.26238000000001</v>
      </c>
      <c r="AT67" s="91">
        <f t="shared" si="55"/>
        <v>7.3002199999999959</v>
      </c>
      <c r="AU67" s="91">
        <f t="shared" si="56"/>
        <v>10.791290000000004</v>
      </c>
      <c r="AV67" s="91">
        <f t="shared" si="63"/>
        <v>0.40351634551234233</v>
      </c>
      <c r="AW67" s="91">
        <f t="shared" si="64"/>
        <v>0.59648365448765772</v>
      </c>
      <c r="AX67" s="91">
        <f t="shared" si="65"/>
        <v>0.13698217313998765</v>
      </c>
      <c r="AY67" s="91">
        <f t="shared" si="66"/>
        <v>5.5274545905786746E-2</v>
      </c>
      <c r="AZ67" s="91">
        <f t="shared" si="67"/>
        <v>18.09151</v>
      </c>
      <c r="BA67" s="91">
        <v>38</v>
      </c>
      <c r="BB67" s="144">
        <f t="shared" si="68"/>
        <v>5.2053225793195299</v>
      </c>
    </row>
    <row r="68" spans="3:54" x14ac:dyDescent="0.35">
      <c r="C68" s="261" t="s">
        <v>32</v>
      </c>
      <c r="D68" s="155">
        <v>0</v>
      </c>
      <c r="F68" s="13">
        <v>160.43097</v>
      </c>
      <c r="G68" s="13">
        <v>163.45983000000001</v>
      </c>
      <c r="H68" s="2">
        <f t="shared" si="45"/>
        <v>3.0288600000000088</v>
      </c>
      <c r="I68" s="2">
        <f t="shared" si="46"/>
        <v>6.4461299999999824</v>
      </c>
      <c r="J68" s="2">
        <f t="shared" si="47"/>
        <v>0.3196689389645806</v>
      </c>
      <c r="K68" s="2">
        <f t="shared" si="48"/>
        <v>0.6803310610354194</v>
      </c>
      <c r="L68" s="2">
        <f t="shared" si="49"/>
        <v>0.33015722086857668</v>
      </c>
      <c r="M68" s="2">
        <f t="shared" si="50"/>
        <v>0.1055410084865526</v>
      </c>
      <c r="N68" s="2">
        <f t="shared" si="51"/>
        <v>9.4749899999999911</v>
      </c>
      <c r="O68" s="2">
        <v>18</v>
      </c>
      <c r="P68">
        <f t="shared" si="52"/>
        <v>5.9428299756343801</v>
      </c>
      <c r="W68" s="155"/>
      <c r="Y68" s="13"/>
      <c r="Z68" s="2"/>
      <c r="AA68" s="2"/>
      <c r="AB68" s="2"/>
      <c r="AC68" s="2"/>
      <c r="AD68" s="2"/>
      <c r="AE68" s="2"/>
      <c r="AF68" s="2"/>
      <c r="AG68" s="2"/>
      <c r="AH68" s="2"/>
      <c r="AR68" s="13">
        <v>225.05367000000001</v>
      </c>
      <c r="AS68" s="13">
        <v>231.45303999999999</v>
      </c>
      <c r="AT68" s="2">
        <f t="shared" si="55"/>
        <v>6.3993699999999762</v>
      </c>
      <c r="AU68" s="2">
        <f t="shared" si="56"/>
        <v>4.2355500000000177</v>
      </c>
      <c r="AV68" s="2">
        <f t="shared" si="63"/>
        <v>0.6017318418944364</v>
      </c>
      <c r="AW68" s="2">
        <f t="shared" si="64"/>
        <v>0.39826815810556354</v>
      </c>
      <c r="AX68" s="2">
        <f t="shared" si="65"/>
        <v>0.15626538237357798</v>
      </c>
      <c r="AY68" s="2">
        <f t="shared" si="66"/>
        <v>9.4029856359991476E-2</v>
      </c>
      <c r="AZ68" s="2">
        <f t="shared" si="67"/>
        <v>10.634919999999994</v>
      </c>
      <c r="BA68" s="2">
        <v>35</v>
      </c>
      <c r="BB68">
        <f t="shared" si="68"/>
        <v>5.469288383075229</v>
      </c>
    </row>
    <row r="69" spans="3:54" x14ac:dyDescent="0.35">
      <c r="C69" s="261" t="s">
        <v>32</v>
      </c>
      <c r="D69" s="155">
        <v>0</v>
      </c>
      <c r="F69" s="13">
        <v>169.90595999999999</v>
      </c>
      <c r="G69" s="13">
        <v>174.24208999999999</v>
      </c>
      <c r="H69" s="2">
        <f t="shared" si="45"/>
        <v>4.3361299999999972</v>
      </c>
      <c r="I69" s="2">
        <f t="shared" si="46"/>
        <v>7.069420000000008</v>
      </c>
      <c r="J69" s="2">
        <f t="shared" si="47"/>
        <v>0.3801771944360417</v>
      </c>
      <c r="K69" s="2">
        <f t="shared" si="48"/>
        <v>0.6198228055639583</v>
      </c>
      <c r="L69" s="2">
        <f t="shared" si="49"/>
        <v>0.23062039191629419</v>
      </c>
      <c r="M69" s="2">
        <f t="shared" si="50"/>
        <v>8.76766135784771E-2</v>
      </c>
      <c r="N69" s="2">
        <f t="shared" si="51"/>
        <v>11.405550000000005</v>
      </c>
      <c r="O69" s="2">
        <v>21</v>
      </c>
      <c r="P69">
        <f t="shared" si="52"/>
        <v>4.8430282302421777</v>
      </c>
      <c r="W69" s="155"/>
      <c r="AA69" s="2"/>
      <c r="AB69" s="2"/>
      <c r="AC69" s="2"/>
      <c r="AD69" s="2"/>
      <c r="AE69" s="2"/>
      <c r="AF69" s="2"/>
      <c r="AG69" s="2"/>
      <c r="AH69" s="2"/>
      <c r="AR69" s="13">
        <v>235.68859</v>
      </c>
      <c r="AS69">
        <v>239.89804000000001</v>
      </c>
      <c r="AT69" s="2">
        <f t="shared" si="55"/>
        <v>4.2094500000000039</v>
      </c>
      <c r="AU69" s="2"/>
      <c r="AV69" s="2"/>
      <c r="AW69" s="2"/>
      <c r="AX69" s="2"/>
      <c r="AY69" s="2"/>
      <c r="AZ69" s="2"/>
      <c r="BA69" s="2">
        <v>23</v>
      </c>
      <c r="BB69">
        <f t="shared" si="68"/>
        <v>5.4638967085961294</v>
      </c>
    </row>
    <row r="70" spans="3:54" x14ac:dyDescent="0.35">
      <c r="C70" s="261" t="s">
        <v>32</v>
      </c>
      <c r="D70" s="155">
        <v>0</v>
      </c>
      <c r="F70" s="13">
        <v>181.31151</v>
      </c>
      <c r="G70" s="13">
        <v>184.46324999999999</v>
      </c>
      <c r="H70" s="2">
        <f t="shared" si="45"/>
        <v>3.1517399999999895</v>
      </c>
      <c r="I70" s="2">
        <f t="shared" si="46"/>
        <v>6.5521500000000117</v>
      </c>
      <c r="J70" s="2">
        <f t="shared" si="47"/>
        <v>0.32479139808880658</v>
      </c>
      <c r="K70" s="2">
        <f t="shared" si="48"/>
        <v>0.67520860191119347</v>
      </c>
      <c r="L70" s="2">
        <f t="shared" si="49"/>
        <v>0.31728505523932915</v>
      </c>
      <c r="M70" s="2">
        <f t="shared" si="50"/>
        <v>0.10305145668386594</v>
      </c>
      <c r="N70" s="2">
        <f t="shared" si="51"/>
        <v>9.7038900000000012</v>
      </c>
      <c r="O70" s="2">
        <v>19</v>
      </c>
      <c r="P70">
        <f t="shared" si="52"/>
        <v>6.0284160495472543</v>
      </c>
      <c r="AR70" s="13"/>
      <c r="AT70" s="2"/>
      <c r="AU70" s="2"/>
      <c r="AV70" s="2"/>
      <c r="AW70" s="2"/>
      <c r="AX70" s="2"/>
      <c r="AY70" s="2"/>
      <c r="AZ70" s="2"/>
      <c r="BA70" s="2"/>
    </row>
    <row r="71" spans="3:54" x14ac:dyDescent="0.35">
      <c r="C71" s="261" t="s">
        <v>32</v>
      </c>
      <c r="D71" s="155">
        <v>0</v>
      </c>
      <c r="F71" s="13">
        <v>191.0154</v>
      </c>
      <c r="G71" s="13">
        <v>194.00452999999999</v>
      </c>
      <c r="H71" s="2">
        <f t="shared" si="45"/>
        <v>2.9891299999999887</v>
      </c>
      <c r="I71" s="2">
        <f t="shared" si="46"/>
        <v>8.365949999999998</v>
      </c>
      <c r="J71" s="2">
        <f t="shared" si="47"/>
        <v>0.26324165043310943</v>
      </c>
      <c r="K71" s="2">
        <f t="shared" si="48"/>
        <v>0.73675834956689057</v>
      </c>
      <c r="L71" s="2">
        <f t="shared" si="49"/>
        <v>0.33454550320661991</v>
      </c>
      <c r="M71" s="2">
        <f t="shared" si="50"/>
        <v>8.8066310409085732E-2</v>
      </c>
      <c r="N71" s="2">
        <f t="shared" si="51"/>
        <v>11.355079999999987</v>
      </c>
      <c r="O71" s="2">
        <v>18</v>
      </c>
      <c r="P71">
        <f t="shared" si="52"/>
        <v>6.0218190577191582</v>
      </c>
      <c r="AR71" s="13"/>
      <c r="AT71" s="2"/>
      <c r="AU71" s="2"/>
      <c r="AV71" s="2"/>
      <c r="AW71" s="2"/>
      <c r="AX71" s="2"/>
      <c r="AY71" s="2"/>
      <c r="AZ71" s="2"/>
      <c r="BA71" s="2"/>
    </row>
    <row r="72" spans="3:54" ht="18.5" x14ac:dyDescent="0.45">
      <c r="C72" s="261" t="s">
        <v>32</v>
      </c>
      <c r="D72" s="155">
        <v>0</v>
      </c>
      <c r="F72" s="13">
        <v>202.37047999999999</v>
      </c>
      <c r="G72" s="13">
        <v>205.23972000000001</v>
      </c>
      <c r="H72" s="2">
        <f t="shared" si="45"/>
        <v>2.8692400000000191</v>
      </c>
      <c r="I72" s="2">
        <f t="shared" si="46"/>
        <v>8.5207699999999988</v>
      </c>
      <c r="J72" s="2">
        <f t="shared" si="47"/>
        <v>0.25190847066859595</v>
      </c>
      <c r="K72" s="2">
        <f t="shared" si="48"/>
        <v>0.74809152933140399</v>
      </c>
      <c r="L72" s="2">
        <f t="shared" si="49"/>
        <v>0.34852434791094272</v>
      </c>
      <c r="M72" s="2">
        <f t="shared" si="50"/>
        <v>8.7796235473015252E-2</v>
      </c>
      <c r="N72" s="2">
        <f t="shared" si="51"/>
        <v>11.390010000000018</v>
      </c>
      <c r="O72" s="2">
        <v>16</v>
      </c>
      <c r="P72">
        <f t="shared" si="52"/>
        <v>5.5763895665750836</v>
      </c>
      <c r="Y72" s="1" t="s">
        <v>91</v>
      </c>
      <c r="Z72" s="3"/>
      <c r="AA72" s="3"/>
      <c r="AB72" s="3"/>
      <c r="AC72" s="3"/>
      <c r="AD72" s="3"/>
      <c r="AE72" s="3"/>
      <c r="AF72" s="3"/>
      <c r="AG72" s="3"/>
      <c r="AH72" s="3"/>
      <c r="AR72" s="13"/>
      <c r="AT72" s="2"/>
      <c r="AU72" s="2"/>
      <c r="AV72" s="2"/>
      <c r="AW72" s="2"/>
      <c r="AX72" s="2"/>
      <c r="AY72" s="2"/>
      <c r="AZ72" s="2"/>
    </row>
    <row r="73" spans="3:54" ht="16" thickBot="1" x14ac:dyDescent="0.4">
      <c r="C73" s="261" t="s">
        <v>32</v>
      </c>
      <c r="D73" s="155">
        <v>0</v>
      </c>
      <c r="F73" s="13">
        <v>213.76049</v>
      </c>
      <c r="G73" s="13">
        <v>216.46187</v>
      </c>
      <c r="H73" s="2">
        <f t="shared" si="45"/>
        <v>2.7013800000000003</v>
      </c>
      <c r="I73" s="2">
        <f t="shared" si="46"/>
        <v>7.1351200000000006</v>
      </c>
      <c r="J73" s="2">
        <f t="shared" si="47"/>
        <v>0.2746281705891323</v>
      </c>
      <c r="K73" s="2">
        <f t="shared" si="48"/>
        <v>0.72537182941086764</v>
      </c>
      <c r="L73" s="2">
        <f t="shared" si="49"/>
        <v>0.3701811666629648</v>
      </c>
      <c r="M73" s="2">
        <f t="shared" si="50"/>
        <v>0.10166217658720073</v>
      </c>
      <c r="N73" s="2">
        <f t="shared" si="51"/>
        <v>9.8365000000000009</v>
      </c>
      <c r="O73" s="2">
        <v>17</v>
      </c>
      <c r="P73">
        <f t="shared" si="52"/>
        <v>6.2930798332704017</v>
      </c>
      <c r="V73" s="204" t="s">
        <v>122</v>
      </c>
      <c r="W73" s="204" t="s">
        <v>406</v>
      </c>
      <c r="Y73" s="9" t="s">
        <v>1</v>
      </c>
      <c r="Z73" s="9" t="s">
        <v>2</v>
      </c>
      <c r="AA73" s="9" t="s">
        <v>3</v>
      </c>
      <c r="AB73" s="9" t="s">
        <v>4</v>
      </c>
      <c r="AC73" s="9" t="s">
        <v>5</v>
      </c>
      <c r="AD73" s="9" t="s">
        <v>6</v>
      </c>
      <c r="AE73" s="9" t="s">
        <v>7</v>
      </c>
      <c r="AF73" s="9" t="s">
        <v>8</v>
      </c>
      <c r="AG73" s="9" t="s">
        <v>9</v>
      </c>
      <c r="AH73" s="9" t="s">
        <v>10</v>
      </c>
      <c r="AI73" s="44" t="s">
        <v>139</v>
      </c>
      <c r="AK73" s="44" t="s">
        <v>138</v>
      </c>
      <c r="AR73" s="13"/>
      <c r="AT73" s="2"/>
      <c r="AU73" s="2"/>
      <c r="AV73" s="2"/>
      <c r="AW73" s="2"/>
      <c r="AX73" s="2"/>
      <c r="AY73" s="2"/>
      <c r="AZ73" s="2"/>
    </row>
    <row r="74" spans="3:54" x14ac:dyDescent="0.35">
      <c r="C74" s="261" t="s">
        <v>32</v>
      </c>
      <c r="D74" s="155">
        <v>0</v>
      </c>
      <c r="F74" s="13">
        <v>223.59699000000001</v>
      </c>
      <c r="G74" s="13">
        <v>226.36819</v>
      </c>
      <c r="H74" s="2">
        <f t="shared" si="45"/>
        <v>2.7711999999999932</v>
      </c>
      <c r="I74" s="2">
        <f t="shared" si="46"/>
        <v>6.8536900000000003</v>
      </c>
      <c r="J74" s="2">
        <f t="shared" si="47"/>
        <v>0.2879201736331527</v>
      </c>
      <c r="K74" s="2">
        <f t="shared" si="48"/>
        <v>0.7120798263668473</v>
      </c>
      <c r="L74" s="2">
        <f t="shared" si="49"/>
        <v>0.36085450346420411</v>
      </c>
      <c r="M74" s="2">
        <f t="shared" si="50"/>
        <v>0.10389729129371875</v>
      </c>
      <c r="N74" s="2">
        <f t="shared" si="51"/>
        <v>9.6248899999999935</v>
      </c>
      <c r="O74" s="2">
        <v>17</v>
      </c>
      <c r="P74">
        <f t="shared" si="52"/>
        <v>6.1345265588914701</v>
      </c>
      <c r="W74" s="155">
        <v>-2</v>
      </c>
      <c r="Y74" s="2">
        <v>6.9570000000000007E-2</v>
      </c>
      <c r="Z74" s="2">
        <v>2.53965</v>
      </c>
      <c r="AA74" s="2">
        <f>Z74-Y74</f>
        <v>2.4700799999999998</v>
      </c>
      <c r="AB74" s="2">
        <f>Y75-Z74</f>
        <v>8.6039499999999993</v>
      </c>
      <c r="AC74" s="2">
        <f>AA74/AG74</f>
        <v>0.22305159007154579</v>
      </c>
      <c r="AD74" s="2">
        <f>AB74/AG74</f>
        <v>0.77694840992845426</v>
      </c>
      <c r="AE74" s="2">
        <f>1/AA74</f>
        <v>0.40484518720041457</v>
      </c>
      <c r="AF74" s="2">
        <f>1/AG74</f>
        <v>9.0301362737865085E-2</v>
      </c>
      <c r="AG74" s="2">
        <f>AA74+AB74</f>
        <v>11.074029999999999</v>
      </c>
      <c r="AH74" s="2">
        <v>15</v>
      </c>
      <c r="AI74">
        <f>AH74/AA74</f>
        <v>6.0726778080062189</v>
      </c>
      <c r="AK74" t="s">
        <v>527</v>
      </c>
      <c r="AR74" s="13"/>
      <c r="AT74" s="2"/>
      <c r="AU74" s="2"/>
      <c r="AV74" s="2"/>
      <c r="AW74" s="2"/>
      <c r="AX74" s="2"/>
      <c r="AY74" s="2"/>
      <c r="AZ74" s="2"/>
    </row>
    <row r="75" spans="3:54" ht="16" thickBot="1" x14ac:dyDescent="0.4">
      <c r="C75" s="261" t="s">
        <v>32</v>
      </c>
      <c r="F75" s="13">
        <v>233.22188</v>
      </c>
      <c r="G75">
        <v>236.07008999999999</v>
      </c>
      <c r="H75" s="2">
        <f t="shared" si="45"/>
        <v>2.8482099999999946</v>
      </c>
      <c r="I75" s="2"/>
      <c r="J75" s="2"/>
      <c r="K75" s="2"/>
      <c r="L75" s="2"/>
      <c r="M75" s="2"/>
      <c r="N75" s="2"/>
      <c r="O75" s="2"/>
      <c r="V75" s="265"/>
      <c r="W75" s="155">
        <v>-2</v>
      </c>
      <c r="Y75" s="2">
        <v>11.143599999999999</v>
      </c>
      <c r="Z75" s="2">
        <v>14.606529999999999</v>
      </c>
      <c r="AA75" s="2">
        <f t="shared" ref="AA75:AA94" si="72">Z75-Y75</f>
        <v>3.4629300000000001</v>
      </c>
      <c r="AB75" s="2">
        <f t="shared" ref="AB75:AB93" si="73">Y76-Z75</f>
        <v>8.5661000000000023</v>
      </c>
      <c r="AC75" s="2">
        <f t="shared" ref="AC75:AC93" si="74">AA75/AG75</f>
        <v>0.28788106771701455</v>
      </c>
      <c r="AD75" s="2">
        <f t="shared" ref="AD75:AD93" si="75">AB75/AG75</f>
        <v>0.71211893228298551</v>
      </c>
      <c r="AE75" s="2">
        <f t="shared" ref="AE75:AE93" si="76">1/AA75</f>
        <v>0.28877280222239549</v>
      </c>
      <c r="AF75" s="2">
        <f t="shared" ref="AF75:AF93" si="77">1/AG75</f>
        <v>8.3132222631417479E-2</v>
      </c>
      <c r="AG75" s="2">
        <f t="shared" ref="AG75:AG93" si="78">AA75+AB75</f>
        <v>12.029030000000002</v>
      </c>
      <c r="AH75" s="2">
        <v>19</v>
      </c>
      <c r="AI75">
        <f t="shared" ref="AI75:AI93" si="79">AH75/AA75</f>
        <v>5.4866832422255145</v>
      </c>
      <c r="AQ75" s="104" t="s">
        <v>125</v>
      </c>
      <c r="AS75" s="13"/>
      <c r="AT75" s="9" t="s">
        <v>3</v>
      </c>
      <c r="AU75" s="9" t="s">
        <v>4</v>
      </c>
      <c r="AV75" s="9" t="s">
        <v>5</v>
      </c>
      <c r="AW75" s="9" t="s">
        <v>6</v>
      </c>
      <c r="AX75" s="9" t="s">
        <v>7</v>
      </c>
      <c r="AY75" s="9" t="s">
        <v>8</v>
      </c>
      <c r="AZ75" s="9" t="s">
        <v>9</v>
      </c>
      <c r="BA75" s="9" t="s">
        <v>10</v>
      </c>
      <c r="BB75" s="44" t="s">
        <v>139</v>
      </c>
    </row>
    <row r="76" spans="3:54" ht="16" thickBot="1" x14ac:dyDescent="0.4">
      <c r="C76" s="261" t="s">
        <v>326</v>
      </c>
      <c r="F76" s="13"/>
      <c r="G76" s="13"/>
      <c r="H76" s="9" t="s">
        <v>3</v>
      </c>
      <c r="I76" s="9" t="s">
        <v>4</v>
      </c>
      <c r="J76" s="9" t="s">
        <v>5</v>
      </c>
      <c r="K76" s="9" t="s">
        <v>6</v>
      </c>
      <c r="L76" s="9" t="s">
        <v>7</v>
      </c>
      <c r="M76" s="9" t="s">
        <v>8</v>
      </c>
      <c r="N76" s="9" t="s">
        <v>9</v>
      </c>
      <c r="O76" s="9" t="s">
        <v>10</v>
      </c>
      <c r="P76" s="44" t="s">
        <v>139</v>
      </c>
      <c r="V76" s="265"/>
      <c r="W76" s="155">
        <v>-2</v>
      </c>
      <c r="Y76" s="13">
        <v>23.172630000000002</v>
      </c>
      <c r="Z76" s="2">
        <v>26.621549999999999</v>
      </c>
      <c r="AA76" s="2">
        <f t="shared" si="72"/>
        <v>3.4489199999999975</v>
      </c>
      <c r="AB76" s="2">
        <f t="shared" si="73"/>
        <v>8.4952400000000026</v>
      </c>
      <c r="AC76" s="2">
        <f t="shared" si="74"/>
        <v>0.2887536670640713</v>
      </c>
      <c r="AD76" s="2">
        <f t="shared" si="75"/>
        <v>0.71124633293592876</v>
      </c>
      <c r="AE76" s="2">
        <f t="shared" si="76"/>
        <v>0.28994583811743985</v>
      </c>
      <c r="AF76" s="2">
        <f t="shared" si="77"/>
        <v>8.3722924006376334E-2</v>
      </c>
      <c r="AG76" s="2">
        <f t="shared" si="78"/>
        <v>11.94416</v>
      </c>
      <c r="AH76" s="2">
        <v>18</v>
      </c>
      <c r="AI76">
        <f t="shared" si="79"/>
        <v>5.219025086113918</v>
      </c>
      <c r="AS76" s="49" t="s">
        <v>77</v>
      </c>
      <c r="AT76" s="13">
        <f>AVERAGE(AT54:AT56,AT58,AT61,AT63:AT64,AT66:AT67)</f>
        <v>4.6593444444444456</v>
      </c>
      <c r="AU76" s="13">
        <f t="shared" ref="AU76:BB76" si="80">AVERAGE(AU54:AU56,AU58,AU61,AU63:AU64,AU66:AU67)</f>
        <v>13.1469</v>
      </c>
      <c r="AV76" s="13">
        <f t="shared" si="80"/>
        <v>0.27480662911015596</v>
      </c>
      <c r="AW76" s="13">
        <f t="shared" si="80"/>
        <v>0.72519337088984404</v>
      </c>
      <c r="AX76" s="13">
        <f t="shared" si="80"/>
        <v>0.23142744234030868</v>
      </c>
      <c r="AY76" s="13">
        <f t="shared" si="80"/>
        <v>5.8328409994861552E-2</v>
      </c>
      <c r="AZ76" s="13">
        <f t="shared" si="80"/>
        <v>17.806244444444445</v>
      </c>
      <c r="BA76" s="13">
        <f t="shared" si="80"/>
        <v>25.222222222222221</v>
      </c>
      <c r="BB76" s="13">
        <f t="shared" si="80"/>
        <v>5.2827527717005314</v>
      </c>
    </row>
    <row r="77" spans="3:54" x14ac:dyDescent="0.35">
      <c r="E77" s="104" t="s">
        <v>447</v>
      </c>
      <c r="F77" s="13"/>
      <c r="G77" s="49" t="s">
        <v>77</v>
      </c>
      <c r="H77" s="13">
        <f>AVERAGE(H52:H63)</f>
        <v>3.885268333333332</v>
      </c>
      <c r="I77" s="13">
        <f t="shared" ref="I77:P77" si="81">AVERAGE(I52:I63)</f>
        <v>5.9143433333333348</v>
      </c>
      <c r="J77" s="13">
        <f t="shared" si="81"/>
        <v>0.39715642742449792</v>
      </c>
      <c r="K77" s="13">
        <f t="shared" si="81"/>
        <v>0.60284357257550203</v>
      </c>
      <c r="L77" s="13">
        <f t="shared" si="81"/>
        <v>0.26073641792141755</v>
      </c>
      <c r="M77" s="13">
        <f t="shared" si="81"/>
        <v>0.10263224696425839</v>
      </c>
      <c r="N77" s="13">
        <f t="shared" si="81"/>
        <v>9.7996116666666673</v>
      </c>
      <c r="O77" s="13">
        <f t="shared" si="81"/>
        <v>21.166666666666668</v>
      </c>
      <c r="P77" s="13">
        <f t="shared" si="81"/>
        <v>5.4737456766190098</v>
      </c>
      <c r="V77" s="265" t="s">
        <v>541</v>
      </c>
      <c r="W77" s="155">
        <v>-2</v>
      </c>
      <c r="Y77" s="13">
        <v>35.116790000000002</v>
      </c>
      <c r="Z77" s="2">
        <v>38.409990000000001</v>
      </c>
      <c r="AA77" s="2">
        <f t="shared" si="72"/>
        <v>3.2931999999999988</v>
      </c>
      <c r="AB77" s="2">
        <f t="shared" si="73"/>
        <v>7.508420000000001</v>
      </c>
      <c r="AC77" s="2">
        <f t="shared" si="74"/>
        <v>0.30488019389684129</v>
      </c>
      <c r="AD77" s="2">
        <f t="shared" si="75"/>
        <v>0.69511980610315871</v>
      </c>
      <c r="AE77" s="2">
        <f t="shared" si="76"/>
        <v>0.30365601846228601</v>
      </c>
      <c r="AF77" s="2">
        <f t="shared" si="77"/>
        <v>9.2578705786724586E-2</v>
      </c>
      <c r="AG77" s="2">
        <f t="shared" si="78"/>
        <v>10.80162</v>
      </c>
      <c r="AH77" s="2">
        <v>18</v>
      </c>
      <c r="AI77">
        <f t="shared" si="79"/>
        <v>5.4658083323211484</v>
      </c>
      <c r="AS77" s="49" t="s">
        <v>94</v>
      </c>
      <c r="AT77" s="2">
        <f>_xlfn.STDEV.S(AT54:AT56,AT58,AT61,AT63:AT64,AT66:AT67)</f>
        <v>1.3864379911495404</v>
      </c>
      <c r="AU77" s="2">
        <f t="shared" ref="AU77:BB77" si="82">_xlfn.STDEV.S(AU54:AU56,AU58,AU61,AU63:AU64,AU66:AU67)</f>
        <v>4.8666684616557792</v>
      </c>
      <c r="AV77" s="2">
        <f t="shared" si="82"/>
        <v>9.9431781020268201E-2</v>
      </c>
      <c r="AW77" s="2">
        <f t="shared" si="82"/>
        <v>9.943178102026827E-2</v>
      </c>
      <c r="AX77" s="2">
        <f t="shared" si="82"/>
        <v>6.6420779786274323E-2</v>
      </c>
      <c r="AY77" s="2">
        <f t="shared" si="82"/>
        <v>1.0308114979943397E-2</v>
      </c>
      <c r="AZ77" s="2">
        <f t="shared" si="82"/>
        <v>4.301840696705062</v>
      </c>
      <c r="BA77" s="2">
        <f t="shared" si="82"/>
        <v>10.556725081408745</v>
      </c>
      <c r="BB77" s="2">
        <f t="shared" si="82"/>
        <v>1.378326453880228</v>
      </c>
    </row>
    <row r="78" spans="3:54" x14ac:dyDescent="0.35">
      <c r="E78" s="104"/>
      <c r="F78" s="13"/>
      <c r="G78" s="49" t="s">
        <v>94</v>
      </c>
      <c r="H78" s="2">
        <f>_xlfn.STDEV.S(H52:H63)</f>
        <v>0.41853574829035867</v>
      </c>
      <c r="I78" s="2">
        <f t="shared" ref="I78:P78" si="83">_xlfn.STDEV.S(I52:I63)</f>
        <v>0.66917579127180149</v>
      </c>
      <c r="J78" s="2">
        <f t="shared" si="83"/>
        <v>4.0143620959912266E-2</v>
      </c>
      <c r="K78" s="2">
        <f t="shared" si="83"/>
        <v>4.014362095991228E-2</v>
      </c>
      <c r="L78" s="2">
        <f t="shared" si="83"/>
        <v>3.4434880227591336E-2</v>
      </c>
      <c r="M78" s="2">
        <f t="shared" si="83"/>
        <v>8.1954687337778311E-3</v>
      </c>
      <c r="N78" s="2">
        <f t="shared" si="83"/>
        <v>0.76673332410159323</v>
      </c>
      <c r="O78" s="2">
        <f t="shared" si="83"/>
        <v>1.6966991126265962</v>
      </c>
      <c r="P78" s="2">
        <f t="shared" si="83"/>
        <v>0.34599201625732445</v>
      </c>
      <c r="V78" s="265"/>
      <c r="W78" s="155">
        <v>-2</v>
      </c>
      <c r="Y78" s="13">
        <v>45.918410000000002</v>
      </c>
      <c r="Z78" s="2">
        <v>50.259709999999998</v>
      </c>
      <c r="AA78" s="2">
        <f t="shared" si="72"/>
        <v>4.3412999999999968</v>
      </c>
      <c r="AB78" s="2">
        <f t="shared" si="73"/>
        <v>8.8455200000000005</v>
      </c>
      <c r="AC78" s="2">
        <f t="shared" si="74"/>
        <v>0.32921507990554189</v>
      </c>
      <c r="AD78" s="2">
        <f t="shared" si="75"/>
        <v>0.67078492009445811</v>
      </c>
      <c r="AE78" s="2">
        <f t="shared" si="76"/>
        <v>0.23034574896920293</v>
      </c>
      <c r="AF78" s="2">
        <f t="shared" si="77"/>
        <v>7.5833294152798034E-2</v>
      </c>
      <c r="AG78" s="2">
        <f t="shared" si="78"/>
        <v>13.186819999999997</v>
      </c>
      <c r="AH78" s="2">
        <v>21</v>
      </c>
      <c r="AI78">
        <f t="shared" si="79"/>
        <v>4.8372607283532618</v>
      </c>
      <c r="AS78" s="49" t="s">
        <v>95</v>
      </c>
      <c r="AT78" s="2">
        <f>AT77/(SQRT(COUNT(AT54:AT56,AT58,AT61,AT63:AT64,AT66:AT67)))</f>
        <v>0.46214599704984677</v>
      </c>
      <c r="AU78" s="2">
        <f t="shared" ref="AU78:BB78" si="84">AU77/(SQRT(COUNT(AU54:AU56,AU58,AU61,AU63:AU64,AU66:AU67)))</f>
        <v>1.6222228205519265</v>
      </c>
      <c r="AV78" s="2">
        <f t="shared" si="84"/>
        <v>3.3143927006756065E-2</v>
      </c>
      <c r="AW78" s="2">
        <f t="shared" si="84"/>
        <v>3.3143927006756092E-2</v>
      </c>
      <c r="AX78" s="2">
        <f t="shared" si="84"/>
        <v>2.2140259928758108E-2</v>
      </c>
      <c r="AY78" s="2">
        <f t="shared" si="84"/>
        <v>3.4360383266477993E-3</v>
      </c>
      <c r="AZ78" s="2">
        <f t="shared" si="84"/>
        <v>1.4339468989016873</v>
      </c>
      <c r="BA78" s="2">
        <f t="shared" si="84"/>
        <v>3.5189083604695814</v>
      </c>
      <c r="BB78" s="2">
        <f t="shared" si="84"/>
        <v>0.45944215129340932</v>
      </c>
    </row>
    <row r="79" spans="3:54" x14ac:dyDescent="0.35">
      <c r="E79" s="104"/>
      <c r="F79" s="13"/>
      <c r="G79" s="49" t="s">
        <v>95</v>
      </c>
      <c r="H79" s="2">
        <f>H78/(SQRT(COUNT(H52:H63)))</f>
        <v>0.12082086347046002</v>
      </c>
      <c r="I79" s="2">
        <f t="shared" ref="I79:P79" si="85">I78/(SQRT(COUNT(I52:I63)))</f>
        <v>0.19317441161297771</v>
      </c>
      <c r="J79" s="2">
        <f t="shared" si="85"/>
        <v>1.1588465183725825E-2</v>
      </c>
      <c r="K79" s="2">
        <f t="shared" si="85"/>
        <v>1.1588465183725829E-2</v>
      </c>
      <c r="L79" s="2">
        <f t="shared" si="85"/>
        <v>9.9404936844561895E-3</v>
      </c>
      <c r="M79" s="2">
        <f t="shared" si="85"/>
        <v>2.3658280397908962E-3</v>
      </c>
      <c r="N79" s="2">
        <f t="shared" si="85"/>
        <v>0.22133684553335572</v>
      </c>
      <c r="O79" s="2">
        <f t="shared" si="85"/>
        <v>0.48979484470438228</v>
      </c>
      <c r="P79" s="2">
        <f t="shared" si="85"/>
        <v>9.9879291861813824E-2</v>
      </c>
      <c r="V79" s="265" t="s">
        <v>541</v>
      </c>
      <c r="W79" s="155">
        <v>-2</v>
      </c>
      <c r="Y79" s="13">
        <v>59.105229999999999</v>
      </c>
      <c r="Z79" s="2">
        <v>62.374189999999999</v>
      </c>
      <c r="AA79" s="2">
        <f t="shared" si="72"/>
        <v>3.2689599999999999</v>
      </c>
      <c r="AB79" s="2">
        <f t="shared" si="73"/>
        <v>7.4205800000000011</v>
      </c>
      <c r="AC79" s="2">
        <f t="shared" si="74"/>
        <v>0.30580923033170743</v>
      </c>
      <c r="AD79" s="2">
        <f t="shared" si="75"/>
        <v>0.69419076966829263</v>
      </c>
      <c r="AE79" s="2">
        <f t="shared" si="76"/>
        <v>0.30590768929567813</v>
      </c>
      <c r="AF79" s="2">
        <f t="shared" si="77"/>
        <v>9.3549395016062423E-2</v>
      </c>
      <c r="AG79" s="2">
        <f t="shared" si="78"/>
        <v>10.689540000000001</v>
      </c>
      <c r="AH79" s="2">
        <v>19</v>
      </c>
      <c r="AI79">
        <f t="shared" si="79"/>
        <v>5.8122460966178844</v>
      </c>
    </row>
    <row r="80" spans="3:54" x14ac:dyDescent="0.35">
      <c r="E80" s="104"/>
      <c r="V80" s="265"/>
      <c r="W80" s="155">
        <v>-2</v>
      </c>
      <c r="Y80" s="13">
        <v>69.79477</v>
      </c>
      <c r="Z80" s="2">
        <v>73.222859999999997</v>
      </c>
      <c r="AA80" s="2">
        <f t="shared" si="72"/>
        <v>3.4280899999999974</v>
      </c>
      <c r="AB80" s="2">
        <f t="shared" si="73"/>
        <v>9.6838699999999989</v>
      </c>
      <c r="AC80" s="2">
        <f t="shared" si="74"/>
        <v>0.2614475639034895</v>
      </c>
      <c r="AD80" s="2">
        <f t="shared" si="75"/>
        <v>0.73855243609651045</v>
      </c>
      <c r="AE80" s="2">
        <f t="shared" si="76"/>
        <v>0.29170762727933069</v>
      </c>
      <c r="AF80" s="2">
        <f t="shared" si="77"/>
        <v>7.6266248524248112E-2</v>
      </c>
      <c r="AG80" s="2">
        <f t="shared" si="78"/>
        <v>13.111959999999996</v>
      </c>
      <c r="AH80" s="2">
        <v>22</v>
      </c>
      <c r="AI80">
        <f t="shared" si="79"/>
        <v>6.4175678001452754</v>
      </c>
      <c r="AL80" s="2"/>
      <c r="AS80" s="49"/>
      <c r="AT80" s="2"/>
      <c r="AU80" s="2"/>
      <c r="AV80" s="2"/>
      <c r="AW80" s="2"/>
      <c r="AX80" s="2"/>
      <c r="AY80" s="2"/>
      <c r="AZ80" s="2"/>
      <c r="BA80" s="2"/>
      <c r="BB80" s="2"/>
    </row>
    <row r="81" spans="3:56" ht="16" thickBot="1" x14ac:dyDescent="0.4">
      <c r="E81" s="104"/>
      <c r="V81" s="265"/>
      <c r="W81" s="155">
        <v>-2</v>
      </c>
      <c r="Y81" s="13">
        <v>82.906729999999996</v>
      </c>
      <c r="Z81" s="2">
        <v>86.125010000000003</v>
      </c>
      <c r="AA81" s="2">
        <f t="shared" si="72"/>
        <v>3.2182800000000071</v>
      </c>
      <c r="AB81" s="2">
        <f t="shared" si="73"/>
        <v>10.095519999999993</v>
      </c>
      <c r="AC81" s="2">
        <f t="shared" si="74"/>
        <v>0.24172512731151188</v>
      </c>
      <c r="AD81" s="2">
        <f t="shared" si="75"/>
        <v>0.75827487268848814</v>
      </c>
      <c r="AE81" s="2">
        <f t="shared" si="76"/>
        <v>0.31072498353157518</v>
      </c>
      <c r="AF81" s="2">
        <f t="shared" si="77"/>
        <v>7.5110036203037453E-2</v>
      </c>
      <c r="AG81" s="2">
        <f t="shared" si="78"/>
        <v>13.313800000000001</v>
      </c>
      <c r="AH81" s="2">
        <v>18</v>
      </c>
      <c r="AI81">
        <f t="shared" si="79"/>
        <v>5.5930497035683535</v>
      </c>
      <c r="AL81" s="2"/>
      <c r="AQ81" s="104" t="s">
        <v>278</v>
      </c>
      <c r="AS81" s="13"/>
      <c r="AT81" s="9" t="s">
        <v>3</v>
      </c>
      <c r="AU81" s="9" t="s">
        <v>4</v>
      </c>
      <c r="AV81" s="9" t="s">
        <v>5</v>
      </c>
      <c r="AW81" s="9" t="s">
        <v>6</v>
      </c>
      <c r="AX81" s="9" t="s">
        <v>7</v>
      </c>
      <c r="AY81" s="9" t="s">
        <v>8</v>
      </c>
      <c r="AZ81" s="9" t="s">
        <v>9</v>
      </c>
      <c r="BA81" s="9" t="s">
        <v>10</v>
      </c>
      <c r="BB81" s="44" t="s">
        <v>139</v>
      </c>
    </row>
    <row r="82" spans="3:56" ht="16" thickBot="1" x14ac:dyDescent="0.4">
      <c r="E82" s="104"/>
      <c r="G82" s="13"/>
      <c r="H82" s="9" t="s">
        <v>3</v>
      </c>
      <c r="I82" s="9" t="s">
        <v>4</v>
      </c>
      <c r="J82" s="9" t="s">
        <v>5</v>
      </c>
      <c r="K82" s="9" t="s">
        <v>6</v>
      </c>
      <c r="L82" s="9" t="s">
        <v>7</v>
      </c>
      <c r="M82" s="9" t="s">
        <v>8</v>
      </c>
      <c r="N82" s="9" t="s">
        <v>9</v>
      </c>
      <c r="O82" s="9" t="s">
        <v>10</v>
      </c>
      <c r="P82" s="44" t="s">
        <v>139</v>
      </c>
      <c r="V82" s="265" t="s">
        <v>541</v>
      </c>
      <c r="W82" s="155">
        <v>-2</v>
      </c>
      <c r="Y82" s="13">
        <v>96.220529999999997</v>
      </c>
      <c r="Z82" s="2">
        <v>99.025679999999994</v>
      </c>
      <c r="AA82" s="2">
        <f t="shared" si="72"/>
        <v>2.8051499999999976</v>
      </c>
      <c r="AB82" s="2">
        <f t="shared" si="73"/>
        <v>8.0341700000000031</v>
      </c>
      <c r="AC82" s="2">
        <f t="shared" si="74"/>
        <v>0.25879390958104359</v>
      </c>
      <c r="AD82" s="2">
        <f t="shared" si="75"/>
        <v>0.74120609041895646</v>
      </c>
      <c r="AE82" s="2">
        <f t="shared" si="76"/>
        <v>0.35648717537386621</v>
      </c>
      <c r="AF82" s="2">
        <f t="shared" si="77"/>
        <v>9.2256709830505962E-2</v>
      </c>
      <c r="AG82" s="2">
        <f t="shared" si="78"/>
        <v>10.839320000000001</v>
      </c>
      <c r="AH82" s="2">
        <v>17</v>
      </c>
      <c r="AI82">
        <f t="shared" si="79"/>
        <v>6.0602819813557263</v>
      </c>
      <c r="AL82" s="2"/>
      <c r="AS82" s="49" t="s">
        <v>77</v>
      </c>
      <c r="AT82" s="13">
        <f>AVERAGE(AT57,AT59:AT60,AT62,AT65)</f>
        <v>5.0850359999999997</v>
      </c>
      <c r="AU82" s="13">
        <f t="shared" ref="AU82:BB82" si="86">AVERAGE(AU57,AU59:AU60,AU62,AU65)</f>
        <v>5.985497999999998</v>
      </c>
      <c r="AV82" s="13">
        <f t="shared" si="86"/>
        <v>0.4597146916341166</v>
      </c>
      <c r="AW82" s="13">
        <f t="shared" si="86"/>
        <v>0.5402853083658834</v>
      </c>
      <c r="AX82" s="13">
        <f t="shared" si="86"/>
        <v>0.20491996484302755</v>
      </c>
      <c r="AY82" s="13">
        <f t="shared" si="86"/>
        <v>9.055508684906742E-2</v>
      </c>
      <c r="AZ82" s="13">
        <f t="shared" si="86"/>
        <v>11.070533999999999</v>
      </c>
      <c r="BA82" s="13">
        <f t="shared" si="86"/>
        <v>30.8</v>
      </c>
      <c r="BB82" s="13">
        <f t="shared" si="86"/>
        <v>6.1366302251296245</v>
      </c>
    </row>
    <row r="83" spans="3:56" x14ac:dyDescent="0.35">
      <c r="E83" s="104" t="s">
        <v>410</v>
      </c>
      <c r="G83" s="49" t="s">
        <v>77</v>
      </c>
      <c r="H83" s="13">
        <f>AVERAGE(H64:H74)</f>
        <v>3.0187499999999985</v>
      </c>
      <c r="I83" s="13">
        <f t="shared" ref="I83:P83" si="87">AVERAGE(I64:I74)</f>
        <v>7.2699263636363645</v>
      </c>
      <c r="J83" s="13">
        <f t="shared" si="87"/>
        <v>0.29368898238609076</v>
      </c>
      <c r="K83" s="13">
        <f t="shared" si="87"/>
        <v>0.70631101761390924</v>
      </c>
      <c r="L83" s="13">
        <f t="shared" si="87"/>
        <v>0.33658418359662784</v>
      </c>
      <c r="M83" s="13">
        <f t="shared" si="87"/>
        <v>9.7683645775158812E-2</v>
      </c>
      <c r="N83" s="13">
        <f t="shared" si="87"/>
        <v>10.288676363636363</v>
      </c>
      <c r="O83" s="13">
        <f t="shared" si="87"/>
        <v>17.454545454545453</v>
      </c>
      <c r="P83" s="13">
        <f t="shared" si="87"/>
        <v>5.8165658510885896</v>
      </c>
      <c r="V83" s="265"/>
      <c r="W83" s="155">
        <v>-2</v>
      </c>
      <c r="X83" s="2"/>
      <c r="Y83" s="2">
        <v>107.05985</v>
      </c>
      <c r="Z83" s="2">
        <v>110.3891</v>
      </c>
      <c r="AA83" s="2">
        <f t="shared" si="72"/>
        <v>3.3292500000000018</v>
      </c>
      <c r="AB83" s="2">
        <f t="shared" si="73"/>
        <v>8.7428699999999964</v>
      </c>
      <c r="AC83" s="2">
        <f t="shared" si="74"/>
        <v>0.27578006182841142</v>
      </c>
      <c r="AD83" s="2">
        <f t="shared" si="75"/>
        <v>0.72421993817158858</v>
      </c>
      <c r="AE83" s="2">
        <f t="shared" si="76"/>
        <v>0.30036795073965594</v>
      </c>
      <c r="AF83" s="2">
        <f t="shared" si="77"/>
        <v>8.283549202625555E-2</v>
      </c>
      <c r="AG83" s="2">
        <f t="shared" si="78"/>
        <v>12.072119999999998</v>
      </c>
      <c r="AH83" s="2">
        <v>20</v>
      </c>
      <c r="AI83">
        <f t="shared" si="79"/>
        <v>6.007359014793118</v>
      </c>
      <c r="AJ83" s="2"/>
      <c r="AK83" s="2"/>
      <c r="AL83" s="2"/>
      <c r="AS83" s="49" t="s">
        <v>94</v>
      </c>
      <c r="AT83" s="2">
        <f>_xlfn.STDEV.S(AT57,AT59:AT60,AT62,AT65)</f>
        <v>1.1968522444646224</v>
      </c>
      <c r="AU83" s="2">
        <f t="shared" ref="AU83:BB83" si="88">_xlfn.STDEV.S(AU57,AU59:AU60,AU62,AU65)</f>
        <v>1.2516874818899473</v>
      </c>
      <c r="AV83" s="2">
        <f t="shared" si="88"/>
        <v>0.10243398152896468</v>
      </c>
      <c r="AW83" s="2">
        <f t="shared" si="88"/>
        <v>0.10243398152896468</v>
      </c>
      <c r="AX83" s="2">
        <f t="shared" si="88"/>
        <v>4.4826231870136388E-2</v>
      </c>
      <c r="AY83" s="2">
        <f t="shared" si="88"/>
        <v>5.0946174782732639E-3</v>
      </c>
      <c r="AZ83" s="2">
        <f t="shared" si="88"/>
        <v>0.612114974804572</v>
      </c>
      <c r="BA83" s="2">
        <f t="shared" si="88"/>
        <v>5.5407580708780317</v>
      </c>
      <c r="BB83" s="2">
        <f t="shared" si="88"/>
        <v>0.67268283998329115</v>
      </c>
    </row>
    <row r="84" spans="3:56" x14ac:dyDescent="0.35">
      <c r="G84" s="49" t="s">
        <v>94</v>
      </c>
      <c r="H84" s="2">
        <f>_xlfn.STDEV.S(H64:H74)</f>
        <v>0.4586093815656167</v>
      </c>
      <c r="I84" s="2">
        <f t="shared" ref="I84:P84" si="89">_xlfn.STDEV.S(I64:I74)</f>
        <v>0.72183319326936701</v>
      </c>
      <c r="J84" s="2">
        <f t="shared" si="89"/>
        <v>3.7818116729170917E-2</v>
      </c>
      <c r="K84" s="2">
        <f t="shared" si="89"/>
        <v>3.7818116729170952E-2</v>
      </c>
      <c r="L84" s="2">
        <f t="shared" si="89"/>
        <v>3.888062468250679E-2</v>
      </c>
      <c r="M84" s="2">
        <f t="shared" si="89"/>
        <v>7.1070867680325016E-3</v>
      </c>
      <c r="N84" s="2">
        <f t="shared" si="89"/>
        <v>0.77979947120106186</v>
      </c>
      <c r="O84" s="2">
        <f t="shared" si="89"/>
        <v>2.2522715805886402</v>
      </c>
      <c r="P84" s="2">
        <f t="shared" si="89"/>
        <v>0.62517535400770508</v>
      </c>
      <c r="V84" s="265" t="s">
        <v>541</v>
      </c>
      <c r="W84" s="206">
        <v>0</v>
      </c>
      <c r="X84" s="2"/>
      <c r="Y84" s="13">
        <v>119.13197</v>
      </c>
      <c r="Z84" s="2">
        <v>120.68541</v>
      </c>
      <c r="AA84" s="2">
        <f t="shared" si="72"/>
        <v>1.553440000000009</v>
      </c>
      <c r="AB84" s="2">
        <f t="shared" si="73"/>
        <v>8.6598000000000042</v>
      </c>
      <c r="AC84" s="2">
        <f t="shared" si="74"/>
        <v>0.15210060666350805</v>
      </c>
      <c r="AD84" s="2">
        <f t="shared" si="75"/>
        <v>0.84789939333649189</v>
      </c>
      <c r="AE84" s="2">
        <f t="shared" si="76"/>
        <v>0.64373261921927738</v>
      </c>
      <c r="AF84" s="2">
        <f t="shared" si="77"/>
        <v>9.791212191234111E-2</v>
      </c>
      <c r="AG84" s="2">
        <f t="shared" si="78"/>
        <v>10.213240000000013</v>
      </c>
      <c r="AH84" s="2">
        <v>12</v>
      </c>
      <c r="AI84">
        <f t="shared" si="79"/>
        <v>7.7247914306313277</v>
      </c>
      <c r="AJ84" s="2"/>
      <c r="AK84" s="2"/>
      <c r="AL84" s="2"/>
      <c r="AS84" s="49" t="s">
        <v>95</v>
      </c>
      <c r="AT84" s="2">
        <f>AT83/(SQRT(COUNT(AT57,AT59:AT60,AT62,AT65)))</f>
        <v>0.53524859552921833</v>
      </c>
      <c r="AU84" s="2">
        <f t="shared" ref="AU84:BB84" si="90">AU83/(SQRT(COUNT(AU57,AU59:AU60,AU62,AU65)))</f>
        <v>0.55977165921829175</v>
      </c>
      <c r="AV84" s="2">
        <f t="shared" si="90"/>
        <v>4.5809869180944575E-2</v>
      </c>
      <c r="AW84" s="2">
        <f t="shared" si="90"/>
        <v>4.5809869180944575E-2</v>
      </c>
      <c r="AX84" s="2">
        <f t="shared" si="90"/>
        <v>2.0046900327358497E-2</v>
      </c>
      <c r="AY84" s="2">
        <f t="shared" si="90"/>
        <v>2.2783822001555152E-3</v>
      </c>
      <c r="AZ84" s="2">
        <f t="shared" si="90"/>
        <v>0.27374613874171877</v>
      </c>
      <c r="BA84" s="2">
        <f t="shared" si="90"/>
        <v>2.4779023386727754</v>
      </c>
      <c r="BB84" s="2">
        <f t="shared" si="90"/>
        <v>0.30083291150005048</v>
      </c>
    </row>
    <row r="85" spans="3:56" x14ac:dyDescent="0.35">
      <c r="G85" s="49" t="s">
        <v>95</v>
      </c>
      <c r="H85" s="2">
        <f>H84/(SQRT(COUNT(H64:H74)))</f>
        <v>0.13827593127182575</v>
      </c>
      <c r="I85" s="2">
        <f t="shared" ref="I85:P85" si="91">I84/(SQRT(COUNT(I64:I74)))</f>
        <v>0.21764089666350755</v>
      </c>
      <c r="J85" s="2">
        <f t="shared" si="91"/>
        <v>1.1402591224411139E-2</v>
      </c>
      <c r="K85" s="2">
        <f t="shared" si="91"/>
        <v>1.140259122441115E-2</v>
      </c>
      <c r="L85" s="2">
        <f t="shared" si="91"/>
        <v>1.1722949426046006E-2</v>
      </c>
      <c r="M85" s="2">
        <f t="shared" si="91"/>
        <v>2.1428672874603122E-3</v>
      </c>
      <c r="N85" s="2">
        <f t="shared" si="91"/>
        <v>0.23511838706286123</v>
      </c>
      <c r="O85" s="2">
        <f t="shared" si="91"/>
        <v>0.67908543261756582</v>
      </c>
      <c r="P85" s="2">
        <f t="shared" si="91"/>
        <v>0.18849746158374253</v>
      </c>
      <c r="V85" s="265"/>
      <c r="W85" s="207">
        <v>0</v>
      </c>
      <c r="X85" s="2"/>
      <c r="Y85" s="13">
        <v>129.34521000000001</v>
      </c>
      <c r="Z85" s="2">
        <v>132.54875999999999</v>
      </c>
      <c r="AA85" s="2">
        <f t="shared" si="72"/>
        <v>3.2035499999999786</v>
      </c>
      <c r="AB85" s="2">
        <f t="shared" si="73"/>
        <v>8.7365900000000067</v>
      </c>
      <c r="AC85" s="2">
        <f t="shared" si="74"/>
        <v>0.26830087419410348</v>
      </c>
      <c r="AD85" s="2">
        <f t="shared" si="75"/>
        <v>0.73169912580589658</v>
      </c>
      <c r="AE85" s="2">
        <f t="shared" si="76"/>
        <v>0.31215370448409008</v>
      </c>
      <c r="AF85" s="2">
        <f t="shared" si="77"/>
        <v>8.3751111796009192E-2</v>
      </c>
      <c r="AG85" s="2">
        <f t="shared" si="78"/>
        <v>11.940139999999985</v>
      </c>
      <c r="AH85" s="2">
        <v>21</v>
      </c>
      <c r="AI85">
        <f t="shared" si="79"/>
        <v>6.5552277941658907</v>
      </c>
      <c r="AJ85" s="2"/>
      <c r="AK85" t="s">
        <v>526</v>
      </c>
      <c r="AL85" s="2"/>
    </row>
    <row r="86" spans="3:56" x14ac:dyDescent="0.35">
      <c r="V86" s="265"/>
      <c r="W86" s="207">
        <v>0</v>
      </c>
      <c r="X86" s="2"/>
      <c r="Y86" s="13">
        <v>141.28534999999999</v>
      </c>
      <c r="Z86" s="2">
        <v>144.40987999999999</v>
      </c>
      <c r="AA86" s="2">
        <f t="shared" si="72"/>
        <v>3.1245299999999929</v>
      </c>
      <c r="AB86" s="2">
        <f t="shared" si="73"/>
        <v>7.4441100000000233</v>
      </c>
      <c r="AC86" s="2">
        <f t="shared" si="74"/>
        <v>0.29564163411753908</v>
      </c>
      <c r="AD86" s="2">
        <f t="shared" si="75"/>
        <v>0.70435836588246092</v>
      </c>
      <c r="AE86" s="2">
        <f t="shared" si="76"/>
        <v>0.32004813523954073</v>
      </c>
      <c r="AF86" s="2">
        <f t="shared" si="77"/>
        <v>9.461955369848897E-2</v>
      </c>
      <c r="AG86" s="2">
        <f t="shared" si="78"/>
        <v>10.568640000000016</v>
      </c>
      <c r="AH86" s="2">
        <v>17</v>
      </c>
      <c r="AI86">
        <f t="shared" si="79"/>
        <v>5.4408182990721929</v>
      </c>
      <c r="AJ86" s="2"/>
      <c r="AK86" s="2"/>
      <c r="AL86" s="2"/>
    </row>
    <row r="87" spans="3:56" x14ac:dyDescent="0.35">
      <c r="V87" s="265" t="s">
        <v>541</v>
      </c>
      <c r="W87" s="207">
        <v>0</v>
      </c>
      <c r="X87" s="2"/>
      <c r="Y87" s="13">
        <v>151.85399000000001</v>
      </c>
      <c r="Z87" s="2">
        <v>153.85105999999999</v>
      </c>
      <c r="AA87" s="2">
        <f t="shared" si="72"/>
        <v>1.9970699999999795</v>
      </c>
      <c r="AB87" s="2">
        <f t="shared" si="73"/>
        <v>6.0994000000000028</v>
      </c>
      <c r="AC87" s="2">
        <f t="shared" si="74"/>
        <v>0.24665934660413535</v>
      </c>
      <c r="AD87" s="2">
        <f t="shared" si="75"/>
        <v>0.75334065339586465</v>
      </c>
      <c r="AE87" s="2">
        <f t="shared" si="76"/>
        <v>0.50073357468692148</v>
      </c>
      <c r="AF87" s="2">
        <f t="shared" si="77"/>
        <v>0.12351061635502907</v>
      </c>
      <c r="AG87" s="2">
        <f t="shared" si="78"/>
        <v>8.0964699999999823</v>
      </c>
      <c r="AH87" s="2">
        <v>15</v>
      </c>
      <c r="AI87">
        <f t="shared" si="79"/>
        <v>7.5110036203038222</v>
      </c>
      <c r="AJ87" s="2"/>
      <c r="AK87" s="2"/>
      <c r="AL87" s="2"/>
    </row>
    <row r="88" spans="3:56" x14ac:dyDescent="0.35">
      <c r="V88" s="265"/>
      <c r="W88" s="207">
        <v>0</v>
      </c>
      <c r="X88" s="2"/>
      <c r="Y88" s="13">
        <v>159.95045999999999</v>
      </c>
      <c r="Z88" s="2">
        <v>163.3075</v>
      </c>
      <c r="AA88" s="2">
        <f t="shared" si="72"/>
        <v>3.357040000000012</v>
      </c>
      <c r="AB88" s="2">
        <f t="shared" si="73"/>
        <v>8.9054299999999955</v>
      </c>
      <c r="AC88" s="2">
        <f t="shared" si="74"/>
        <v>0.27376539962992857</v>
      </c>
      <c r="AD88" s="2">
        <f t="shared" si="75"/>
        <v>0.72623460037007148</v>
      </c>
      <c r="AE88" s="2">
        <f t="shared" si="76"/>
        <v>0.29788146700664764</v>
      </c>
      <c r="AF88" s="2">
        <f t="shared" si="77"/>
        <v>8.1549638857424264E-2</v>
      </c>
      <c r="AG88" s="2">
        <f t="shared" si="78"/>
        <v>12.262470000000008</v>
      </c>
      <c r="AH88" s="2">
        <v>20</v>
      </c>
      <c r="AI88">
        <f t="shared" si="79"/>
        <v>5.9576293401329528</v>
      </c>
      <c r="AJ88" s="2"/>
      <c r="AK88" s="2"/>
      <c r="AL88" s="2"/>
    </row>
    <row r="89" spans="3:56" x14ac:dyDescent="0.35">
      <c r="V89" s="265"/>
      <c r="W89" s="207">
        <v>0</v>
      </c>
      <c r="X89" s="2"/>
      <c r="Y89" s="13">
        <v>172.21293</v>
      </c>
      <c r="Z89" s="2">
        <v>175.00837000000001</v>
      </c>
      <c r="AA89" s="2">
        <f t="shared" si="72"/>
        <v>2.7954400000000135</v>
      </c>
      <c r="AB89" s="2">
        <f t="shared" si="73"/>
        <v>8.0627299999999877</v>
      </c>
      <c r="AC89" s="2">
        <f t="shared" si="74"/>
        <v>0.25745038068109205</v>
      </c>
      <c r="AD89" s="2">
        <f t="shared" si="75"/>
        <v>0.74254961931890795</v>
      </c>
      <c r="AE89" s="2">
        <f t="shared" si="76"/>
        <v>0.35772543857138595</v>
      </c>
      <c r="AF89" s="2">
        <f t="shared" si="77"/>
        <v>9.2096550339513916E-2</v>
      </c>
      <c r="AG89" s="2">
        <f t="shared" si="78"/>
        <v>10.858170000000001</v>
      </c>
      <c r="AH89" s="2">
        <v>15</v>
      </c>
      <c r="AI89">
        <f t="shared" si="79"/>
        <v>5.3658815785707894</v>
      </c>
      <c r="AJ89" s="2"/>
      <c r="AK89" s="2"/>
      <c r="AL89" s="2"/>
    </row>
    <row r="90" spans="3:56" ht="18.5" x14ac:dyDescent="0.45">
      <c r="F90" s="1" t="s">
        <v>405</v>
      </c>
      <c r="G90" s="3"/>
      <c r="H90" s="3"/>
      <c r="I90" s="3"/>
      <c r="J90" s="3"/>
      <c r="K90" s="3"/>
      <c r="L90" s="3"/>
      <c r="M90" s="3"/>
      <c r="N90" s="3"/>
      <c r="O90" s="3"/>
      <c r="V90" s="265" t="s">
        <v>541</v>
      </c>
      <c r="W90" s="207">
        <v>0</v>
      </c>
      <c r="X90" s="2"/>
      <c r="Y90" s="13">
        <v>183.0711</v>
      </c>
      <c r="Z90" s="2">
        <v>186.31730999999999</v>
      </c>
      <c r="AA90" s="2">
        <f t="shared" si="72"/>
        <v>3.2462099999999907</v>
      </c>
      <c r="AB90" s="2">
        <f t="shared" si="73"/>
        <v>7.3803300000000149</v>
      </c>
      <c r="AC90" s="2">
        <f t="shared" si="74"/>
        <v>0.30548137022963157</v>
      </c>
      <c r="AD90" s="2">
        <f t="shared" si="75"/>
        <v>0.69451862977036849</v>
      </c>
      <c r="AE90" s="2">
        <f t="shared" si="76"/>
        <v>0.30805154318420647</v>
      </c>
      <c r="AF90" s="2">
        <f t="shared" si="77"/>
        <v>9.4104007513263907E-2</v>
      </c>
      <c r="AG90" s="2">
        <f t="shared" si="78"/>
        <v>10.626540000000006</v>
      </c>
      <c r="AH90" s="2">
        <v>20</v>
      </c>
      <c r="AI90">
        <f t="shared" si="79"/>
        <v>6.1610308636841289</v>
      </c>
      <c r="AJ90" s="2"/>
      <c r="AK90" s="2"/>
      <c r="AL90" s="2"/>
      <c r="AR90" s="1" t="s">
        <v>628</v>
      </c>
      <c r="AS90" s="3"/>
      <c r="AT90" s="3"/>
      <c r="AU90" s="3"/>
      <c r="AV90" s="3"/>
      <c r="AW90" s="3"/>
      <c r="AX90" s="3"/>
      <c r="AY90" s="3"/>
      <c r="AZ90" s="3"/>
      <c r="BA90" s="3"/>
    </row>
    <row r="91" spans="3:56" ht="16" thickBot="1" x14ac:dyDescent="0.4">
      <c r="C91" s="204" t="s">
        <v>122</v>
      </c>
      <c r="D91" s="204" t="s">
        <v>406</v>
      </c>
      <c r="F91" s="9" t="s">
        <v>1</v>
      </c>
      <c r="G91" s="9" t="s">
        <v>2</v>
      </c>
      <c r="H91" s="9" t="s">
        <v>3</v>
      </c>
      <c r="I91" s="9" t="s">
        <v>4</v>
      </c>
      <c r="J91" s="9" t="s">
        <v>5</v>
      </c>
      <c r="K91" s="9" t="s">
        <v>6</v>
      </c>
      <c r="L91" s="9" t="s">
        <v>7</v>
      </c>
      <c r="M91" s="9" t="s">
        <v>8</v>
      </c>
      <c r="N91" s="9" t="s">
        <v>9</v>
      </c>
      <c r="O91" s="9" t="s">
        <v>10</v>
      </c>
      <c r="P91" s="44" t="s">
        <v>139</v>
      </c>
      <c r="R91" s="44" t="s">
        <v>138</v>
      </c>
      <c r="V91" s="265"/>
      <c r="W91" s="207">
        <v>0</v>
      </c>
      <c r="X91" s="2"/>
      <c r="Y91" s="13">
        <v>193.69764000000001</v>
      </c>
      <c r="Z91" s="2">
        <v>197.21843999999999</v>
      </c>
      <c r="AA91" s="2">
        <f t="shared" si="72"/>
        <v>3.5207999999999799</v>
      </c>
      <c r="AB91" s="2">
        <f t="shared" si="73"/>
        <v>10.04188000000002</v>
      </c>
      <c r="AC91" s="2">
        <f t="shared" si="74"/>
        <v>0.25959471136972778</v>
      </c>
      <c r="AD91" s="2">
        <f t="shared" si="75"/>
        <v>0.74040528863027222</v>
      </c>
      <c r="AE91" s="2">
        <f t="shared" si="76"/>
        <v>0.28402635764599116</v>
      </c>
      <c r="AF91" s="2">
        <f t="shared" si="77"/>
        <v>7.3731740334506163E-2</v>
      </c>
      <c r="AG91" s="2">
        <f t="shared" si="78"/>
        <v>13.56268</v>
      </c>
      <c r="AH91" s="2">
        <v>21</v>
      </c>
      <c r="AI91">
        <f t="shared" si="79"/>
        <v>5.9645535105658141</v>
      </c>
      <c r="AJ91" s="2"/>
      <c r="AK91" s="2"/>
      <c r="AL91" s="2"/>
      <c r="AR91" s="9" t="s">
        <v>1</v>
      </c>
      <c r="AS91" s="9" t="s">
        <v>2</v>
      </c>
      <c r="AT91" s="9" t="s">
        <v>3</v>
      </c>
      <c r="AU91" s="9" t="s">
        <v>4</v>
      </c>
      <c r="AV91" s="9" t="s">
        <v>5</v>
      </c>
      <c r="AW91" s="9" t="s">
        <v>6</v>
      </c>
      <c r="AX91" s="9" t="s">
        <v>7</v>
      </c>
      <c r="AY91" s="9" t="s">
        <v>8</v>
      </c>
      <c r="AZ91" s="9" t="s">
        <v>9</v>
      </c>
      <c r="BA91" s="9" t="s">
        <v>10</v>
      </c>
      <c r="BB91" s="44" t="s">
        <v>139</v>
      </c>
      <c r="BD91" s="44" t="s">
        <v>138</v>
      </c>
    </row>
    <row r="92" spans="3:56" x14ac:dyDescent="0.35">
      <c r="C92" s="2" t="s">
        <v>714</v>
      </c>
      <c r="D92" s="155">
        <v>6</v>
      </c>
      <c r="F92" s="2">
        <v>2.4317700000000002</v>
      </c>
      <c r="G92" s="2">
        <v>7.1962900000000003</v>
      </c>
      <c r="H92" s="2">
        <f>G92-F92</f>
        <v>4.7645200000000001</v>
      </c>
      <c r="I92" s="2">
        <f>F93-G92</f>
        <v>5.1745700000000001</v>
      </c>
      <c r="J92" s="2">
        <f>H92/N92</f>
        <v>0.47937185396248549</v>
      </c>
      <c r="K92" s="2">
        <f>I92/N92</f>
        <v>0.52062814603751451</v>
      </c>
      <c r="L92" s="2">
        <f>1/H92</f>
        <v>0.20988473130556698</v>
      </c>
      <c r="M92" s="2">
        <f>1/N92</f>
        <v>0.10061283276436776</v>
      </c>
      <c r="N92" s="2">
        <f>H92+I92</f>
        <v>9.9390900000000002</v>
      </c>
      <c r="O92" s="2">
        <v>27</v>
      </c>
      <c r="P92">
        <f>O92/H92</f>
        <v>5.6668877452503086</v>
      </c>
      <c r="R92" t="s">
        <v>513</v>
      </c>
      <c r="V92" s="265"/>
      <c r="W92" s="207">
        <v>0</v>
      </c>
      <c r="X92" s="2"/>
      <c r="Y92" s="13">
        <v>207.26032000000001</v>
      </c>
      <c r="Z92" s="2">
        <v>210.40376000000001</v>
      </c>
      <c r="AA92" s="2">
        <f t="shared" si="72"/>
        <v>3.1434399999999982</v>
      </c>
      <c r="AB92" s="2">
        <f t="shared" si="73"/>
        <v>10.269149999999996</v>
      </c>
      <c r="AC92" s="2">
        <f t="shared" si="74"/>
        <v>0.23436487658237518</v>
      </c>
      <c r="AD92" s="2">
        <f t="shared" si="75"/>
        <v>0.76563512341762485</v>
      </c>
      <c r="AE92" s="2">
        <f t="shared" si="76"/>
        <v>0.31812282085867732</v>
      </c>
      <c r="AF92" s="2">
        <f t="shared" si="77"/>
        <v>7.4556815648580951E-2</v>
      </c>
      <c r="AG92" s="2">
        <f t="shared" si="78"/>
        <v>13.412589999999994</v>
      </c>
      <c r="AH92" s="2">
        <v>21</v>
      </c>
      <c r="AI92">
        <f t="shared" si="79"/>
        <v>6.6805792380322231</v>
      </c>
      <c r="AJ92" s="2"/>
      <c r="AK92" s="2"/>
      <c r="AL92" s="2"/>
      <c r="AQ92" s="85"/>
      <c r="AR92" s="45">
        <v>10.31072</v>
      </c>
      <c r="AS92" s="13">
        <v>14.69134</v>
      </c>
      <c r="AT92" s="13">
        <f>AS92-AR92</f>
        <v>4.3806200000000004</v>
      </c>
      <c r="AU92" s="13">
        <f>AR93-AS92</f>
        <v>7.25075</v>
      </c>
      <c r="AV92" s="13">
        <f>AT92/AZ92</f>
        <v>0.3766211546877109</v>
      </c>
      <c r="AW92" s="13">
        <f>AU92/AZ92</f>
        <v>0.62337884531228904</v>
      </c>
      <c r="AX92" s="13">
        <f>1/AT92</f>
        <v>0.22827818893216026</v>
      </c>
      <c r="AY92" s="13">
        <f>1/AZ92</f>
        <v>8.5974395105649637E-2</v>
      </c>
      <c r="AZ92" s="13">
        <f>AT92+AU92</f>
        <v>11.63137</v>
      </c>
      <c r="BA92" s="13">
        <v>27</v>
      </c>
      <c r="BB92" s="85">
        <f>BA92/AT92</f>
        <v>6.1635111011683268</v>
      </c>
      <c r="BD92" t="s">
        <v>629</v>
      </c>
    </row>
    <row r="93" spans="3:56" x14ac:dyDescent="0.35">
      <c r="C93" s="261" t="s">
        <v>32</v>
      </c>
      <c r="D93" s="155">
        <v>6</v>
      </c>
      <c r="F93" s="2">
        <v>12.37086</v>
      </c>
      <c r="G93" s="2">
        <v>15.55987</v>
      </c>
      <c r="H93" s="2">
        <f t="shared" ref="H93:H115" si="92">G93-F93</f>
        <v>3.1890099999999997</v>
      </c>
      <c r="I93" s="2">
        <f t="shared" ref="I93:I114" si="93">F94-G93</f>
        <v>6.3454499999999996</v>
      </c>
      <c r="J93" s="2">
        <f t="shared" ref="J93:J114" si="94">H93/N93</f>
        <v>0.33447200995127147</v>
      </c>
      <c r="K93" s="2">
        <f t="shared" ref="K93:K114" si="95">I93/N93</f>
        <v>0.66552799004872853</v>
      </c>
      <c r="L93" s="2">
        <f t="shared" ref="L93:L114" si="96">1/H93</f>
        <v>0.31357694080608089</v>
      </c>
      <c r="M93" s="2">
        <f t="shared" ref="M93:M114" si="97">1/N93</f>
        <v>0.10488270966578077</v>
      </c>
      <c r="N93" s="2">
        <f t="shared" ref="N93:N114" si="98">H93+I93</f>
        <v>9.5344599999999993</v>
      </c>
      <c r="O93" s="2">
        <v>20</v>
      </c>
      <c r="P93">
        <f t="shared" ref="P93:P114" si="99">O93/H93</f>
        <v>6.2715388161216179</v>
      </c>
      <c r="V93" s="265"/>
      <c r="W93" s="207">
        <v>0</v>
      </c>
      <c r="X93" s="2"/>
      <c r="Y93" s="13">
        <v>220.67291</v>
      </c>
      <c r="Z93" s="2">
        <v>223.75651999999999</v>
      </c>
      <c r="AA93" s="2">
        <f t="shared" si="72"/>
        <v>3.0836099999999931</v>
      </c>
      <c r="AB93" s="2">
        <f t="shared" si="73"/>
        <v>7.5970900000000086</v>
      </c>
      <c r="AC93" s="2">
        <f t="shared" si="74"/>
        <v>0.28870860524122882</v>
      </c>
      <c r="AD93" s="2">
        <f t="shared" si="75"/>
        <v>0.71129139475877123</v>
      </c>
      <c r="AE93" s="2">
        <f t="shared" si="76"/>
        <v>0.32429522540139716</v>
      </c>
      <c r="AF93" s="2">
        <f t="shared" si="77"/>
        <v>9.3626822212027283E-2</v>
      </c>
      <c r="AG93" s="2">
        <f t="shared" si="78"/>
        <v>10.680700000000002</v>
      </c>
      <c r="AH93" s="2">
        <v>17</v>
      </c>
      <c r="AI93">
        <f t="shared" si="79"/>
        <v>5.5130188318237519</v>
      </c>
      <c r="AJ93" s="2"/>
      <c r="AK93" s="2"/>
      <c r="AL93" s="2"/>
      <c r="AQ93" s="85"/>
      <c r="AR93" s="13">
        <v>21.94209</v>
      </c>
      <c r="AS93" s="13">
        <v>25.644310000000001</v>
      </c>
      <c r="AT93" s="13">
        <f t="shared" ref="AT93:AT108" si="100">AS93-AR93</f>
        <v>3.7022200000000005</v>
      </c>
      <c r="AU93" s="13">
        <f t="shared" ref="AU93:AU108" si="101">AR94-AS93</f>
        <v>5.6224099999999986</v>
      </c>
      <c r="AV93" s="13">
        <f t="shared" ref="AV93:AV108" si="102">AT93/AZ93</f>
        <v>0.39703666526178527</v>
      </c>
      <c r="AW93" s="13">
        <f t="shared" ref="AW93:AW108" si="103">AU93/AZ93</f>
        <v>0.60296333473821473</v>
      </c>
      <c r="AX93" s="13">
        <f t="shared" ref="AX93:AX108" si="104">1/AT93</f>
        <v>0.27010820534706198</v>
      </c>
      <c r="AY93" s="13">
        <f t="shared" ref="AY93:AY108" si="105">1/AZ93</f>
        <v>0.10724286111084301</v>
      </c>
      <c r="AZ93" s="13">
        <f t="shared" ref="AZ93:AZ108" si="106">AT93+AU93</f>
        <v>9.3246299999999991</v>
      </c>
      <c r="BA93" s="13">
        <v>22</v>
      </c>
      <c r="BB93" s="85">
        <f t="shared" ref="BB93:BB108" si="107">BA93/AT93</f>
        <v>5.9423805176353639</v>
      </c>
    </row>
    <row r="94" spans="3:56" x14ac:dyDescent="0.35">
      <c r="C94" s="261" t="s">
        <v>32</v>
      </c>
      <c r="D94" s="155">
        <v>6</v>
      </c>
      <c r="F94" s="13">
        <v>21.90532</v>
      </c>
      <c r="G94" s="2">
        <v>25.215620000000001</v>
      </c>
      <c r="H94" s="2">
        <f t="shared" si="92"/>
        <v>3.3103000000000016</v>
      </c>
      <c r="I94" s="2">
        <f t="shared" si="93"/>
        <v>6.6164699999999996</v>
      </c>
      <c r="J94" s="2">
        <f t="shared" si="94"/>
        <v>0.33347201557001938</v>
      </c>
      <c r="K94" s="2">
        <f t="shared" si="95"/>
        <v>0.66652798442998062</v>
      </c>
      <c r="L94" s="2">
        <f t="shared" si="96"/>
        <v>0.30208742410053457</v>
      </c>
      <c r="M94" s="2">
        <f t="shared" si="97"/>
        <v>0.1007377021931605</v>
      </c>
      <c r="N94" s="2">
        <f t="shared" si="98"/>
        <v>9.9267700000000012</v>
      </c>
      <c r="O94" s="2">
        <v>21</v>
      </c>
      <c r="P94">
        <f t="shared" si="99"/>
        <v>6.3438359061112255</v>
      </c>
      <c r="W94" s="206"/>
      <c r="X94" s="2"/>
      <c r="Y94" s="13">
        <v>231.35361</v>
      </c>
      <c r="Z94" s="2">
        <v>233.30921000000001</v>
      </c>
      <c r="AA94" s="2">
        <f t="shared" si="72"/>
        <v>1.955600000000004</v>
      </c>
      <c r="AB94" s="2"/>
      <c r="AC94" s="2"/>
      <c r="AD94" s="2"/>
      <c r="AE94" s="2"/>
      <c r="AF94" s="2"/>
      <c r="AG94" s="2"/>
      <c r="AH94" s="2"/>
      <c r="AJ94" s="2"/>
      <c r="AK94" s="2"/>
      <c r="AL94" s="2"/>
      <c r="AQ94" s="85"/>
      <c r="AR94" s="13">
        <v>31.266719999999999</v>
      </c>
      <c r="AS94" s="13">
        <v>36.009680000000003</v>
      </c>
      <c r="AT94" s="13">
        <f t="shared" si="100"/>
        <v>4.7429600000000036</v>
      </c>
      <c r="AU94" s="13">
        <f t="shared" si="101"/>
        <v>6.7320099999999954</v>
      </c>
      <c r="AV94" s="13">
        <f t="shared" si="102"/>
        <v>0.41333092809828731</v>
      </c>
      <c r="AW94" s="13">
        <f t="shared" si="103"/>
        <v>0.58666907190171269</v>
      </c>
      <c r="AX94" s="13">
        <f t="shared" si="104"/>
        <v>0.21083880108624134</v>
      </c>
      <c r="AY94" s="13">
        <f t="shared" si="105"/>
        <v>8.7146197332106323E-2</v>
      </c>
      <c r="AZ94" s="13">
        <f t="shared" si="106"/>
        <v>11.474969999999999</v>
      </c>
      <c r="BA94" s="13">
        <v>22</v>
      </c>
      <c r="BB94" s="85">
        <f t="shared" si="107"/>
        <v>4.63845362389731</v>
      </c>
    </row>
    <row r="95" spans="3:56" x14ac:dyDescent="0.35">
      <c r="C95" s="261" t="s">
        <v>32</v>
      </c>
      <c r="D95" s="155">
        <v>6</v>
      </c>
      <c r="F95" s="13">
        <v>31.832090000000001</v>
      </c>
      <c r="G95" s="2">
        <v>35.103990000000003</v>
      </c>
      <c r="H95" s="2">
        <f t="shared" si="92"/>
        <v>3.2719000000000023</v>
      </c>
      <c r="I95" s="2">
        <f t="shared" si="93"/>
        <v>6.3270299999999935</v>
      </c>
      <c r="J95" s="2">
        <f t="shared" si="94"/>
        <v>0.340860908455422</v>
      </c>
      <c r="K95" s="2">
        <f t="shared" si="95"/>
        <v>0.65913909154457806</v>
      </c>
      <c r="L95" s="2">
        <f t="shared" si="96"/>
        <v>0.30563281273877541</v>
      </c>
      <c r="M95" s="2">
        <f t="shared" si="97"/>
        <v>0.10417827820392486</v>
      </c>
      <c r="N95" s="2">
        <f t="shared" si="98"/>
        <v>9.5989299999999957</v>
      </c>
      <c r="O95" s="2">
        <v>22</v>
      </c>
      <c r="P95">
        <f t="shared" si="99"/>
        <v>6.7239218802530596</v>
      </c>
      <c r="W95" s="206"/>
      <c r="X95" s="2"/>
      <c r="Y95" s="13"/>
      <c r="Z95" s="2"/>
      <c r="AA95" s="2"/>
      <c r="AB95" s="2"/>
      <c r="AC95" s="2"/>
      <c r="AD95" s="2"/>
      <c r="AE95" s="2"/>
      <c r="AF95" s="2"/>
      <c r="AG95" s="2"/>
      <c r="AH95" s="2"/>
      <c r="AJ95" s="2"/>
      <c r="AK95" s="2"/>
      <c r="AL95" s="2"/>
      <c r="AQ95" s="144" t="s">
        <v>235</v>
      </c>
      <c r="AR95" s="91">
        <v>42.741689999999998</v>
      </c>
      <c r="AS95" s="91">
        <v>43.903660000000002</v>
      </c>
      <c r="AT95" s="91">
        <f t="shared" si="100"/>
        <v>1.1619700000000037</v>
      </c>
      <c r="AU95" s="91">
        <f t="shared" si="101"/>
        <v>6.5549499999999981</v>
      </c>
      <c r="AV95" s="91">
        <f t="shared" si="102"/>
        <v>0.15057432239805563</v>
      </c>
      <c r="AW95" s="91">
        <f t="shared" si="103"/>
        <v>0.84942567760194432</v>
      </c>
      <c r="AX95" s="91">
        <f t="shared" si="104"/>
        <v>0.86060741671471452</v>
      </c>
      <c r="AY95" s="91">
        <f t="shared" si="105"/>
        <v>0.12958537862255923</v>
      </c>
      <c r="AZ95" s="91">
        <f t="shared" si="106"/>
        <v>7.7169200000000018</v>
      </c>
      <c r="BA95" s="91">
        <v>11</v>
      </c>
      <c r="BB95" s="144">
        <f t="shared" si="107"/>
        <v>9.4666815838618597</v>
      </c>
    </row>
    <row r="96" spans="3:56" x14ac:dyDescent="0.35">
      <c r="C96" s="261" t="s">
        <v>32</v>
      </c>
      <c r="D96" s="155">
        <v>6</v>
      </c>
      <c r="F96" s="13">
        <v>41.431019999999997</v>
      </c>
      <c r="G96" s="2">
        <v>44.726669999999999</v>
      </c>
      <c r="H96" s="2">
        <f t="shared" si="92"/>
        <v>3.295650000000002</v>
      </c>
      <c r="I96" s="2">
        <f t="shared" si="93"/>
        <v>6.3781700000000043</v>
      </c>
      <c r="J96" s="2">
        <f t="shared" si="94"/>
        <v>0.34067720921001216</v>
      </c>
      <c r="K96" s="2">
        <f t="shared" si="95"/>
        <v>0.65932279078998779</v>
      </c>
      <c r="L96" s="2">
        <f t="shared" si="96"/>
        <v>0.30343027930757194</v>
      </c>
      <c r="M96" s="2">
        <f t="shared" si="97"/>
        <v>0.1033717807443181</v>
      </c>
      <c r="N96" s="2">
        <f t="shared" si="98"/>
        <v>9.6738200000000063</v>
      </c>
      <c r="O96" s="2">
        <v>21</v>
      </c>
      <c r="P96">
        <f t="shared" si="99"/>
        <v>6.3720358654590106</v>
      </c>
      <c r="W96" s="206"/>
      <c r="X96" s="2"/>
      <c r="Y96" s="13"/>
      <c r="Z96" s="2"/>
      <c r="AA96" s="2"/>
      <c r="AB96" s="2"/>
      <c r="AC96" s="2"/>
      <c r="AD96" s="2"/>
      <c r="AE96" s="2"/>
      <c r="AF96" s="2"/>
      <c r="AG96" s="2"/>
      <c r="AH96" s="2"/>
      <c r="AJ96" s="2"/>
      <c r="AK96" s="2"/>
      <c r="AL96" s="2"/>
      <c r="AQ96" s="85"/>
      <c r="AR96" s="13">
        <v>50.45861</v>
      </c>
      <c r="AS96" s="13">
        <v>55.224890000000002</v>
      </c>
      <c r="AT96" s="13">
        <f t="shared" si="100"/>
        <v>4.7662800000000018</v>
      </c>
      <c r="AU96" s="13">
        <f t="shared" si="101"/>
        <v>5.7739699999999985</v>
      </c>
      <c r="AV96" s="13">
        <f t="shared" si="102"/>
        <v>0.45219800289366968</v>
      </c>
      <c r="AW96" s="13">
        <f t="shared" si="103"/>
        <v>0.54780199710633037</v>
      </c>
      <c r="AX96" s="13">
        <f t="shared" si="104"/>
        <v>0.20980722911788641</v>
      </c>
      <c r="AY96" s="13">
        <f t="shared" si="105"/>
        <v>9.4874409999762807E-2</v>
      </c>
      <c r="AZ96" s="13">
        <f t="shared" si="106"/>
        <v>10.54025</v>
      </c>
      <c r="BA96" s="13">
        <v>29</v>
      </c>
      <c r="BB96" s="85">
        <f t="shared" si="107"/>
        <v>6.0844096444187059</v>
      </c>
    </row>
    <row r="97" spans="3:56" x14ac:dyDescent="0.35">
      <c r="C97" s="261" t="s">
        <v>32</v>
      </c>
      <c r="D97" s="155">
        <v>6</v>
      </c>
      <c r="F97" s="13">
        <v>51.104840000000003</v>
      </c>
      <c r="G97" s="2">
        <v>55.772260000000003</v>
      </c>
      <c r="H97" s="2">
        <f t="shared" si="92"/>
        <v>4.6674199999999999</v>
      </c>
      <c r="I97" s="2">
        <f t="shared" si="93"/>
        <v>5.5528300000000002</v>
      </c>
      <c r="J97" s="2">
        <f t="shared" si="94"/>
        <v>0.4566835449230694</v>
      </c>
      <c r="K97" s="2">
        <f t="shared" si="95"/>
        <v>0.5433164550769306</v>
      </c>
      <c r="L97" s="2">
        <f t="shared" si="96"/>
        <v>0.2142511280321891</v>
      </c>
      <c r="M97" s="2">
        <f t="shared" si="97"/>
        <v>9.7844964653506519E-2</v>
      </c>
      <c r="N97" s="2">
        <f t="shared" si="98"/>
        <v>10.22025</v>
      </c>
      <c r="O97" s="2">
        <v>25</v>
      </c>
      <c r="P97">
        <f t="shared" si="99"/>
        <v>5.3562782008047272</v>
      </c>
      <c r="W97" s="206"/>
      <c r="X97" s="2"/>
      <c r="Y97" s="13"/>
      <c r="Z97" s="2"/>
      <c r="AA97" s="2"/>
      <c r="AB97" s="2"/>
      <c r="AC97" s="2"/>
      <c r="AD97" s="2"/>
      <c r="AE97" s="2"/>
      <c r="AF97" s="2"/>
      <c r="AG97" s="2"/>
      <c r="AH97" s="2"/>
      <c r="AI97" s="2"/>
      <c r="AJ97" s="2"/>
      <c r="AK97" s="2"/>
      <c r="AL97" s="2"/>
      <c r="AQ97" s="144" t="s">
        <v>235</v>
      </c>
      <c r="AR97" s="91">
        <v>60.998860000000001</v>
      </c>
      <c r="AS97" s="91">
        <v>64.679649999999995</v>
      </c>
      <c r="AT97" s="91">
        <f t="shared" si="100"/>
        <v>3.6807899999999947</v>
      </c>
      <c r="AU97" s="91">
        <f t="shared" si="101"/>
        <v>8.1017900000000083</v>
      </c>
      <c r="AV97" s="91">
        <f t="shared" si="102"/>
        <v>0.31239253202609224</v>
      </c>
      <c r="AW97" s="91">
        <f t="shared" si="103"/>
        <v>0.68760746797390782</v>
      </c>
      <c r="AX97" s="91">
        <f t="shared" si="104"/>
        <v>0.27168080765270536</v>
      </c>
      <c r="AY97" s="91">
        <f t="shared" si="105"/>
        <v>8.4871055405522366E-2</v>
      </c>
      <c r="AZ97" s="91">
        <f t="shared" si="106"/>
        <v>11.782580000000003</v>
      </c>
      <c r="BA97" s="91">
        <v>28</v>
      </c>
      <c r="BB97" s="144">
        <f t="shared" si="107"/>
        <v>7.6070626142757511</v>
      </c>
    </row>
    <row r="98" spans="3:56" x14ac:dyDescent="0.35">
      <c r="C98" s="261" t="s">
        <v>32</v>
      </c>
      <c r="D98" s="155">
        <v>6</v>
      </c>
      <c r="F98" s="13">
        <v>61.325090000000003</v>
      </c>
      <c r="G98" s="2">
        <v>64.06738</v>
      </c>
      <c r="H98" s="2">
        <f t="shared" si="92"/>
        <v>2.742289999999997</v>
      </c>
      <c r="I98" s="2">
        <f t="shared" si="93"/>
        <v>6.8765499999999946</v>
      </c>
      <c r="J98" s="2">
        <f t="shared" si="94"/>
        <v>0.28509570800637074</v>
      </c>
      <c r="K98" s="2">
        <f t="shared" si="95"/>
        <v>0.71490429199362926</v>
      </c>
      <c r="L98" s="2">
        <f t="shared" si="96"/>
        <v>0.36465873412367078</v>
      </c>
      <c r="M98" s="2">
        <f t="shared" si="97"/>
        <v>0.10396263998569483</v>
      </c>
      <c r="N98" s="2">
        <f t="shared" si="98"/>
        <v>9.6188399999999916</v>
      </c>
      <c r="O98" s="2">
        <v>17</v>
      </c>
      <c r="P98">
        <f t="shared" si="99"/>
        <v>6.1991984801024032</v>
      </c>
      <c r="W98" s="206"/>
      <c r="X98" s="2"/>
      <c r="Y98" s="13"/>
      <c r="Z98" s="2"/>
      <c r="AA98" s="2"/>
      <c r="AB98" s="2"/>
      <c r="AC98" s="2"/>
      <c r="AD98" s="2"/>
      <c r="AE98" s="2"/>
      <c r="AF98" s="2"/>
      <c r="AG98" s="2"/>
      <c r="AH98" s="2"/>
      <c r="AI98" s="2"/>
      <c r="AJ98" s="2"/>
      <c r="AK98" s="2"/>
      <c r="AL98" s="2"/>
      <c r="AQ98" s="85"/>
      <c r="AR98" s="13">
        <v>72.781440000000003</v>
      </c>
      <c r="AS98" s="13">
        <v>76.46481</v>
      </c>
      <c r="AT98" s="13">
        <f t="shared" si="100"/>
        <v>3.6833699999999965</v>
      </c>
      <c r="AU98" s="13">
        <f t="shared" si="101"/>
        <v>7.7099500000000063</v>
      </c>
      <c r="AV98" s="13">
        <f t="shared" si="102"/>
        <v>0.32329206938802696</v>
      </c>
      <c r="AW98" s="13">
        <f t="shared" si="103"/>
        <v>0.67670793061197299</v>
      </c>
      <c r="AX98" s="13">
        <f t="shared" si="104"/>
        <v>0.27149051004922148</v>
      </c>
      <c r="AY98" s="13">
        <f t="shared" si="105"/>
        <v>8.7770728813023752E-2</v>
      </c>
      <c r="AZ98" s="13">
        <f t="shared" si="106"/>
        <v>11.393320000000003</v>
      </c>
      <c r="BA98" s="13">
        <v>31</v>
      </c>
      <c r="BB98" s="85">
        <f t="shared" si="107"/>
        <v>8.4162058115258667</v>
      </c>
    </row>
    <row r="99" spans="3:56" ht="16" thickBot="1" x14ac:dyDescent="0.4">
      <c r="C99" s="261" t="s">
        <v>32</v>
      </c>
      <c r="D99" s="155">
        <v>6</v>
      </c>
      <c r="F99" s="13">
        <v>70.943929999999995</v>
      </c>
      <c r="G99" s="2">
        <v>73.990520000000004</v>
      </c>
      <c r="H99" s="2">
        <f t="shared" si="92"/>
        <v>3.046590000000009</v>
      </c>
      <c r="I99" s="2">
        <f t="shared" si="93"/>
        <v>6.8045400000000029</v>
      </c>
      <c r="J99" s="2">
        <f t="shared" si="94"/>
        <v>0.30926299825502307</v>
      </c>
      <c r="K99" s="2">
        <f t="shared" si="95"/>
        <v>0.69073700174497699</v>
      </c>
      <c r="L99" s="2">
        <f t="shared" si="96"/>
        <v>0.32823583087976954</v>
      </c>
      <c r="M99" s="2">
        <f t="shared" si="97"/>
        <v>0.10151119719260621</v>
      </c>
      <c r="N99" s="2">
        <f t="shared" si="98"/>
        <v>9.8511300000000119</v>
      </c>
      <c r="O99" s="2">
        <v>19</v>
      </c>
      <c r="P99">
        <f t="shared" si="99"/>
        <v>6.2364807867156209</v>
      </c>
      <c r="W99" s="206"/>
      <c r="Y99" s="13"/>
      <c r="Z99" s="13"/>
      <c r="AA99" s="9" t="s">
        <v>3</v>
      </c>
      <c r="AB99" s="9" t="s">
        <v>4</v>
      </c>
      <c r="AC99" s="9" t="s">
        <v>5</v>
      </c>
      <c r="AD99" s="9" t="s">
        <v>6</v>
      </c>
      <c r="AE99" s="9" t="s">
        <v>7</v>
      </c>
      <c r="AF99" s="9" t="s">
        <v>8</v>
      </c>
      <c r="AG99" s="9" t="s">
        <v>9</v>
      </c>
      <c r="AH99" s="9" t="s">
        <v>10</v>
      </c>
      <c r="AI99" s="44" t="s">
        <v>139</v>
      </c>
      <c r="AJ99" s="2"/>
      <c r="AK99" s="2"/>
      <c r="AL99" s="2"/>
      <c r="AQ99" s="144" t="s">
        <v>235</v>
      </c>
      <c r="AR99" s="91">
        <v>84.174760000000006</v>
      </c>
      <c r="AS99" s="91">
        <v>87.423270000000002</v>
      </c>
      <c r="AT99" s="91">
        <f t="shared" si="100"/>
        <v>3.248509999999996</v>
      </c>
      <c r="AU99" s="91">
        <f t="shared" si="101"/>
        <v>9.2622700000000009</v>
      </c>
      <c r="AV99" s="91">
        <f t="shared" si="102"/>
        <v>0.25965687191366138</v>
      </c>
      <c r="AW99" s="91">
        <f t="shared" si="103"/>
        <v>0.74034312808633862</v>
      </c>
      <c r="AX99" s="91">
        <f t="shared" si="104"/>
        <v>0.30783343748364672</v>
      </c>
      <c r="AY99" s="91">
        <f t="shared" si="105"/>
        <v>7.9931067447433349E-2</v>
      </c>
      <c r="AZ99" s="91">
        <f t="shared" si="106"/>
        <v>12.510779999999997</v>
      </c>
      <c r="BA99" s="91">
        <v>28</v>
      </c>
      <c r="BB99" s="144">
        <f t="shared" si="107"/>
        <v>8.6193362495421084</v>
      </c>
    </row>
    <row r="100" spans="3:56" x14ac:dyDescent="0.35">
      <c r="C100" s="261" t="s">
        <v>32</v>
      </c>
      <c r="D100" s="155">
        <v>6</v>
      </c>
      <c r="F100" s="13">
        <v>80.795060000000007</v>
      </c>
      <c r="G100" s="2">
        <v>84.098870000000005</v>
      </c>
      <c r="H100" s="2">
        <f t="shared" si="92"/>
        <v>3.3038099999999986</v>
      </c>
      <c r="I100" s="2">
        <f t="shared" si="93"/>
        <v>6.3128999999999991</v>
      </c>
      <c r="J100" s="2">
        <f t="shared" si="94"/>
        <v>0.34354888522166099</v>
      </c>
      <c r="K100" s="2">
        <f t="shared" si="95"/>
        <v>0.65645111477833906</v>
      </c>
      <c r="L100" s="2">
        <f t="shared" si="96"/>
        <v>0.30268084423741087</v>
      </c>
      <c r="M100" s="2">
        <f t="shared" si="97"/>
        <v>0.10398566661571372</v>
      </c>
      <c r="N100" s="2">
        <f t="shared" si="98"/>
        <v>9.6167099999999976</v>
      </c>
      <c r="O100" s="2">
        <v>22</v>
      </c>
      <c r="P100">
        <f t="shared" si="99"/>
        <v>6.6589785732230391</v>
      </c>
      <c r="W100" s="206"/>
      <c r="X100" s="104" t="s">
        <v>426</v>
      </c>
      <c r="Y100" s="13"/>
      <c r="Z100" s="49" t="s">
        <v>77</v>
      </c>
      <c r="AA100" s="13">
        <f>AVERAGE(AA74:AA83)</f>
        <v>3.3066159999999996</v>
      </c>
      <c r="AB100" s="13">
        <f t="shared" ref="AB100:AI100" si="108">AVERAGE(AB74:AB83)</f>
        <v>8.5996240000000004</v>
      </c>
      <c r="AC100" s="13">
        <f t="shared" si="108"/>
        <v>0.27773374916111787</v>
      </c>
      <c r="AD100" s="13">
        <f t="shared" si="108"/>
        <v>0.72226625083888218</v>
      </c>
      <c r="AE100" s="13">
        <f t="shared" si="108"/>
        <v>0.30827610211918455</v>
      </c>
      <c r="AF100" s="13">
        <f t="shared" si="108"/>
        <v>8.4558639091529095E-2</v>
      </c>
      <c r="AG100" s="13">
        <f t="shared" si="108"/>
        <v>11.90624</v>
      </c>
      <c r="AH100" s="13">
        <f t="shared" si="108"/>
        <v>18.7</v>
      </c>
      <c r="AI100" s="13">
        <f t="shared" si="108"/>
        <v>5.6971959793500426</v>
      </c>
      <c r="AJ100" s="2"/>
      <c r="AK100" s="2"/>
      <c r="AL100" s="2"/>
      <c r="AR100" s="13">
        <v>96.685540000000003</v>
      </c>
      <c r="AS100" s="13">
        <v>101.71357</v>
      </c>
      <c r="AT100" s="13">
        <f t="shared" si="100"/>
        <v>5.0280300000000011</v>
      </c>
      <c r="AU100" s="13">
        <f t="shared" si="101"/>
        <v>6.700099999999992</v>
      </c>
      <c r="AV100" s="13">
        <f t="shared" si="102"/>
        <v>0.42871540475762154</v>
      </c>
      <c r="AW100" s="13">
        <f t="shared" si="103"/>
        <v>0.5712845952423784</v>
      </c>
      <c r="AX100" s="13">
        <f t="shared" si="104"/>
        <v>0.19888505040741597</v>
      </c>
      <c r="AY100" s="13">
        <f t="shared" si="105"/>
        <v>8.5265084885655304E-2</v>
      </c>
      <c r="AZ100" s="13">
        <f t="shared" si="106"/>
        <v>11.728129999999993</v>
      </c>
      <c r="BA100" s="13">
        <v>30</v>
      </c>
      <c r="BB100" s="85">
        <f t="shared" si="107"/>
        <v>5.9665515122224795</v>
      </c>
      <c r="BD100" t="s">
        <v>630</v>
      </c>
    </row>
    <row r="101" spans="3:56" x14ac:dyDescent="0.35">
      <c r="C101" s="261" t="s">
        <v>32</v>
      </c>
      <c r="D101" s="155">
        <v>6</v>
      </c>
      <c r="F101" s="13">
        <v>90.411770000000004</v>
      </c>
      <c r="G101" s="2">
        <v>93.692639999999997</v>
      </c>
      <c r="H101" s="2">
        <f t="shared" si="92"/>
        <v>3.2808699999999931</v>
      </c>
      <c r="I101" s="2">
        <f t="shared" si="93"/>
        <v>6.2172400000000039</v>
      </c>
      <c r="J101" s="2">
        <f t="shared" si="94"/>
        <v>0.34542345793005075</v>
      </c>
      <c r="K101" s="2">
        <f t="shared" si="95"/>
        <v>0.65457654206994931</v>
      </c>
      <c r="L101" s="2">
        <f t="shared" si="96"/>
        <v>0.30479720318086423</v>
      </c>
      <c r="M101" s="2">
        <f t="shared" si="97"/>
        <v>0.10528410389014239</v>
      </c>
      <c r="N101" s="2">
        <f t="shared" si="98"/>
        <v>9.4981099999999969</v>
      </c>
      <c r="O101" s="2">
        <v>20</v>
      </c>
      <c r="P101">
        <f t="shared" si="99"/>
        <v>6.095944063617285</v>
      </c>
      <c r="W101" s="206"/>
      <c r="X101" s="104"/>
      <c r="Y101" s="13"/>
      <c r="Z101" s="49" t="s">
        <v>94</v>
      </c>
      <c r="AA101" s="2">
        <f>_xlfn.STDEV.S(AA74:AA83)</f>
        <v>0.4820310670301437</v>
      </c>
      <c r="AB101" s="2">
        <f t="shared" ref="AB101:AI101" si="109">_xlfn.STDEV.S(AB74:AB83)</f>
        <v>0.84373022496266659</v>
      </c>
      <c r="AC101" s="2">
        <f t="shared" si="109"/>
        <v>3.2170431217351622E-2</v>
      </c>
      <c r="AD101" s="2">
        <f t="shared" si="109"/>
        <v>3.2170431217351657E-2</v>
      </c>
      <c r="AE101" s="2">
        <f t="shared" si="109"/>
        <v>4.5715810290124753E-2</v>
      </c>
      <c r="AF101" s="2">
        <f t="shared" si="109"/>
        <v>7.2821557512163975E-3</v>
      </c>
      <c r="AG101" s="2">
        <f t="shared" si="109"/>
        <v>1.0354997987123569</v>
      </c>
      <c r="AH101" s="2">
        <f t="shared" si="109"/>
        <v>2.0027758514399712</v>
      </c>
      <c r="AI101" s="2">
        <f t="shared" si="109"/>
        <v>0.46880813277827288</v>
      </c>
      <c r="AJ101" s="2"/>
      <c r="AK101" s="2"/>
      <c r="AL101" s="2"/>
      <c r="AQ101" s="85"/>
      <c r="AR101" s="13">
        <v>108.41367</v>
      </c>
      <c r="AS101" s="13">
        <v>112.82143000000001</v>
      </c>
      <c r="AT101" s="13">
        <f t="shared" si="100"/>
        <v>4.4077600000000103</v>
      </c>
      <c r="AU101" s="13">
        <f t="shared" si="101"/>
        <v>8.1992199999999968</v>
      </c>
      <c r="AV101" s="13">
        <f t="shared" si="102"/>
        <v>0.3496285391108741</v>
      </c>
      <c r="AW101" s="13">
        <f t="shared" si="103"/>
        <v>0.6503714608891259</v>
      </c>
      <c r="AX101" s="13">
        <f t="shared" si="104"/>
        <v>0.22687260649400096</v>
      </c>
      <c r="AY101" s="13">
        <f t="shared" si="105"/>
        <v>7.9321137972773764E-2</v>
      </c>
      <c r="AZ101" s="13">
        <f t="shared" si="106"/>
        <v>12.606980000000007</v>
      </c>
      <c r="BA101" s="13">
        <v>30</v>
      </c>
      <c r="BB101" s="85">
        <f t="shared" si="107"/>
        <v>6.8061781948200286</v>
      </c>
    </row>
    <row r="102" spans="3:56" x14ac:dyDescent="0.35">
      <c r="C102" s="261" t="s">
        <v>32</v>
      </c>
      <c r="D102" s="155">
        <v>6</v>
      </c>
      <c r="F102" s="13">
        <v>99.909880000000001</v>
      </c>
      <c r="G102" s="2">
        <v>104.03397</v>
      </c>
      <c r="H102" s="2">
        <f t="shared" si="92"/>
        <v>4.1240899999999954</v>
      </c>
      <c r="I102" s="2">
        <f t="shared" si="93"/>
        <v>7.217960000000005</v>
      </c>
      <c r="J102" s="2">
        <f t="shared" si="94"/>
        <v>0.36361063476179306</v>
      </c>
      <c r="K102" s="2">
        <f t="shared" si="95"/>
        <v>0.63638936523820688</v>
      </c>
      <c r="L102" s="2">
        <f t="shared" si="96"/>
        <v>0.24247773448203147</v>
      </c>
      <c r="M102" s="2">
        <f t="shared" si="97"/>
        <v>8.8167482950612983E-2</v>
      </c>
      <c r="N102" s="2">
        <f t="shared" si="98"/>
        <v>11.34205</v>
      </c>
      <c r="O102" s="2">
        <v>23</v>
      </c>
      <c r="P102">
        <f t="shared" si="99"/>
        <v>5.5769878930867236</v>
      </c>
      <c r="W102" s="206"/>
      <c r="X102" s="104"/>
      <c r="Y102" s="13"/>
      <c r="Z102" s="49" t="s">
        <v>95</v>
      </c>
      <c r="AA102" s="2">
        <f>AA101/(SQRT(COUNT(AA74:AA83)))</f>
        <v>0.152431607477655</v>
      </c>
      <c r="AB102" s="2">
        <f t="shared" ref="AB102:AI102" si="110">AB101/(SQRT(COUNT(AB74:AB83)))</f>
        <v>0.26681092416082813</v>
      </c>
      <c r="AC102" s="2">
        <f t="shared" si="110"/>
        <v>1.0173183595661446E-2</v>
      </c>
      <c r="AD102" s="2">
        <f t="shared" si="110"/>
        <v>1.0173183595661458E-2</v>
      </c>
      <c r="AE102" s="2">
        <f t="shared" si="110"/>
        <v>1.4456608559695721E-2</v>
      </c>
      <c r="AF102" s="2">
        <f t="shared" si="110"/>
        <v>2.3028198449938295E-3</v>
      </c>
      <c r="AG102" s="2">
        <f t="shared" si="110"/>
        <v>0.32745378805769393</v>
      </c>
      <c r="AH102" s="2">
        <f t="shared" si="110"/>
        <v>0.63333333333333253</v>
      </c>
      <c r="AI102" s="2">
        <f t="shared" si="110"/>
        <v>0.14825014851899837</v>
      </c>
      <c r="AJ102" s="2"/>
      <c r="AK102" s="2"/>
      <c r="AL102" s="2"/>
      <c r="AQ102" s="85"/>
      <c r="AR102" s="13">
        <v>121.02065</v>
      </c>
      <c r="AS102" s="13">
        <v>125.70287</v>
      </c>
      <c r="AT102" s="13">
        <f t="shared" si="100"/>
        <v>4.6822200000000009</v>
      </c>
      <c r="AU102" s="13">
        <f t="shared" si="101"/>
        <v>4.8466399999999936</v>
      </c>
      <c r="AV102" s="13">
        <f t="shared" si="102"/>
        <v>0.49137252514991336</v>
      </c>
      <c r="AW102" s="13">
        <f t="shared" si="103"/>
        <v>0.50862747485008664</v>
      </c>
      <c r="AX102" s="13">
        <f t="shared" si="104"/>
        <v>0.21357390297764731</v>
      </c>
      <c r="AY102" s="13">
        <f t="shared" si="105"/>
        <v>0.10494434801224917</v>
      </c>
      <c r="AZ102" s="13">
        <f t="shared" si="106"/>
        <v>9.5288599999999946</v>
      </c>
      <c r="BA102" s="13">
        <v>26</v>
      </c>
      <c r="BB102" s="85">
        <f t="shared" si="107"/>
        <v>5.5529214774188302</v>
      </c>
    </row>
    <row r="103" spans="3:56" x14ac:dyDescent="0.35">
      <c r="C103" s="261" t="s">
        <v>32</v>
      </c>
      <c r="D103" s="155">
        <v>6</v>
      </c>
      <c r="F103" s="13">
        <v>111.25193</v>
      </c>
      <c r="G103" s="2">
        <v>114.44217</v>
      </c>
      <c r="H103" s="2">
        <f t="shared" si="92"/>
        <v>3.1902400000000029</v>
      </c>
      <c r="I103" s="2">
        <f t="shared" si="93"/>
        <v>6.2197699999999969</v>
      </c>
      <c r="J103" s="2">
        <f t="shared" si="94"/>
        <v>0.3390262071985049</v>
      </c>
      <c r="K103" s="2">
        <f t="shared" si="95"/>
        <v>0.66097379280149515</v>
      </c>
      <c r="L103" s="2">
        <f t="shared" si="96"/>
        <v>0.31345604092482043</v>
      </c>
      <c r="M103" s="2">
        <f t="shared" si="97"/>
        <v>0.10626981267820119</v>
      </c>
      <c r="N103" s="2">
        <f t="shared" si="98"/>
        <v>9.4100099999999998</v>
      </c>
      <c r="O103" s="2">
        <v>20</v>
      </c>
      <c r="P103">
        <f t="shared" si="99"/>
        <v>6.2691208184964085</v>
      </c>
      <c r="W103" s="264"/>
      <c r="X103" s="104"/>
      <c r="Y103" s="13"/>
      <c r="Z103" s="49"/>
      <c r="AA103" s="2"/>
      <c r="AB103" s="2"/>
      <c r="AC103" s="2"/>
      <c r="AD103" s="2"/>
      <c r="AE103" s="2"/>
      <c r="AF103" s="2"/>
      <c r="AG103" s="2"/>
      <c r="AH103" s="2"/>
      <c r="AI103" s="2"/>
      <c r="AJ103" s="2"/>
      <c r="AK103" s="2"/>
      <c r="AL103" s="2"/>
      <c r="AQ103" s="144" t="s">
        <v>235</v>
      </c>
      <c r="AR103" s="91">
        <v>130.54951</v>
      </c>
      <c r="AS103" s="91">
        <v>134.03085999999999</v>
      </c>
      <c r="AT103" s="91">
        <f t="shared" si="100"/>
        <v>3.481349999999992</v>
      </c>
      <c r="AU103" s="91">
        <f t="shared" si="101"/>
        <v>9.0331800000000158</v>
      </c>
      <c r="AV103" s="91">
        <f t="shared" si="102"/>
        <v>0.27818463817658273</v>
      </c>
      <c r="AW103" s="91">
        <f t="shared" si="103"/>
        <v>0.72181536182341732</v>
      </c>
      <c r="AX103" s="91">
        <f t="shared" si="104"/>
        <v>0.28724489063150854</v>
      </c>
      <c r="AY103" s="91">
        <f t="shared" si="105"/>
        <v>7.9907115968398279E-2</v>
      </c>
      <c r="AZ103" s="91">
        <f t="shared" si="106"/>
        <v>12.514530000000008</v>
      </c>
      <c r="BA103" s="91">
        <v>24</v>
      </c>
      <c r="BB103" s="144">
        <f t="shared" si="107"/>
        <v>6.8938773751562055</v>
      </c>
    </row>
    <row r="104" spans="3:56" x14ac:dyDescent="0.35">
      <c r="C104" s="261" t="s">
        <v>32</v>
      </c>
      <c r="D104" s="155">
        <v>0</v>
      </c>
      <c r="F104" s="13">
        <v>120.66194</v>
      </c>
      <c r="G104" s="2">
        <v>123.30944</v>
      </c>
      <c r="H104" s="2">
        <f t="shared" si="92"/>
        <v>2.6474999999999937</v>
      </c>
      <c r="I104" s="2">
        <f t="shared" si="93"/>
        <v>6.9455399999999941</v>
      </c>
      <c r="J104" s="2">
        <f t="shared" si="94"/>
        <v>0.27598133646893969</v>
      </c>
      <c r="K104" s="2">
        <f t="shared" si="95"/>
        <v>0.72401866353106037</v>
      </c>
      <c r="L104" s="2">
        <f t="shared" si="96"/>
        <v>0.37771482530689421</v>
      </c>
      <c r="M104" s="2">
        <f t="shared" si="97"/>
        <v>0.10424224229232874</v>
      </c>
      <c r="N104" s="2">
        <f t="shared" si="98"/>
        <v>9.5930399999999878</v>
      </c>
      <c r="O104" s="2">
        <v>15</v>
      </c>
      <c r="P104">
        <f t="shared" si="99"/>
        <v>5.6657223796034124</v>
      </c>
      <c r="R104" t="s">
        <v>514</v>
      </c>
      <c r="W104" s="264"/>
      <c r="X104" s="104"/>
      <c r="Y104" s="13"/>
      <c r="Z104" s="49"/>
      <c r="AA104" s="2"/>
      <c r="AB104" s="2"/>
      <c r="AC104" s="2"/>
      <c r="AD104" s="2"/>
      <c r="AE104" s="2"/>
      <c r="AF104" s="2"/>
      <c r="AG104" s="2"/>
      <c r="AH104" s="2"/>
      <c r="AI104" s="2"/>
      <c r="AJ104" s="2"/>
      <c r="AK104" s="2"/>
      <c r="AL104" s="2"/>
      <c r="AQ104" s="85"/>
      <c r="AR104" s="13">
        <v>143.06404000000001</v>
      </c>
      <c r="AS104" s="85">
        <v>147.38596000000001</v>
      </c>
      <c r="AT104" s="13">
        <f t="shared" si="100"/>
        <v>4.3219200000000058</v>
      </c>
      <c r="AU104" s="13">
        <f t="shared" si="101"/>
        <v>5.7350399999999979</v>
      </c>
      <c r="AV104" s="13">
        <f t="shared" si="102"/>
        <v>0.42974417716685798</v>
      </c>
      <c r="AW104" s="13">
        <f t="shared" si="103"/>
        <v>0.57025582283314202</v>
      </c>
      <c r="AX104" s="13">
        <f t="shared" si="104"/>
        <v>0.23137864652746898</v>
      </c>
      <c r="AY104" s="13">
        <f t="shared" si="105"/>
        <v>9.943362606592844E-2</v>
      </c>
      <c r="AZ104" s="13">
        <f t="shared" si="106"/>
        <v>10.056960000000004</v>
      </c>
      <c r="BA104" s="13">
        <v>22</v>
      </c>
      <c r="BB104" s="85">
        <f t="shared" si="107"/>
        <v>5.0903302236043171</v>
      </c>
    </row>
    <row r="105" spans="3:56" ht="16" thickBot="1" x14ac:dyDescent="0.4">
      <c r="C105" s="261" t="s">
        <v>32</v>
      </c>
      <c r="D105" s="155">
        <v>0</v>
      </c>
      <c r="F105" s="13">
        <v>130.25497999999999</v>
      </c>
      <c r="G105" s="2">
        <v>133.02270999999999</v>
      </c>
      <c r="H105" s="2">
        <f t="shared" si="92"/>
        <v>2.7677300000000002</v>
      </c>
      <c r="I105" s="2">
        <f t="shared" si="93"/>
        <v>8.3185300000000097</v>
      </c>
      <c r="J105" s="2">
        <f t="shared" si="94"/>
        <v>0.24965407630706818</v>
      </c>
      <c r="K105" s="2">
        <f t="shared" si="95"/>
        <v>0.75034592369293185</v>
      </c>
      <c r="L105" s="2">
        <f t="shared" si="96"/>
        <v>0.36130691938881321</v>
      </c>
      <c r="M105" s="2">
        <f t="shared" si="97"/>
        <v>9.0201745223366506E-2</v>
      </c>
      <c r="N105" s="2">
        <f t="shared" si="98"/>
        <v>11.08626000000001</v>
      </c>
      <c r="O105" s="2">
        <v>16</v>
      </c>
      <c r="P105">
        <f t="shared" si="99"/>
        <v>5.7809107102210113</v>
      </c>
      <c r="W105" s="264"/>
      <c r="X105" s="104" t="s">
        <v>81</v>
      </c>
      <c r="Y105" s="13"/>
      <c r="Z105" s="13"/>
      <c r="AA105" s="9" t="s">
        <v>3</v>
      </c>
      <c r="AB105" s="9" t="s">
        <v>4</v>
      </c>
      <c r="AC105" s="9" t="s">
        <v>5</v>
      </c>
      <c r="AD105" s="9" t="s">
        <v>6</v>
      </c>
      <c r="AE105" s="9" t="s">
        <v>7</v>
      </c>
      <c r="AF105" s="9" t="s">
        <v>8</v>
      </c>
      <c r="AG105" s="9" t="s">
        <v>9</v>
      </c>
      <c r="AH105" s="9" t="s">
        <v>10</v>
      </c>
      <c r="AI105" s="44" t="s">
        <v>139</v>
      </c>
      <c r="AJ105" s="2"/>
      <c r="AK105" s="2"/>
      <c r="AL105" s="2"/>
      <c r="AQ105" s="144" t="s">
        <v>235</v>
      </c>
      <c r="AR105" s="91">
        <v>153.12100000000001</v>
      </c>
      <c r="AS105" s="144">
        <v>156.27483000000001</v>
      </c>
      <c r="AT105" s="91">
        <f t="shared" si="100"/>
        <v>3.1538299999999992</v>
      </c>
      <c r="AU105" s="91">
        <f t="shared" si="101"/>
        <v>11.634379999999993</v>
      </c>
      <c r="AV105" s="91">
        <f t="shared" si="102"/>
        <v>0.21326651433811131</v>
      </c>
      <c r="AW105" s="91">
        <f t="shared" si="103"/>
        <v>0.78673348566188872</v>
      </c>
      <c r="AX105" s="91">
        <f t="shared" si="104"/>
        <v>0.31707479477333916</v>
      </c>
      <c r="AY105" s="91">
        <f t="shared" si="105"/>
        <v>6.7621436265782028E-2</v>
      </c>
      <c r="AZ105" s="91">
        <f t="shared" si="106"/>
        <v>14.788209999999992</v>
      </c>
      <c r="BA105" s="91">
        <v>20</v>
      </c>
      <c r="BB105" s="144">
        <f t="shared" si="107"/>
        <v>6.3414958954667835</v>
      </c>
    </row>
    <row r="106" spans="3:56" x14ac:dyDescent="0.35">
      <c r="C106" s="261" t="s">
        <v>32</v>
      </c>
      <c r="D106" s="155">
        <v>0</v>
      </c>
      <c r="F106" s="13">
        <v>141.34124</v>
      </c>
      <c r="G106" s="2">
        <v>144.22209000000001</v>
      </c>
      <c r="H106" s="2">
        <f t="shared" si="92"/>
        <v>2.8808500000000095</v>
      </c>
      <c r="I106" s="2">
        <f t="shared" si="93"/>
        <v>6.8649899999999775</v>
      </c>
      <c r="J106" s="2">
        <f t="shared" si="94"/>
        <v>0.29559791664956669</v>
      </c>
      <c r="K106" s="2">
        <f t="shared" si="95"/>
        <v>0.70440208335043331</v>
      </c>
      <c r="L106" s="2">
        <f t="shared" si="96"/>
        <v>0.34711977367790642</v>
      </c>
      <c r="M106" s="2">
        <f t="shared" si="97"/>
        <v>0.10260788192705825</v>
      </c>
      <c r="N106" s="2">
        <f t="shared" si="98"/>
        <v>9.745839999999987</v>
      </c>
      <c r="O106" s="2">
        <v>17</v>
      </c>
      <c r="P106">
        <f t="shared" si="99"/>
        <v>5.9010361525244095</v>
      </c>
      <c r="W106" s="264"/>
      <c r="X106" s="104"/>
      <c r="Y106" s="13"/>
      <c r="Z106" s="49" t="s">
        <v>77</v>
      </c>
      <c r="AA106" s="13">
        <f>AVERAGE(AA77,AA79,AA82)</f>
        <v>3.1224366666666654</v>
      </c>
      <c r="AB106" s="13">
        <f t="shared" ref="AB106:AI106" si="111">AVERAGE(AB77,AB79,AB82)</f>
        <v>7.654390000000002</v>
      </c>
      <c r="AC106" s="13">
        <f t="shared" si="111"/>
        <v>0.28982777793653081</v>
      </c>
      <c r="AD106" s="13">
        <f t="shared" si="111"/>
        <v>0.71017222206346931</v>
      </c>
      <c r="AE106" s="13">
        <f t="shared" si="111"/>
        <v>0.32201696104394345</v>
      </c>
      <c r="AF106" s="13">
        <f t="shared" si="111"/>
        <v>9.2794936877764342E-2</v>
      </c>
      <c r="AG106" s="13">
        <f t="shared" si="111"/>
        <v>10.776826666666667</v>
      </c>
      <c r="AH106" s="13">
        <f t="shared" si="111"/>
        <v>18</v>
      </c>
      <c r="AI106" s="13">
        <f t="shared" si="111"/>
        <v>5.7794454700982527</v>
      </c>
      <c r="AJ106" s="2"/>
      <c r="AK106" s="2"/>
      <c r="AL106" s="2"/>
      <c r="AR106" s="13">
        <v>167.90921</v>
      </c>
      <c r="AS106" s="85">
        <v>172.21306999999999</v>
      </c>
      <c r="AT106" s="13">
        <f t="shared" si="100"/>
        <v>4.303859999999986</v>
      </c>
      <c r="AU106" s="13">
        <f t="shared" si="101"/>
        <v>8.6746000000000265</v>
      </c>
      <c r="AV106" s="13">
        <f t="shared" si="102"/>
        <v>0.33161561541199663</v>
      </c>
      <c r="AW106" s="13">
        <f t="shared" si="103"/>
        <v>0.66838438458800331</v>
      </c>
      <c r="AX106" s="13">
        <f t="shared" si="104"/>
        <v>0.23234956527396414</v>
      </c>
      <c r="AY106" s="13">
        <f t="shared" si="105"/>
        <v>7.7050744079035491E-2</v>
      </c>
      <c r="AZ106" s="13">
        <f t="shared" si="106"/>
        <v>12.978460000000013</v>
      </c>
      <c r="BA106" s="13">
        <v>25</v>
      </c>
      <c r="BB106" s="85">
        <f t="shared" si="107"/>
        <v>5.8087391318491033</v>
      </c>
    </row>
    <row r="107" spans="3:56" x14ac:dyDescent="0.35">
      <c r="C107" s="261" t="s">
        <v>32</v>
      </c>
      <c r="D107" s="155">
        <v>0</v>
      </c>
      <c r="F107" s="13">
        <v>151.08707999999999</v>
      </c>
      <c r="G107" s="13">
        <v>153.74503999999999</v>
      </c>
      <c r="H107" s="2">
        <f t="shared" si="92"/>
        <v>2.6579600000000028</v>
      </c>
      <c r="I107" s="2">
        <f t="shared" si="93"/>
        <v>6.9652400000000227</v>
      </c>
      <c r="J107" s="2">
        <f t="shared" si="94"/>
        <v>0.27620334192368401</v>
      </c>
      <c r="K107" s="2">
        <f t="shared" si="95"/>
        <v>0.72379665807631599</v>
      </c>
      <c r="L107" s="2">
        <f t="shared" si="96"/>
        <v>0.37622838567924233</v>
      </c>
      <c r="M107" s="2">
        <f t="shared" si="97"/>
        <v>0.10391553745115942</v>
      </c>
      <c r="N107" s="2">
        <f t="shared" si="98"/>
        <v>9.6232000000000255</v>
      </c>
      <c r="O107" s="2">
        <v>16</v>
      </c>
      <c r="P107">
        <f t="shared" si="99"/>
        <v>6.0196541708678772</v>
      </c>
      <c r="W107" s="264"/>
      <c r="X107" s="104"/>
      <c r="Y107" s="13"/>
      <c r="Z107" s="49" t="s">
        <v>94</v>
      </c>
      <c r="AA107" s="2">
        <f>_xlfn.STDEV.S(AA77,AA79,AA82)</f>
        <v>0.27504547993619871</v>
      </c>
      <c r="AB107" s="2">
        <f t="shared" ref="AB107:AI107" si="112">_xlfn.STDEV.S(AB77,AB79,AB82)</f>
        <v>0.33181862922385896</v>
      </c>
      <c r="AC107" s="2">
        <f t="shared" si="112"/>
        <v>2.6880132365812645E-2</v>
      </c>
      <c r="AD107" s="2">
        <f t="shared" si="112"/>
        <v>2.6880132365812662E-2</v>
      </c>
      <c r="AE107" s="2">
        <f t="shared" si="112"/>
        <v>2.9873303505782486E-2</v>
      </c>
      <c r="AF107" s="2">
        <f t="shared" si="112"/>
        <v>6.7292322057457788E-4</v>
      </c>
      <c r="AG107" s="2">
        <f t="shared" si="112"/>
        <v>7.790727907797379E-2</v>
      </c>
      <c r="AH107" s="2">
        <f t="shared" si="112"/>
        <v>1</v>
      </c>
      <c r="AI107" s="2">
        <f t="shared" si="112"/>
        <v>0.29859109275760704</v>
      </c>
      <c r="AJ107" s="2"/>
      <c r="AK107" s="2"/>
      <c r="AL107" s="2"/>
      <c r="AQ107" s="144" t="s">
        <v>235</v>
      </c>
      <c r="AR107" s="91">
        <v>180.88767000000001</v>
      </c>
      <c r="AS107" s="91">
        <v>184.32977</v>
      </c>
      <c r="AT107" s="91">
        <f t="shared" si="100"/>
        <v>3.4420999999999822</v>
      </c>
      <c r="AU107" s="91">
        <f t="shared" si="101"/>
        <v>7.5086100000000044</v>
      </c>
      <c r="AV107" s="91">
        <f t="shared" si="102"/>
        <v>0.3143266509660092</v>
      </c>
      <c r="AW107" s="91">
        <f t="shared" si="103"/>
        <v>0.6856733490339908</v>
      </c>
      <c r="AX107" s="91">
        <f t="shared" si="104"/>
        <v>0.29052032189651816</v>
      </c>
      <c r="AY107" s="91">
        <f t="shared" si="105"/>
        <v>9.1318279819299505E-2</v>
      </c>
      <c r="AZ107" s="91">
        <f t="shared" si="106"/>
        <v>10.950709999999987</v>
      </c>
      <c r="BA107" s="91">
        <v>18</v>
      </c>
      <c r="BB107" s="144">
        <f t="shared" si="107"/>
        <v>5.2293657941373271</v>
      </c>
    </row>
    <row r="108" spans="3:56" x14ac:dyDescent="0.35">
      <c r="C108" s="261" t="s">
        <v>32</v>
      </c>
      <c r="D108" s="155">
        <v>0</v>
      </c>
      <c r="F108" s="13">
        <v>160.71028000000001</v>
      </c>
      <c r="G108" s="13">
        <v>163.47810000000001</v>
      </c>
      <c r="H108" s="2">
        <f t="shared" si="92"/>
        <v>2.7678200000000004</v>
      </c>
      <c r="I108" s="2">
        <f t="shared" si="93"/>
        <v>6.9519599999999855</v>
      </c>
      <c r="J108" s="2">
        <f t="shared" si="94"/>
        <v>0.28476158925407824</v>
      </c>
      <c r="K108" s="2">
        <f t="shared" si="95"/>
        <v>0.71523841074592176</v>
      </c>
      <c r="L108" s="2">
        <f t="shared" si="96"/>
        <v>0.3612951709287453</v>
      </c>
      <c r="M108" s="2">
        <f t="shared" si="97"/>
        <v>0.10288298706349336</v>
      </c>
      <c r="N108" s="2">
        <f t="shared" si="98"/>
        <v>9.7197799999999859</v>
      </c>
      <c r="O108" s="2">
        <v>16</v>
      </c>
      <c r="P108">
        <f t="shared" si="99"/>
        <v>5.7807227348599248</v>
      </c>
      <c r="W108" s="264"/>
      <c r="X108" s="104"/>
      <c r="Y108" s="13"/>
      <c r="Z108" s="49" t="s">
        <v>95</v>
      </c>
      <c r="AA108" s="2">
        <f>AA107/(SQRT(COUNT(AA77,AA79,AA82)))</f>
        <v>0.15879758188055415</v>
      </c>
      <c r="AB108" s="2">
        <f t="shared" ref="AB108:AI108" si="113">AB107/(SQRT(COUNT(AB77,AB79,AB82)))</f>
        <v>0.19157557490452762</v>
      </c>
      <c r="AC108" s="2">
        <f t="shared" si="113"/>
        <v>1.5519251657254703E-2</v>
      </c>
      <c r="AD108" s="2">
        <f t="shared" si="113"/>
        <v>1.5519251657254714E-2</v>
      </c>
      <c r="AE108" s="2">
        <f t="shared" si="113"/>
        <v>1.7247359820646912E-2</v>
      </c>
      <c r="AF108" s="2">
        <f t="shared" si="113"/>
        <v>3.8851240254268249E-4</v>
      </c>
      <c r="AG108" s="2">
        <f t="shared" si="113"/>
        <v>4.4979788547499469E-2</v>
      </c>
      <c r="AH108" s="2">
        <f t="shared" si="113"/>
        <v>0.57735026918962584</v>
      </c>
      <c r="AI108" s="2">
        <f t="shared" si="113"/>
        <v>0.17239164778122895</v>
      </c>
      <c r="AJ108" s="2"/>
      <c r="AK108" s="2"/>
      <c r="AL108" s="2"/>
      <c r="AQ108" s="85"/>
      <c r="AR108" s="13">
        <v>191.83838</v>
      </c>
      <c r="AS108" s="85">
        <v>196.28061</v>
      </c>
      <c r="AT108" s="13">
        <f t="shared" si="100"/>
        <v>4.442229999999995</v>
      </c>
      <c r="AU108" s="13">
        <f t="shared" si="101"/>
        <v>5.609250000000003</v>
      </c>
      <c r="AV108" s="13">
        <f t="shared" si="102"/>
        <v>0.4419478524555584</v>
      </c>
      <c r="AW108" s="13">
        <f t="shared" si="103"/>
        <v>0.55805214754444166</v>
      </c>
      <c r="AX108" s="13">
        <f t="shared" si="104"/>
        <v>0.22511216213478391</v>
      </c>
      <c r="AY108" s="13">
        <f t="shared" si="105"/>
        <v>9.9487836617095218E-2</v>
      </c>
      <c r="AZ108" s="13">
        <f t="shared" si="106"/>
        <v>10.051479999999998</v>
      </c>
      <c r="BA108" s="13">
        <v>28</v>
      </c>
      <c r="BB108" s="85">
        <f t="shared" si="107"/>
        <v>6.3031405397739491</v>
      </c>
    </row>
    <row r="109" spans="3:56" x14ac:dyDescent="0.35">
      <c r="C109" s="261" t="s">
        <v>32</v>
      </c>
      <c r="D109" s="155">
        <v>0</v>
      </c>
      <c r="F109" s="13">
        <v>170.43006</v>
      </c>
      <c r="G109" s="13">
        <v>173.42349999999999</v>
      </c>
      <c r="H109" s="2">
        <f t="shared" si="92"/>
        <v>2.9934399999999926</v>
      </c>
      <c r="I109" s="2">
        <f t="shared" si="93"/>
        <v>6.9445699999999988</v>
      </c>
      <c r="J109" s="2">
        <f t="shared" si="94"/>
        <v>0.30121120828012804</v>
      </c>
      <c r="K109" s="2">
        <f t="shared" si="95"/>
        <v>0.69878879171987196</v>
      </c>
      <c r="L109" s="2">
        <f t="shared" si="96"/>
        <v>0.33406381955208808</v>
      </c>
      <c r="M109" s="2">
        <f t="shared" si="97"/>
        <v>0.10062376672995911</v>
      </c>
      <c r="N109" s="2">
        <f t="shared" si="98"/>
        <v>9.9380099999999914</v>
      </c>
      <c r="O109" s="2">
        <v>17</v>
      </c>
      <c r="P109">
        <f t="shared" si="99"/>
        <v>5.6790849323854973</v>
      </c>
      <c r="W109" s="264"/>
      <c r="X109" s="104"/>
      <c r="Y109" s="13"/>
      <c r="Z109" s="49"/>
      <c r="AA109" s="2"/>
      <c r="AB109" s="2"/>
      <c r="AC109" s="2"/>
      <c r="AD109" s="2"/>
      <c r="AE109" s="2"/>
      <c r="AF109" s="2"/>
      <c r="AG109" s="2"/>
      <c r="AH109" s="2"/>
      <c r="AI109" s="2"/>
      <c r="AJ109" s="2"/>
      <c r="AK109" s="2"/>
      <c r="AL109" s="2"/>
      <c r="AQ109" s="85"/>
      <c r="AR109" s="13">
        <v>201.88986</v>
      </c>
      <c r="AS109" s="85">
        <v>205.24525</v>
      </c>
      <c r="AT109" s="13"/>
      <c r="AU109" s="13"/>
      <c r="AV109" s="13"/>
      <c r="AW109" s="13"/>
      <c r="AX109" s="13"/>
      <c r="AY109" s="13"/>
      <c r="AZ109" s="13"/>
      <c r="BA109" s="13"/>
      <c r="BB109" s="85"/>
    </row>
    <row r="110" spans="3:56" x14ac:dyDescent="0.35">
      <c r="C110" s="261" t="s">
        <v>32</v>
      </c>
      <c r="D110" s="155">
        <v>0</v>
      </c>
      <c r="F110" s="13">
        <v>180.36806999999999</v>
      </c>
      <c r="G110" s="13">
        <v>183.01107999999999</v>
      </c>
      <c r="H110" s="2">
        <f t="shared" si="92"/>
        <v>2.6430100000000039</v>
      </c>
      <c r="I110" s="2">
        <f t="shared" si="93"/>
        <v>7.047600000000017</v>
      </c>
      <c r="J110" s="2">
        <f t="shared" si="94"/>
        <v>0.27273928060256247</v>
      </c>
      <c r="K110" s="2">
        <f t="shared" si="95"/>
        <v>0.72726071939743753</v>
      </c>
      <c r="L110" s="2">
        <f t="shared" si="96"/>
        <v>0.37835649505677182</v>
      </c>
      <c r="M110" s="2">
        <f t="shared" si="97"/>
        <v>0.10319267827309095</v>
      </c>
      <c r="N110" s="2">
        <f t="shared" si="98"/>
        <v>9.6906100000000208</v>
      </c>
      <c r="O110" s="2">
        <v>17</v>
      </c>
      <c r="P110">
        <f t="shared" si="99"/>
        <v>6.4320604159651209</v>
      </c>
      <c r="W110" s="264"/>
      <c r="X110" s="104"/>
      <c r="Y110" s="13"/>
      <c r="Z110" s="49"/>
      <c r="AA110" s="2"/>
      <c r="AB110" s="2"/>
      <c r="AC110" s="2"/>
      <c r="AD110" s="2"/>
      <c r="AE110" s="2"/>
      <c r="AF110" s="2"/>
      <c r="AG110" s="2"/>
      <c r="AH110" s="2"/>
      <c r="AI110" s="2"/>
      <c r="AJ110" s="2"/>
      <c r="AK110" s="2"/>
      <c r="AL110" s="2"/>
      <c r="AQ110" s="85"/>
      <c r="AR110" s="13"/>
      <c r="AS110" s="85"/>
      <c r="AT110" s="13"/>
      <c r="AU110" s="13"/>
      <c r="AV110" s="13"/>
      <c r="AW110" s="13"/>
      <c r="AX110" s="13"/>
      <c r="AY110" s="13"/>
      <c r="AZ110" s="13"/>
      <c r="BA110" s="13"/>
      <c r="BB110" s="85"/>
    </row>
    <row r="111" spans="3:56" ht="16" thickBot="1" x14ac:dyDescent="0.4">
      <c r="C111" s="261" t="s">
        <v>32</v>
      </c>
      <c r="D111" s="155">
        <v>0</v>
      </c>
      <c r="F111" s="13">
        <v>190.05868000000001</v>
      </c>
      <c r="G111" s="13">
        <v>192.96161000000001</v>
      </c>
      <c r="H111" s="2">
        <f t="shared" si="92"/>
        <v>2.9029299999999978</v>
      </c>
      <c r="I111" s="2">
        <f t="shared" si="93"/>
        <v>6.9005499999999813</v>
      </c>
      <c r="J111" s="2">
        <f t="shared" si="94"/>
        <v>0.2961121968933485</v>
      </c>
      <c r="K111" s="2">
        <f t="shared" si="95"/>
        <v>0.70388780310665156</v>
      </c>
      <c r="L111" s="2">
        <f t="shared" si="96"/>
        <v>0.34447954308233431</v>
      </c>
      <c r="M111" s="2">
        <f t="shared" si="97"/>
        <v>0.1020045942869269</v>
      </c>
      <c r="N111" s="2">
        <f t="shared" si="98"/>
        <v>9.8034799999999791</v>
      </c>
      <c r="O111" s="2">
        <v>19</v>
      </c>
      <c r="P111">
        <f t="shared" si="99"/>
        <v>6.5451113185643521</v>
      </c>
      <c r="W111" s="264"/>
      <c r="X111" s="104" t="s">
        <v>82</v>
      </c>
      <c r="Y111" s="13"/>
      <c r="Z111" s="13"/>
      <c r="AA111" s="9" t="s">
        <v>3</v>
      </c>
      <c r="AB111" s="9" t="s">
        <v>4</v>
      </c>
      <c r="AC111" s="9" t="s">
        <v>5</v>
      </c>
      <c r="AD111" s="9" t="s">
        <v>6</v>
      </c>
      <c r="AE111" s="9" t="s">
        <v>7</v>
      </c>
      <c r="AF111" s="9" t="s">
        <v>8</v>
      </c>
      <c r="AG111" s="9" t="s">
        <v>9</v>
      </c>
      <c r="AH111" s="9" t="s">
        <v>10</v>
      </c>
      <c r="AI111" s="44" t="s">
        <v>139</v>
      </c>
      <c r="AJ111" s="2"/>
      <c r="AK111" s="2"/>
      <c r="AL111" s="2"/>
      <c r="AR111" s="13"/>
      <c r="AT111" s="2"/>
      <c r="AU111" s="2"/>
      <c r="AV111" s="2"/>
      <c r="AW111" s="2"/>
      <c r="AX111" s="2"/>
      <c r="AY111" s="2"/>
      <c r="AZ111" s="2"/>
    </row>
    <row r="112" spans="3:56" x14ac:dyDescent="0.35">
      <c r="C112" s="261" t="s">
        <v>32</v>
      </c>
      <c r="D112" s="155">
        <v>0</v>
      </c>
      <c r="F112" s="13">
        <v>199.86215999999999</v>
      </c>
      <c r="G112" s="13">
        <v>202.78773000000001</v>
      </c>
      <c r="H112" s="2">
        <f t="shared" si="92"/>
        <v>2.9255700000000218</v>
      </c>
      <c r="I112" s="2">
        <f t="shared" si="93"/>
        <v>6.678370000000001</v>
      </c>
      <c r="J112" s="2">
        <f t="shared" si="94"/>
        <v>0.3046218531144525</v>
      </c>
      <c r="K112" s="2">
        <f t="shared" si="95"/>
        <v>0.69537814688554755</v>
      </c>
      <c r="L112" s="2">
        <f t="shared" si="96"/>
        <v>0.34181373202486781</v>
      </c>
      <c r="M112" s="2">
        <f t="shared" si="97"/>
        <v>0.10412393246938211</v>
      </c>
      <c r="N112" s="2">
        <f t="shared" si="98"/>
        <v>9.6039400000000228</v>
      </c>
      <c r="O112" s="2">
        <v>17</v>
      </c>
      <c r="P112">
        <f t="shared" si="99"/>
        <v>5.8108334444227534</v>
      </c>
      <c r="W112" s="264"/>
      <c r="X112" s="104"/>
      <c r="Y112" s="13"/>
      <c r="Z112" s="49" t="s">
        <v>77</v>
      </c>
      <c r="AA112" s="13">
        <f>AVERAGE(AA74:AA76,AA78,AA80:AA81,AA83)</f>
        <v>3.3855499999999998</v>
      </c>
      <c r="AB112" s="13">
        <f t="shared" ref="AB112:AI112" si="114">AVERAGE(AB74:AB76,AB78,AB80:AB81,AB83)</f>
        <v>9.0047242857142855</v>
      </c>
      <c r="AC112" s="13">
        <f t="shared" si="114"/>
        <v>0.27255059397165521</v>
      </c>
      <c r="AD112" s="13">
        <f t="shared" si="114"/>
        <v>0.72744940602834496</v>
      </c>
      <c r="AE112" s="13">
        <f t="shared" si="114"/>
        <v>0.30238716258000203</v>
      </c>
      <c r="AF112" s="13">
        <f t="shared" si="114"/>
        <v>8.1028797183142584E-2</v>
      </c>
      <c r="AG112" s="13">
        <f t="shared" si="114"/>
        <v>12.390274285714284</v>
      </c>
      <c r="AH112" s="13">
        <f t="shared" si="114"/>
        <v>19</v>
      </c>
      <c r="AI112" s="13">
        <f t="shared" si="114"/>
        <v>5.6619461976008081</v>
      </c>
      <c r="AJ112" s="2"/>
      <c r="AK112" s="2"/>
      <c r="AL112" s="2"/>
      <c r="AR112" s="13"/>
      <c r="AT112" s="2"/>
      <c r="AU112" s="2"/>
      <c r="AV112" s="2"/>
      <c r="AW112" s="2"/>
      <c r="AX112" s="2"/>
      <c r="AY112" s="2"/>
      <c r="AZ112" s="2"/>
    </row>
    <row r="113" spans="3:54" x14ac:dyDescent="0.35">
      <c r="C113" s="261" t="s">
        <v>32</v>
      </c>
      <c r="D113" s="155">
        <v>0</v>
      </c>
      <c r="F113" s="13">
        <v>209.46610000000001</v>
      </c>
      <c r="G113" s="13">
        <v>212.14234999999999</v>
      </c>
      <c r="H113" s="2">
        <f t="shared" si="92"/>
        <v>2.6762499999999818</v>
      </c>
      <c r="I113" s="2">
        <f t="shared" si="93"/>
        <v>6.7449799999999982</v>
      </c>
      <c r="J113" s="2">
        <f t="shared" si="94"/>
        <v>0.28406588099430619</v>
      </c>
      <c r="K113" s="2">
        <f t="shared" si="95"/>
        <v>0.71593411900569381</v>
      </c>
      <c r="L113" s="2">
        <f t="shared" si="96"/>
        <v>0.37365716954694322</v>
      </c>
      <c r="M113" s="2">
        <f t="shared" si="97"/>
        <v>0.10614325305719127</v>
      </c>
      <c r="N113" s="2">
        <f t="shared" si="98"/>
        <v>9.42122999999998</v>
      </c>
      <c r="O113" s="2">
        <v>17</v>
      </c>
      <c r="P113">
        <f t="shared" si="99"/>
        <v>6.3521718822980349</v>
      </c>
      <c r="W113" s="264"/>
      <c r="X113" s="104"/>
      <c r="Y113" s="13"/>
      <c r="Z113" s="49" t="s">
        <v>94</v>
      </c>
      <c r="AA113" s="2">
        <f>_xlfn.STDEV.S(AA74:AA76,AA78,AA80:AA81,AA83)</f>
        <v>0.54688594167339732</v>
      </c>
      <c r="AB113" s="2">
        <f t="shared" ref="AB113:AI113" si="115">_xlfn.STDEV.S(AB74:AB76,AB78,AB80:AB81,AB83)</f>
        <v>0.62684040932433649</v>
      </c>
      <c r="AC113" s="2">
        <f t="shared" si="115"/>
        <v>3.474309161617125E-2</v>
      </c>
      <c r="AD113" s="2">
        <f t="shared" si="115"/>
        <v>3.4743091616171319E-2</v>
      </c>
      <c r="AE113" s="2">
        <f t="shared" si="115"/>
        <v>5.1986213549690234E-2</v>
      </c>
      <c r="AF113" s="2">
        <f t="shared" si="115"/>
        <v>5.5622865380037618E-3</v>
      </c>
      <c r="AG113" s="2">
        <f t="shared" si="115"/>
        <v>0.8338116942862881</v>
      </c>
      <c r="AH113" s="2">
        <f t="shared" si="115"/>
        <v>2.3094010767585029</v>
      </c>
      <c r="AI113" s="2">
        <f t="shared" si="115"/>
        <v>0.54325002544937706</v>
      </c>
      <c r="AJ113" s="2"/>
      <c r="AK113" s="2"/>
      <c r="AL113" s="2"/>
      <c r="AR113" s="13"/>
      <c r="AT113" s="2"/>
      <c r="AU113" s="2"/>
      <c r="AV113" s="2"/>
      <c r="AW113" s="2"/>
      <c r="AX113" s="2"/>
      <c r="AY113" s="2"/>
      <c r="AZ113" s="2"/>
    </row>
    <row r="114" spans="3:54" ht="16" thickBot="1" x14ac:dyDescent="0.4">
      <c r="C114" s="261" t="s">
        <v>32</v>
      </c>
      <c r="D114" s="155">
        <v>0</v>
      </c>
      <c r="F114" s="13">
        <v>218.88732999999999</v>
      </c>
      <c r="G114" s="13">
        <v>222.21385000000001</v>
      </c>
      <c r="H114" s="2">
        <f t="shared" si="92"/>
        <v>3.3265200000000164</v>
      </c>
      <c r="I114" s="2">
        <f t="shared" si="93"/>
        <v>9.5070599999999956</v>
      </c>
      <c r="J114" s="2">
        <f t="shared" si="94"/>
        <v>0.25920436853941092</v>
      </c>
      <c r="K114" s="2">
        <f t="shared" si="95"/>
        <v>0.74079563146058902</v>
      </c>
      <c r="L114" s="2">
        <f t="shared" si="96"/>
        <v>0.30061445594795616</v>
      </c>
      <c r="M114" s="2">
        <f t="shared" si="97"/>
        <v>7.7920580227808539E-2</v>
      </c>
      <c r="N114" s="2">
        <f t="shared" si="98"/>
        <v>12.833580000000012</v>
      </c>
      <c r="O114" s="2">
        <v>19</v>
      </c>
      <c r="P114">
        <f t="shared" si="99"/>
        <v>5.7116746630111672</v>
      </c>
      <c r="W114" s="206"/>
      <c r="X114" s="104"/>
      <c r="Y114" s="13"/>
      <c r="Z114" s="49" t="s">
        <v>95</v>
      </c>
      <c r="AA114" s="2">
        <f t="shared" ref="AA114:AI114" si="116">AA113/(SQRT(COUNT(AA77:AA78,AA80:AA82,AA84,AA86:AA87,AA89,AA91,AA93,AA92:AAA94,AA78,AA80:AA81,AA101A113)))</f>
        <v>6.731700595621487E-2</v>
      </c>
      <c r="AB114" s="2">
        <f t="shared" si="116"/>
        <v>7.8974468323720376E-2</v>
      </c>
      <c r="AC114" s="2">
        <f t="shared" si="116"/>
        <v>4.448397049757323E-3</v>
      </c>
      <c r="AD114" s="2">
        <f t="shared" si="116"/>
        <v>4.5231652616163362E-3</v>
      </c>
      <c r="AE114" s="2">
        <f t="shared" si="116"/>
        <v>6.8857421967857919E-3</v>
      </c>
      <c r="AF114" s="2">
        <f t="shared" si="116"/>
        <v>7.5001856378065581E-4</v>
      </c>
      <c r="AG114" s="2">
        <f t="shared" si="116"/>
        <v>0.11453284455417642</v>
      </c>
      <c r="AH114" s="2">
        <f t="shared" si="116"/>
        <v>0.32338083338177726</v>
      </c>
      <c r="AI114" s="2">
        <f t="shared" si="116"/>
        <v>7.7607146492768148E-2</v>
      </c>
      <c r="AJ114" s="2"/>
      <c r="AK114" s="2"/>
      <c r="AL114" s="2"/>
      <c r="AQ114" s="104" t="s">
        <v>125</v>
      </c>
      <c r="AS114" s="13"/>
      <c r="AT114" s="9" t="s">
        <v>3</v>
      </c>
      <c r="AU114" s="9" t="s">
        <v>4</v>
      </c>
      <c r="AV114" s="9" t="s">
        <v>5</v>
      </c>
      <c r="AW114" s="9" t="s">
        <v>6</v>
      </c>
      <c r="AX114" s="9" t="s">
        <v>7</v>
      </c>
      <c r="AY114" s="9" t="s">
        <v>8</v>
      </c>
      <c r="AZ114" s="9" t="s">
        <v>9</v>
      </c>
      <c r="BA114" s="9" t="s">
        <v>10</v>
      </c>
      <c r="BB114" s="44" t="s">
        <v>139</v>
      </c>
    </row>
    <row r="115" spans="3:54" x14ac:dyDescent="0.35">
      <c r="C115" s="261" t="s">
        <v>32</v>
      </c>
      <c r="F115" s="13">
        <v>231.72091</v>
      </c>
      <c r="G115" s="13">
        <v>234.85477</v>
      </c>
      <c r="H115" s="2">
        <f t="shared" si="92"/>
        <v>3.1338599999999985</v>
      </c>
      <c r="I115" s="2"/>
      <c r="J115" s="2"/>
      <c r="K115" s="2"/>
      <c r="L115" s="2"/>
      <c r="M115" s="2"/>
      <c r="N115" s="2"/>
      <c r="O115" s="2"/>
      <c r="W115" s="264"/>
      <c r="X115" s="104"/>
      <c r="Y115" s="13"/>
      <c r="Z115" s="49"/>
      <c r="AA115" s="2"/>
      <c r="AB115" s="2"/>
      <c r="AC115" s="2"/>
      <c r="AD115" s="2"/>
      <c r="AE115" s="2"/>
      <c r="AF115" s="2"/>
      <c r="AG115" s="2"/>
      <c r="AH115" s="2"/>
      <c r="AI115" s="2"/>
      <c r="AJ115" s="2"/>
      <c r="AK115" s="2"/>
      <c r="AL115" s="2"/>
      <c r="AS115" s="49" t="s">
        <v>77</v>
      </c>
      <c r="AT115" s="13">
        <f>AVERAGE(AT95,AT97,AT99,AT103,AT105,AT107)</f>
        <v>3.0280916666666613</v>
      </c>
      <c r="AU115" s="13">
        <f t="shared" ref="AU115:BB115" si="117">AVERAGE(AU95,AU97,AU99,AU103,AU105,AU107)</f>
        <v>8.6825300000000034</v>
      </c>
      <c r="AV115" s="13">
        <f t="shared" si="117"/>
        <v>0.2547335883030854</v>
      </c>
      <c r="AW115" s="13">
        <f t="shared" si="117"/>
        <v>0.74526641169691465</v>
      </c>
      <c r="AX115" s="13">
        <f t="shared" si="117"/>
        <v>0.38916027819207205</v>
      </c>
      <c r="AY115" s="13">
        <f t="shared" si="117"/>
        <v>8.8872388921499124E-2</v>
      </c>
      <c r="AZ115" s="13">
        <f t="shared" si="117"/>
        <v>11.710621666666663</v>
      </c>
      <c r="BA115" s="13">
        <f t="shared" si="117"/>
        <v>21.5</v>
      </c>
      <c r="BB115" s="13">
        <f t="shared" si="117"/>
        <v>7.3596365854066734</v>
      </c>
    </row>
    <row r="116" spans="3:54" x14ac:dyDescent="0.35">
      <c r="C116" s="261" t="s">
        <v>326</v>
      </c>
      <c r="F116" s="13"/>
      <c r="W116" s="206"/>
      <c r="X116" s="104"/>
      <c r="AJ116" s="2"/>
      <c r="AK116" s="2"/>
      <c r="AL116" s="2"/>
      <c r="AS116" s="49" t="s">
        <v>94</v>
      </c>
      <c r="AT116" s="2">
        <f>_xlfn.STDEV.S(AT95,AT97,AT99,AT103,AT105,AT107)</f>
        <v>0.93270205061244316</v>
      </c>
      <c r="AU116" s="2">
        <f t="shared" ref="AU116:BB116" si="118">_xlfn.STDEV.S(AU95,AU97,AU99,AU103,AU105,AU107)</f>
        <v>1.7558141178951778</v>
      </c>
      <c r="AV116" s="2">
        <f t="shared" si="118"/>
        <v>6.3275189873394644E-2</v>
      </c>
      <c r="AW116" s="2">
        <f t="shared" si="118"/>
        <v>6.3275189873394727E-2</v>
      </c>
      <c r="AX116" s="2">
        <f t="shared" si="118"/>
        <v>0.23151275971675178</v>
      </c>
      <c r="AY116" s="2">
        <f t="shared" si="118"/>
        <v>2.1407787929584726E-2</v>
      </c>
      <c r="AZ116" s="2">
        <f t="shared" si="118"/>
        <v>2.3362520695114863</v>
      </c>
      <c r="BA116" s="2">
        <f t="shared" si="118"/>
        <v>6.5650590248679412</v>
      </c>
      <c r="BB116" s="2">
        <f t="shared" si="118"/>
        <v>1.5413823185491367</v>
      </c>
    </row>
    <row r="117" spans="3:54" ht="16" thickBot="1" x14ac:dyDescent="0.4">
      <c r="F117" s="13"/>
      <c r="G117" s="13"/>
      <c r="H117" s="9" t="s">
        <v>3</v>
      </c>
      <c r="I117" s="9" t="s">
        <v>4</v>
      </c>
      <c r="J117" s="9" t="s">
        <v>5</v>
      </c>
      <c r="K117" s="9" t="s">
        <v>6</v>
      </c>
      <c r="L117" s="9" t="s">
        <v>7</v>
      </c>
      <c r="M117" s="9" t="s">
        <v>8</v>
      </c>
      <c r="N117" s="9" t="s">
        <v>9</v>
      </c>
      <c r="O117" s="9" t="s">
        <v>10</v>
      </c>
      <c r="P117" s="44" t="s">
        <v>139</v>
      </c>
      <c r="W117" s="206"/>
      <c r="X117" s="104"/>
      <c r="Z117" s="13"/>
      <c r="AA117" s="9" t="s">
        <v>3</v>
      </c>
      <c r="AB117" s="9" t="s">
        <v>4</v>
      </c>
      <c r="AC117" s="9" t="s">
        <v>5</v>
      </c>
      <c r="AD117" s="9" t="s">
        <v>6</v>
      </c>
      <c r="AE117" s="9" t="s">
        <v>7</v>
      </c>
      <c r="AF117" s="9" t="s">
        <v>8</v>
      </c>
      <c r="AG117" s="9" t="s">
        <v>9</v>
      </c>
      <c r="AH117" s="9" t="s">
        <v>10</v>
      </c>
      <c r="AI117" s="44" t="s">
        <v>139</v>
      </c>
      <c r="AJ117" s="2"/>
      <c r="AK117" s="2"/>
      <c r="AL117" s="2"/>
      <c r="AS117" s="49" t="s">
        <v>95</v>
      </c>
      <c r="AT117" s="2">
        <f>AT116/(SQRT(COUNT(AT95,AT97,AT99,AT103,AT105,AT107)))</f>
        <v>0.3807740176746694</v>
      </c>
      <c r="AU117" s="2">
        <f t="shared" ref="AU117:BB117" si="119">AU116/(SQRT(COUNT(AU95,AU97,AU99,AU103,AU105,AU107)))</f>
        <v>0.71680811200302208</v>
      </c>
      <c r="AV117" s="2">
        <f t="shared" si="119"/>
        <v>2.5831988094589704E-2</v>
      </c>
      <c r="AW117" s="2">
        <f t="shared" si="119"/>
        <v>2.5831988094589736E-2</v>
      </c>
      <c r="AX117" s="2">
        <f t="shared" si="119"/>
        <v>9.4514688374935013E-2</v>
      </c>
      <c r="AY117" s="2">
        <f t="shared" si="119"/>
        <v>8.739692824865886E-3</v>
      </c>
      <c r="AZ117" s="2">
        <f t="shared" si="119"/>
        <v>0.9537709134707264</v>
      </c>
      <c r="BA117" s="2">
        <f t="shared" si="119"/>
        <v>2.6801741236966929</v>
      </c>
      <c r="BB117" s="2">
        <f t="shared" si="119"/>
        <v>0.62926669649891065</v>
      </c>
    </row>
    <row r="118" spans="3:54" x14ac:dyDescent="0.35">
      <c r="E118" s="104" t="s">
        <v>409</v>
      </c>
      <c r="F118" s="13"/>
      <c r="G118" s="49" t="s">
        <v>77</v>
      </c>
      <c r="H118" s="13">
        <f>AVERAGE(H92:H103)</f>
        <v>3.5155574999999999</v>
      </c>
      <c r="I118" s="13">
        <f t="shared" ref="I118:P118" si="120">AVERAGE(I92:I103)</f>
        <v>6.3369566666666666</v>
      </c>
      <c r="J118" s="13">
        <f t="shared" si="120"/>
        <v>0.35595878612047355</v>
      </c>
      <c r="K118" s="13">
        <f t="shared" si="120"/>
        <v>0.6440412138795264</v>
      </c>
      <c r="L118" s="13">
        <f t="shared" si="120"/>
        <v>0.29209747534327385</v>
      </c>
      <c r="M118" s="13">
        <f t="shared" si="120"/>
        <v>0.10173409762816915</v>
      </c>
      <c r="N118" s="13">
        <f t="shared" si="120"/>
        <v>9.8525141666666674</v>
      </c>
      <c r="O118" s="13">
        <f t="shared" si="120"/>
        <v>21.416666666666668</v>
      </c>
      <c r="P118" s="13">
        <f t="shared" si="120"/>
        <v>6.1476007524367846</v>
      </c>
      <c r="W118" s="206"/>
      <c r="X118" s="104" t="s">
        <v>410</v>
      </c>
      <c r="Z118" s="49" t="s">
        <v>77</v>
      </c>
      <c r="AA118" s="13">
        <f t="shared" ref="AA118:AI118" si="121">AVERAGE(AA84:AA93)</f>
        <v>2.9025129999999946</v>
      </c>
      <c r="AB118" s="13">
        <f t="shared" si="121"/>
        <v>8.3196510000000057</v>
      </c>
      <c r="AC118" s="13">
        <f t="shared" si="121"/>
        <v>0.25820678053132701</v>
      </c>
      <c r="AD118" s="13">
        <f t="shared" si="121"/>
        <v>0.74179321946867316</v>
      </c>
      <c r="AE118" s="13">
        <f t="shared" si="121"/>
        <v>0.36667708862981352</v>
      </c>
      <c r="AF118" s="13">
        <f t="shared" si="121"/>
        <v>9.0945897866718473E-2</v>
      </c>
      <c r="AG118" s="13">
        <f t="shared" si="121"/>
        <v>11.222164000000001</v>
      </c>
      <c r="AH118" s="13">
        <f t="shared" si="121"/>
        <v>17.899999999999999</v>
      </c>
      <c r="AI118" s="13">
        <f t="shared" si="121"/>
        <v>6.2874534506982895</v>
      </c>
      <c r="AJ118" s="2"/>
      <c r="AK118" s="2"/>
      <c r="AL118" s="2"/>
    </row>
    <row r="119" spans="3:54" x14ac:dyDescent="0.35">
      <c r="E119" s="104"/>
      <c r="F119" s="13"/>
      <c r="G119" s="49" t="s">
        <v>94</v>
      </c>
      <c r="H119" s="2">
        <f>_xlfn.STDEV.S(H92:H103)</f>
        <v>0.64223462086579752</v>
      </c>
      <c r="I119" s="2">
        <f t="shared" ref="I119:P119" si="122">_xlfn.STDEV.S(I92:I103)</f>
        <v>0.55272875483752681</v>
      </c>
      <c r="J119" s="2">
        <f t="shared" si="122"/>
        <v>5.609845686904523E-2</v>
      </c>
      <c r="K119" s="2">
        <f t="shared" si="122"/>
        <v>5.6098456869044695E-2</v>
      </c>
      <c r="L119" s="2">
        <f t="shared" si="122"/>
        <v>4.617605459399711E-2</v>
      </c>
      <c r="M119" s="2">
        <f t="shared" si="122"/>
        <v>4.892100444269824E-3</v>
      </c>
      <c r="N119" s="2">
        <f t="shared" si="122"/>
        <v>0.5218822856903893</v>
      </c>
      <c r="O119" s="2">
        <f t="shared" si="122"/>
        <v>2.6784776318353773</v>
      </c>
      <c r="P119" s="2">
        <f t="shared" si="122"/>
        <v>0.41656236620139747</v>
      </c>
      <c r="W119" s="206"/>
      <c r="Z119" s="49" t="s">
        <v>94</v>
      </c>
      <c r="AA119" s="2">
        <f t="shared" ref="AA119:AI119" si="123">_xlfn.STDEV.S(AA84:AA93)</f>
        <v>0.63149273024846786</v>
      </c>
      <c r="AB119" s="2">
        <f t="shared" si="123"/>
        <v>1.2721726330219487</v>
      </c>
      <c r="AC119" s="2">
        <f t="shared" si="123"/>
        <v>4.3299186545801602E-2</v>
      </c>
      <c r="AD119" s="2">
        <f t="shared" si="123"/>
        <v>4.3299186545801872E-2</v>
      </c>
      <c r="AE119" s="2">
        <f t="shared" si="123"/>
        <v>0.11504239506030806</v>
      </c>
      <c r="AF119" s="2">
        <f t="shared" si="123"/>
        <v>1.4321521463691443E-2</v>
      </c>
      <c r="AG119" s="2">
        <f t="shared" si="123"/>
        <v>1.6285349380702736</v>
      </c>
      <c r="AH119" s="2">
        <f t="shared" si="123"/>
        <v>3.1780497164141424</v>
      </c>
      <c r="AI119" s="2">
        <f t="shared" si="123"/>
        <v>0.82893051779038196</v>
      </c>
      <c r="AJ119" s="2"/>
      <c r="AK119" s="2"/>
      <c r="AL119" s="2"/>
      <c r="AS119" s="49"/>
      <c r="AT119" s="2"/>
      <c r="AU119" s="2"/>
      <c r="AV119" s="2"/>
      <c r="AW119" s="2"/>
      <c r="AX119" s="2"/>
      <c r="AY119" s="2"/>
      <c r="AZ119" s="2"/>
      <c r="BA119" s="2"/>
      <c r="BB119" s="2"/>
    </row>
    <row r="120" spans="3:54" ht="16" thickBot="1" x14ac:dyDescent="0.4">
      <c r="E120" s="104"/>
      <c r="F120" s="13"/>
      <c r="G120" s="49" t="s">
        <v>95</v>
      </c>
      <c r="H120" s="2">
        <f>H119/(SQRT(COUNT(H92:H103)))</f>
        <v>0.18539716561988273</v>
      </c>
      <c r="I120" s="2">
        <f t="shared" ref="I120:P120" si="124">I119/(SQRT(COUNT(I92:I103)))</f>
        <v>0.15955904769714641</v>
      </c>
      <c r="J120" s="2">
        <f t="shared" si="124"/>
        <v>1.6194229587232937E-2</v>
      </c>
      <c r="K120" s="2">
        <f t="shared" si="124"/>
        <v>1.6194229587232784E-2</v>
      </c>
      <c r="L120" s="2">
        <f t="shared" si="124"/>
        <v>1.3329878774979544E-2</v>
      </c>
      <c r="M120" s="2">
        <f t="shared" si="124"/>
        <v>1.4122277542009355E-3</v>
      </c>
      <c r="N120" s="2">
        <f t="shared" si="124"/>
        <v>0.15065443906432174</v>
      </c>
      <c r="O120" s="2">
        <f t="shared" si="124"/>
        <v>0.77320989087927328</v>
      </c>
      <c r="P120" s="2">
        <f t="shared" si="124"/>
        <v>0.12025119713032216</v>
      </c>
      <c r="W120" s="206"/>
      <c r="Z120" s="49" t="s">
        <v>95</v>
      </c>
      <c r="AA120" s="2">
        <f t="shared" ref="AA120:AI120" si="125">AA119/(SQRT(COUNT(AA84:AA93)))</f>
        <v>0.19969553534234663</v>
      </c>
      <c r="AB120" s="2">
        <f t="shared" si="125"/>
        <v>0.40229630972828939</v>
      </c>
      <c r="AC120" s="2">
        <f t="shared" si="125"/>
        <v>1.3692405031725165E-2</v>
      </c>
      <c r="AD120" s="2">
        <f t="shared" si="125"/>
        <v>1.369240503172525E-2</v>
      </c>
      <c r="AE120" s="2">
        <f t="shared" si="125"/>
        <v>3.6379599587147725E-2</v>
      </c>
      <c r="AF120" s="2">
        <f t="shared" si="125"/>
        <v>4.5288627384253398E-3</v>
      </c>
      <c r="AG120" s="2">
        <f t="shared" si="125"/>
        <v>0.51498796534633207</v>
      </c>
      <c r="AH120" s="2">
        <f t="shared" si="125"/>
        <v>1.0049875621120894</v>
      </c>
      <c r="AI120" s="2">
        <f t="shared" si="125"/>
        <v>0.26213084582403323</v>
      </c>
      <c r="AJ120" s="2"/>
      <c r="AK120" s="2"/>
      <c r="AL120" s="2"/>
      <c r="AQ120" s="104" t="s">
        <v>278</v>
      </c>
      <c r="AS120" s="13"/>
      <c r="AT120" s="9" t="s">
        <v>3</v>
      </c>
      <c r="AU120" s="9" t="s">
        <v>4</v>
      </c>
      <c r="AV120" s="9" t="s">
        <v>5</v>
      </c>
      <c r="AW120" s="9" t="s">
        <v>6</v>
      </c>
      <c r="AX120" s="9" t="s">
        <v>7</v>
      </c>
      <c r="AY120" s="9" t="s">
        <v>8</v>
      </c>
      <c r="AZ120" s="9" t="s">
        <v>9</v>
      </c>
      <c r="BA120" s="9" t="s">
        <v>10</v>
      </c>
      <c r="BB120" s="44" t="s">
        <v>139</v>
      </c>
    </row>
    <row r="121" spans="3:54" x14ac:dyDescent="0.35">
      <c r="E121" s="104"/>
      <c r="W121" s="264"/>
      <c r="Z121" s="49"/>
      <c r="AA121" s="2"/>
      <c r="AB121" s="2"/>
      <c r="AC121" s="2"/>
      <c r="AD121" s="2"/>
      <c r="AE121" s="2"/>
      <c r="AF121" s="2"/>
      <c r="AG121" s="2"/>
      <c r="AH121" s="2"/>
      <c r="AI121" s="2"/>
      <c r="AJ121" s="2"/>
      <c r="AK121" s="2"/>
      <c r="AL121" s="2"/>
      <c r="AS121" s="49" t="s">
        <v>77</v>
      </c>
      <c r="AT121" s="13">
        <f>AVERAGE(AT96,AT98,AT100,AT104,AT106,AT108)</f>
        <v>4.4242816666666647</v>
      </c>
      <c r="AU121" s="13">
        <f t="shared" ref="AU121:BB121" si="126">AVERAGE(AU96,AU98,AU100,AU104,AU106,AU108)</f>
        <v>6.700485000000004</v>
      </c>
      <c r="AV121" s="13">
        <f t="shared" si="126"/>
        <v>0.40125218701228854</v>
      </c>
      <c r="AW121" s="13">
        <f t="shared" si="126"/>
        <v>0.5987478129877114</v>
      </c>
      <c r="AX121" s="13">
        <f t="shared" si="126"/>
        <v>0.22817052725179013</v>
      </c>
      <c r="AY121" s="13">
        <f t="shared" si="126"/>
        <v>9.0647071743416838E-2</v>
      </c>
      <c r="AZ121" s="13">
        <f t="shared" si="126"/>
        <v>11.124766666666668</v>
      </c>
      <c r="BA121" s="13">
        <f t="shared" si="126"/>
        <v>27.5</v>
      </c>
      <c r="BB121" s="13">
        <f t="shared" si="126"/>
        <v>6.2782294772324034</v>
      </c>
    </row>
    <row r="122" spans="3:54" x14ac:dyDescent="0.35">
      <c r="E122" s="104"/>
      <c r="W122" s="264"/>
      <c r="Z122" s="49"/>
      <c r="AA122" s="2"/>
      <c r="AB122" s="2"/>
      <c r="AC122" s="2"/>
      <c r="AD122" s="2"/>
      <c r="AE122" s="2"/>
      <c r="AF122" s="2"/>
      <c r="AG122" s="2"/>
      <c r="AH122" s="2"/>
      <c r="AI122" s="2"/>
      <c r="AJ122" s="2"/>
      <c r="AK122" s="2"/>
      <c r="AL122" s="2"/>
      <c r="AS122" s="49" t="s">
        <v>94</v>
      </c>
      <c r="AT122" s="2">
        <f>_xlfn.STDEV.S(AT96,AT98,AT100,AT104,AT106,AT108)</f>
        <v>0.45950548181351297</v>
      </c>
      <c r="AU122" s="2">
        <f t="shared" ref="AU122:BB122" si="127">_xlfn.STDEV.S(AU96,AU98,AU100,AU104,AU106,AU108)</f>
        <v>1.2567782370927751</v>
      </c>
      <c r="AV122" s="2">
        <f t="shared" si="127"/>
        <v>5.7869970136188713E-2</v>
      </c>
      <c r="AW122" s="2">
        <f t="shared" si="127"/>
        <v>5.7869970136189032E-2</v>
      </c>
      <c r="AX122" s="2">
        <f t="shared" si="127"/>
        <v>2.4934236572205028E-2</v>
      </c>
      <c r="AY122" s="2">
        <f t="shared" si="127"/>
        <v>8.8919323692349429E-3</v>
      </c>
      <c r="AZ122" s="2">
        <f t="shared" si="127"/>
        <v>1.1407157629079532</v>
      </c>
      <c r="BA122" s="2">
        <f t="shared" si="127"/>
        <v>3.3911649915626341</v>
      </c>
      <c r="BB122" s="2">
        <f t="shared" si="127"/>
        <v>1.1258595356152461</v>
      </c>
    </row>
    <row r="123" spans="3:54" ht="16" thickBot="1" x14ac:dyDescent="0.4">
      <c r="E123" s="104"/>
      <c r="G123" s="13"/>
      <c r="H123" s="9" t="s">
        <v>3</v>
      </c>
      <c r="I123" s="9" t="s">
        <v>4</v>
      </c>
      <c r="J123" s="9" t="s">
        <v>5</v>
      </c>
      <c r="K123" s="9" t="s">
        <v>6</v>
      </c>
      <c r="L123" s="9" t="s">
        <v>7</v>
      </c>
      <c r="M123" s="9" t="s">
        <v>8</v>
      </c>
      <c r="N123" s="9" t="s">
        <v>9</v>
      </c>
      <c r="O123" s="9" t="s">
        <v>10</v>
      </c>
      <c r="P123" s="44" t="s">
        <v>139</v>
      </c>
      <c r="W123" s="264"/>
      <c r="X123" s="104" t="s">
        <v>81</v>
      </c>
      <c r="Y123" s="13"/>
      <c r="Z123" s="13"/>
      <c r="AA123" s="9" t="s">
        <v>3</v>
      </c>
      <c r="AB123" s="9" t="s">
        <v>4</v>
      </c>
      <c r="AC123" s="9" t="s">
        <v>5</v>
      </c>
      <c r="AD123" s="9" t="s">
        <v>6</v>
      </c>
      <c r="AE123" s="9" t="s">
        <v>7</v>
      </c>
      <c r="AF123" s="9" t="s">
        <v>8</v>
      </c>
      <c r="AG123" s="9" t="s">
        <v>9</v>
      </c>
      <c r="AH123" s="9" t="s">
        <v>10</v>
      </c>
      <c r="AI123" s="44" t="s">
        <v>139</v>
      </c>
      <c r="AJ123" s="2"/>
      <c r="AK123" s="2"/>
      <c r="AL123" s="2"/>
      <c r="AS123" s="49" t="s">
        <v>95</v>
      </c>
      <c r="AT123" s="2">
        <f>AT122/(SQRT(COUNT(AT96,AT98,AT100,AT104,AT106,AT108)))</f>
        <v>0.18759232740914039</v>
      </c>
      <c r="AU123" s="2">
        <f t="shared" ref="AU123:BB123" si="128">AU122/(SQRT(COUNT(AU96,AU98,AU100,AU104,AU106,AU108)))</f>
        <v>0.51307756678531302</v>
      </c>
      <c r="AV123" s="2">
        <f t="shared" si="128"/>
        <v>2.3625316377293849E-2</v>
      </c>
      <c r="AW123" s="2">
        <f t="shared" si="128"/>
        <v>2.3625316377293981E-2</v>
      </c>
      <c r="AX123" s="2">
        <f t="shared" si="128"/>
        <v>1.0179359454624235E-2</v>
      </c>
      <c r="AY123" s="2">
        <f t="shared" si="128"/>
        <v>3.6301161886604528E-3</v>
      </c>
      <c r="AZ123" s="2">
        <f t="shared" si="128"/>
        <v>0.46569526011235318</v>
      </c>
      <c r="BA123" s="2">
        <f t="shared" si="128"/>
        <v>1.3844373104863459</v>
      </c>
      <c r="BB123" s="2">
        <f t="shared" si="128"/>
        <v>0.45963023071736298</v>
      </c>
    </row>
    <row r="124" spans="3:54" x14ac:dyDescent="0.35">
      <c r="E124" s="104" t="s">
        <v>410</v>
      </c>
      <c r="G124" s="49" t="s">
        <v>77</v>
      </c>
      <c r="H124" s="13">
        <f>AVERAGE(H104:H114)</f>
        <v>2.8354163636363654</v>
      </c>
      <c r="I124" s="13">
        <f t="shared" ref="I124:P124" si="129">AVERAGE(I104:I114)</f>
        <v>7.2608536363636347</v>
      </c>
      <c r="J124" s="13">
        <f t="shared" si="129"/>
        <v>0.28183209536614046</v>
      </c>
      <c r="K124" s="13">
        <f t="shared" si="129"/>
        <v>0.7181679046338596</v>
      </c>
      <c r="L124" s="13">
        <f t="shared" si="129"/>
        <v>0.35424093547205121</v>
      </c>
      <c r="M124" s="13">
        <f t="shared" si="129"/>
        <v>9.9805381727433196E-2</v>
      </c>
      <c r="N124" s="13">
        <f t="shared" si="129"/>
        <v>10.096270000000001</v>
      </c>
      <c r="O124" s="13">
        <f t="shared" si="129"/>
        <v>16.90909090909091</v>
      </c>
      <c r="P124" s="13">
        <f t="shared" si="129"/>
        <v>5.9708166186112326</v>
      </c>
      <c r="W124" s="264"/>
      <c r="X124" s="104"/>
      <c r="Y124" s="13"/>
      <c r="Z124" s="49" t="s">
        <v>77</v>
      </c>
      <c r="AA124" s="13">
        <f>AVERAGE(AA84,AA87,AA90)</f>
        <v>2.2655733333333266</v>
      </c>
      <c r="AB124" s="13">
        <f t="shared" ref="AB124:AI124" si="130">AVERAGE(AB84,AB87,AB90)</f>
        <v>7.3798433333333406</v>
      </c>
      <c r="AC124" s="13">
        <f t="shared" si="130"/>
        <v>0.234747107832425</v>
      </c>
      <c r="AD124" s="13">
        <f t="shared" si="130"/>
        <v>0.76525289216757508</v>
      </c>
      <c r="AE124" s="13">
        <f t="shared" si="130"/>
        <v>0.48417257903013516</v>
      </c>
      <c r="AF124" s="13">
        <f t="shared" si="130"/>
        <v>0.10517558192687804</v>
      </c>
      <c r="AG124" s="13">
        <f t="shared" si="130"/>
        <v>9.6454166666666676</v>
      </c>
      <c r="AH124" s="13">
        <f t="shared" si="130"/>
        <v>15.666666666666666</v>
      </c>
      <c r="AI124" s="13">
        <f t="shared" si="130"/>
        <v>7.1322753048730929</v>
      </c>
      <c r="AJ124" s="2"/>
      <c r="AK124" s="2"/>
      <c r="AL124" s="2"/>
    </row>
    <row r="125" spans="3:54" x14ac:dyDescent="0.35">
      <c r="G125" s="49" t="s">
        <v>94</v>
      </c>
      <c r="H125" s="2">
        <f>_xlfn.STDEV.S(H104:H114)</f>
        <v>0.20474677258862206</v>
      </c>
      <c r="I125" s="2">
        <f t="shared" ref="I125:P125" si="131">_xlfn.STDEV.S(I104:I114)</f>
        <v>0.86508957249840046</v>
      </c>
      <c r="J125" s="2">
        <f t="shared" si="131"/>
        <v>1.731457883025599E-2</v>
      </c>
      <c r="K125" s="2">
        <f t="shared" si="131"/>
        <v>1.7314578830255979E-2</v>
      </c>
      <c r="L125" s="2">
        <f t="shared" si="131"/>
        <v>2.3824480313567376E-2</v>
      </c>
      <c r="M125" s="2">
        <f t="shared" si="131"/>
        <v>8.3718439174714724E-3</v>
      </c>
      <c r="N125" s="2">
        <f t="shared" si="131"/>
        <v>1.0093526577366354</v>
      </c>
      <c r="O125" s="2">
        <f t="shared" si="131"/>
        <v>1.2210278829367864</v>
      </c>
      <c r="P125" s="2">
        <f t="shared" si="131"/>
        <v>0.32223989190845287</v>
      </c>
      <c r="W125" s="264"/>
      <c r="X125" s="104"/>
      <c r="Y125" s="13"/>
      <c r="Z125" s="49" t="s">
        <v>94</v>
      </c>
      <c r="AA125" s="2">
        <f>_xlfn.STDEV.S(AA84,AA87,AA90)</f>
        <v>0.8777460328781459</v>
      </c>
      <c r="AB125" s="2">
        <f t="shared" ref="AB125:AI125" si="132">_xlfn.STDEV.S(AB84,AB87,AB90)</f>
        <v>1.2802000693771842</v>
      </c>
      <c r="AC125" s="2">
        <f t="shared" si="132"/>
        <v>7.7381139384526024E-2</v>
      </c>
      <c r="AD125" s="2">
        <f t="shared" si="132"/>
        <v>7.738113938452601E-2</v>
      </c>
      <c r="AE125" s="2">
        <f t="shared" si="132"/>
        <v>0.16845220727219271</v>
      </c>
      <c r="AF125" s="2">
        <f t="shared" si="132"/>
        <v>1.5992359095212419E-2</v>
      </c>
      <c r="AG125" s="2">
        <f t="shared" si="132"/>
        <v>1.3572512864732786</v>
      </c>
      <c r="AH125" s="2">
        <f t="shared" si="132"/>
        <v>4.0414518843273779</v>
      </c>
      <c r="AI125" s="2">
        <f t="shared" si="132"/>
        <v>0.84788745147366384</v>
      </c>
      <c r="AJ125" s="2"/>
      <c r="AK125" s="2"/>
      <c r="AL125" s="2"/>
    </row>
    <row r="126" spans="3:54" x14ac:dyDescent="0.35">
      <c r="G126" s="49" t="s">
        <v>95</v>
      </c>
      <c r="H126" s="2">
        <f>H125/(SQRT(COUNT(H104:H114)))</f>
        <v>6.1733474701153035E-2</v>
      </c>
      <c r="I126" s="2">
        <f t="shared" ref="I126:P126" si="133">I125/(SQRT(COUNT(I104:I114)))</f>
        <v>0.26083432018419545</v>
      </c>
      <c r="J126" s="2">
        <f t="shared" si="133"/>
        <v>5.2205419439081647E-3</v>
      </c>
      <c r="K126" s="2">
        <f t="shared" si="133"/>
        <v>5.2205419439081621E-3</v>
      </c>
      <c r="L126" s="2">
        <f t="shared" si="133"/>
        <v>7.1833510932101594E-3</v>
      </c>
      <c r="M126" s="2">
        <f t="shared" si="133"/>
        <v>2.5242059161519957E-3</v>
      </c>
      <c r="N126" s="2">
        <f t="shared" si="133"/>
        <v>0.30433127698731222</v>
      </c>
      <c r="O126" s="2">
        <f t="shared" si="133"/>
        <v>0.36815375875121065</v>
      </c>
      <c r="P126" s="2">
        <f t="shared" si="133"/>
        <v>9.7158983085910838E-2</v>
      </c>
      <c r="W126" s="264"/>
      <c r="X126" s="104"/>
      <c r="Y126" s="13"/>
      <c r="Z126" s="49" t="s">
        <v>95</v>
      </c>
      <c r="AA126" s="2">
        <f>AA125/(SQRT(COUNT(AA84,AA87,AA90)))</f>
        <v>0.50676690836232363</v>
      </c>
      <c r="AB126" s="2">
        <f t="shared" ref="AB126:AI126" si="134">AB125/(SQRT(COUNT(AB84,AB87,AB90)))</f>
        <v>0.73912385467149488</v>
      </c>
      <c r="AC126" s="2">
        <f t="shared" si="134"/>
        <v>4.4676021653856056E-2</v>
      </c>
      <c r="AD126" s="2">
        <f t="shared" si="134"/>
        <v>4.4676021653856049E-2</v>
      </c>
      <c r="AE126" s="2">
        <f t="shared" si="134"/>
        <v>9.7255927214187105E-2</v>
      </c>
      <c r="AF126" s="2">
        <f t="shared" si="134"/>
        <v>9.2331928285980507E-3</v>
      </c>
      <c r="AG126" s="2">
        <f t="shared" si="134"/>
        <v>0.78360939560331333</v>
      </c>
      <c r="AH126" s="2">
        <f t="shared" si="134"/>
        <v>2.3333333333333321</v>
      </c>
      <c r="AI126" s="2">
        <f t="shared" si="134"/>
        <v>0.48952804835082558</v>
      </c>
      <c r="AJ126" s="2"/>
      <c r="AK126" s="2"/>
      <c r="AL126" s="2"/>
    </row>
    <row r="127" spans="3:54" x14ac:dyDescent="0.35">
      <c r="W127" s="264"/>
      <c r="X127" s="104"/>
      <c r="Y127" s="13"/>
      <c r="Z127" s="49"/>
      <c r="AA127" s="2"/>
      <c r="AB127" s="2"/>
      <c r="AC127" s="2"/>
      <c r="AD127" s="2"/>
      <c r="AE127" s="2"/>
      <c r="AF127" s="2"/>
      <c r="AG127" s="2"/>
      <c r="AH127" s="2"/>
      <c r="AI127" s="2"/>
      <c r="AJ127" s="2"/>
      <c r="AK127" s="2"/>
      <c r="AL127" s="2"/>
    </row>
    <row r="128" spans="3:54" x14ac:dyDescent="0.35">
      <c r="W128" s="264"/>
      <c r="X128" s="104"/>
      <c r="Y128" s="13"/>
      <c r="Z128" s="49"/>
      <c r="AA128" s="2"/>
      <c r="AB128" s="2"/>
      <c r="AC128" s="2"/>
      <c r="AD128" s="2"/>
      <c r="AE128" s="2"/>
      <c r="AF128" s="2"/>
      <c r="AG128" s="2"/>
      <c r="AH128" s="2"/>
      <c r="AI128" s="2"/>
      <c r="AJ128" s="2"/>
      <c r="AK128" s="2"/>
      <c r="AL128" s="2"/>
    </row>
    <row r="129" spans="3:38" ht="16" thickBot="1" x14ac:dyDescent="0.4">
      <c r="W129" s="264"/>
      <c r="X129" s="104" t="s">
        <v>82</v>
      </c>
      <c r="Y129" s="13"/>
      <c r="Z129" s="13"/>
      <c r="AA129" s="9" t="s">
        <v>3</v>
      </c>
      <c r="AB129" s="9" t="s">
        <v>4</v>
      </c>
      <c r="AC129" s="9" t="s">
        <v>5</v>
      </c>
      <c r="AD129" s="9" t="s">
        <v>6</v>
      </c>
      <c r="AE129" s="9" t="s">
        <v>7</v>
      </c>
      <c r="AF129" s="9" t="s">
        <v>8</v>
      </c>
      <c r="AG129" s="9" t="s">
        <v>9</v>
      </c>
      <c r="AH129" s="9" t="s">
        <v>10</v>
      </c>
      <c r="AI129" s="44" t="s">
        <v>139</v>
      </c>
      <c r="AJ129" s="2"/>
      <c r="AK129" s="2"/>
      <c r="AL129" s="2"/>
    </row>
    <row r="130" spans="3:38" x14ac:dyDescent="0.35">
      <c r="W130" s="264"/>
      <c r="X130" s="104"/>
      <c r="Y130" s="13"/>
      <c r="Z130" s="49" t="s">
        <v>77</v>
      </c>
      <c r="AA130" s="13">
        <f>AVERAGE(AA85:AA86,AA88:AA89,AA91:AA93)</f>
        <v>3.1754871428571385</v>
      </c>
      <c r="AB130" s="13">
        <f t="shared" ref="AB130:AI130" si="135">AVERAGE(AB85:AB86,AB88:AB89,AB91:AB93)</f>
        <v>8.7224257142857198</v>
      </c>
      <c r="AC130" s="13">
        <f t="shared" si="135"/>
        <v>0.26826092597371359</v>
      </c>
      <c r="AD130" s="13">
        <f t="shared" si="135"/>
        <v>0.73173907402628657</v>
      </c>
      <c r="AE130" s="13">
        <f t="shared" si="135"/>
        <v>0.31632187845824716</v>
      </c>
      <c r="AF130" s="13">
        <f t="shared" si="135"/>
        <v>8.4847461840935834E-2</v>
      </c>
      <c r="AG130" s="13">
        <f t="shared" si="135"/>
        <v>11.897912857142858</v>
      </c>
      <c r="AH130" s="13">
        <f t="shared" si="135"/>
        <v>18.857142857142858</v>
      </c>
      <c r="AI130" s="13">
        <f t="shared" si="135"/>
        <v>5.9253869417662299</v>
      </c>
      <c r="AJ130" s="2"/>
      <c r="AK130" s="2"/>
      <c r="AL130" s="2"/>
    </row>
    <row r="131" spans="3:38" ht="18.5" x14ac:dyDescent="0.45">
      <c r="F131" s="1" t="s">
        <v>405</v>
      </c>
      <c r="G131" s="3"/>
      <c r="H131" s="3"/>
      <c r="I131" s="3"/>
      <c r="J131" s="3"/>
      <c r="K131" s="3"/>
      <c r="L131" s="3"/>
      <c r="M131" s="3"/>
      <c r="N131" s="3"/>
      <c r="O131" s="3"/>
      <c r="W131" s="264"/>
      <c r="X131" s="104"/>
      <c r="Y131" s="13"/>
      <c r="Z131" s="49" t="s">
        <v>94</v>
      </c>
      <c r="AA131" s="2">
        <f>_xlfn.STDEV.S(AA85:AA86,AA88:AA89,AA91:AA93)</f>
        <v>0.22711627827423495</v>
      </c>
      <c r="AB131" s="2">
        <f t="shared" ref="AB131:AI131" si="136">_xlfn.STDEV.S(AB85:AB86,AB88:AB89,AB91:AB93)</f>
        <v>1.1182334874234585</v>
      </c>
      <c r="AC131" s="2">
        <f t="shared" si="136"/>
        <v>2.0571116164025603E-2</v>
      </c>
      <c r="AD131" s="2">
        <f t="shared" si="136"/>
        <v>2.0571116164025599E-2</v>
      </c>
      <c r="AE131" s="2">
        <f t="shared" si="136"/>
        <v>2.3077335735760037E-2</v>
      </c>
      <c r="AF131" s="2">
        <f t="shared" si="136"/>
        <v>8.819056217215869E-3</v>
      </c>
      <c r="AG131" s="2">
        <f t="shared" si="136"/>
        <v>1.2602923077830526</v>
      </c>
      <c r="AH131" s="2">
        <f t="shared" si="136"/>
        <v>2.4784787961282038</v>
      </c>
      <c r="AI131" s="2">
        <f t="shared" si="136"/>
        <v>0.53032835348793428</v>
      </c>
      <c r="AJ131" s="2"/>
      <c r="AK131" s="2"/>
      <c r="AL131" s="2"/>
    </row>
    <row r="132" spans="3:38" ht="16" thickBot="1" x14ac:dyDescent="0.4">
      <c r="C132" s="204" t="s">
        <v>122</v>
      </c>
      <c r="D132" s="204" t="s">
        <v>406</v>
      </c>
      <c r="F132" s="9" t="s">
        <v>1</v>
      </c>
      <c r="G132" s="9" t="s">
        <v>2</v>
      </c>
      <c r="H132" s="9" t="s">
        <v>3</v>
      </c>
      <c r="I132" s="9" t="s">
        <v>4</v>
      </c>
      <c r="J132" s="9" t="s">
        <v>5</v>
      </c>
      <c r="K132" s="9" t="s">
        <v>6</v>
      </c>
      <c r="L132" s="9" t="s">
        <v>7</v>
      </c>
      <c r="M132" s="9" t="s">
        <v>8</v>
      </c>
      <c r="N132" s="9" t="s">
        <v>9</v>
      </c>
      <c r="O132" s="9" t="s">
        <v>10</v>
      </c>
      <c r="P132" s="44" t="s">
        <v>139</v>
      </c>
      <c r="R132" s="44" t="s">
        <v>138</v>
      </c>
      <c r="W132" s="264"/>
      <c r="X132" s="104"/>
      <c r="Y132" s="13"/>
      <c r="Z132" s="49" t="s">
        <v>95</v>
      </c>
      <c r="AA132" s="2">
        <f>AA131/(SQRT(COUNT(AA85:AA86,AA88:AA89,AA91:AA93)))</f>
        <v>8.5841884429738211E-2</v>
      </c>
      <c r="AB132" s="2">
        <f t="shared" ref="AB132:AI132" si="137">AB131/(SQRT(COUNT(AB85:AB86,AB88:AB89,AB91:AB93)))</f>
        <v>0.42265253077527781</v>
      </c>
      <c r="AC132" s="2">
        <f t="shared" si="137"/>
        <v>7.7751510801475328E-3</v>
      </c>
      <c r="AD132" s="2">
        <f t="shared" si="137"/>
        <v>7.7751510801475311E-3</v>
      </c>
      <c r="AE132" s="2">
        <f t="shared" si="137"/>
        <v>8.722413039823549E-3</v>
      </c>
      <c r="AF132" s="2">
        <f t="shared" si="137"/>
        <v>3.3332899355787448E-3</v>
      </c>
      <c r="AG132" s="2">
        <f t="shared" si="137"/>
        <v>0.47634571794880426</v>
      </c>
      <c r="AH132" s="2">
        <f t="shared" si="137"/>
        <v>0.93677693204314039</v>
      </c>
      <c r="AI132" s="2">
        <f t="shared" si="137"/>
        <v>0.20044527664791825</v>
      </c>
      <c r="AJ132" s="2"/>
      <c r="AK132" s="2"/>
      <c r="AL132" s="2"/>
    </row>
    <row r="133" spans="3:38" x14ac:dyDescent="0.35">
      <c r="D133" s="155">
        <v>8</v>
      </c>
      <c r="F133" s="2">
        <v>1.0301899999999999</v>
      </c>
      <c r="G133" s="2">
        <v>5.7370799999999997</v>
      </c>
      <c r="H133" s="2">
        <f>G133-F133</f>
        <v>4.7068899999999996</v>
      </c>
      <c r="I133" s="2">
        <f>F134-G133</f>
        <v>6.9996900000000002</v>
      </c>
      <c r="J133" s="2">
        <f>H133/N133</f>
        <v>0.40207216796024114</v>
      </c>
      <c r="K133" s="2">
        <f>I133/N133</f>
        <v>0.59792783203975886</v>
      </c>
      <c r="L133" s="2">
        <f>1/H133</f>
        <v>0.21245450817843631</v>
      </c>
      <c r="M133" s="2">
        <f>1/N133</f>
        <v>8.5422044696230673E-2</v>
      </c>
      <c r="N133" s="2">
        <f>H133+I133</f>
        <v>11.706579999999999</v>
      </c>
      <c r="O133" s="2">
        <v>30</v>
      </c>
      <c r="P133">
        <f>O133/H133</f>
        <v>6.3736352453530891</v>
      </c>
      <c r="R133" t="s">
        <v>516</v>
      </c>
      <c r="W133" s="206"/>
      <c r="X133" s="2"/>
      <c r="Y133" s="2"/>
      <c r="Z133" s="2"/>
      <c r="AA133" s="2"/>
      <c r="AB133" s="2"/>
      <c r="AC133" s="2"/>
      <c r="AD133" s="2"/>
      <c r="AE133" s="2"/>
      <c r="AF133" s="2"/>
      <c r="AG133" s="2"/>
      <c r="AH133" s="2"/>
      <c r="AI133" s="2"/>
      <c r="AJ133" s="2"/>
      <c r="AK133" s="2"/>
      <c r="AL133" s="2"/>
    </row>
    <row r="134" spans="3:38" x14ac:dyDescent="0.35">
      <c r="D134" s="155">
        <v>8</v>
      </c>
      <c r="F134" s="2">
        <v>12.73677</v>
      </c>
      <c r="G134" s="2">
        <v>16.99954</v>
      </c>
      <c r="H134" s="2">
        <f t="shared" ref="H134:H158" si="138">G134-F134</f>
        <v>4.2627699999999997</v>
      </c>
      <c r="I134" s="2">
        <f t="shared" ref="I134:I157" si="139">F135-G134</f>
        <v>5.3574300000000008</v>
      </c>
      <c r="J134" s="2">
        <f t="shared" ref="J134:J157" si="140">H134/N134</f>
        <v>0.44310617242884759</v>
      </c>
      <c r="K134" s="2">
        <f t="shared" ref="K134:K157" si="141">I134/N134</f>
        <v>0.55689382757115247</v>
      </c>
      <c r="L134" s="2">
        <f t="shared" ref="L134:L157" si="142">1/H134</f>
        <v>0.23458924595978672</v>
      </c>
      <c r="M134" s="2">
        <f t="shared" ref="M134:M157" si="143">1/N134</f>
        <v>0.1039479428702106</v>
      </c>
      <c r="N134" s="2">
        <f t="shared" ref="N134:N157" si="144">H134+I134</f>
        <v>9.6202000000000005</v>
      </c>
      <c r="O134" s="2">
        <v>24</v>
      </c>
      <c r="P134">
        <f t="shared" ref="P134:P157" si="145">O134/H134</f>
        <v>5.6301419030348816</v>
      </c>
      <c r="W134" s="206"/>
      <c r="X134" s="2"/>
      <c r="Y134" s="2"/>
      <c r="Z134" s="2"/>
      <c r="AA134" s="2"/>
      <c r="AB134" s="2"/>
      <c r="AC134" s="2"/>
      <c r="AD134" s="2"/>
      <c r="AE134" s="2"/>
      <c r="AF134" s="2"/>
      <c r="AG134" s="2"/>
      <c r="AH134" s="2"/>
      <c r="AI134" s="2"/>
      <c r="AJ134" s="2"/>
      <c r="AK134" s="2"/>
      <c r="AL134" s="2"/>
    </row>
    <row r="135" spans="3:38" x14ac:dyDescent="0.35">
      <c r="D135" s="155">
        <v>8</v>
      </c>
      <c r="F135" s="13">
        <v>22.35697</v>
      </c>
      <c r="G135" s="2">
        <v>26.9834</v>
      </c>
      <c r="H135" s="2">
        <f t="shared" si="138"/>
        <v>4.6264299999999992</v>
      </c>
      <c r="I135" s="2">
        <f t="shared" si="139"/>
        <v>6.9739499999999985</v>
      </c>
      <c r="J135" s="2">
        <f t="shared" si="140"/>
        <v>0.39881710771543694</v>
      </c>
      <c r="K135" s="2">
        <f t="shared" si="141"/>
        <v>0.60118289228456312</v>
      </c>
      <c r="L135" s="2">
        <f t="shared" si="142"/>
        <v>0.21614938516307394</v>
      </c>
      <c r="M135" s="2">
        <f t="shared" si="143"/>
        <v>8.6204072625207129E-2</v>
      </c>
      <c r="N135" s="2">
        <f t="shared" si="144"/>
        <v>11.600379999999998</v>
      </c>
      <c r="O135" s="2">
        <v>26</v>
      </c>
      <c r="P135">
        <f t="shared" si="145"/>
        <v>5.6198840142399229</v>
      </c>
      <c r="W135" s="206"/>
      <c r="X135" s="2"/>
      <c r="Y135" s="2"/>
      <c r="Z135" s="2"/>
      <c r="AA135" s="2"/>
      <c r="AB135" s="2"/>
      <c r="AC135" s="2"/>
      <c r="AD135" s="2"/>
      <c r="AE135" s="2"/>
      <c r="AF135" s="2"/>
      <c r="AG135" s="2"/>
      <c r="AH135" s="2"/>
      <c r="AI135" s="2"/>
      <c r="AJ135" s="2"/>
      <c r="AK135" s="2"/>
      <c r="AL135" s="2"/>
    </row>
    <row r="136" spans="3:38" x14ac:dyDescent="0.35">
      <c r="D136" s="155">
        <v>8</v>
      </c>
      <c r="F136" s="13">
        <v>33.957349999999998</v>
      </c>
      <c r="G136" s="2">
        <v>38.759540000000001</v>
      </c>
      <c r="H136" s="2">
        <f t="shared" si="138"/>
        <v>4.8021900000000031</v>
      </c>
      <c r="I136" s="2">
        <f t="shared" si="139"/>
        <v>6.546839999999996</v>
      </c>
      <c r="J136" s="2">
        <f t="shared" si="140"/>
        <v>0.4231366028638574</v>
      </c>
      <c r="K136" s="2">
        <f t="shared" si="141"/>
        <v>0.57686339713614265</v>
      </c>
      <c r="L136" s="2">
        <f t="shared" si="142"/>
        <v>0.20823832459773547</v>
      </c>
      <c r="M136" s="2">
        <f t="shared" si="143"/>
        <v>8.8113257256347027E-2</v>
      </c>
      <c r="N136" s="2">
        <f t="shared" si="144"/>
        <v>11.349029999999999</v>
      </c>
      <c r="O136" s="2">
        <v>26</v>
      </c>
      <c r="P136">
        <f t="shared" si="145"/>
        <v>5.4141964395411222</v>
      </c>
      <c r="W136" s="206"/>
      <c r="X136" s="2"/>
      <c r="Y136" s="2"/>
      <c r="Z136" s="2"/>
      <c r="AA136" s="2"/>
      <c r="AB136" s="2"/>
      <c r="AC136" s="2"/>
      <c r="AD136" s="2"/>
      <c r="AE136" s="2"/>
      <c r="AF136" s="2"/>
      <c r="AG136" s="2"/>
      <c r="AH136" s="2"/>
      <c r="AI136" s="2"/>
      <c r="AJ136" s="2"/>
      <c r="AK136" s="2"/>
      <c r="AL136" s="2"/>
    </row>
    <row r="137" spans="3:38" ht="18.5" x14ac:dyDescent="0.45">
      <c r="C137" s="263"/>
      <c r="D137" s="155">
        <v>8</v>
      </c>
      <c r="F137" s="13">
        <v>45.306379999999997</v>
      </c>
      <c r="G137" s="2">
        <v>50.106050000000003</v>
      </c>
      <c r="H137" s="2">
        <f t="shared" si="138"/>
        <v>4.7996700000000061</v>
      </c>
      <c r="I137" s="2">
        <f t="shared" si="139"/>
        <v>6.693959999999997</v>
      </c>
      <c r="J137" s="2">
        <f t="shared" si="140"/>
        <v>0.41759391941449348</v>
      </c>
      <c r="K137" s="2">
        <f t="shared" si="141"/>
        <v>0.58240608058550647</v>
      </c>
      <c r="L137" s="2">
        <f t="shared" si="142"/>
        <v>0.20834765723476795</v>
      </c>
      <c r="M137" s="2">
        <f t="shared" si="143"/>
        <v>8.7004714785494208E-2</v>
      </c>
      <c r="N137" s="2">
        <f t="shared" si="144"/>
        <v>11.493630000000003</v>
      </c>
      <c r="O137" s="2">
        <v>26</v>
      </c>
      <c r="P137">
        <f t="shared" si="145"/>
        <v>5.4170390881039667</v>
      </c>
      <c r="Y137" s="1" t="s">
        <v>91</v>
      </c>
      <c r="Z137" s="3"/>
      <c r="AA137" s="3"/>
      <c r="AB137" s="3"/>
      <c r="AC137" s="3"/>
      <c r="AD137" s="3"/>
      <c r="AE137" s="3"/>
      <c r="AF137" s="3"/>
      <c r="AG137" s="3"/>
      <c r="AH137" s="3"/>
      <c r="AL137" s="2"/>
    </row>
    <row r="138" spans="3:38" ht="16" thickBot="1" x14ac:dyDescent="0.4">
      <c r="C138" s="263" t="s">
        <v>541</v>
      </c>
      <c r="D138" s="155">
        <v>8</v>
      </c>
      <c r="F138" s="13">
        <v>56.80001</v>
      </c>
      <c r="G138" s="2">
        <v>61.069099999999999</v>
      </c>
      <c r="H138" s="2">
        <f t="shared" si="138"/>
        <v>4.2690899999999985</v>
      </c>
      <c r="I138" s="2">
        <f t="shared" si="139"/>
        <v>6.0996699999999962</v>
      </c>
      <c r="J138" s="2">
        <f t="shared" si="140"/>
        <v>0.41172618519475818</v>
      </c>
      <c r="K138" s="2">
        <f t="shared" si="141"/>
        <v>0.58827381480524188</v>
      </c>
      <c r="L138" s="2">
        <f t="shared" si="142"/>
        <v>0.23424195788798088</v>
      </c>
      <c r="M138" s="2">
        <f t="shared" si="143"/>
        <v>9.6443547733769563E-2</v>
      </c>
      <c r="N138" s="2">
        <f t="shared" si="144"/>
        <v>10.368759999999995</v>
      </c>
      <c r="O138" s="2">
        <v>25</v>
      </c>
      <c r="P138">
        <f t="shared" si="145"/>
        <v>5.8560489471995227</v>
      </c>
      <c r="V138" s="204" t="s">
        <v>122</v>
      </c>
      <c r="W138" s="204" t="s">
        <v>406</v>
      </c>
      <c r="Y138" s="9" t="s">
        <v>1</v>
      </c>
      <c r="Z138" s="9" t="s">
        <v>2</v>
      </c>
      <c r="AA138" s="9" t="s">
        <v>3</v>
      </c>
      <c r="AB138" s="9" t="s">
        <v>4</v>
      </c>
      <c r="AC138" s="9" t="s">
        <v>5</v>
      </c>
      <c r="AD138" s="9" t="s">
        <v>6</v>
      </c>
      <c r="AE138" s="9" t="s">
        <v>7</v>
      </c>
      <c r="AF138" s="9" t="s">
        <v>8</v>
      </c>
      <c r="AG138" s="9" t="s">
        <v>9</v>
      </c>
      <c r="AH138" s="9" t="s">
        <v>10</v>
      </c>
      <c r="AI138" s="44" t="s">
        <v>139</v>
      </c>
      <c r="AK138" s="44" t="s">
        <v>138</v>
      </c>
      <c r="AL138" s="2"/>
    </row>
    <row r="139" spans="3:38" x14ac:dyDescent="0.35">
      <c r="C139" s="263" t="s">
        <v>541</v>
      </c>
      <c r="D139" s="155">
        <v>8</v>
      </c>
      <c r="F139" s="13">
        <v>67.168769999999995</v>
      </c>
      <c r="G139" s="2">
        <v>71.792689999999993</v>
      </c>
      <c r="H139" s="2">
        <f t="shared" si="138"/>
        <v>4.6239199999999983</v>
      </c>
      <c r="I139" s="2">
        <f t="shared" si="139"/>
        <v>4.9664600000000121</v>
      </c>
      <c r="J139" s="2">
        <f t="shared" si="140"/>
        <v>0.48214147927402179</v>
      </c>
      <c r="K139" s="2">
        <f t="shared" si="141"/>
        <v>0.51785852072597816</v>
      </c>
      <c r="L139" s="2">
        <f t="shared" si="142"/>
        <v>0.21626671741725645</v>
      </c>
      <c r="M139" s="2">
        <f t="shared" si="143"/>
        <v>0.10427115505329287</v>
      </c>
      <c r="N139" s="2">
        <f t="shared" si="144"/>
        <v>9.5903800000000103</v>
      </c>
      <c r="O139" s="2">
        <v>38</v>
      </c>
      <c r="P139">
        <f t="shared" si="145"/>
        <v>8.2181352618557444</v>
      </c>
      <c r="W139" s="155">
        <v>-4</v>
      </c>
      <c r="Y139" s="2">
        <v>9.7573399999999992</v>
      </c>
      <c r="Z139" s="2">
        <v>12.673</v>
      </c>
      <c r="AA139" s="2">
        <f t="shared" ref="AA139:AA153" si="146">Z139-Y139</f>
        <v>2.9156600000000008</v>
      </c>
      <c r="AB139" s="2">
        <f t="shared" ref="AB139:AB152" si="147">Y140-Z139</f>
        <v>11.781879999999999</v>
      </c>
      <c r="AC139" s="2">
        <f>AA139/AG139</f>
        <v>0.19837741554028776</v>
      </c>
      <c r="AD139" s="2">
        <f>AB139/AG139</f>
        <v>0.80162258445971224</v>
      </c>
      <c r="AE139" s="2">
        <f>1/AA139</f>
        <v>0.34297551840749596</v>
      </c>
      <c r="AF139" s="2">
        <f>1/AG139</f>
        <v>6.8038596935269438E-2</v>
      </c>
      <c r="AG139" s="2">
        <f>AA139+AB139</f>
        <v>14.69754</v>
      </c>
      <c r="AH139" s="2">
        <v>15</v>
      </c>
      <c r="AI139">
        <f>AH139/AA139</f>
        <v>5.1446327761124397</v>
      </c>
      <c r="AK139" t="s">
        <v>524</v>
      </c>
      <c r="AL139" s="2"/>
    </row>
    <row r="140" spans="3:38" x14ac:dyDescent="0.35">
      <c r="C140" s="263" t="s">
        <v>541</v>
      </c>
      <c r="D140" s="155">
        <v>8</v>
      </c>
      <c r="F140" s="13">
        <v>76.759150000000005</v>
      </c>
      <c r="G140" s="2">
        <v>83.298599999999993</v>
      </c>
      <c r="H140" s="2">
        <f t="shared" si="138"/>
        <v>6.539449999999988</v>
      </c>
      <c r="I140" s="2">
        <f t="shared" si="139"/>
        <v>4.7094600000000071</v>
      </c>
      <c r="J140" s="2">
        <f t="shared" si="140"/>
        <v>0.5813407699057056</v>
      </c>
      <c r="K140" s="2">
        <f t="shared" si="141"/>
        <v>0.4186592300942944</v>
      </c>
      <c r="L140" s="2">
        <f t="shared" si="142"/>
        <v>0.15291805885816115</v>
      </c>
      <c r="M140" s="2">
        <f t="shared" si="143"/>
        <v>8.8897502069089404E-2</v>
      </c>
      <c r="N140" s="2">
        <f t="shared" si="144"/>
        <v>11.248909999999995</v>
      </c>
      <c r="O140" s="2">
        <v>55</v>
      </c>
      <c r="P140">
        <f t="shared" si="145"/>
        <v>8.4104932371988621</v>
      </c>
      <c r="W140" s="155">
        <v>-4</v>
      </c>
      <c r="Y140" s="2">
        <v>24.454879999999999</v>
      </c>
      <c r="Z140" s="2">
        <v>27.294650000000001</v>
      </c>
      <c r="AA140" s="2">
        <f t="shared" si="146"/>
        <v>2.8397700000000015</v>
      </c>
      <c r="AB140" s="2">
        <f t="shared" si="147"/>
        <v>12.033329999999996</v>
      </c>
      <c r="AC140" s="2">
        <f t="shared" ref="AC140:AC152" si="148">AA140/AG140</f>
        <v>0.19093329568146533</v>
      </c>
      <c r="AD140" s="2">
        <f t="shared" ref="AD140:AD152" si="149">AB140/AG140</f>
        <v>0.80906670431853467</v>
      </c>
      <c r="AE140" s="2">
        <f t="shared" ref="AE140:AE152" si="150">1/AA140</f>
        <v>0.3521411945333599</v>
      </c>
      <c r="AF140" s="2">
        <f t="shared" ref="AF140:AF152" si="151">1/AG140</f>
        <v>6.7235478817462405E-2</v>
      </c>
      <c r="AG140" s="2">
        <f t="shared" ref="AG140:AG152" si="152">AA140+AB140</f>
        <v>14.873099999999997</v>
      </c>
      <c r="AH140" s="2">
        <v>15</v>
      </c>
      <c r="AI140">
        <f t="shared" ref="AI140:AI152" si="153">AH140/AA140</f>
        <v>5.2821179180003988</v>
      </c>
      <c r="AL140" s="2"/>
    </row>
    <row r="141" spans="3:38" x14ac:dyDescent="0.35">
      <c r="C141" s="263" t="s">
        <v>541</v>
      </c>
      <c r="D141" s="155">
        <v>8</v>
      </c>
      <c r="F141" s="13">
        <v>88.00806</v>
      </c>
      <c r="G141" s="2">
        <v>94.320170000000005</v>
      </c>
      <c r="H141" s="2">
        <f t="shared" si="138"/>
        <v>6.3121100000000041</v>
      </c>
      <c r="I141" s="2">
        <f t="shared" si="139"/>
        <v>4.819429999999997</v>
      </c>
      <c r="J141" s="2">
        <f t="shared" si="140"/>
        <v>0.56704732678497349</v>
      </c>
      <c r="K141" s="2">
        <f t="shared" si="141"/>
        <v>0.43295267321502656</v>
      </c>
      <c r="L141" s="2">
        <f t="shared" si="142"/>
        <v>0.15842562946463218</v>
      </c>
      <c r="M141" s="2">
        <f t="shared" si="143"/>
        <v>8.98348296821464E-2</v>
      </c>
      <c r="N141" s="2">
        <f t="shared" si="144"/>
        <v>11.131540000000001</v>
      </c>
      <c r="O141" s="2">
        <v>52</v>
      </c>
      <c r="P141">
        <f t="shared" si="145"/>
        <v>8.2381327321608726</v>
      </c>
      <c r="W141" s="155">
        <v>-4</v>
      </c>
      <c r="Y141" s="13">
        <v>39.327979999999997</v>
      </c>
      <c r="Z141" s="2">
        <v>42.370719999999999</v>
      </c>
      <c r="AA141" s="2">
        <f t="shared" si="146"/>
        <v>3.042740000000002</v>
      </c>
      <c r="AB141" s="2">
        <f t="shared" si="147"/>
        <v>19.995850000000004</v>
      </c>
      <c r="AC141" s="2">
        <f t="shared" si="148"/>
        <v>0.13207145055318059</v>
      </c>
      <c r="AD141" s="2">
        <f t="shared" si="149"/>
        <v>0.86792854944681941</v>
      </c>
      <c r="AE141" s="2">
        <f t="shared" si="150"/>
        <v>0.32865114995037348</v>
      </c>
      <c r="AF141" s="2">
        <f t="shared" si="151"/>
        <v>4.3405434099916693E-2</v>
      </c>
      <c r="AG141" s="2">
        <f t="shared" si="152"/>
        <v>23.038590000000006</v>
      </c>
      <c r="AH141" s="2">
        <v>15</v>
      </c>
      <c r="AI141">
        <f t="shared" si="153"/>
        <v>4.9297672492556019</v>
      </c>
      <c r="AL141" s="2"/>
    </row>
    <row r="142" spans="3:38" x14ac:dyDescent="0.35">
      <c r="C142" s="263" t="s">
        <v>541</v>
      </c>
      <c r="D142" s="155">
        <v>8</v>
      </c>
      <c r="F142" s="13">
        <v>99.139600000000002</v>
      </c>
      <c r="G142" s="2">
        <v>105.34220000000001</v>
      </c>
      <c r="H142" s="2">
        <f t="shared" si="138"/>
        <v>6.2026000000000039</v>
      </c>
      <c r="I142" s="2">
        <f t="shared" si="139"/>
        <v>4.8274399999999957</v>
      </c>
      <c r="J142" s="2">
        <f t="shared" si="140"/>
        <v>0.56233703594909934</v>
      </c>
      <c r="K142" s="2">
        <f t="shared" si="141"/>
        <v>0.4376629640509006</v>
      </c>
      <c r="L142" s="2">
        <f t="shared" si="142"/>
        <v>0.1612227130558152</v>
      </c>
      <c r="M142" s="2">
        <f t="shared" si="143"/>
        <v>9.0661502587479292E-2</v>
      </c>
      <c r="N142" s="2">
        <f t="shared" si="144"/>
        <v>11.03004</v>
      </c>
      <c r="O142" s="2">
        <v>52</v>
      </c>
      <c r="P142">
        <f t="shared" si="145"/>
        <v>8.3835810789023899</v>
      </c>
      <c r="V142" t="s">
        <v>541</v>
      </c>
      <c r="W142" s="155">
        <v>-4</v>
      </c>
      <c r="Y142" s="13">
        <v>62.366570000000003</v>
      </c>
      <c r="Z142" s="2">
        <v>65.290869999999998</v>
      </c>
      <c r="AA142" s="2">
        <f t="shared" si="146"/>
        <v>2.9242999999999952</v>
      </c>
      <c r="AB142" s="2">
        <f t="shared" si="147"/>
        <v>8.2042799999999971</v>
      </c>
      <c r="AC142" s="2">
        <f t="shared" si="148"/>
        <v>0.26277386692641802</v>
      </c>
      <c r="AD142" s="2">
        <f t="shared" si="149"/>
        <v>0.73722613307358198</v>
      </c>
      <c r="AE142" s="2">
        <f t="shared" si="150"/>
        <v>0.34196217898300502</v>
      </c>
      <c r="AF142" s="2">
        <f t="shared" si="151"/>
        <v>8.9858724113948116E-2</v>
      </c>
      <c r="AG142" s="2">
        <f t="shared" si="152"/>
        <v>11.128579999999992</v>
      </c>
      <c r="AH142" s="2">
        <v>15</v>
      </c>
      <c r="AI142">
        <f t="shared" si="153"/>
        <v>5.1294326847450753</v>
      </c>
      <c r="AL142" s="2"/>
    </row>
    <row r="143" spans="3:38" x14ac:dyDescent="0.35">
      <c r="C143" s="263" t="s">
        <v>541</v>
      </c>
      <c r="D143" s="155">
        <v>8</v>
      </c>
      <c r="F143" s="13">
        <v>110.16964</v>
      </c>
      <c r="G143" s="2">
        <v>116.43340999999999</v>
      </c>
      <c r="H143" s="2">
        <f t="shared" si="138"/>
        <v>6.2637699999999938</v>
      </c>
      <c r="I143" s="2">
        <f t="shared" si="139"/>
        <v>3.2044300000000021</v>
      </c>
      <c r="J143" s="2">
        <f t="shared" si="140"/>
        <v>0.66155869119790423</v>
      </c>
      <c r="K143" s="2">
        <f t="shared" si="141"/>
        <v>0.33844130880209583</v>
      </c>
      <c r="L143" s="2">
        <f t="shared" si="142"/>
        <v>0.15964826294707515</v>
      </c>
      <c r="M143" s="2">
        <f t="shared" si="143"/>
        <v>0.10561669588728591</v>
      </c>
      <c r="N143" s="2">
        <f t="shared" si="144"/>
        <v>9.468199999999996</v>
      </c>
      <c r="O143" s="2">
        <v>54</v>
      </c>
      <c r="P143">
        <f t="shared" si="145"/>
        <v>8.6210061991420588</v>
      </c>
      <c r="W143" s="155">
        <v>-4</v>
      </c>
      <c r="Y143" s="13">
        <v>73.495149999999995</v>
      </c>
      <c r="Z143" s="2">
        <v>76.691149999999993</v>
      </c>
      <c r="AA143" s="2">
        <f t="shared" si="146"/>
        <v>3.195999999999998</v>
      </c>
      <c r="AB143" s="2">
        <f t="shared" si="147"/>
        <v>14.462650000000011</v>
      </c>
      <c r="AC143" s="2">
        <f t="shared" si="148"/>
        <v>0.18098778785467726</v>
      </c>
      <c r="AD143" s="2">
        <f t="shared" si="149"/>
        <v>0.81901221214532272</v>
      </c>
      <c r="AE143" s="2">
        <f t="shared" si="150"/>
        <v>0.31289111389236568</v>
      </c>
      <c r="AF143" s="2">
        <f t="shared" si="151"/>
        <v>5.6629470542765133E-2</v>
      </c>
      <c r="AG143" s="2">
        <f t="shared" si="152"/>
        <v>17.658650000000009</v>
      </c>
      <c r="AH143" s="2">
        <v>16</v>
      </c>
      <c r="AI143">
        <f t="shared" si="153"/>
        <v>5.0062578222778509</v>
      </c>
      <c r="AL143" s="2"/>
    </row>
    <row r="144" spans="3:38" x14ac:dyDescent="0.35">
      <c r="C144" s="263" t="s">
        <v>541</v>
      </c>
      <c r="D144" s="155">
        <v>8</v>
      </c>
      <c r="F144" s="13">
        <v>119.63784</v>
      </c>
      <c r="G144" s="2">
        <v>121.3383</v>
      </c>
      <c r="H144" s="2">
        <f t="shared" si="138"/>
        <v>1.7004600000000067</v>
      </c>
      <c r="I144" s="2">
        <f t="shared" si="139"/>
        <v>3.7192900000000009</v>
      </c>
      <c r="J144" s="2">
        <f t="shared" si="140"/>
        <v>0.31375247935790479</v>
      </c>
      <c r="K144" s="2">
        <f t="shared" si="141"/>
        <v>0.68624752064209527</v>
      </c>
      <c r="L144" s="2">
        <f t="shared" si="142"/>
        <v>0.58807616762522852</v>
      </c>
      <c r="M144" s="2">
        <f t="shared" si="143"/>
        <v>0.18451035564371024</v>
      </c>
      <c r="N144" s="2">
        <f t="shared" si="144"/>
        <v>5.4197500000000076</v>
      </c>
      <c r="O144" s="2">
        <v>11</v>
      </c>
      <c r="P144">
        <f t="shared" si="145"/>
        <v>6.4688378438775134</v>
      </c>
      <c r="W144" s="155">
        <v>-4</v>
      </c>
      <c r="Y144" s="13">
        <v>91.153800000000004</v>
      </c>
      <c r="Z144" s="2">
        <v>94.058220000000006</v>
      </c>
      <c r="AA144" s="2">
        <f t="shared" si="146"/>
        <v>2.9044200000000018</v>
      </c>
      <c r="AB144" s="2">
        <f t="shared" si="147"/>
        <v>9.474979999999988</v>
      </c>
      <c r="AC144" s="2">
        <f t="shared" si="148"/>
        <v>0.2346171866164761</v>
      </c>
      <c r="AD144" s="2">
        <f t="shared" si="149"/>
        <v>0.76538281338352387</v>
      </c>
      <c r="AE144" s="2">
        <f t="shared" si="150"/>
        <v>0.34430282121731687</v>
      </c>
      <c r="AF144" s="2">
        <f t="shared" si="151"/>
        <v>8.0779359258122435E-2</v>
      </c>
      <c r="AG144" s="2">
        <f t="shared" si="152"/>
        <v>12.37939999999999</v>
      </c>
      <c r="AH144" s="2">
        <v>14</v>
      </c>
      <c r="AI144">
        <f t="shared" si="153"/>
        <v>4.8202394970424356</v>
      </c>
      <c r="AL144" s="2"/>
    </row>
    <row r="145" spans="3:38" x14ac:dyDescent="0.35">
      <c r="C145" s="263"/>
      <c r="D145" s="155">
        <v>0</v>
      </c>
      <c r="F145" s="13">
        <v>125.05759</v>
      </c>
      <c r="G145" s="2">
        <v>130.62189000000001</v>
      </c>
      <c r="H145" s="2">
        <f t="shared" si="138"/>
        <v>5.5643000000000029</v>
      </c>
      <c r="I145" s="2">
        <f t="shared" si="139"/>
        <v>3.6043999999999983</v>
      </c>
      <c r="J145" s="2">
        <f t="shared" si="140"/>
        <v>0.60687992845223449</v>
      </c>
      <c r="K145" s="2">
        <f t="shared" si="141"/>
        <v>0.39312007154776551</v>
      </c>
      <c r="L145" s="2">
        <f t="shared" si="142"/>
        <v>0.1797171252448645</v>
      </c>
      <c r="M145" s="2">
        <f t="shared" si="143"/>
        <v>0.10906671611024463</v>
      </c>
      <c r="N145" s="2">
        <f t="shared" si="144"/>
        <v>9.1687000000000012</v>
      </c>
      <c r="O145" s="2">
        <v>47</v>
      </c>
      <c r="P145">
        <f t="shared" si="145"/>
        <v>8.4467048865086305</v>
      </c>
      <c r="R145" t="s">
        <v>515</v>
      </c>
      <c r="W145" s="155">
        <v>-4</v>
      </c>
      <c r="Y145" s="13">
        <v>103.53319999999999</v>
      </c>
      <c r="Z145" s="2">
        <v>105.29281</v>
      </c>
      <c r="AA145" s="2">
        <f t="shared" si="146"/>
        <v>1.7596100000000092</v>
      </c>
      <c r="AB145" s="2">
        <f t="shared" si="147"/>
        <v>7.6366799999999984</v>
      </c>
      <c r="AC145" s="2">
        <f t="shared" si="148"/>
        <v>0.18726646367875063</v>
      </c>
      <c r="AD145" s="2">
        <f t="shared" si="149"/>
        <v>0.81273353632124934</v>
      </c>
      <c r="AE145" s="2">
        <f t="shared" si="150"/>
        <v>0.568307750012784</v>
      </c>
      <c r="AF145" s="2">
        <f t="shared" si="151"/>
        <v>0.1064249826261215</v>
      </c>
      <c r="AG145" s="2">
        <f t="shared" si="152"/>
        <v>9.3962900000000076</v>
      </c>
      <c r="AH145" s="2">
        <v>10</v>
      </c>
      <c r="AI145">
        <f t="shared" si="153"/>
        <v>5.6830775001278395</v>
      </c>
      <c r="AL145" s="2"/>
    </row>
    <row r="146" spans="3:38" x14ac:dyDescent="0.35">
      <c r="C146" s="263" t="s">
        <v>541</v>
      </c>
      <c r="D146" s="155">
        <v>0</v>
      </c>
      <c r="F146" s="13">
        <v>134.22629000000001</v>
      </c>
      <c r="G146" s="2">
        <v>136.13235</v>
      </c>
      <c r="H146" s="2">
        <f t="shared" si="138"/>
        <v>1.9060599999999965</v>
      </c>
      <c r="I146" s="2">
        <f t="shared" si="139"/>
        <v>3.5955199999999934</v>
      </c>
      <c r="J146" s="2">
        <f t="shared" si="140"/>
        <v>0.34645683603619326</v>
      </c>
      <c r="K146" s="2">
        <f t="shared" si="141"/>
        <v>0.65354316396380674</v>
      </c>
      <c r="L146" s="2">
        <f t="shared" si="142"/>
        <v>0.52464245616612371</v>
      </c>
      <c r="M146" s="2">
        <f t="shared" si="143"/>
        <v>0.18176596541357243</v>
      </c>
      <c r="N146" s="2">
        <f t="shared" si="144"/>
        <v>5.5015799999999899</v>
      </c>
      <c r="O146" s="2">
        <v>15</v>
      </c>
      <c r="P146">
        <f t="shared" si="145"/>
        <v>7.8696368424918557</v>
      </c>
      <c r="W146" s="155">
        <v>-4</v>
      </c>
      <c r="Y146" s="13">
        <v>112.92949</v>
      </c>
      <c r="Z146" s="2">
        <v>116.09894</v>
      </c>
      <c r="AA146" s="2">
        <f t="shared" si="146"/>
        <v>3.1694499999999977</v>
      </c>
      <c r="AB146" s="2">
        <f t="shared" si="147"/>
        <v>7.6865400000000079</v>
      </c>
      <c r="AC146" s="2">
        <f t="shared" si="148"/>
        <v>0.29195402722367986</v>
      </c>
      <c r="AD146" s="2">
        <f t="shared" si="149"/>
        <v>0.7080459727763202</v>
      </c>
      <c r="AE146" s="2">
        <f t="shared" si="150"/>
        <v>0.31551215510577568</v>
      </c>
      <c r="AF146" s="2">
        <f t="shared" si="151"/>
        <v>9.2115044321153527E-2</v>
      </c>
      <c r="AG146" s="2">
        <f t="shared" si="152"/>
        <v>10.855990000000006</v>
      </c>
      <c r="AH146" s="2">
        <v>15</v>
      </c>
      <c r="AI146">
        <f t="shared" si="153"/>
        <v>4.7326823265866356</v>
      </c>
      <c r="AL146" s="2"/>
    </row>
    <row r="147" spans="3:38" x14ac:dyDescent="0.35">
      <c r="C147" s="263"/>
      <c r="D147" s="155">
        <v>0</v>
      </c>
      <c r="F147" s="13">
        <v>139.72787</v>
      </c>
      <c r="G147" s="2">
        <v>143.88994</v>
      </c>
      <c r="H147" s="2">
        <f t="shared" si="138"/>
        <v>4.1620699999999999</v>
      </c>
      <c r="I147" s="2">
        <f t="shared" si="139"/>
        <v>3.5081100000000163</v>
      </c>
      <c r="J147" s="2">
        <f t="shared" si="140"/>
        <v>0.54263002954298223</v>
      </c>
      <c r="K147" s="2">
        <f t="shared" si="141"/>
        <v>0.45736997045701783</v>
      </c>
      <c r="L147" s="2">
        <f t="shared" si="142"/>
        <v>0.24026506041464946</v>
      </c>
      <c r="M147" s="2">
        <f t="shared" si="143"/>
        <v>0.13037503683094762</v>
      </c>
      <c r="N147" s="2">
        <f t="shared" si="144"/>
        <v>7.6701800000000162</v>
      </c>
      <c r="O147" s="2">
        <v>37</v>
      </c>
      <c r="P147">
        <f t="shared" si="145"/>
        <v>8.8898072353420297</v>
      </c>
      <c r="V147" t="s">
        <v>541</v>
      </c>
      <c r="W147" s="207">
        <v>0</v>
      </c>
      <c r="Y147" s="13">
        <v>123.78548000000001</v>
      </c>
      <c r="Z147" s="2">
        <v>126.6437</v>
      </c>
      <c r="AA147" s="2">
        <f t="shared" si="146"/>
        <v>2.8582199999999887</v>
      </c>
      <c r="AB147" s="2">
        <f t="shared" si="147"/>
        <v>9.4539200000000108</v>
      </c>
      <c r="AC147" s="2">
        <f t="shared" si="148"/>
        <v>0.23214648306468158</v>
      </c>
      <c r="AD147" s="2">
        <f t="shared" si="149"/>
        <v>0.76785351693531845</v>
      </c>
      <c r="AE147" s="2">
        <f t="shared" si="150"/>
        <v>0.34986809972640454</v>
      </c>
      <c r="AF147" s="2">
        <f t="shared" si="151"/>
        <v>8.1220648888008104E-2</v>
      </c>
      <c r="AG147" s="2">
        <f t="shared" si="152"/>
        <v>12.312139999999999</v>
      </c>
      <c r="AH147" s="2">
        <v>10</v>
      </c>
      <c r="AI147">
        <f t="shared" si="153"/>
        <v>3.4986809972640454</v>
      </c>
      <c r="AK147" t="s">
        <v>525</v>
      </c>
      <c r="AL147" s="2"/>
    </row>
    <row r="148" spans="3:38" x14ac:dyDescent="0.35">
      <c r="C148" s="263" t="s">
        <v>541</v>
      </c>
      <c r="D148" s="155">
        <v>0</v>
      </c>
      <c r="F148" s="13">
        <v>147.39805000000001</v>
      </c>
      <c r="G148" s="13">
        <v>151.61759000000001</v>
      </c>
      <c r="H148" s="2">
        <f t="shared" si="138"/>
        <v>4.219539999999995</v>
      </c>
      <c r="I148" s="2">
        <f t="shared" si="139"/>
        <v>6.0848000000000013</v>
      </c>
      <c r="J148" s="2">
        <f t="shared" si="140"/>
        <v>0.4094915346349205</v>
      </c>
      <c r="K148" s="2">
        <f t="shared" si="141"/>
        <v>0.5905084653650795</v>
      </c>
      <c r="L148" s="2">
        <f t="shared" si="142"/>
        <v>0.23699265796745644</v>
      </c>
      <c r="M148" s="2">
        <f t="shared" si="143"/>
        <v>9.7046487208302556E-2</v>
      </c>
      <c r="N148" s="2">
        <f t="shared" si="144"/>
        <v>10.304339999999996</v>
      </c>
      <c r="O148" s="2">
        <v>35</v>
      </c>
      <c r="P148">
        <f t="shared" si="145"/>
        <v>8.2947430288609763</v>
      </c>
      <c r="W148" s="207">
        <v>0</v>
      </c>
      <c r="X148" s="2"/>
      <c r="Y148" s="2">
        <v>136.09762000000001</v>
      </c>
      <c r="Z148" s="2">
        <v>139.30481</v>
      </c>
      <c r="AA148" s="2">
        <f t="shared" si="146"/>
        <v>3.2071899999999971</v>
      </c>
      <c r="AB148" s="2">
        <f t="shared" si="147"/>
        <v>12.084249999999997</v>
      </c>
      <c r="AC148" s="2">
        <f t="shared" si="148"/>
        <v>0.20973760482989165</v>
      </c>
      <c r="AD148" s="2">
        <f t="shared" si="149"/>
        <v>0.79026239517010832</v>
      </c>
      <c r="AE148" s="2">
        <f t="shared" si="150"/>
        <v>0.31179942566545821</v>
      </c>
      <c r="AF148" s="2">
        <f t="shared" si="151"/>
        <v>6.5396064726409048E-2</v>
      </c>
      <c r="AG148" s="2">
        <f t="shared" si="152"/>
        <v>15.291439999999994</v>
      </c>
      <c r="AH148" s="2">
        <v>16</v>
      </c>
      <c r="AI148">
        <f t="shared" si="153"/>
        <v>4.9887908106473313</v>
      </c>
      <c r="AJ148" s="2"/>
      <c r="AK148" s="2"/>
      <c r="AL148" s="2"/>
    </row>
    <row r="149" spans="3:38" x14ac:dyDescent="0.35">
      <c r="C149" s="263"/>
      <c r="D149" s="155">
        <v>0</v>
      </c>
      <c r="F149" s="13">
        <v>157.70239000000001</v>
      </c>
      <c r="G149" s="13">
        <v>162.26912999999999</v>
      </c>
      <c r="H149" s="2">
        <f t="shared" si="138"/>
        <v>4.5667399999999816</v>
      </c>
      <c r="I149" s="2">
        <f t="shared" si="139"/>
        <v>3.2369800000000168</v>
      </c>
      <c r="J149" s="2">
        <f t="shared" si="140"/>
        <v>0.58520039160810267</v>
      </c>
      <c r="K149" s="2">
        <f t="shared" si="141"/>
        <v>0.41479960839189739</v>
      </c>
      <c r="L149" s="2">
        <f t="shared" si="142"/>
        <v>0.21897458580957183</v>
      </c>
      <c r="M149" s="2">
        <f t="shared" si="143"/>
        <v>0.12814401336798351</v>
      </c>
      <c r="N149" s="2">
        <f t="shared" si="144"/>
        <v>7.8037199999999984</v>
      </c>
      <c r="O149" s="2">
        <v>39</v>
      </c>
      <c r="P149">
        <f t="shared" si="145"/>
        <v>8.5400088465733006</v>
      </c>
      <c r="V149" t="s">
        <v>541</v>
      </c>
      <c r="W149" s="207">
        <v>0</v>
      </c>
      <c r="X149" s="2"/>
      <c r="Y149" s="13">
        <v>151.38906</v>
      </c>
      <c r="Z149" s="2">
        <v>154.40331</v>
      </c>
      <c r="AA149" s="2">
        <f t="shared" si="146"/>
        <v>3.0142500000000041</v>
      </c>
      <c r="AB149" s="2">
        <f t="shared" si="147"/>
        <v>18.671850000000006</v>
      </c>
      <c r="AC149" s="2">
        <f t="shared" si="148"/>
        <v>0.13899456333780635</v>
      </c>
      <c r="AD149" s="2">
        <f t="shared" si="149"/>
        <v>0.86100543666219365</v>
      </c>
      <c r="AE149" s="2">
        <f t="shared" si="150"/>
        <v>0.33175748527826115</v>
      </c>
      <c r="AF149" s="2">
        <f t="shared" si="151"/>
        <v>4.6112486800300632E-2</v>
      </c>
      <c r="AG149" s="2">
        <f t="shared" si="152"/>
        <v>21.68610000000001</v>
      </c>
      <c r="AH149" s="2">
        <v>14</v>
      </c>
      <c r="AI149">
        <f t="shared" si="153"/>
        <v>4.6446047938956561</v>
      </c>
      <c r="AJ149" s="2"/>
      <c r="AK149" s="2"/>
      <c r="AL149" s="2"/>
    </row>
    <row r="150" spans="3:38" x14ac:dyDescent="0.35">
      <c r="C150" s="263" t="s">
        <v>541</v>
      </c>
      <c r="D150" s="155">
        <v>0</v>
      </c>
      <c r="F150" s="13">
        <v>165.50611000000001</v>
      </c>
      <c r="G150" s="13">
        <v>170.69644</v>
      </c>
      <c r="H150" s="2">
        <f t="shared" si="138"/>
        <v>5.1903299999999888</v>
      </c>
      <c r="I150" s="2">
        <f t="shared" si="139"/>
        <v>5.2356499999999926</v>
      </c>
      <c r="J150" s="2">
        <f t="shared" si="140"/>
        <v>0.49782658320848477</v>
      </c>
      <c r="K150" s="2">
        <f t="shared" si="141"/>
        <v>0.50217341679151528</v>
      </c>
      <c r="L150" s="2">
        <f t="shared" si="142"/>
        <v>0.1926659769224697</v>
      </c>
      <c r="M150" s="2">
        <f t="shared" si="143"/>
        <v>9.5914244991837871E-2</v>
      </c>
      <c r="N150" s="2">
        <f t="shared" si="144"/>
        <v>10.425979999999981</v>
      </c>
      <c r="O150" s="2">
        <v>37</v>
      </c>
      <c r="P150">
        <f t="shared" si="145"/>
        <v>7.128641146131379</v>
      </c>
      <c r="W150" s="207">
        <v>0</v>
      </c>
      <c r="X150" s="2"/>
      <c r="Y150" s="13">
        <v>173.07516000000001</v>
      </c>
      <c r="Z150" s="2">
        <v>176.56873999999999</v>
      </c>
      <c r="AA150" s="2">
        <f t="shared" si="146"/>
        <v>3.4935799999999801</v>
      </c>
      <c r="AB150" s="2">
        <f t="shared" si="147"/>
        <v>10.438289999999995</v>
      </c>
      <c r="AC150" s="2">
        <f t="shared" si="148"/>
        <v>0.25076174268062984</v>
      </c>
      <c r="AD150" s="2">
        <f t="shared" si="149"/>
        <v>0.74923825731937022</v>
      </c>
      <c r="AE150" s="2">
        <f t="shared" si="150"/>
        <v>0.28623933042895988</v>
      </c>
      <c r="AF150" s="2">
        <f t="shared" si="151"/>
        <v>7.1777873322102614E-2</v>
      </c>
      <c r="AG150" s="2">
        <f t="shared" si="152"/>
        <v>13.931869999999975</v>
      </c>
      <c r="AH150" s="2">
        <v>21</v>
      </c>
      <c r="AI150">
        <f t="shared" si="153"/>
        <v>6.0110259390081575</v>
      </c>
      <c r="AJ150" s="2"/>
      <c r="AL150" s="2"/>
    </row>
    <row r="151" spans="3:38" x14ac:dyDescent="0.35">
      <c r="C151" s="263"/>
      <c r="D151" s="155">
        <v>0</v>
      </c>
      <c r="F151" s="13">
        <v>175.93208999999999</v>
      </c>
      <c r="G151" s="13">
        <v>180.36266000000001</v>
      </c>
      <c r="H151" s="2">
        <f t="shared" si="138"/>
        <v>4.4305700000000172</v>
      </c>
      <c r="I151" s="2">
        <f t="shared" si="139"/>
        <v>3.2482599999999877</v>
      </c>
      <c r="J151" s="2">
        <f t="shared" si="140"/>
        <v>0.5769850354806676</v>
      </c>
      <c r="K151" s="2">
        <f t="shared" si="141"/>
        <v>0.42301496451933246</v>
      </c>
      <c r="L151" s="2">
        <f t="shared" si="142"/>
        <v>0.22570459331417767</v>
      </c>
      <c r="M151" s="2">
        <f t="shared" si="143"/>
        <v>0.13022817278153043</v>
      </c>
      <c r="N151" s="2">
        <f t="shared" si="144"/>
        <v>7.6788300000000049</v>
      </c>
      <c r="O151" s="2">
        <v>36</v>
      </c>
      <c r="P151">
        <f t="shared" si="145"/>
        <v>8.1253653593103952</v>
      </c>
      <c r="W151" s="207">
        <v>0</v>
      </c>
      <c r="X151" s="2"/>
      <c r="Y151" s="13">
        <v>187.00702999999999</v>
      </c>
      <c r="Z151" s="2">
        <v>190.08798999999999</v>
      </c>
      <c r="AA151" s="2">
        <f t="shared" si="146"/>
        <v>3.0809600000000046</v>
      </c>
      <c r="AB151" s="2">
        <f t="shared" si="147"/>
        <v>9.7574299999999994</v>
      </c>
      <c r="AC151" s="2">
        <f t="shared" si="148"/>
        <v>0.23998024674433505</v>
      </c>
      <c r="AD151" s="2">
        <f t="shared" si="149"/>
        <v>0.76001975325566495</v>
      </c>
      <c r="AE151" s="2">
        <f t="shared" si="150"/>
        <v>0.32457415870378015</v>
      </c>
      <c r="AF151" s="2">
        <f t="shared" si="151"/>
        <v>7.7891386692568121E-2</v>
      </c>
      <c r="AG151" s="2">
        <f t="shared" si="152"/>
        <v>12.838390000000004</v>
      </c>
      <c r="AH151" s="2">
        <v>15</v>
      </c>
      <c r="AI151">
        <f t="shared" si="153"/>
        <v>4.8686123805567023</v>
      </c>
      <c r="AJ151" s="2"/>
      <c r="AK151" s="2"/>
      <c r="AL151" s="2"/>
    </row>
    <row r="152" spans="3:38" x14ac:dyDescent="0.35">
      <c r="C152" s="263" t="s">
        <v>541</v>
      </c>
      <c r="D152" s="155">
        <v>0</v>
      </c>
      <c r="F152" s="13">
        <v>183.61091999999999</v>
      </c>
      <c r="G152" s="13">
        <v>187.79071999999999</v>
      </c>
      <c r="H152" s="2">
        <f t="shared" si="138"/>
        <v>4.1798000000000002</v>
      </c>
      <c r="I152" s="2">
        <f t="shared" si="139"/>
        <v>4.2878200000000106</v>
      </c>
      <c r="J152" s="2">
        <f t="shared" si="140"/>
        <v>0.49362158434129011</v>
      </c>
      <c r="K152" s="2">
        <f t="shared" si="141"/>
        <v>0.50637841565870989</v>
      </c>
      <c r="L152" s="2">
        <f t="shared" si="142"/>
        <v>0.2392458969328676</v>
      </c>
      <c r="M152" s="2">
        <f t="shared" si="143"/>
        <v>0.1180969386911551</v>
      </c>
      <c r="N152" s="2">
        <f t="shared" si="144"/>
        <v>8.4676200000000108</v>
      </c>
      <c r="O152" s="2">
        <v>32</v>
      </c>
      <c r="P152">
        <f t="shared" si="145"/>
        <v>7.6558687018517633</v>
      </c>
      <c r="W152" s="207">
        <v>0</v>
      </c>
      <c r="X152" s="2"/>
      <c r="Y152" s="13">
        <v>199.84541999999999</v>
      </c>
      <c r="Z152" s="2">
        <v>202.84861000000001</v>
      </c>
      <c r="AA152" s="2">
        <f t="shared" si="146"/>
        <v>3.0031900000000178</v>
      </c>
      <c r="AB152" s="2">
        <f t="shared" si="147"/>
        <v>10.788479999999993</v>
      </c>
      <c r="AC152" s="2">
        <f t="shared" si="148"/>
        <v>0.217753905074586</v>
      </c>
      <c r="AD152" s="2">
        <f t="shared" si="149"/>
        <v>0.78224609492541397</v>
      </c>
      <c r="AE152" s="2">
        <f t="shared" si="150"/>
        <v>0.33297926538114275</v>
      </c>
      <c r="AF152" s="2">
        <f t="shared" si="151"/>
        <v>7.2507535345610732E-2</v>
      </c>
      <c r="AG152" s="2">
        <f t="shared" si="152"/>
        <v>13.791670000000011</v>
      </c>
      <c r="AH152" s="2">
        <v>13</v>
      </c>
      <c r="AI152">
        <f t="shared" si="153"/>
        <v>4.3287304499548558</v>
      </c>
      <c r="AJ152" s="2"/>
      <c r="AK152" s="2"/>
      <c r="AL152" s="2"/>
    </row>
    <row r="153" spans="3:38" x14ac:dyDescent="0.35">
      <c r="C153" s="263"/>
      <c r="D153" s="155">
        <v>0</v>
      </c>
      <c r="F153" s="13">
        <v>192.07854</v>
      </c>
      <c r="G153" s="13">
        <v>197.53971999999999</v>
      </c>
      <c r="H153" s="2">
        <f t="shared" si="138"/>
        <v>5.4611799999999846</v>
      </c>
      <c r="I153" s="2">
        <f t="shared" si="139"/>
        <v>3.4745300000000157</v>
      </c>
      <c r="J153" s="2">
        <f t="shared" si="140"/>
        <v>0.61116352254045669</v>
      </c>
      <c r="K153" s="2">
        <f t="shared" si="141"/>
        <v>0.38883647745954331</v>
      </c>
      <c r="L153" s="2">
        <f t="shared" si="142"/>
        <v>0.18311060979495325</v>
      </c>
      <c r="M153" s="2">
        <f t="shared" si="143"/>
        <v>0.11191052529681468</v>
      </c>
      <c r="N153" s="2">
        <f t="shared" si="144"/>
        <v>8.9357100000000003</v>
      </c>
      <c r="O153" s="2">
        <v>47</v>
      </c>
      <c r="P153">
        <f t="shared" si="145"/>
        <v>8.6061986603628036</v>
      </c>
      <c r="V153" t="s">
        <v>541</v>
      </c>
      <c r="W153" s="207">
        <v>0</v>
      </c>
      <c r="X153" s="2"/>
      <c r="Y153" s="13">
        <v>213.63709</v>
      </c>
      <c r="Z153" s="2">
        <v>217.08726999999999</v>
      </c>
      <c r="AA153" s="2">
        <f t="shared" si="146"/>
        <v>3.4501799999999889</v>
      </c>
      <c r="AB153" s="2"/>
      <c r="AC153" s="2"/>
      <c r="AD153" s="2"/>
      <c r="AE153" s="2"/>
      <c r="AF153" s="2"/>
      <c r="AG153" s="2"/>
      <c r="AH153" s="2"/>
      <c r="AJ153" s="2"/>
      <c r="AK153" s="2"/>
      <c r="AL153" s="2"/>
    </row>
    <row r="154" spans="3:38" x14ac:dyDescent="0.35">
      <c r="C154" s="263" t="s">
        <v>541</v>
      </c>
      <c r="D154" s="155">
        <v>0</v>
      </c>
      <c r="F154" s="13">
        <v>201.01425</v>
      </c>
      <c r="G154" s="13">
        <v>206.06348</v>
      </c>
      <c r="H154" s="2">
        <f t="shared" si="138"/>
        <v>5.0492299999999943</v>
      </c>
      <c r="I154" s="2">
        <f t="shared" si="139"/>
        <v>5.2385700000000099</v>
      </c>
      <c r="J154" s="2">
        <f t="shared" si="140"/>
        <v>0.49079783821613876</v>
      </c>
      <c r="K154" s="2">
        <f t="shared" si="141"/>
        <v>0.50920216178386124</v>
      </c>
      <c r="L154" s="2">
        <f t="shared" si="142"/>
        <v>0.19804999970292522</v>
      </c>
      <c r="M154" s="2">
        <f t="shared" si="143"/>
        <v>9.7202511712902617E-2</v>
      </c>
      <c r="N154" s="2">
        <f t="shared" si="144"/>
        <v>10.287800000000004</v>
      </c>
      <c r="O154" s="2">
        <v>38</v>
      </c>
      <c r="P154">
        <f t="shared" si="145"/>
        <v>7.5258999887111582</v>
      </c>
      <c r="W154" s="207"/>
      <c r="X154" s="2"/>
      <c r="Y154" s="13"/>
      <c r="Z154" s="2"/>
      <c r="AA154" s="2"/>
      <c r="AB154" s="2"/>
      <c r="AC154" s="2"/>
      <c r="AD154" s="2"/>
      <c r="AE154" s="2"/>
      <c r="AF154" s="2"/>
      <c r="AG154" s="2"/>
      <c r="AH154" s="2"/>
      <c r="AI154" s="2"/>
      <c r="AJ154" s="2"/>
      <c r="AK154" s="2"/>
      <c r="AL154" s="2"/>
    </row>
    <row r="155" spans="3:38" x14ac:dyDescent="0.35">
      <c r="C155" s="263"/>
      <c r="D155" s="155">
        <v>0</v>
      </c>
      <c r="F155" s="13">
        <v>211.30205000000001</v>
      </c>
      <c r="G155" s="13">
        <v>215.48688999999999</v>
      </c>
      <c r="H155" s="2">
        <f t="shared" si="138"/>
        <v>4.1848399999999799</v>
      </c>
      <c r="I155" s="2">
        <f t="shared" si="139"/>
        <v>3.4055200000000241</v>
      </c>
      <c r="J155" s="2">
        <f t="shared" si="140"/>
        <v>0.55133616850847356</v>
      </c>
      <c r="K155" s="2">
        <f t="shared" si="141"/>
        <v>0.44866383149152639</v>
      </c>
      <c r="L155" s="2">
        <f t="shared" si="142"/>
        <v>0.23895776182602077</v>
      </c>
      <c r="M155" s="2">
        <f t="shared" si="143"/>
        <v>0.13174605684051868</v>
      </c>
      <c r="N155" s="2">
        <f t="shared" si="144"/>
        <v>7.590360000000004</v>
      </c>
      <c r="O155" s="2">
        <v>31</v>
      </c>
      <c r="P155">
        <f t="shared" si="145"/>
        <v>7.4076906166066445</v>
      </c>
      <c r="W155" s="207"/>
      <c r="X155" s="2"/>
      <c r="Y155" s="13"/>
      <c r="Z155" s="2"/>
      <c r="AA155" s="2"/>
      <c r="AB155" s="2"/>
      <c r="AC155" s="2"/>
      <c r="AD155" s="2"/>
      <c r="AE155" s="2"/>
      <c r="AF155" s="2"/>
      <c r="AG155" s="2"/>
      <c r="AH155" s="2"/>
      <c r="AI155" s="2"/>
      <c r="AJ155" s="2"/>
      <c r="AK155" s="2"/>
      <c r="AL155" s="2"/>
    </row>
    <row r="156" spans="3:38" ht="16" thickBot="1" x14ac:dyDescent="0.4">
      <c r="C156" s="263" t="s">
        <v>541</v>
      </c>
      <c r="D156" s="155">
        <v>0</v>
      </c>
      <c r="F156" s="13">
        <v>218.89241000000001</v>
      </c>
      <c r="G156" s="13">
        <v>222.62572</v>
      </c>
      <c r="H156" s="2">
        <f t="shared" si="138"/>
        <v>3.7333099999999888</v>
      </c>
      <c r="I156" s="2">
        <f t="shared" si="139"/>
        <v>6.5986800000000017</v>
      </c>
      <c r="J156" s="2">
        <f t="shared" si="140"/>
        <v>0.36133503807107753</v>
      </c>
      <c r="K156" s="2">
        <f t="shared" si="141"/>
        <v>0.63866496192892253</v>
      </c>
      <c r="L156" s="2">
        <f t="shared" si="142"/>
        <v>0.26785881697474972</v>
      </c>
      <c r="M156" s="2">
        <f t="shared" si="143"/>
        <v>9.6786775829244984E-2</v>
      </c>
      <c r="N156" s="2">
        <f t="shared" si="144"/>
        <v>10.33198999999999</v>
      </c>
      <c r="O156" s="2">
        <v>28</v>
      </c>
      <c r="P156">
        <f t="shared" si="145"/>
        <v>7.500046875292993</v>
      </c>
      <c r="W156" s="207"/>
      <c r="Y156" s="13"/>
      <c r="Z156" s="13"/>
      <c r="AA156" s="9" t="s">
        <v>3</v>
      </c>
      <c r="AB156" s="9" t="s">
        <v>4</v>
      </c>
      <c r="AC156" s="9" t="s">
        <v>5</v>
      </c>
      <c r="AD156" s="9" t="s">
        <v>6</v>
      </c>
      <c r="AE156" s="9" t="s">
        <v>7</v>
      </c>
      <c r="AF156" s="9" t="s">
        <v>8</v>
      </c>
      <c r="AG156" s="9" t="s">
        <v>9</v>
      </c>
      <c r="AH156" s="9" t="s">
        <v>10</v>
      </c>
      <c r="AI156" s="44" t="s">
        <v>139</v>
      </c>
      <c r="AJ156" s="2"/>
      <c r="AK156" s="2"/>
      <c r="AL156" s="2"/>
    </row>
    <row r="157" spans="3:38" x14ac:dyDescent="0.35">
      <c r="C157" s="263"/>
      <c r="D157" s="155">
        <v>0</v>
      </c>
      <c r="F157" s="13">
        <v>229.2244</v>
      </c>
      <c r="G157" s="13">
        <v>233.37398999999999</v>
      </c>
      <c r="H157" s="2">
        <f t="shared" si="138"/>
        <v>4.1495899999999892</v>
      </c>
      <c r="I157" s="2">
        <f t="shared" si="139"/>
        <v>5.0244399999999985</v>
      </c>
      <c r="J157" s="2">
        <f t="shared" si="140"/>
        <v>0.45231920976931567</v>
      </c>
      <c r="K157" s="2">
        <f t="shared" si="141"/>
        <v>0.54768079023068439</v>
      </c>
      <c r="L157" s="2">
        <f t="shared" si="142"/>
        <v>0.24098766384148859</v>
      </c>
      <c r="M157" s="2">
        <f t="shared" si="143"/>
        <v>0.1090033496729356</v>
      </c>
      <c r="N157" s="2">
        <f t="shared" si="144"/>
        <v>9.1740299999999877</v>
      </c>
      <c r="O157" s="2">
        <v>33</v>
      </c>
      <c r="P157">
        <f t="shared" si="145"/>
        <v>7.952592906769123</v>
      </c>
      <c r="W157" s="207"/>
      <c r="X157" s="104" t="s">
        <v>427</v>
      </c>
      <c r="Y157" s="13"/>
      <c r="Z157" s="49" t="s">
        <v>77</v>
      </c>
      <c r="AA157" s="13">
        <f t="shared" ref="AA157:AI157" si="154">AVERAGE(AA139:AA146)</f>
        <v>2.843993750000001</v>
      </c>
      <c r="AB157" s="13">
        <f t="shared" si="154"/>
        <v>11.40952375</v>
      </c>
      <c r="AC157" s="13">
        <f t="shared" si="154"/>
        <v>0.20987268675936693</v>
      </c>
      <c r="AD157" s="13">
        <f t="shared" si="154"/>
        <v>0.79012731324063301</v>
      </c>
      <c r="AE157" s="13">
        <f t="shared" si="154"/>
        <v>0.36334298526280956</v>
      </c>
      <c r="AF157" s="13">
        <f t="shared" si="154"/>
        <v>7.5560886339344907E-2</v>
      </c>
      <c r="AG157" s="13">
        <f t="shared" si="154"/>
        <v>14.253517500000001</v>
      </c>
      <c r="AH157" s="13">
        <f t="shared" si="154"/>
        <v>14.375</v>
      </c>
      <c r="AI157" s="13">
        <f t="shared" si="154"/>
        <v>5.0910259717685342</v>
      </c>
      <c r="AJ157" s="2"/>
      <c r="AK157" s="2"/>
      <c r="AL157" s="2"/>
    </row>
    <row r="158" spans="3:38" x14ac:dyDescent="0.35">
      <c r="D158" s="155"/>
      <c r="F158" s="13">
        <v>238.39842999999999</v>
      </c>
      <c r="G158" s="13">
        <v>239.97384</v>
      </c>
      <c r="H158" s="2">
        <f t="shared" si="138"/>
        <v>1.5754100000000051</v>
      </c>
      <c r="I158" s="2"/>
      <c r="J158" s="2"/>
      <c r="K158" s="2"/>
      <c r="L158" s="2"/>
      <c r="M158" s="2"/>
      <c r="N158" s="2"/>
      <c r="O158" s="2"/>
      <c r="W158" s="207"/>
      <c r="X158" s="104"/>
      <c r="Y158" s="13"/>
      <c r="Z158" s="49" t="s">
        <v>94</v>
      </c>
      <c r="AA158" s="2">
        <f t="shared" ref="AA158:AI158" si="155">_xlfn.STDEV.S(AA139:AA146)</f>
        <v>0.4567701323716144</v>
      </c>
      <c r="AB158" s="2">
        <f t="shared" si="155"/>
        <v>4.2373402501128927</v>
      </c>
      <c r="AC158" s="2">
        <f t="shared" si="155"/>
        <v>5.0761943626783469E-2</v>
      </c>
      <c r="AD158" s="2">
        <f t="shared" si="155"/>
        <v>5.0761943626783386E-2</v>
      </c>
      <c r="AE158" s="2">
        <f t="shared" si="155"/>
        <v>8.4012956832648311E-2</v>
      </c>
      <c r="AF158" s="2">
        <f t="shared" si="155"/>
        <v>2.062093967579073E-2</v>
      </c>
      <c r="AG158" s="2">
        <f t="shared" si="155"/>
        <v>4.4363251766419483</v>
      </c>
      <c r="AH158" s="2">
        <f t="shared" si="155"/>
        <v>1.8468119248354136</v>
      </c>
      <c r="AI158" s="2">
        <f t="shared" si="155"/>
        <v>0.29912142945449799</v>
      </c>
      <c r="AJ158" s="2"/>
      <c r="AK158" s="2"/>
      <c r="AL158" s="2"/>
    </row>
    <row r="159" spans="3:38" x14ac:dyDescent="0.35">
      <c r="F159" s="13"/>
      <c r="G159" s="13"/>
      <c r="H159" s="2"/>
      <c r="I159" s="2"/>
      <c r="J159" s="2"/>
      <c r="K159" s="2"/>
      <c r="L159" s="2"/>
      <c r="M159" s="2"/>
      <c r="N159" s="2"/>
      <c r="O159" s="2"/>
      <c r="W159" s="207"/>
      <c r="X159" s="104"/>
      <c r="Y159" s="13"/>
      <c r="Z159" s="49" t="s">
        <v>95</v>
      </c>
      <c r="AA159" s="2">
        <f t="shared" ref="AA159:AI159" si="156">AA158/(SQRT(COUNT(AA139:AA146)))</f>
        <v>0.16149262902172273</v>
      </c>
      <c r="AB159" s="2">
        <f t="shared" si="156"/>
        <v>1.4981260125247637</v>
      </c>
      <c r="AC159" s="2">
        <f t="shared" si="156"/>
        <v>1.7947057282353917E-2</v>
      </c>
      <c r="AD159" s="2">
        <f t="shared" si="156"/>
        <v>1.7947057282353889E-2</v>
      </c>
      <c r="AE159" s="2">
        <f t="shared" si="156"/>
        <v>2.9703065741949156E-2</v>
      </c>
      <c r="AF159" s="2">
        <f t="shared" si="156"/>
        <v>7.2906031395951754E-3</v>
      </c>
      <c r="AG159" s="2">
        <f t="shared" si="156"/>
        <v>1.5684778079760648</v>
      </c>
      <c r="AH159" s="2">
        <f t="shared" si="156"/>
        <v>0.65294661781365071</v>
      </c>
      <c r="AI159" s="2">
        <f t="shared" si="156"/>
        <v>0.10575539558274451</v>
      </c>
      <c r="AJ159" s="2"/>
      <c r="AK159" s="2"/>
      <c r="AL159" s="2"/>
    </row>
    <row r="160" spans="3:38" x14ac:dyDescent="0.35">
      <c r="F160" s="13"/>
      <c r="W160" s="264"/>
      <c r="X160" s="104"/>
      <c r="Y160" s="13"/>
      <c r="Z160" s="49"/>
      <c r="AA160" s="2"/>
      <c r="AB160" s="2"/>
      <c r="AC160" s="2"/>
      <c r="AD160" s="2"/>
      <c r="AE160" s="2"/>
      <c r="AF160" s="2"/>
      <c r="AG160" s="2"/>
      <c r="AH160" s="2"/>
      <c r="AI160" s="2"/>
      <c r="AJ160" s="2"/>
      <c r="AK160" s="2"/>
      <c r="AL160" s="2"/>
    </row>
    <row r="161" spans="2:40" ht="16" thickBot="1" x14ac:dyDescent="0.4">
      <c r="F161" s="13"/>
      <c r="G161" s="13"/>
      <c r="H161" s="9" t="s">
        <v>3</v>
      </c>
      <c r="I161" s="9" t="s">
        <v>4</v>
      </c>
      <c r="J161" s="9" t="s">
        <v>5</v>
      </c>
      <c r="K161" s="9" t="s">
        <v>6</v>
      </c>
      <c r="L161" s="9" t="s">
        <v>7</v>
      </c>
      <c r="M161" s="9" t="s">
        <v>8</v>
      </c>
      <c r="N161" s="9" t="s">
        <v>9</v>
      </c>
      <c r="O161" s="9" t="s">
        <v>10</v>
      </c>
      <c r="P161" s="44" t="s">
        <v>139</v>
      </c>
      <c r="W161" s="264"/>
      <c r="X161" s="104"/>
      <c r="Y161" s="13"/>
      <c r="Z161" s="49"/>
      <c r="AA161" s="2"/>
      <c r="AB161" s="2"/>
      <c r="AC161" s="2"/>
      <c r="AD161" s="2"/>
      <c r="AE161" s="2"/>
      <c r="AF161" s="2"/>
      <c r="AG161" s="2"/>
      <c r="AH161" s="2"/>
      <c r="AI161" s="2"/>
      <c r="AJ161" s="2"/>
      <c r="AK161" s="2"/>
      <c r="AL161" s="2"/>
    </row>
    <row r="162" spans="2:40" ht="16" thickBot="1" x14ac:dyDescent="0.4">
      <c r="E162" s="104" t="s">
        <v>413</v>
      </c>
      <c r="F162" s="13"/>
      <c r="G162" s="49" t="s">
        <v>77</v>
      </c>
      <c r="H162" s="13">
        <f>AVERAGE(H133:H144)</f>
        <v>4.9257791666666666</v>
      </c>
      <c r="I162" s="13">
        <f t="shared" ref="I162:P162" si="157">AVERAGE(I133:I144)</f>
        <v>5.4098374999999992</v>
      </c>
      <c r="J162" s="13">
        <f t="shared" si="157"/>
        <v>0.47205249483727035</v>
      </c>
      <c r="K162" s="13">
        <f t="shared" si="157"/>
        <v>0.5279475051627297</v>
      </c>
      <c r="L162" s="13">
        <f t="shared" si="157"/>
        <v>0.22921488569916249</v>
      </c>
      <c r="M162" s="13">
        <f t="shared" si="157"/>
        <v>0.10091063507418861</v>
      </c>
      <c r="N162" s="13">
        <f t="shared" si="157"/>
        <v>10.335616666666667</v>
      </c>
      <c r="O162" s="13">
        <f t="shared" si="157"/>
        <v>34.916666666666664</v>
      </c>
      <c r="P162" s="13">
        <f t="shared" si="157"/>
        <v>6.8875943325508286</v>
      </c>
      <c r="W162" s="264"/>
      <c r="X162" s="104" t="s">
        <v>81</v>
      </c>
      <c r="Y162" s="13"/>
      <c r="Z162" s="13"/>
      <c r="AA162" s="9" t="s">
        <v>3</v>
      </c>
      <c r="AB162" s="9" t="s">
        <v>4</v>
      </c>
      <c r="AC162" s="9" t="s">
        <v>5</v>
      </c>
      <c r="AD162" s="9" t="s">
        <v>6</v>
      </c>
      <c r="AE162" s="9" t="s">
        <v>7</v>
      </c>
      <c r="AF162" s="9" t="s">
        <v>8</v>
      </c>
      <c r="AG162" s="9" t="s">
        <v>9</v>
      </c>
      <c r="AH162" s="9" t="s">
        <v>10</v>
      </c>
      <c r="AI162" s="44" t="s">
        <v>139</v>
      </c>
      <c r="AJ162" s="2"/>
      <c r="AK162" s="2"/>
      <c r="AL162" s="2"/>
    </row>
    <row r="163" spans="2:40" x14ac:dyDescent="0.35">
      <c r="E163" s="104"/>
      <c r="F163" s="13"/>
      <c r="G163" s="49" t="s">
        <v>94</v>
      </c>
      <c r="H163" s="2">
        <f>_xlfn.STDEV.S(H133:H144)</f>
        <v>1.3307435496160367</v>
      </c>
      <c r="I163" s="2">
        <f t="shared" ref="I163:P163" si="158">_xlfn.STDEV.S(I133:I144)</f>
        <v>1.2609914134746578</v>
      </c>
      <c r="J163" s="2">
        <f t="shared" si="158"/>
        <v>0.10013120788253864</v>
      </c>
      <c r="K163" s="2">
        <f t="shared" si="158"/>
        <v>0.10013120788253864</v>
      </c>
      <c r="L163" s="2">
        <f t="shared" si="158"/>
        <v>0.11701790071101369</v>
      </c>
      <c r="M163" s="2">
        <f t="shared" si="158"/>
        <v>2.736436625451585E-2</v>
      </c>
      <c r="N163" s="2">
        <f t="shared" si="158"/>
        <v>1.7524902951635517</v>
      </c>
      <c r="O163" s="2">
        <f t="shared" si="158"/>
        <v>14.810673874137548</v>
      </c>
      <c r="P163" s="2">
        <f t="shared" si="158"/>
        <v>1.3545047473172891</v>
      </c>
      <c r="W163" s="264"/>
      <c r="X163" s="104"/>
      <c r="Y163" s="13"/>
      <c r="Z163" s="49" t="s">
        <v>77</v>
      </c>
      <c r="AA163" s="13">
        <f>AVERAGE(AA134,AA136,AA139)</f>
        <v>2.9156600000000008</v>
      </c>
      <c r="AB163" s="13">
        <f t="shared" ref="AB163:AI163" si="159">AVERAGE(AB134,AB136,AB139)</f>
        <v>11.781879999999999</v>
      </c>
      <c r="AC163" s="13">
        <f t="shared" si="159"/>
        <v>0.19837741554028776</v>
      </c>
      <c r="AD163" s="13">
        <f t="shared" si="159"/>
        <v>0.80162258445971224</v>
      </c>
      <c r="AE163" s="13">
        <f t="shared" si="159"/>
        <v>0.34297551840749596</v>
      </c>
      <c r="AF163" s="13">
        <f t="shared" si="159"/>
        <v>6.8038596935269438E-2</v>
      </c>
      <c r="AG163" s="13">
        <f t="shared" si="159"/>
        <v>14.69754</v>
      </c>
      <c r="AH163" s="13">
        <f t="shared" si="159"/>
        <v>15</v>
      </c>
      <c r="AI163" s="13">
        <f t="shared" si="159"/>
        <v>5.1446327761124397</v>
      </c>
      <c r="AJ163" s="2"/>
      <c r="AK163" s="2"/>
      <c r="AL163" s="2"/>
    </row>
    <row r="164" spans="2:40" x14ac:dyDescent="0.35">
      <c r="E164" s="104"/>
      <c r="F164" s="13"/>
      <c r="G164" s="49" t="s">
        <v>95</v>
      </c>
      <c r="H164" s="2">
        <f>H163/(SQRT(COUNT(H133:H144)))</f>
        <v>0.38415257329658847</v>
      </c>
      <c r="I164" s="2">
        <f t="shared" ref="I164:P164" si="160">I163/(SQRT(COUNT(I133:I144)))</f>
        <v>0.36401686600770022</v>
      </c>
      <c r="J164" s="2">
        <f t="shared" si="160"/>
        <v>2.8905389912633032E-2</v>
      </c>
      <c r="K164" s="2">
        <f t="shared" si="160"/>
        <v>2.8905389912633032E-2</v>
      </c>
      <c r="L164" s="2">
        <f t="shared" si="160"/>
        <v>3.3780158237754328E-2</v>
      </c>
      <c r="M164" s="2">
        <f t="shared" si="160"/>
        <v>7.8994121116241194E-3</v>
      </c>
      <c r="N164" s="2">
        <f t="shared" si="160"/>
        <v>0.50590037183244163</v>
      </c>
      <c r="O164" s="2">
        <f t="shared" si="160"/>
        <v>4.2754732740565355</v>
      </c>
      <c r="P164" s="2">
        <f t="shared" si="160"/>
        <v>0.39101184024113145</v>
      </c>
      <c r="W164" s="264"/>
      <c r="X164" s="104"/>
      <c r="Y164" s="13"/>
      <c r="Z164" s="49" t="s">
        <v>94</v>
      </c>
      <c r="AA164" s="2" t="e">
        <f>_xlfn.STDEV.S(AA134,AA136,AA139)</f>
        <v>#DIV/0!</v>
      </c>
      <c r="AB164" s="2" t="e">
        <f t="shared" ref="AB164:AI164" si="161">_xlfn.STDEV.S(AB134,AB136,AB139)</f>
        <v>#DIV/0!</v>
      </c>
      <c r="AC164" s="2" t="e">
        <f t="shared" si="161"/>
        <v>#DIV/0!</v>
      </c>
      <c r="AD164" s="2" t="e">
        <f t="shared" si="161"/>
        <v>#DIV/0!</v>
      </c>
      <c r="AE164" s="2" t="e">
        <f t="shared" si="161"/>
        <v>#DIV/0!</v>
      </c>
      <c r="AF164" s="2" t="e">
        <f t="shared" si="161"/>
        <v>#DIV/0!</v>
      </c>
      <c r="AG164" s="2" t="e">
        <f t="shared" si="161"/>
        <v>#DIV/0!</v>
      </c>
      <c r="AH164" s="2" t="e">
        <f t="shared" si="161"/>
        <v>#DIV/0!</v>
      </c>
      <c r="AI164" s="2" t="e">
        <f t="shared" si="161"/>
        <v>#DIV/0!</v>
      </c>
      <c r="AJ164" s="2"/>
      <c r="AK164" s="2"/>
      <c r="AL164" s="2"/>
    </row>
    <row r="165" spans="2:40" x14ac:dyDescent="0.35">
      <c r="E165" s="104"/>
      <c r="F165" s="13"/>
      <c r="G165" s="49"/>
      <c r="H165" s="2"/>
      <c r="I165" s="2"/>
      <c r="J165" s="2"/>
      <c r="K165" s="2"/>
      <c r="L165" s="2"/>
      <c r="M165" s="2"/>
      <c r="N165" s="2"/>
      <c r="O165" s="2"/>
      <c r="P165" s="2"/>
      <c r="W165" s="264"/>
      <c r="X165" s="104"/>
      <c r="Y165" s="13"/>
      <c r="Z165" s="49" t="s">
        <v>95</v>
      </c>
      <c r="AA165" s="2" t="e">
        <f t="shared" ref="AA165:AI165" si="162">AA164/(SQRT(COUNT(AA134,AA136,AA139)))</f>
        <v>#DIV/0!</v>
      </c>
      <c r="AB165" s="2" t="e">
        <f t="shared" si="162"/>
        <v>#DIV/0!</v>
      </c>
      <c r="AC165" s="2" t="e">
        <f t="shared" si="162"/>
        <v>#DIV/0!</v>
      </c>
      <c r="AD165" s="2" t="e">
        <f t="shared" si="162"/>
        <v>#DIV/0!</v>
      </c>
      <c r="AE165" s="2" t="e">
        <f t="shared" si="162"/>
        <v>#DIV/0!</v>
      </c>
      <c r="AF165" s="2" t="e">
        <f t="shared" si="162"/>
        <v>#DIV/0!</v>
      </c>
      <c r="AG165" s="2" t="e">
        <f t="shared" si="162"/>
        <v>#DIV/0!</v>
      </c>
      <c r="AH165" s="2" t="e">
        <f t="shared" si="162"/>
        <v>#DIV/0!</v>
      </c>
      <c r="AI165" s="2" t="e">
        <f t="shared" si="162"/>
        <v>#DIV/0!</v>
      </c>
      <c r="AJ165" s="2"/>
      <c r="AK165" s="2"/>
      <c r="AL165" s="2"/>
    </row>
    <row r="166" spans="2:40" ht="16" thickBot="1" x14ac:dyDescent="0.4">
      <c r="E166" s="104" t="s">
        <v>81</v>
      </c>
      <c r="F166" s="13"/>
      <c r="G166" s="13"/>
      <c r="H166" s="9" t="s">
        <v>3</v>
      </c>
      <c r="I166" s="9" t="s">
        <v>4</v>
      </c>
      <c r="J166" s="9" t="s">
        <v>5</v>
      </c>
      <c r="K166" s="9" t="s">
        <v>6</v>
      </c>
      <c r="L166" s="9" t="s">
        <v>7</v>
      </c>
      <c r="M166" s="9" t="s">
        <v>8</v>
      </c>
      <c r="N166" s="9" t="s">
        <v>9</v>
      </c>
      <c r="O166" s="9" t="s">
        <v>10</v>
      </c>
      <c r="P166" s="44" t="s">
        <v>139</v>
      </c>
      <c r="W166" s="264"/>
      <c r="X166" s="104"/>
      <c r="Y166" s="13"/>
      <c r="Z166" s="49"/>
      <c r="AA166" s="2"/>
      <c r="AB166" s="2"/>
      <c r="AC166" s="2"/>
      <c r="AD166" s="2"/>
      <c r="AE166" s="2"/>
      <c r="AF166" s="2"/>
      <c r="AG166" s="2"/>
      <c r="AH166" s="2"/>
      <c r="AI166" s="2"/>
      <c r="AJ166" s="2"/>
      <c r="AK166" s="2"/>
      <c r="AL166" s="2"/>
    </row>
    <row r="167" spans="2:40" x14ac:dyDescent="0.35">
      <c r="E167" s="104"/>
      <c r="F167" s="13"/>
      <c r="G167" s="49" t="s">
        <v>77</v>
      </c>
      <c r="H167" s="13">
        <f>AVERAGE(H138:H144)</f>
        <v>5.1301999999999994</v>
      </c>
      <c r="I167" s="13">
        <f t="shared" ref="I167:P167" si="163">AVERAGE(I138:I144)</f>
        <v>4.6208828571428588</v>
      </c>
      <c r="J167" s="13">
        <f t="shared" si="163"/>
        <v>0.51141485252348107</v>
      </c>
      <c r="K167" s="13">
        <f t="shared" si="163"/>
        <v>0.48858514747651899</v>
      </c>
      <c r="L167" s="13">
        <f t="shared" si="163"/>
        <v>0.23868564389373567</v>
      </c>
      <c r="M167" s="13">
        <f t="shared" si="163"/>
        <v>0.10860508409382481</v>
      </c>
      <c r="N167" s="13">
        <f t="shared" si="163"/>
        <v>9.7510828571428583</v>
      </c>
      <c r="O167" s="13">
        <f t="shared" si="163"/>
        <v>41</v>
      </c>
      <c r="P167" s="13">
        <f t="shared" si="163"/>
        <v>7.7423193286195664</v>
      </c>
      <c r="W167" s="264"/>
      <c r="X167" s="104"/>
      <c r="Y167" s="13"/>
      <c r="Z167" s="49"/>
      <c r="AA167" s="2"/>
      <c r="AB167" s="2"/>
      <c r="AC167" s="2"/>
      <c r="AD167" s="2"/>
      <c r="AE167" s="2"/>
      <c r="AF167" s="2"/>
      <c r="AG167" s="2"/>
      <c r="AH167" s="2"/>
      <c r="AI167" s="2"/>
      <c r="AJ167" s="2"/>
      <c r="AK167" s="2"/>
      <c r="AL167" s="2"/>
    </row>
    <row r="168" spans="2:40" ht="16" thickBot="1" x14ac:dyDescent="0.4">
      <c r="E168" s="104"/>
      <c r="F168" s="13"/>
      <c r="G168" s="49" t="s">
        <v>94</v>
      </c>
      <c r="H168" s="2">
        <f>_xlfn.STDEV.S(H138:H144)</f>
        <v>1.7596811194834858</v>
      </c>
      <c r="I168" s="2">
        <f t="shared" ref="I168:P168" si="164">_xlfn.STDEV.S(I138:I144)</f>
        <v>0.93232470055080408</v>
      </c>
      <c r="J168" s="2">
        <f t="shared" si="164"/>
        <v>0.11760528737515125</v>
      </c>
      <c r="K168" s="2">
        <f t="shared" si="164"/>
        <v>0.11760528737515109</v>
      </c>
      <c r="L168" s="2">
        <f t="shared" si="164"/>
        <v>0.15739613214378598</v>
      </c>
      <c r="M168" s="2">
        <f t="shared" si="164"/>
        <v>3.4156282921096223E-2</v>
      </c>
      <c r="N168" s="2">
        <f t="shared" si="164"/>
        <v>2.042575863044124</v>
      </c>
      <c r="O168" s="2">
        <f t="shared" si="164"/>
        <v>17.185265006200321</v>
      </c>
      <c r="P168" s="2">
        <f t="shared" si="164"/>
        <v>1.101647735452558</v>
      </c>
      <c r="W168" s="264"/>
      <c r="X168" s="104" t="s">
        <v>82</v>
      </c>
      <c r="Y168" s="13"/>
      <c r="Z168" s="13"/>
      <c r="AA168" s="9" t="s">
        <v>3</v>
      </c>
      <c r="AB168" s="9" t="s">
        <v>4</v>
      </c>
      <c r="AC168" s="9" t="s">
        <v>5</v>
      </c>
      <c r="AD168" s="9" t="s">
        <v>6</v>
      </c>
      <c r="AE168" s="9" t="s">
        <v>7</v>
      </c>
      <c r="AF168" s="9" t="s">
        <v>8</v>
      </c>
      <c r="AG168" s="9" t="s">
        <v>9</v>
      </c>
      <c r="AH168" s="9" t="s">
        <v>10</v>
      </c>
      <c r="AI168" s="44" t="s">
        <v>139</v>
      </c>
      <c r="AJ168" s="2"/>
      <c r="AK168" s="2"/>
      <c r="AL168" s="2"/>
    </row>
    <row r="169" spans="2:40" x14ac:dyDescent="0.35">
      <c r="E169" s="104"/>
      <c r="F169" s="13"/>
      <c r="G169" s="49" t="s">
        <v>95</v>
      </c>
      <c r="H169" s="2">
        <f>H168/(SQRT(COUNT(H138:H144)))</f>
        <v>0.66509694698986266</v>
      </c>
      <c r="I169" s="2">
        <f t="shared" ref="I169:P169" si="165">I168/(SQRT(COUNT(I138:I144)))</f>
        <v>0.35238561411717023</v>
      </c>
      <c r="J169" s="2">
        <f t="shared" si="165"/>
        <v>4.4450620465847759E-2</v>
      </c>
      <c r="K169" s="2">
        <f t="shared" si="165"/>
        <v>4.4450620465847704E-2</v>
      </c>
      <c r="L169" s="2">
        <f t="shared" si="165"/>
        <v>5.9490146139416757E-2</v>
      </c>
      <c r="M169" s="2">
        <f t="shared" si="165"/>
        <v>1.2909861474226202E-2</v>
      </c>
      <c r="N169" s="2">
        <f t="shared" si="165"/>
        <v>0.77202110965683979</v>
      </c>
      <c r="O169" s="2">
        <f t="shared" si="165"/>
        <v>6.4954196315924184</v>
      </c>
      <c r="P169" s="2">
        <f t="shared" si="165"/>
        <v>0.41638370577213463</v>
      </c>
      <c r="W169" s="264"/>
      <c r="X169" s="104"/>
      <c r="Y169" s="13"/>
      <c r="Z169" s="49" t="s">
        <v>77</v>
      </c>
      <c r="AA169" s="13">
        <f>AVERAGE(AA131:AA133,AA135,AA137:AA138,AA140)</f>
        <v>1.0509093875679916</v>
      </c>
      <c r="AB169" s="13">
        <f t="shared" ref="AB169:AI169" si="166">AVERAGE(AB131:AB133,AB135,AB137:AB138,AB140)</f>
        <v>4.5247386727329113</v>
      </c>
      <c r="AC169" s="13">
        <f t="shared" si="166"/>
        <v>7.3093187641879484E-2</v>
      </c>
      <c r="AD169" s="13">
        <f t="shared" si="166"/>
        <v>0.27913765718756928</v>
      </c>
      <c r="AE169" s="13">
        <f t="shared" si="166"/>
        <v>0.1279803144363145</v>
      </c>
      <c r="AF169" s="13">
        <f t="shared" si="166"/>
        <v>2.6462608323419009E-2</v>
      </c>
      <c r="AG169" s="13">
        <f t="shared" si="166"/>
        <v>5.5365793419106177</v>
      </c>
      <c r="AH169" s="13">
        <f t="shared" si="166"/>
        <v>6.1384185760571155</v>
      </c>
      <c r="AI169" s="13">
        <f t="shared" si="166"/>
        <v>2.0042971827120835</v>
      </c>
      <c r="AJ169" s="2"/>
      <c r="AK169" s="2"/>
      <c r="AL169" s="2"/>
    </row>
    <row r="170" spans="2:40" x14ac:dyDescent="0.35">
      <c r="E170" s="104"/>
      <c r="F170" s="13"/>
      <c r="G170" s="49"/>
      <c r="H170" s="2"/>
      <c r="I170" s="2"/>
      <c r="J170" s="2"/>
      <c r="K170" s="2"/>
      <c r="L170" s="2"/>
      <c r="M170" s="2"/>
      <c r="N170" s="2"/>
      <c r="O170" s="2"/>
      <c r="P170" s="2"/>
      <c r="W170" s="264"/>
      <c r="X170" s="104"/>
      <c r="Y170" s="13"/>
      <c r="Z170" s="49" t="s">
        <v>94</v>
      </c>
      <c r="AA170" s="2">
        <f>_xlfn.STDEV.S(AA131:AA133,AA135,AA137:AA138,AA140)</f>
        <v>1.550808283322604</v>
      </c>
      <c r="AB170" s="2">
        <f t="shared" ref="AB170:AI170" si="167">_xlfn.STDEV.S(AB131:AB133,AB135,AB137:AB138,AB140)</f>
        <v>6.5119249079474004</v>
      </c>
      <c r="AC170" s="2">
        <f t="shared" si="167"/>
        <v>0.10225288493579486</v>
      </c>
      <c r="AD170" s="2">
        <f t="shared" si="167"/>
        <v>0.45897661206804063</v>
      </c>
      <c r="AE170" s="2">
        <f t="shared" si="167"/>
        <v>0.19426165621607638</v>
      </c>
      <c r="AF170" s="2">
        <f t="shared" si="167"/>
        <v>3.5416714050956401E-2</v>
      </c>
      <c r="AG170" s="2">
        <f t="shared" si="167"/>
        <v>8.095159452606568</v>
      </c>
      <c r="AH170" s="2">
        <f t="shared" si="167"/>
        <v>7.7129715518280006</v>
      </c>
      <c r="AI170" s="2">
        <f t="shared" si="167"/>
        <v>2.843463959787583</v>
      </c>
      <c r="AJ170" s="2"/>
      <c r="AK170" s="2"/>
      <c r="AL170" s="2"/>
    </row>
    <row r="171" spans="2:40" x14ac:dyDescent="0.35">
      <c r="E171" s="104"/>
      <c r="F171" s="13"/>
      <c r="G171" s="49"/>
      <c r="H171" s="2"/>
      <c r="I171" s="2"/>
      <c r="J171" s="2"/>
      <c r="K171" s="2"/>
      <c r="L171" s="2"/>
      <c r="M171" s="2"/>
      <c r="N171" s="2"/>
      <c r="O171" s="2"/>
      <c r="P171" s="2"/>
      <c r="W171" s="264"/>
      <c r="X171" s="104"/>
      <c r="Y171" s="13"/>
      <c r="Z171" s="49" t="s">
        <v>95</v>
      </c>
      <c r="AA171" s="2">
        <f t="shared" ref="AA171:AI171" si="168">AA170/(SQRT(COUNT(AA134:AA135,AA137:AA139,AA141,AA143:AA144,AA146,AA148,AA150,AA149:AAA151,AA135,AA137:AA138,AA101A113)))</f>
        <v>0.26596142641710957</v>
      </c>
      <c r="AB171" s="2">
        <f t="shared" si="168"/>
        <v>1.1695762398675713</v>
      </c>
      <c r="AC171" s="2">
        <f t="shared" si="168"/>
        <v>1.9323978884215425E-2</v>
      </c>
      <c r="AD171" s="2">
        <f t="shared" si="168"/>
        <v>9.1795322413608132E-2</v>
      </c>
      <c r="AE171" s="2">
        <f t="shared" si="168"/>
        <v>4.1416724265694808E-2</v>
      </c>
      <c r="AF171" s="2">
        <f t="shared" si="168"/>
        <v>8.1251514452839978E-3</v>
      </c>
      <c r="AG171" s="2">
        <f t="shared" si="168"/>
        <v>2.023789863151642</v>
      </c>
      <c r="AH171" s="2">
        <f t="shared" si="168"/>
        <v>2.139193416639301</v>
      </c>
      <c r="AI171" s="2">
        <f t="shared" si="168"/>
        <v>0.89918225575301924</v>
      </c>
      <c r="AJ171" s="2"/>
      <c r="AK171" s="2"/>
      <c r="AL171" s="2"/>
    </row>
    <row r="172" spans="2:40" ht="16" thickBot="1" x14ac:dyDescent="0.4">
      <c r="E172" s="104" t="s">
        <v>82</v>
      </c>
      <c r="F172" s="13"/>
      <c r="G172" s="13"/>
      <c r="H172" s="9" t="s">
        <v>3</v>
      </c>
      <c r="I172" s="9" t="s">
        <v>4</v>
      </c>
      <c r="J172" s="9" t="s">
        <v>5</v>
      </c>
      <c r="K172" s="9" t="s">
        <v>6</v>
      </c>
      <c r="L172" s="9" t="s">
        <v>7</v>
      </c>
      <c r="M172" s="9" t="s">
        <v>8</v>
      </c>
      <c r="N172" s="9" t="s">
        <v>9</v>
      </c>
      <c r="O172" s="9" t="s">
        <v>10</v>
      </c>
      <c r="P172" s="44" t="s">
        <v>139</v>
      </c>
      <c r="W172" s="264"/>
      <c r="X172" s="104"/>
      <c r="Y172" s="13"/>
      <c r="Z172" s="49"/>
      <c r="AA172" s="2"/>
      <c r="AB172" s="2"/>
      <c r="AC172" s="2"/>
      <c r="AD172" s="2"/>
      <c r="AE172" s="2"/>
      <c r="AF172" s="2"/>
      <c r="AG172" s="2"/>
      <c r="AH172" s="2"/>
      <c r="AI172" s="2"/>
      <c r="AJ172" s="2"/>
      <c r="AK172" s="2"/>
      <c r="AL172" s="2"/>
    </row>
    <row r="173" spans="2:40" x14ac:dyDescent="0.35">
      <c r="E173" s="104"/>
      <c r="F173" s="13"/>
      <c r="G173" s="49" t="s">
        <v>77</v>
      </c>
      <c r="H173" s="13">
        <f>AVERAGE(H133:H137)</f>
        <v>4.639590000000001</v>
      </c>
      <c r="I173" s="13">
        <f>AVERAGE(I133:I137)</f>
        <v>6.5143739999999983</v>
      </c>
      <c r="J173" s="13">
        <f t="shared" ref="J173:P173" si="169">AVERAGE(J133:J137)</f>
        <v>0.41694519407657527</v>
      </c>
      <c r="K173" s="13">
        <f t="shared" si="169"/>
        <v>0.58305480592342473</v>
      </c>
      <c r="L173" s="13">
        <f t="shared" si="169"/>
        <v>0.21595582422676007</v>
      </c>
      <c r="M173" s="13">
        <f t="shared" si="169"/>
        <v>9.0138406446697933E-2</v>
      </c>
      <c r="N173" s="13">
        <f t="shared" si="169"/>
        <v>11.153964</v>
      </c>
      <c r="O173" s="13">
        <f t="shared" si="169"/>
        <v>26.4</v>
      </c>
      <c r="P173" s="13">
        <f t="shared" si="169"/>
        <v>5.6909793380545963</v>
      </c>
      <c r="W173" s="207"/>
      <c r="X173" s="104"/>
      <c r="AJ173" s="2"/>
      <c r="AK173" s="2"/>
      <c r="AL173" s="2"/>
    </row>
    <row r="174" spans="2:40" s="2" customFormat="1" x14ac:dyDescent="0.35">
      <c r="B174"/>
      <c r="C174"/>
      <c r="D174"/>
      <c r="E174" s="104"/>
      <c r="F174" s="13"/>
      <c r="G174" s="49" t="s">
        <v>94</v>
      </c>
      <c r="H174" s="2">
        <f>_xlfn.STDEV.S(H133:H137)</f>
        <v>0.22291262548362031</v>
      </c>
      <c r="I174" s="2">
        <f t="shared" ref="I174:P174" si="170">_xlfn.STDEV.S(I133:I137)</f>
        <v>0.67427114563059787</v>
      </c>
      <c r="J174" s="2">
        <f t="shared" si="170"/>
        <v>1.7839461851870693E-2</v>
      </c>
      <c r="K174" s="2">
        <f t="shared" si="170"/>
        <v>1.7839461851870683E-2</v>
      </c>
      <c r="L174" s="2">
        <f t="shared" si="170"/>
        <v>1.0919536286962687E-2</v>
      </c>
      <c r="M174" s="2">
        <f t="shared" si="170"/>
        <v>7.783758727041787E-3</v>
      </c>
      <c r="N174" s="2">
        <f t="shared" si="170"/>
        <v>0.86754357702077378</v>
      </c>
      <c r="O174" s="2">
        <f t="shared" si="170"/>
        <v>2.1908902300206647</v>
      </c>
      <c r="P174" s="2">
        <f t="shared" si="170"/>
        <v>0.39573566297155771</v>
      </c>
      <c r="Q174"/>
      <c r="R174"/>
      <c r="S174"/>
      <c r="T174"/>
      <c r="U174"/>
      <c r="V174"/>
      <c r="W174" s="207"/>
      <c r="X174" s="104"/>
      <c r="Y174"/>
      <c r="Z174"/>
      <c r="AA174"/>
      <c r="AB174"/>
      <c r="AC174"/>
      <c r="AD174"/>
      <c r="AE174"/>
      <c r="AF174"/>
      <c r="AG174"/>
      <c r="AH174"/>
      <c r="AI174"/>
      <c r="AM174"/>
      <c r="AN174"/>
    </row>
    <row r="175" spans="2:40" s="2" customFormat="1" ht="16" thickBot="1" x14ac:dyDescent="0.4">
      <c r="B175"/>
      <c r="C175"/>
      <c r="D175"/>
      <c r="E175" s="104"/>
      <c r="F175" s="13"/>
      <c r="G175" s="49" t="s">
        <v>95</v>
      </c>
      <c r="H175" s="2">
        <f>H174/(SQRT(COUNT(H133:H137)))</f>
        <v>9.9689556724865389E-2</v>
      </c>
      <c r="I175" s="2">
        <f t="shared" ref="I175:P175" si="171">I174/(SQRT(COUNT(I133:I137)))</f>
        <v>0.30154322337933542</v>
      </c>
      <c r="J175" s="2">
        <f t="shared" si="171"/>
        <v>7.9780498765594302E-3</v>
      </c>
      <c r="K175" s="2">
        <f t="shared" si="171"/>
        <v>7.9780498765594249E-3</v>
      </c>
      <c r="L175" s="2">
        <f t="shared" si="171"/>
        <v>4.883365084084843E-3</v>
      </c>
      <c r="M175" s="2">
        <f t="shared" si="171"/>
        <v>3.4810027268245333E-3</v>
      </c>
      <c r="N175" s="2">
        <f t="shared" si="171"/>
        <v>0.3879772823323549</v>
      </c>
      <c r="O175" s="2">
        <f t="shared" si="171"/>
        <v>0.97979589711327131</v>
      </c>
      <c r="P175" s="2">
        <f t="shared" si="171"/>
        <v>0.17697836870506989</v>
      </c>
      <c r="Q175"/>
      <c r="R175"/>
      <c r="S175"/>
      <c r="T175"/>
      <c r="U175"/>
      <c r="V175"/>
      <c r="W175" s="207"/>
      <c r="X175" s="104"/>
      <c r="Y175"/>
      <c r="Z175" s="13"/>
      <c r="AA175" s="9" t="s">
        <v>3</v>
      </c>
      <c r="AB175" s="9" t="s">
        <v>4</v>
      </c>
      <c r="AC175" s="9" t="s">
        <v>5</v>
      </c>
      <c r="AD175" s="9" t="s">
        <v>6</v>
      </c>
      <c r="AE175" s="9" t="s">
        <v>7</v>
      </c>
      <c r="AF175" s="9" t="s">
        <v>8</v>
      </c>
      <c r="AG175" s="9" t="s">
        <v>9</v>
      </c>
      <c r="AH175" s="9" t="s">
        <v>10</v>
      </c>
      <c r="AI175" s="44" t="s">
        <v>139</v>
      </c>
      <c r="AM175"/>
      <c r="AN175"/>
    </row>
    <row r="176" spans="2:40" s="2" customFormat="1" x14ac:dyDescent="0.35">
      <c r="B176"/>
      <c r="C176"/>
      <c r="D176"/>
      <c r="E176" s="104"/>
      <c r="F176" s="13"/>
      <c r="G176" s="49"/>
      <c r="Q176"/>
      <c r="R176"/>
      <c r="S176"/>
      <c r="T176"/>
      <c r="U176"/>
      <c r="V176"/>
      <c r="W176" s="207"/>
      <c r="X176" s="104" t="s">
        <v>410</v>
      </c>
      <c r="Y176"/>
      <c r="Z176" s="49" t="s">
        <v>77</v>
      </c>
      <c r="AA176" s="13">
        <f t="shared" ref="AA176:AI176" si="172">AVERAGE(AA147:AA152)</f>
        <v>3.1095649999999986</v>
      </c>
      <c r="AB176" s="13">
        <f t="shared" si="172"/>
        <v>11.865703333333334</v>
      </c>
      <c r="AC176" s="13">
        <f t="shared" si="172"/>
        <v>0.21489575762198843</v>
      </c>
      <c r="AD176" s="13">
        <f t="shared" si="172"/>
        <v>0.78510424237801157</v>
      </c>
      <c r="AE176" s="13">
        <f t="shared" si="172"/>
        <v>0.32286962753066778</v>
      </c>
      <c r="AF176" s="13">
        <f t="shared" si="172"/>
        <v>6.9150999295833196E-2</v>
      </c>
      <c r="AG176" s="13">
        <f t="shared" si="172"/>
        <v>14.975268333333332</v>
      </c>
      <c r="AH176" s="13">
        <f t="shared" si="172"/>
        <v>14.833333333333334</v>
      </c>
      <c r="AI176" s="13">
        <f t="shared" si="172"/>
        <v>4.7234075618877904</v>
      </c>
      <c r="AM176"/>
      <c r="AN176"/>
    </row>
    <row r="177" spans="2:40" s="2" customFormat="1" x14ac:dyDescent="0.35">
      <c r="B177"/>
      <c r="C177"/>
      <c r="D177"/>
      <c r="E177" s="104"/>
      <c r="F177" s="13"/>
      <c r="G177" s="49"/>
      <c r="Q177"/>
      <c r="R177"/>
      <c r="S177"/>
      <c r="T177"/>
      <c r="U177"/>
      <c r="V177"/>
      <c r="W177" s="207"/>
      <c r="X177"/>
      <c r="Y177"/>
      <c r="Z177" s="49" t="s">
        <v>94</v>
      </c>
      <c r="AA177" s="2">
        <f t="shared" ref="AA177:AI177" si="173">_xlfn.STDEV.S(AA147:AA152)</f>
        <v>0.21972314659588554</v>
      </c>
      <c r="AB177" s="2">
        <f t="shared" si="173"/>
        <v>3.4592146311766605</v>
      </c>
      <c r="AC177" s="2">
        <f t="shared" si="173"/>
        <v>4.0022380858483503E-2</v>
      </c>
      <c r="AD177" s="2">
        <f t="shared" si="173"/>
        <v>4.0022380858483544E-2</v>
      </c>
      <c r="AE177" s="2">
        <f t="shared" si="173"/>
        <v>2.1805273469182512E-2</v>
      </c>
      <c r="AF177" s="2">
        <f t="shared" si="173"/>
        <v>1.2530843596132763E-2</v>
      </c>
      <c r="AG177" s="2">
        <f t="shared" si="173"/>
        <v>3.4433504848935592</v>
      </c>
      <c r="AH177" s="2">
        <f t="shared" si="173"/>
        <v>3.6560452221856683</v>
      </c>
      <c r="AI177" s="2">
        <f t="shared" si="173"/>
        <v>0.82600349275375473</v>
      </c>
      <c r="AM177"/>
      <c r="AN177"/>
    </row>
    <row r="178" spans="2:40" s="2" customFormat="1" x14ac:dyDescent="0.35">
      <c r="B178"/>
      <c r="C178"/>
      <c r="D178"/>
      <c r="E178" s="104"/>
      <c r="F178"/>
      <c r="G178"/>
      <c r="H178"/>
      <c r="I178"/>
      <c r="J178"/>
      <c r="K178"/>
      <c r="L178"/>
      <c r="M178"/>
      <c r="N178"/>
      <c r="O178"/>
      <c r="P178"/>
      <c r="Q178"/>
      <c r="R178"/>
      <c r="S178"/>
      <c r="T178"/>
      <c r="U178"/>
      <c r="V178"/>
      <c r="W178" s="207"/>
      <c r="X178"/>
      <c r="Y178"/>
      <c r="Z178" s="49" t="s">
        <v>95</v>
      </c>
      <c r="AA178" s="2">
        <f t="shared" ref="AA178:AI178" si="174">AA177/(SQRT(COUNT(AA147:AA152)))</f>
        <v>8.9701598973111044E-2</v>
      </c>
      <c r="AB178" s="2">
        <f t="shared" si="174"/>
        <v>1.4122184595254541</v>
      </c>
      <c r="AC178" s="2">
        <f t="shared" si="174"/>
        <v>1.6339068565769527E-2</v>
      </c>
      <c r="AD178" s="2">
        <f t="shared" si="174"/>
        <v>1.6339068565769544E-2</v>
      </c>
      <c r="AE178" s="2">
        <f t="shared" si="174"/>
        <v>8.9019656168907897E-3</v>
      </c>
      <c r="AF178" s="2">
        <f t="shared" si="174"/>
        <v>5.1156954761912461E-3</v>
      </c>
      <c r="AG178" s="2">
        <f t="shared" si="174"/>
        <v>1.4057419489257095</v>
      </c>
      <c r="AH178" s="2">
        <f t="shared" si="174"/>
        <v>1.4925742118158734</v>
      </c>
      <c r="AI178" s="2">
        <f t="shared" si="174"/>
        <v>0.33721451383390028</v>
      </c>
      <c r="AM178"/>
      <c r="AN178"/>
    </row>
    <row r="179" spans="2:40" s="2" customFormat="1" ht="16" thickBot="1" x14ac:dyDescent="0.4">
      <c r="B179"/>
      <c r="C179"/>
      <c r="D179"/>
      <c r="E179" s="104"/>
      <c r="F179"/>
      <c r="G179" s="13"/>
      <c r="H179" s="9" t="s">
        <v>3</v>
      </c>
      <c r="I179" s="9" t="s">
        <v>4</v>
      </c>
      <c r="J179" s="9" t="s">
        <v>5</v>
      </c>
      <c r="K179" s="9" t="s">
        <v>6</v>
      </c>
      <c r="L179" s="9" t="s">
        <v>7</v>
      </c>
      <c r="M179" s="9" t="s">
        <v>8</v>
      </c>
      <c r="N179" s="9" t="s">
        <v>9</v>
      </c>
      <c r="O179" s="9" t="s">
        <v>10</v>
      </c>
      <c r="P179" s="44" t="s">
        <v>139</v>
      </c>
      <c r="Q179"/>
      <c r="R179"/>
      <c r="S179"/>
      <c r="T179"/>
      <c r="U179"/>
      <c r="V179"/>
      <c r="W179" s="206"/>
      <c r="Y179" s="13"/>
      <c r="AM179"/>
      <c r="AN179"/>
    </row>
    <row r="180" spans="2:40" s="2" customFormat="1" x14ac:dyDescent="0.35">
      <c r="B180"/>
      <c r="C180"/>
      <c r="D180"/>
      <c r="E180" s="104" t="s">
        <v>410</v>
      </c>
      <c r="F180"/>
      <c r="G180" s="49" t="s">
        <v>77</v>
      </c>
      <c r="H180" s="13">
        <f t="shared" ref="H180:P180" si="175">AVERAGE(H145:H157)</f>
        <v>4.369043076923071</v>
      </c>
      <c r="I180" s="13">
        <f t="shared" si="175"/>
        <v>4.3494830769230823</v>
      </c>
      <c r="J180" s="13">
        <f t="shared" si="175"/>
        <v>0.50200336157002601</v>
      </c>
      <c r="K180" s="13">
        <f t="shared" si="175"/>
        <v>0.49799663842997399</v>
      </c>
      <c r="L180" s="13">
        <f t="shared" si="175"/>
        <v>0.24516716960863982</v>
      </c>
      <c r="M180" s="13">
        <f t="shared" si="175"/>
        <v>0.11825283036523007</v>
      </c>
      <c r="N180" s="13">
        <f t="shared" si="175"/>
        <v>8.7185261538461525</v>
      </c>
      <c r="O180" s="13">
        <f t="shared" si="175"/>
        <v>35</v>
      </c>
      <c r="P180" s="13">
        <f t="shared" si="175"/>
        <v>7.9956311611394657</v>
      </c>
      <c r="Q180"/>
      <c r="R180"/>
      <c r="S180"/>
      <c r="T180"/>
      <c r="U180"/>
      <c r="V180"/>
      <c r="W180" s="206"/>
      <c r="Y180" s="13"/>
      <c r="Z180" s="13"/>
      <c r="AM180"/>
      <c r="AN180"/>
    </row>
    <row r="181" spans="2:40" s="2" customFormat="1" ht="16" thickBot="1" x14ac:dyDescent="0.4">
      <c r="B181"/>
      <c r="C181"/>
      <c r="D181"/>
      <c r="E181"/>
      <c r="F181"/>
      <c r="G181" s="49" t="s">
        <v>94</v>
      </c>
      <c r="H181" s="2">
        <f t="shared" ref="H181:P181" si="176">_xlfn.STDEV.S(H145:H157)</f>
        <v>0.93340652283615178</v>
      </c>
      <c r="I181" s="2">
        <f t="shared" si="176"/>
        <v>1.1562810530560477</v>
      </c>
      <c r="J181" s="2">
        <f t="shared" si="176"/>
        <v>8.8865910022724981E-2</v>
      </c>
      <c r="K181" s="2">
        <f t="shared" si="176"/>
        <v>8.8865910022725828E-2</v>
      </c>
      <c r="L181" s="2">
        <f t="shared" si="176"/>
        <v>8.8024266367235315E-2</v>
      </c>
      <c r="M181" s="2">
        <f t="shared" si="176"/>
        <v>2.35708033104856E-2</v>
      </c>
      <c r="N181" s="2">
        <f t="shared" si="176"/>
        <v>1.4621537374226319</v>
      </c>
      <c r="O181" s="2">
        <f t="shared" si="176"/>
        <v>8.1649658092772608</v>
      </c>
      <c r="P181" s="2">
        <f t="shared" si="176"/>
        <v>0.53814645479164747</v>
      </c>
      <c r="Q181"/>
      <c r="R181"/>
      <c r="S181"/>
      <c r="T181"/>
      <c r="U181"/>
      <c r="V181"/>
      <c r="W181" s="206"/>
      <c r="X181" s="104" t="s">
        <v>81</v>
      </c>
      <c r="Y181" s="13"/>
      <c r="Z181" s="13"/>
      <c r="AA181" s="9" t="s">
        <v>3</v>
      </c>
      <c r="AB181" s="9" t="s">
        <v>4</v>
      </c>
      <c r="AC181" s="9" t="s">
        <v>5</v>
      </c>
      <c r="AD181" s="9" t="s">
        <v>6</v>
      </c>
      <c r="AE181" s="9" t="s">
        <v>7</v>
      </c>
      <c r="AF181" s="9" t="s">
        <v>8</v>
      </c>
      <c r="AG181" s="9" t="s">
        <v>9</v>
      </c>
      <c r="AH181" s="9" t="s">
        <v>10</v>
      </c>
      <c r="AI181" s="44" t="s">
        <v>139</v>
      </c>
      <c r="AM181"/>
      <c r="AN181"/>
    </row>
    <row r="182" spans="2:40" s="2" customFormat="1" x14ac:dyDescent="0.35">
      <c r="B182"/>
      <c r="C182"/>
      <c r="D182"/>
      <c r="E182"/>
      <c r="F182"/>
      <c r="G182" s="49" t="s">
        <v>95</v>
      </c>
      <c r="H182" s="2">
        <f t="shared" ref="H182:P182" si="177">H181/(SQRT(COUNT(H145:H157)))</f>
        <v>0.25888039068756113</v>
      </c>
      <c r="I182" s="2">
        <f t="shared" si="177"/>
        <v>0.32069466351085213</v>
      </c>
      <c r="J182" s="2">
        <f t="shared" si="177"/>
        <v>2.4646968863669551E-2</v>
      </c>
      <c r="K182" s="2">
        <f t="shared" si="177"/>
        <v>2.4646968863669787E-2</v>
      </c>
      <c r="L182" s="2">
        <f t="shared" si="177"/>
        <v>2.4413538913243635E-2</v>
      </c>
      <c r="M182" s="2">
        <f t="shared" si="177"/>
        <v>6.5373646107563218E-3</v>
      </c>
      <c r="N182" s="2">
        <f t="shared" si="177"/>
        <v>0.40552848252989304</v>
      </c>
      <c r="O182" s="2">
        <f t="shared" si="177"/>
        <v>2.2645540682891916</v>
      </c>
      <c r="P182" s="2">
        <f t="shared" si="177"/>
        <v>0.14925497203541913</v>
      </c>
      <c r="Q182"/>
      <c r="R182"/>
      <c r="S182"/>
      <c r="T182"/>
      <c r="U182"/>
      <c r="V182"/>
      <c r="W182" s="206"/>
      <c r="X182" s="104"/>
      <c r="Y182" s="13"/>
      <c r="Z182" s="49" t="s">
        <v>77</v>
      </c>
      <c r="AA182" s="13">
        <f>AVERAGE(AA149,AA147)</f>
        <v>2.9362349999999964</v>
      </c>
      <c r="AB182" s="13">
        <f t="shared" ref="AB182:AI182" si="178">AVERAGE(AB149,AB147)</f>
        <v>14.062885000000009</v>
      </c>
      <c r="AC182" s="13">
        <f t="shared" si="178"/>
        <v>0.18557052320124395</v>
      </c>
      <c r="AD182" s="13">
        <f t="shared" si="178"/>
        <v>0.8144294767987561</v>
      </c>
      <c r="AE182" s="13">
        <f t="shared" si="178"/>
        <v>0.34081279250233287</v>
      </c>
      <c r="AF182" s="13">
        <f t="shared" si="178"/>
        <v>6.3666567844154365E-2</v>
      </c>
      <c r="AG182" s="13">
        <f t="shared" si="178"/>
        <v>16.999120000000005</v>
      </c>
      <c r="AH182" s="13">
        <f t="shared" si="178"/>
        <v>12</v>
      </c>
      <c r="AI182" s="13">
        <f t="shared" si="178"/>
        <v>4.0716428955798509</v>
      </c>
      <c r="AM182"/>
    </row>
    <row r="183" spans="2:40" s="2" customFormat="1" x14ac:dyDescent="0.35">
      <c r="B183"/>
      <c r="C183"/>
      <c r="D183"/>
      <c r="E183"/>
      <c r="F183"/>
      <c r="G183" s="49"/>
      <c r="Q183"/>
      <c r="R183"/>
      <c r="S183"/>
      <c r="T183"/>
      <c r="U183"/>
      <c r="V183"/>
      <c r="W183" s="206"/>
      <c r="X183" s="104"/>
      <c r="Y183" s="13"/>
      <c r="Z183" s="49" t="s">
        <v>94</v>
      </c>
      <c r="AA183" s="2">
        <f>_xlfn.STDEV.S(AA149,AA147)</f>
        <v>0.11032987106854793</v>
      </c>
      <c r="AB183" s="2">
        <f t="shared" ref="AB183:AI183" si="179">_xlfn.STDEV.S(AB149,AB147)</f>
        <v>6.5180608115029104</v>
      </c>
      <c r="AC183" s="2">
        <f t="shared" si="179"/>
        <v>6.5868354119418604E-2</v>
      </c>
      <c r="AD183" s="2">
        <f t="shared" si="179"/>
        <v>6.5868354119418382E-2</v>
      </c>
      <c r="AE183" s="2">
        <f t="shared" si="179"/>
        <v>1.2806138287737247E-2</v>
      </c>
      <c r="AF183" s="2">
        <f t="shared" si="179"/>
        <v>2.4825219487214407E-2</v>
      </c>
      <c r="AG183" s="2">
        <f t="shared" si="179"/>
        <v>6.6283906825714523</v>
      </c>
      <c r="AH183" s="2">
        <f t="shared" si="179"/>
        <v>2.8284271247461903</v>
      </c>
      <c r="AI183" s="2">
        <f t="shared" si="179"/>
        <v>0.81029048732124764</v>
      </c>
      <c r="AM183"/>
    </row>
    <row r="184" spans="2:40" s="2" customFormat="1" ht="16" thickBot="1" x14ac:dyDescent="0.4">
      <c r="B184"/>
      <c r="C184"/>
      <c r="D184"/>
      <c r="E184" s="104" t="s">
        <v>81</v>
      </c>
      <c r="F184" s="13"/>
      <c r="G184" s="13"/>
      <c r="H184" s="9" t="s">
        <v>3</v>
      </c>
      <c r="I184" s="9" t="s">
        <v>4</v>
      </c>
      <c r="J184" s="9" t="s">
        <v>5</v>
      </c>
      <c r="K184" s="9" t="s">
        <v>6</v>
      </c>
      <c r="L184" s="9" t="s">
        <v>7</v>
      </c>
      <c r="M184" s="9" t="s">
        <v>8</v>
      </c>
      <c r="N184" s="9" t="s">
        <v>9</v>
      </c>
      <c r="O184" s="9" t="s">
        <v>10</v>
      </c>
      <c r="P184" s="44" t="s">
        <v>139</v>
      </c>
      <c r="Q184"/>
      <c r="R184"/>
      <c r="S184"/>
      <c r="T184"/>
      <c r="U184"/>
      <c r="V184"/>
      <c r="W184" s="206"/>
      <c r="X184" s="104"/>
      <c r="Y184" s="13"/>
      <c r="Z184" s="49" t="s">
        <v>95</v>
      </c>
      <c r="AA184" s="2">
        <f>AA183/(SQRT(COUNT(AA149,AA147)))</f>
        <v>7.8015000000007717E-2</v>
      </c>
      <c r="AB184" s="2">
        <f t="shared" ref="AB184:AI184" si="180">AB183/(SQRT(COUNT(AB149,AB147)))</f>
        <v>4.6089649999999986</v>
      </c>
      <c r="AC184" s="2">
        <f t="shared" si="180"/>
        <v>4.6575959863437752E-2</v>
      </c>
      <c r="AD184" s="2">
        <f t="shared" si="180"/>
        <v>4.6575959863437599E-2</v>
      </c>
      <c r="AE184" s="2">
        <f t="shared" si="180"/>
        <v>9.0553072240716886E-3</v>
      </c>
      <c r="AF184" s="2">
        <f t="shared" si="180"/>
        <v>1.7554081043853732E-2</v>
      </c>
      <c r="AG184" s="2">
        <f t="shared" si="180"/>
        <v>4.6869800000000019</v>
      </c>
      <c r="AH184" s="2">
        <f t="shared" si="180"/>
        <v>2</v>
      </c>
      <c r="AI184" s="2">
        <f t="shared" si="180"/>
        <v>0.57296189831580635</v>
      </c>
      <c r="AM184"/>
    </row>
    <row r="185" spans="2:40" s="2" customFormat="1" x14ac:dyDescent="0.35">
      <c r="B185"/>
      <c r="C185"/>
      <c r="D185"/>
      <c r="E185" s="104"/>
      <c r="F185" s="13"/>
      <c r="G185" s="49" t="s">
        <v>77</v>
      </c>
      <c r="H185" s="13">
        <f>AVERAGE(H146,H148,H150,H152,H154,H156)</f>
        <v>4.046378333333327</v>
      </c>
      <c r="I185" s="13">
        <f t="shared" ref="I185:P185" si="181">AVERAGE(I146,I148,I150,I152,I154,I156)</f>
        <v>5.1735066666666683</v>
      </c>
      <c r="J185" s="13">
        <f t="shared" si="181"/>
        <v>0.43325490241801745</v>
      </c>
      <c r="K185" s="13">
        <f t="shared" si="181"/>
        <v>0.56674509758198255</v>
      </c>
      <c r="L185" s="13">
        <f t="shared" si="181"/>
        <v>0.27657596744443208</v>
      </c>
      <c r="M185" s="13">
        <f t="shared" si="181"/>
        <v>0.11446882064116927</v>
      </c>
      <c r="N185" s="13">
        <f t="shared" si="181"/>
        <v>9.2198849999999961</v>
      </c>
      <c r="O185" s="13">
        <f t="shared" si="181"/>
        <v>30.833333333333332</v>
      </c>
      <c r="P185" s="13">
        <f t="shared" si="181"/>
        <v>7.6624727638900216</v>
      </c>
      <c r="Q185"/>
      <c r="R185"/>
      <c r="S185"/>
      <c r="T185"/>
      <c r="U185"/>
      <c r="V185"/>
      <c r="W185" s="206"/>
      <c r="X185" s="104"/>
      <c r="Y185" s="13"/>
      <c r="Z185" s="49"/>
      <c r="AM185"/>
    </row>
    <row r="186" spans="2:40" s="2" customFormat="1" x14ac:dyDescent="0.35">
      <c r="B186"/>
      <c r="C186"/>
      <c r="D186"/>
      <c r="E186" s="104"/>
      <c r="F186" s="13"/>
      <c r="G186" s="49" t="s">
        <v>94</v>
      </c>
      <c r="H186" s="2">
        <f>_xlfn.STDEV.S(H146,H148,H150,H152,H154,H156)</f>
        <v>1.1866842490134695</v>
      </c>
      <c r="I186" s="2">
        <f t="shared" ref="I186:P186" si="182">_xlfn.STDEV.S(I146,I148,I150,I152,I154,I156)</f>
        <v>1.1085262642205058</v>
      </c>
      <c r="J186" s="2">
        <f t="shared" si="182"/>
        <v>6.9851122497063878E-2</v>
      </c>
      <c r="K186" s="2">
        <f t="shared" si="182"/>
        <v>6.9851122497062934E-2</v>
      </c>
      <c r="L186" s="2">
        <f t="shared" si="182"/>
        <v>0.12472414217921457</v>
      </c>
      <c r="M186" s="2">
        <f t="shared" si="182"/>
        <v>3.4060707707305203E-2</v>
      </c>
      <c r="N186" s="2">
        <f t="shared" si="182"/>
        <v>1.9697523944673885</v>
      </c>
      <c r="O186" s="2">
        <f t="shared" si="182"/>
        <v>8.5654344120229311</v>
      </c>
      <c r="P186" s="2">
        <f t="shared" si="182"/>
        <v>0.39312510614057544</v>
      </c>
      <c r="Q186"/>
      <c r="R186"/>
      <c r="S186"/>
      <c r="T186"/>
      <c r="U186"/>
      <c r="V186"/>
      <c r="W186" s="206"/>
      <c r="X186" s="104"/>
      <c r="Y186" s="13"/>
      <c r="Z186" s="49"/>
      <c r="AM186"/>
    </row>
    <row r="187" spans="2:40" s="2" customFormat="1" ht="16" thickBot="1" x14ac:dyDescent="0.4">
      <c r="B187"/>
      <c r="C187"/>
      <c r="D187"/>
      <c r="E187" s="104"/>
      <c r="F187" s="13"/>
      <c r="G187" s="49" t="s">
        <v>95</v>
      </c>
      <c r="H187" s="2">
        <f>H186/(SQRT(COUNT(H146,H148,H150,H152,H154,H156)))</f>
        <v>0.4844618159801421</v>
      </c>
      <c r="I187" s="2">
        <f t="shared" ref="I187:P187" si="183">I186/(SQRT(COUNT(I146,I148,I150,I152,I154,I156)))</f>
        <v>0.45255395230231404</v>
      </c>
      <c r="J187" s="2">
        <f t="shared" si="183"/>
        <v>2.8516601346408214E-2</v>
      </c>
      <c r="K187" s="2">
        <f t="shared" si="183"/>
        <v>2.8516601346407829E-2</v>
      </c>
      <c r="L187" s="2">
        <f t="shared" si="183"/>
        <v>5.0918417824236145E-2</v>
      </c>
      <c r="M187" s="2">
        <f t="shared" si="183"/>
        <v>1.3905225693496674E-2</v>
      </c>
      <c r="N187" s="2">
        <f t="shared" si="183"/>
        <v>0.80414804767841219</v>
      </c>
      <c r="O187" s="2">
        <f t="shared" si="183"/>
        <v>3.4968239557887055</v>
      </c>
      <c r="P187" s="2">
        <f t="shared" si="183"/>
        <v>0.16049265252031464</v>
      </c>
      <c r="Q187"/>
      <c r="R187"/>
      <c r="S187"/>
      <c r="T187"/>
      <c r="U187"/>
      <c r="V187"/>
      <c r="W187" s="206"/>
      <c r="X187" s="104" t="s">
        <v>82</v>
      </c>
      <c r="Y187" s="13"/>
      <c r="Z187" s="13"/>
      <c r="AA187" s="9" t="s">
        <v>3</v>
      </c>
      <c r="AB187" s="9" t="s">
        <v>4</v>
      </c>
      <c r="AC187" s="9" t="s">
        <v>5</v>
      </c>
      <c r="AD187" s="9" t="s">
        <v>6</v>
      </c>
      <c r="AE187" s="9" t="s">
        <v>7</v>
      </c>
      <c r="AF187" s="9" t="s">
        <v>8</v>
      </c>
      <c r="AG187" s="9" t="s">
        <v>9</v>
      </c>
      <c r="AH187" s="9" t="s">
        <v>10</v>
      </c>
      <c r="AI187" s="44" t="s">
        <v>139</v>
      </c>
      <c r="AM187"/>
    </row>
    <row r="188" spans="2:40" s="2" customFormat="1" x14ac:dyDescent="0.35">
      <c r="B188"/>
      <c r="C188"/>
      <c r="D188"/>
      <c r="E188" s="104"/>
      <c r="F188" s="13"/>
      <c r="G188" s="49"/>
      <c r="Q188"/>
      <c r="R188"/>
      <c r="S188"/>
      <c r="T188"/>
      <c r="U188"/>
      <c r="V188"/>
      <c r="W188" s="206"/>
      <c r="X188" s="104"/>
      <c r="Y188" s="13"/>
      <c r="Z188" s="49" t="s">
        <v>77</v>
      </c>
      <c r="AA188" s="13">
        <f>AVERAGE(AA148,AA150:AA152)</f>
        <v>3.1962299999999999</v>
      </c>
      <c r="AB188" s="13">
        <f t="shared" ref="AB188:AI188" si="184">AVERAGE(AB148,AB150:AB152)</f>
        <v>10.767112499999996</v>
      </c>
      <c r="AC188" s="13">
        <f t="shared" si="184"/>
        <v>0.22955837483236063</v>
      </c>
      <c r="AD188" s="13">
        <f t="shared" si="184"/>
        <v>0.77044162516763937</v>
      </c>
      <c r="AE188" s="13">
        <f t="shared" si="184"/>
        <v>0.31389804504483521</v>
      </c>
      <c r="AF188" s="13">
        <f t="shared" si="184"/>
        <v>7.1893215021672632E-2</v>
      </c>
      <c r="AG188" s="13">
        <f t="shared" si="184"/>
        <v>13.963342499999996</v>
      </c>
      <c r="AH188" s="13">
        <f t="shared" si="184"/>
        <v>16.25</v>
      </c>
      <c r="AI188" s="13">
        <f t="shared" si="184"/>
        <v>5.0492898950417615</v>
      </c>
      <c r="AM188"/>
    </row>
    <row r="189" spans="2:40" s="2" customFormat="1" x14ac:dyDescent="0.35">
      <c r="B189"/>
      <c r="C189"/>
      <c r="D189"/>
      <c r="E189" s="104"/>
      <c r="F189" s="13"/>
      <c r="G189" s="49"/>
      <c r="Q189"/>
      <c r="R189"/>
      <c r="S189"/>
      <c r="T189"/>
      <c r="U189"/>
      <c r="W189" s="206"/>
      <c r="X189" s="104"/>
      <c r="Y189" s="13"/>
      <c r="Z189" s="49" t="s">
        <v>94</v>
      </c>
      <c r="AA189" s="2">
        <f>_xlfn.STDEV.S(AA148,AA150:AA152)</f>
        <v>0.2153205042101814</v>
      </c>
      <c r="AB189" s="2">
        <f t="shared" ref="AB189:AI189" si="185">_xlfn.STDEV.S(AB148,AB150:AB152)</f>
        <v>0.97688121954087415</v>
      </c>
      <c r="AC189" s="2">
        <f t="shared" si="185"/>
        <v>1.906485992615391E-2</v>
      </c>
      <c r="AD189" s="2">
        <f t="shared" si="185"/>
        <v>1.9064859926153872E-2</v>
      </c>
      <c r="AE189" s="2">
        <f t="shared" si="185"/>
        <v>2.0391837173105644E-2</v>
      </c>
      <c r="AF189" s="2">
        <f t="shared" si="185"/>
        <v>5.1179982584613421E-3</v>
      </c>
      <c r="AG189" s="2">
        <f t="shared" si="185"/>
        <v>1.0099212943384868</v>
      </c>
      <c r="AH189" s="2">
        <f t="shared" si="185"/>
        <v>3.4034296427770228</v>
      </c>
      <c r="AI189" s="2">
        <f t="shared" si="185"/>
        <v>0.70248289080497983</v>
      </c>
      <c r="AM189"/>
    </row>
    <row r="190" spans="2:40" s="2" customFormat="1" ht="16" thickBot="1" x14ac:dyDescent="0.4">
      <c r="B190"/>
      <c r="C190"/>
      <c r="D190"/>
      <c r="E190" s="104" t="s">
        <v>82</v>
      </c>
      <c r="F190" s="13"/>
      <c r="G190" s="13"/>
      <c r="H190" s="9" t="s">
        <v>3</v>
      </c>
      <c r="I190" s="9" t="s">
        <v>4</v>
      </c>
      <c r="J190" s="9" t="s">
        <v>5</v>
      </c>
      <c r="K190" s="9" t="s">
        <v>6</v>
      </c>
      <c r="L190" s="9" t="s">
        <v>7</v>
      </c>
      <c r="M190" s="9" t="s">
        <v>8</v>
      </c>
      <c r="N190" s="9" t="s">
        <v>9</v>
      </c>
      <c r="O190" s="9" t="s">
        <v>10</v>
      </c>
      <c r="P190" s="44" t="s">
        <v>139</v>
      </c>
      <c r="Q190"/>
      <c r="R190"/>
      <c r="S190"/>
      <c r="T190"/>
      <c r="U190"/>
      <c r="W190" s="206"/>
      <c r="X190" s="104"/>
      <c r="Y190" s="13"/>
      <c r="Z190" s="49" t="s">
        <v>95</v>
      </c>
      <c r="AA190" s="2">
        <f>AA189/(SQRT(COUNT(AA148,AA150:AA152)))</f>
        <v>0.1076602521050907</v>
      </c>
      <c r="AB190" s="2">
        <f t="shared" ref="AB190:AI190" si="186">AB189/(SQRT(COUNT(AB148,AB150:AB152)))</f>
        <v>0.48844060977043707</v>
      </c>
      <c r="AC190" s="2">
        <f t="shared" si="186"/>
        <v>9.5324299630769552E-3</v>
      </c>
      <c r="AD190" s="2">
        <f t="shared" si="186"/>
        <v>9.5324299630769362E-3</v>
      </c>
      <c r="AE190" s="2">
        <f t="shared" si="186"/>
        <v>1.0195918586552822E-2</v>
      </c>
      <c r="AF190" s="2">
        <f t="shared" si="186"/>
        <v>2.558999129230671E-3</v>
      </c>
      <c r="AG190" s="2">
        <f t="shared" si="186"/>
        <v>0.50496064716924338</v>
      </c>
      <c r="AH190" s="2">
        <f t="shared" si="186"/>
        <v>1.7017148213885114</v>
      </c>
      <c r="AI190" s="2">
        <f t="shared" si="186"/>
        <v>0.35124144540248992</v>
      </c>
    </row>
    <row r="191" spans="2:40" s="2" customFormat="1" x14ac:dyDescent="0.35">
      <c r="B191"/>
      <c r="C191"/>
      <c r="D191"/>
      <c r="E191" s="104"/>
      <c r="F191" s="13"/>
      <c r="G191" s="49" t="s">
        <v>77</v>
      </c>
      <c r="H191" s="13">
        <f>AVERAGE(H145,H147,H149,H151,H153,H155,H157)</f>
        <v>4.6456128571428508</v>
      </c>
      <c r="I191" s="13">
        <f t="shared" ref="I191:P191" si="187">AVERAGE(I145,I147,I149,I151,I153,I155,I157)</f>
        <v>3.6431771428571511</v>
      </c>
      <c r="J191" s="13">
        <f t="shared" si="187"/>
        <v>0.56093061227174756</v>
      </c>
      <c r="K191" s="13">
        <f t="shared" si="187"/>
        <v>0.43906938772825249</v>
      </c>
      <c r="L191" s="13">
        <f t="shared" si="187"/>
        <v>0.21824534289224659</v>
      </c>
      <c r="M191" s="13">
        <f t="shared" si="187"/>
        <v>0.12149626727156786</v>
      </c>
      <c r="N191" s="13">
        <f t="shared" si="187"/>
        <v>8.2887900000000023</v>
      </c>
      <c r="O191" s="13">
        <f t="shared" si="187"/>
        <v>38.571428571428569</v>
      </c>
      <c r="P191" s="13">
        <f t="shared" si="187"/>
        <v>8.2811955016389902</v>
      </c>
      <c r="Q191"/>
      <c r="R191"/>
      <c r="S191"/>
      <c r="T191"/>
    </row>
    <row r="192" spans="2:40" s="2" customFormat="1" x14ac:dyDescent="0.35">
      <c r="B192"/>
      <c r="C192"/>
      <c r="D192"/>
      <c r="E192" s="104"/>
      <c r="F192" s="13"/>
      <c r="G192" s="49" t="s">
        <v>94</v>
      </c>
      <c r="H192" s="2">
        <f>_xlfn.STDEV.S(H145,H147,H149,H151,H153,H155,H157)</f>
        <v>0.61288446224157345</v>
      </c>
      <c r="I192" s="2">
        <f t="shared" ref="I192:P192" si="188">_xlfn.STDEV.S(I145,I147,I149,I151,I153,I155,I157)</f>
        <v>0.62363348281700925</v>
      </c>
      <c r="J192" s="2">
        <f t="shared" si="188"/>
        <v>5.4321347949048082E-2</v>
      </c>
      <c r="K192" s="2">
        <f t="shared" si="188"/>
        <v>5.4321347949047714E-2</v>
      </c>
      <c r="L192" s="2">
        <f t="shared" si="188"/>
        <v>2.6476815823799762E-2</v>
      </c>
      <c r="M192" s="2">
        <f t="shared" si="188"/>
        <v>1.0853437385596465E-2</v>
      </c>
      <c r="N192" s="2">
        <f t="shared" si="188"/>
        <v>0.75875159039920648</v>
      </c>
      <c r="O192" s="2">
        <f t="shared" si="188"/>
        <v>6.3207895829857401</v>
      </c>
      <c r="P192" s="2">
        <f t="shared" si="188"/>
        <v>0.49424799483090476</v>
      </c>
      <c r="Q192"/>
      <c r="R192"/>
      <c r="S192"/>
      <c r="T192"/>
    </row>
    <row r="193" spans="2:40" s="2" customFormat="1" x14ac:dyDescent="0.35">
      <c r="B193"/>
      <c r="C193"/>
      <c r="D193"/>
      <c r="E193" s="104"/>
      <c r="F193" s="13"/>
      <c r="G193" s="49" t="s">
        <v>95</v>
      </c>
      <c r="H193" s="2">
        <f>H192/(SQRT(COUNT(H145,H147,H149,H151,H153,H155,H157)))</f>
        <v>0.23164855278667992</v>
      </c>
      <c r="I193" s="2">
        <f t="shared" ref="I193:P193" si="189">I192/(SQRT(COUNT(I145,I147,I149,I151,I153,I155,I157)))</f>
        <v>0.23571130068383986</v>
      </c>
      <c r="J193" s="2">
        <f t="shared" si="189"/>
        <v>2.0531539650712825E-2</v>
      </c>
      <c r="K193" s="2">
        <f t="shared" si="189"/>
        <v>2.0531539650712683E-2</v>
      </c>
      <c r="L193" s="2">
        <f t="shared" si="189"/>
        <v>1.0007295739804845E-2</v>
      </c>
      <c r="M193" s="2">
        <f t="shared" si="189"/>
        <v>4.1022137417856125E-3</v>
      </c>
      <c r="N193" s="2">
        <f t="shared" si="189"/>
        <v>0.28678114501014912</v>
      </c>
      <c r="O193" s="2">
        <f t="shared" si="189"/>
        <v>2.3890339037354185</v>
      </c>
      <c r="P193" s="2">
        <f t="shared" si="189"/>
        <v>0.18680818290213017</v>
      </c>
      <c r="Q193"/>
      <c r="R193"/>
      <c r="S193"/>
      <c r="T193"/>
    </row>
    <row r="194" spans="2:40" s="2" customFormat="1" ht="15.5" x14ac:dyDescent="0.35">
      <c r="B194"/>
      <c r="C194"/>
      <c r="D194"/>
      <c r="E194"/>
      <c r="F194"/>
      <c r="G194"/>
      <c r="H194"/>
      <c r="I194"/>
      <c r="J194"/>
      <c r="K194"/>
      <c r="L194"/>
      <c r="M194"/>
      <c r="N194"/>
      <c r="O194"/>
      <c r="P194"/>
      <c r="Q194"/>
      <c r="R194"/>
      <c r="S194"/>
      <c r="T194"/>
      <c r="Y194" s="13"/>
      <c r="Z194" s="13"/>
      <c r="AA194" s="5"/>
      <c r="AB194" s="5"/>
      <c r="AC194" s="5"/>
      <c r="AD194" s="5"/>
      <c r="AE194" s="5"/>
      <c r="AF194" s="5"/>
      <c r="AG194" s="5"/>
      <c r="AH194" s="5"/>
      <c r="AI194" s="14"/>
    </row>
    <row r="195" spans="2:40" s="2" customFormat="1" x14ac:dyDescent="0.35">
      <c r="B195"/>
      <c r="C195"/>
      <c r="D195"/>
      <c r="E195"/>
      <c r="F195"/>
      <c r="G195"/>
      <c r="H195"/>
      <c r="I195"/>
      <c r="J195"/>
      <c r="K195"/>
      <c r="L195"/>
      <c r="M195"/>
      <c r="N195"/>
      <c r="O195"/>
      <c r="P195"/>
      <c r="Q195"/>
      <c r="R195"/>
      <c r="S195"/>
      <c r="T195"/>
      <c r="Y195" s="13"/>
      <c r="Z195" s="49"/>
      <c r="AA195" s="13"/>
      <c r="AB195" s="13"/>
      <c r="AC195" s="13"/>
      <c r="AD195" s="13"/>
      <c r="AE195" s="13"/>
      <c r="AF195" s="13"/>
      <c r="AG195" s="13"/>
      <c r="AH195" s="13"/>
      <c r="AI195" s="13"/>
    </row>
    <row r="196" spans="2:40" s="2" customFormat="1" x14ac:dyDescent="0.35">
      <c r="Y196" s="13"/>
      <c r="Z196" s="49"/>
    </row>
    <row r="197" spans="2:40" ht="18.5" x14ac:dyDescent="0.45">
      <c r="B197" s="2"/>
      <c r="C197" s="2"/>
      <c r="D197" s="2"/>
      <c r="E197" s="2"/>
      <c r="F197" s="1"/>
      <c r="G197" s="3"/>
      <c r="H197" s="3"/>
      <c r="I197" s="3"/>
      <c r="J197" s="3"/>
      <c r="K197" s="3"/>
      <c r="L197" s="3"/>
      <c r="M197" s="3"/>
      <c r="N197" s="3"/>
      <c r="O197" s="3"/>
      <c r="P197" s="2"/>
      <c r="Q197" s="2"/>
      <c r="R197" s="2"/>
      <c r="S197" s="2"/>
      <c r="T197" s="2"/>
      <c r="U197" s="2"/>
      <c r="V197" s="2"/>
      <c r="W197" s="2"/>
      <c r="X197" s="2"/>
      <c r="Y197" s="13"/>
      <c r="Z197" s="49"/>
      <c r="AA197" s="2"/>
      <c r="AB197" s="2"/>
      <c r="AC197" s="2"/>
      <c r="AD197" s="2"/>
      <c r="AE197" s="2"/>
      <c r="AF197" s="2"/>
      <c r="AG197" s="2"/>
      <c r="AH197" s="2"/>
      <c r="AI197" s="2"/>
      <c r="AJ197" s="2"/>
      <c r="AK197" s="2"/>
      <c r="AL197" s="2"/>
      <c r="AM197" s="2"/>
      <c r="AN197" s="2"/>
    </row>
    <row r="198" spans="2:40" ht="18.5" x14ac:dyDescent="0.45">
      <c r="B198" s="2"/>
      <c r="C198" s="2"/>
      <c r="F198" s="1" t="s">
        <v>405</v>
      </c>
      <c r="G198" s="3"/>
      <c r="H198" s="3"/>
      <c r="I198" s="3"/>
      <c r="J198" s="3"/>
      <c r="K198" s="3"/>
      <c r="L198" s="3"/>
      <c r="M198" s="3"/>
      <c r="N198" s="3"/>
      <c r="O198" s="3"/>
      <c r="S198" s="2"/>
      <c r="T198" s="2"/>
      <c r="U198" s="2"/>
      <c r="V198" s="2"/>
      <c r="W198" s="2"/>
      <c r="X198" s="2"/>
      <c r="Y198" s="2"/>
      <c r="Z198" s="2"/>
      <c r="AA198" s="2"/>
      <c r="AB198" s="2"/>
      <c r="AC198" s="2"/>
      <c r="AD198" s="2"/>
      <c r="AE198" s="2"/>
      <c r="AF198" s="2"/>
      <c r="AG198" s="2"/>
      <c r="AH198" s="2"/>
      <c r="AI198" s="2"/>
      <c r="AJ198" s="2"/>
      <c r="AK198" s="2"/>
      <c r="AL198" s="2"/>
      <c r="AM198" s="2"/>
      <c r="AN198" s="2"/>
    </row>
    <row r="199" spans="2:40" ht="16" thickBot="1" x14ac:dyDescent="0.4">
      <c r="B199" s="2"/>
      <c r="C199" s="204" t="s">
        <v>122</v>
      </c>
      <c r="D199" s="204" t="s">
        <v>406</v>
      </c>
      <c r="F199" s="9" t="s">
        <v>1</v>
      </c>
      <c r="G199" s="9" t="s">
        <v>2</v>
      </c>
      <c r="H199" s="9" t="s">
        <v>3</v>
      </c>
      <c r="I199" s="9" t="s">
        <v>4</v>
      </c>
      <c r="J199" s="9" t="s">
        <v>5</v>
      </c>
      <c r="K199" s="9" t="s">
        <v>6</v>
      </c>
      <c r="L199" s="9" t="s">
        <v>7</v>
      </c>
      <c r="M199" s="9" t="s">
        <v>8</v>
      </c>
      <c r="N199" s="9" t="s">
        <v>9</v>
      </c>
      <c r="O199" s="9" t="s">
        <v>10</v>
      </c>
      <c r="P199" s="44" t="s">
        <v>139</v>
      </c>
      <c r="R199" s="44" t="s">
        <v>138</v>
      </c>
      <c r="S199" s="2"/>
      <c r="T199" s="2"/>
      <c r="U199" s="2"/>
      <c r="V199" s="2"/>
      <c r="W199" s="2"/>
      <c r="X199" s="2"/>
      <c r="Y199" s="2"/>
      <c r="Z199" s="2"/>
      <c r="AA199" s="2"/>
      <c r="AB199" s="2"/>
      <c r="AC199" s="2"/>
      <c r="AD199" s="2"/>
      <c r="AE199" s="2"/>
      <c r="AF199" s="2"/>
      <c r="AG199" s="2"/>
      <c r="AH199" s="2"/>
      <c r="AI199" s="2"/>
      <c r="AJ199" s="2"/>
      <c r="AK199" s="2"/>
      <c r="AL199" s="2"/>
      <c r="AM199" s="2"/>
      <c r="AN199" s="2"/>
    </row>
    <row r="200" spans="2:40" ht="15.5" x14ac:dyDescent="0.35">
      <c r="B200" s="2"/>
      <c r="C200" s="262"/>
      <c r="D200" s="155">
        <v>10</v>
      </c>
      <c r="F200" s="2">
        <v>2.5049999999999999E-2</v>
      </c>
      <c r="G200" s="2">
        <v>3.9660500000000001</v>
      </c>
      <c r="H200" s="2">
        <f t="shared" ref="H200:H222" si="190">G200-F200</f>
        <v>3.9410000000000003</v>
      </c>
      <c r="I200" s="2">
        <f t="shared" ref="I200:I221" si="191">F201-G200</f>
        <v>3.73942</v>
      </c>
      <c r="J200" s="2">
        <f>H200/N200</f>
        <v>0.51312298025368408</v>
      </c>
      <c r="K200" s="2">
        <f>I200/N200</f>
        <v>0.48687701974631598</v>
      </c>
      <c r="L200" s="2">
        <f>1/H200</f>
        <v>0.25374270489723416</v>
      </c>
      <c r="M200" s="2">
        <f>1/N200</f>
        <v>0.13020121295449988</v>
      </c>
      <c r="N200" s="2">
        <f>H200+I200</f>
        <v>7.6804199999999998</v>
      </c>
      <c r="O200" s="2">
        <v>26</v>
      </c>
      <c r="P200">
        <f>O200/H200</f>
        <v>6.5973103273280884</v>
      </c>
      <c r="R200" t="s">
        <v>517</v>
      </c>
      <c r="S200" s="2"/>
      <c r="T200" s="2"/>
      <c r="U200" s="2"/>
      <c r="V200" s="2"/>
      <c r="W200" s="2"/>
      <c r="X200" s="2"/>
      <c r="Y200" s="2"/>
      <c r="Z200" s="13"/>
      <c r="AA200" s="5"/>
      <c r="AB200" s="5"/>
      <c r="AC200" s="5"/>
      <c r="AD200" s="5"/>
      <c r="AE200" s="5"/>
      <c r="AF200" s="5"/>
      <c r="AG200" s="5"/>
      <c r="AH200" s="5"/>
      <c r="AI200" s="14"/>
      <c r="AJ200" s="2"/>
      <c r="AK200" s="2"/>
      <c r="AL200" s="2"/>
      <c r="AM200" s="2"/>
      <c r="AN200" s="2"/>
    </row>
    <row r="201" spans="2:40" x14ac:dyDescent="0.35">
      <c r="B201" s="2"/>
      <c r="C201" s="262" t="s">
        <v>541</v>
      </c>
      <c r="D201" s="155">
        <v>10</v>
      </c>
      <c r="F201" s="13">
        <v>7.70547</v>
      </c>
      <c r="G201" s="2">
        <v>9.5706799999999994</v>
      </c>
      <c r="H201" s="2">
        <f t="shared" si="190"/>
        <v>1.8652099999999994</v>
      </c>
      <c r="I201" s="2">
        <f t="shared" si="191"/>
        <v>4.0898000000000003</v>
      </c>
      <c r="J201" s="2">
        <f t="shared" ref="J201:J221" si="192">H201/N201</f>
        <v>0.31321693834267272</v>
      </c>
      <c r="K201" s="2">
        <f t="shared" ref="K201:K221" si="193">I201/N201</f>
        <v>0.68678306165732728</v>
      </c>
      <c r="L201" s="2">
        <f t="shared" ref="L201:L221" si="194">1/H201</f>
        <v>0.53613266066555532</v>
      </c>
      <c r="M201" s="2">
        <f t="shared" ref="M201:M221" si="195">1/N201</f>
        <v>0.16792583051917631</v>
      </c>
      <c r="N201" s="2">
        <f t="shared" ref="N201:N221" si="196">H201+I201</f>
        <v>5.9550099999999997</v>
      </c>
      <c r="O201" s="2">
        <v>14</v>
      </c>
      <c r="P201">
        <f t="shared" ref="P201:P221" si="197">O201/H201</f>
        <v>7.5058572493177733</v>
      </c>
      <c r="S201" s="2"/>
      <c r="T201" s="2"/>
      <c r="U201" s="2"/>
      <c r="V201" s="2"/>
      <c r="W201" s="2"/>
      <c r="X201" s="2"/>
      <c r="Y201" s="2"/>
      <c r="Z201" s="49"/>
      <c r="AA201" s="13"/>
      <c r="AB201" s="13"/>
      <c r="AC201" s="13"/>
      <c r="AD201" s="13"/>
      <c r="AE201" s="13"/>
      <c r="AF201" s="13"/>
      <c r="AG201" s="13"/>
      <c r="AH201" s="13"/>
      <c r="AI201" s="13"/>
      <c r="AJ201" s="2"/>
      <c r="AK201" s="2"/>
      <c r="AL201" s="2"/>
      <c r="AM201" s="2"/>
      <c r="AN201" s="2"/>
    </row>
    <row r="202" spans="2:40" x14ac:dyDescent="0.35">
      <c r="B202" s="2"/>
      <c r="C202" s="262"/>
      <c r="D202" s="155">
        <v>10</v>
      </c>
      <c r="F202" s="13">
        <v>13.66048</v>
      </c>
      <c r="G202" s="2">
        <v>17.89181</v>
      </c>
      <c r="H202" s="2">
        <f t="shared" si="190"/>
        <v>4.2313299999999998</v>
      </c>
      <c r="I202" s="2">
        <f t="shared" si="191"/>
        <v>3.8023799999999994</v>
      </c>
      <c r="J202" s="2">
        <f t="shared" si="192"/>
        <v>0.52669688101761203</v>
      </c>
      <c r="K202" s="2">
        <f t="shared" si="193"/>
        <v>0.47330311898238792</v>
      </c>
      <c r="L202" s="2">
        <f t="shared" si="194"/>
        <v>0.23633231158997289</v>
      </c>
      <c r="M202" s="2">
        <f t="shared" si="195"/>
        <v>0.12447549139812118</v>
      </c>
      <c r="N202" s="2">
        <f t="shared" si="196"/>
        <v>8.0337099999999992</v>
      </c>
      <c r="O202" s="2">
        <v>33</v>
      </c>
      <c r="P202">
        <f t="shared" si="197"/>
        <v>7.7989662824691059</v>
      </c>
      <c r="S202" s="2"/>
      <c r="T202" s="2"/>
      <c r="U202" s="2"/>
      <c r="V202" s="2"/>
      <c r="W202" s="2"/>
      <c r="X202" s="2"/>
      <c r="Y202" s="2"/>
      <c r="Z202" s="49"/>
      <c r="AA202" s="2"/>
      <c r="AB202" s="2"/>
      <c r="AC202" s="2"/>
      <c r="AD202" s="2"/>
      <c r="AE202" s="2"/>
      <c r="AF202" s="2"/>
      <c r="AG202" s="2"/>
      <c r="AH202" s="2"/>
      <c r="AI202" s="2"/>
      <c r="AJ202" s="2"/>
      <c r="AK202" s="2"/>
      <c r="AL202" s="2"/>
      <c r="AM202" s="2"/>
      <c r="AN202" s="2"/>
    </row>
    <row r="203" spans="2:40" x14ac:dyDescent="0.35">
      <c r="B203" s="2"/>
      <c r="C203" s="262"/>
      <c r="D203" s="155">
        <v>10</v>
      </c>
      <c r="F203" s="13">
        <v>21.694189999999999</v>
      </c>
      <c r="G203" s="2">
        <v>25.537880000000001</v>
      </c>
      <c r="H203" s="2">
        <f t="shared" si="190"/>
        <v>3.8436900000000023</v>
      </c>
      <c r="I203" s="2">
        <f t="shared" si="191"/>
        <v>5.2850599999999979</v>
      </c>
      <c r="J203" s="2">
        <f t="shared" si="192"/>
        <v>0.42105326578118607</v>
      </c>
      <c r="K203" s="2">
        <f t="shared" si="193"/>
        <v>0.57894673421881393</v>
      </c>
      <c r="L203" s="2">
        <f t="shared" si="194"/>
        <v>0.26016666276416656</v>
      </c>
      <c r="M203" s="2">
        <f t="shared" si="195"/>
        <v>0.10954402300424483</v>
      </c>
      <c r="N203" s="2">
        <f t="shared" si="196"/>
        <v>9.1287500000000001</v>
      </c>
      <c r="O203" s="2">
        <v>28</v>
      </c>
      <c r="P203">
        <f t="shared" si="197"/>
        <v>7.2846665573966636</v>
      </c>
      <c r="S203" s="2"/>
      <c r="T203" s="2"/>
      <c r="U203" s="2"/>
      <c r="V203" s="2"/>
      <c r="W203" s="2"/>
      <c r="X203" s="2"/>
      <c r="Y203" s="2"/>
      <c r="Z203" s="49"/>
      <c r="AA203" s="2"/>
      <c r="AB203" s="2"/>
      <c r="AC203" s="2"/>
      <c r="AD203" s="2"/>
      <c r="AE203" s="2"/>
      <c r="AF203" s="2"/>
      <c r="AG203" s="2"/>
      <c r="AH203" s="2"/>
      <c r="AI203" s="2"/>
      <c r="AJ203" s="2"/>
      <c r="AK203" s="2"/>
      <c r="AL203" s="2"/>
      <c r="AM203" s="2"/>
      <c r="AN203" s="2"/>
    </row>
    <row r="204" spans="2:40" x14ac:dyDescent="0.35">
      <c r="B204" s="2"/>
      <c r="C204" s="262" t="s">
        <v>541</v>
      </c>
      <c r="D204" s="155">
        <v>10</v>
      </c>
      <c r="F204" s="13">
        <v>30.822939999999999</v>
      </c>
      <c r="G204" s="2">
        <v>35.108530000000002</v>
      </c>
      <c r="H204" s="2">
        <f t="shared" si="190"/>
        <v>4.2855900000000027</v>
      </c>
      <c r="I204" s="2">
        <f t="shared" si="191"/>
        <v>5.588239999999999</v>
      </c>
      <c r="J204" s="2">
        <f t="shared" si="192"/>
        <v>0.43403522240103404</v>
      </c>
      <c r="K204" s="2">
        <f t="shared" si="193"/>
        <v>0.56596477759896591</v>
      </c>
      <c r="L204" s="2">
        <f t="shared" si="194"/>
        <v>0.23334010019623888</v>
      </c>
      <c r="M204" s="2">
        <f t="shared" si="195"/>
        <v>0.10127782228375411</v>
      </c>
      <c r="N204" s="2">
        <f t="shared" si="196"/>
        <v>9.8738300000000017</v>
      </c>
      <c r="O204" s="2">
        <v>28</v>
      </c>
      <c r="P204">
        <f t="shared" si="197"/>
        <v>6.5335228054946883</v>
      </c>
      <c r="S204" s="2"/>
      <c r="T204" s="2"/>
      <c r="U204" s="2"/>
      <c r="V204" s="2"/>
      <c r="W204" s="2"/>
      <c r="X204" s="2"/>
      <c r="Y204" s="2"/>
      <c r="Z204" s="2"/>
      <c r="AA204" s="2"/>
      <c r="AB204" s="2"/>
      <c r="AC204" s="2"/>
      <c r="AD204" s="2"/>
      <c r="AE204" s="2"/>
      <c r="AF204" s="2"/>
      <c r="AG204" s="2"/>
      <c r="AH204" s="2"/>
      <c r="AI204" s="2"/>
      <c r="AJ204" s="2"/>
      <c r="AK204" s="2"/>
      <c r="AL204" s="2"/>
      <c r="AM204" s="2"/>
      <c r="AN204" s="2"/>
    </row>
    <row r="205" spans="2:40" x14ac:dyDescent="0.35">
      <c r="B205" s="2"/>
      <c r="C205" s="262"/>
      <c r="D205" s="155">
        <v>10</v>
      </c>
      <c r="F205" s="13">
        <v>40.696770000000001</v>
      </c>
      <c r="G205" s="2">
        <v>44.695149999999998</v>
      </c>
      <c r="H205" s="2">
        <f t="shared" si="190"/>
        <v>3.9983799999999974</v>
      </c>
      <c r="I205" s="2">
        <f t="shared" si="191"/>
        <v>4.1832800000000034</v>
      </c>
      <c r="J205" s="2">
        <f t="shared" si="192"/>
        <v>0.48870033709540572</v>
      </c>
      <c r="K205" s="2">
        <f t="shared" si="193"/>
        <v>0.51129966290459428</v>
      </c>
      <c r="L205" s="2">
        <f t="shared" si="194"/>
        <v>0.25010129102286444</v>
      </c>
      <c r="M205" s="2">
        <f t="shared" si="195"/>
        <v>0.12222458523087</v>
      </c>
      <c r="N205" s="2">
        <f t="shared" si="196"/>
        <v>8.1816600000000008</v>
      </c>
      <c r="O205" s="2">
        <v>27</v>
      </c>
      <c r="P205">
        <f t="shared" si="197"/>
        <v>6.7527348576173392</v>
      </c>
      <c r="S205" s="2"/>
      <c r="T205" s="2"/>
      <c r="U205" s="2"/>
      <c r="V205" s="2"/>
      <c r="W205" s="2"/>
      <c r="X205" s="2"/>
      <c r="Y205" s="2"/>
      <c r="Z205" s="2"/>
      <c r="AA205" s="2"/>
      <c r="AB205" s="2"/>
      <c r="AC205" s="2"/>
      <c r="AD205" s="2"/>
      <c r="AE205" s="2"/>
      <c r="AF205" s="2"/>
      <c r="AG205" s="2"/>
      <c r="AH205" s="2"/>
      <c r="AI205" s="2"/>
      <c r="AJ205" s="2"/>
      <c r="AK205" s="2"/>
      <c r="AL205" s="2"/>
      <c r="AM205" s="2"/>
    </row>
    <row r="206" spans="2:40" x14ac:dyDescent="0.35">
      <c r="B206" s="2"/>
      <c r="C206" s="262"/>
      <c r="D206" s="155">
        <v>10</v>
      </c>
      <c r="F206" s="13">
        <v>48.878430000000002</v>
      </c>
      <c r="G206" s="2">
        <v>52.534689999999998</v>
      </c>
      <c r="H206" s="2">
        <f t="shared" si="190"/>
        <v>3.6562599999999961</v>
      </c>
      <c r="I206" s="2">
        <f t="shared" si="191"/>
        <v>5.2125699999999995</v>
      </c>
      <c r="J206" s="2">
        <f t="shared" si="192"/>
        <v>0.41225956524141266</v>
      </c>
      <c r="K206" s="2">
        <f t="shared" si="193"/>
        <v>0.58774043475858728</v>
      </c>
      <c r="L206" s="2">
        <f t="shared" si="194"/>
        <v>0.27350352546044349</v>
      </c>
      <c r="M206" s="2">
        <f t="shared" si="195"/>
        <v>0.11275444449831606</v>
      </c>
      <c r="N206" s="2">
        <f t="shared" si="196"/>
        <v>8.8688299999999956</v>
      </c>
      <c r="O206" s="2">
        <v>23</v>
      </c>
      <c r="P206">
        <f t="shared" si="197"/>
        <v>6.2905810855902002</v>
      </c>
      <c r="S206" s="2"/>
      <c r="T206" s="2"/>
      <c r="U206" s="2"/>
      <c r="V206" s="2"/>
      <c r="W206" s="2"/>
      <c r="X206" s="2"/>
      <c r="Y206" s="2"/>
      <c r="Z206" s="2"/>
      <c r="AA206" s="2"/>
      <c r="AB206" s="2"/>
      <c r="AC206" s="2"/>
      <c r="AD206" s="2"/>
      <c r="AE206" s="2"/>
      <c r="AF206" s="2"/>
      <c r="AG206" s="2"/>
      <c r="AH206" s="2"/>
      <c r="AI206" s="2"/>
      <c r="AJ206" s="2"/>
      <c r="AK206" s="2"/>
      <c r="AL206" s="2"/>
      <c r="AM206" s="2"/>
    </row>
    <row r="207" spans="2:40" x14ac:dyDescent="0.35">
      <c r="B207" s="2"/>
      <c r="C207" s="262" t="s">
        <v>541</v>
      </c>
      <c r="D207" s="155">
        <v>10</v>
      </c>
      <c r="F207" s="13">
        <v>57.747259999999997</v>
      </c>
      <c r="G207" s="2">
        <v>61.379480000000001</v>
      </c>
      <c r="H207" s="2">
        <f t="shared" si="190"/>
        <v>3.6322200000000038</v>
      </c>
      <c r="I207" s="2">
        <f t="shared" si="191"/>
        <v>4.3089999999999975</v>
      </c>
      <c r="J207" s="2">
        <f t="shared" si="192"/>
        <v>0.45738815950194089</v>
      </c>
      <c r="K207" s="2">
        <f t="shared" si="193"/>
        <v>0.54261184049805911</v>
      </c>
      <c r="L207" s="2">
        <f t="shared" si="194"/>
        <v>0.2753137199839214</v>
      </c>
      <c r="M207" s="2">
        <f t="shared" si="195"/>
        <v>0.12592523566907854</v>
      </c>
      <c r="N207" s="2">
        <f t="shared" si="196"/>
        <v>7.9412200000000013</v>
      </c>
      <c r="O207" s="2">
        <v>22</v>
      </c>
      <c r="P207">
        <f t="shared" si="197"/>
        <v>6.0569018396462706</v>
      </c>
      <c r="S207" s="2"/>
      <c r="T207" s="2"/>
      <c r="U207" s="2"/>
      <c r="V207" s="2"/>
      <c r="W207" s="2"/>
      <c r="X207" s="2"/>
      <c r="Y207" s="2"/>
      <c r="Z207" s="2"/>
      <c r="AA207" s="2"/>
      <c r="AB207" s="2"/>
      <c r="AC207" s="2"/>
      <c r="AD207" s="2"/>
      <c r="AE207" s="2"/>
      <c r="AF207" s="2"/>
      <c r="AG207" s="2"/>
      <c r="AH207" s="2"/>
      <c r="AI207" s="2"/>
      <c r="AJ207" s="2"/>
      <c r="AK207" s="2"/>
      <c r="AL207" s="2"/>
      <c r="AM207" s="2"/>
    </row>
    <row r="208" spans="2:40" x14ac:dyDescent="0.35">
      <c r="B208" s="2"/>
      <c r="C208" s="262"/>
      <c r="D208" s="155">
        <v>10</v>
      </c>
      <c r="F208" s="13">
        <v>65.688479999999998</v>
      </c>
      <c r="G208" s="2">
        <v>69.728669999999994</v>
      </c>
      <c r="H208" s="2">
        <f t="shared" si="190"/>
        <v>4.0401899999999955</v>
      </c>
      <c r="I208" s="2">
        <f t="shared" si="191"/>
        <v>5.2815300000000036</v>
      </c>
      <c r="J208" s="2">
        <f t="shared" si="192"/>
        <v>0.43341679432551028</v>
      </c>
      <c r="K208" s="2">
        <f t="shared" si="193"/>
        <v>0.56658320567448972</v>
      </c>
      <c r="L208" s="2">
        <f t="shared" si="194"/>
        <v>0.24751311200710885</v>
      </c>
      <c r="M208" s="2">
        <f t="shared" si="195"/>
        <v>0.10727633955965209</v>
      </c>
      <c r="N208" s="2">
        <f t="shared" si="196"/>
        <v>9.3217199999999991</v>
      </c>
      <c r="O208" s="2">
        <v>26</v>
      </c>
      <c r="P208">
        <f t="shared" si="197"/>
        <v>6.43534091218483</v>
      </c>
      <c r="S208" s="2"/>
      <c r="T208" s="2"/>
      <c r="U208" s="2"/>
      <c r="V208" s="2"/>
      <c r="W208" s="2"/>
      <c r="X208" s="2"/>
      <c r="Y208" s="2"/>
      <c r="Z208" s="2"/>
      <c r="AA208" s="2"/>
      <c r="AB208" s="2"/>
      <c r="AC208" s="2"/>
      <c r="AD208" s="2"/>
      <c r="AE208" s="2"/>
      <c r="AF208" s="2"/>
      <c r="AG208" s="2"/>
      <c r="AH208" s="2"/>
      <c r="AI208" s="2"/>
      <c r="AJ208" s="2"/>
      <c r="AK208" s="2"/>
      <c r="AL208" s="2"/>
      <c r="AM208" s="2"/>
    </row>
    <row r="209" spans="2:39" x14ac:dyDescent="0.35">
      <c r="B209" s="2"/>
      <c r="C209" s="261" t="s">
        <v>541</v>
      </c>
      <c r="D209" s="155">
        <v>10</v>
      </c>
      <c r="F209" s="13">
        <v>75.010199999999998</v>
      </c>
      <c r="G209" s="2">
        <v>79.01437</v>
      </c>
      <c r="H209" s="2">
        <f t="shared" si="190"/>
        <v>4.004170000000002</v>
      </c>
      <c r="I209" s="2">
        <f t="shared" si="191"/>
        <v>6.7582799999999992</v>
      </c>
      <c r="J209" s="2">
        <f t="shared" si="192"/>
        <v>0.37205004436722139</v>
      </c>
      <c r="K209" s="2">
        <f t="shared" si="193"/>
        <v>0.62794995563277867</v>
      </c>
      <c r="L209" s="2">
        <f t="shared" si="194"/>
        <v>0.24973964641860846</v>
      </c>
      <c r="M209" s="2">
        <f t="shared" si="195"/>
        <v>9.2915646530297463E-2</v>
      </c>
      <c r="N209" s="2">
        <f t="shared" si="196"/>
        <v>10.762450000000001</v>
      </c>
      <c r="O209" s="2">
        <v>30</v>
      </c>
      <c r="P209">
        <f t="shared" si="197"/>
        <v>7.4921893925582541</v>
      </c>
      <c r="S209" s="2"/>
      <c r="T209" s="2"/>
      <c r="U209" s="2"/>
      <c r="V209" s="2"/>
      <c r="W209" s="2"/>
      <c r="X209" s="2"/>
      <c r="Y209" s="2"/>
      <c r="Z209" s="2"/>
      <c r="AA209" s="2"/>
      <c r="AB209" s="2"/>
      <c r="AC209" s="2"/>
      <c r="AD209" s="2"/>
      <c r="AE209" s="2"/>
      <c r="AF209" s="2"/>
      <c r="AG209" s="2"/>
      <c r="AH209" s="2"/>
      <c r="AI209" s="2"/>
      <c r="AJ209" s="2"/>
      <c r="AK209" s="2"/>
      <c r="AL209" s="2"/>
      <c r="AM209" s="2"/>
    </row>
    <row r="210" spans="2:39" x14ac:dyDescent="0.35">
      <c r="B210" s="2"/>
      <c r="C210" s="262"/>
      <c r="D210" s="155">
        <v>10</v>
      </c>
      <c r="F210" s="13">
        <v>85.772649999999999</v>
      </c>
      <c r="G210" s="2">
        <v>90.209739999999996</v>
      </c>
      <c r="H210" s="2">
        <f t="shared" si="190"/>
        <v>4.4370899999999978</v>
      </c>
      <c r="I210" s="2">
        <f t="shared" si="191"/>
        <v>5.0516999999999967</v>
      </c>
      <c r="J210" s="2">
        <f t="shared" si="192"/>
        <v>0.46761388965294842</v>
      </c>
      <c r="K210" s="2">
        <f t="shared" si="193"/>
        <v>0.53238611034705163</v>
      </c>
      <c r="L210" s="2">
        <f t="shared" si="194"/>
        <v>0.22537293586562376</v>
      </c>
      <c r="M210" s="2">
        <f t="shared" si="195"/>
        <v>0.1053875151626288</v>
      </c>
      <c r="N210" s="2">
        <f t="shared" si="196"/>
        <v>9.4887899999999945</v>
      </c>
      <c r="O210" s="2">
        <v>31</v>
      </c>
      <c r="P210">
        <f t="shared" si="197"/>
        <v>6.9865610118343362</v>
      </c>
      <c r="S210" s="2"/>
      <c r="T210" s="2"/>
      <c r="U210" s="2"/>
      <c r="V210" s="2"/>
      <c r="W210" s="2"/>
      <c r="X210" s="2"/>
      <c r="Y210" s="2"/>
      <c r="Z210" s="2"/>
      <c r="AA210" s="2"/>
      <c r="AB210" s="2"/>
      <c r="AC210" s="2"/>
      <c r="AD210" s="2"/>
      <c r="AE210" s="2"/>
      <c r="AF210" s="2"/>
      <c r="AG210" s="2"/>
      <c r="AH210" s="2"/>
      <c r="AI210" s="2"/>
      <c r="AJ210" s="2"/>
      <c r="AK210" s="2"/>
      <c r="AL210" s="2"/>
      <c r="AM210" s="2"/>
    </row>
    <row r="211" spans="2:39" x14ac:dyDescent="0.35">
      <c r="B211" s="2"/>
      <c r="C211" s="262"/>
      <c r="D211" s="155">
        <v>10</v>
      </c>
      <c r="F211" s="13">
        <v>95.261439999999993</v>
      </c>
      <c r="G211" s="2">
        <v>99.626450000000006</v>
      </c>
      <c r="H211" s="2">
        <f t="shared" si="190"/>
        <v>4.3650100000000123</v>
      </c>
      <c r="I211" s="2">
        <f t="shared" si="191"/>
        <v>5.1357599999999906</v>
      </c>
      <c r="J211" s="2">
        <f t="shared" si="192"/>
        <v>0.45943749822382934</v>
      </c>
      <c r="K211" s="2">
        <f t="shared" si="193"/>
        <v>0.54056250177617071</v>
      </c>
      <c r="L211" s="2">
        <f t="shared" si="194"/>
        <v>0.22909454961156955</v>
      </c>
      <c r="M211" s="2">
        <f t="shared" si="195"/>
        <v>0.10525462673025446</v>
      </c>
      <c r="N211" s="2">
        <f t="shared" si="196"/>
        <v>9.5007700000000028</v>
      </c>
      <c r="O211" s="2">
        <v>27</v>
      </c>
      <c r="P211">
        <f t="shared" si="197"/>
        <v>6.1855528395123773</v>
      </c>
      <c r="S211" s="2"/>
      <c r="T211" s="2"/>
      <c r="U211" s="2"/>
      <c r="V211" s="2"/>
      <c r="W211" s="2"/>
      <c r="X211" s="2"/>
      <c r="Y211" s="2"/>
      <c r="Z211" s="2"/>
      <c r="AA211" s="2"/>
      <c r="AB211" s="2"/>
      <c r="AC211" s="2"/>
      <c r="AD211" s="2"/>
      <c r="AE211" s="2"/>
      <c r="AF211" s="2"/>
      <c r="AG211" s="2"/>
      <c r="AH211" s="2"/>
      <c r="AI211" s="2"/>
      <c r="AJ211" s="2"/>
      <c r="AK211" s="2"/>
      <c r="AL211" s="2"/>
      <c r="AM211" s="2"/>
    </row>
    <row r="212" spans="2:39" x14ac:dyDescent="0.35">
      <c r="B212" s="2"/>
      <c r="C212" s="261" t="s">
        <v>541</v>
      </c>
      <c r="D212" s="155">
        <v>10</v>
      </c>
      <c r="F212" s="13">
        <v>104.76221</v>
      </c>
      <c r="G212" s="2">
        <v>107.00903</v>
      </c>
      <c r="H212" s="2">
        <f t="shared" si="190"/>
        <v>2.2468199999999996</v>
      </c>
      <c r="I212" s="2">
        <f t="shared" si="191"/>
        <v>3.983230000000006</v>
      </c>
      <c r="J212" s="2">
        <f t="shared" si="192"/>
        <v>0.36064237044646474</v>
      </c>
      <c r="K212" s="2">
        <f t="shared" si="193"/>
        <v>0.63935762955353526</v>
      </c>
      <c r="L212" s="2">
        <f t="shared" si="194"/>
        <v>0.44507348163181748</v>
      </c>
      <c r="M212" s="2">
        <f t="shared" si="195"/>
        <v>0.16051235543855974</v>
      </c>
      <c r="N212" s="2">
        <f t="shared" si="196"/>
        <v>6.2300500000000056</v>
      </c>
      <c r="O212" s="2">
        <v>16</v>
      </c>
      <c r="P212">
        <f t="shared" si="197"/>
        <v>7.1211757061090797</v>
      </c>
      <c r="R212" s="2"/>
      <c r="S212" s="2"/>
      <c r="T212" s="2"/>
      <c r="U212" s="2"/>
      <c r="V212" s="2"/>
      <c r="W212" s="2"/>
      <c r="X212" s="2"/>
      <c r="Y212" s="2"/>
      <c r="Z212" s="2"/>
      <c r="AA212" s="2"/>
      <c r="AB212" s="2"/>
      <c r="AC212" s="2"/>
      <c r="AD212" s="2"/>
      <c r="AE212" s="2"/>
      <c r="AF212" s="2"/>
      <c r="AG212" s="2"/>
      <c r="AH212" s="2"/>
      <c r="AI212" s="2"/>
      <c r="AJ212" s="2"/>
      <c r="AK212" s="2"/>
      <c r="AL212" s="2"/>
      <c r="AM212" s="2"/>
    </row>
    <row r="213" spans="2:39" x14ac:dyDescent="0.35">
      <c r="B213" s="2"/>
      <c r="C213" s="262"/>
      <c r="D213" s="155">
        <v>10</v>
      </c>
      <c r="F213" s="13">
        <v>110.99226</v>
      </c>
      <c r="G213" s="2">
        <v>115.23652</v>
      </c>
      <c r="H213" s="2">
        <f t="shared" si="190"/>
        <v>4.244259999999997</v>
      </c>
      <c r="I213" s="2">
        <f t="shared" si="191"/>
        <v>4.7724699999999984</v>
      </c>
      <c r="J213" s="2">
        <f t="shared" si="192"/>
        <v>0.47070944788188168</v>
      </c>
      <c r="K213" s="2">
        <f t="shared" si="193"/>
        <v>0.52929055211811826</v>
      </c>
      <c r="L213" s="2">
        <f t="shared" si="194"/>
        <v>0.23561233289195307</v>
      </c>
      <c r="M213" s="2">
        <f t="shared" si="195"/>
        <v>0.11090495112973334</v>
      </c>
      <c r="N213" s="2">
        <f t="shared" si="196"/>
        <v>9.0167299999999955</v>
      </c>
      <c r="O213" s="2">
        <v>29</v>
      </c>
      <c r="P213">
        <f t="shared" si="197"/>
        <v>6.832757653866639</v>
      </c>
      <c r="S213" s="2"/>
      <c r="T213" s="2"/>
      <c r="U213" s="2"/>
      <c r="V213" s="2"/>
      <c r="W213" s="2"/>
      <c r="X213" s="2"/>
      <c r="Y213" s="2"/>
      <c r="Z213" s="2"/>
      <c r="AA213" s="2"/>
      <c r="AB213" s="2"/>
      <c r="AC213" s="2"/>
      <c r="AD213" s="2"/>
      <c r="AE213" s="2"/>
      <c r="AF213" s="2"/>
      <c r="AG213" s="2"/>
      <c r="AH213" s="2"/>
      <c r="AI213" s="2"/>
      <c r="AJ213" s="2"/>
      <c r="AK213" s="2"/>
      <c r="AL213" s="2"/>
    </row>
    <row r="214" spans="2:39" x14ac:dyDescent="0.35">
      <c r="B214" s="2"/>
      <c r="C214" s="262" t="s">
        <v>541</v>
      </c>
      <c r="D214" s="155">
        <v>0</v>
      </c>
      <c r="F214" s="13">
        <v>120.00899</v>
      </c>
      <c r="G214" s="2">
        <v>122.16434</v>
      </c>
      <c r="H214" s="2">
        <f t="shared" si="190"/>
        <v>2.1553499999999985</v>
      </c>
      <c r="I214" s="2">
        <f t="shared" si="191"/>
        <v>8.1345099999999917</v>
      </c>
      <c r="J214" s="2">
        <f t="shared" si="192"/>
        <v>0.20946349124283523</v>
      </c>
      <c r="K214" s="2">
        <f t="shared" si="193"/>
        <v>0.79053650875716475</v>
      </c>
      <c r="L214" s="2">
        <f t="shared" si="194"/>
        <v>0.46396176955018936</v>
      </c>
      <c r="M214" s="2">
        <f t="shared" si="195"/>
        <v>9.7183052053186433E-2</v>
      </c>
      <c r="N214" s="2">
        <f t="shared" si="196"/>
        <v>10.28985999999999</v>
      </c>
      <c r="O214" s="2">
        <v>13</v>
      </c>
      <c r="P214">
        <f t="shared" si="197"/>
        <v>6.0315030041524622</v>
      </c>
      <c r="R214" t="s">
        <v>518</v>
      </c>
      <c r="S214" s="2"/>
      <c r="T214" s="2"/>
      <c r="U214" s="2"/>
      <c r="V214" s="2"/>
      <c r="W214" s="2"/>
      <c r="X214" s="2"/>
      <c r="Y214" s="2"/>
      <c r="Z214" s="2"/>
      <c r="AA214" s="2"/>
      <c r="AB214" s="2"/>
      <c r="AC214" s="2"/>
      <c r="AD214" s="2"/>
      <c r="AE214" s="2"/>
      <c r="AF214" s="2"/>
      <c r="AG214" s="2"/>
      <c r="AH214" s="2"/>
      <c r="AI214" s="2"/>
      <c r="AJ214" s="2"/>
      <c r="AK214" s="2"/>
      <c r="AL214" s="2"/>
    </row>
    <row r="215" spans="2:39" x14ac:dyDescent="0.35">
      <c r="B215" s="2"/>
      <c r="C215" s="262"/>
      <c r="D215" s="155">
        <v>0</v>
      </c>
      <c r="F215" s="13">
        <v>130.29884999999999</v>
      </c>
      <c r="G215" s="13">
        <v>134.45149000000001</v>
      </c>
      <c r="H215" s="2">
        <f t="shared" si="190"/>
        <v>4.1526400000000194</v>
      </c>
      <c r="I215" s="2">
        <f t="shared" si="191"/>
        <v>6.906109999999984</v>
      </c>
      <c r="J215" s="2">
        <f t="shared" si="192"/>
        <v>0.37550717757432062</v>
      </c>
      <c r="K215" s="2">
        <f t="shared" si="193"/>
        <v>0.62449282242567938</v>
      </c>
      <c r="L215" s="2">
        <f t="shared" si="194"/>
        <v>0.24081066502273141</v>
      </c>
      <c r="M215" s="2">
        <f t="shared" si="195"/>
        <v>9.0426133152481034E-2</v>
      </c>
      <c r="N215" s="2">
        <f t="shared" si="196"/>
        <v>11.058750000000003</v>
      </c>
      <c r="O215" s="2">
        <v>26</v>
      </c>
      <c r="P215">
        <f t="shared" si="197"/>
        <v>6.2610772905910164</v>
      </c>
      <c r="S215" s="2"/>
      <c r="T215" s="2"/>
      <c r="U215" s="2"/>
      <c r="V215" s="2"/>
      <c r="W215" s="2"/>
      <c r="X215" s="2"/>
      <c r="Y215" s="2"/>
      <c r="Z215" s="2"/>
      <c r="AA215" s="2"/>
      <c r="AB215" s="2"/>
      <c r="AC215" s="2"/>
      <c r="AD215" s="2"/>
      <c r="AE215" s="2"/>
      <c r="AF215" s="2"/>
      <c r="AG215" s="2"/>
      <c r="AH215" s="2"/>
      <c r="AI215" s="2"/>
      <c r="AJ215" s="2"/>
      <c r="AK215" s="2"/>
      <c r="AL215" s="2"/>
    </row>
    <row r="216" spans="2:39" x14ac:dyDescent="0.35">
      <c r="B216" s="2"/>
      <c r="C216" s="262"/>
      <c r="D216" s="155">
        <v>0</v>
      </c>
      <c r="F216" s="13">
        <v>141.35759999999999</v>
      </c>
      <c r="G216" s="13">
        <v>144.98516000000001</v>
      </c>
      <c r="H216" s="2">
        <f t="shared" si="190"/>
        <v>3.6275600000000168</v>
      </c>
      <c r="I216" s="2">
        <f t="shared" si="191"/>
        <v>5.9246699999999919</v>
      </c>
      <c r="J216" s="2">
        <f t="shared" si="192"/>
        <v>0.37976053759174699</v>
      </c>
      <c r="K216" s="2">
        <f t="shared" si="193"/>
        <v>0.62023946240825301</v>
      </c>
      <c r="L216" s="2">
        <f t="shared" si="194"/>
        <v>0.27566739075301178</v>
      </c>
      <c r="M216" s="2">
        <f t="shared" si="195"/>
        <v>0.10468759650887793</v>
      </c>
      <c r="N216" s="2">
        <f t="shared" si="196"/>
        <v>9.5522300000000087</v>
      </c>
      <c r="O216" s="2">
        <v>23</v>
      </c>
      <c r="P216">
        <f t="shared" si="197"/>
        <v>6.3403499873192706</v>
      </c>
      <c r="S216" s="2"/>
      <c r="T216" s="2"/>
      <c r="U216" s="2"/>
      <c r="V216" s="2"/>
      <c r="W216" s="2"/>
      <c r="X216" s="2"/>
      <c r="Y216" s="2"/>
      <c r="Z216" s="2"/>
      <c r="AA216" s="2"/>
      <c r="AB216" s="2"/>
      <c r="AC216" s="2"/>
      <c r="AD216" s="2"/>
      <c r="AE216" s="2"/>
      <c r="AF216" s="2"/>
      <c r="AG216" s="2"/>
      <c r="AH216" s="2"/>
      <c r="AI216" s="2"/>
      <c r="AJ216" s="2"/>
      <c r="AK216" s="2"/>
      <c r="AL216" s="2"/>
    </row>
    <row r="217" spans="2:39" x14ac:dyDescent="0.35">
      <c r="B217" s="2"/>
      <c r="C217" s="262" t="s">
        <v>541</v>
      </c>
      <c r="D217" s="155">
        <v>0</v>
      </c>
      <c r="F217" s="13">
        <v>150.90983</v>
      </c>
      <c r="G217" s="13">
        <v>154.69967</v>
      </c>
      <c r="H217" s="2">
        <f t="shared" si="190"/>
        <v>3.7898399999999981</v>
      </c>
      <c r="I217" s="2">
        <f t="shared" si="191"/>
        <v>7.2328200000000038</v>
      </c>
      <c r="J217" s="2">
        <f t="shared" si="192"/>
        <v>0.3438226344639132</v>
      </c>
      <c r="K217" s="2">
        <f t="shared" si="193"/>
        <v>0.65617736553608685</v>
      </c>
      <c r="L217" s="2">
        <f t="shared" si="194"/>
        <v>0.26386338209528648</v>
      </c>
      <c r="M217" s="2">
        <f t="shared" si="195"/>
        <v>9.072220317055954E-2</v>
      </c>
      <c r="N217" s="2">
        <f t="shared" si="196"/>
        <v>11.022660000000002</v>
      </c>
      <c r="O217" s="2">
        <v>20</v>
      </c>
      <c r="P217">
        <f t="shared" si="197"/>
        <v>5.2772676419057296</v>
      </c>
      <c r="S217" s="2"/>
      <c r="T217" s="2"/>
      <c r="U217" s="2"/>
      <c r="V217" s="2"/>
      <c r="W217" s="2"/>
      <c r="X217" s="2"/>
      <c r="Y217" s="2"/>
      <c r="Z217" s="2"/>
      <c r="AA217" s="2"/>
      <c r="AB217" s="2"/>
      <c r="AC217" s="2"/>
      <c r="AD217" s="2"/>
      <c r="AE217" s="2"/>
      <c r="AF217" s="2"/>
      <c r="AG217" s="2"/>
      <c r="AH217" s="2"/>
      <c r="AI217" s="2"/>
      <c r="AJ217" s="2"/>
      <c r="AK217" s="2"/>
      <c r="AL217" s="2"/>
    </row>
    <row r="218" spans="2:39" x14ac:dyDescent="0.35">
      <c r="B218" s="2"/>
      <c r="C218" s="262"/>
      <c r="D218" s="155">
        <v>0</v>
      </c>
      <c r="F218" s="13">
        <v>161.93249</v>
      </c>
      <c r="G218" s="13">
        <v>165.54396</v>
      </c>
      <c r="H218" s="2">
        <f t="shared" si="190"/>
        <v>3.6114699999999971</v>
      </c>
      <c r="I218" s="2">
        <f t="shared" si="191"/>
        <v>7.8302600000000098</v>
      </c>
      <c r="J218" s="2">
        <f t="shared" si="192"/>
        <v>0.31564020475924487</v>
      </c>
      <c r="K218" s="2">
        <f t="shared" si="193"/>
        <v>0.68435979524075508</v>
      </c>
      <c r="L218" s="2">
        <f t="shared" si="194"/>
        <v>0.27689555776456704</v>
      </c>
      <c r="M218" s="2">
        <f t="shared" si="195"/>
        <v>8.7399370549733249E-2</v>
      </c>
      <c r="N218" s="2">
        <f t="shared" si="196"/>
        <v>11.441730000000007</v>
      </c>
      <c r="O218" s="2">
        <v>20</v>
      </c>
      <c r="P218">
        <f t="shared" si="197"/>
        <v>5.53791115529134</v>
      </c>
      <c r="S218" s="2"/>
      <c r="T218" s="2"/>
      <c r="U218" s="2"/>
      <c r="V218" s="2"/>
      <c r="W218" s="2"/>
      <c r="X218" s="2"/>
      <c r="Y218" s="2"/>
      <c r="Z218" s="2"/>
      <c r="AA218" s="2"/>
      <c r="AB218" s="2"/>
      <c r="AC218" s="2"/>
      <c r="AD218" s="2"/>
      <c r="AE218" s="2"/>
      <c r="AF218" s="2"/>
      <c r="AG218" s="2"/>
      <c r="AH218" s="2"/>
      <c r="AI218" s="2"/>
      <c r="AJ218" s="2"/>
      <c r="AK218" s="2"/>
      <c r="AL218" s="2"/>
    </row>
    <row r="219" spans="2:39" x14ac:dyDescent="0.35">
      <c r="C219" s="263"/>
      <c r="D219" s="266">
        <v>0</v>
      </c>
      <c r="E219" s="267"/>
      <c r="F219" s="268">
        <v>173.37422000000001</v>
      </c>
      <c r="G219" s="268">
        <v>175.39031</v>
      </c>
      <c r="H219" s="268">
        <f t="shared" si="190"/>
        <v>2.0160899999999913</v>
      </c>
      <c r="I219" s="268">
        <f t="shared" si="191"/>
        <v>15.860439999999983</v>
      </c>
      <c r="J219" s="268">
        <f t="shared" si="192"/>
        <v>0.11277859853114638</v>
      </c>
      <c r="K219" s="268">
        <f t="shared" si="193"/>
        <v>0.88722140146885364</v>
      </c>
      <c r="L219" s="268">
        <f t="shared" si="194"/>
        <v>0.49600960274591133</v>
      </c>
      <c r="M219" s="268">
        <f t="shared" si="195"/>
        <v>5.5939267855674532E-2</v>
      </c>
      <c r="N219" s="268">
        <f t="shared" si="196"/>
        <v>17.876529999999974</v>
      </c>
      <c r="O219" s="268">
        <v>12</v>
      </c>
      <c r="P219" s="267">
        <f t="shared" si="197"/>
        <v>5.9521152329509359</v>
      </c>
      <c r="U219" s="2"/>
      <c r="V219" s="2"/>
      <c r="W219" s="2"/>
      <c r="X219" s="2"/>
      <c r="Y219" s="2"/>
      <c r="Z219" s="2"/>
      <c r="AA219" s="2"/>
      <c r="AB219" s="2"/>
      <c r="AC219" s="2"/>
      <c r="AD219" s="2"/>
      <c r="AE219" s="2"/>
      <c r="AF219" s="2"/>
      <c r="AG219" s="2"/>
      <c r="AH219" s="2"/>
      <c r="AI219" s="2"/>
      <c r="AJ219" s="2"/>
      <c r="AK219" s="2"/>
      <c r="AL219" s="2"/>
    </row>
    <row r="220" spans="2:39" x14ac:dyDescent="0.35">
      <c r="C220" s="263"/>
      <c r="D220" s="266">
        <v>0</v>
      </c>
      <c r="E220" s="267"/>
      <c r="F220" s="268">
        <v>191.25074999999998</v>
      </c>
      <c r="G220" s="268">
        <v>193.83085</v>
      </c>
      <c r="H220" s="268">
        <f t="shared" si="190"/>
        <v>2.5801000000000158</v>
      </c>
      <c r="I220" s="268">
        <f t="shared" si="191"/>
        <v>25.340370000000007</v>
      </c>
      <c r="J220" s="268">
        <f t="shared" si="192"/>
        <v>9.2408902858727437E-2</v>
      </c>
      <c r="K220" s="268">
        <f t="shared" si="193"/>
        <v>0.90759109714127251</v>
      </c>
      <c r="L220" s="268">
        <f t="shared" si="194"/>
        <v>0.38758187667144445</v>
      </c>
      <c r="M220" s="268">
        <f t="shared" si="195"/>
        <v>3.5816015991134792E-2</v>
      </c>
      <c r="N220" s="268">
        <f t="shared" si="196"/>
        <v>27.920470000000023</v>
      </c>
      <c r="O220" s="268">
        <v>15</v>
      </c>
      <c r="P220" s="267">
        <f t="shared" si="197"/>
        <v>5.8137281500716673</v>
      </c>
      <c r="U220" s="2"/>
      <c r="V220" s="2"/>
      <c r="W220" s="2"/>
      <c r="X220" s="2"/>
      <c r="Y220" s="2"/>
      <c r="Z220" s="2"/>
      <c r="AA220" s="2"/>
      <c r="AB220" s="2"/>
      <c r="AC220" s="2"/>
      <c r="AD220" s="2"/>
      <c r="AE220" s="2"/>
      <c r="AF220" s="2"/>
      <c r="AG220" s="2"/>
      <c r="AH220" s="2"/>
      <c r="AI220" s="2"/>
      <c r="AJ220" s="2"/>
      <c r="AK220" s="2"/>
      <c r="AL220" s="2"/>
    </row>
    <row r="221" spans="2:39" x14ac:dyDescent="0.35">
      <c r="C221" s="263"/>
      <c r="D221" s="266">
        <v>0</v>
      </c>
      <c r="E221" s="267"/>
      <c r="F221" s="268">
        <v>219.17122000000001</v>
      </c>
      <c r="G221" s="268">
        <v>222.79124000000002</v>
      </c>
      <c r="H221" s="268">
        <f t="shared" si="190"/>
        <v>3.6200200000000109</v>
      </c>
      <c r="I221" s="268">
        <f t="shared" si="191"/>
        <v>14.419459999999987</v>
      </c>
      <c r="J221" s="268">
        <f t="shared" si="192"/>
        <v>0.20067208145689408</v>
      </c>
      <c r="K221" s="268">
        <f t="shared" si="193"/>
        <v>0.79932791854310592</v>
      </c>
      <c r="L221" s="268">
        <f t="shared" si="194"/>
        <v>0.27624156772614433</v>
      </c>
      <c r="M221" s="268">
        <f t="shared" si="195"/>
        <v>5.5433970380520954E-2</v>
      </c>
      <c r="N221" s="268">
        <f t="shared" si="196"/>
        <v>18.039479999999998</v>
      </c>
      <c r="O221" s="268">
        <v>17</v>
      </c>
      <c r="P221" s="267">
        <f t="shared" si="197"/>
        <v>4.6961066513444534</v>
      </c>
      <c r="U221" s="2"/>
      <c r="V221" s="2"/>
      <c r="W221" s="2"/>
      <c r="X221" s="2"/>
      <c r="Y221" s="2"/>
      <c r="Z221" s="2"/>
      <c r="AA221" s="2"/>
      <c r="AB221" s="2"/>
      <c r="AC221" s="2"/>
      <c r="AD221" s="2"/>
      <c r="AE221" s="2"/>
      <c r="AF221" s="2"/>
      <c r="AG221" s="2"/>
      <c r="AH221" s="2"/>
      <c r="AI221" s="2"/>
      <c r="AJ221" s="2"/>
      <c r="AK221" s="2"/>
      <c r="AL221" s="2"/>
    </row>
    <row r="222" spans="2:39" x14ac:dyDescent="0.35">
      <c r="D222" s="266"/>
      <c r="E222" s="267"/>
      <c r="F222" s="268">
        <v>237.2107</v>
      </c>
      <c r="G222" s="268">
        <v>239.73455000000001</v>
      </c>
      <c r="H222" s="268">
        <f t="shared" si="190"/>
        <v>2.5238500000000101</v>
      </c>
      <c r="I222" s="268"/>
      <c r="J222" s="268"/>
      <c r="K222" s="268"/>
      <c r="L222" s="268"/>
      <c r="M222" s="268"/>
      <c r="N222" s="268"/>
      <c r="O222" s="268"/>
      <c r="P222" s="267"/>
      <c r="U222" s="2"/>
      <c r="W222" s="2"/>
      <c r="X222" s="2"/>
      <c r="Y222" s="2"/>
      <c r="Z222" s="2"/>
      <c r="AA222" s="2"/>
      <c r="AB222" s="2"/>
      <c r="AC222" s="2"/>
      <c r="AD222" s="2"/>
      <c r="AE222" s="2"/>
      <c r="AF222" s="2"/>
      <c r="AG222" s="2"/>
      <c r="AH222" s="2"/>
      <c r="AI222" s="2"/>
      <c r="AJ222" s="2"/>
      <c r="AK222" s="2"/>
      <c r="AL222" s="2"/>
    </row>
    <row r="223" spans="2:39" x14ac:dyDescent="0.35">
      <c r="D223" s="155"/>
      <c r="F223" s="13"/>
      <c r="G223" s="13"/>
      <c r="H223" s="2"/>
      <c r="I223" s="2"/>
      <c r="J223" s="2"/>
      <c r="K223" s="2"/>
      <c r="L223" s="2"/>
      <c r="M223" s="2"/>
      <c r="N223" s="2"/>
      <c r="O223" s="2"/>
      <c r="U223" s="2"/>
      <c r="W223" s="2"/>
      <c r="X223" s="2"/>
      <c r="Y223" s="2"/>
      <c r="Z223" s="2"/>
      <c r="AA223" s="2"/>
      <c r="AB223" s="2"/>
      <c r="AC223" s="2"/>
      <c r="AD223" s="2"/>
      <c r="AE223" s="2"/>
      <c r="AF223" s="2"/>
      <c r="AG223" s="2"/>
      <c r="AH223" s="2"/>
      <c r="AI223" s="2"/>
      <c r="AJ223" s="2"/>
      <c r="AK223" s="2"/>
      <c r="AL223" s="2"/>
    </row>
    <row r="224" spans="2:39" x14ac:dyDescent="0.35">
      <c r="F224" s="13"/>
      <c r="G224" s="13"/>
      <c r="H224" s="2"/>
      <c r="I224" s="2"/>
      <c r="J224" s="2"/>
      <c r="K224" s="2"/>
      <c r="L224" s="2"/>
      <c r="M224" s="2"/>
      <c r="N224" s="2"/>
      <c r="O224" s="2"/>
      <c r="W224" s="2"/>
      <c r="X224" s="2"/>
      <c r="Y224" s="2"/>
      <c r="Z224" s="2"/>
      <c r="AA224" s="2"/>
      <c r="AB224" s="2"/>
      <c r="AC224" s="2"/>
      <c r="AD224" s="2"/>
      <c r="AE224" s="2"/>
      <c r="AF224" s="2"/>
      <c r="AG224" s="2"/>
      <c r="AH224" s="2"/>
      <c r="AI224" s="2"/>
      <c r="AJ224" s="2"/>
      <c r="AK224" s="2"/>
      <c r="AL224" s="2"/>
    </row>
    <row r="225" spans="5:38" x14ac:dyDescent="0.35">
      <c r="F225" s="13"/>
      <c r="W225" s="2"/>
      <c r="X225" s="2"/>
      <c r="Y225" s="2"/>
      <c r="Z225" s="2"/>
      <c r="AA225" s="2"/>
      <c r="AB225" s="2"/>
      <c r="AC225" s="2"/>
      <c r="AD225" s="2"/>
      <c r="AE225" s="2"/>
      <c r="AF225" s="2"/>
      <c r="AG225" s="2"/>
      <c r="AH225" s="2"/>
      <c r="AI225" s="2"/>
      <c r="AJ225" s="2"/>
      <c r="AK225" s="2"/>
      <c r="AL225" s="2"/>
    </row>
    <row r="226" spans="5:38" ht="16" thickBot="1" x14ac:dyDescent="0.4">
      <c r="F226" s="13"/>
      <c r="G226" s="13"/>
      <c r="H226" s="9" t="s">
        <v>3</v>
      </c>
      <c r="I226" s="9" t="s">
        <v>4</v>
      </c>
      <c r="J226" s="9" t="s">
        <v>5</v>
      </c>
      <c r="K226" s="9" t="s">
        <v>6</v>
      </c>
      <c r="L226" s="9" t="s">
        <v>7</v>
      </c>
      <c r="M226" s="9" t="s">
        <v>8</v>
      </c>
      <c r="N226" s="9" t="s">
        <v>9</v>
      </c>
      <c r="O226" s="9" t="s">
        <v>10</v>
      </c>
      <c r="P226" s="44" t="s">
        <v>139</v>
      </c>
      <c r="W226" s="2"/>
      <c r="X226" s="2"/>
      <c r="Y226" s="2"/>
      <c r="Z226" s="2"/>
      <c r="AA226" s="2"/>
      <c r="AB226" s="2"/>
      <c r="AC226" s="2"/>
      <c r="AD226" s="2"/>
      <c r="AE226" s="2"/>
      <c r="AF226" s="2"/>
      <c r="AG226" s="2"/>
      <c r="AH226" s="2"/>
      <c r="AI226" s="2"/>
      <c r="AJ226" s="2"/>
      <c r="AK226" s="2"/>
      <c r="AL226" s="2"/>
    </row>
    <row r="227" spans="5:38" x14ac:dyDescent="0.35">
      <c r="E227" s="104" t="s">
        <v>414</v>
      </c>
      <c r="F227" s="13"/>
      <c r="G227" s="49" t="s">
        <v>77</v>
      </c>
      <c r="H227" s="13">
        <f t="shared" ref="H227:P227" si="198">AVERAGE(H200:H213)</f>
        <v>3.7708014285714291</v>
      </c>
      <c r="I227" s="13">
        <f t="shared" si="198"/>
        <v>4.79948</v>
      </c>
      <c r="J227" s="13">
        <f t="shared" si="198"/>
        <v>0.43788167103805753</v>
      </c>
      <c r="K227" s="13">
        <f t="shared" si="198"/>
        <v>0.56211832896194236</v>
      </c>
      <c r="L227" s="13">
        <f t="shared" si="198"/>
        <v>0.28221707392907708</v>
      </c>
      <c r="M227" s="13">
        <f t="shared" si="198"/>
        <v>0.11975572000779906</v>
      </c>
      <c r="N227" s="13">
        <f t="shared" si="198"/>
        <v>8.5702814285714286</v>
      </c>
      <c r="O227" s="13">
        <f t="shared" si="198"/>
        <v>25.714285714285715</v>
      </c>
      <c r="P227" s="13">
        <f t="shared" si="198"/>
        <v>6.848151322923262</v>
      </c>
      <c r="W227" s="2"/>
      <c r="X227" s="2"/>
      <c r="Y227" s="2"/>
      <c r="Z227" s="2"/>
      <c r="AA227" s="2"/>
      <c r="AB227" s="2"/>
      <c r="AC227" s="2"/>
      <c r="AD227" s="2"/>
      <c r="AE227" s="2"/>
      <c r="AF227" s="2"/>
      <c r="AG227" s="2"/>
      <c r="AH227" s="2"/>
      <c r="AI227" s="2"/>
      <c r="AJ227" s="2"/>
      <c r="AK227" s="2"/>
      <c r="AL227" s="2"/>
    </row>
    <row r="228" spans="5:38" x14ac:dyDescent="0.35">
      <c r="E228" s="104"/>
      <c r="F228" s="13"/>
      <c r="G228" s="49" t="s">
        <v>94</v>
      </c>
      <c r="H228" s="2">
        <f t="shared" ref="H228:P228" si="199">_xlfn.STDEV.S(H200:H213)</f>
        <v>0.76949069963747629</v>
      </c>
      <c r="I228" s="2">
        <f t="shared" si="199"/>
        <v>0.84048476947716266</v>
      </c>
      <c r="J228" s="2">
        <f t="shared" si="199"/>
        <v>5.932581712899878E-2</v>
      </c>
      <c r="K228" s="2">
        <f t="shared" si="199"/>
        <v>5.9325817129002527E-2</v>
      </c>
      <c r="L228" s="2">
        <f t="shared" si="199"/>
        <v>9.1326181911244669E-2</v>
      </c>
      <c r="M228" s="2">
        <f t="shared" si="199"/>
        <v>2.15244451157365E-2</v>
      </c>
      <c r="N228" s="2">
        <f t="shared" si="199"/>
        <v>1.3394068287971976</v>
      </c>
      <c r="O228" s="2">
        <f t="shared" si="199"/>
        <v>5.3841444064039559</v>
      </c>
      <c r="P228" s="2">
        <f t="shared" si="199"/>
        <v>0.53732380936973123</v>
      </c>
      <c r="W228" s="2"/>
      <c r="X228" s="2"/>
      <c r="Y228" s="2"/>
      <c r="Z228" s="2"/>
      <c r="AA228" s="2"/>
      <c r="AB228" s="2"/>
      <c r="AC228" s="2"/>
      <c r="AD228" s="2"/>
      <c r="AE228" s="2"/>
      <c r="AF228" s="2"/>
      <c r="AG228" s="2"/>
      <c r="AH228" s="2"/>
      <c r="AI228" s="2"/>
      <c r="AJ228" s="2"/>
      <c r="AK228" s="2"/>
      <c r="AL228" s="2"/>
    </row>
    <row r="229" spans="5:38" x14ac:dyDescent="0.35">
      <c r="E229" s="104"/>
      <c r="F229" s="13"/>
      <c r="G229" s="49" t="s">
        <v>95</v>
      </c>
      <c r="H229" s="2">
        <f t="shared" ref="H229:P229" si="200">H228/(SQRT(COUNT(H200:H213)))</f>
        <v>0.20565504002517224</v>
      </c>
      <c r="I229" s="2">
        <f t="shared" si="200"/>
        <v>0.22462900329894422</v>
      </c>
      <c r="J229" s="2">
        <f t="shared" si="200"/>
        <v>1.5855491563365593E-2</v>
      </c>
      <c r="K229" s="2">
        <f t="shared" si="200"/>
        <v>1.5855491563366596E-2</v>
      </c>
      <c r="L229" s="2">
        <f t="shared" si="200"/>
        <v>2.4407948796719238E-2</v>
      </c>
      <c r="M229" s="2">
        <f t="shared" si="200"/>
        <v>5.7526499331075542E-3</v>
      </c>
      <c r="N229" s="2">
        <f t="shared" si="200"/>
        <v>0.35797153249032104</v>
      </c>
      <c r="O229" s="2">
        <f t="shared" si="200"/>
        <v>1.4389731206913543</v>
      </c>
      <c r="P229" s="2">
        <f t="shared" si="200"/>
        <v>0.14360582860126914</v>
      </c>
      <c r="W229" s="2"/>
      <c r="X229" s="2"/>
      <c r="Y229" s="2"/>
      <c r="Z229" s="2"/>
      <c r="AA229" s="2"/>
      <c r="AB229" s="2"/>
      <c r="AC229" s="2"/>
      <c r="AD229" s="2"/>
      <c r="AE229" s="2"/>
      <c r="AF229" s="2"/>
      <c r="AG229" s="2"/>
      <c r="AH229" s="2"/>
      <c r="AI229" s="2"/>
      <c r="AJ229" s="2"/>
      <c r="AK229" s="2"/>
      <c r="AL229" s="2"/>
    </row>
    <row r="230" spans="5:38" x14ac:dyDescent="0.35">
      <c r="E230" s="104"/>
      <c r="F230" s="13"/>
      <c r="G230" s="49"/>
      <c r="H230" s="2"/>
      <c r="I230" s="2"/>
      <c r="J230" s="2"/>
      <c r="K230" s="2"/>
      <c r="L230" s="2"/>
      <c r="M230" s="2"/>
      <c r="N230" s="2"/>
      <c r="O230" s="2"/>
      <c r="P230" s="2"/>
      <c r="W230" s="2"/>
      <c r="X230" s="2"/>
      <c r="Y230" s="2"/>
      <c r="Z230" s="2"/>
      <c r="AA230" s="2"/>
      <c r="AB230" s="2"/>
      <c r="AC230" s="2"/>
      <c r="AD230" s="2"/>
      <c r="AE230" s="2"/>
      <c r="AF230" s="2"/>
      <c r="AG230" s="2"/>
      <c r="AH230" s="2"/>
      <c r="AI230" s="2"/>
      <c r="AJ230" s="2"/>
      <c r="AK230" s="2"/>
      <c r="AL230" s="2"/>
    </row>
    <row r="231" spans="5:38" x14ac:dyDescent="0.35">
      <c r="E231" s="104"/>
      <c r="F231" s="13"/>
      <c r="G231" s="49"/>
      <c r="H231" s="2"/>
      <c r="I231" s="2"/>
      <c r="J231" s="2"/>
      <c r="K231" s="2"/>
      <c r="L231" s="2"/>
      <c r="M231" s="2"/>
      <c r="N231" s="2"/>
      <c r="O231" s="2"/>
      <c r="P231" s="2"/>
      <c r="W231" s="2"/>
      <c r="X231" s="2"/>
      <c r="Y231" s="2"/>
      <c r="Z231" s="2"/>
      <c r="AA231" s="2"/>
      <c r="AB231" s="2"/>
      <c r="AC231" s="2"/>
      <c r="AD231" s="2"/>
      <c r="AE231" s="2"/>
      <c r="AF231" s="2"/>
      <c r="AG231" s="2"/>
      <c r="AH231" s="2"/>
      <c r="AI231" s="2"/>
      <c r="AJ231" s="2"/>
      <c r="AK231" s="2"/>
      <c r="AL231" s="2"/>
    </row>
    <row r="232" spans="5:38" ht="16" thickBot="1" x14ac:dyDescent="0.4">
      <c r="E232" s="104" t="s">
        <v>81</v>
      </c>
      <c r="F232" s="13"/>
      <c r="G232" s="13"/>
      <c r="H232" s="9" t="s">
        <v>3</v>
      </c>
      <c r="I232" s="9" t="s">
        <v>4</v>
      </c>
      <c r="J232" s="9" t="s">
        <v>5</v>
      </c>
      <c r="K232" s="9" t="s">
        <v>6</v>
      </c>
      <c r="L232" s="9" t="s">
        <v>7</v>
      </c>
      <c r="M232" s="9" t="s">
        <v>8</v>
      </c>
      <c r="N232" s="9" t="s">
        <v>9</v>
      </c>
      <c r="O232" s="9" t="s">
        <v>10</v>
      </c>
      <c r="P232" s="44" t="s">
        <v>139</v>
      </c>
      <c r="W232" s="2"/>
      <c r="X232" s="2"/>
      <c r="Y232" s="2"/>
      <c r="Z232" s="2"/>
      <c r="AA232" s="2"/>
      <c r="AB232" s="2"/>
      <c r="AC232" s="2"/>
      <c r="AD232" s="2"/>
      <c r="AE232" s="2"/>
      <c r="AF232" s="2"/>
      <c r="AG232" s="2"/>
      <c r="AH232" s="2"/>
      <c r="AI232" s="2"/>
      <c r="AJ232" s="2"/>
      <c r="AK232" s="2"/>
      <c r="AL232" s="2"/>
    </row>
    <row r="233" spans="5:38" x14ac:dyDescent="0.35">
      <c r="E233" s="104"/>
      <c r="F233" s="13"/>
      <c r="G233" s="49" t="s">
        <v>77</v>
      </c>
      <c r="H233" s="13">
        <f>AVERAGE(H201,H204,H207,H209,H212)</f>
        <v>3.2068020000000019</v>
      </c>
      <c r="I233" s="13">
        <f t="shared" ref="I233:P233" si="201">AVERAGE(I201,I204,I207,I209,I212)</f>
        <v>4.9457100000000001</v>
      </c>
      <c r="J233" s="13">
        <f t="shared" si="201"/>
        <v>0.38746654701186678</v>
      </c>
      <c r="K233" s="13">
        <f t="shared" si="201"/>
        <v>0.61253345298813322</v>
      </c>
      <c r="L233" s="13">
        <f t="shared" si="201"/>
        <v>0.34791992177922826</v>
      </c>
      <c r="M233" s="13">
        <f t="shared" si="201"/>
        <v>0.12971137808817321</v>
      </c>
      <c r="N233" s="13">
        <f t="shared" si="201"/>
        <v>8.1525120000000015</v>
      </c>
      <c r="O233" s="13">
        <f t="shared" si="201"/>
        <v>22</v>
      </c>
      <c r="P233" s="13">
        <f t="shared" si="201"/>
        <v>6.9419293986252129</v>
      </c>
      <c r="W233" s="2"/>
      <c r="X233" s="2"/>
      <c r="Y233" s="2"/>
      <c r="Z233" s="2"/>
      <c r="AA233" s="2"/>
      <c r="AB233" s="2"/>
      <c r="AC233" s="2"/>
      <c r="AD233" s="2"/>
      <c r="AE233" s="2"/>
      <c r="AF233" s="2"/>
      <c r="AG233" s="2"/>
      <c r="AH233" s="2"/>
      <c r="AI233" s="2"/>
      <c r="AJ233" s="2"/>
      <c r="AK233" s="2"/>
      <c r="AL233" s="2"/>
    </row>
    <row r="234" spans="5:38" x14ac:dyDescent="0.35">
      <c r="E234" s="104"/>
      <c r="F234" s="13"/>
      <c r="G234" s="49" t="s">
        <v>94</v>
      </c>
      <c r="H234" s="2">
        <f>_xlfn.STDEV.S(H201,H204,H207,H209,H212)</f>
        <v>1.0842041189139631</v>
      </c>
      <c r="I234" s="2">
        <f t="shared" ref="I234:P234" si="202">_xlfn.STDEV.S(I201,I204,I207,I209,I212)</f>
        <v>1.2002712306391401</v>
      </c>
      <c r="J234" s="2">
        <f t="shared" si="202"/>
        <v>5.8154713502962009E-2</v>
      </c>
      <c r="K234" s="2">
        <f t="shared" si="202"/>
        <v>5.8154713502962092E-2</v>
      </c>
      <c r="L234" s="2">
        <f t="shared" si="202"/>
        <v>0.13500223312425358</v>
      </c>
      <c r="M234" s="2">
        <f t="shared" si="202"/>
        <v>3.3859165713733937E-2</v>
      </c>
      <c r="N234" s="2">
        <f t="shared" si="202"/>
        <v>2.1415083184335315</v>
      </c>
      <c r="O234" s="2">
        <f t="shared" si="202"/>
        <v>7.0710678118654755</v>
      </c>
      <c r="P234" s="2">
        <f t="shared" si="202"/>
        <v>0.63304811150520568</v>
      </c>
      <c r="W234" s="2"/>
      <c r="X234" s="2"/>
      <c r="Y234" s="2"/>
      <c r="Z234" s="2"/>
      <c r="AA234" s="2"/>
      <c r="AB234" s="2"/>
      <c r="AC234" s="2"/>
      <c r="AD234" s="2"/>
      <c r="AE234" s="2"/>
      <c r="AF234" s="2"/>
      <c r="AG234" s="2"/>
      <c r="AH234" s="2"/>
      <c r="AI234" s="2"/>
      <c r="AJ234" s="2"/>
      <c r="AK234" s="2"/>
      <c r="AL234" s="2"/>
    </row>
    <row r="235" spans="5:38" x14ac:dyDescent="0.35">
      <c r="E235" s="104"/>
      <c r="F235" s="13"/>
      <c r="G235" s="49" t="s">
        <v>95</v>
      </c>
      <c r="H235" s="2">
        <f>H234/(SQRT(COUNT(H201,H204,H207,H209,H212)))</f>
        <v>0.48487082227537737</v>
      </c>
      <c r="I235" s="2">
        <f t="shared" ref="I235:P235" si="203">I234/(SQRT(COUNT(I201,I204,I207,I209,I212)))</f>
        <v>0.53677761262928914</v>
      </c>
      <c r="J235" s="2">
        <f t="shared" si="203"/>
        <v>2.6007578520929591E-2</v>
      </c>
      <c r="K235" s="2">
        <f t="shared" si="203"/>
        <v>2.6007578520929629E-2</v>
      </c>
      <c r="L235" s="2">
        <f t="shared" si="203"/>
        <v>6.0374834076020963E-2</v>
      </c>
      <c r="M235" s="2">
        <f t="shared" si="203"/>
        <v>1.5142279239467853E-2</v>
      </c>
      <c r="N235" s="2">
        <f t="shared" si="203"/>
        <v>0.95771163487972844</v>
      </c>
      <c r="O235" s="2">
        <f t="shared" si="203"/>
        <v>3.1622776601683791</v>
      </c>
      <c r="P235" s="2">
        <f t="shared" si="203"/>
        <v>0.28310772207070128</v>
      </c>
      <c r="W235" s="2"/>
      <c r="X235" s="2"/>
      <c r="Y235" s="2"/>
      <c r="Z235" s="2"/>
      <c r="AA235" s="2"/>
      <c r="AB235" s="2"/>
      <c r="AC235" s="2"/>
      <c r="AD235" s="2"/>
      <c r="AE235" s="2"/>
      <c r="AF235" s="2"/>
      <c r="AG235" s="2"/>
      <c r="AH235" s="2"/>
      <c r="AI235" s="2"/>
      <c r="AJ235" s="2"/>
      <c r="AK235" s="2"/>
      <c r="AL235" s="2"/>
    </row>
    <row r="236" spans="5:38" x14ac:dyDescent="0.35">
      <c r="E236" s="104"/>
      <c r="F236" s="13"/>
      <c r="G236" s="49"/>
      <c r="H236" s="2"/>
      <c r="I236" s="2"/>
      <c r="J236" s="2"/>
      <c r="K236" s="2"/>
      <c r="L236" s="2"/>
      <c r="M236" s="2"/>
      <c r="N236" s="2"/>
      <c r="O236" s="2"/>
      <c r="P236" s="2"/>
      <c r="W236" s="2"/>
      <c r="X236" s="2"/>
      <c r="Y236" s="2"/>
      <c r="Z236" s="2"/>
      <c r="AA236" s="2"/>
      <c r="AB236" s="2"/>
      <c r="AC236" s="2"/>
      <c r="AD236" s="2"/>
      <c r="AE236" s="2"/>
      <c r="AF236" s="2"/>
      <c r="AG236" s="2"/>
      <c r="AH236" s="2"/>
      <c r="AI236" s="2"/>
      <c r="AJ236" s="2"/>
      <c r="AK236" s="2"/>
      <c r="AL236" s="2"/>
    </row>
    <row r="237" spans="5:38" x14ac:dyDescent="0.35">
      <c r="E237" s="104"/>
      <c r="F237" s="13"/>
      <c r="G237" s="49"/>
      <c r="H237" s="2"/>
      <c r="I237" s="2"/>
      <c r="J237" s="2"/>
      <c r="K237" s="2"/>
      <c r="L237" s="2"/>
      <c r="M237" s="2"/>
      <c r="N237" s="2"/>
      <c r="O237" s="2"/>
      <c r="P237" s="2"/>
      <c r="W237" s="2"/>
      <c r="X237" s="2"/>
      <c r="Y237" s="2"/>
      <c r="Z237" s="2"/>
      <c r="AA237" s="2"/>
      <c r="AB237" s="2"/>
      <c r="AC237" s="2"/>
      <c r="AD237" s="2"/>
      <c r="AE237" s="2"/>
      <c r="AF237" s="2"/>
      <c r="AG237" s="2"/>
      <c r="AH237" s="2"/>
      <c r="AI237" s="2"/>
      <c r="AJ237" s="2"/>
      <c r="AK237" s="2"/>
      <c r="AL237" s="2"/>
    </row>
    <row r="238" spans="5:38" ht="16" thickBot="1" x14ac:dyDescent="0.4">
      <c r="E238" s="104" t="s">
        <v>82</v>
      </c>
      <c r="F238" s="13"/>
      <c r="G238" s="13"/>
      <c r="H238" s="9" t="s">
        <v>3</v>
      </c>
      <c r="I238" s="9" t="s">
        <v>4</v>
      </c>
      <c r="J238" s="9" t="s">
        <v>5</v>
      </c>
      <c r="K238" s="9" t="s">
        <v>6</v>
      </c>
      <c r="L238" s="9" t="s">
        <v>7</v>
      </c>
      <c r="M238" s="9" t="s">
        <v>8</v>
      </c>
      <c r="N238" s="9" t="s">
        <v>9</v>
      </c>
      <c r="O238" s="9" t="s">
        <v>10</v>
      </c>
      <c r="P238" s="44" t="s">
        <v>139</v>
      </c>
      <c r="W238" s="2"/>
      <c r="X238" s="2"/>
      <c r="Y238" s="2"/>
      <c r="Z238" s="2"/>
      <c r="AA238" s="2"/>
      <c r="AB238" s="2"/>
      <c r="AC238" s="2"/>
      <c r="AD238" s="2"/>
      <c r="AE238" s="2"/>
      <c r="AF238" s="2"/>
      <c r="AG238" s="2"/>
      <c r="AH238" s="2"/>
      <c r="AI238" s="2"/>
      <c r="AJ238" s="2"/>
      <c r="AK238" s="2"/>
      <c r="AL238" s="2"/>
    </row>
    <row r="239" spans="5:38" x14ac:dyDescent="0.35">
      <c r="E239" s="104"/>
      <c r="F239" s="13"/>
      <c r="G239" s="49" t="s">
        <v>77</v>
      </c>
      <c r="H239" s="13">
        <f>AVERAGE(H200,H202:H203,H205:H206,H208,H210:H211,H213)</f>
        <v>4.0841344444444445</v>
      </c>
      <c r="I239" s="13">
        <f t="shared" ref="I239:P239" si="204">AVERAGE(I200,I202:I203,I205:I206,I208,I210:I211,I213)</f>
        <v>4.7182411111111096</v>
      </c>
      <c r="J239" s="13">
        <f t="shared" si="204"/>
        <v>0.46589007327483006</v>
      </c>
      <c r="K239" s="13">
        <f t="shared" si="204"/>
        <v>0.53410992672516988</v>
      </c>
      <c r="L239" s="13">
        <f t="shared" si="204"/>
        <v>0.24571549179010407</v>
      </c>
      <c r="M239" s="13">
        <f t="shared" si="204"/>
        <v>0.11422479885203561</v>
      </c>
      <c r="N239" s="13">
        <f t="shared" si="204"/>
        <v>8.8023755555555532</v>
      </c>
      <c r="O239" s="13">
        <f t="shared" si="204"/>
        <v>27.777777777777779</v>
      </c>
      <c r="P239" s="13">
        <f t="shared" si="204"/>
        <v>6.7960523919777298</v>
      </c>
      <c r="W239" s="2"/>
      <c r="X239" s="2"/>
      <c r="Y239" s="2"/>
      <c r="Z239" s="2"/>
      <c r="AA239" s="2"/>
      <c r="AB239" s="2"/>
      <c r="AC239" s="2"/>
      <c r="AD239" s="2"/>
      <c r="AE239" s="2"/>
      <c r="AF239" s="2"/>
      <c r="AG239" s="2"/>
      <c r="AH239" s="2"/>
      <c r="AI239" s="2"/>
      <c r="AJ239" s="2"/>
      <c r="AK239" s="2"/>
      <c r="AL239" s="2"/>
    </row>
    <row r="240" spans="5:38" x14ac:dyDescent="0.35">
      <c r="E240" s="104"/>
      <c r="F240" s="13"/>
      <c r="G240" s="49" t="s">
        <v>94</v>
      </c>
      <c r="H240" s="2">
        <f>_xlfn.STDEV.S(H200,H202:H203,H205:H206,H208,H210:H211,H213)</f>
        <v>0.25530322809901701</v>
      </c>
      <c r="I240" s="2">
        <f t="shared" ref="I240:P240" si="205">_xlfn.STDEV.S(I200,I202:I203,I205:I206,I208,I210:I211,I213)</f>
        <v>0.63781584664863089</v>
      </c>
      <c r="J240" s="2">
        <f t="shared" si="205"/>
        <v>3.9461439545883305E-2</v>
      </c>
      <c r="K240" s="2">
        <f t="shared" si="205"/>
        <v>3.9461439545883298E-2</v>
      </c>
      <c r="L240" s="2">
        <f t="shared" si="205"/>
        <v>1.5604915780931292E-2</v>
      </c>
      <c r="M240" s="2">
        <f t="shared" si="205"/>
        <v>9.1258885742441752E-3</v>
      </c>
      <c r="N240" s="2">
        <f t="shared" si="205"/>
        <v>0.67272220738041422</v>
      </c>
      <c r="O240" s="2">
        <f t="shared" si="205"/>
        <v>2.948634335492355</v>
      </c>
      <c r="P240" s="2">
        <f t="shared" si="205"/>
        <v>0.51013716522112362</v>
      </c>
      <c r="W240" s="2"/>
      <c r="X240" s="2"/>
      <c r="Y240" s="2"/>
      <c r="Z240" s="2"/>
      <c r="AA240" s="2"/>
      <c r="AB240" s="2"/>
      <c r="AC240" s="2"/>
      <c r="AD240" s="2"/>
      <c r="AE240" s="2"/>
      <c r="AF240" s="2"/>
      <c r="AG240" s="2"/>
      <c r="AH240" s="2"/>
      <c r="AI240" s="2"/>
      <c r="AJ240" s="2"/>
      <c r="AK240" s="2"/>
      <c r="AL240" s="2"/>
    </row>
    <row r="241" spans="5:38" x14ac:dyDescent="0.35">
      <c r="E241" s="104"/>
      <c r="F241" s="13"/>
      <c r="G241" s="49" t="s">
        <v>95</v>
      </c>
      <c r="H241" s="2">
        <f>H240/(SQRT(COUNT(H200,H202:H203,H205:H206,H208,H210:H211,H213)))</f>
        <v>8.5101076033005665E-2</v>
      </c>
      <c r="I241" s="2">
        <f t="shared" ref="I241:P241" si="206">I240/(SQRT(COUNT(I200,I202:I203,I205:I206,I208,I210:I211,I213)))</f>
        <v>0.21260528221621031</v>
      </c>
      <c r="J241" s="2">
        <f t="shared" si="206"/>
        <v>1.3153813181961101E-2</v>
      </c>
      <c r="K241" s="2">
        <f t="shared" si="206"/>
        <v>1.3153813181961099E-2</v>
      </c>
      <c r="L241" s="2">
        <f t="shared" si="206"/>
        <v>5.2016385936437641E-3</v>
      </c>
      <c r="M241" s="2">
        <f t="shared" si="206"/>
        <v>3.0419628580813916E-3</v>
      </c>
      <c r="N241" s="2">
        <f t="shared" si="206"/>
        <v>0.2242407357934714</v>
      </c>
      <c r="O241" s="2">
        <f t="shared" si="206"/>
        <v>0.982878111830785</v>
      </c>
      <c r="P241" s="2">
        <f t="shared" si="206"/>
        <v>0.17004572174037455</v>
      </c>
      <c r="W241" s="2"/>
      <c r="X241" s="2"/>
      <c r="Y241" s="2"/>
      <c r="Z241" s="2"/>
      <c r="AA241" s="2"/>
      <c r="AB241" s="2"/>
      <c r="AC241" s="2"/>
      <c r="AD241" s="2"/>
      <c r="AE241" s="2"/>
      <c r="AF241" s="2"/>
      <c r="AG241" s="2"/>
      <c r="AH241" s="2"/>
      <c r="AI241" s="2"/>
      <c r="AJ241" s="2"/>
      <c r="AK241" s="2"/>
      <c r="AL241" s="2"/>
    </row>
    <row r="242" spans="5:38" x14ac:dyDescent="0.35">
      <c r="E242" s="104"/>
      <c r="F242" s="13"/>
      <c r="G242" s="49"/>
      <c r="H242" s="2"/>
      <c r="I242" s="2"/>
      <c r="J242" s="2"/>
      <c r="K242" s="2"/>
      <c r="L242" s="2"/>
      <c r="M242" s="2"/>
      <c r="N242" s="2"/>
      <c r="O242" s="2"/>
      <c r="P242" s="2"/>
      <c r="W242" s="2"/>
      <c r="X242" s="2"/>
      <c r="Y242" s="2"/>
      <c r="Z242" s="2"/>
      <c r="AA242" s="2"/>
      <c r="AB242" s="2"/>
      <c r="AC242" s="2"/>
      <c r="AD242" s="2"/>
      <c r="AE242" s="2"/>
      <c r="AF242" s="2"/>
      <c r="AG242" s="2"/>
      <c r="AH242" s="2"/>
      <c r="AI242" s="2"/>
      <c r="AJ242" s="2"/>
      <c r="AK242" s="2"/>
      <c r="AL242" s="2"/>
    </row>
    <row r="243" spans="5:38" x14ac:dyDescent="0.35">
      <c r="E243" s="104"/>
      <c r="W243" s="2"/>
      <c r="X243" s="2"/>
      <c r="Y243" s="2"/>
      <c r="Z243" s="2"/>
      <c r="AA243" s="2"/>
      <c r="AB243" s="2"/>
      <c r="AC243" s="2"/>
      <c r="AD243" s="2"/>
      <c r="AE243" s="2"/>
      <c r="AF243" s="2"/>
      <c r="AG243" s="2"/>
      <c r="AH243" s="2"/>
      <c r="AI243" s="2"/>
      <c r="AJ243" s="2"/>
      <c r="AK243" s="2"/>
      <c r="AL243" s="2"/>
    </row>
    <row r="244" spans="5:38" x14ac:dyDescent="0.35">
      <c r="E244" s="104"/>
      <c r="W244" s="2"/>
      <c r="X244" s="2"/>
      <c r="Y244" s="2"/>
      <c r="Z244" s="2"/>
      <c r="AA244" s="2"/>
      <c r="AB244" s="2"/>
      <c r="AC244" s="2"/>
      <c r="AD244" s="2"/>
      <c r="AE244" s="2"/>
      <c r="AF244" s="2"/>
      <c r="AG244" s="2"/>
      <c r="AH244" s="2"/>
      <c r="AI244" s="2"/>
      <c r="AJ244" s="2"/>
      <c r="AK244" s="2"/>
      <c r="AL244" s="2"/>
    </row>
    <row r="245" spans="5:38" ht="16" thickBot="1" x14ac:dyDescent="0.4">
      <c r="E245" s="104"/>
      <c r="G245" s="13"/>
      <c r="H245" s="9" t="s">
        <v>3</v>
      </c>
      <c r="I245" s="9" t="s">
        <v>4</v>
      </c>
      <c r="J245" s="9" t="s">
        <v>5</v>
      </c>
      <c r="K245" s="9" t="s">
        <v>6</v>
      </c>
      <c r="L245" s="9" t="s">
        <v>7</v>
      </c>
      <c r="M245" s="9" t="s">
        <v>8</v>
      </c>
      <c r="N245" s="9" t="s">
        <v>9</v>
      </c>
      <c r="O245" s="9" t="s">
        <v>10</v>
      </c>
      <c r="P245" s="44" t="s">
        <v>139</v>
      </c>
      <c r="W245" s="2"/>
      <c r="X245" s="2"/>
      <c r="Y245" s="2"/>
      <c r="Z245" s="2"/>
      <c r="AA245" s="2"/>
      <c r="AB245" s="2"/>
      <c r="AC245" s="2"/>
      <c r="AD245" s="2"/>
      <c r="AE245" s="2"/>
      <c r="AF245" s="2"/>
      <c r="AG245" s="2"/>
      <c r="AH245" s="2"/>
      <c r="AI245" s="2"/>
      <c r="AJ245" s="2"/>
      <c r="AK245" s="2"/>
      <c r="AL245" s="2"/>
    </row>
    <row r="246" spans="5:38" x14ac:dyDescent="0.35">
      <c r="E246" s="104" t="s">
        <v>410</v>
      </c>
      <c r="G246" s="49" t="s">
        <v>77</v>
      </c>
      <c r="H246" s="13">
        <f>AVERAGE(H214:H218)</f>
        <v>3.4673720000000059</v>
      </c>
      <c r="I246" s="13">
        <f t="shared" ref="I246:P246" si="207">AVERAGE(I214:I218)</f>
        <v>7.2056739999999966</v>
      </c>
      <c r="J246" s="13">
        <f t="shared" si="207"/>
        <v>0.32483880912641216</v>
      </c>
      <c r="K246" s="13">
        <f t="shared" si="207"/>
        <v>0.67516119087358784</v>
      </c>
      <c r="L246" s="13">
        <f t="shared" si="207"/>
        <v>0.30423975303715722</v>
      </c>
      <c r="M246" s="13">
        <f t="shared" si="207"/>
        <v>9.4083671086967649E-2</v>
      </c>
      <c r="N246" s="13">
        <f t="shared" si="207"/>
        <v>10.673046000000003</v>
      </c>
      <c r="O246" s="13">
        <f t="shared" si="207"/>
        <v>20.399999999999999</v>
      </c>
      <c r="P246" s="13">
        <f t="shared" si="207"/>
        <v>5.8896218158519638</v>
      </c>
      <c r="W246" s="2"/>
      <c r="X246" s="2"/>
      <c r="Y246" s="2"/>
      <c r="Z246" s="2"/>
      <c r="AA246" s="2"/>
      <c r="AB246" s="2"/>
      <c r="AC246" s="2"/>
      <c r="AD246" s="2"/>
      <c r="AE246" s="2"/>
      <c r="AF246" s="2"/>
      <c r="AG246" s="2"/>
      <c r="AH246" s="2"/>
      <c r="AI246" s="2"/>
      <c r="AJ246" s="2"/>
      <c r="AK246" s="2"/>
      <c r="AL246" s="2"/>
    </row>
    <row r="247" spans="5:38" x14ac:dyDescent="0.35">
      <c r="G247" s="49" t="s">
        <v>94</v>
      </c>
      <c r="H247" s="2">
        <f>_xlfn.STDEV.S(H214:H218)</f>
        <v>0.76508234855472201</v>
      </c>
      <c r="I247" s="2">
        <f t="shared" ref="I247:P247" si="208">_xlfn.STDEV.S(I214:I218)</f>
        <v>0.86375498981482646</v>
      </c>
      <c r="J247" s="2">
        <f t="shared" si="208"/>
        <v>6.9534422666542958E-2</v>
      </c>
      <c r="K247" s="2">
        <f t="shared" si="208"/>
        <v>6.9534422666543028E-2</v>
      </c>
      <c r="L247" s="2">
        <f t="shared" si="208"/>
        <v>9.045538679007549E-2</v>
      </c>
      <c r="M247" s="2">
        <f t="shared" si="208"/>
        <v>6.9174836590792949E-3</v>
      </c>
      <c r="N247" s="2">
        <f t="shared" si="208"/>
        <v>0.75248465647480189</v>
      </c>
      <c r="O247" s="2">
        <f t="shared" si="208"/>
        <v>4.8270073544588632</v>
      </c>
      <c r="P247" s="2">
        <f t="shared" si="208"/>
        <v>0.46366565242715668</v>
      </c>
      <c r="W247" s="2"/>
      <c r="X247" s="2"/>
      <c r="Y247" s="2"/>
      <c r="Z247" s="2"/>
      <c r="AA247" s="2"/>
      <c r="AB247" s="2"/>
      <c r="AC247" s="2"/>
      <c r="AD247" s="2"/>
      <c r="AE247" s="2"/>
      <c r="AF247" s="2"/>
      <c r="AG247" s="2"/>
      <c r="AH247" s="2"/>
      <c r="AI247" s="2"/>
      <c r="AJ247" s="2"/>
      <c r="AK247" s="2"/>
      <c r="AL247" s="2"/>
    </row>
    <row r="248" spans="5:38" x14ac:dyDescent="0.35">
      <c r="G248" s="49" t="s">
        <v>95</v>
      </c>
      <c r="H248" s="2">
        <f>H247/(SQRT(COUNT(H214:H218)))</f>
        <v>0.34215522795070924</v>
      </c>
      <c r="I248" s="2">
        <f t="shared" ref="I248:P248" si="209">I247/(SQRT(COUNT(I214:I218)))</f>
        <v>0.38628297462611805</v>
      </c>
      <c r="J248" s="2">
        <f t="shared" si="209"/>
        <v>3.1096739171718447E-2</v>
      </c>
      <c r="K248" s="2">
        <f t="shared" si="209"/>
        <v>3.1096739171718478E-2</v>
      </c>
      <c r="L248" s="2">
        <f t="shared" si="209"/>
        <v>4.0452878758729056E-2</v>
      </c>
      <c r="M248" s="2">
        <f t="shared" si="209"/>
        <v>3.0935927389890566E-3</v>
      </c>
      <c r="N248" s="2">
        <f t="shared" si="209"/>
        <v>0.33652136878064687</v>
      </c>
      <c r="O248" s="2">
        <f t="shared" si="209"/>
        <v>2.1587033144922882</v>
      </c>
      <c r="P248" s="2">
        <f t="shared" si="209"/>
        <v>0.20735758353178252</v>
      </c>
      <c r="W248" s="2"/>
      <c r="X248" s="2"/>
      <c r="Y248" s="2"/>
      <c r="Z248" s="2"/>
      <c r="AA248" s="2"/>
      <c r="AB248" s="2"/>
      <c r="AC248" s="2"/>
      <c r="AD248" s="2"/>
      <c r="AE248" s="2"/>
      <c r="AF248" s="2"/>
      <c r="AG248" s="2"/>
      <c r="AH248" s="2"/>
      <c r="AI248" s="2"/>
      <c r="AJ248" s="2"/>
      <c r="AK248" s="2"/>
      <c r="AL248" s="2"/>
    </row>
    <row r="249" spans="5:38" x14ac:dyDescent="0.35">
      <c r="G249" s="49"/>
      <c r="H249" s="2"/>
      <c r="I249" s="2"/>
      <c r="J249" s="2"/>
      <c r="K249" s="2"/>
      <c r="L249" s="2"/>
      <c r="M249" s="2"/>
      <c r="N249" s="2"/>
      <c r="O249" s="2"/>
      <c r="P249" s="2"/>
      <c r="W249" s="2"/>
      <c r="X249" s="2"/>
      <c r="Y249" s="2"/>
      <c r="Z249" s="2"/>
      <c r="AA249" s="2"/>
      <c r="AB249" s="2"/>
      <c r="AC249" s="2"/>
      <c r="AD249" s="2"/>
      <c r="AE249" s="2"/>
      <c r="AF249" s="2"/>
      <c r="AG249" s="2"/>
      <c r="AH249" s="2"/>
      <c r="AI249" s="2"/>
      <c r="AJ249" s="2"/>
      <c r="AK249" s="2"/>
      <c r="AL249" s="2"/>
    </row>
    <row r="250" spans="5:38" x14ac:dyDescent="0.35">
      <c r="G250" s="49"/>
      <c r="H250" s="2"/>
      <c r="I250" s="2"/>
      <c r="J250" s="2"/>
      <c r="K250" s="2"/>
      <c r="L250" s="2"/>
      <c r="M250" s="2"/>
      <c r="N250" s="2"/>
      <c r="O250" s="2"/>
      <c r="P250" s="2"/>
      <c r="W250" s="2"/>
      <c r="X250" s="2"/>
      <c r="Y250" s="2"/>
      <c r="Z250" s="2"/>
      <c r="AA250" s="2"/>
      <c r="AB250" s="2"/>
      <c r="AC250" s="2"/>
      <c r="AD250" s="2"/>
      <c r="AE250" s="2"/>
      <c r="AF250" s="2"/>
      <c r="AG250" s="2"/>
      <c r="AH250" s="2"/>
      <c r="AI250" s="2"/>
      <c r="AJ250" s="2"/>
      <c r="AK250" s="2"/>
      <c r="AL250" s="2"/>
    </row>
    <row r="251" spans="5:38" ht="16" thickBot="1" x14ac:dyDescent="0.4">
      <c r="E251" s="104" t="s">
        <v>81</v>
      </c>
      <c r="F251" s="13"/>
      <c r="G251" s="13"/>
      <c r="H251" s="9" t="s">
        <v>3</v>
      </c>
      <c r="I251" s="9" t="s">
        <v>4</v>
      </c>
      <c r="J251" s="9" t="s">
        <v>5</v>
      </c>
      <c r="K251" s="9" t="s">
        <v>6</v>
      </c>
      <c r="L251" s="9" t="s">
        <v>7</v>
      </c>
      <c r="M251" s="9" t="s">
        <v>8</v>
      </c>
      <c r="N251" s="9" t="s">
        <v>9</v>
      </c>
      <c r="O251" s="9" t="s">
        <v>10</v>
      </c>
      <c r="P251" s="44" t="s">
        <v>139</v>
      </c>
      <c r="W251" s="2"/>
      <c r="X251" s="2"/>
      <c r="Y251" s="2"/>
      <c r="Z251" s="2"/>
      <c r="AA251" s="2"/>
      <c r="AB251" s="2"/>
      <c r="AC251" s="2"/>
      <c r="AD251" s="2"/>
      <c r="AE251" s="2"/>
      <c r="AF251" s="2"/>
      <c r="AG251" s="2"/>
      <c r="AH251" s="2"/>
      <c r="AI251" s="2"/>
      <c r="AJ251" s="2"/>
      <c r="AK251" s="2"/>
      <c r="AL251" s="2"/>
    </row>
    <row r="252" spans="5:38" x14ac:dyDescent="0.35">
      <c r="E252" s="104"/>
      <c r="F252" s="13"/>
      <c r="G252" s="49" t="s">
        <v>77</v>
      </c>
      <c r="H252" s="13">
        <f>AVERAGE(H214,H217)</f>
        <v>2.9725949999999983</v>
      </c>
      <c r="I252" s="13">
        <f t="shared" ref="I252:P252" si="210">AVERAGE(I214,I217)</f>
        <v>7.6836649999999977</v>
      </c>
      <c r="J252" s="13">
        <f t="shared" si="210"/>
        <v>0.2766430628533742</v>
      </c>
      <c r="K252" s="13">
        <f t="shared" si="210"/>
        <v>0.72335693714662574</v>
      </c>
      <c r="L252" s="13">
        <f t="shared" si="210"/>
        <v>0.36391257582273795</v>
      </c>
      <c r="M252" s="13">
        <f t="shared" si="210"/>
        <v>9.395262761187298E-2</v>
      </c>
      <c r="N252" s="13">
        <f t="shared" si="210"/>
        <v>10.656259999999996</v>
      </c>
      <c r="O252" s="13">
        <f t="shared" si="210"/>
        <v>16.5</v>
      </c>
      <c r="P252" s="13">
        <f t="shared" si="210"/>
        <v>5.6543853230290964</v>
      </c>
      <c r="W252" s="2"/>
      <c r="X252" s="2"/>
      <c r="Y252" s="2"/>
      <c r="Z252" s="2"/>
      <c r="AA252" s="2"/>
      <c r="AB252" s="2"/>
      <c r="AC252" s="2"/>
      <c r="AD252" s="2"/>
      <c r="AE252" s="2"/>
      <c r="AF252" s="2"/>
      <c r="AG252" s="2"/>
      <c r="AH252" s="2"/>
      <c r="AI252" s="2"/>
      <c r="AJ252" s="2"/>
      <c r="AK252" s="2"/>
      <c r="AL252" s="2"/>
    </row>
    <row r="253" spans="5:38" x14ac:dyDescent="0.35">
      <c r="E253" s="104"/>
      <c r="F253" s="13"/>
      <c r="G253" s="49" t="s">
        <v>94</v>
      </c>
      <c r="H253" s="2">
        <f>_xlfn.STDEV.S(H214,H217)</f>
        <v>1.1557589627815996</v>
      </c>
      <c r="I253" s="2">
        <f t="shared" ref="I253:P253" si="211">_xlfn.STDEV.S(I214,I217)</f>
        <v>0.6375911135280895</v>
      </c>
      <c r="J253" s="2">
        <f t="shared" si="211"/>
        <v>9.5006261286038909E-2</v>
      </c>
      <c r="K253" s="2">
        <f t="shared" si="211"/>
        <v>9.5006261286038715E-2</v>
      </c>
      <c r="L253" s="2">
        <f t="shared" si="211"/>
        <v>0.14149092667385493</v>
      </c>
      <c r="M253" s="2">
        <f t="shared" si="211"/>
        <v>4.568510057127005E-3</v>
      </c>
      <c r="N253" s="2">
        <f t="shared" si="211"/>
        <v>0.51816784925351023</v>
      </c>
      <c r="O253" s="2">
        <f t="shared" si="211"/>
        <v>4.9497474683058327</v>
      </c>
      <c r="P253" s="2">
        <f t="shared" si="211"/>
        <v>0.53332493925535673</v>
      </c>
      <c r="W253" s="2"/>
      <c r="X253" s="2"/>
      <c r="Y253" s="2"/>
      <c r="Z253" s="2"/>
      <c r="AA253" s="2"/>
      <c r="AB253" s="2"/>
      <c r="AC253" s="2"/>
      <c r="AD253" s="2"/>
      <c r="AE253" s="2"/>
      <c r="AF253" s="2"/>
      <c r="AG253" s="2"/>
      <c r="AH253" s="2"/>
      <c r="AI253" s="2"/>
      <c r="AJ253" s="2"/>
      <c r="AK253" s="2"/>
      <c r="AL253" s="2"/>
    </row>
    <row r="254" spans="5:38" x14ac:dyDescent="0.35">
      <c r="E254" s="104"/>
      <c r="F254" s="13"/>
      <c r="G254" s="49" t="s">
        <v>95</v>
      </c>
      <c r="H254" s="2">
        <f>H253/(SQRT(COUNT(H214,H217)))</f>
        <v>0.81724499999999967</v>
      </c>
      <c r="I254" s="2">
        <f t="shared" ref="I254:P254" si="212">I253/(SQRT(COUNT(I214,I217)))</f>
        <v>0.45084499999999395</v>
      </c>
      <c r="J254" s="2">
        <f t="shared" si="212"/>
        <v>6.7179571610539071E-2</v>
      </c>
      <c r="K254" s="2">
        <f t="shared" si="212"/>
        <v>6.7179571610538932E-2</v>
      </c>
      <c r="L254" s="2">
        <f t="shared" si="212"/>
        <v>0.10004919372745137</v>
      </c>
      <c r="M254" s="2">
        <f t="shared" si="212"/>
        <v>3.2304244413134467E-3</v>
      </c>
      <c r="N254" s="2">
        <f t="shared" si="212"/>
        <v>0.36640000000000578</v>
      </c>
      <c r="O254" s="2">
        <f t="shared" si="212"/>
        <v>3.4999999999999996</v>
      </c>
      <c r="P254" s="2">
        <f t="shared" si="212"/>
        <v>0.37711768112336624</v>
      </c>
      <c r="W254" s="2"/>
      <c r="X254" s="2"/>
      <c r="Y254" s="2"/>
      <c r="Z254" s="2"/>
      <c r="AA254" s="2"/>
      <c r="AB254" s="2"/>
      <c r="AC254" s="2"/>
      <c r="AD254" s="2"/>
      <c r="AE254" s="2"/>
      <c r="AF254" s="2"/>
      <c r="AG254" s="2"/>
      <c r="AH254" s="2"/>
      <c r="AI254" s="2"/>
      <c r="AJ254" s="2"/>
      <c r="AK254" s="2"/>
      <c r="AL254" s="2"/>
    </row>
    <row r="255" spans="5:38" x14ac:dyDescent="0.35">
      <c r="E255" s="104"/>
      <c r="F255" s="13"/>
      <c r="G255" s="49"/>
      <c r="H255" s="2"/>
      <c r="I255" s="2"/>
      <c r="J255" s="2"/>
      <c r="K255" s="2"/>
      <c r="L255" s="2"/>
      <c r="M255" s="2"/>
      <c r="N255" s="2"/>
      <c r="O255" s="2"/>
      <c r="P255" s="2"/>
      <c r="W255" s="2"/>
      <c r="X255" s="2"/>
      <c r="Y255" s="2"/>
      <c r="Z255" s="2"/>
      <c r="AA255" s="2"/>
      <c r="AB255" s="2"/>
      <c r="AC255" s="2"/>
      <c r="AD255" s="2"/>
      <c r="AE255" s="2"/>
      <c r="AF255" s="2"/>
      <c r="AG255" s="2"/>
      <c r="AH255" s="2"/>
      <c r="AI255" s="2"/>
      <c r="AJ255" s="2"/>
      <c r="AK255" s="2"/>
      <c r="AL255" s="2"/>
    </row>
    <row r="256" spans="5:38" x14ac:dyDescent="0.35">
      <c r="E256" s="104"/>
      <c r="F256" s="13"/>
      <c r="G256" s="49"/>
      <c r="H256" s="2"/>
      <c r="I256" s="2"/>
      <c r="J256" s="2"/>
      <c r="K256" s="2"/>
      <c r="L256" s="2"/>
      <c r="M256" s="2"/>
      <c r="N256" s="2"/>
      <c r="O256" s="2"/>
      <c r="P256" s="2"/>
      <c r="W256" s="2"/>
      <c r="X256" s="2"/>
      <c r="Y256" s="2"/>
      <c r="Z256" s="2"/>
      <c r="AA256" s="2"/>
      <c r="AB256" s="2"/>
      <c r="AC256" s="2"/>
      <c r="AD256" s="2"/>
      <c r="AE256" s="2"/>
      <c r="AF256" s="2"/>
      <c r="AG256" s="2"/>
      <c r="AH256" s="2"/>
      <c r="AI256" s="2"/>
      <c r="AJ256" s="2"/>
      <c r="AK256" s="2"/>
      <c r="AL256" s="2"/>
    </row>
    <row r="257" spans="3:38" ht="16" thickBot="1" x14ac:dyDescent="0.4">
      <c r="E257" s="104" t="s">
        <v>82</v>
      </c>
      <c r="F257" s="13"/>
      <c r="G257" s="13"/>
      <c r="H257" s="9" t="s">
        <v>3</v>
      </c>
      <c r="I257" s="9" t="s">
        <v>4</v>
      </c>
      <c r="J257" s="9" t="s">
        <v>5</v>
      </c>
      <c r="K257" s="9" t="s">
        <v>6</v>
      </c>
      <c r="L257" s="9" t="s">
        <v>7</v>
      </c>
      <c r="M257" s="9" t="s">
        <v>8</v>
      </c>
      <c r="N257" s="9" t="s">
        <v>9</v>
      </c>
      <c r="O257" s="9" t="s">
        <v>10</v>
      </c>
      <c r="P257" s="44" t="s">
        <v>139</v>
      </c>
      <c r="W257" s="2"/>
      <c r="X257" s="2"/>
      <c r="Y257" s="2"/>
      <c r="Z257" s="2"/>
      <c r="AA257" s="2"/>
      <c r="AB257" s="2"/>
      <c r="AC257" s="2"/>
      <c r="AD257" s="2"/>
      <c r="AE257" s="2"/>
      <c r="AF257" s="2"/>
      <c r="AG257" s="2"/>
      <c r="AH257" s="2"/>
      <c r="AI257" s="2"/>
      <c r="AJ257" s="2"/>
      <c r="AK257" s="2"/>
      <c r="AL257" s="2"/>
    </row>
    <row r="258" spans="3:38" x14ac:dyDescent="0.35">
      <c r="E258" s="104"/>
      <c r="F258" s="13"/>
      <c r="G258" s="49" t="s">
        <v>77</v>
      </c>
      <c r="H258" s="13">
        <f>AVERAGE(H215:H216,H218)</f>
        <v>3.7972233333333443</v>
      </c>
      <c r="I258" s="13">
        <f t="shared" ref="I258:P258" si="213">AVERAGE(I215:I216,I218)</f>
        <v>6.8870133333333285</v>
      </c>
      <c r="J258" s="13">
        <f t="shared" si="213"/>
        <v>0.35696930664177079</v>
      </c>
      <c r="K258" s="13">
        <f t="shared" si="213"/>
        <v>0.64303069335822916</v>
      </c>
      <c r="L258" s="13">
        <f t="shared" si="213"/>
        <v>0.26445787118010339</v>
      </c>
      <c r="M258" s="13">
        <f t="shared" si="213"/>
        <v>9.417103340369741E-2</v>
      </c>
      <c r="N258" s="13">
        <f t="shared" si="213"/>
        <v>10.684236666666672</v>
      </c>
      <c r="O258" s="13">
        <f t="shared" si="213"/>
        <v>23</v>
      </c>
      <c r="P258" s="13">
        <f t="shared" si="213"/>
        <v>6.0464461444005417</v>
      </c>
      <c r="W258" s="2"/>
      <c r="X258" s="2"/>
      <c r="Y258" s="2"/>
      <c r="Z258" s="2"/>
      <c r="AA258" s="2"/>
      <c r="AB258" s="2"/>
      <c r="AC258" s="2"/>
      <c r="AD258" s="2"/>
      <c r="AE258" s="2"/>
      <c r="AF258" s="2"/>
      <c r="AG258" s="2"/>
      <c r="AH258" s="2"/>
      <c r="AI258" s="2"/>
      <c r="AJ258" s="2"/>
      <c r="AK258" s="2"/>
      <c r="AL258" s="2"/>
    </row>
    <row r="259" spans="3:38" x14ac:dyDescent="0.35">
      <c r="E259" s="104"/>
      <c r="F259" s="13"/>
      <c r="G259" s="49" t="s">
        <v>94</v>
      </c>
      <c r="H259" s="2">
        <f>_xlfn.STDEV.S(H215:H216,H218)</f>
        <v>0.30790498085178475</v>
      </c>
      <c r="I259" s="2">
        <f t="shared" ref="I259:P259" si="214">_xlfn.STDEV.S(I215:I216,I218)</f>
        <v>0.95293852059477746</v>
      </c>
      <c r="J259" s="2">
        <f t="shared" si="214"/>
        <v>3.5855177655000098E-2</v>
      </c>
      <c r="K259" s="2">
        <f t="shared" si="214"/>
        <v>3.5855177655000063E-2</v>
      </c>
      <c r="L259" s="2">
        <f t="shared" si="214"/>
        <v>2.0488286112776911E-2</v>
      </c>
      <c r="M259" s="2">
        <f t="shared" si="214"/>
        <v>9.2324914092720041E-3</v>
      </c>
      <c r="N259" s="2">
        <f t="shared" si="214"/>
        <v>0.99887323526728355</v>
      </c>
      <c r="O259" s="2">
        <f t="shared" si="214"/>
        <v>3</v>
      </c>
      <c r="P259" s="2">
        <f t="shared" si="214"/>
        <v>0.44218425624717217</v>
      </c>
      <c r="W259" s="2"/>
      <c r="X259" s="2"/>
      <c r="Y259" s="2"/>
      <c r="Z259" s="2"/>
      <c r="AA259" s="2"/>
      <c r="AB259" s="2"/>
      <c r="AC259" s="2"/>
      <c r="AD259" s="2"/>
      <c r="AE259" s="2"/>
      <c r="AF259" s="2"/>
      <c r="AG259" s="2"/>
      <c r="AH259" s="2"/>
      <c r="AI259" s="2"/>
      <c r="AJ259" s="2"/>
      <c r="AK259" s="2"/>
      <c r="AL259" s="2"/>
    </row>
    <row r="260" spans="3:38" x14ac:dyDescent="0.35">
      <c r="E260" s="104"/>
      <c r="F260" s="13"/>
      <c r="G260" s="49" t="s">
        <v>95</v>
      </c>
      <c r="H260" s="2">
        <f>H259/(SQRT(COUNT(H215:H216,H218)))</f>
        <v>0.1777690235796045</v>
      </c>
      <c r="I260" s="2">
        <f t="shared" ref="I260:P260" si="215">I259/(SQRT(COUNT(I215:I216,I218)))</f>
        <v>0.55017931138655851</v>
      </c>
      <c r="J260" s="2">
        <f t="shared" si="215"/>
        <v>2.0700996470956162E-2</v>
      </c>
      <c r="K260" s="2">
        <f t="shared" si="215"/>
        <v>2.0700996470956141E-2</v>
      </c>
      <c r="L260" s="2">
        <f t="shared" si="215"/>
        <v>1.1828917502445821E-2</v>
      </c>
      <c r="M260" s="2">
        <f t="shared" si="215"/>
        <v>5.3303814004340994E-3</v>
      </c>
      <c r="N260" s="2">
        <f t="shared" si="215"/>
        <v>0.57669973126787855</v>
      </c>
      <c r="O260" s="2">
        <f t="shared" si="215"/>
        <v>1.7320508075688774</v>
      </c>
      <c r="P260" s="2">
        <f t="shared" si="215"/>
        <v>0.25529519937571932</v>
      </c>
      <c r="W260" s="2"/>
      <c r="X260" s="2"/>
      <c r="Y260" s="2"/>
      <c r="Z260" s="2"/>
      <c r="AA260" s="2"/>
      <c r="AB260" s="2"/>
      <c r="AC260" s="2"/>
      <c r="AD260" s="2"/>
      <c r="AE260" s="2"/>
      <c r="AF260" s="2"/>
      <c r="AG260" s="2"/>
      <c r="AH260" s="2"/>
      <c r="AI260" s="2"/>
      <c r="AJ260" s="2"/>
      <c r="AK260" s="2"/>
      <c r="AL260" s="2"/>
    </row>
    <row r="261" spans="3:38" x14ac:dyDescent="0.35">
      <c r="G261" s="49"/>
      <c r="H261" s="2"/>
      <c r="I261" s="2"/>
      <c r="J261" s="2"/>
      <c r="K261" s="2"/>
      <c r="L261" s="2"/>
      <c r="M261" s="2"/>
      <c r="N261" s="2"/>
      <c r="O261" s="2"/>
      <c r="P261" s="2"/>
      <c r="W261" s="2"/>
      <c r="X261" s="2"/>
      <c r="Y261" s="2"/>
      <c r="Z261" s="2"/>
      <c r="AA261" s="2"/>
      <c r="AB261" s="2"/>
      <c r="AC261" s="2"/>
      <c r="AD261" s="2"/>
      <c r="AE261" s="2"/>
      <c r="AF261" s="2"/>
      <c r="AG261" s="2"/>
      <c r="AH261" s="2"/>
      <c r="AI261" s="2"/>
      <c r="AJ261" s="2"/>
      <c r="AK261" s="2"/>
      <c r="AL261" s="2"/>
    </row>
    <row r="262" spans="3:38" x14ac:dyDescent="0.35">
      <c r="G262" s="49"/>
      <c r="H262" s="2"/>
      <c r="I262" s="2"/>
      <c r="J262" s="2"/>
      <c r="K262" s="2"/>
      <c r="L262" s="2"/>
      <c r="M262" s="2"/>
      <c r="N262" s="2"/>
      <c r="O262" s="2"/>
      <c r="P262" s="2"/>
      <c r="W262" s="2"/>
      <c r="X262" s="2"/>
      <c r="Y262" s="2"/>
      <c r="Z262" s="2"/>
      <c r="AA262" s="2"/>
      <c r="AB262" s="2"/>
      <c r="AC262" s="2"/>
      <c r="AD262" s="2"/>
      <c r="AE262" s="2"/>
      <c r="AF262" s="2"/>
      <c r="AG262" s="2"/>
      <c r="AH262" s="2"/>
      <c r="AI262" s="2"/>
      <c r="AJ262" s="2"/>
      <c r="AK262" s="2"/>
      <c r="AL262" s="2"/>
    </row>
    <row r="263" spans="3:38" x14ac:dyDescent="0.35">
      <c r="W263" s="2"/>
      <c r="X263" s="2"/>
      <c r="Y263" s="2"/>
      <c r="Z263" s="2"/>
      <c r="AA263" s="2"/>
      <c r="AB263" s="2"/>
      <c r="AC263" s="2"/>
      <c r="AD263" s="2"/>
      <c r="AE263" s="2"/>
      <c r="AF263" s="2"/>
      <c r="AG263" s="2"/>
      <c r="AH263" s="2"/>
      <c r="AI263" s="2"/>
      <c r="AJ263" s="2"/>
      <c r="AK263" s="2"/>
      <c r="AL263" s="2"/>
    </row>
    <row r="264" spans="3:38" x14ac:dyDescent="0.35">
      <c r="W264" s="2"/>
      <c r="X264" s="2"/>
      <c r="Y264" s="2"/>
      <c r="Z264" s="2"/>
      <c r="AA264" s="2"/>
      <c r="AB264" s="2"/>
      <c r="AC264" s="2"/>
      <c r="AD264" s="2"/>
      <c r="AE264" s="2"/>
      <c r="AF264" s="2"/>
      <c r="AG264" s="2"/>
      <c r="AH264" s="2"/>
      <c r="AI264" s="2"/>
      <c r="AJ264" s="2"/>
      <c r="AK264" s="2"/>
      <c r="AL264" s="2"/>
    </row>
    <row r="265" spans="3:38" x14ac:dyDescent="0.35">
      <c r="W265" s="2"/>
      <c r="X265" s="2"/>
      <c r="Y265" s="2"/>
      <c r="Z265" s="2"/>
      <c r="AA265" s="2"/>
      <c r="AB265" s="2"/>
      <c r="AC265" s="2"/>
      <c r="AD265" s="2"/>
      <c r="AE265" s="2"/>
      <c r="AF265" s="2"/>
      <c r="AG265" s="2"/>
      <c r="AH265" s="2"/>
      <c r="AI265" s="2"/>
      <c r="AJ265" s="2"/>
      <c r="AK265" s="2"/>
      <c r="AL265" s="2"/>
    </row>
    <row r="266" spans="3:38" x14ac:dyDescent="0.35">
      <c r="W266" s="2"/>
      <c r="X266" s="2"/>
      <c r="Y266" s="2"/>
      <c r="Z266" s="2"/>
      <c r="AA266" s="2"/>
      <c r="AB266" s="2"/>
      <c r="AC266" s="2"/>
      <c r="AD266" s="2"/>
      <c r="AE266" s="2"/>
      <c r="AF266" s="2"/>
      <c r="AG266" s="2"/>
      <c r="AH266" s="2"/>
      <c r="AI266" s="2"/>
      <c r="AJ266" s="2"/>
      <c r="AK266" s="2"/>
      <c r="AL266" s="2"/>
    </row>
    <row r="267" spans="3:38" ht="18.5" x14ac:dyDescent="0.45">
      <c r="F267" s="1" t="s">
        <v>405</v>
      </c>
      <c r="G267" s="3"/>
      <c r="H267" s="3"/>
      <c r="I267" s="3"/>
      <c r="J267" s="3"/>
      <c r="K267" s="3"/>
      <c r="L267" s="3"/>
      <c r="M267" s="3"/>
      <c r="N267" s="3"/>
      <c r="O267" s="3"/>
      <c r="S267" s="2"/>
      <c r="W267" s="2"/>
      <c r="X267" s="2"/>
      <c r="Y267" s="2"/>
      <c r="Z267" s="2"/>
      <c r="AA267" s="2"/>
      <c r="AB267" s="2"/>
      <c r="AC267" s="2"/>
      <c r="AD267" s="2"/>
      <c r="AE267" s="2"/>
      <c r="AF267" s="2"/>
      <c r="AG267" s="2"/>
      <c r="AH267" s="2"/>
      <c r="AI267" s="2"/>
      <c r="AJ267" s="2"/>
      <c r="AK267" s="2"/>
      <c r="AL267" s="2"/>
    </row>
    <row r="268" spans="3:38" ht="16" thickBot="1" x14ac:dyDescent="0.4">
      <c r="C268" s="204" t="s">
        <v>122</v>
      </c>
      <c r="D268" s="204" t="s">
        <v>406</v>
      </c>
      <c r="F268" s="9" t="s">
        <v>1</v>
      </c>
      <c r="G268" s="9" t="s">
        <v>2</v>
      </c>
      <c r="H268" s="9" t="s">
        <v>3</v>
      </c>
      <c r="I268" s="9" t="s">
        <v>4</v>
      </c>
      <c r="J268" s="9" t="s">
        <v>5</v>
      </c>
      <c r="K268" s="9" t="s">
        <v>6</v>
      </c>
      <c r="L268" s="9" t="s">
        <v>7</v>
      </c>
      <c r="M268" s="9" t="s">
        <v>8</v>
      </c>
      <c r="N268" s="9" t="s">
        <v>9</v>
      </c>
      <c r="O268" s="9" t="s">
        <v>10</v>
      </c>
      <c r="P268" s="44" t="s">
        <v>139</v>
      </c>
      <c r="R268" s="44" t="s">
        <v>138</v>
      </c>
      <c r="S268" s="2"/>
      <c r="W268" s="2"/>
      <c r="X268" s="2"/>
      <c r="Y268" s="2"/>
      <c r="Z268" s="2"/>
      <c r="AA268" s="2"/>
      <c r="AB268" s="2"/>
      <c r="AC268" s="2"/>
      <c r="AD268" s="2"/>
      <c r="AE268" s="2"/>
      <c r="AF268" s="2"/>
      <c r="AG268" s="2"/>
      <c r="AH268" s="2"/>
      <c r="AI268" s="2"/>
      <c r="AJ268" s="2"/>
      <c r="AK268" s="2"/>
      <c r="AL268" s="2"/>
    </row>
    <row r="269" spans="3:38" x14ac:dyDescent="0.35">
      <c r="C269" s="2" t="s">
        <v>714</v>
      </c>
      <c r="D269" s="155">
        <v>12</v>
      </c>
      <c r="F269" s="2">
        <v>8.1099999999999992E-3</v>
      </c>
      <c r="G269" s="2">
        <v>3.2461899999999999</v>
      </c>
      <c r="H269" s="2">
        <f t="shared" ref="H269:H286" si="216">G269-F269</f>
        <v>3.2380800000000001</v>
      </c>
      <c r="I269" s="2">
        <f t="shared" ref="I269:I285" si="217">F270-G269</f>
        <v>7.1016300000000001</v>
      </c>
      <c r="J269" s="2">
        <f>H269/N269</f>
        <v>0.3131693248650107</v>
      </c>
      <c r="K269" s="2">
        <f>I269/N269</f>
        <v>0.6868306751349893</v>
      </c>
      <c r="L269" s="2">
        <f>1/H269</f>
        <v>0.30882498270580094</v>
      </c>
      <c r="M269" s="2">
        <f>1/N269</f>
        <v>9.6714511335424302E-2</v>
      </c>
      <c r="N269" s="2">
        <f>H269+I269</f>
        <v>10.33971</v>
      </c>
      <c r="O269" s="2">
        <v>15</v>
      </c>
      <c r="P269">
        <f>O269/H269</f>
        <v>4.6323747405870144</v>
      </c>
      <c r="R269" t="s">
        <v>519</v>
      </c>
      <c r="S269" s="2"/>
      <c r="W269" s="2"/>
      <c r="X269" s="2"/>
      <c r="Y269" s="2"/>
      <c r="Z269" s="2"/>
      <c r="AA269" s="2"/>
      <c r="AB269" s="2"/>
      <c r="AC269" s="2"/>
      <c r="AD269" s="2"/>
      <c r="AE269" s="2"/>
      <c r="AF269" s="2"/>
      <c r="AG269" s="2"/>
      <c r="AH269" s="2"/>
      <c r="AI269" s="2"/>
      <c r="AJ269" s="2"/>
      <c r="AK269" s="2"/>
      <c r="AL269" s="2"/>
    </row>
    <row r="270" spans="3:38" x14ac:dyDescent="0.35">
      <c r="C270" s="261" t="s">
        <v>32</v>
      </c>
      <c r="D270" s="263">
        <v>12</v>
      </c>
      <c r="F270" s="13">
        <v>10.34782</v>
      </c>
      <c r="G270" s="2">
        <v>14.725809999999999</v>
      </c>
      <c r="H270" s="2">
        <f t="shared" si="216"/>
        <v>4.3779899999999987</v>
      </c>
      <c r="I270" s="2">
        <f t="shared" si="217"/>
        <v>7.4425500000000007</v>
      </c>
      <c r="J270" s="2">
        <f t="shared" ref="J270:J285" si="218">H270/N270</f>
        <v>0.37037140435208538</v>
      </c>
      <c r="K270" s="2">
        <f t="shared" ref="K270:K285" si="219">I270/N270</f>
        <v>0.62962859564791462</v>
      </c>
      <c r="L270" s="2">
        <f t="shared" ref="L270:L285" si="220">1/H270</f>
        <v>0.2284153230135291</v>
      </c>
      <c r="M270" s="2">
        <f t="shared" ref="M270:M285" si="221">1/N270</f>
        <v>8.4598503960055971E-2</v>
      </c>
      <c r="N270" s="2">
        <f t="shared" ref="N270:N285" si="222">H270+I270</f>
        <v>11.820539999999999</v>
      </c>
      <c r="O270" s="2">
        <v>27</v>
      </c>
      <c r="P270">
        <f t="shared" ref="P270:P285" si="223">O270/H270</f>
        <v>6.167213721365286</v>
      </c>
      <c r="S270" s="2"/>
      <c r="W270" s="2"/>
      <c r="X270" s="2"/>
      <c r="Y270" s="2"/>
      <c r="Z270" s="2"/>
      <c r="AA270" s="2"/>
      <c r="AB270" s="2"/>
      <c r="AC270" s="2"/>
      <c r="AD270" s="2"/>
      <c r="AE270" s="2"/>
      <c r="AF270" s="2"/>
      <c r="AG270" s="2"/>
      <c r="AH270" s="2"/>
      <c r="AI270" s="2"/>
      <c r="AJ270" s="2"/>
      <c r="AK270" s="2"/>
      <c r="AL270" s="2"/>
    </row>
    <row r="271" spans="3:38" x14ac:dyDescent="0.35">
      <c r="C271" s="261" t="s">
        <v>32</v>
      </c>
      <c r="D271" s="263">
        <v>12</v>
      </c>
      <c r="F271" s="13">
        <v>22.16836</v>
      </c>
      <c r="G271" s="2">
        <v>26.528670000000002</v>
      </c>
      <c r="H271" s="2">
        <f t="shared" si="216"/>
        <v>4.3603100000000019</v>
      </c>
      <c r="I271" s="2">
        <f t="shared" si="217"/>
        <v>7.395589999999995</v>
      </c>
      <c r="J271" s="2">
        <f t="shared" si="218"/>
        <v>0.3709039716227599</v>
      </c>
      <c r="K271" s="2">
        <f t="shared" si="219"/>
        <v>0.6290960283772401</v>
      </c>
      <c r="L271" s="2">
        <f t="shared" si="220"/>
        <v>0.22934149177466731</v>
      </c>
      <c r="M271" s="2">
        <f t="shared" si="221"/>
        <v>8.5063670157112622E-2</v>
      </c>
      <c r="N271" s="2">
        <f t="shared" si="222"/>
        <v>11.755899999999997</v>
      </c>
      <c r="O271" s="2">
        <v>25</v>
      </c>
      <c r="P271">
        <f t="shared" si="223"/>
        <v>5.7335372943666822</v>
      </c>
      <c r="S271" s="2"/>
      <c r="W271" s="2"/>
      <c r="X271" s="2"/>
      <c r="Y271" s="2"/>
      <c r="Z271" s="2"/>
      <c r="AA271" s="2"/>
      <c r="AB271" s="2"/>
      <c r="AC271" s="2"/>
      <c r="AD271" s="2"/>
      <c r="AE271" s="2"/>
      <c r="AF271" s="2"/>
      <c r="AG271" s="2"/>
      <c r="AH271" s="2"/>
      <c r="AI271" s="2"/>
      <c r="AJ271" s="2"/>
      <c r="AK271" s="2"/>
      <c r="AL271" s="2"/>
    </row>
    <row r="272" spans="3:38" x14ac:dyDescent="0.35">
      <c r="C272" s="261" t="s">
        <v>32</v>
      </c>
      <c r="D272" s="263">
        <v>12</v>
      </c>
      <c r="F272" s="13">
        <v>33.924259999999997</v>
      </c>
      <c r="G272" s="2">
        <v>38.286070000000002</v>
      </c>
      <c r="H272" s="2">
        <f t="shared" si="216"/>
        <v>4.3618100000000055</v>
      </c>
      <c r="I272" s="2">
        <f t="shared" si="217"/>
        <v>7.3387299999999982</v>
      </c>
      <c r="J272" s="2">
        <f t="shared" si="218"/>
        <v>0.37278706794729166</v>
      </c>
      <c r="K272" s="2">
        <f t="shared" si="219"/>
        <v>0.62721293205270834</v>
      </c>
      <c r="L272" s="2">
        <f t="shared" si="220"/>
        <v>0.22926262262684499</v>
      </c>
      <c r="M272" s="2">
        <f t="shared" si="221"/>
        <v>8.546614087896795E-2</v>
      </c>
      <c r="N272" s="2">
        <f t="shared" si="222"/>
        <v>11.700540000000004</v>
      </c>
      <c r="O272" s="2">
        <v>25</v>
      </c>
      <c r="P272">
        <f t="shared" si="223"/>
        <v>5.7315655656711249</v>
      </c>
      <c r="S272" s="2"/>
      <c r="W272" s="2"/>
      <c r="X272" s="2"/>
      <c r="Y272" s="2"/>
      <c r="Z272" s="2"/>
      <c r="AA272" s="2"/>
      <c r="AB272" s="2"/>
      <c r="AC272" s="2"/>
      <c r="AD272" s="2"/>
      <c r="AE272" s="2"/>
      <c r="AF272" s="2"/>
      <c r="AG272" s="2"/>
      <c r="AH272" s="2"/>
      <c r="AI272" s="2"/>
      <c r="AJ272" s="2"/>
      <c r="AK272" s="2"/>
      <c r="AL272" s="2"/>
    </row>
    <row r="273" spans="3:38" x14ac:dyDescent="0.35">
      <c r="C273" s="261" t="s">
        <v>32</v>
      </c>
      <c r="D273" s="263">
        <v>12</v>
      </c>
      <c r="F273" s="13">
        <v>45.6248</v>
      </c>
      <c r="G273" s="2">
        <v>49.461489999999998</v>
      </c>
      <c r="H273" s="2">
        <f t="shared" si="216"/>
        <v>3.8366899999999973</v>
      </c>
      <c r="I273" s="2">
        <f t="shared" si="217"/>
        <v>7.633420000000001</v>
      </c>
      <c r="J273" s="2">
        <f t="shared" si="218"/>
        <v>0.33449461251897306</v>
      </c>
      <c r="K273" s="2">
        <f t="shared" si="219"/>
        <v>0.66550538748102694</v>
      </c>
      <c r="L273" s="2">
        <f t="shared" si="220"/>
        <v>0.26064133406660445</v>
      </c>
      <c r="M273" s="2">
        <f t="shared" si="221"/>
        <v>8.7183122045037073E-2</v>
      </c>
      <c r="N273" s="2">
        <f t="shared" si="222"/>
        <v>11.470109999999998</v>
      </c>
      <c r="O273" s="2">
        <v>22</v>
      </c>
      <c r="P273">
        <f t="shared" si="223"/>
        <v>5.7341093494652986</v>
      </c>
      <c r="S273" s="2"/>
      <c r="W273" s="2"/>
      <c r="X273" s="2"/>
      <c r="Y273" s="2"/>
      <c r="Z273" s="2"/>
      <c r="AA273" s="2"/>
      <c r="AB273" s="2"/>
      <c r="AC273" s="2"/>
      <c r="AD273" s="2"/>
      <c r="AE273" s="2"/>
      <c r="AF273" s="2"/>
      <c r="AG273" s="2"/>
      <c r="AH273" s="2"/>
      <c r="AI273" s="2"/>
      <c r="AJ273" s="2"/>
      <c r="AK273" s="2"/>
      <c r="AL273" s="2"/>
    </row>
    <row r="274" spans="3:38" x14ac:dyDescent="0.35">
      <c r="C274" s="261" t="s">
        <v>32</v>
      </c>
      <c r="D274" s="263">
        <v>12</v>
      </c>
      <c r="F274" s="13">
        <v>57.094909999999999</v>
      </c>
      <c r="G274" s="2">
        <v>61.153649999999999</v>
      </c>
      <c r="H274" s="2">
        <f t="shared" si="216"/>
        <v>4.0587400000000002</v>
      </c>
      <c r="I274" s="2">
        <f t="shared" si="217"/>
        <v>6.0451300000000003</v>
      </c>
      <c r="J274" s="2">
        <f t="shared" si="218"/>
        <v>0.40170152624687372</v>
      </c>
      <c r="K274" s="2">
        <f t="shared" si="219"/>
        <v>0.59829847375312628</v>
      </c>
      <c r="L274" s="2">
        <f t="shared" si="220"/>
        <v>0.24638188206192069</v>
      </c>
      <c r="M274" s="2">
        <f t="shared" si="221"/>
        <v>9.8971978063850774E-2</v>
      </c>
      <c r="N274" s="2">
        <f t="shared" si="222"/>
        <v>10.103870000000001</v>
      </c>
      <c r="O274" s="2">
        <v>23</v>
      </c>
      <c r="P274">
        <f t="shared" si="223"/>
        <v>5.6667832874241757</v>
      </c>
      <c r="S274" s="2"/>
      <c r="W274" s="2"/>
      <c r="X274" s="2"/>
      <c r="Y274" s="2"/>
      <c r="Z274" s="2"/>
      <c r="AA274" s="2"/>
      <c r="AB274" s="2"/>
      <c r="AC274" s="2"/>
      <c r="AD274" s="2"/>
      <c r="AE274" s="2"/>
      <c r="AF274" s="2"/>
      <c r="AG274" s="2"/>
      <c r="AH274" s="2"/>
      <c r="AI274" s="2"/>
      <c r="AJ274" s="2"/>
      <c r="AK274" s="2"/>
      <c r="AL274" s="2"/>
    </row>
    <row r="275" spans="3:38" x14ac:dyDescent="0.35">
      <c r="C275" s="261" t="s">
        <v>32</v>
      </c>
      <c r="D275" s="263">
        <v>12</v>
      </c>
      <c r="F275" s="13">
        <v>67.198779999999999</v>
      </c>
      <c r="G275" s="2">
        <v>71.33999</v>
      </c>
      <c r="H275" s="2">
        <f t="shared" si="216"/>
        <v>4.1412100000000009</v>
      </c>
      <c r="I275" s="2">
        <f t="shared" si="217"/>
        <v>7.3715200000000038</v>
      </c>
      <c r="J275" s="2">
        <f t="shared" si="218"/>
        <v>0.35970703734040488</v>
      </c>
      <c r="K275" s="2">
        <f t="shared" si="219"/>
        <v>0.64029296265959512</v>
      </c>
      <c r="L275" s="2">
        <f t="shared" si="220"/>
        <v>0.24147531760041141</v>
      </c>
      <c r="M275" s="2">
        <f t="shared" si="221"/>
        <v>8.6860371084877319E-2</v>
      </c>
      <c r="N275" s="2">
        <f t="shared" si="222"/>
        <v>11.512730000000005</v>
      </c>
      <c r="O275" s="2">
        <v>23</v>
      </c>
      <c r="P275">
        <f t="shared" si="223"/>
        <v>5.5539323048094627</v>
      </c>
      <c r="S275" s="2"/>
      <c r="W275" s="2"/>
      <c r="X275" s="2"/>
      <c r="Y275" s="2"/>
      <c r="Z275" s="2"/>
      <c r="AA275" s="2"/>
      <c r="AB275" s="2"/>
      <c r="AC275" s="2"/>
      <c r="AD275" s="2"/>
      <c r="AE275" s="2"/>
      <c r="AF275" s="2"/>
      <c r="AG275" s="2"/>
      <c r="AH275" s="2"/>
      <c r="AI275" s="2"/>
      <c r="AJ275" s="2"/>
      <c r="AK275" s="2"/>
      <c r="AL275" s="2"/>
    </row>
    <row r="276" spans="3:38" x14ac:dyDescent="0.35">
      <c r="C276" s="261" t="s">
        <v>32</v>
      </c>
      <c r="D276" s="263">
        <v>12</v>
      </c>
      <c r="F276" s="13">
        <v>78.711510000000004</v>
      </c>
      <c r="G276" s="2">
        <v>82.623940000000005</v>
      </c>
      <c r="H276" s="2">
        <f t="shared" si="216"/>
        <v>3.9124300000000005</v>
      </c>
      <c r="I276" s="2">
        <f t="shared" si="217"/>
        <v>7.7539999999999907</v>
      </c>
      <c r="J276" s="2">
        <f t="shared" si="218"/>
        <v>0.33535794583261574</v>
      </c>
      <c r="K276" s="2">
        <f t="shared" si="219"/>
        <v>0.6646420541673842</v>
      </c>
      <c r="L276" s="2">
        <f t="shared" si="220"/>
        <v>0.25559562727000862</v>
      </c>
      <c r="M276" s="2">
        <f t="shared" si="221"/>
        <v>8.5716024525069004E-2</v>
      </c>
      <c r="N276" s="2">
        <f t="shared" si="222"/>
        <v>11.666429999999991</v>
      </c>
      <c r="O276" s="2">
        <v>22</v>
      </c>
      <c r="P276">
        <f t="shared" si="223"/>
        <v>5.6231037999401901</v>
      </c>
      <c r="S276" s="2"/>
      <c r="W276" s="2"/>
      <c r="X276" s="2"/>
      <c r="Y276" s="2"/>
      <c r="Z276" s="2"/>
      <c r="AA276" s="2"/>
      <c r="AB276" s="2"/>
      <c r="AC276" s="2"/>
      <c r="AD276" s="2"/>
      <c r="AE276" s="2"/>
      <c r="AF276" s="2"/>
      <c r="AG276" s="2"/>
      <c r="AH276" s="2"/>
      <c r="AI276" s="2"/>
      <c r="AJ276" s="2"/>
      <c r="AK276" s="2"/>
      <c r="AL276" s="2"/>
    </row>
    <row r="277" spans="3:38" x14ac:dyDescent="0.35">
      <c r="C277" s="261" t="s">
        <v>32</v>
      </c>
      <c r="D277" s="263">
        <v>12</v>
      </c>
      <c r="F277" s="13">
        <v>90.377939999999995</v>
      </c>
      <c r="G277" s="2">
        <v>93.128559999999993</v>
      </c>
      <c r="H277" s="2">
        <f t="shared" si="216"/>
        <v>2.7506199999999978</v>
      </c>
      <c r="I277" s="2">
        <f t="shared" si="217"/>
        <v>7.1018900000000116</v>
      </c>
      <c r="J277" s="2">
        <f t="shared" si="218"/>
        <v>0.27917962021860371</v>
      </c>
      <c r="K277" s="2">
        <f t="shared" si="219"/>
        <v>0.72082037978139635</v>
      </c>
      <c r="L277" s="2">
        <f t="shared" si="220"/>
        <v>0.36355439864466949</v>
      </c>
      <c r="M277" s="2">
        <f t="shared" si="221"/>
        <v>0.10149697894242168</v>
      </c>
      <c r="N277" s="2">
        <f t="shared" si="222"/>
        <v>9.8525100000000094</v>
      </c>
      <c r="O277" s="2">
        <v>18</v>
      </c>
      <c r="P277">
        <f t="shared" si="223"/>
        <v>6.5439791756040506</v>
      </c>
      <c r="S277" s="2"/>
      <c r="W277" s="2"/>
      <c r="X277" s="2"/>
      <c r="Y277" s="2"/>
      <c r="Z277" s="2"/>
      <c r="AA277" s="2"/>
      <c r="AB277" s="2"/>
      <c r="AC277" s="2"/>
      <c r="AD277" s="2"/>
      <c r="AE277" s="2"/>
      <c r="AF277" s="2"/>
      <c r="AG277" s="2"/>
      <c r="AH277" s="2"/>
      <c r="AI277" s="2"/>
      <c r="AJ277" s="2"/>
      <c r="AK277" s="2"/>
      <c r="AL277" s="2"/>
    </row>
    <row r="278" spans="3:38" x14ac:dyDescent="0.35">
      <c r="C278" s="261" t="s">
        <v>32</v>
      </c>
      <c r="D278" s="263">
        <v>12</v>
      </c>
      <c r="F278" s="13">
        <v>100.23045</v>
      </c>
      <c r="G278" s="2">
        <v>104.08381</v>
      </c>
      <c r="H278" s="2">
        <f t="shared" si="216"/>
        <v>3.853359999999995</v>
      </c>
      <c r="I278" s="2">
        <f t="shared" si="217"/>
        <v>6.0773700000000019</v>
      </c>
      <c r="J278" s="2">
        <f t="shared" si="218"/>
        <v>0.38802384114762922</v>
      </c>
      <c r="K278" s="2">
        <f t="shared" si="219"/>
        <v>0.61197615885237078</v>
      </c>
      <c r="L278" s="2">
        <f t="shared" si="220"/>
        <v>0.25951377499117689</v>
      </c>
      <c r="M278" s="2">
        <f t="shared" si="221"/>
        <v>0.10069753180279802</v>
      </c>
      <c r="N278" s="2">
        <f t="shared" si="222"/>
        <v>9.9307299999999969</v>
      </c>
      <c r="O278" s="2">
        <v>21</v>
      </c>
      <c r="P278">
        <f t="shared" si="223"/>
        <v>5.4497892748147141</v>
      </c>
      <c r="S278" s="2"/>
      <c r="W278" s="2"/>
      <c r="X278" s="2"/>
      <c r="Y278" s="2"/>
      <c r="Z278" s="2"/>
      <c r="AA278" s="2"/>
      <c r="AB278" s="2"/>
      <c r="AC278" s="2"/>
      <c r="AD278" s="2"/>
      <c r="AE278" s="2"/>
      <c r="AF278" s="2"/>
      <c r="AG278" s="2"/>
      <c r="AH278" s="2"/>
      <c r="AI278" s="2"/>
      <c r="AJ278" s="2"/>
      <c r="AK278" s="2"/>
      <c r="AL278" s="2"/>
    </row>
    <row r="279" spans="3:38" x14ac:dyDescent="0.35">
      <c r="C279" s="261" t="s">
        <v>32</v>
      </c>
      <c r="D279" s="263">
        <v>12</v>
      </c>
      <c r="F279" s="13">
        <v>110.16118</v>
      </c>
      <c r="G279" s="2">
        <v>114.01442</v>
      </c>
      <c r="H279" s="2">
        <f t="shared" si="216"/>
        <v>3.8532399999999996</v>
      </c>
      <c r="I279" s="2">
        <f t="shared" si="217"/>
        <v>37.536000000000001</v>
      </c>
      <c r="J279" s="2">
        <f t="shared" si="218"/>
        <v>9.3097626339599365E-2</v>
      </c>
      <c r="K279" s="2">
        <f t="shared" si="219"/>
        <v>0.90690237366040061</v>
      </c>
      <c r="L279" s="2">
        <f t="shared" si="220"/>
        <v>0.25952185693079072</v>
      </c>
      <c r="M279" s="2">
        <f t="shared" si="221"/>
        <v>2.416086886350172E-2</v>
      </c>
      <c r="N279" s="2">
        <f t="shared" si="222"/>
        <v>41.389240000000001</v>
      </c>
      <c r="O279" s="2">
        <v>20</v>
      </c>
      <c r="P279">
        <f t="shared" si="223"/>
        <v>5.190437138615815</v>
      </c>
      <c r="S279" s="2"/>
      <c r="W279" s="2"/>
      <c r="X279" s="2"/>
      <c r="Y279" s="2"/>
      <c r="Z279" s="2"/>
      <c r="AA279" s="2"/>
      <c r="AB279" s="2"/>
      <c r="AC279" s="2"/>
      <c r="AD279" s="2"/>
      <c r="AE279" s="2"/>
      <c r="AF279" s="2"/>
      <c r="AG279" s="2"/>
      <c r="AH279" s="2"/>
      <c r="AI279" s="2"/>
      <c r="AJ279" s="2"/>
      <c r="AK279" s="2"/>
      <c r="AL279" s="2"/>
    </row>
    <row r="280" spans="3:38" x14ac:dyDescent="0.35">
      <c r="C280" s="261" t="s">
        <v>32</v>
      </c>
      <c r="D280" s="155">
        <v>0</v>
      </c>
      <c r="F280" s="13">
        <v>151.55042</v>
      </c>
      <c r="G280" s="2">
        <v>153.61574999999999</v>
      </c>
      <c r="H280" s="2">
        <f t="shared" si="216"/>
        <v>2.0653299999999888</v>
      </c>
      <c r="I280" s="2">
        <f t="shared" si="217"/>
        <v>10.80277000000001</v>
      </c>
      <c r="J280" s="2">
        <f t="shared" si="218"/>
        <v>0.16049999611442164</v>
      </c>
      <c r="K280" s="2">
        <f t="shared" si="219"/>
        <v>0.83950000388557833</v>
      </c>
      <c r="L280" s="2">
        <f t="shared" si="220"/>
        <v>0.48418412553926271</v>
      </c>
      <c r="M280" s="2">
        <f t="shared" si="221"/>
        <v>7.7711550267716298E-2</v>
      </c>
      <c r="N280" s="2">
        <f t="shared" si="222"/>
        <v>12.868099999999998</v>
      </c>
      <c r="O280" s="2">
        <v>13</v>
      </c>
      <c r="P280">
        <f t="shared" si="223"/>
        <v>6.294393632010415</v>
      </c>
      <c r="R280" t="s">
        <v>520</v>
      </c>
      <c r="S280" s="2"/>
      <c r="W280" s="2"/>
      <c r="X280" s="2"/>
      <c r="Y280" s="2"/>
      <c r="Z280" s="2"/>
      <c r="AA280" s="2"/>
      <c r="AB280" s="2"/>
      <c r="AC280" s="2"/>
      <c r="AD280" s="2"/>
      <c r="AE280" s="2"/>
      <c r="AF280" s="2"/>
      <c r="AG280" s="2"/>
      <c r="AH280" s="2"/>
      <c r="AI280" s="2"/>
      <c r="AJ280" s="2"/>
      <c r="AK280" s="2"/>
      <c r="AL280" s="2"/>
    </row>
    <row r="281" spans="3:38" x14ac:dyDescent="0.35">
      <c r="C281" s="261" t="s">
        <v>32</v>
      </c>
      <c r="D281" s="155">
        <v>0</v>
      </c>
      <c r="F281" s="13">
        <v>164.41852</v>
      </c>
      <c r="G281" s="2">
        <v>167.2199</v>
      </c>
      <c r="H281" s="2">
        <f t="shared" si="216"/>
        <v>2.8013799999999947</v>
      </c>
      <c r="I281" s="2">
        <f t="shared" si="217"/>
        <v>13.11112</v>
      </c>
      <c r="J281" s="2">
        <f t="shared" si="218"/>
        <v>0.17604901806755668</v>
      </c>
      <c r="K281" s="2">
        <f t="shared" si="219"/>
        <v>0.82395098193244332</v>
      </c>
      <c r="L281" s="2">
        <f t="shared" si="220"/>
        <v>0.3569669234448743</v>
      </c>
      <c r="M281" s="2">
        <f t="shared" si="221"/>
        <v>6.2843676355066797E-2</v>
      </c>
      <c r="N281" s="2">
        <f t="shared" si="222"/>
        <v>15.912499999999994</v>
      </c>
      <c r="O281" s="2">
        <v>14</v>
      </c>
      <c r="P281">
        <f t="shared" si="223"/>
        <v>4.9975369282282402</v>
      </c>
      <c r="R281" s="2"/>
      <c r="S281" s="2"/>
      <c r="W281" s="2"/>
      <c r="X281" s="2"/>
      <c r="Y281" s="2"/>
      <c r="Z281" s="2"/>
      <c r="AA281" s="2"/>
      <c r="AB281" s="2"/>
      <c r="AC281" s="2"/>
      <c r="AD281" s="2"/>
      <c r="AE281" s="2"/>
      <c r="AF281" s="2"/>
      <c r="AG281" s="2"/>
      <c r="AH281" s="2"/>
      <c r="AI281" s="2"/>
      <c r="AJ281" s="2"/>
      <c r="AK281" s="2"/>
      <c r="AL281" s="2"/>
    </row>
    <row r="282" spans="3:38" x14ac:dyDescent="0.35">
      <c r="C282" s="261" t="s">
        <v>32</v>
      </c>
      <c r="D282" s="155">
        <v>0</v>
      </c>
      <c r="F282" s="13">
        <v>180.33102</v>
      </c>
      <c r="G282" s="2">
        <v>182.79528999999999</v>
      </c>
      <c r="H282" s="2">
        <f t="shared" si="216"/>
        <v>2.4642699999999991</v>
      </c>
      <c r="I282" s="2">
        <f t="shared" si="217"/>
        <v>12.022330000000011</v>
      </c>
      <c r="J282" s="2">
        <f t="shared" si="218"/>
        <v>0.17010685737163983</v>
      </c>
      <c r="K282" s="2">
        <f t="shared" si="219"/>
        <v>0.82989314262836023</v>
      </c>
      <c r="L282" s="2">
        <f t="shared" si="220"/>
        <v>0.40579968915743825</v>
      </c>
      <c r="M282" s="2">
        <f t="shared" si="221"/>
        <v>6.9029309844960127E-2</v>
      </c>
      <c r="N282" s="2">
        <f t="shared" si="222"/>
        <v>14.48660000000001</v>
      </c>
      <c r="O282" s="2">
        <v>13</v>
      </c>
      <c r="P282">
        <f t="shared" si="223"/>
        <v>5.2753959590466977</v>
      </c>
      <c r="S282" s="2"/>
      <c r="W282" s="2"/>
      <c r="X282" s="2"/>
      <c r="Y282" s="2"/>
      <c r="Z282" s="2"/>
      <c r="AA282" s="2"/>
      <c r="AB282" s="2"/>
      <c r="AC282" s="2"/>
      <c r="AD282" s="2"/>
      <c r="AE282" s="2"/>
      <c r="AF282" s="2"/>
      <c r="AG282" s="2"/>
      <c r="AH282" s="2"/>
      <c r="AI282" s="2"/>
      <c r="AJ282" s="2"/>
      <c r="AK282" s="2"/>
      <c r="AL282" s="2"/>
    </row>
    <row r="283" spans="3:38" x14ac:dyDescent="0.35">
      <c r="C283" s="261" t="s">
        <v>32</v>
      </c>
      <c r="D283" s="155">
        <v>0</v>
      </c>
      <c r="F283" s="13">
        <v>194.81762000000001</v>
      </c>
      <c r="G283" s="2">
        <v>197.35162</v>
      </c>
      <c r="H283" s="2">
        <f t="shared" si="216"/>
        <v>2.5339999999999918</v>
      </c>
      <c r="I283" s="2">
        <f t="shared" si="217"/>
        <v>9.0802300000000002</v>
      </c>
      <c r="J283" s="2">
        <f t="shared" si="218"/>
        <v>0.21818062841875815</v>
      </c>
      <c r="K283" s="2">
        <f t="shared" si="219"/>
        <v>0.78181937158124182</v>
      </c>
      <c r="L283" s="2">
        <f t="shared" si="220"/>
        <v>0.39463299131807544</v>
      </c>
      <c r="M283" s="2">
        <f t="shared" si="221"/>
        <v>8.6101274040552039E-2</v>
      </c>
      <c r="N283" s="2">
        <f t="shared" si="222"/>
        <v>11.614229999999992</v>
      </c>
      <c r="O283" s="2">
        <v>15</v>
      </c>
      <c r="P283">
        <f t="shared" si="223"/>
        <v>5.9194948697711318</v>
      </c>
      <c r="S283" s="2"/>
      <c r="W283" s="2"/>
      <c r="X283" s="2"/>
      <c r="Y283" s="2"/>
      <c r="Z283" s="2"/>
      <c r="AA283" s="2"/>
      <c r="AB283" s="2"/>
      <c r="AC283" s="2"/>
      <c r="AD283" s="2"/>
      <c r="AE283" s="2"/>
      <c r="AF283" s="2"/>
      <c r="AG283" s="2"/>
      <c r="AH283" s="2"/>
      <c r="AI283" s="2"/>
      <c r="AJ283" s="2"/>
      <c r="AK283" s="2"/>
      <c r="AL283" s="2"/>
    </row>
    <row r="284" spans="3:38" x14ac:dyDescent="0.35">
      <c r="C284" s="261" t="s">
        <v>32</v>
      </c>
      <c r="D284" s="155">
        <v>0</v>
      </c>
      <c r="F284" s="13">
        <v>206.43185</v>
      </c>
      <c r="G284" s="13">
        <v>208.73777000000001</v>
      </c>
      <c r="H284" s="2">
        <f t="shared" si="216"/>
        <v>2.3059200000000146</v>
      </c>
      <c r="I284" s="2">
        <f t="shared" si="217"/>
        <v>10.782749999999993</v>
      </c>
      <c r="J284" s="2">
        <f t="shared" si="218"/>
        <v>0.17617680024020876</v>
      </c>
      <c r="K284" s="2">
        <f t="shared" si="219"/>
        <v>0.82382319975979124</v>
      </c>
      <c r="L284" s="2">
        <f t="shared" si="220"/>
        <v>0.43366638912017486</v>
      </c>
      <c r="M284" s="2">
        <f t="shared" si="221"/>
        <v>7.6401956806917692E-2</v>
      </c>
      <c r="N284" s="2">
        <f t="shared" si="222"/>
        <v>13.088670000000008</v>
      </c>
      <c r="O284" s="2">
        <v>13</v>
      </c>
      <c r="P284">
        <f t="shared" si="223"/>
        <v>5.6376630585622731</v>
      </c>
      <c r="S284" s="2"/>
      <c r="W284" s="2"/>
      <c r="X284" s="2"/>
      <c r="Y284" s="2"/>
      <c r="Z284" s="2"/>
      <c r="AA284" s="2"/>
      <c r="AB284" s="2"/>
      <c r="AC284" s="2"/>
      <c r="AD284" s="2"/>
      <c r="AE284" s="2"/>
      <c r="AF284" s="2"/>
      <c r="AG284" s="2"/>
      <c r="AH284" s="2"/>
      <c r="AI284" s="2"/>
      <c r="AJ284" s="2"/>
      <c r="AK284" s="2"/>
      <c r="AL284" s="2"/>
    </row>
    <row r="285" spans="3:38" x14ac:dyDescent="0.35">
      <c r="C285" s="261" t="s">
        <v>326</v>
      </c>
      <c r="D285" s="155">
        <v>0</v>
      </c>
      <c r="F285" s="13">
        <v>219.52052</v>
      </c>
      <c r="G285" s="13">
        <v>221.31469999999999</v>
      </c>
      <c r="H285" s="2">
        <f t="shared" si="216"/>
        <v>1.794179999999983</v>
      </c>
      <c r="I285" s="2">
        <f t="shared" si="217"/>
        <v>16.004950000000008</v>
      </c>
      <c r="J285" s="2">
        <f t="shared" si="218"/>
        <v>0.10080155603110848</v>
      </c>
      <c r="K285" s="2">
        <f t="shared" si="219"/>
        <v>0.89919844396889148</v>
      </c>
      <c r="L285" s="2">
        <f t="shared" si="220"/>
        <v>0.55735767871674491</v>
      </c>
      <c r="M285" s="2">
        <f t="shared" si="221"/>
        <v>5.6182521280534525E-2</v>
      </c>
      <c r="N285" s="2">
        <f t="shared" si="222"/>
        <v>17.799129999999991</v>
      </c>
      <c r="O285" s="2">
        <v>11</v>
      </c>
      <c r="P285">
        <f t="shared" si="223"/>
        <v>6.1309344658841942</v>
      </c>
      <c r="S285" s="2"/>
      <c r="W285" s="2"/>
      <c r="X285" s="2"/>
      <c r="Y285" s="2"/>
      <c r="Z285" s="2"/>
      <c r="AA285" s="2"/>
      <c r="AB285" s="2"/>
      <c r="AC285" s="2"/>
      <c r="AD285" s="2"/>
      <c r="AE285" s="2"/>
      <c r="AF285" s="2"/>
      <c r="AG285" s="2"/>
      <c r="AH285" s="2"/>
      <c r="AI285" s="2"/>
      <c r="AJ285" s="2"/>
      <c r="AK285" s="2"/>
      <c r="AL285" s="2"/>
    </row>
    <row r="286" spans="3:38" x14ac:dyDescent="0.35">
      <c r="D286" s="155">
        <v>0</v>
      </c>
      <c r="F286" s="13">
        <v>237.31965</v>
      </c>
      <c r="G286" s="13">
        <v>239.59210999999999</v>
      </c>
      <c r="H286" s="2">
        <f t="shared" si="216"/>
        <v>2.2724599999999953</v>
      </c>
      <c r="I286" s="2"/>
      <c r="J286" s="2"/>
      <c r="K286" s="2"/>
      <c r="L286" s="2"/>
      <c r="M286" s="2"/>
      <c r="N286" s="2"/>
      <c r="O286" s="2"/>
      <c r="S286" s="2"/>
      <c r="W286" s="2"/>
      <c r="X286" s="2"/>
      <c r="Y286" s="2"/>
      <c r="Z286" s="2"/>
      <c r="AA286" s="2"/>
      <c r="AB286" s="2"/>
      <c r="AC286" s="2"/>
      <c r="AD286" s="2"/>
      <c r="AE286" s="2"/>
      <c r="AF286" s="2"/>
      <c r="AG286" s="2"/>
      <c r="AH286" s="2"/>
      <c r="AI286" s="2"/>
      <c r="AJ286" s="2"/>
      <c r="AK286" s="2"/>
      <c r="AL286" s="2"/>
    </row>
    <row r="287" spans="3:38" x14ac:dyDescent="0.35">
      <c r="D287" s="155"/>
      <c r="F287" s="13"/>
      <c r="G287" s="13"/>
      <c r="H287" s="2"/>
      <c r="I287" s="2"/>
      <c r="J287" s="2"/>
      <c r="K287" s="2"/>
      <c r="L287" s="2"/>
      <c r="M287" s="2"/>
      <c r="N287" s="2"/>
      <c r="O287" s="2"/>
      <c r="S287" s="2"/>
      <c r="W287" s="2"/>
      <c r="X287" s="2"/>
      <c r="Y287" s="2"/>
      <c r="Z287" s="2"/>
      <c r="AA287" s="2"/>
      <c r="AB287" s="2"/>
      <c r="AC287" s="2"/>
      <c r="AD287" s="2"/>
      <c r="AE287" s="2"/>
      <c r="AF287" s="2"/>
      <c r="AG287" s="2"/>
      <c r="AH287" s="2"/>
      <c r="AI287" s="2"/>
      <c r="AJ287" s="2"/>
      <c r="AK287" s="2"/>
      <c r="AL287" s="2"/>
    </row>
    <row r="288" spans="3:38" x14ac:dyDescent="0.35">
      <c r="F288" s="13"/>
      <c r="G288" s="13"/>
      <c r="H288" s="2"/>
      <c r="I288" s="2"/>
      <c r="J288" s="2"/>
      <c r="K288" s="2"/>
      <c r="L288" s="2"/>
      <c r="M288" s="2"/>
      <c r="N288" s="2"/>
      <c r="O288" s="2"/>
      <c r="W288" s="2"/>
      <c r="X288" s="2"/>
      <c r="Y288" s="2"/>
      <c r="Z288" s="2"/>
      <c r="AA288" s="2"/>
      <c r="AB288" s="2"/>
      <c r="AC288" s="2"/>
      <c r="AD288" s="2"/>
      <c r="AE288" s="2"/>
      <c r="AF288" s="2"/>
      <c r="AG288" s="2"/>
      <c r="AH288" s="2"/>
      <c r="AI288" s="2"/>
      <c r="AJ288" s="2"/>
      <c r="AK288" s="2"/>
      <c r="AL288" s="2"/>
    </row>
    <row r="289" spans="5:38" x14ac:dyDescent="0.35">
      <c r="F289" s="13"/>
      <c r="W289" s="2"/>
      <c r="X289" s="2"/>
      <c r="Y289" s="2"/>
      <c r="Z289" s="2"/>
      <c r="AA289" s="2"/>
      <c r="AB289" s="2"/>
      <c r="AC289" s="2"/>
      <c r="AD289" s="2"/>
      <c r="AE289" s="2"/>
      <c r="AF289" s="2"/>
      <c r="AG289" s="2"/>
      <c r="AH289" s="2"/>
      <c r="AI289" s="2"/>
      <c r="AJ289" s="2"/>
      <c r="AK289" s="2"/>
      <c r="AL289" s="2"/>
    </row>
    <row r="290" spans="5:38" ht="16" thickBot="1" x14ac:dyDescent="0.4">
      <c r="F290" s="13"/>
      <c r="G290" s="13"/>
      <c r="H290" s="9" t="s">
        <v>3</v>
      </c>
      <c r="I290" s="9" t="s">
        <v>4</v>
      </c>
      <c r="J290" s="9" t="s">
        <v>5</v>
      </c>
      <c r="K290" s="9" t="s">
        <v>6</v>
      </c>
      <c r="L290" s="9" t="s">
        <v>7</v>
      </c>
      <c r="M290" s="9" t="s">
        <v>8</v>
      </c>
      <c r="N290" s="9" t="s">
        <v>9</v>
      </c>
      <c r="O290" s="9" t="s">
        <v>10</v>
      </c>
      <c r="P290" s="44" t="s">
        <v>139</v>
      </c>
      <c r="W290" s="2"/>
      <c r="X290" s="2"/>
      <c r="Y290" s="2"/>
      <c r="Z290" s="2"/>
      <c r="AA290" s="2"/>
      <c r="AB290" s="2"/>
      <c r="AC290" s="2"/>
      <c r="AD290" s="2"/>
      <c r="AE290" s="2"/>
      <c r="AF290" s="2"/>
      <c r="AG290" s="2"/>
      <c r="AH290" s="2"/>
      <c r="AI290" s="2"/>
      <c r="AJ290" s="2"/>
      <c r="AK290" s="2"/>
      <c r="AL290" s="2"/>
    </row>
    <row r="291" spans="5:38" x14ac:dyDescent="0.35">
      <c r="E291" s="104" t="s">
        <v>419</v>
      </c>
      <c r="F291" s="13"/>
      <c r="G291" s="49" t="s">
        <v>77</v>
      </c>
      <c r="H291" s="13">
        <f t="shared" ref="H291:P291" si="224">AVERAGE(H269:H279)</f>
        <v>3.8858618181818176</v>
      </c>
      <c r="I291" s="13">
        <f t="shared" si="224"/>
        <v>9.8907118181818188</v>
      </c>
      <c r="J291" s="13">
        <f t="shared" si="224"/>
        <v>0.32898127076653161</v>
      </c>
      <c r="K291" s="13">
        <f t="shared" si="224"/>
        <v>0.67101872923346839</v>
      </c>
      <c r="L291" s="13">
        <f t="shared" si="224"/>
        <v>0.26204805560785682</v>
      </c>
      <c r="M291" s="13">
        <f t="shared" si="224"/>
        <v>8.5175427423556049E-2</v>
      </c>
      <c r="N291" s="13">
        <f t="shared" si="224"/>
        <v>13.776573636363635</v>
      </c>
      <c r="O291" s="13">
        <f t="shared" si="224"/>
        <v>21.90909090909091</v>
      </c>
      <c r="P291" s="13">
        <f t="shared" si="224"/>
        <v>5.6388023320603464</v>
      </c>
      <c r="W291" s="2"/>
      <c r="X291" s="2"/>
      <c r="Y291" s="2"/>
      <c r="Z291" s="2"/>
      <c r="AA291" s="2"/>
      <c r="AB291" s="2"/>
      <c r="AC291" s="2"/>
      <c r="AD291" s="2"/>
      <c r="AE291" s="2"/>
      <c r="AF291" s="2"/>
      <c r="AG291" s="2"/>
      <c r="AH291" s="2"/>
      <c r="AI291" s="2"/>
      <c r="AJ291" s="2"/>
      <c r="AK291" s="2"/>
      <c r="AL291" s="2"/>
    </row>
    <row r="292" spans="5:38" x14ac:dyDescent="0.35">
      <c r="E292" s="104"/>
      <c r="F292" s="13"/>
      <c r="G292" s="49" t="s">
        <v>94</v>
      </c>
      <c r="H292" s="2">
        <f t="shared" ref="H292:P292" si="225">_xlfn.STDEV.S(H269:H279)</f>
        <v>0.50025463645663959</v>
      </c>
      <c r="I292" s="2">
        <f t="shared" si="225"/>
        <v>9.1863350148988356</v>
      </c>
      <c r="J292" s="2">
        <f t="shared" si="225"/>
        <v>8.5761478496255622E-2</v>
      </c>
      <c r="K292" s="2">
        <f t="shared" si="225"/>
        <v>8.5761478496255872E-2</v>
      </c>
      <c r="L292" s="2">
        <f t="shared" si="225"/>
        <v>4.0610918135848523E-2</v>
      </c>
      <c r="M292" s="2">
        <f t="shared" si="225"/>
        <v>2.1356948177256772E-2</v>
      </c>
      <c r="N292" s="2">
        <f t="shared" si="225"/>
        <v>9.1927443668093733</v>
      </c>
      <c r="O292" s="2">
        <f t="shared" si="225"/>
        <v>3.3898243451407772</v>
      </c>
      <c r="P292" s="2">
        <f t="shared" si="225"/>
        <v>0.48817137884914241</v>
      </c>
      <c r="W292" s="2"/>
      <c r="X292" s="2"/>
      <c r="Y292" s="2"/>
      <c r="Z292" s="2"/>
      <c r="AA292" s="2"/>
      <c r="AB292" s="2"/>
      <c r="AC292" s="2"/>
      <c r="AD292" s="2"/>
      <c r="AE292" s="2"/>
      <c r="AF292" s="2"/>
      <c r="AG292" s="2"/>
      <c r="AH292" s="2"/>
      <c r="AI292" s="2"/>
      <c r="AJ292" s="2"/>
      <c r="AK292" s="2"/>
      <c r="AL292" s="2"/>
    </row>
    <row r="293" spans="5:38" x14ac:dyDescent="0.35">
      <c r="E293" s="104"/>
      <c r="F293" s="13"/>
      <c r="G293" s="49" t="s">
        <v>95</v>
      </c>
      <c r="H293" s="2">
        <f t="shared" ref="H293:P293" si="226">H292/(SQRT(COUNT(H269:H279)))</f>
        <v>0.15083244806930174</v>
      </c>
      <c r="I293" s="2">
        <f t="shared" si="226"/>
        <v>2.7697842220839384</v>
      </c>
      <c r="J293" s="2">
        <f t="shared" si="226"/>
        <v>2.5858058694382995E-2</v>
      </c>
      <c r="K293" s="2">
        <f t="shared" si="226"/>
        <v>2.5858058694383068E-2</v>
      </c>
      <c r="L293" s="2">
        <f t="shared" si="226"/>
        <v>1.2244652531677174E-2</v>
      </c>
      <c r="M293" s="2">
        <f t="shared" si="226"/>
        <v>6.4393621610023075E-3</v>
      </c>
      <c r="N293" s="2">
        <f t="shared" si="226"/>
        <v>2.7717167143963564</v>
      </c>
      <c r="O293" s="2">
        <f t="shared" si="226"/>
        <v>1.0220704961858329</v>
      </c>
      <c r="P293" s="2">
        <f t="shared" si="226"/>
        <v>0.14718920882118577</v>
      </c>
      <c r="W293" s="2"/>
      <c r="X293" s="2"/>
      <c r="Y293" s="2"/>
      <c r="Z293" s="2"/>
      <c r="AA293" s="2"/>
      <c r="AB293" s="2"/>
      <c r="AC293" s="2"/>
      <c r="AD293" s="2"/>
      <c r="AE293" s="2"/>
      <c r="AF293" s="2"/>
      <c r="AG293" s="2"/>
      <c r="AH293" s="2"/>
      <c r="AI293" s="2"/>
      <c r="AJ293" s="2"/>
      <c r="AK293" s="2"/>
      <c r="AL293" s="2"/>
    </row>
    <row r="294" spans="5:38" x14ac:dyDescent="0.35">
      <c r="E294" s="104"/>
      <c r="W294" s="2"/>
      <c r="X294" s="2"/>
      <c r="Y294" s="2"/>
      <c r="Z294" s="2"/>
      <c r="AA294" s="2"/>
      <c r="AB294" s="2"/>
      <c r="AC294" s="2"/>
      <c r="AD294" s="2"/>
      <c r="AE294" s="2"/>
      <c r="AF294" s="2"/>
      <c r="AG294" s="2"/>
      <c r="AH294" s="2"/>
      <c r="AI294" s="2"/>
      <c r="AJ294" s="2"/>
      <c r="AK294" s="2"/>
      <c r="AL294" s="2"/>
    </row>
    <row r="295" spans="5:38" x14ac:dyDescent="0.35">
      <c r="E295" s="104"/>
      <c r="W295" s="2"/>
      <c r="X295" s="2"/>
      <c r="Y295" s="2"/>
      <c r="Z295" s="2"/>
      <c r="AA295" s="2"/>
      <c r="AB295" s="2"/>
      <c r="AC295" s="2"/>
      <c r="AD295" s="2"/>
      <c r="AE295" s="2"/>
      <c r="AF295" s="2"/>
      <c r="AG295" s="2"/>
      <c r="AH295" s="2"/>
      <c r="AI295" s="2"/>
      <c r="AJ295" s="2"/>
      <c r="AK295" s="2"/>
      <c r="AL295" s="2"/>
    </row>
    <row r="296" spans="5:38" ht="16" thickBot="1" x14ac:dyDescent="0.4">
      <c r="E296" s="104"/>
      <c r="G296" s="13"/>
      <c r="H296" s="9" t="s">
        <v>3</v>
      </c>
      <c r="I296" s="9" t="s">
        <v>4</v>
      </c>
      <c r="J296" s="9" t="s">
        <v>5</v>
      </c>
      <c r="K296" s="9" t="s">
        <v>6</v>
      </c>
      <c r="L296" s="9" t="s">
        <v>7</v>
      </c>
      <c r="M296" s="9" t="s">
        <v>8</v>
      </c>
      <c r="N296" s="9" t="s">
        <v>9</v>
      </c>
      <c r="O296" s="9" t="s">
        <v>10</v>
      </c>
      <c r="P296" s="44" t="s">
        <v>139</v>
      </c>
      <c r="W296" s="2"/>
      <c r="X296" s="2"/>
      <c r="Y296" s="2"/>
      <c r="Z296" s="2"/>
      <c r="AA296" s="2"/>
      <c r="AB296" s="2"/>
      <c r="AC296" s="2"/>
      <c r="AD296" s="2"/>
      <c r="AE296" s="2"/>
      <c r="AF296" s="2"/>
      <c r="AG296" s="2"/>
      <c r="AH296" s="2"/>
      <c r="AI296" s="2"/>
      <c r="AJ296" s="2"/>
      <c r="AK296" s="2"/>
      <c r="AL296" s="2"/>
    </row>
    <row r="297" spans="5:38" x14ac:dyDescent="0.35">
      <c r="E297" s="104" t="s">
        <v>410</v>
      </c>
      <c r="G297" s="49" t="s">
        <v>77</v>
      </c>
      <c r="H297" s="13">
        <f t="shared" ref="H297:P297" si="227">AVERAGE(H280:H285)</f>
        <v>2.3275133333333287</v>
      </c>
      <c r="I297" s="13">
        <f t="shared" si="227"/>
        <v>11.967358333333337</v>
      </c>
      <c r="J297" s="13">
        <f t="shared" si="227"/>
        <v>0.16696914270728228</v>
      </c>
      <c r="K297" s="13">
        <f t="shared" si="227"/>
        <v>0.83303085729271764</v>
      </c>
      <c r="L297" s="13">
        <f t="shared" si="227"/>
        <v>0.43876796621609504</v>
      </c>
      <c r="M297" s="13">
        <f t="shared" si="227"/>
        <v>7.137838143262458E-2</v>
      </c>
      <c r="N297" s="13">
        <f t="shared" si="227"/>
        <v>14.294871666666666</v>
      </c>
      <c r="O297" s="13">
        <f t="shared" si="227"/>
        <v>13.166666666666666</v>
      </c>
      <c r="P297" s="13">
        <f t="shared" si="227"/>
        <v>5.7092364855838253</v>
      </c>
      <c r="W297" s="2"/>
      <c r="X297" s="2"/>
      <c r="Y297" s="2"/>
      <c r="Z297" s="2"/>
      <c r="AA297" s="2"/>
      <c r="AB297" s="2"/>
      <c r="AC297" s="2"/>
      <c r="AD297" s="2"/>
      <c r="AE297" s="2"/>
      <c r="AF297" s="2"/>
      <c r="AG297" s="2"/>
      <c r="AH297" s="2"/>
      <c r="AI297" s="2"/>
      <c r="AJ297" s="2"/>
      <c r="AK297" s="2"/>
      <c r="AL297" s="2"/>
    </row>
    <row r="298" spans="5:38" x14ac:dyDescent="0.35">
      <c r="G298" s="49" t="s">
        <v>94</v>
      </c>
      <c r="H298" s="2">
        <f t="shared" ref="H298:P298" si="228">_xlfn.STDEV.S(H280:H285)</f>
        <v>0.35764215745164807</v>
      </c>
      <c r="I298" s="2">
        <f t="shared" si="228"/>
        <v>2.3961816293296079</v>
      </c>
      <c r="J298" s="2">
        <f t="shared" si="228"/>
        <v>3.7999173675442581E-2</v>
      </c>
      <c r="K298" s="2">
        <f t="shared" si="228"/>
        <v>3.7999173675442699E-2</v>
      </c>
      <c r="L298" s="2">
        <f t="shared" si="228"/>
        <v>7.194218154524426E-2</v>
      </c>
      <c r="M298" s="2">
        <f t="shared" si="228"/>
        <v>1.0875499047182073E-2</v>
      </c>
      <c r="N298" s="2">
        <f t="shared" si="228"/>
        <v>2.2631724300142615</v>
      </c>
      <c r="O298" s="2">
        <f t="shared" si="228"/>
        <v>1.3291601358251257</v>
      </c>
      <c r="P298" s="2">
        <f t="shared" si="228"/>
        <v>0.5028525188534575</v>
      </c>
      <c r="W298" s="2"/>
      <c r="X298" s="2"/>
      <c r="Y298" s="2"/>
      <c r="Z298" s="2"/>
      <c r="AA298" s="2"/>
      <c r="AB298" s="2"/>
      <c r="AC298" s="2"/>
      <c r="AD298" s="2"/>
      <c r="AE298" s="2"/>
      <c r="AF298" s="2"/>
      <c r="AG298" s="2"/>
      <c r="AH298" s="2"/>
      <c r="AI298" s="2"/>
      <c r="AJ298" s="2"/>
      <c r="AK298" s="2"/>
      <c r="AL298" s="2"/>
    </row>
    <row r="299" spans="5:38" x14ac:dyDescent="0.35">
      <c r="G299" s="49" t="s">
        <v>95</v>
      </c>
      <c r="H299" s="2">
        <f t="shared" ref="H299:P299" si="229">H298/(SQRT(COUNT(H280:H285)))</f>
        <v>0.14600679937744307</v>
      </c>
      <c r="I299" s="2">
        <f t="shared" si="229"/>
        <v>0.97823705381472636</v>
      </c>
      <c r="J299" s="2">
        <f t="shared" si="229"/>
        <v>1.5513097692038862E-2</v>
      </c>
      <c r="K299" s="2">
        <f t="shared" si="229"/>
        <v>1.5513097692038909E-2</v>
      </c>
      <c r="L299" s="2">
        <f t="shared" si="229"/>
        <v>2.9370272628086846E-2</v>
      </c>
      <c r="M299" s="2">
        <f t="shared" si="229"/>
        <v>4.4399038939534523E-3</v>
      </c>
      <c r="N299" s="2">
        <f t="shared" si="229"/>
        <v>0.92393627557826896</v>
      </c>
      <c r="O299" s="2">
        <f t="shared" si="229"/>
        <v>0.54262735320332356</v>
      </c>
      <c r="P299" s="2">
        <f t="shared" si="229"/>
        <v>0.20528868117737148</v>
      </c>
      <c r="W299" s="2"/>
      <c r="X299" s="2"/>
      <c r="Y299" s="2"/>
      <c r="Z299" s="2"/>
      <c r="AA299" s="2"/>
      <c r="AB299" s="2"/>
      <c r="AC299" s="2"/>
      <c r="AD299" s="2"/>
      <c r="AE299" s="2"/>
      <c r="AF299" s="2"/>
      <c r="AG299" s="2"/>
      <c r="AH299" s="2"/>
      <c r="AI299" s="2"/>
      <c r="AJ299" s="2"/>
      <c r="AK299" s="2"/>
      <c r="AL299" s="2"/>
    </row>
    <row r="300" spans="5:38" x14ac:dyDescent="0.35">
      <c r="W300" s="2"/>
      <c r="X300" s="2"/>
      <c r="Y300" s="2"/>
      <c r="Z300" s="2"/>
      <c r="AA300" s="2"/>
      <c r="AB300" s="2"/>
      <c r="AC300" s="2"/>
      <c r="AD300" s="2"/>
      <c r="AE300" s="2"/>
      <c r="AF300" s="2"/>
      <c r="AG300" s="2"/>
      <c r="AH300" s="2"/>
      <c r="AI300" s="2"/>
      <c r="AJ300" s="2"/>
      <c r="AK300" s="2"/>
      <c r="AL300" s="2"/>
    </row>
    <row r="301" spans="5:38" x14ac:dyDescent="0.35">
      <c r="W301" s="2"/>
      <c r="X301" s="2"/>
      <c r="Y301" s="2"/>
      <c r="Z301" s="2"/>
      <c r="AA301" s="2"/>
      <c r="AB301" s="2"/>
      <c r="AC301" s="2"/>
      <c r="AD301" s="2"/>
      <c r="AE301" s="2"/>
      <c r="AF301" s="2"/>
      <c r="AG301" s="2"/>
      <c r="AH301" s="2"/>
      <c r="AI301" s="2"/>
      <c r="AJ301" s="2"/>
      <c r="AK301" s="2"/>
      <c r="AL301" s="2"/>
    </row>
    <row r="302" spans="5:38" x14ac:dyDescent="0.35">
      <c r="W302" s="2"/>
      <c r="X302" s="2"/>
      <c r="Y302" s="2"/>
      <c r="Z302" s="2"/>
      <c r="AA302" s="2"/>
      <c r="AB302" s="2"/>
      <c r="AC302" s="2"/>
      <c r="AD302" s="2"/>
      <c r="AE302" s="2"/>
      <c r="AF302" s="2"/>
      <c r="AG302" s="2"/>
      <c r="AH302" s="2"/>
      <c r="AI302" s="2"/>
      <c r="AJ302" s="2"/>
      <c r="AK302" s="2"/>
      <c r="AL302" s="2"/>
    </row>
    <row r="303" spans="5:38" x14ac:dyDescent="0.35">
      <c r="W303" s="2"/>
      <c r="X303" s="2"/>
      <c r="Y303" s="2"/>
      <c r="Z303" s="2"/>
      <c r="AA303" s="2"/>
      <c r="AB303" s="2"/>
      <c r="AC303" s="2"/>
      <c r="AD303" s="2"/>
      <c r="AE303" s="2"/>
      <c r="AF303" s="2"/>
      <c r="AG303" s="2"/>
      <c r="AH303" s="2"/>
      <c r="AI303" s="2"/>
      <c r="AJ303" s="2"/>
      <c r="AK303" s="2"/>
      <c r="AL303" s="2"/>
    </row>
    <row r="304" spans="5:38" x14ac:dyDescent="0.35">
      <c r="W304" s="2"/>
      <c r="X304" s="2"/>
      <c r="Y304" s="2"/>
      <c r="Z304" s="2"/>
      <c r="AA304" s="2"/>
      <c r="AB304" s="2"/>
      <c r="AC304" s="2"/>
      <c r="AD304" s="2"/>
      <c r="AE304" s="2"/>
      <c r="AF304" s="2"/>
      <c r="AG304" s="2"/>
      <c r="AH304" s="2"/>
      <c r="AI304" s="2"/>
      <c r="AJ304" s="2"/>
      <c r="AK304" s="2"/>
      <c r="AL304" s="2"/>
    </row>
    <row r="305" spans="23:38" x14ac:dyDescent="0.35">
      <c r="W305" s="2"/>
      <c r="X305" s="2"/>
      <c r="Y305" s="2"/>
      <c r="Z305" s="2"/>
      <c r="AA305" s="2"/>
      <c r="AB305" s="2"/>
      <c r="AC305" s="2"/>
      <c r="AD305" s="2"/>
      <c r="AE305" s="2"/>
      <c r="AF305" s="2"/>
      <c r="AG305" s="2"/>
      <c r="AH305" s="2"/>
      <c r="AI305" s="2"/>
      <c r="AJ305" s="2"/>
      <c r="AK305" s="2"/>
      <c r="AL305" s="2"/>
    </row>
    <row r="306" spans="23:38" x14ac:dyDescent="0.35">
      <c r="W306" s="2"/>
      <c r="X306" s="2"/>
      <c r="Y306" s="2"/>
      <c r="Z306" s="2"/>
      <c r="AA306" s="2"/>
      <c r="AB306" s="2"/>
      <c r="AC306" s="2"/>
      <c r="AD306" s="2"/>
      <c r="AE306" s="2"/>
      <c r="AF306" s="2"/>
      <c r="AG306" s="2"/>
      <c r="AH306" s="2"/>
      <c r="AI306" s="2"/>
      <c r="AJ306" s="2"/>
      <c r="AK306" s="2"/>
      <c r="AL306" s="2"/>
    </row>
    <row r="307" spans="23:38" x14ac:dyDescent="0.35">
      <c r="W307" s="2"/>
      <c r="X307" s="2"/>
      <c r="Y307" s="2"/>
      <c r="Z307" s="2"/>
      <c r="AA307" s="2"/>
      <c r="AB307" s="2"/>
      <c r="AC307" s="2"/>
      <c r="AD307" s="2"/>
      <c r="AE307" s="2"/>
      <c r="AF307" s="2"/>
      <c r="AG307" s="2"/>
      <c r="AH307" s="2"/>
      <c r="AI307" s="2"/>
      <c r="AJ307" s="2"/>
      <c r="AK307" s="2"/>
      <c r="AL307" s="2"/>
    </row>
    <row r="308" spans="23:38" x14ac:dyDescent="0.35">
      <c r="W308" s="2"/>
      <c r="X308" s="2"/>
      <c r="Y308" s="2"/>
      <c r="Z308" s="2"/>
      <c r="AA308" s="2"/>
      <c r="AB308" s="2"/>
      <c r="AC308" s="2"/>
      <c r="AD308" s="2"/>
      <c r="AE308" s="2"/>
      <c r="AF308" s="2"/>
      <c r="AG308" s="2"/>
      <c r="AH308" s="2"/>
      <c r="AI308" s="2"/>
      <c r="AJ308" s="2"/>
      <c r="AK308" s="2"/>
      <c r="AL308" s="2"/>
    </row>
    <row r="309" spans="23:38" x14ac:dyDescent="0.35">
      <c r="W309" s="2"/>
      <c r="X309" s="2"/>
      <c r="Y309" s="2"/>
      <c r="Z309" s="2"/>
      <c r="AA309" s="2"/>
      <c r="AB309" s="2"/>
      <c r="AC309" s="2"/>
      <c r="AD309" s="2"/>
      <c r="AE309" s="2"/>
      <c r="AF309" s="2"/>
      <c r="AG309" s="2"/>
      <c r="AH309" s="2"/>
      <c r="AI309" s="2"/>
      <c r="AJ309" s="2"/>
      <c r="AK309" s="2"/>
      <c r="AL309" s="2"/>
    </row>
    <row r="310" spans="23:38" x14ac:dyDescent="0.35">
      <c r="W310" s="2"/>
      <c r="X310" s="2"/>
      <c r="Y310" s="2"/>
      <c r="Z310" s="2"/>
      <c r="AA310" s="2"/>
      <c r="AB310" s="2"/>
      <c r="AC310" s="2"/>
      <c r="AD310" s="2"/>
      <c r="AE310" s="2"/>
      <c r="AF310" s="2"/>
      <c r="AG310" s="2"/>
      <c r="AH310" s="2"/>
      <c r="AI310" s="2"/>
      <c r="AJ310" s="2"/>
      <c r="AK310" s="2"/>
      <c r="AL310" s="2"/>
    </row>
    <row r="311" spans="23:38" x14ac:dyDescent="0.35">
      <c r="W311" s="2"/>
      <c r="X311" s="2"/>
      <c r="Y311" s="2"/>
      <c r="Z311" s="2"/>
      <c r="AA311" s="2"/>
      <c r="AB311" s="2"/>
      <c r="AC311" s="2"/>
      <c r="AD311" s="2"/>
      <c r="AE311" s="2"/>
      <c r="AF311" s="2"/>
      <c r="AG311" s="2"/>
      <c r="AH311" s="2"/>
      <c r="AI311" s="2"/>
      <c r="AJ311" s="2"/>
      <c r="AK311" s="2"/>
      <c r="AL311" s="2"/>
    </row>
    <row r="312" spans="23:38" x14ac:dyDescent="0.35">
      <c r="W312" s="2"/>
      <c r="X312" s="2"/>
      <c r="Y312" s="2"/>
      <c r="Z312" s="2"/>
      <c r="AA312" s="2"/>
      <c r="AB312" s="2"/>
      <c r="AC312" s="2"/>
      <c r="AD312" s="2"/>
      <c r="AE312" s="2"/>
      <c r="AF312" s="2"/>
      <c r="AG312" s="2"/>
      <c r="AH312" s="2"/>
      <c r="AI312" s="2"/>
      <c r="AJ312" s="2"/>
      <c r="AK312" s="2"/>
      <c r="AL312" s="2"/>
    </row>
    <row r="313" spans="23:38" x14ac:dyDescent="0.35">
      <c r="W313" s="2"/>
      <c r="X313" s="2"/>
      <c r="Y313" s="2"/>
      <c r="Z313" s="2"/>
      <c r="AA313" s="2"/>
      <c r="AB313" s="2"/>
      <c r="AC313" s="2"/>
      <c r="AD313" s="2"/>
      <c r="AE313" s="2"/>
      <c r="AF313" s="2"/>
      <c r="AG313" s="2"/>
      <c r="AH313" s="2"/>
      <c r="AI313" s="2"/>
      <c r="AJ313" s="2"/>
      <c r="AK313" s="2"/>
      <c r="AL313" s="2"/>
    </row>
    <row r="314" spans="23:38" x14ac:dyDescent="0.35">
      <c r="W314" s="2"/>
      <c r="X314" s="2"/>
      <c r="Y314" s="2"/>
      <c r="Z314" s="2"/>
      <c r="AA314" s="2"/>
      <c r="AB314" s="2"/>
      <c r="AC314" s="2"/>
      <c r="AD314" s="2"/>
      <c r="AE314" s="2"/>
      <c r="AF314" s="2"/>
      <c r="AG314" s="2"/>
      <c r="AH314" s="2"/>
      <c r="AI314" s="2"/>
      <c r="AJ314" s="2"/>
      <c r="AK314" s="2"/>
      <c r="AL314" s="2"/>
    </row>
    <row r="315" spans="23:38" x14ac:dyDescent="0.35">
      <c r="W315" s="2"/>
      <c r="X315" s="2"/>
      <c r="Y315" s="2"/>
      <c r="Z315" s="2"/>
      <c r="AA315" s="2"/>
      <c r="AB315" s="2"/>
      <c r="AC315" s="2"/>
      <c r="AD315" s="2"/>
      <c r="AE315" s="2"/>
      <c r="AF315" s="2"/>
      <c r="AG315" s="2"/>
      <c r="AH315" s="2"/>
      <c r="AI315" s="2"/>
      <c r="AJ315" s="2"/>
      <c r="AK315" s="2"/>
      <c r="AL315" s="2"/>
    </row>
    <row r="316" spans="23:38" x14ac:dyDescent="0.35">
      <c r="W316" s="2"/>
      <c r="X316" s="2"/>
      <c r="Y316" s="2"/>
      <c r="Z316" s="2"/>
      <c r="AA316" s="2"/>
      <c r="AB316" s="2"/>
      <c r="AC316" s="2"/>
      <c r="AD316" s="2"/>
      <c r="AE316" s="2"/>
      <c r="AF316" s="2"/>
      <c r="AG316" s="2"/>
      <c r="AH316" s="2"/>
      <c r="AI316" s="2"/>
      <c r="AJ316" s="2"/>
      <c r="AK316" s="2"/>
      <c r="AL316" s="2"/>
    </row>
    <row r="317" spans="23:38" x14ac:dyDescent="0.35">
      <c r="W317" s="2"/>
      <c r="X317" s="2"/>
      <c r="Y317" s="2"/>
      <c r="Z317" s="2"/>
      <c r="AA317" s="2"/>
      <c r="AB317" s="2"/>
      <c r="AC317" s="2"/>
      <c r="AD317" s="2"/>
      <c r="AE317" s="2"/>
      <c r="AF317" s="2"/>
      <c r="AG317" s="2"/>
      <c r="AH317" s="2"/>
      <c r="AI317" s="2"/>
      <c r="AJ317" s="2"/>
      <c r="AK317" s="2"/>
      <c r="AL317" s="2"/>
    </row>
    <row r="318" spans="23:38" x14ac:dyDescent="0.35">
      <c r="W318" s="2"/>
      <c r="X318" s="2"/>
      <c r="Y318" s="2"/>
      <c r="Z318" s="2"/>
      <c r="AA318" s="2"/>
      <c r="AB318" s="2"/>
      <c r="AC318" s="2"/>
      <c r="AD318" s="2"/>
      <c r="AE318" s="2"/>
      <c r="AF318" s="2"/>
      <c r="AG318" s="2"/>
      <c r="AH318" s="2"/>
      <c r="AI318" s="2"/>
      <c r="AJ318" s="2"/>
      <c r="AK318" s="2"/>
      <c r="AL318" s="2"/>
    </row>
    <row r="319" spans="23:38" x14ac:dyDescent="0.35">
      <c r="W319" s="2"/>
      <c r="X319" s="2"/>
      <c r="Y319" s="2"/>
      <c r="Z319" s="2"/>
      <c r="AA319" s="2"/>
      <c r="AB319" s="2"/>
      <c r="AC319" s="2"/>
      <c r="AD319" s="2"/>
      <c r="AE319" s="2"/>
      <c r="AF319" s="2"/>
      <c r="AG319" s="2"/>
      <c r="AH319" s="2"/>
      <c r="AI319" s="2"/>
      <c r="AJ319" s="2"/>
      <c r="AK319" s="2"/>
      <c r="AL319" s="2"/>
    </row>
    <row r="320" spans="23:38" x14ac:dyDescent="0.35">
      <c r="W320" s="2"/>
      <c r="X320" s="2"/>
      <c r="Y320" s="2"/>
      <c r="Z320" s="2"/>
      <c r="AA320" s="2"/>
      <c r="AB320" s="2"/>
      <c r="AC320" s="2"/>
      <c r="AD320" s="2"/>
      <c r="AE320" s="2"/>
      <c r="AF320" s="2"/>
      <c r="AG320" s="2"/>
      <c r="AH320" s="2"/>
      <c r="AI320" s="2"/>
      <c r="AJ320" s="2"/>
      <c r="AK320" s="2"/>
      <c r="AL320" s="2"/>
    </row>
    <row r="321" spans="23:37" x14ac:dyDescent="0.35">
      <c r="W321" s="2"/>
      <c r="X321" s="2"/>
      <c r="Y321" s="2"/>
      <c r="Z321" s="2"/>
      <c r="AA321" s="2"/>
      <c r="AB321" s="2"/>
      <c r="AC321" s="2"/>
      <c r="AD321" s="2"/>
      <c r="AE321" s="2"/>
      <c r="AF321" s="2"/>
      <c r="AG321" s="2"/>
      <c r="AH321" s="2"/>
      <c r="AI321" s="2"/>
      <c r="AJ321" s="2"/>
      <c r="AK321" s="2"/>
    </row>
    <row r="322" spans="23:37" x14ac:dyDescent="0.35">
      <c r="W322" s="2"/>
      <c r="X322" s="2"/>
      <c r="Y322" s="2"/>
      <c r="Z322" s="2"/>
      <c r="AA322" s="2"/>
      <c r="AB322" s="2"/>
      <c r="AC322" s="2"/>
      <c r="AD322" s="2"/>
      <c r="AE322" s="2"/>
      <c r="AF322" s="2"/>
      <c r="AG322" s="2"/>
      <c r="AH322" s="2"/>
      <c r="AI322" s="2"/>
      <c r="AJ322" s="2"/>
      <c r="AK322" s="2"/>
    </row>
    <row r="323" spans="23:37" x14ac:dyDescent="0.35">
      <c r="W323" s="2"/>
    </row>
    <row r="324" spans="23:37" x14ac:dyDescent="0.35">
      <c r="W324" s="2"/>
    </row>
    <row r="325" spans="23:37" x14ac:dyDescent="0.35">
      <c r="W325" s="2"/>
    </row>
    <row r="326" spans="23:37" x14ac:dyDescent="0.35">
      <c r="W326" s="2"/>
    </row>
    <row r="327" spans="23:37" x14ac:dyDescent="0.35">
      <c r="W327" s="2"/>
    </row>
    <row r="328" spans="23:37" x14ac:dyDescent="0.35">
      <c r="W328" s="2"/>
    </row>
    <row r="329" spans="23:37" x14ac:dyDescent="0.35">
      <c r="W329" s="2"/>
    </row>
    <row r="330" spans="23:37" x14ac:dyDescent="0.35">
      <c r="W330" s="2"/>
    </row>
    <row r="331" spans="23:37" x14ac:dyDescent="0.35">
      <c r="W331" s="2"/>
    </row>
    <row r="332" spans="23:37" x14ac:dyDescent="0.35">
      <c r="W332" s="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268"/>
  <sheetViews>
    <sheetView workbookViewId="0">
      <selection activeCell="C52" sqref="C52"/>
    </sheetView>
  </sheetViews>
  <sheetFormatPr defaultRowHeight="14.5" x14ac:dyDescent="0.35"/>
  <sheetData>
    <row r="4" spans="2:18" ht="18.5" x14ac:dyDescent="0.45">
      <c r="B4" s="2"/>
      <c r="C4" s="1" t="s">
        <v>557</v>
      </c>
      <c r="D4" s="2"/>
      <c r="E4" s="2"/>
      <c r="F4" s="2"/>
      <c r="G4" s="2"/>
      <c r="H4" s="2"/>
      <c r="I4" s="2"/>
      <c r="J4" s="2"/>
      <c r="K4" s="2"/>
      <c r="L4" s="2"/>
      <c r="M4" s="2"/>
      <c r="N4" s="2"/>
      <c r="O4" s="2"/>
    </row>
    <row r="5" spans="2:18" ht="18.5" x14ac:dyDescent="0.45">
      <c r="B5" s="2"/>
      <c r="C5" s="2"/>
      <c r="D5" s="2"/>
      <c r="E5" s="2"/>
      <c r="F5" s="1" t="s">
        <v>0</v>
      </c>
      <c r="G5" s="3"/>
      <c r="H5" s="3"/>
      <c r="I5" s="3"/>
      <c r="J5" s="3"/>
      <c r="K5" s="3"/>
      <c r="L5" s="3"/>
      <c r="M5" s="3"/>
      <c r="N5" s="3"/>
      <c r="O5" s="3"/>
    </row>
    <row r="6" spans="2:18"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row>
    <row r="7" spans="2:18" x14ac:dyDescent="0.35">
      <c r="B7" s="2"/>
      <c r="C7" s="2"/>
      <c r="D7" s="2"/>
      <c r="E7" s="2"/>
      <c r="F7" s="2">
        <v>8.8109199999999994</v>
      </c>
      <c r="G7" s="2">
        <v>15.922219999999999</v>
      </c>
      <c r="H7" s="2">
        <f t="shared" ref="H7:H15" si="0">G7-F7</f>
        <v>7.1113</v>
      </c>
      <c r="I7" s="2">
        <f t="shared" ref="I7:I14" si="1">F8-G7</f>
        <v>9.2761700000000005</v>
      </c>
      <c r="J7" s="2">
        <f>H7/N7</f>
        <v>0.43394740005626248</v>
      </c>
      <c r="K7" s="2">
        <f>I7/N7</f>
        <v>0.56605259994373747</v>
      </c>
      <c r="L7" s="2">
        <f>1/H7</f>
        <v>0.14062126474765513</v>
      </c>
      <c r="M7" s="2">
        <f>1/N7</f>
        <v>6.1022232229868308E-2</v>
      </c>
      <c r="N7" s="2">
        <f>H7+I7</f>
        <v>16.38747</v>
      </c>
      <c r="O7" s="2">
        <v>37</v>
      </c>
      <c r="P7">
        <f>O7/H7</f>
        <v>5.2029867956632403</v>
      </c>
      <c r="R7" t="s">
        <v>560</v>
      </c>
    </row>
    <row r="8" spans="2:18" x14ac:dyDescent="0.35">
      <c r="B8" s="2"/>
      <c r="C8" s="2"/>
      <c r="D8" s="2"/>
      <c r="E8" s="2"/>
      <c r="F8" s="13">
        <v>25.19839</v>
      </c>
      <c r="G8" s="2">
        <v>31.4282</v>
      </c>
      <c r="H8" s="2">
        <f t="shared" si="0"/>
        <v>6.2298100000000005</v>
      </c>
      <c r="I8" s="2">
        <f t="shared" si="1"/>
        <v>7.6977900000000012</v>
      </c>
      <c r="J8" s="2">
        <f t="shared" ref="J8:J14" si="2">H8/N8</f>
        <v>0.44729960653666101</v>
      </c>
      <c r="K8" s="2">
        <f t="shared" ref="K8:K14" si="3">I8/N8</f>
        <v>0.55270039346333899</v>
      </c>
      <c r="L8" s="2">
        <f t="shared" ref="L8:L14" si="4">1/H8</f>
        <v>0.16051853908867203</v>
      </c>
      <c r="M8" s="2">
        <f t="shared" ref="M8:M14" si="5">1/N8</f>
        <v>7.1799879376202635E-2</v>
      </c>
      <c r="N8" s="2">
        <f t="shared" ref="N8:N14" si="6">H8+I8</f>
        <v>13.927600000000002</v>
      </c>
      <c r="O8" s="2">
        <v>38</v>
      </c>
      <c r="P8">
        <f t="shared" ref="P8:P14" si="7">O8/H8</f>
        <v>6.0997044853695375</v>
      </c>
    </row>
    <row r="9" spans="2:18" x14ac:dyDescent="0.35">
      <c r="B9" s="2"/>
      <c r="C9" s="2"/>
      <c r="D9" s="2"/>
      <c r="E9" s="2"/>
      <c r="F9" s="13">
        <v>39.125990000000002</v>
      </c>
      <c r="G9" s="2">
        <v>45.357709999999997</v>
      </c>
      <c r="H9" s="2">
        <f t="shared" si="0"/>
        <v>6.2317199999999957</v>
      </c>
      <c r="I9" s="2">
        <f t="shared" si="1"/>
        <v>7.3435000000000059</v>
      </c>
      <c r="J9" s="2">
        <f t="shared" si="2"/>
        <v>0.45905112403334863</v>
      </c>
      <c r="K9" s="2">
        <f t="shared" si="3"/>
        <v>0.54094887596665142</v>
      </c>
      <c r="L9" s="2">
        <f t="shared" si="4"/>
        <v>0.16046934072776067</v>
      </c>
      <c r="M9" s="2">
        <f t="shared" si="5"/>
        <v>7.3663631233968949E-2</v>
      </c>
      <c r="N9" s="2">
        <f t="shared" si="6"/>
        <v>13.575220000000002</v>
      </c>
      <c r="O9" s="2">
        <v>39</v>
      </c>
      <c r="P9">
        <f t="shared" si="7"/>
        <v>6.2583042883826661</v>
      </c>
    </row>
    <row r="10" spans="2:18" x14ac:dyDescent="0.35">
      <c r="B10" s="2"/>
      <c r="C10" s="2"/>
      <c r="D10" s="2"/>
      <c r="E10" s="2"/>
      <c r="F10" s="13">
        <v>52.701210000000003</v>
      </c>
      <c r="G10" s="2">
        <v>58.321530000000003</v>
      </c>
      <c r="H10" s="2">
        <f t="shared" si="0"/>
        <v>5.6203199999999995</v>
      </c>
      <c r="I10" s="2">
        <f t="shared" si="1"/>
        <v>7.5915299999999988</v>
      </c>
      <c r="J10" s="2">
        <f t="shared" si="2"/>
        <v>0.4253999250672692</v>
      </c>
      <c r="K10" s="2">
        <f t="shared" si="3"/>
        <v>0.5746000749327308</v>
      </c>
      <c r="L10" s="2">
        <f t="shared" si="4"/>
        <v>0.17792581205340621</v>
      </c>
      <c r="M10" s="2">
        <f t="shared" si="5"/>
        <v>7.5689627115052033E-2</v>
      </c>
      <c r="N10" s="2">
        <f t="shared" si="6"/>
        <v>13.211849999999998</v>
      </c>
      <c r="O10" s="2">
        <v>35</v>
      </c>
      <c r="P10">
        <f t="shared" si="7"/>
        <v>6.2274034218692176</v>
      </c>
    </row>
    <row r="11" spans="2:18" x14ac:dyDescent="0.35">
      <c r="B11" s="2"/>
      <c r="C11" s="2"/>
      <c r="D11" s="2"/>
      <c r="E11" s="2"/>
      <c r="F11" s="13">
        <v>65.913060000000002</v>
      </c>
      <c r="G11" s="2">
        <v>71.60642</v>
      </c>
      <c r="H11" s="2">
        <f t="shared" si="0"/>
        <v>5.6933599999999984</v>
      </c>
      <c r="I11" s="2">
        <f t="shared" si="1"/>
        <v>7.4726799999999969</v>
      </c>
      <c r="J11" s="2">
        <f t="shared" si="2"/>
        <v>0.43242766997517862</v>
      </c>
      <c r="K11" s="2">
        <f t="shared" si="3"/>
        <v>0.56757233002482144</v>
      </c>
      <c r="L11" s="2">
        <f t="shared" si="4"/>
        <v>0.17564320541824166</v>
      </c>
      <c r="M11" s="2">
        <f t="shared" si="5"/>
        <v>7.5952982065981903E-2</v>
      </c>
      <c r="N11" s="2">
        <f t="shared" si="6"/>
        <v>13.166039999999995</v>
      </c>
      <c r="O11" s="2">
        <v>36</v>
      </c>
      <c r="P11">
        <f t="shared" si="7"/>
        <v>6.3231553950566992</v>
      </c>
    </row>
    <row r="12" spans="2:18" x14ac:dyDescent="0.35">
      <c r="B12" s="2"/>
      <c r="C12" s="2"/>
      <c r="D12" s="2"/>
      <c r="E12" s="2"/>
      <c r="F12" s="13">
        <v>79.079099999999997</v>
      </c>
      <c r="G12" s="2">
        <v>84.916359999999997</v>
      </c>
      <c r="H12" s="2">
        <f t="shared" si="0"/>
        <v>5.8372600000000006</v>
      </c>
      <c r="I12" s="2">
        <f t="shared" si="1"/>
        <v>7.3968500000000006</v>
      </c>
      <c r="J12" s="2">
        <f t="shared" si="2"/>
        <v>0.44107688390076855</v>
      </c>
      <c r="K12" s="2">
        <f t="shared" si="3"/>
        <v>0.5589231160992314</v>
      </c>
      <c r="L12" s="2">
        <f t="shared" si="4"/>
        <v>0.17131325313588908</v>
      </c>
      <c r="M12" s="2">
        <f t="shared" si="5"/>
        <v>7.556231586408152E-2</v>
      </c>
      <c r="N12" s="2">
        <f t="shared" si="6"/>
        <v>13.234110000000001</v>
      </c>
      <c r="O12" s="2">
        <v>38</v>
      </c>
      <c r="P12">
        <f t="shared" si="7"/>
        <v>6.5099036191637847</v>
      </c>
    </row>
    <row r="13" spans="2:18" x14ac:dyDescent="0.35">
      <c r="B13" s="2"/>
      <c r="C13" s="2"/>
      <c r="D13" s="2"/>
      <c r="E13" s="2"/>
      <c r="F13" s="13">
        <v>92.313209999999998</v>
      </c>
      <c r="G13" s="2">
        <v>98.017790000000005</v>
      </c>
      <c r="H13" s="2">
        <f t="shared" si="0"/>
        <v>5.7045800000000071</v>
      </c>
      <c r="I13" s="2">
        <f t="shared" si="1"/>
        <v>7.4964099999999974</v>
      </c>
      <c r="J13" s="2">
        <f t="shared" si="2"/>
        <v>0.43213274155953496</v>
      </c>
      <c r="K13" s="2">
        <f t="shared" si="3"/>
        <v>0.56786725844046504</v>
      </c>
      <c r="L13" s="2">
        <f t="shared" si="4"/>
        <v>0.1752977432168536</v>
      </c>
      <c r="M13" s="2">
        <f t="shared" si="5"/>
        <v>7.5751894365498326E-2</v>
      </c>
      <c r="N13" s="2">
        <f t="shared" si="6"/>
        <v>13.200990000000004</v>
      </c>
      <c r="O13" s="2">
        <v>38</v>
      </c>
      <c r="P13">
        <f t="shared" si="7"/>
        <v>6.6613142422404374</v>
      </c>
    </row>
    <row r="14" spans="2:18" x14ac:dyDescent="0.35">
      <c r="B14" s="2"/>
      <c r="C14" s="2"/>
      <c r="D14" s="2"/>
      <c r="E14" s="2"/>
      <c r="F14" s="13">
        <v>105.5142</v>
      </c>
      <c r="G14" s="2">
        <v>111.06162999999999</v>
      </c>
      <c r="H14" s="2">
        <f t="shared" si="0"/>
        <v>5.5474299999999914</v>
      </c>
      <c r="I14" s="2">
        <f t="shared" si="1"/>
        <v>7.5286800000000085</v>
      </c>
      <c r="J14" s="2">
        <f t="shared" si="2"/>
        <v>0.42424161314029873</v>
      </c>
      <c r="K14" s="2">
        <f t="shared" si="3"/>
        <v>0.57575838685970127</v>
      </c>
      <c r="L14" s="2">
        <f t="shared" si="4"/>
        <v>0.18026365361978458</v>
      </c>
      <c r="M14" s="2">
        <f t="shared" si="5"/>
        <v>7.6475343202221463E-2</v>
      </c>
      <c r="N14" s="2">
        <f t="shared" si="6"/>
        <v>13.07611</v>
      </c>
      <c r="O14" s="2">
        <v>36</v>
      </c>
      <c r="P14">
        <f t="shared" si="7"/>
        <v>6.4894915303122449</v>
      </c>
    </row>
    <row r="15" spans="2:18" x14ac:dyDescent="0.35">
      <c r="B15" s="2"/>
      <c r="C15" s="2"/>
      <c r="D15" s="2"/>
      <c r="E15" s="2"/>
      <c r="F15" s="13">
        <v>118.59031</v>
      </c>
      <c r="G15" s="2">
        <v>119.98985999999999</v>
      </c>
      <c r="H15" s="2">
        <f t="shared" si="0"/>
        <v>1.3995499999999907</v>
      </c>
      <c r="I15" s="2"/>
      <c r="J15" s="2"/>
      <c r="K15" s="2"/>
      <c r="L15" s="2"/>
      <c r="M15" s="2"/>
      <c r="N15" s="2"/>
      <c r="O15" s="2"/>
    </row>
    <row r="16" spans="2:18" x14ac:dyDescent="0.35">
      <c r="B16" s="2"/>
      <c r="C16" s="2"/>
      <c r="D16" s="2"/>
      <c r="E16" s="2"/>
      <c r="F16" s="13"/>
      <c r="G16" s="2"/>
      <c r="H16" s="2"/>
      <c r="I16" s="2"/>
      <c r="J16" s="2"/>
      <c r="K16" s="2"/>
      <c r="L16" s="2"/>
      <c r="M16" s="2"/>
      <c r="N16" s="2"/>
      <c r="O16" s="2"/>
    </row>
    <row r="17" spans="4:18" x14ac:dyDescent="0.35">
      <c r="G17" s="49"/>
      <c r="H17" s="2"/>
      <c r="I17" s="2"/>
      <c r="J17" s="2"/>
      <c r="K17" s="2"/>
      <c r="L17" s="2"/>
      <c r="M17" s="2"/>
      <c r="N17" s="2"/>
      <c r="O17" s="2"/>
      <c r="P17" s="2"/>
    </row>
    <row r="18" spans="4:18" x14ac:dyDescent="0.35">
      <c r="G18" s="49"/>
      <c r="H18" s="2"/>
      <c r="I18" s="2"/>
      <c r="J18" s="2"/>
      <c r="K18" s="2"/>
      <c r="L18" s="2"/>
      <c r="M18" s="2"/>
      <c r="N18" s="2"/>
      <c r="O18" s="2"/>
      <c r="P18" s="2"/>
    </row>
    <row r="19" spans="4:18" ht="16" thickBot="1" x14ac:dyDescent="0.4">
      <c r="G19" s="13"/>
      <c r="H19" s="9" t="s">
        <v>3</v>
      </c>
      <c r="I19" s="9" t="s">
        <v>4</v>
      </c>
      <c r="J19" s="9" t="s">
        <v>5</v>
      </c>
      <c r="K19" s="9" t="s">
        <v>6</v>
      </c>
      <c r="L19" s="9" t="s">
        <v>7</v>
      </c>
      <c r="M19" s="9" t="s">
        <v>8</v>
      </c>
      <c r="N19" s="9" t="s">
        <v>9</v>
      </c>
      <c r="O19" s="9" t="s">
        <v>10</v>
      </c>
      <c r="P19" s="44" t="s">
        <v>139</v>
      </c>
    </row>
    <row r="20" spans="4:18" x14ac:dyDescent="0.35">
      <c r="G20" s="49" t="s">
        <v>77</v>
      </c>
      <c r="H20" s="13">
        <f>AVERAGE(H7:H14)</f>
        <v>5.9969724999999992</v>
      </c>
      <c r="I20" s="13">
        <f t="shared" ref="I20:P20" si="8">AVERAGE(I7:I14)</f>
        <v>7.7254512500000008</v>
      </c>
      <c r="J20" s="13">
        <f t="shared" si="8"/>
        <v>0.43694712053366525</v>
      </c>
      <c r="K20" s="13">
        <f t="shared" si="8"/>
        <v>0.56305287946633475</v>
      </c>
      <c r="L20" s="13">
        <f t="shared" si="8"/>
        <v>0.16775660150103286</v>
      </c>
      <c r="M20" s="13">
        <f t="shared" si="8"/>
        <v>7.3239738181609393E-2</v>
      </c>
      <c r="N20" s="13">
        <f t="shared" si="8"/>
        <v>13.722423750000001</v>
      </c>
      <c r="O20" s="13">
        <f t="shared" si="8"/>
        <v>37.125</v>
      </c>
      <c r="P20" s="13">
        <f t="shared" si="8"/>
        <v>6.2215329722572283</v>
      </c>
    </row>
    <row r="21" spans="4:18" x14ac:dyDescent="0.35">
      <c r="G21" s="49" t="s">
        <v>94</v>
      </c>
      <c r="H21" s="2">
        <f>_xlfn.STDEV.S(H7:H14)</f>
        <v>0.52073890350292529</v>
      </c>
      <c r="I21" s="2">
        <f t="shared" ref="I21:P21" si="9">_xlfn.STDEV.S(I7:I14)</f>
        <v>0.63610043572283881</v>
      </c>
      <c r="J21" s="2">
        <f t="shared" si="9"/>
        <v>1.1711932407873958E-2</v>
      </c>
      <c r="K21" s="2">
        <f t="shared" si="9"/>
        <v>1.1711932407873944E-2</v>
      </c>
      <c r="L21" s="2">
        <f t="shared" si="9"/>
        <v>1.327390847984194E-2</v>
      </c>
      <c r="M21" s="2">
        <f t="shared" si="9"/>
        <v>5.1693936391479563E-3</v>
      </c>
      <c r="N21" s="2">
        <f t="shared" si="9"/>
        <v>1.1125614667570058</v>
      </c>
      <c r="O21" s="2">
        <f t="shared" si="9"/>
        <v>1.3562026818605375</v>
      </c>
      <c r="P21" s="2">
        <f t="shared" si="9"/>
        <v>0.44918325675063175</v>
      </c>
    </row>
    <row r="22" spans="4:18" x14ac:dyDescent="0.35">
      <c r="G22" s="49" t="s">
        <v>95</v>
      </c>
      <c r="H22" s="2">
        <f>H21/(SQRT(COUNT(H7:H14)))</f>
        <v>0.18410900494728283</v>
      </c>
      <c r="I22" s="2">
        <f t="shared" ref="I22:P22" si="10">I21/(SQRT(COUNT(I7:I14)))</f>
        <v>0.22489546580766845</v>
      </c>
      <c r="J22" s="2">
        <f t="shared" si="10"/>
        <v>4.1407934132030822E-3</v>
      </c>
      <c r="K22" s="2">
        <f t="shared" si="10"/>
        <v>4.1407934132030779E-3</v>
      </c>
      <c r="L22" s="2">
        <f t="shared" si="10"/>
        <v>4.6930353494729253E-3</v>
      </c>
      <c r="M22" s="2">
        <f t="shared" si="10"/>
        <v>1.8276566484320622E-3</v>
      </c>
      <c r="N22" s="2">
        <f t="shared" si="10"/>
        <v>0.39334987881536521</v>
      </c>
      <c r="O22" s="2">
        <f t="shared" si="10"/>
        <v>0.47949005650348397</v>
      </c>
      <c r="P22" s="2">
        <f t="shared" si="10"/>
        <v>0.15881026342191487</v>
      </c>
    </row>
    <row r="23" spans="4:18" x14ac:dyDescent="0.35">
      <c r="G23" s="49"/>
      <c r="H23" s="2"/>
      <c r="I23" s="2"/>
      <c r="J23" s="2"/>
      <c r="K23" s="2"/>
      <c r="L23" s="2"/>
      <c r="M23" s="2"/>
      <c r="N23" s="2"/>
      <c r="O23" s="2"/>
      <c r="P23" s="2"/>
    </row>
    <row r="25" spans="4:18" x14ac:dyDescent="0.35">
      <c r="G25" s="49"/>
      <c r="H25" s="2"/>
      <c r="I25" s="2"/>
      <c r="J25" s="2"/>
      <c r="K25" s="2"/>
      <c r="L25" s="2"/>
      <c r="M25" s="2"/>
      <c r="N25" s="2"/>
      <c r="O25" s="2"/>
      <c r="P25" s="2"/>
    </row>
    <row r="28" spans="4:18" ht="18.5" x14ac:dyDescent="0.45">
      <c r="F28" s="1" t="s">
        <v>405</v>
      </c>
      <c r="G28" s="3"/>
      <c r="H28" s="3"/>
      <c r="I28" s="3"/>
      <c r="J28" s="3"/>
      <c r="K28" s="3"/>
      <c r="L28" s="3"/>
      <c r="M28" s="3"/>
      <c r="N28" s="3"/>
      <c r="O28" s="3"/>
    </row>
    <row r="29" spans="4:18" ht="16" thickBot="1" x14ac:dyDescent="0.4">
      <c r="D29" s="204" t="s">
        <v>406</v>
      </c>
      <c r="F29" s="9" t="s">
        <v>1</v>
      </c>
      <c r="G29" s="9" t="s">
        <v>2</v>
      </c>
      <c r="H29" s="9" t="s">
        <v>3</v>
      </c>
      <c r="I29" s="9" t="s">
        <v>4</v>
      </c>
      <c r="J29" s="9" t="s">
        <v>5</v>
      </c>
      <c r="K29" s="9" t="s">
        <v>6</v>
      </c>
      <c r="L29" s="9" t="s">
        <v>7</v>
      </c>
      <c r="M29" s="9" t="s">
        <v>8</v>
      </c>
      <c r="N29" s="9" t="s">
        <v>9</v>
      </c>
      <c r="O29" s="9" t="s">
        <v>10</v>
      </c>
      <c r="P29" s="44" t="s">
        <v>139</v>
      </c>
      <c r="R29" s="44" t="s">
        <v>138</v>
      </c>
    </row>
    <row r="30" spans="4:18" x14ac:dyDescent="0.35">
      <c r="D30" s="155">
        <v>4</v>
      </c>
      <c r="F30" s="2">
        <v>2.717E-2</v>
      </c>
      <c r="G30" s="2">
        <v>3.92022</v>
      </c>
      <c r="H30" s="2">
        <f t="shared" ref="H30:H43" si="11">G30-F30</f>
        <v>3.8930500000000001</v>
      </c>
      <c r="I30" s="2">
        <f t="shared" ref="I30:I42" si="12">F31-G30</f>
        <v>7.3711299999999991</v>
      </c>
      <c r="J30" s="2">
        <f>H30/N30</f>
        <v>0.34561326257215352</v>
      </c>
      <c r="K30" s="2">
        <f>I30/N30</f>
        <v>0.65438673742784648</v>
      </c>
      <c r="L30" s="2">
        <f>1/H30</f>
        <v>0.25686800837389706</v>
      </c>
      <c r="M30" s="2">
        <f>1/N30</f>
        <v>8.8776990424513813E-2</v>
      </c>
      <c r="N30" s="2">
        <f>H30+I30</f>
        <v>11.26418</v>
      </c>
      <c r="O30" s="2">
        <v>22</v>
      </c>
      <c r="P30">
        <f>O30/H30</f>
        <v>5.651096184225735</v>
      </c>
      <c r="R30" t="s">
        <v>558</v>
      </c>
    </row>
    <row r="31" spans="4:18" x14ac:dyDescent="0.35">
      <c r="D31" s="155">
        <v>4</v>
      </c>
      <c r="F31" s="2">
        <v>11.29135</v>
      </c>
      <c r="G31" s="2">
        <v>16.937840000000001</v>
      </c>
      <c r="H31" s="2">
        <f t="shared" si="11"/>
        <v>5.6464900000000018</v>
      </c>
      <c r="I31" s="2">
        <f t="shared" si="12"/>
        <v>7.3792200000000001</v>
      </c>
      <c r="J31" s="2">
        <f t="shared" ref="J31:J42" si="13">H31/N31</f>
        <v>0.4334880785769068</v>
      </c>
      <c r="K31" s="2">
        <f t="shared" ref="K31:K42" si="14">I31/N31</f>
        <v>0.56651192142309315</v>
      </c>
      <c r="L31" s="2">
        <f t="shared" ref="L31:L42" si="15">1/H31</f>
        <v>0.17710117258686364</v>
      </c>
      <c r="M31" s="2">
        <f t="shared" ref="M31:M42" si="16">1/N31</f>
        <v>7.6771247018396688E-2</v>
      </c>
      <c r="N31" s="2">
        <f t="shared" ref="N31:N42" si="17">H31+I31</f>
        <v>13.025710000000002</v>
      </c>
      <c r="O31" s="2">
        <v>39</v>
      </c>
      <c r="P31">
        <f t="shared" ref="P31:P42" si="18">O31/H31</f>
        <v>6.9069457308876823</v>
      </c>
    </row>
    <row r="32" spans="4:18" x14ac:dyDescent="0.35">
      <c r="D32" s="155">
        <v>4</v>
      </c>
      <c r="F32" s="13">
        <v>24.317060000000001</v>
      </c>
      <c r="G32" s="2">
        <v>29.831340000000001</v>
      </c>
      <c r="H32" s="2">
        <f t="shared" si="11"/>
        <v>5.5142799999999994</v>
      </c>
      <c r="I32" s="2">
        <f t="shared" si="12"/>
        <v>8.6178599999999967</v>
      </c>
      <c r="J32" s="2">
        <f t="shared" si="13"/>
        <v>0.39019426640268218</v>
      </c>
      <c r="K32" s="2">
        <f t="shared" si="14"/>
        <v>0.60980573359731782</v>
      </c>
      <c r="L32" s="2">
        <f t="shared" si="15"/>
        <v>0.18134733818377016</v>
      </c>
      <c r="M32" s="2">
        <f t="shared" si="16"/>
        <v>7.0760691586695318E-2</v>
      </c>
      <c r="N32" s="2">
        <f t="shared" si="17"/>
        <v>14.132139999999996</v>
      </c>
      <c r="O32" s="2">
        <v>38</v>
      </c>
      <c r="P32">
        <f t="shared" si="18"/>
        <v>6.8911988509832662</v>
      </c>
    </row>
    <row r="33" spans="4:18" x14ac:dyDescent="0.35">
      <c r="D33" s="155">
        <v>4</v>
      </c>
      <c r="F33" s="13">
        <v>38.449199999999998</v>
      </c>
      <c r="G33" s="2">
        <v>44.935839999999999</v>
      </c>
      <c r="H33" s="2">
        <f t="shared" si="11"/>
        <v>6.4866400000000013</v>
      </c>
      <c r="I33" s="2">
        <f t="shared" si="12"/>
        <v>7.6937300000000022</v>
      </c>
      <c r="J33" s="2">
        <f t="shared" si="13"/>
        <v>0.4574379935079268</v>
      </c>
      <c r="K33" s="2">
        <f t="shared" si="14"/>
        <v>0.5425620064920732</v>
      </c>
      <c r="L33" s="2">
        <f t="shared" si="15"/>
        <v>0.15416301814190395</v>
      </c>
      <c r="M33" s="2">
        <f t="shared" si="16"/>
        <v>7.0520021691958659E-2</v>
      </c>
      <c r="N33" s="2">
        <f t="shared" si="17"/>
        <v>14.180370000000003</v>
      </c>
      <c r="O33" s="2">
        <v>41</v>
      </c>
      <c r="P33">
        <f t="shared" si="18"/>
        <v>6.3206837438180621</v>
      </c>
    </row>
    <row r="34" spans="4:18" x14ac:dyDescent="0.35">
      <c r="D34" s="155">
        <v>4</v>
      </c>
      <c r="F34" s="13">
        <v>52.629570000000001</v>
      </c>
      <c r="G34" s="2">
        <v>59.381810000000002</v>
      </c>
      <c r="H34" s="2">
        <f t="shared" si="11"/>
        <v>6.7522400000000005</v>
      </c>
      <c r="I34" s="2">
        <f t="shared" si="12"/>
        <v>8.8771500000000003</v>
      </c>
      <c r="J34" s="2">
        <f t="shared" si="13"/>
        <v>0.43202197910475076</v>
      </c>
      <c r="K34" s="2">
        <f t="shared" si="14"/>
        <v>0.56797802089524929</v>
      </c>
      <c r="L34" s="2">
        <f t="shared" si="15"/>
        <v>0.14809900122033576</v>
      </c>
      <c r="M34" s="2">
        <f t="shared" si="16"/>
        <v>6.3982023610646352E-2</v>
      </c>
      <c r="N34" s="2">
        <f t="shared" si="17"/>
        <v>15.629390000000001</v>
      </c>
      <c r="O34" s="2">
        <v>45</v>
      </c>
      <c r="P34">
        <f t="shared" si="18"/>
        <v>6.6644550549151091</v>
      </c>
    </row>
    <row r="35" spans="4:18" x14ac:dyDescent="0.35">
      <c r="D35" s="155">
        <v>4</v>
      </c>
      <c r="F35" s="13">
        <v>68.258960000000002</v>
      </c>
      <c r="G35" s="2">
        <v>74.797640000000001</v>
      </c>
      <c r="H35" s="2">
        <f t="shared" si="11"/>
        <v>6.5386799999999994</v>
      </c>
      <c r="I35" s="2">
        <f t="shared" si="12"/>
        <v>7.7062999999999988</v>
      </c>
      <c r="J35" s="2">
        <f t="shared" si="13"/>
        <v>0.45901643947552051</v>
      </c>
      <c r="K35" s="2">
        <f t="shared" si="14"/>
        <v>0.54098356052447949</v>
      </c>
      <c r="L35" s="2">
        <f t="shared" si="15"/>
        <v>0.15293606660671574</v>
      </c>
      <c r="M35" s="2">
        <f t="shared" si="16"/>
        <v>7.0200168761205717E-2</v>
      </c>
      <c r="N35" s="2">
        <f t="shared" si="17"/>
        <v>14.244979999999998</v>
      </c>
      <c r="O35" s="2">
        <v>44</v>
      </c>
      <c r="P35">
        <f t="shared" si="18"/>
        <v>6.7291869306954926</v>
      </c>
    </row>
    <row r="36" spans="4:18" x14ac:dyDescent="0.35">
      <c r="D36" s="155">
        <v>4</v>
      </c>
      <c r="F36" s="13">
        <v>82.50394</v>
      </c>
      <c r="G36" s="2">
        <v>88.064279999999997</v>
      </c>
      <c r="H36" s="2">
        <f t="shared" si="11"/>
        <v>5.5603399999999965</v>
      </c>
      <c r="I36" s="2">
        <f t="shared" si="12"/>
        <v>8.7760600000000011</v>
      </c>
      <c r="J36" s="2">
        <f t="shared" si="13"/>
        <v>0.38784771630255832</v>
      </c>
      <c r="K36" s="2">
        <f t="shared" si="14"/>
        <v>0.61215228369744168</v>
      </c>
      <c r="L36" s="2">
        <f t="shared" si="15"/>
        <v>0.17984511738490824</v>
      </c>
      <c r="M36" s="2">
        <f t="shared" si="16"/>
        <v>6.9752518065902186E-2</v>
      </c>
      <c r="N36" s="2">
        <f t="shared" si="17"/>
        <v>14.336399999999998</v>
      </c>
      <c r="O36" s="2">
        <v>35</v>
      </c>
      <c r="P36">
        <f t="shared" si="18"/>
        <v>6.2945791084717877</v>
      </c>
    </row>
    <row r="37" spans="4:18" x14ac:dyDescent="0.35">
      <c r="D37" s="155">
        <v>4</v>
      </c>
      <c r="F37" s="13">
        <v>96.840339999999998</v>
      </c>
      <c r="G37" s="2">
        <v>103.51916</v>
      </c>
      <c r="H37" s="2">
        <f t="shared" si="11"/>
        <v>6.6788200000000018</v>
      </c>
      <c r="I37" s="2">
        <f t="shared" si="12"/>
        <v>8.9940699999999936</v>
      </c>
      <c r="J37" s="2">
        <f t="shared" si="13"/>
        <v>0.42613838290194112</v>
      </c>
      <c r="K37" s="2">
        <f t="shared" si="14"/>
        <v>0.57386161709805894</v>
      </c>
      <c r="L37" s="2">
        <f t="shared" si="15"/>
        <v>0.14972704759223932</v>
      </c>
      <c r="M37" s="2">
        <f t="shared" si="16"/>
        <v>6.3804441937638831E-2</v>
      </c>
      <c r="N37" s="2">
        <f t="shared" si="17"/>
        <v>15.672889999999995</v>
      </c>
      <c r="O37" s="2">
        <v>40</v>
      </c>
      <c r="P37">
        <f t="shared" si="18"/>
        <v>5.9890819036895726</v>
      </c>
    </row>
    <row r="38" spans="4:18" x14ac:dyDescent="0.35">
      <c r="D38" s="155">
        <v>4</v>
      </c>
      <c r="F38" s="13">
        <v>112.51322999999999</v>
      </c>
      <c r="G38" s="2">
        <v>118.06753999999999</v>
      </c>
      <c r="H38" s="2">
        <f t="shared" si="11"/>
        <v>5.554310000000001</v>
      </c>
      <c r="I38" s="2">
        <f t="shared" si="12"/>
        <v>10.673180000000016</v>
      </c>
      <c r="J38" s="2">
        <f t="shared" si="13"/>
        <v>0.34227782608400897</v>
      </c>
      <c r="K38" s="2">
        <f t="shared" si="14"/>
        <v>0.65772217391599097</v>
      </c>
      <c r="L38" s="2">
        <f t="shared" si="15"/>
        <v>0.18004036504984414</v>
      </c>
      <c r="M38" s="2">
        <f t="shared" si="16"/>
        <v>6.1623824756632042E-2</v>
      </c>
      <c r="N38" s="2">
        <f t="shared" si="17"/>
        <v>16.227490000000017</v>
      </c>
      <c r="O38" s="2">
        <v>36</v>
      </c>
      <c r="P38">
        <f t="shared" si="18"/>
        <v>6.4814531417943888</v>
      </c>
    </row>
    <row r="39" spans="4:18" x14ac:dyDescent="0.35">
      <c r="D39" s="155">
        <v>0</v>
      </c>
      <c r="F39" s="13">
        <v>128.74072000000001</v>
      </c>
      <c r="G39" s="2">
        <v>134.39814999999999</v>
      </c>
      <c r="H39" s="2">
        <f t="shared" si="11"/>
        <v>5.6574299999999766</v>
      </c>
      <c r="I39" s="2">
        <f t="shared" si="12"/>
        <v>11.983710000000002</v>
      </c>
      <c r="J39" s="2">
        <f t="shared" si="13"/>
        <v>0.32069526119060238</v>
      </c>
      <c r="K39" s="2">
        <f t="shared" si="14"/>
        <v>0.67930473880939757</v>
      </c>
      <c r="L39" s="2">
        <f t="shared" si="15"/>
        <v>0.1767587049243215</v>
      </c>
      <c r="M39" s="2">
        <f t="shared" si="16"/>
        <v>5.6685679043417897E-2</v>
      </c>
      <c r="N39" s="2">
        <f t="shared" si="17"/>
        <v>17.641139999999979</v>
      </c>
      <c r="O39" s="2">
        <v>34</v>
      </c>
      <c r="P39">
        <f t="shared" si="18"/>
        <v>6.009795967426931</v>
      </c>
      <c r="R39" t="s">
        <v>559</v>
      </c>
    </row>
    <row r="40" spans="4:18" x14ac:dyDescent="0.35">
      <c r="D40" s="155">
        <v>0</v>
      </c>
      <c r="F40" s="13">
        <v>146.38185999999999</v>
      </c>
      <c r="G40" s="2">
        <v>151.67627999999999</v>
      </c>
      <c r="H40" s="2">
        <f t="shared" si="11"/>
        <v>5.2944200000000023</v>
      </c>
      <c r="I40" s="2">
        <f t="shared" si="12"/>
        <v>12.724850000000004</v>
      </c>
      <c r="J40" s="2">
        <f t="shared" si="13"/>
        <v>0.29381989392467067</v>
      </c>
      <c r="K40" s="2">
        <f t="shared" si="14"/>
        <v>0.70618010607532933</v>
      </c>
      <c r="L40" s="2">
        <f t="shared" si="15"/>
        <v>0.18887810185062756</v>
      </c>
      <c r="M40" s="2">
        <f t="shared" si="16"/>
        <v>5.5496143850444532E-2</v>
      </c>
      <c r="N40" s="2">
        <f t="shared" si="17"/>
        <v>18.019270000000006</v>
      </c>
      <c r="O40" s="2">
        <v>30</v>
      </c>
      <c r="P40">
        <f t="shared" si="18"/>
        <v>5.6663430555188263</v>
      </c>
    </row>
    <row r="41" spans="4:18" x14ac:dyDescent="0.35">
      <c r="D41" s="155">
        <v>0</v>
      </c>
      <c r="F41" s="13">
        <v>164.40112999999999</v>
      </c>
      <c r="G41" s="2">
        <v>170.15756999999999</v>
      </c>
      <c r="H41" s="2">
        <f t="shared" si="11"/>
        <v>5.7564399999999978</v>
      </c>
      <c r="I41" s="2">
        <f t="shared" si="12"/>
        <v>14.786959999999993</v>
      </c>
      <c r="J41" s="2">
        <f t="shared" si="13"/>
        <v>0.28020872883748554</v>
      </c>
      <c r="K41" s="2">
        <f t="shared" si="14"/>
        <v>0.71979127116251451</v>
      </c>
      <c r="L41" s="2">
        <f t="shared" si="15"/>
        <v>0.17371847878202507</v>
      </c>
      <c r="M41" s="2">
        <f t="shared" si="16"/>
        <v>4.8677434115092948E-2</v>
      </c>
      <c r="N41" s="2">
        <f t="shared" si="17"/>
        <v>20.543399999999991</v>
      </c>
      <c r="O41" s="2">
        <v>33</v>
      </c>
      <c r="P41">
        <f t="shared" si="18"/>
        <v>5.7327097998068268</v>
      </c>
    </row>
    <row r="42" spans="4:18" x14ac:dyDescent="0.35">
      <c r="D42" s="155">
        <v>0</v>
      </c>
      <c r="F42" s="13">
        <v>184.94452999999999</v>
      </c>
      <c r="G42" s="2">
        <v>190.554</v>
      </c>
      <c r="H42" s="2">
        <f t="shared" si="11"/>
        <v>5.6094700000000159</v>
      </c>
      <c r="I42" s="2">
        <f t="shared" si="12"/>
        <v>18.680689999999998</v>
      </c>
      <c r="J42" s="2">
        <f t="shared" si="13"/>
        <v>0.2309359016161282</v>
      </c>
      <c r="K42" s="2">
        <f t="shared" si="14"/>
        <v>0.7690640983838718</v>
      </c>
      <c r="L42" s="2">
        <f t="shared" si="15"/>
        <v>0.17826996133324488</v>
      </c>
      <c r="M42" s="2">
        <f t="shared" si="16"/>
        <v>4.1168934251565217E-2</v>
      </c>
      <c r="N42" s="2">
        <f t="shared" si="17"/>
        <v>24.290160000000014</v>
      </c>
      <c r="O42" s="2">
        <v>31</v>
      </c>
      <c r="P42">
        <f t="shared" si="18"/>
        <v>5.5263688013305909</v>
      </c>
    </row>
    <row r="43" spans="4:18" x14ac:dyDescent="0.35">
      <c r="D43" s="155"/>
      <c r="F43" s="13">
        <v>209.23469</v>
      </c>
      <c r="G43" s="2">
        <v>213.58251999999999</v>
      </c>
      <c r="H43" s="2">
        <f t="shared" si="11"/>
        <v>4.3478299999999876</v>
      </c>
      <c r="I43" s="2"/>
      <c r="J43" s="2"/>
      <c r="K43" s="2"/>
      <c r="L43" s="2"/>
      <c r="M43" s="2"/>
      <c r="N43" s="2"/>
      <c r="O43" s="2"/>
    </row>
    <row r="44" spans="4:18" x14ac:dyDescent="0.35">
      <c r="D44" s="155"/>
      <c r="F44" s="13"/>
      <c r="G44" s="2"/>
      <c r="H44" s="2"/>
      <c r="I44" s="2"/>
      <c r="J44" s="2"/>
      <c r="K44" s="2"/>
      <c r="L44" s="2"/>
      <c r="M44" s="2"/>
      <c r="N44" s="2"/>
      <c r="O44" s="2"/>
    </row>
    <row r="45" spans="4:18" x14ac:dyDescent="0.35">
      <c r="D45" s="155"/>
      <c r="F45" s="13"/>
      <c r="G45" s="13"/>
      <c r="H45" s="2"/>
      <c r="I45" s="2"/>
      <c r="J45" s="2"/>
      <c r="K45" s="2"/>
      <c r="L45" s="2"/>
      <c r="M45" s="2"/>
      <c r="N45" s="2"/>
      <c r="O45" s="2"/>
    </row>
    <row r="46" spans="4:18" x14ac:dyDescent="0.35">
      <c r="F46" s="13"/>
      <c r="H46" s="2"/>
      <c r="I46" s="2"/>
      <c r="J46" s="2"/>
      <c r="K46" s="2"/>
      <c r="L46" s="2"/>
      <c r="M46" s="2"/>
      <c r="N46" s="2"/>
      <c r="O46" s="2"/>
    </row>
    <row r="47" spans="4:18" ht="16" thickBot="1" x14ac:dyDescent="0.4">
      <c r="F47" s="13"/>
      <c r="G47" s="13"/>
      <c r="H47" s="9" t="s">
        <v>3</v>
      </c>
      <c r="I47" s="9" t="s">
        <v>4</v>
      </c>
      <c r="J47" s="9" t="s">
        <v>5</v>
      </c>
      <c r="K47" s="9" t="s">
        <v>6</v>
      </c>
      <c r="L47" s="9" t="s">
        <v>7</v>
      </c>
      <c r="M47" s="9" t="s">
        <v>8</v>
      </c>
      <c r="N47" s="9" t="s">
        <v>9</v>
      </c>
      <c r="O47" s="9" t="s">
        <v>10</v>
      </c>
      <c r="P47" s="44" t="s">
        <v>139</v>
      </c>
    </row>
    <row r="48" spans="4:18" x14ac:dyDescent="0.35">
      <c r="E48" s="104" t="s">
        <v>447</v>
      </c>
      <c r="F48" s="13"/>
      <c r="G48" s="49" t="s">
        <v>77</v>
      </c>
      <c r="H48" s="13">
        <f>AVERAGE(H30:H38)</f>
        <v>5.847205555555556</v>
      </c>
      <c r="I48" s="13">
        <f t="shared" ref="I48:P48" si="19">AVERAGE(I30:I38)</f>
        <v>8.4542999999999999</v>
      </c>
      <c r="J48" s="13">
        <f t="shared" si="19"/>
        <v>0.40822621610316101</v>
      </c>
      <c r="K48" s="13">
        <f t="shared" si="19"/>
        <v>0.59177378389683899</v>
      </c>
      <c r="L48" s="13">
        <f t="shared" si="19"/>
        <v>0.17556968168227532</v>
      </c>
      <c r="M48" s="13">
        <f t="shared" si="19"/>
        <v>7.0687991983732171E-2</v>
      </c>
      <c r="N48" s="13">
        <f t="shared" si="19"/>
        <v>14.301505555555556</v>
      </c>
      <c r="O48" s="13">
        <f t="shared" si="19"/>
        <v>37.777777777777779</v>
      </c>
      <c r="P48" s="13">
        <f t="shared" si="19"/>
        <v>6.4365200721645657</v>
      </c>
    </row>
    <row r="49" spans="4:18" x14ac:dyDescent="0.35">
      <c r="E49" s="104"/>
      <c r="F49" s="13"/>
      <c r="G49" s="49" t="s">
        <v>94</v>
      </c>
      <c r="H49" s="2">
        <f>_xlfn.STDEV.S(H30:H38)</f>
        <v>0.90385376267556772</v>
      </c>
      <c r="I49" s="2">
        <f t="shared" ref="I49:P49" si="20">_xlfn.STDEV.S(I30:I38)</f>
        <v>1.0601231403238096</v>
      </c>
      <c r="J49" s="2">
        <f t="shared" si="20"/>
        <v>4.4069119201496948E-2</v>
      </c>
      <c r="K49" s="2">
        <f t="shared" si="20"/>
        <v>4.4069119201497024E-2</v>
      </c>
      <c r="L49" s="2">
        <f t="shared" si="20"/>
        <v>3.3683113089482457E-2</v>
      </c>
      <c r="M49" s="2">
        <f t="shared" si="20"/>
        <v>8.2149013930834288E-3</v>
      </c>
      <c r="N49" s="2">
        <f t="shared" si="20"/>
        <v>1.5105529028067124</v>
      </c>
      <c r="O49" s="2">
        <f t="shared" si="20"/>
        <v>6.7782331358875778</v>
      </c>
      <c r="P49" s="2">
        <f t="shared" si="20"/>
        <v>0.4210577766137612</v>
      </c>
    </row>
    <row r="50" spans="4:18" x14ac:dyDescent="0.35">
      <c r="E50" s="104"/>
      <c r="F50" s="13"/>
      <c r="G50" s="49" t="s">
        <v>95</v>
      </c>
      <c r="H50" s="2">
        <f>H49/(SQRT(COUNT(H30:H38)))</f>
        <v>0.30128458755852255</v>
      </c>
      <c r="I50" s="2">
        <f t="shared" ref="I50:P50" si="21">I49/(SQRT(COUNT(I30:I38)))</f>
        <v>0.35337438010793654</v>
      </c>
      <c r="J50" s="2">
        <f t="shared" si="21"/>
        <v>1.4689706400498983E-2</v>
      </c>
      <c r="K50" s="2">
        <f t="shared" si="21"/>
        <v>1.4689706400499008E-2</v>
      </c>
      <c r="L50" s="2">
        <f t="shared" si="21"/>
        <v>1.1227704363160819E-2</v>
      </c>
      <c r="M50" s="2">
        <f t="shared" si="21"/>
        <v>2.7383004643611428E-3</v>
      </c>
      <c r="N50" s="2">
        <f t="shared" si="21"/>
        <v>0.50351763426890417</v>
      </c>
      <c r="O50" s="2">
        <f t="shared" si="21"/>
        <v>2.2594110452958591</v>
      </c>
      <c r="P50" s="2">
        <f t="shared" si="21"/>
        <v>0.14035259220458707</v>
      </c>
    </row>
    <row r="51" spans="4:18" x14ac:dyDescent="0.35">
      <c r="E51" s="104"/>
    </row>
    <row r="52" spans="4:18" x14ac:dyDescent="0.35">
      <c r="E52" s="104"/>
    </row>
    <row r="53" spans="4:18" ht="16" thickBot="1" x14ac:dyDescent="0.4">
      <c r="E53" s="104"/>
      <c r="G53" s="13"/>
      <c r="H53" s="9" t="s">
        <v>3</v>
      </c>
      <c r="I53" s="9" t="s">
        <v>4</v>
      </c>
      <c r="J53" s="9" t="s">
        <v>5</v>
      </c>
      <c r="K53" s="9" t="s">
        <v>6</v>
      </c>
      <c r="L53" s="9" t="s">
        <v>7</v>
      </c>
      <c r="M53" s="9" t="s">
        <v>8</v>
      </c>
      <c r="N53" s="9" t="s">
        <v>9</v>
      </c>
      <c r="O53" s="9" t="s">
        <v>10</v>
      </c>
      <c r="P53" s="44" t="s">
        <v>139</v>
      </c>
    </row>
    <row r="54" spans="4:18" x14ac:dyDescent="0.35">
      <c r="E54" s="104" t="s">
        <v>410</v>
      </c>
      <c r="G54" s="49" t="s">
        <v>77</v>
      </c>
      <c r="H54" s="13">
        <f>AVERAGE(H39:H42)</f>
        <v>5.5794399999999982</v>
      </c>
      <c r="I54" s="13">
        <f t="shared" ref="I54:P54" si="22">AVERAGE(I39:I42)</f>
        <v>14.544052499999999</v>
      </c>
      <c r="J54" s="13">
        <f t="shared" si="22"/>
        <v>0.28141494639222164</v>
      </c>
      <c r="K54" s="13">
        <f t="shared" si="22"/>
        <v>0.71858505360777836</v>
      </c>
      <c r="L54" s="13">
        <f t="shared" si="22"/>
        <v>0.17940631172255475</v>
      </c>
      <c r="M54" s="13">
        <f t="shared" si="22"/>
        <v>5.0507047815130143E-2</v>
      </c>
      <c r="N54" s="13">
        <f t="shared" si="22"/>
        <v>20.123492499999998</v>
      </c>
      <c r="O54" s="13">
        <f t="shared" si="22"/>
        <v>32</v>
      </c>
      <c r="P54" s="13">
        <f t="shared" si="22"/>
        <v>5.733804406020794</v>
      </c>
    </row>
    <row r="55" spans="4:18" x14ac:dyDescent="0.35">
      <c r="G55" s="49" t="s">
        <v>94</v>
      </c>
      <c r="H55" s="2">
        <f>_xlfn.STDEV.S(H39:H42)</f>
        <v>0.19962434838131612</v>
      </c>
      <c r="I55" s="2">
        <f t="shared" ref="I55:P55" si="23">_xlfn.STDEV.S(I39:I42)</f>
        <v>3.0019785316395908</v>
      </c>
      <c r="J55" s="2">
        <f t="shared" si="23"/>
        <v>3.762275364828687E-2</v>
      </c>
      <c r="K55" s="2">
        <f t="shared" si="23"/>
        <v>3.7622753648286239E-2</v>
      </c>
      <c r="L55" s="2">
        <f t="shared" si="23"/>
        <v>6.5921004683628156E-3</v>
      </c>
      <c r="M55" s="2">
        <f t="shared" si="23"/>
        <v>7.1557532639166931E-3</v>
      </c>
      <c r="N55" s="2">
        <f t="shared" si="23"/>
        <v>3.0619855555872615</v>
      </c>
      <c r="O55" s="2">
        <f t="shared" si="23"/>
        <v>1.8257418583505538</v>
      </c>
      <c r="P55" s="2">
        <f t="shared" si="23"/>
        <v>0.20310350730181947</v>
      </c>
    </row>
    <row r="56" spans="4:18" x14ac:dyDescent="0.35">
      <c r="G56" s="49" t="s">
        <v>95</v>
      </c>
      <c r="H56" s="2">
        <f>H55/(SQRT(COUNT(H39:H42)))</f>
        <v>9.9812174190658062E-2</v>
      </c>
      <c r="I56" s="2">
        <f t="shared" ref="I56:P56" si="24">I55/(SQRT(COUNT(I39:I42)))</f>
        <v>1.5009892658197954</v>
      </c>
      <c r="J56" s="2">
        <f t="shared" si="24"/>
        <v>1.8811376824143435E-2</v>
      </c>
      <c r="K56" s="2">
        <f t="shared" si="24"/>
        <v>1.881137682414312E-2</v>
      </c>
      <c r="L56" s="2">
        <f t="shared" si="24"/>
        <v>3.2960502341814078E-3</v>
      </c>
      <c r="M56" s="2">
        <f t="shared" si="24"/>
        <v>3.5778766319583466E-3</v>
      </c>
      <c r="N56" s="2">
        <f t="shared" si="24"/>
        <v>1.5309927777936307</v>
      </c>
      <c r="O56" s="2">
        <f t="shared" si="24"/>
        <v>0.9128709291752769</v>
      </c>
      <c r="P56" s="2">
        <f t="shared" si="24"/>
        <v>0.10155175365090974</v>
      </c>
    </row>
    <row r="58" spans="4:18" s="2" customFormat="1" x14ac:dyDescent="0.35"/>
    <row r="59" spans="4:18" s="2" customFormat="1" x14ac:dyDescent="0.35"/>
    <row r="60" spans="4:18" s="2" customFormat="1" x14ac:dyDescent="0.35"/>
    <row r="61" spans="4:18" s="2" customFormat="1" ht="18.5" x14ac:dyDescent="0.45">
      <c r="F61" s="1"/>
      <c r="G61" s="3"/>
      <c r="H61" s="3"/>
      <c r="I61" s="3"/>
      <c r="J61" s="3"/>
      <c r="K61" s="3"/>
      <c r="L61" s="3"/>
      <c r="M61" s="3"/>
      <c r="N61" s="3"/>
      <c r="O61" s="3"/>
    </row>
    <row r="62" spans="4:18" s="2" customFormat="1" ht="15.5" x14ac:dyDescent="0.35">
      <c r="D62" s="199"/>
      <c r="F62" s="5"/>
      <c r="G62" s="5"/>
      <c r="H62" s="5"/>
      <c r="I62" s="5"/>
      <c r="J62" s="5"/>
      <c r="K62" s="5"/>
      <c r="L62" s="5"/>
      <c r="M62" s="5"/>
      <c r="N62" s="5"/>
      <c r="O62" s="5"/>
      <c r="P62" s="14"/>
      <c r="R62" s="14"/>
    </row>
    <row r="63" spans="4:18" s="2" customFormat="1" x14ac:dyDescent="0.35">
      <c r="D63" s="211"/>
    </row>
    <row r="64" spans="4:18" s="2" customFormat="1" x14ac:dyDescent="0.35">
      <c r="D64" s="211"/>
    </row>
    <row r="65" spans="4:7" s="2" customFormat="1" x14ac:dyDescent="0.35">
      <c r="D65" s="211"/>
      <c r="F65" s="13"/>
    </row>
    <row r="66" spans="4:7" s="2" customFormat="1" x14ac:dyDescent="0.35">
      <c r="D66" s="211"/>
      <c r="F66" s="13"/>
    </row>
    <row r="67" spans="4:7" s="2" customFormat="1" x14ac:dyDescent="0.35">
      <c r="D67" s="211"/>
      <c r="F67" s="13"/>
    </row>
    <row r="68" spans="4:7" s="2" customFormat="1" x14ac:dyDescent="0.35">
      <c r="D68" s="211"/>
      <c r="F68" s="13"/>
    </row>
    <row r="69" spans="4:7" s="2" customFormat="1" x14ac:dyDescent="0.35">
      <c r="D69" s="211"/>
      <c r="F69" s="13"/>
    </row>
    <row r="70" spans="4:7" s="2" customFormat="1" x14ac:dyDescent="0.35">
      <c r="D70" s="211"/>
      <c r="F70" s="13"/>
    </row>
    <row r="71" spans="4:7" s="2" customFormat="1" x14ac:dyDescent="0.35">
      <c r="D71" s="211"/>
      <c r="F71" s="13"/>
    </row>
    <row r="72" spans="4:7" s="2" customFormat="1" x14ac:dyDescent="0.35">
      <c r="D72" s="211"/>
      <c r="F72" s="13"/>
    </row>
    <row r="73" spans="4:7" s="2" customFormat="1" x14ac:dyDescent="0.35">
      <c r="D73" s="211"/>
      <c r="F73" s="13"/>
    </row>
    <row r="74" spans="4:7" s="2" customFormat="1" x14ac:dyDescent="0.35">
      <c r="D74" s="211"/>
      <c r="F74" s="13"/>
    </row>
    <row r="75" spans="4:7" s="2" customFormat="1" x14ac:dyDescent="0.35">
      <c r="D75" s="211"/>
      <c r="F75" s="13"/>
    </row>
    <row r="76" spans="4:7" s="2" customFormat="1" x14ac:dyDescent="0.35">
      <c r="D76" s="211"/>
      <c r="F76" s="13"/>
    </row>
    <row r="77" spans="4:7" s="2" customFormat="1" x14ac:dyDescent="0.35">
      <c r="D77" s="211"/>
      <c r="F77" s="13"/>
    </row>
    <row r="78" spans="4:7" s="2" customFormat="1" x14ac:dyDescent="0.35">
      <c r="D78" s="211"/>
      <c r="F78" s="13"/>
      <c r="G78" s="13"/>
    </row>
    <row r="79" spans="4:7" s="2" customFormat="1" x14ac:dyDescent="0.35">
      <c r="D79" s="211"/>
      <c r="F79" s="13"/>
      <c r="G79" s="13"/>
    </row>
    <row r="80" spans="4:7" s="2" customFormat="1" x14ac:dyDescent="0.35">
      <c r="D80" s="211"/>
      <c r="F80" s="13"/>
      <c r="G80" s="13"/>
    </row>
    <row r="81" spans="4:16" s="2" customFormat="1" x14ac:dyDescent="0.35">
      <c r="D81" s="211"/>
      <c r="F81" s="13"/>
      <c r="G81" s="13"/>
    </row>
    <row r="82" spans="4:16" s="2" customFormat="1" x14ac:dyDescent="0.35">
      <c r="D82" s="211"/>
      <c r="F82" s="13"/>
      <c r="G82" s="13"/>
    </row>
    <row r="83" spans="4:16" s="2" customFormat="1" x14ac:dyDescent="0.35">
      <c r="D83" s="211"/>
      <c r="F83" s="13"/>
      <c r="G83" s="13"/>
    </row>
    <row r="84" spans="4:16" s="2" customFormat="1" x14ac:dyDescent="0.35">
      <c r="D84" s="211"/>
      <c r="F84" s="13"/>
      <c r="G84" s="13"/>
    </row>
    <row r="85" spans="4:16" s="2" customFormat="1" x14ac:dyDescent="0.35">
      <c r="D85" s="211"/>
      <c r="F85" s="13"/>
      <c r="G85" s="13"/>
    </row>
    <row r="86" spans="4:16" s="2" customFormat="1" x14ac:dyDescent="0.35">
      <c r="F86" s="13"/>
      <c r="G86" s="13"/>
    </row>
    <row r="87" spans="4:16" s="2" customFormat="1" x14ac:dyDescent="0.35">
      <c r="F87" s="13"/>
    </row>
    <row r="88" spans="4:16" s="2" customFormat="1" ht="15.5" x14ac:dyDescent="0.35">
      <c r="F88" s="13"/>
      <c r="G88" s="13"/>
      <c r="H88" s="5"/>
      <c r="I88" s="5"/>
      <c r="J88" s="5"/>
      <c r="K88" s="5"/>
      <c r="L88" s="5"/>
      <c r="M88" s="5"/>
      <c r="N88" s="5"/>
      <c r="O88" s="5"/>
      <c r="P88" s="14"/>
    </row>
    <row r="89" spans="4:16" s="2" customFormat="1" x14ac:dyDescent="0.35">
      <c r="E89" s="3"/>
      <c r="F89" s="13"/>
      <c r="G89" s="49"/>
      <c r="H89" s="13"/>
      <c r="I89" s="13"/>
      <c r="J89" s="13"/>
      <c r="K89" s="13"/>
      <c r="L89" s="13"/>
      <c r="M89" s="13"/>
      <c r="N89" s="13"/>
      <c r="O89" s="13"/>
      <c r="P89" s="13"/>
    </row>
    <row r="90" spans="4:16" s="2" customFormat="1" x14ac:dyDescent="0.35">
      <c r="E90" s="3"/>
      <c r="F90" s="13"/>
      <c r="G90" s="49"/>
    </row>
    <row r="91" spans="4:16" s="2" customFormat="1" x14ac:dyDescent="0.35">
      <c r="E91" s="3"/>
      <c r="F91" s="13"/>
      <c r="G91" s="49"/>
    </row>
    <row r="92" spans="4:16" s="2" customFormat="1" x14ac:dyDescent="0.35">
      <c r="E92" s="3"/>
    </row>
    <row r="93" spans="4:16" s="2" customFormat="1" x14ac:dyDescent="0.35">
      <c r="E93" s="3"/>
    </row>
    <row r="94" spans="4:16" s="2" customFormat="1" ht="15.5" x14ac:dyDescent="0.35">
      <c r="E94" s="3"/>
      <c r="G94" s="13"/>
      <c r="H94" s="5"/>
      <c r="I94" s="5"/>
      <c r="J94" s="5"/>
      <c r="K94" s="5"/>
      <c r="L94" s="5"/>
      <c r="M94" s="5"/>
      <c r="N94" s="5"/>
      <c r="O94" s="5"/>
      <c r="P94" s="14"/>
    </row>
    <row r="95" spans="4:16" s="2" customFormat="1" x14ac:dyDescent="0.35">
      <c r="E95" s="3"/>
      <c r="G95" s="49"/>
      <c r="H95" s="13"/>
      <c r="I95" s="13"/>
      <c r="J95" s="13"/>
      <c r="K95" s="13"/>
      <c r="L95" s="13"/>
      <c r="M95" s="13"/>
      <c r="N95" s="13"/>
      <c r="O95" s="13"/>
      <c r="P95" s="13"/>
    </row>
    <row r="96" spans="4:16" s="2" customFormat="1" x14ac:dyDescent="0.35">
      <c r="G96" s="49"/>
    </row>
    <row r="97" spans="4:18" s="2" customFormat="1" x14ac:dyDescent="0.35">
      <c r="G97" s="49"/>
    </row>
    <row r="98" spans="4:18" s="2" customFormat="1" x14ac:dyDescent="0.35"/>
    <row r="99" spans="4:18" s="2" customFormat="1" x14ac:dyDescent="0.35"/>
    <row r="100" spans="4:18" s="2" customFormat="1" x14ac:dyDescent="0.35"/>
    <row r="101" spans="4:18" s="2" customFormat="1" x14ac:dyDescent="0.35"/>
    <row r="102" spans="4:18" s="2" customFormat="1" ht="18.5" x14ac:dyDescent="0.45">
      <c r="F102" s="1"/>
      <c r="G102" s="3"/>
      <c r="H102" s="3"/>
      <c r="I102" s="3"/>
      <c r="J102" s="3"/>
      <c r="K102" s="3"/>
      <c r="L102" s="3"/>
      <c r="M102" s="3"/>
      <c r="N102" s="3"/>
      <c r="O102" s="3"/>
    </row>
    <row r="103" spans="4:18" s="2" customFormat="1" ht="15.5" x14ac:dyDescent="0.35">
      <c r="D103" s="199"/>
      <c r="F103" s="5"/>
      <c r="G103" s="5"/>
      <c r="H103" s="5"/>
      <c r="I103" s="5"/>
      <c r="J103" s="5"/>
      <c r="K103" s="5"/>
      <c r="L103" s="5"/>
      <c r="M103" s="5"/>
      <c r="N103" s="5"/>
      <c r="O103" s="5"/>
      <c r="P103" s="14"/>
      <c r="R103" s="14"/>
    </row>
    <row r="104" spans="4:18" s="2" customFormat="1" x14ac:dyDescent="0.35">
      <c r="D104" s="211"/>
    </row>
    <row r="105" spans="4:18" s="2" customFormat="1" x14ac:dyDescent="0.35">
      <c r="D105" s="211"/>
    </row>
    <row r="106" spans="4:18" s="2" customFormat="1" x14ac:dyDescent="0.35">
      <c r="D106" s="211"/>
      <c r="F106" s="13"/>
    </row>
    <row r="107" spans="4:18" s="2" customFormat="1" x14ac:dyDescent="0.35">
      <c r="D107" s="211"/>
      <c r="F107" s="13"/>
    </row>
    <row r="108" spans="4:18" s="2" customFormat="1" x14ac:dyDescent="0.35">
      <c r="D108" s="211"/>
      <c r="F108" s="13"/>
    </row>
    <row r="109" spans="4:18" s="2" customFormat="1" x14ac:dyDescent="0.35">
      <c r="D109" s="211"/>
      <c r="F109" s="13"/>
    </row>
    <row r="110" spans="4:18" s="2" customFormat="1" x14ac:dyDescent="0.35">
      <c r="D110" s="211"/>
      <c r="F110" s="13"/>
    </row>
    <row r="111" spans="4:18" s="2" customFormat="1" x14ac:dyDescent="0.35">
      <c r="D111" s="211"/>
      <c r="F111" s="13"/>
    </row>
    <row r="112" spans="4:18" s="2" customFormat="1" x14ac:dyDescent="0.35">
      <c r="D112" s="211"/>
      <c r="F112" s="13"/>
    </row>
    <row r="113" spans="4:7" s="2" customFormat="1" x14ac:dyDescent="0.35">
      <c r="D113" s="211"/>
      <c r="F113" s="13"/>
    </row>
    <row r="114" spans="4:7" s="2" customFormat="1" x14ac:dyDescent="0.35">
      <c r="D114" s="211"/>
      <c r="F114" s="13"/>
    </row>
    <row r="115" spans="4:7" s="2" customFormat="1" x14ac:dyDescent="0.35">
      <c r="D115" s="211"/>
      <c r="F115" s="13"/>
    </row>
    <row r="116" spans="4:7" s="2" customFormat="1" x14ac:dyDescent="0.35">
      <c r="D116" s="211"/>
      <c r="F116" s="13"/>
    </row>
    <row r="117" spans="4:7" s="2" customFormat="1" x14ac:dyDescent="0.35">
      <c r="D117" s="211"/>
      <c r="F117" s="13"/>
    </row>
    <row r="118" spans="4:7" s="2" customFormat="1" x14ac:dyDescent="0.35">
      <c r="D118" s="211"/>
      <c r="F118" s="13"/>
    </row>
    <row r="119" spans="4:7" s="2" customFormat="1" x14ac:dyDescent="0.35">
      <c r="D119" s="211"/>
      <c r="F119" s="13"/>
      <c r="G119" s="13"/>
    </row>
    <row r="120" spans="4:7" s="2" customFormat="1" x14ac:dyDescent="0.35">
      <c r="D120" s="211"/>
      <c r="F120" s="13"/>
      <c r="G120" s="13"/>
    </row>
    <row r="121" spans="4:7" s="2" customFormat="1" x14ac:dyDescent="0.35">
      <c r="D121" s="211"/>
      <c r="F121" s="13"/>
      <c r="G121" s="13"/>
    </row>
    <row r="122" spans="4:7" s="2" customFormat="1" x14ac:dyDescent="0.35">
      <c r="D122" s="211"/>
      <c r="F122" s="13"/>
      <c r="G122" s="13"/>
    </row>
    <row r="123" spans="4:7" s="2" customFormat="1" x14ac:dyDescent="0.35">
      <c r="D123" s="211"/>
      <c r="F123" s="13"/>
      <c r="G123" s="13"/>
    </row>
    <row r="124" spans="4:7" s="2" customFormat="1" x14ac:dyDescent="0.35">
      <c r="D124" s="211"/>
      <c r="F124" s="13"/>
      <c r="G124" s="13"/>
    </row>
    <row r="125" spans="4:7" s="2" customFormat="1" x14ac:dyDescent="0.35">
      <c r="D125" s="211"/>
      <c r="F125" s="13"/>
      <c r="G125" s="13"/>
    </row>
    <row r="126" spans="4:7" s="2" customFormat="1" x14ac:dyDescent="0.35">
      <c r="D126" s="211"/>
      <c r="F126" s="13"/>
      <c r="G126" s="13"/>
    </row>
    <row r="127" spans="4:7" s="2" customFormat="1" x14ac:dyDescent="0.35">
      <c r="D127" s="211"/>
      <c r="F127" s="13"/>
      <c r="G127" s="13"/>
    </row>
    <row r="128" spans="4:7" s="2" customFormat="1" x14ac:dyDescent="0.35">
      <c r="D128" s="211"/>
      <c r="F128" s="13"/>
      <c r="G128" s="13"/>
    </row>
    <row r="129" spans="4:16" s="2" customFormat="1" x14ac:dyDescent="0.35">
      <c r="D129" s="211"/>
      <c r="F129" s="13"/>
      <c r="G129" s="13"/>
    </row>
    <row r="130" spans="4:16" s="2" customFormat="1" x14ac:dyDescent="0.35">
      <c r="F130" s="13"/>
      <c r="G130" s="13"/>
    </row>
    <row r="131" spans="4:16" s="2" customFormat="1" x14ac:dyDescent="0.35">
      <c r="F131" s="13"/>
    </row>
    <row r="132" spans="4:16" s="2" customFormat="1" ht="15.5" x14ac:dyDescent="0.35">
      <c r="F132" s="13"/>
      <c r="G132" s="13"/>
      <c r="H132" s="5"/>
      <c r="I132" s="5"/>
      <c r="J132" s="5"/>
      <c r="K132" s="5"/>
      <c r="L132" s="5"/>
      <c r="M132" s="5"/>
      <c r="N132" s="5"/>
      <c r="O132" s="5"/>
      <c r="P132" s="14"/>
    </row>
    <row r="133" spans="4:16" s="2" customFormat="1" x14ac:dyDescent="0.35">
      <c r="E133" s="3"/>
      <c r="F133" s="13"/>
      <c r="G133" s="49"/>
      <c r="H133" s="13"/>
      <c r="I133" s="13"/>
      <c r="J133" s="13"/>
      <c r="K133" s="13"/>
      <c r="L133" s="13"/>
      <c r="M133" s="13"/>
      <c r="N133" s="13"/>
      <c r="O133" s="13"/>
      <c r="P133" s="13"/>
    </row>
    <row r="134" spans="4:16" s="2" customFormat="1" x14ac:dyDescent="0.35">
      <c r="E134" s="3"/>
      <c r="F134" s="13"/>
      <c r="G134" s="49"/>
    </row>
    <row r="135" spans="4:16" s="2" customFormat="1" x14ac:dyDescent="0.35">
      <c r="E135" s="3"/>
      <c r="F135" s="13"/>
      <c r="G135" s="49"/>
    </row>
    <row r="136" spans="4:16" s="2" customFormat="1" x14ac:dyDescent="0.35">
      <c r="E136" s="3"/>
    </row>
    <row r="137" spans="4:16" s="2" customFormat="1" x14ac:dyDescent="0.35">
      <c r="E137" s="3"/>
    </row>
    <row r="138" spans="4:16" s="2" customFormat="1" ht="15.5" x14ac:dyDescent="0.35">
      <c r="E138" s="3"/>
      <c r="G138" s="13"/>
      <c r="H138" s="5"/>
      <c r="I138" s="5"/>
      <c r="J138" s="5"/>
      <c r="K138" s="5"/>
      <c r="L138" s="5"/>
      <c r="M138" s="5"/>
      <c r="N138" s="5"/>
      <c r="O138" s="5"/>
      <c r="P138" s="14"/>
    </row>
    <row r="139" spans="4:16" s="2" customFormat="1" x14ac:dyDescent="0.35">
      <c r="E139" s="3"/>
      <c r="G139" s="49"/>
      <c r="H139" s="13"/>
      <c r="I139" s="13"/>
      <c r="J139" s="13"/>
      <c r="K139" s="13"/>
      <c r="L139" s="13"/>
      <c r="M139" s="13"/>
      <c r="N139" s="13"/>
      <c r="O139" s="13"/>
      <c r="P139" s="13"/>
    </row>
    <row r="140" spans="4:16" s="2" customFormat="1" x14ac:dyDescent="0.35">
      <c r="G140" s="49"/>
    </row>
    <row r="141" spans="4:16" s="2" customFormat="1" x14ac:dyDescent="0.35">
      <c r="G141" s="49"/>
    </row>
    <row r="142" spans="4:16" s="2" customFormat="1" x14ac:dyDescent="0.35"/>
    <row r="143" spans="4:16" s="2" customFormat="1" x14ac:dyDescent="0.35"/>
    <row r="144" spans="4:16" s="2" customFormat="1" x14ac:dyDescent="0.35"/>
    <row r="145" spans="4:18" s="2" customFormat="1" x14ac:dyDescent="0.35"/>
    <row r="146" spans="4:18" s="2" customFormat="1" ht="18.5" x14ac:dyDescent="0.45">
      <c r="F146" s="1"/>
      <c r="G146" s="3"/>
      <c r="H146" s="3"/>
      <c r="I146" s="3"/>
      <c r="J146" s="3"/>
      <c r="K146" s="3"/>
      <c r="L146" s="3"/>
      <c r="M146" s="3"/>
      <c r="N146" s="3"/>
      <c r="O146" s="3"/>
    </row>
    <row r="147" spans="4:18" s="2" customFormat="1" ht="18.5" x14ac:dyDescent="0.45">
      <c r="F147" s="1"/>
      <c r="G147" s="3"/>
      <c r="H147" s="3"/>
      <c r="I147" s="3"/>
      <c r="J147" s="3"/>
      <c r="K147" s="3"/>
      <c r="L147" s="3"/>
      <c r="M147" s="3"/>
      <c r="N147" s="3"/>
      <c r="O147" s="3"/>
    </row>
    <row r="148" spans="4:18" s="2" customFormat="1" ht="15.5" x14ac:dyDescent="0.35">
      <c r="D148" s="199"/>
      <c r="F148" s="5"/>
      <c r="G148" s="5"/>
      <c r="H148" s="5"/>
      <c r="I148" s="5"/>
      <c r="J148" s="5"/>
      <c r="K148" s="5"/>
      <c r="L148" s="5"/>
      <c r="M148" s="5"/>
      <c r="N148" s="5"/>
      <c r="O148" s="5"/>
      <c r="P148" s="14"/>
      <c r="R148" s="14"/>
    </row>
    <row r="149" spans="4:18" s="2" customFormat="1" x14ac:dyDescent="0.35">
      <c r="D149" s="211"/>
    </row>
    <row r="150" spans="4:18" s="2" customFormat="1" x14ac:dyDescent="0.35">
      <c r="D150" s="211"/>
      <c r="F150" s="13"/>
    </row>
    <row r="151" spans="4:18" s="2" customFormat="1" x14ac:dyDescent="0.35">
      <c r="D151" s="211"/>
      <c r="F151" s="13"/>
    </row>
    <row r="152" spans="4:18" s="2" customFormat="1" x14ac:dyDescent="0.35">
      <c r="D152" s="211"/>
      <c r="F152" s="13"/>
    </row>
    <row r="153" spans="4:18" s="2" customFormat="1" x14ac:dyDescent="0.35">
      <c r="D153" s="211"/>
      <c r="F153" s="13"/>
    </row>
    <row r="154" spans="4:18" s="2" customFormat="1" x14ac:dyDescent="0.35">
      <c r="D154" s="211"/>
      <c r="F154" s="13"/>
    </row>
    <row r="155" spans="4:18" s="2" customFormat="1" x14ac:dyDescent="0.35">
      <c r="D155" s="211"/>
      <c r="F155" s="13"/>
    </row>
    <row r="156" spans="4:18" s="2" customFormat="1" x14ac:dyDescent="0.35">
      <c r="D156" s="211"/>
      <c r="F156" s="13"/>
    </row>
    <row r="157" spans="4:18" s="2" customFormat="1" x14ac:dyDescent="0.35">
      <c r="D157" s="211"/>
      <c r="F157" s="13"/>
    </row>
    <row r="158" spans="4:18" s="2" customFormat="1" x14ac:dyDescent="0.35">
      <c r="D158" s="211"/>
      <c r="F158" s="13"/>
    </row>
    <row r="159" spans="4:18" s="2" customFormat="1" x14ac:dyDescent="0.35">
      <c r="D159" s="211"/>
      <c r="F159" s="13"/>
    </row>
    <row r="160" spans="4:18" s="2" customFormat="1" x14ac:dyDescent="0.35">
      <c r="D160" s="211"/>
      <c r="F160" s="13"/>
    </row>
    <row r="161" spans="4:7" s="2" customFormat="1" x14ac:dyDescent="0.35">
      <c r="D161" s="211"/>
      <c r="F161" s="13"/>
    </row>
    <row r="162" spans="4:7" s="2" customFormat="1" x14ac:dyDescent="0.35">
      <c r="D162" s="211"/>
      <c r="F162" s="13"/>
    </row>
    <row r="163" spans="4:7" s="2" customFormat="1" x14ac:dyDescent="0.35">
      <c r="D163" s="211"/>
      <c r="F163" s="13"/>
    </row>
    <row r="164" spans="4:7" s="2" customFormat="1" x14ac:dyDescent="0.35">
      <c r="D164" s="211"/>
      <c r="F164" s="13"/>
      <c r="G164" s="13"/>
    </row>
    <row r="165" spans="4:7" s="2" customFormat="1" x14ac:dyDescent="0.35">
      <c r="D165" s="211"/>
      <c r="F165" s="13"/>
      <c r="G165" s="13"/>
    </row>
    <row r="166" spans="4:7" s="2" customFormat="1" x14ac:dyDescent="0.35">
      <c r="D166" s="211"/>
      <c r="F166" s="13"/>
      <c r="G166" s="13"/>
    </row>
    <row r="167" spans="4:7" s="2" customFormat="1" x14ac:dyDescent="0.35">
      <c r="D167" s="211"/>
      <c r="F167" s="13"/>
      <c r="G167" s="13"/>
    </row>
    <row r="168" spans="4:7" s="2" customFormat="1" x14ac:dyDescent="0.35">
      <c r="D168" s="211"/>
      <c r="F168" s="13"/>
      <c r="G168" s="13"/>
    </row>
    <row r="169" spans="4:7" s="2" customFormat="1" x14ac:dyDescent="0.35">
      <c r="D169" s="211"/>
      <c r="F169" s="13"/>
      <c r="G169" s="13"/>
    </row>
    <row r="170" spans="4:7" s="2" customFormat="1" x14ac:dyDescent="0.35">
      <c r="D170" s="211"/>
      <c r="F170" s="13"/>
      <c r="G170" s="13"/>
    </row>
    <row r="171" spans="4:7" s="2" customFormat="1" x14ac:dyDescent="0.35">
      <c r="D171" s="211"/>
      <c r="F171" s="13"/>
      <c r="G171" s="13"/>
    </row>
    <row r="172" spans="4:7" s="2" customFormat="1" x14ac:dyDescent="0.35">
      <c r="D172" s="211"/>
      <c r="F172" s="13"/>
      <c r="G172" s="13"/>
    </row>
    <row r="173" spans="4:7" s="2" customFormat="1" x14ac:dyDescent="0.35">
      <c r="D173" s="211"/>
      <c r="F173" s="13"/>
      <c r="G173" s="13"/>
    </row>
    <row r="174" spans="4:7" s="2" customFormat="1" x14ac:dyDescent="0.35">
      <c r="D174" s="211"/>
      <c r="F174" s="13"/>
      <c r="G174" s="13"/>
    </row>
    <row r="175" spans="4:7" s="2" customFormat="1" x14ac:dyDescent="0.35">
      <c r="F175" s="13"/>
      <c r="G175" s="13"/>
    </row>
    <row r="176" spans="4:7" s="2" customFormat="1" x14ac:dyDescent="0.35">
      <c r="F176" s="13"/>
    </row>
    <row r="177" spans="4:18" s="2" customFormat="1" ht="15.5" x14ac:dyDescent="0.35">
      <c r="F177" s="13"/>
      <c r="G177" s="13"/>
      <c r="H177" s="5"/>
      <c r="I177" s="5"/>
      <c r="J177" s="5"/>
      <c r="K177" s="5"/>
      <c r="L177" s="5"/>
      <c r="M177" s="5"/>
      <c r="N177" s="5"/>
      <c r="O177" s="5"/>
      <c r="P177" s="14"/>
    </row>
    <row r="178" spans="4:18" s="2" customFormat="1" x14ac:dyDescent="0.35">
      <c r="E178" s="3"/>
      <c r="F178" s="13"/>
      <c r="G178" s="49"/>
      <c r="H178" s="13"/>
      <c r="I178" s="13"/>
      <c r="J178" s="13"/>
      <c r="K178" s="13"/>
      <c r="L178" s="13"/>
      <c r="M178" s="13"/>
      <c r="N178" s="13"/>
      <c r="O178" s="13"/>
      <c r="P178" s="13"/>
    </row>
    <row r="179" spans="4:18" s="2" customFormat="1" x14ac:dyDescent="0.35">
      <c r="E179" s="3"/>
      <c r="F179" s="13"/>
      <c r="G179" s="49"/>
    </row>
    <row r="180" spans="4:18" s="2" customFormat="1" x14ac:dyDescent="0.35">
      <c r="E180" s="3"/>
      <c r="F180" s="13"/>
      <c r="G180" s="49"/>
    </row>
    <row r="181" spans="4:18" s="2" customFormat="1" x14ac:dyDescent="0.35">
      <c r="E181" s="3"/>
    </row>
    <row r="182" spans="4:18" s="2" customFormat="1" x14ac:dyDescent="0.35">
      <c r="E182" s="3"/>
    </row>
    <row r="183" spans="4:18" s="2" customFormat="1" ht="15.5" x14ac:dyDescent="0.35">
      <c r="E183" s="3"/>
      <c r="G183" s="13"/>
      <c r="H183" s="5"/>
      <c r="I183" s="5"/>
      <c r="J183" s="5"/>
      <c r="K183" s="5"/>
      <c r="L183" s="5"/>
      <c r="M183" s="5"/>
      <c r="N183" s="5"/>
      <c r="O183" s="5"/>
      <c r="P183" s="14"/>
    </row>
    <row r="184" spans="4:18" s="2" customFormat="1" x14ac:dyDescent="0.35">
      <c r="E184" s="3"/>
      <c r="G184" s="49"/>
      <c r="H184" s="13"/>
      <c r="I184" s="13"/>
      <c r="J184" s="13"/>
      <c r="K184" s="13"/>
      <c r="L184" s="13"/>
      <c r="M184" s="13"/>
      <c r="N184" s="13"/>
      <c r="O184" s="13"/>
      <c r="P184" s="13"/>
    </row>
    <row r="185" spans="4:18" s="2" customFormat="1" x14ac:dyDescent="0.35">
      <c r="G185" s="49"/>
    </row>
    <row r="186" spans="4:18" s="2" customFormat="1" x14ac:dyDescent="0.35">
      <c r="G186" s="49"/>
    </row>
    <row r="187" spans="4:18" s="2" customFormat="1" x14ac:dyDescent="0.35"/>
    <row r="188" spans="4:18" s="2" customFormat="1" x14ac:dyDescent="0.35"/>
    <row r="189" spans="4:18" s="2" customFormat="1" x14ac:dyDescent="0.35"/>
    <row r="190" spans="4:18" s="2" customFormat="1" x14ac:dyDescent="0.35"/>
    <row r="191" spans="4:18" s="2" customFormat="1" ht="18.5" x14ac:dyDescent="0.45">
      <c r="F191" s="1"/>
      <c r="G191" s="3"/>
      <c r="H191" s="3"/>
      <c r="I191" s="3"/>
      <c r="J191" s="3"/>
      <c r="K191" s="3"/>
      <c r="L191" s="3"/>
      <c r="M191" s="3"/>
      <c r="N191" s="3"/>
      <c r="O191" s="3"/>
    </row>
    <row r="192" spans="4:18" s="2" customFormat="1" ht="15.5" x14ac:dyDescent="0.35">
      <c r="D192" s="199"/>
      <c r="F192" s="5"/>
      <c r="G192" s="5"/>
      <c r="H192" s="5"/>
      <c r="I192" s="5"/>
      <c r="J192" s="5"/>
      <c r="K192" s="5"/>
      <c r="L192" s="5"/>
      <c r="M192" s="5"/>
      <c r="N192" s="5"/>
      <c r="O192" s="5"/>
      <c r="P192" s="14"/>
      <c r="R192" s="14"/>
    </row>
    <row r="193" spans="4:7" s="2" customFormat="1" x14ac:dyDescent="0.35">
      <c r="D193" s="211"/>
    </row>
    <row r="194" spans="4:7" s="2" customFormat="1" x14ac:dyDescent="0.35">
      <c r="D194" s="211"/>
      <c r="F194" s="13"/>
    </row>
    <row r="195" spans="4:7" s="2" customFormat="1" x14ac:dyDescent="0.35">
      <c r="D195" s="211"/>
      <c r="F195" s="13"/>
    </row>
    <row r="196" spans="4:7" s="2" customFormat="1" x14ac:dyDescent="0.35">
      <c r="D196" s="211"/>
      <c r="F196" s="13"/>
    </row>
    <row r="197" spans="4:7" s="2" customFormat="1" x14ac:dyDescent="0.35">
      <c r="D197" s="211"/>
      <c r="F197" s="13"/>
    </row>
    <row r="198" spans="4:7" s="2" customFormat="1" x14ac:dyDescent="0.35">
      <c r="D198" s="211"/>
      <c r="F198" s="13"/>
    </row>
    <row r="199" spans="4:7" s="2" customFormat="1" x14ac:dyDescent="0.35">
      <c r="D199" s="211"/>
      <c r="F199" s="13"/>
    </row>
    <row r="200" spans="4:7" s="2" customFormat="1" x14ac:dyDescent="0.35">
      <c r="D200" s="211"/>
      <c r="F200" s="13"/>
    </row>
    <row r="201" spans="4:7" s="2" customFormat="1" x14ac:dyDescent="0.35">
      <c r="D201" s="211"/>
      <c r="F201" s="13"/>
    </row>
    <row r="202" spans="4:7" s="2" customFormat="1" x14ac:dyDescent="0.35">
      <c r="D202" s="211"/>
      <c r="F202" s="13"/>
    </row>
    <row r="203" spans="4:7" s="2" customFormat="1" x14ac:dyDescent="0.35">
      <c r="D203" s="211"/>
      <c r="F203" s="13"/>
    </row>
    <row r="204" spans="4:7" s="2" customFormat="1" x14ac:dyDescent="0.35">
      <c r="D204" s="211"/>
      <c r="F204" s="13"/>
    </row>
    <row r="205" spans="4:7" s="2" customFormat="1" x14ac:dyDescent="0.35">
      <c r="D205" s="211"/>
      <c r="F205" s="13"/>
    </row>
    <row r="206" spans="4:7" s="2" customFormat="1" x14ac:dyDescent="0.35">
      <c r="D206" s="211"/>
      <c r="F206" s="13"/>
    </row>
    <row r="207" spans="4:7" s="2" customFormat="1" x14ac:dyDescent="0.35">
      <c r="D207" s="211"/>
      <c r="F207" s="13"/>
    </row>
    <row r="208" spans="4:7" s="2" customFormat="1" x14ac:dyDescent="0.35">
      <c r="D208" s="211"/>
      <c r="F208" s="13"/>
      <c r="G208" s="13"/>
    </row>
    <row r="209" spans="4:16" s="2" customFormat="1" x14ac:dyDescent="0.35">
      <c r="D209" s="211"/>
      <c r="F209" s="13"/>
      <c r="G209" s="13"/>
    </row>
    <row r="210" spans="4:16" s="2" customFormat="1" x14ac:dyDescent="0.35">
      <c r="D210" s="211"/>
      <c r="F210" s="13"/>
      <c r="G210" s="13"/>
    </row>
    <row r="211" spans="4:16" s="2" customFormat="1" x14ac:dyDescent="0.35">
      <c r="D211" s="211"/>
      <c r="F211" s="13"/>
      <c r="G211" s="13"/>
    </row>
    <row r="212" spans="4:16" s="2" customFormat="1" x14ac:dyDescent="0.35">
      <c r="D212" s="211"/>
      <c r="F212" s="13"/>
      <c r="G212" s="13"/>
    </row>
    <row r="213" spans="4:16" s="2" customFormat="1" x14ac:dyDescent="0.35">
      <c r="D213" s="211"/>
      <c r="F213" s="13"/>
      <c r="G213" s="13"/>
    </row>
    <row r="214" spans="4:16" s="2" customFormat="1" x14ac:dyDescent="0.35">
      <c r="D214" s="211"/>
      <c r="F214" s="13"/>
      <c r="G214" s="13"/>
    </row>
    <row r="215" spans="4:16" s="2" customFormat="1" x14ac:dyDescent="0.35">
      <c r="D215" s="211"/>
      <c r="F215" s="13"/>
      <c r="G215" s="13"/>
    </row>
    <row r="216" spans="4:16" s="2" customFormat="1" x14ac:dyDescent="0.35">
      <c r="D216" s="211"/>
      <c r="F216" s="13"/>
      <c r="G216" s="13"/>
    </row>
    <row r="217" spans="4:16" s="2" customFormat="1" x14ac:dyDescent="0.35">
      <c r="D217" s="211"/>
      <c r="F217" s="13"/>
      <c r="G217" s="13"/>
    </row>
    <row r="218" spans="4:16" s="2" customFormat="1" x14ac:dyDescent="0.35">
      <c r="D218" s="211"/>
      <c r="F218" s="13"/>
      <c r="G218" s="13"/>
    </row>
    <row r="219" spans="4:16" s="2" customFormat="1" x14ac:dyDescent="0.35">
      <c r="F219" s="13"/>
      <c r="G219" s="13"/>
    </row>
    <row r="220" spans="4:16" s="2" customFormat="1" x14ac:dyDescent="0.35">
      <c r="F220" s="13"/>
    </row>
    <row r="221" spans="4:16" s="2" customFormat="1" ht="15.5" x14ac:dyDescent="0.35">
      <c r="F221" s="13"/>
      <c r="G221" s="13"/>
      <c r="H221" s="5"/>
      <c r="I221" s="5"/>
      <c r="J221" s="5"/>
      <c r="K221" s="5"/>
      <c r="L221" s="5"/>
      <c r="M221" s="5"/>
      <c r="N221" s="5"/>
      <c r="O221" s="5"/>
      <c r="P221" s="14"/>
    </row>
    <row r="222" spans="4:16" s="2" customFormat="1" x14ac:dyDescent="0.35">
      <c r="E222" s="3"/>
      <c r="F222" s="13"/>
      <c r="G222" s="49"/>
      <c r="H222" s="13"/>
      <c r="I222" s="13"/>
      <c r="J222" s="13"/>
      <c r="K222" s="13"/>
      <c r="L222" s="13"/>
      <c r="M222" s="13"/>
      <c r="N222" s="13"/>
      <c r="O222" s="13"/>
      <c r="P222" s="13"/>
    </row>
    <row r="223" spans="4:16" s="2" customFormat="1" x14ac:dyDescent="0.35">
      <c r="E223" s="3"/>
      <c r="F223" s="13"/>
      <c r="G223" s="49"/>
    </row>
    <row r="224" spans="4:16" s="2" customFormat="1" x14ac:dyDescent="0.35">
      <c r="E224" s="3"/>
      <c r="F224" s="13"/>
      <c r="G224" s="49"/>
    </row>
    <row r="225" spans="5:16" s="2" customFormat="1" x14ac:dyDescent="0.35">
      <c r="E225" s="3"/>
    </row>
    <row r="226" spans="5:16" s="2" customFormat="1" x14ac:dyDescent="0.35">
      <c r="E226" s="3"/>
    </row>
    <row r="227" spans="5:16" s="2" customFormat="1" ht="15.5" x14ac:dyDescent="0.35">
      <c r="E227" s="3"/>
      <c r="G227" s="13"/>
      <c r="H227" s="5"/>
      <c r="I227" s="5"/>
      <c r="J227" s="5"/>
      <c r="K227" s="5"/>
      <c r="L227" s="5"/>
      <c r="M227" s="5"/>
      <c r="N227" s="5"/>
      <c r="O227" s="5"/>
      <c r="P227" s="14"/>
    </row>
    <row r="228" spans="5:16" s="2" customFormat="1" x14ac:dyDescent="0.35">
      <c r="E228" s="3"/>
      <c r="G228" s="49"/>
      <c r="H228" s="13"/>
      <c r="I228" s="13"/>
      <c r="J228" s="13"/>
      <c r="K228" s="13"/>
      <c r="L228" s="13"/>
      <c r="M228" s="13"/>
      <c r="N228" s="13"/>
      <c r="O228" s="13"/>
      <c r="P228" s="13"/>
    </row>
    <row r="229" spans="5:16" s="2" customFormat="1" x14ac:dyDescent="0.35">
      <c r="G229" s="49"/>
    </row>
    <row r="230" spans="5:16" s="2" customFormat="1" x14ac:dyDescent="0.35">
      <c r="G230" s="49"/>
    </row>
    <row r="231" spans="5:16" s="2" customFormat="1" x14ac:dyDescent="0.35"/>
    <row r="232" spans="5:16" s="2" customFormat="1" x14ac:dyDescent="0.35"/>
    <row r="233" spans="5:16" s="2" customFormat="1" x14ac:dyDescent="0.35"/>
    <row r="234" spans="5:16" s="2" customFormat="1" x14ac:dyDescent="0.35"/>
    <row r="235" spans="5:16" s="2" customFormat="1" x14ac:dyDescent="0.35"/>
    <row r="236" spans="5:16" s="2" customFormat="1" x14ac:dyDescent="0.35"/>
    <row r="237" spans="5:16" s="2" customFormat="1" x14ac:dyDescent="0.35"/>
    <row r="238" spans="5:16" s="2" customFormat="1" x14ac:dyDescent="0.35"/>
    <row r="239" spans="5:16" s="2" customFormat="1" x14ac:dyDescent="0.35"/>
    <row r="240" spans="5:16" s="2" customFormat="1" x14ac:dyDescent="0.35"/>
    <row r="241" s="2" customFormat="1" x14ac:dyDescent="0.35"/>
    <row r="242" s="2" customFormat="1" x14ac:dyDescent="0.35"/>
    <row r="243" s="2" customFormat="1" x14ac:dyDescent="0.35"/>
    <row r="244" s="2" customFormat="1" x14ac:dyDescent="0.35"/>
    <row r="245" s="2" customFormat="1" x14ac:dyDescent="0.35"/>
    <row r="246" s="2" customFormat="1" x14ac:dyDescent="0.35"/>
    <row r="247" s="2" customFormat="1" x14ac:dyDescent="0.35"/>
    <row r="248" s="2" customFormat="1" x14ac:dyDescent="0.35"/>
    <row r="249" s="2" customFormat="1" x14ac:dyDescent="0.35"/>
    <row r="250" s="2" customFormat="1" x14ac:dyDescent="0.35"/>
    <row r="251" s="2" customFormat="1" x14ac:dyDescent="0.35"/>
    <row r="252" s="2" customFormat="1" x14ac:dyDescent="0.35"/>
    <row r="253" s="2" customFormat="1" x14ac:dyDescent="0.35"/>
    <row r="254" s="2" customFormat="1" x14ac:dyDescent="0.35"/>
    <row r="255" s="2" customFormat="1" x14ac:dyDescent="0.35"/>
    <row r="256" s="2" customFormat="1" x14ac:dyDescent="0.35"/>
    <row r="257" s="2" customFormat="1" x14ac:dyDescent="0.35"/>
    <row r="258" s="2" customFormat="1" x14ac:dyDescent="0.35"/>
    <row r="259" s="2" customFormat="1" x14ac:dyDescent="0.35"/>
    <row r="260" s="2" customFormat="1" x14ac:dyDescent="0.35"/>
    <row r="261" s="2" customFormat="1" x14ac:dyDescent="0.35"/>
    <row r="262" s="2" customFormat="1" x14ac:dyDescent="0.35"/>
    <row r="263" s="2" customFormat="1" x14ac:dyDescent="0.35"/>
    <row r="264" s="2" customFormat="1" x14ac:dyDescent="0.35"/>
    <row r="265" s="2" customFormat="1" x14ac:dyDescent="0.35"/>
    <row r="266" s="2" customFormat="1" x14ac:dyDescent="0.35"/>
    <row r="267" s="2" customFormat="1" x14ac:dyDescent="0.35"/>
    <row r="268" s="2" customFormat="1" x14ac:dyDescent="0.3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91"/>
  <sheetViews>
    <sheetView workbookViewId="0">
      <selection activeCell="U20" sqref="U20"/>
    </sheetView>
  </sheetViews>
  <sheetFormatPr defaultRowHeight="14.5" x14ac:dyDescent="0.35"/>
  <sheetData>
    <row r="4" spans="2:18" ht="18.5" x14ac:dyDescent="0.45">
      <c r="B4" s="2"/>
      <c r="C4" s="1" t="s">
        <v>561</v>
      </c>
      <c r="D4" s="2"/>
      <c r="E4" s="2"/>
      <c r="F4" s="2"/>
      <c r="G4" s="2"/>
      <c r="H4" s="2"/>
      <c r="I4" s="2"/>
      <c r="J4" s="2"/>
      <c r="K4" s="2"/>
      <c r="L4" s="2"/>
      <c r="M4" s="2"/>
      <c r="N4" s="2"/>
      <c r="O4" s="2"/>
    </row>
    <row r="5" spans="2:18" ht="18.5" x14ac:dyDescent="0.45">
      <c r="B5" s="2"/>
      <c r="C5" s="2"/>
      <c r="D5" s="2"/>
      <c r="E5" s="2"/>
      <c r="F5" s="1" t="s">
        <v>0</v>
      </c>
      <c r="G5" s="3"/>
      <c r="H5" s="3"/>
      <c r="I5" s="3"/>
      <c r="J5" s="3"/>
      <c r="K5" s="3"/>
      <c r="L5" s="3"/>
      <c r="M5" s="3"/>
      <c r="N5" s="3"/>
      <c r="O5" s="3"/>
    </row>
    <row r="6" spans="2:18"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row>
    <row r="7" spans="2:18" x14ac:dyDescent="0.35">
      <c r="B7" s="2"/>
      <c r="C7" s="2"/>
      <c r="D7" s="2"/>
      <c r="E7" s="2"/>
      <c r="F7" s="2">
        <v>0.77434999999999998</v>
      </c>
      <c r="G7" s="2">
        <v>3.8872800000000001</v>
      </c>
      <c r="H7" s="2">
        <f t="shared" ref="H7:H14" si="0">G7-F7</f>
        <v>3.11293</v>
      </c>
      <c r="I7" s="2">
        <f t="shared" ref="I7:I13" si="1">F8-G7</f>
        <v>5.4676399999999994</v>
      </c>
      <c r="J7" s="2">
        <f>H7/N7</f>
        <v>0.36278825299484768</v>
      </c>
      <c r="K7" s="2">
        <f>I7/N7</f>
        <v>0.63721174700515226</v>
      </c>
      <c r="L7" s="2">
        <f>1/H7</f>
        <v>0.32124076031263149</v>
      </c>
      <c r="M7" s="2">
        <f>1/N7</f>
        <v>0.11654237422455618</v>
      </c>
      <c r="N7" s="2">
        <f>H7+I7</f>
        <v>8.5805699999999998</v>
      </c>
      <c r="O7" s="2">
        <v>13</v>
      </c>
      <c r="P7">
        <f>O7/H7</f>
        <v>4.1761298840642098</v>
      </c>
      <c r="R7" t="s">
        <v>562</v>
      </c>
    </row>
    <row r="8" spans="2:18" x14ac:dyDescent="0.35">
      <c r="B8" s="2"/>
      <c r="C8" s="2"/>
      <c r="D8" s="2"/>
      <c r="E8" s="2"/>
      <c r="F8" s="13">
        <v>9.3549199999999999</v>
      </c>
      <c r="G8" s="2">
        <v>13.24273</v>
      </c>
      <c r="H8" s="2">
        <f t="shared" si="0"/>
        <v>3.88781</v>
      </c>
      <c r="I8" s="2">
        <f t="shared" si="1"/>
        <v>7.1037100000000013</v>
      </c>
      <c r="J8" s="2">
        <f t="shared" ref="J8:J13" si="2">H8/N8</f>
        <v>0.35370995094400043</v>
      </c>
      <c r="K8" s="2">
        <f t="shared" ref="K8:K13" si="3">I8/N8</f>
        <v>0.64629004905599963</v>
      </c>
      <c r="L8" s="2">
        <f t="shared" ref="L8:L13" si="4">1/H8</f>
        <v>0.25721421571527414</v>
      </c>
      <c r="M8" s="2">
        <f t="shared" ref="M8:M13" si="5">1/N8</f>
        <v>9.0979227622749168E-2</v>
      </c>
      <c r="N8" s="2">
        <f t="shared" ref="N8:N13" si="6">H8+I8</f>
        <v>10.991520000000001</v>
      </c>
      <c r="O8" s="2">
        <v>15</v>
      </c>
      <c r="P8">
        <f t="shared" ref="P8:P13" si="7">O8/H8</f>
        <v>3.8582132357291123</v>
      </c>
    </row>
    <row r="9" spans="2:18" x14ac:dyDescent="0.35">
      <c r="B9" s="2"/>
      <c r="C9" s="2"/>
      <c r="D9" s="2"/>
      <c r="E9" s="2"/>
      <c r="F9" s="13">
        <v>20.346440000000001</v>
      </c>
      <c r="G9" s="2">
        <v>24.16451</v>
      </c>
      <c r="H9" s="2">
        <f t="shared" si="0"/>
        <v>3.8180699999999987</v>
      </c>
      <c r="I9" s="2">
        <f t="shared" si="1"/>
        <v>15.446199999999997</v>
      </c>
      <c r="J9" s="2">
        <f t="shared" si="2"/>
        <v>0.19819437746667792</v>
      </c>
      <c r="K9" s="2">
        <f t="shared" si="3"/>
        <v>0.8018056225333221</v>
      </c>
      <c r="L9" s="2">
        <f t="shared" si="4"/>
        <v>0.26191243219741922</v>
      </c>
      <c r="M9" s="2">
        <f t="shared" si="5"/>
        <v>5.1909571450150988E-2</v>
      </c>
      <c r="N9" s="2">
        <f t="shared" si="6"/>
        <v>19.264269999999996</v>
      </c>
      <c r="O9" s="2">
        <v>16</v>
      </c>
      <c r="P9">
        <f t="shared" si="7"/>
        <v>4.1905989151587075</v>
      </c>
    </row>
    <row r="10" spans="2:18" x14ac:dyDescent="0.35">
      <c r="B10" s="2"/>
      <c r="C10" s="2"/>
      <c r="D10" s="2"/>
      <c r="E10" s="2"/>
      <c r="F10" s="13">
        <v>39.610709999999997</v>
      </c>
      <c r="G10" s="2">
        <v>42.587859999999999</v>
      </c>
      <c r="H10" s="2">
        <f t="shared" si="0"/>
        <v>2.9771500000000017</v>
      </c>
      <c r="I10" s="2">
        <f t="shared" si="1"/>
        <v>22.333210000000001</v>
      </c>
      <c r="J10" s="2">
        <f t="shared" si="2"/>
        <v>0.11762574692734522</v>
      </c>
      <c r="K10" s="2">
        <f t="shared" si="3"/>
        <v>0.88237425307265482</v>
      </c>
      <c r="L10" s="2">
        <f t="shared" si="4"/>
        <v>0.33589170851317518</v>
      </c>
      <c r="M10" s="2">
        <f t="shared" si="5"/>
        <v>3.9509513100564352E-2</v>
      </c>
      <c r="N10" s="2">
        <f t="shared" si="6"/>
        <v>25.310360000000003</v>
      </c>
      <c r="O10" s="2">
        <v>12</v>
      </c>
      <c r="P10">
        <f t="shared" si="7"/>
        <v>4.0307005021581022</v>
      </c>
    </row>
    <row r="11" spans="2:18" x14ac:dyDescent="0.35">
      <c r="B11" s="2"/>
      <c r="C11" s="2"/>
      <c r="D11" s="2"/>
      <c r="E11" s="2"/>
      <c r="F11" s="13">
        <v>64.92107</v>
      </c>
      <c r="G11" s="2">
        <v>67.956059999999994</v>
      </c>
      <c r="H11" s="2">
        <f t="shared" si="0"/>
        <v>3.0349899999999934</v>
      </c>
      <c r="I11" s="2">
        <f t="shared" si="1"/>
        <v>15.663200000000003</v>
      </c>
      <c r="J11" s="2">
        <f t="shared" si="2"/>
        <v>0.16231464114975802</v>
      </c>
      <c r="K11" s="2">
        <f t="shared" si="3"/>
        <v>0.83768535885024198</v>
      </c>
      <c r="L11" s="2">
        <f t="shared" si="4"/>
        <v>0.32949037723353358</v>
      </c>
      <c r="M11" s="2">
        <f t="shared" si="5"/>
        <v>5.3481112342959408E-2</v>
      </c>
      <c r="N11" s="2">
        <f t="shared" si="6"/>
        <v>18.698189999999997</v>
      </c>
      <c r="O11" s="2">
        <v>10</v>
      </c>
      <c r="P11">
        <f t="shared" si="7"/>
        <v>3.2949037723353363</v>
      </c>
    </row>
    <row r="12" spans="2:18" x14ac:dyDescent="0.35">
      <c r="B12" s="2"/>
      <c r="C12" s="2"/>
      <c r="D12" s="2"/>
      <c r="E12" s="2"/>
      <c r="F12" s="13">
        <v>83.619259999999997</v>
      </c>
      <c r="G12" s="2">
        <v>86.452119999999994</v>
      </c>
      <c r="H12" s="2">
        <f t="shared" si="0"/>
        <v>2.8328599999999966</v>
      </c>
      <c r="I12" s="2">
        <f t="shared" si="1"/>
        <v>4.5189900000000023</v>
      </c>
      <c r="J12" s="2">
        <f t="shared" si="2"/>
        <v>0.38532614239953167</v>
      </c>
      <c r="K12" s="2">
        <f t="shared" si="3"/>
        <v>0.61467385760046833</v>
      </c>
      <c r="L12" s="2">
        <f t="shared" si="4"/>
        <v>0.35300014826006271</v>
      </c>
      <c r="M12" s="2">
        <f t="shared" si="5"/>
        <v>0.13602018539551272</v>
      </c>
      <c r="N12" s="2">
        <f t="shared" si="6"/>
        <v>7.3518499999999989</v>
      </c>
      <c r="O12" s="2">
        <v>11</v>
      </c>
      <c r="P12">
        <f t="shared" si="7"/>
        <v>3.8830016308606896</v>
      </c>
    </row>
    <row r="13" spans="2:18" x14ac:dyDescent="0.35">
      <c r="B13" s="2"/>
      <c r="C13" s="2"/>
      <c r="D13" s="2"/>
      <c r="E13" s="2"/>
      <c r="F13" s="13">
        <v>90.971109999999996</v>
      </c>
      <c r="G13" s="2">
        <v>94.787530000000004</v>
      </c>
      <c r="H13" s="2">
        <f t="shared" si="0"/>
        <v>3.8164200000000079</v>
      </c>
      <c r="I13" s="2">
        <f t="shared" si="1"/>
        <v>8.1138199999999898</v>
      </c>
      <c r="J13" s="2">
        <f t="shared" si="2"/>
        <v>0.31989465425674662</v>
      </c>
      <c r="K13" s="2">
        <f t="shared" si="3"/>
        <v>0.68010534574325343</v>
      </c>
      <c r="L13" s="2">
        <f t="shared" si="4"/>
        <v>0.26202566803444011</v>
      </c>
      <c r="M13" s="2">
        <f t="shared" si="5"/>
        <v>8.3820610482270283E-2</v>
      </c>
      <c r="N13" s="2">
        <f t="shared" si="6"/>
        <v>11.930239999999998</v>
      </c>
      <c r="O13" s="2">
        <v>18</v>
      </c>
      <c r="P13">
        <f t="shared" si="7"/>
        <v>4.716462024619922</v>
      </c>
    </row>
    <row r="14" spans="2:18" x14ac:dyDescent="0.35">
      <c r="B14" s="2"/>
      <c r="C14" s="2"/>
      <c r="D14" s="2"/>
      <c r="E14" s="2"/>
      <c r="F14" s="13">
        <v>102.90134999999999</v>
      </c>
      <c r="G14" s="2">
        <v>106.82286999999999</v>
      </c>
      <c r="H14" s="2">
        <f t="shared" si="0"/>
        <v>3.921520000000001</v>
      </c>
      <c r="I14" s="2"/>
      <c r="J14" s="2"/>
      <c r="K14" s="2"/>
      <c r="L14" s="2"/>
      <c r="M14" s="2"/>
      <c r="N14" s="2"/>
      <c r="O14" s="2"/>
    </row>
    <row r="15" spans="2:18" x14ac:dyDescent="0.35">
      <c r="B15" s="2"/>
      <c r="C15" s="2"/>
      <c r="D15" s="2"/>
      <c r="E15" s="2"/>
      <c r="F15" s="13"/>
      <c r="G15" s="2"/>
      <c r="H15" s="2"/>
      <c r="I15" s="2"/>
      <c r="J15" s="2"/>
      <c r="K15" s="2"/>
      <c r="L15" s="2"/>
      <c r="M15" s="2"/>
      <c r="N15" s="2"/>
      <c r="O15" s="2"/>
    </row>
    <row r="16" spans="2:18" x14ac:dyDescent="0.35">
      <c r="G16" s="49"/>
      <c r="H16" s="2"/>
      <c r="I16" s="2"/>
      <c r="J16" s="2"/>
      <c r="K16" s="2"/>
      <c r="L16" s="2"/>
      <c r="M16" s="2"/>
      <c r="N16" s="2"/>
      <c r="O16" s="2"/>
      <c r="P16" s="2"/>
    </row>
    <row r="17" spans="4:18" x14ac:dyDescent="0.35">
      <c r="G17" s="49"/>
      <c r="H17" s="2"/>
      <c r="I17" s="2"/>
      <c r="J17" s="2"/>
      <c r="K17" s="2"/>
      <c r="L17" s="2"/>
      <c r="M17" s="2"/>
      <c r="N17" s="2"/>
      <c r="O17" s="2"/>
      <c r="P17" s="2"/>
    </row>
    <row r="18" spans="4:18" ht="16" thickBot="1" x14ac:dyDescent="0.4">
      <c r="G18" s="13"/>
      <c r="H18" s="9" t="s">
        <v>3</v>
      </c>
      <c r="I18" s="9" t="s">
        <v>4</v>
      </c>
      <c r="J18" s="9" t="s">
        <v>5</v>
      </c>
      <c r="K18" s="9" t="s">
        <v>6</v>
      </c>
      <c r="L18" s="9" t="s">
        <v>7</v>
      </c>
      <c r="M18" s="9" t="s">
        <v>8</v>
      </c>
      <c r="N18" s="9" t="s">
        <v>9</v>
      </c>
      <c r="O18" s="9" t="s">
        <v>10</v>
      </c>
      <c r="P18" s="44" t="s">
        <v>139</v>
      </c>
    </row>
    <row r="19" spans="4:18" x14ac:dyDescent="0.35">
      <c r="G19" s="49" t="s">
        <v>77</v>
      </c>
      <c r="H19" s="13">
        <f>AVERAGE(H7:H13)</f>
        <v>3.3543185714285713</v>
      </c>
      <c r="I19" s="13">
        <f t="shared" ref="I19:P19" si="8">AVERAGE(I7:I13)</f>
        <v>11.235252857142855</v>
      </c>
      <c r="J19" s="13">
        <f t="shared" si="8"/>
        <v>0.2714076808769868</v>
      </c>
      <c r="K19" s="13">
        <f t="shared" si="8"/>
        <v>0.72859231912301325</v>
      </c>
      <c r="L19" s="13">
        <f t="shared" si="8"/>
        <v>0.30296790146664809</v>
      </c>
      <c r="M19" s="13">
        <f t="shared" si="8"/>
        <v>8.1751799231251879E-2</v>
      </c>
      <c r="N19" s="13">
        <f t="shared" si="8"/>
        <v>14.589571428571428</v>
      </c>
      <c r="O19" s="13">
        <f t="shared" si="8"/>
        <v>13.571428571428571</v>
      </c>
      <c r="P19" s="13">
        <f t="shared" si="8"/>
        <v>4.0214299949894396</v>
      </c>
    </row>
    <row r="20" spans="4:18" x14ac:dyDescent="0.35">
      <c r="G20" s="49" t="s">
        <v>94</v>
      </c>
      <c r="H20" s="2">
        <f>_xlfn.STDEV.S(H7:H13)</f>
        <v>0.46325489277605492</v>
      </c>
      <c r="I20" s="2">
        <f t="shared" ref="I20:P20" si="9">_xlfn.STDEV.S(I7:I13)</f>
        <v>6.6544468688582361</v>
      </c>
      <c r="J20" s="2">
        <f t="shared" si="9"/>
        <v>0.10905872837179122</v>
      </c>
      <c r="K20" s="2">
        <f t="shared" si="9"/>
        <v>0.10905872837179105</v>
      </c>
      <c r="L20" s="2">
        <f t="shared" si="9"/>
        <v>4.0987314452185127E-2</v>
      </c>
      <c r="M20" s="2">
        <f t="shared" si="9"/>
        <v>3.5867971538157517E-2</v>
      </c>
      <c r="N20" s="2">
        <f t="shared" si="9"/>
        <v>6.6103402366833013</v>
      </c>
      <c r="O20" s="2">
        <f t="shared" si="9"/>
        <v>2.8784916685156996</v>
      </c>
      <c r="P20" s="2">
        <f t="shared" si="9"/>
        <v>0.42998994531834878</v>
      </c>
    </row>
    <row r="21" spans="4:18" x14ac:dyDescent="0.35">
      <c r="G21" s="49" t="s">
        <v>95</v>
      </c>
      <c r="H21" s="2">
        <f>H20/(SQRT(COUNT(H7:H13)))</f>
        <v>0.17509389141704765</v>
      </c>
      <c r="I21" s="2">
        <f t="shared" ref="I21:P21" si="10">I20/(SQRT(COUNT(I7:I13)))</f>
        <v>2.5151445039559053</v>
      </c>
      <c r="J21" s="2">
        <f t="shared" si="10"/>
        <v>4.1220324796100521E-2</v>
      </c>
      <c r="K21" s="2">
        <f t="shared" si="10"/>
        <v>4.1220324796100459E-2</v>
      </c>
      <c r="L21" s="2">
        <f t="shared" si="10"/>
        <v>1.5491748706983633E-2</v>
      </c>
      <c r="M21" s="2">
        <f t="shared" si="10"/>
        <v>1.3556818960329666E-2</v>
      </c>
      <c r="N21" s="2">
        <f t="shared" si="10"/>
        <v>2.4984737639696943</v>
      </c>
      <c r="O21" s="2">
        <f t="shared" si="10"/>
        <v>1.0879675865519876</v>
      </c>
      <c r="P21" s="2">
        <f t="shared" si="10"/>
        <v>0.16252092308151611</v>
      </c>
    </row>
    <row r="22" spans="4:18" x14ac:dyDescent="0.35">
      <c r="G22" s="49"/>
      <c r="H22" s="2"/>
      <c r="I22" s="2"/>
      <c r="J22" s="2"/>
      <c r="K22" s="2"/>
      <c r="L22" s="2"/>
      <c r="M22" s="2"/>
      <c r="N22" s="2"/>
      <c r="O22" s="2"/>
      <c r="P22" s="2"/>
    </row>
    <row r="23" spans="4:18" x14ac:dyDescent="0.35">
      <c r="G23" s="49"/>
      <c r="H23" s="2"/>
      <c r="I23" s="2"/>
      <c r="J23" s="2"/>
      <c r="K23" s="2"/>
      <c r="L23" s="2"/>
      <c r="M23" s="2"/>
      <c r="N23" s="2"/>
      <c r="O23" s="2"/>
      <c r="P23" s="2"/>
    </row>
    <row r="25" spans="4:18" x14ac:dyDescent="0.35">
      <c r="G25" s="49"/>
      <c r="H25" s="2"/>
      <c r="I25" s="2"/>
      <c r="J25" s="2"/>
      <c r="K25" s="2"/>
      <c r="L25" s="2"/>
      <c r="M25" s="2"/>
      <c r="N25" s="2"/>
      <c r="O25" s="2"/>
      <c r="P25" s="2"/>
    </row>
    <row r="28" spans="4:18" ht="18.5" x14ac:dyDescent="0.45">
      <c r="F28" s="1" t="s">
        <v>405</v>
      </c>
      <c r="G28" s="3"/>
      <c r="H28" s="3"/>
      <c r="I28" s="3"/>
      <c r="J28" s="3"/>
      <c r="K28" s="3"/>
      <c r="L28" s="3"/>
      <c r="M28" s="3"/>
      <c r="N28" s="3"/>
      <c r="O28" s="3"/>
    </row>
    <row r="29" spans="4:18" ht="16" thickBot="1" x14ac:dyDescent="0.4">
      <c r="D29" s="204" t="s">
        <v>406</v>
      </c>
      <c r="F29" s="9" t="s">
        <v>1</v>
      </c>
      <c r="G29" s="9" t="s">
        <v>2</v>
      </c>
      <c r="H29" s="9" t="s">
        <v>3</v>
      </c>
      <c r="I29" s="9" t="s">
        <v>4</v>
      </c>
      <c r="J29" s="9" t="s">
        <v>5</v>
      </c>
      <c r="K29" s="9" t="s">
        <v>6</v>
      </c>
      <c r="L29" s="9" t="s">
        <v>7</v>
      </c>
      <c r="M29" s="9" t="s">
        <v>8</v>
      </c>
      <c r="N29" s="9" t="s">
        <v>9</v>
      </c>
      <c r="O29" s="9" t="s">
        <v>10</v>
      </c>
      <c r="P29" s="44" t="s">
        <v>139</v>
      </c>
      <c r="R29" s="44" t="s">
        <v>138</v>
      </c>
    </row>
    <row r="30" spans="4:18" x14ac:dyDescent="0.35">
      <c r="D30" s="155">
        <v>6</v>
      </c>
      <c r="F30" s="2">
        <v>6.8662599999999996</v>
      </c>
      <c r="G30" s="2">
        <v>10.8934</v>
      </c>
      <c r="H30" s="2">
        <f t="shared" ref="H30:H45" si="11">G30-F30</f>
        <v>4.0271400000000002</v>
      </c>
      <c r="I30" s="2">
        <f t="shared" ref="I30:I44" si="12">F31-G30</f>
        <v>7.2683299999999988</v>
      </c>
      <c r="J30" s="2">
        <f>H30/N30</f>
        <v>0.35652699710591951</v>
      </c>
      <c r="K30" s="2">
        <f>I30/N30</f>
        <v>0.6434730028940806</v>
      </c>
      <c r="L30" s="2">
        <f>1/H30</f>
        <v>0.24831518149356616</v>
      </c>
      <c r="M30" s="2">
        <f>1/N30</f>
        <v>8.8531065993712535E-2</v>
      </c>
      <c r="N30" s="2">
        <f>H30+I30</f>
        <v>11.295469999999998</v>
      </c>
      <c r="O30" s="2">
        <v>20</v>
      </c>
      <c r="P30">
        <f>O30/H30</f>
        <v>4.966303629871323</v>
      </c>
      <c r="R30" t="s">
        <v>563</v>
      </c>
    </row>
    <row r="31" spans="4:18" x14ac:dyDescent="0.35">
      <c r="D31" s="155">
        <v>6</v>
      </c>
      <c r="F31" s="2">
        <v>18.161729999999999</v>
      </c>
      <c r="G31" s="2">
        <v>23.073810000000002</v>
      </c>
      <c r="H31" s="2">
        <f t="shared" si="11"/>
        <v>4.9120800000000031</v>
      </c>
      <c r="I31" s="2">
        <f t="shared" si="12"/>
        <v>6.1619799999999998</v>
      </c>
      <c r="J31" s="2">
        <f t="shared" ref="J31:J44" si="13">H31/N31</f>
        <v>0.44356631623812781</v>
      </c>
      <c r="K31" s="2">
        <f t="shared" ref="K31:K44" si="14">I31/N31</f>
        <v>0.55643368376187219</v>
      </c>
      <c r="L31" s="2">
        <f t="shared" ref="L31:L44" si="15">1/H31</f>
        <v>0.20357974625820413</v>
      </c>
      <c r="M31" s="2">
        <f t="shared" ref="M31:M44" si="16">1/N31</f>
        <v>9.0301118108444392E-2</v>
      </c>
      <c r="N31" s="2">
        <f t="shared" ref="N31:N44" si="17">H31+I31</f>
        <v>11.074060000000003</v>
      </c>
      <c r="O31" s="2">
        <v>21</v>
      </c>
      <c r="P31">
        <f t="shared" ref="P31:P44" si="18">O31/H31</f>
        <v>4.2751746714222865</v>
      </c>
    </row>
    <row r="32" spans="4:18" x14ac:dyDescent="0.35">
      <c r="D32" s="155">
        <v>6</v>
      </c>
      <c r="F32" s="13">
        <v>29.235790000000001</v>
      </c>
      <c r="G32" s="2">
        <v>33.233249999999998</v>
      </c>
      <c r="H32" s="2">
        <f t="shared" si="11"/>
        <v>3.9974599999999967</v>
      </c>
      <c r="I32" s="2">
        <f t="shared" si="12"/>
        <v>14.547270000000005</v>
      </c>
      <c r="J32" s="2">
        <f t="shared" si="13"/>
        <v>0.21555773527034347</v>
      </c>
      <c r="K32" s="2">
        <f t="shared" si="14"/>
        <v>0.7844422647296565</v>
      </c>
      <c r="L32" s="2">
        <f t="shared" si="15"/>
        <v>0.25015885087030287</v>
      </c>
      <c r="M32" s="2">
        <f t="shared" si="16"/>
        <v>5.3923675351434067E-2</v>
      </c>
      <c r="N32" s="2">
        <f t="shared" si="17"/>
        <v>18.544730000000001</v>
      </c>
      <c r="O32" s="2">
        <v>24</v>
      </c>
      <c r="P32">
        <f t="shared" si="18"/>
        <v>6.0038124208872681</v>
      </c>
    </row>
    <row r="33" spans="4:18" x14ac:dyDescent="0.35">
      <c r="D33" s="155">
        <v>6</v>
      </c>
      <c r="F33" s="13">
        <v>47.780520000000003</v>
      </c>
      <c r="G33" s="2">
        <v>50.754130000000004</v>
      </c>
      <c r="H33" s="2">
        <f t="shared" si="11"/>
        <v>2.9736100000000008</v>
      </c>
      <c r="I33" s="2">
        <f t="shared" si="12"/>
        <v>10.988829999999993</v>
      </c>
      <c r="J33" s="2">
        <f t="shared" si="13"/>
        <v>0.21297208797316244</v>
      </c>
      <c r="K33" s="2">
        <f t="shared" si="14"/>
        <v>0.78702791202683753</v>
      </c>
      <c r="L33" s="2">
        <f t="shared" si="15"/>
        <v>0.33629157825000577</v>
      </c>
      <c r="M33" s="2">
        <f t="shared" si="16"/>
        <v>7.1620719587693879E-2</v>
      </c>
      <c r="N33" s="2">
        <f t="shared" si="17"/>
        <v>13.962439999999994</v>
      </c>
      <c r="O33" s="2">
        <v>21</v>
      </c>
      <c r="P33">
        <f t="shared" si="18"/>
        <v>7.0621231432501217</v>
      </c>
    </row>
    <row r="34" spans="4:18" x14ac:dyDescent="0.35">
      <c r="D34" s="155">
        <v>6</v>
      </c>
      <c r="F34" s="13">
        <v>61.742959999999997</v>
      </c>
      <c r="G34" s="2">
        <v>66.734589999999997</v>
      </c>
      <c r="H34" s="2">
        <f t="shared" si="11"/>
        <v>4.9916300000000007</v>
      </c>
      <c r="I34" s="2">
        <f t="shared" si="12"/>
        <v>10.271770000000004</v>
      </c>
      <c r="J34" s="2">
        <f t="shared" si="13"/>
        <v>0.32703264017191447</v>
      </c>
      <c r="K34" s="2">
        <f t="shared" si="14"/>
        <v>0.67296735982808553</v>
      </c>
      <c r="L34" s="2">
        <f t="shared" si="15"/>
        <v>0.20033536139497515</v>
      </c>
      <c r="M34" s="2">
        <f t="shared" si="16"/>
        <v>6.5516202156793352E-2</v>
      </c>
      <c r="N34" s="2">
        <f t="shared" si="17"/>
        <v>15.263400000000004</v>
      </c>
      <c r="O34" s="2">
        <v>23</v>
      </c>
      <c r="P34">
        <f t="shared" si="18"/>
        <v>4.6077133120844289</v>
      </c>
    </row>
    <row r="35" spans="4:18" x14ac:dyDescent="0.35">
      <c r="D35" s="155">
        <v>6</v>
      </c>
      <c r="F35" s="13">
        <v>77.006360000000001</v>
      </c>
      <c r="G35" s="2">
        <v>80.324590000000001</v>
      </c>
      <c r="H35" s="2">
        <f t="shared" si="11"/>
        <v>3.3182299999999998</v>
      </c>
      <c r="I35" s="2">
        <f t="shared" si="12"/>
        <v>11.060810000000004</v>
      </c>
      <c r="J35" s="2">
        <f t="shared" si="13"/>
        <v>0.23076853531251038</v>
      </c>
      <c r="K35" s="2">
        <f t="shared" si="14"/>
        <v>0.7692314646874896</v>
      </c>
      <c r="L35" s="2">
        <f t="shared" si="15"/>
        <v>0.3013654870216953</v>
      </c>
      <c r="M35" s="2">
        <f t="shared" si="16"/>
        <v>6.9545672033737974E-2</v>
      </c>
      <c r="N35" s="2">
        <f t="shared" si="17"/>
        <v>14.379040000000003</v>
      </c>
      <c r="O35" s="2">
        <v>22</v>
      </c>
      <c r="P35">
        <f t="shared" si="18"/>
        <v>6.630040714477297</v>
      </c>
    </row>
    <row r="36" spans="4:18" x14ac:dyDescent="0.35">
      <c r="D36" s="155">
        <v>6</v>
      </c>
      <c r="F36" s="13">
        <v>91.385400000000004</v>
      </c>
      <c r="G36" s="2">
        <v>95.245750000000001</v>
      </c>
      <c r="H36" s="2">
        <f t="shared" si="11"/>
        <v>3.8603499999999968</v>
      </c>
      <c r="I36" s="2">
        <f t="shared" si="12"/>
        <v>5.4281500000000023</v>
      </c>
      <c r="J36" s="2">
        <f t="shared" si="13"/>
        <v>0.41560531840447834</v>
      </c>
      <c r="K36" s="2">
        <f t="shared" si="14"/>
        <v>0.58439468159552166</v>
      </c>
      <c r="L36" s="2">
        <f t="shared" si="15"/>
        <v>0.25904386907922877</v>
      </c>
      <c r="M36" s="2">
        <f t="shared" si="16"/>
        <v>0.10766000968940088</v>
      </c>
      <c r="N36" s="2">
        <f t="shared" si="17"/>
        <v>9.2884999999999991</v>
      </c>
      <c r="O36" s="2">
        <v>17</v>
      </c>
      <c r="P36">
        <f t="shared" si="18"/>
        <v>4.4037457743468895</v>
      </c>
    </row>
    <row r="37" spans="4:18" x14ac:dyDescent="0.35">
      <c r="D37" s="155">
        <v>6</v>
      </c>
      <c r="F37" s="13">
        <v>100.6739</v>
      </c>
      <c r="G37" s="2">
        <v>102.67663</v>
      </c>
      <c r="H37" s="2">
        <f t="shared" si="11"/>
        <v>2.0027299999999997</v>
      </c>
      <c r="I37" s="2">
        <f t="shared" si="12"/>
        <v>24.463830000000002</v>
      </c>
      <c r="J37" s="2">
        <f t="shared" si="13"/>
        <v>7.5670204212409914E-2</v>
      </c>
      <c r="K37" s="2">
        <f t="shared" si="14"/>
        <v>0.92432979578759011</v>
      </c>
      <c r="L37" s="2">
        <f t="shared" si="15"/>
        <v>0.49931843034258244</v>
      </c>
      <c r="M37" s="2">
        <f t="shared" si="16"/>
        <v>3.7783527591043184E-2</v>
      </c>
      <c r="N37" s="2">
        <f t="shared" si="17"/>
        <v>26.466560000000001</v>
      </c>
      <c r="O37" s="2">
        <v>22</v>
      </c>
      <c r="P37">
        <f t="shared" si="18"/>
        <v>10.985005467536814</v>
      </c>
    </row>
    <row r="38" spans="4:18" x14ac:dyDescent="0.35">
      <c r="D38" s="155">
        <v>0</v>
      </c>
      <c r="F38" s="13">
        <v>127.14046</v>
      </c>
      <c r="G38" s="2">
        <v>129.19456</v>
      </c>
      <c r="H38" s="2">
        <f t="shared" si="11"/>
        <v>2.0540999999999912</v>
      </c>
      <c r="I38" s="2">
        <f t="shared" si="12"/>
        <v>8.2774699999999939</v>
      </c>
      <c r="J38" s="2">
        <f t="shared" si="13"/>
        <v>0.19881779826299334</v>
      </c>
      <c r="K38" s="2">
        <f t="shared" si="14"/>
        <v>0.80118220173700661</v>
      </c>
      <c r="L38" s="2">
        <f t="shared" si="15"/>
        <v>0.4868312156175475</v>
      </c>
      <c r="M38" s="2">
        <f t="shared" si="16"/>
        <v>9.6790710414777367E-2</v>
      </c>
      <c r="N38" s="2">
        <f t="shared" si="17"/>
        <v>10.331569999999985</v>
      </c>
      <c r="O38" s="2">
        <v>21</v>
      </c>
      <c r="P38">
        <f t="shared" si="18"/>
        <v>10.223455527968497</v>
      </c>
      <c r="R38" t="s">
        <v>564</v>
      </c>
    </row>
    <row r="39" spans="4:18" x14ac:dyDescent="0.35">
      <c r="D39" s="155">
        <v>0</v>
      </c>
      <c r="F39" s="13">
        <v>137.47202999999999</v>
      </c>
      <c r="G39" s="2">
        <v>139.6054</v>
      </c>
      <c r="H39" s="2">
        <f t="shared" si="11"/>
        <v>2.1333700000000135</v>
      </c>
      <c r="I39" s="2">
        <f t="shared" si="12"/>
        <v>21.373819999999995</v>
      </c>
      <c r="J39" s="2">
        <f t="shared" si="13"/>
        <v>9.0753935285332391E-2</v>
      </c>
      <c r="K39" s="2">
        <f t="shared" si="14"/>
        <v>0.90924606471466762</v>
      </c>
      <c r="L39" s="2">
        <f t="shared" si="15"/>
        <v>0.46874194349784315</v>
      </c>
      <c r="M39" s="2">
        <f t="shared" si="16"/>
        <v>4.2540176005724191E-2</v>
      </c>
      <c r="N39" s="2">
        <f t="shared" si="17"/>
        <v>23.507190000000008</v>
      </c>
      <c r="O39" s="2">
        <v>21</v>
      </c>
      <c r="P39">
        <f t="shared" si="18"/>
        <v>9.8435808134547056</v>
      </c>
    </row>
    <row r="40" spans="4:18" x14ac:dyDescent="0.35">
      <c r="D40" s="155">
        <v>0</v>
      </c>
      <c r="F40" s="13">
        <v>160.97922</v>
      </c>
      <c r="G40" s="2">
        <v>164.06155000000001</v>
      </c>
      <c r="H40" s="2">
        <f t="shared" si="11"/>
        <v>3.0823300000000131</v>
      </c>
      <c r="I40" s="2">
        <f t="shared" si="12"/>
        <v>7.0724799999999846</v>
      </c>
      <c r="J40" s="2">
        <f t="shared" si="13"/>
        <v>0.30353399029622552</v>
      </c>
      <c r="K40" s="2">
        <f t="shared" si="14"/>
        <v>0.69646600970377448</v>
      </c>
      <c r="L40" s="2">
        <f t="shared" si="15"/>
        <v>0.32442989556601526</v>
      </c>
      <c r="M40" s="2">
        <f t="shared" si="16"/>
        <v>9.8475500772540331E-2</v>
      </c>
      <c r="N40" s="2">
        <f t="shared" si="17"/>
        <v>10.154809999999998</v>
      </c>
      <c r="O40" s="2">
        <v>21</v>
      </c>
      <c r="P40">
        <f t="shared" si="18"/>
        <v>6.8130278068863204</v>
      </c>
    </row>
    <row r="41" spans="4:18" x14ac:dyDescent="0.35">
      <c r="D41" s="155">
        <v>0</v>
      </c>
      <c r="F41" s="13">
        <v>171.13403</v>
      </c>
      <c r="G41" s="2">
        <v>174.12585999999999</v>
      </c>
      <c r="H41" s="2">
        <f t="shared" si="11"/>
        <v>2.9918299999999931</v>
      </c>
      <c r="I41" s="2">
        <f t="shared" si="12"/>
        <v>12.833680000000015</v>
      </c>
      <c r="J41" s="2">
        <f t="shared" si="13"/>
        <v>0.18905109535174483</v>
      </c>
      <c r="K41" s="2">
        <f t="shared" si="14"/>
        <v>0.8109489046482552</v>
      </c>
      <c r="L41" s="2">
        <f t="shared" si="15"/>
        <v>0.3342435900435527</v>
      </c>
      <c r="M41" s="2">
        <f t="shared" si="16"/>
        <v>6.3189116812033194E-2</v>
      </c>
      <c r="N41" s="2">
        <f t="shared" si="17"/>
        <v>15.825510000000008</v>
      </c>
      <c r="O41" s="2">
        <v>21</v>
      </c>
      <c r="P41">
        <f t="shared" si="18"/>
        <v>7.0191153909146067</v>
      </c>
    </row>
    <row r="42" spans="4:18" x14ac:dyDescent="0.35">
      <c r="D42" s="155">
        <v>0</v>
      </c>
      <c r="F42" s="13">
        <v>186.95954</v>
      </c>
      <c r="G42" s="2">
        <v>189.08776</v>
      </c>
      <c r="H42" s="2">
        <f t="shared" si="11"/>
        <v>2.1282199999999989</v>
      </c>
      <c r="I42" s="2">
        <f t="shared" si="12"/>
        <v>11.156170000000003</v>
      </c>
      <c r="J42" s="2">
        <f t="shared" si="13"/>
        <v>0.16020457092873655</v>
      </c>
      <c r="K42" s="2">
        <f t="shared" si="14"/>
        <v>0.83979542907126348</v>
      </c>
      <c r="L42" s="2">
        <f t="shared" si="15"/>
        <v>0.46987623459980665</v>
      </c>
      <c r="M42" s="2">
        <f t="shared" si="16"/>
        <v>7.527632055367238E-2</v>
      </c>
      <c r="N42" s="2">
        <f t="shared" si="17"/>
        <v>13.284390000000002</v>
      </c>
      <c r="O42" s="2">
        <v>12</v>
      </c>
      <c r="P42">
        <f t="shared" si="18"/>
        <v>5.6385148151976798</v>
      </c>
    </row>
    <row r="43" spans="4:18" x14ac:dyDescent="0.35">
      <c r="D43" s="155">
        <v>0</v>
      </c>
      <c r="F43" s="13">
        <v>200.24393000000001</v>
      </c>
      <c r="G43" s="2">
        <v>203.33134999999999</v>
      </c>
      <c r="H43" s="2">
        <f t="shared" si="11"/>
        <v>3.0874199999999803</v>
      </c>
      <c r="I43" s="2">
        <f t="shared" si="12"/>
        <v>22.302710000000019</v>
      </c>
      <c r="J43" s="2">
        <f t="shared" si="13"/>
        <v>0.12159921985432845</v>
      </c>
      <c r="K43" s="2">
        <f t="shared" si="14"/>
        <v>0.87840078014567158</v>
      </c>
      <c r="L43" s="2">
        <f t="shared" si="15"/>
        <v>0.32389503209799975</v>
      </c>
      <c r="M43" s="2">
        <f t="shared" si="16"/>
        <v>3.938538321780944E-2</v>
      </c>
      <c r="N43" s="2">
        <f t="shared" si="17"/>
        <v>25.390129999999999</v>
      </c>
      <c r="O43" s="2">
        <v>18</v>
      </c>
      <c r="P43">
        <f t="shared" si="18"/>
        <v>5.8301105777639952</v>
      </c>
    </row>
    <row r="44" spans="4:18" x14ac:dyDescent="0.35">
      <c r="D44" s="155">
        <v>0</v>
      </c>
      <c r="F44" s="13">
        <v>225.63406000000001</v>
      </c>
      <c r="G44" s="2">
        <v>227.57912999999999</v>
      </c>
      <c r="H44" s="2">
        <f t="shared" si="11"/>
        <v>1.945069999999987</v>
      </c>
      <c r="I44" s="2">
        <f t="shared" si="12"/>
        <v>4.5285300000000177</v>
      </c>
      <c r="J44" s="2">
        <f t="shared" si="13"/>
        <v>0.30046187592683909</v>
      </c>
      <c r="K44" s="2">
        <f t="shared" si="14"/>
        <v>0.69953812407316085</v>
      </c>
      <c r="L44" s="2">
        <f t="shared" si="15"/>
        <v>0.51412031443598771</v>
      </c>
      <c r="M44" s="2">
        <f t="shared" si="16"/>
        <v>0.15447355412753325</v>
      </c>
      <c r="N44" s="2">
        <f t="shared" si="17"/>
        <v>6.4736000000000047</v>
      </c>
      <c r="O44" s="2">
        <v>19</v>
      </c>
      <c r="P44">
        <f t="shared" si="18"/>
        <v>9.7682859742837671</v>
      </c>
    </row>
    <row r="45" spans="4:18" x14ac:dyDescent="0.35">
      <c r="D45" s="155">
        <v>0</v>
      </c>
      <c r="F45" s="13">
        <v>232.10766000000001</v>
      </c>
      <c r="G45" s="2">
        <v>236.83347000000001</v>
      </c>
      <c r="H45" s="2">
        <f t="shared" si="11"/>
        <v>4.7258099999999956</v>
      </c>
      <c r="I45" s="2"/>
      <c r="J45" s="2"/>
      <c r="K45" s="2"/>
      <c r="L45" s="2"/>
      <c r="M45" s="2"/>
      <c r="N45" s="2"/>
      <c r="O45" s="2"/>
    </row>
    <row r="46" spans="4:18" x14ac:dyDescent="0.35">
      <c r="F46" s="13"/>
      <c r="H46" s="2"/>
      <c r="I46" s="2"/>
      <c r="J46" s="2"/>
      <c r="K46" s="2"/>
      <c r="L46" s="2"/>
      <c r="M46" s="2"/>
      <c r="N46" s="2"/>
      <c r="O46" s="2"/>
    </row>
    <row r="47" spans="4:18" ht="16" thickBot="1" x14ac:dyDescent="0.4">
      <c r="F47" s="13"/>
      <c r="G47" s="13"/>
      <c r="H47" s="9" t="s">
        <v>3</v>
      </c>
      <c r="I47" s="9" t="s">
        <v>4</v>
      </c>
      <c r="J47" s="9" t="s">
        <v>5</v>
      </c>
      <c r="K47" s="9" t="s">
        <v>6</v>
      </c>
      <c r="L47" s="9" t="s">
        <v>7</v>
      </c>
      <c r="M47" s="9" t="s">
        <v>8</v>
      </c>
      <c r="N47" s="9" t="s">
        <v>9</v>
      </c>
      <c r="O47" s="9" t="s">
        <v>10</v>
      </c>
      <c r="P47" s="44" t="s">
        <v>139</v>
      </c>
    </row>
    <row r="48" spans="4:18" x14ac:dyDescent="0.35">
      <c r="E48" s="104" t="s">
        <v>409</v>
      </c>
      <c r="F48" s="13"/>
      <c r="G48" s="49" t="s">
        <v>77</v>
      </c>
      <c r="H48" s="13">
        <f>AVERAGE(H30:H37)</f>
        <v>3.7604037499999996</v>
      </c>
      <c r="I48" s="13">
        <f t="shared" ref="I48:P48" si="19">AVERAGE(I30:I37)</f>
        <v>11.273871250000001</v>
      </c>
      <c r="J48" s="13">
        <f t="shared" si="19"/>
        <v>0.28471247933610827</v>
      </c>
      <c r="K48" s="13">
        <f t="shared" si="19"/>
        <v>0.71528752066389167</v>
      </c>
      <c r="L48" s="13">
        <f t="shared" si="19"/>
        <v>0.28730106308882009</v>
      </c>
      <c r="M48" s="13">
        <f t="shared" si="19"/>
        <v>7.3110248814032539E-2</v>
      </c>
      <c r="N48" s="13">
        <f t="shared" si="19"/>
        <v>15.034274999999999</v>
      </c>
      <c r="O48" s="13">
        <f t="shared" si="19"/>
        <v>21.25</v>
      </c>
      <c r="P48" s="13">
        <f t="shared" si="19"/>
        <v>6.1167398917345537</v>
      </c>
    </row>
    <row r="49" spans="4:18" x14ac:dyDescent="0.35">
      <c r="E49" s="104"/>
      <c r="F49" s="13"/>
      <c r="G49" s="49" t="s">
        <v>94</v>
      </c>
      <c r="H49" s="2">
        <f>_xlfn.STDEV.S(H30:H37)</f>
        <v>0.99165002832850691</v>
      </c>
      <c r="I49" s="2">
        <f t="shared" ref="I49:P49" si="20">_xlfn.STDEV.S(I30:I37)</f>
        <v>6.1198652123215851</v>
      </c>
      <c r="J49" s="2">
        <f t="shared" si="20"/>
        <v>0.12297124057447273</v>
      </c>
      <c r="K49" s="2">
        <f t="shared" si="20"/>
        <v>0.12297124057447267</v>
      </c>
      <c r="L49" s="2">
        <f t="shared" si="20"/>
        <v>9.6967923033513731E-2</v>
      </c>
      <c r="M49" s="2">
        <f t="shared" si="20"/>
        <v>2.2089783835537266E-2</v>
      </c>
      <c r="N49" s="2">
        <f t="shared" si="20"/>
        <v>5.4422552060073706</v>
      </c>
      <c r="O49" s="2">
        <f t="shared" si="20"/>
        <v>2.1213203435596424</v>
      </c>
      <c r="P49" s="2">
        <f t="shared" si="20"/>
        <v>2.229553628440863</v>
      </c>
    </row>
    <row r="50" spans="4:18" x14ac:dyDescent="0.35">
      <c r="E50" s="104"/>
      <c r="F50" s="13"/>
      <c r="G50" s="49" t="s">
        <v>95</v>
      </c>
      <c r="H50" s="2">
        <f>H49/(SQRT(COUNT(H30:H37)))</f>
        <v>0.35060122979745956</v>
      </c>
      <c r="I50" s="2">
        <f t="shared" ref="I50:P50" si="21">I49/(SQRT(COUNT(I30:I37)))</f>
        <v>2.1636990957901214</v>
      </c>
      <c r="J50" s="2">
        <f t="shared" si="21"/>
        <v>4.3476899050565988E-2</v>
      </c>
      <c r="K50" s="2">
        <f t="shared" si="21"/>
        <v>4.3476899050565967E-2</v>
      </c>
      <c r="L50" s="2">
        <f t="shared" si="21"/>
        <v>3.4283337967286387E-2</v>
      </c>
      <c r="M50" s="2">
        <f t="shared" si="21"/>
        <v>7.8099179725266915E-3</v>
      </c>
      <c r="N50" s="2">
        <f t="shared" si="21"/>
        <v>1.9241277805578014</v>
      </c>
      <c r="O50" s="2">
        <f t="shared" si="21"/>
        <v>0.74999999999999989</v>
      </c>
      <c r="P50" s="2">
        <f t="shared" si="21"/>
        <v>0.78826624484480312</v>
      </c>
    </row>
    <row r="51" spans="4:18" x14ac:dyDescent="0.35">
      <c r="E51" s="104"/>
    </row>
    <row r="52" spans="4:18" x14ac:dyDescent="0.35">
      <c r="E52" s="104"/>
    </row>
    <row r="53" spans="4:18" ht="16" thickBot="1" x14ac:dyDescent="0.4">
      <c r="E53" s="104"/>
      <c r="G53" s="13"/>
      <c r="H53" s="9" t="s">
        <v>3</v>
      </c>
      <c r="I53" s="9" t="s">
        <v>4</v>
      </c>
      <c r="J53" s="9" t="s">
        <v>5</v>
      </c>
      <c r="K53" s="9" t="s">
        <v>6</v>
      </c>
      <c r="L53" s="9" t="s">
        <v>7</v>
      </c>
      <c r="M53" s="9" t="s">
        <v>8</v>
      </c>
      <c r="N53" s="9" t="s">
        <v>9</v>
      </c>
      <c r="O53" s="9" t="s">
        <v>10</v>
      </c>
      <c r="P53" s="44" t="s">
        <v>139</v>
      </c>
    </row>
    <row r="54" spans="4:18" x14ac:dyDescent="0.35">
      <c r="E54" s="104" t="s">
        <v>410</v>
      </c>
      <c r="G54" s="49" t="s">
        <v>77</v>
      </c>
      <c r="H54" s="13">
        <f>AVERAGE(H38:H44)</f>
        <v>2.4889057142857109</v>
      </c>
      <c r="I54" s="13">
        <f t="shared" ref="I54:P54" si="22">AVERAGE(I38:I44)</f>
        <v>12.506408571428576</v>
      </c>
      <c r="J54" s="13">
        <f t="shared" si="22"/>
        <v>0.19491749798660002</v>
      </c>
      <c r="K54" s="13">
        <f t="shared" si="22"/>
        <v>0.80508250201340004</v>
      </c>
      <c r="L54" s="13">
        <f t="shared" si="22"/>
        <v>0.41744831797982179</v>
      </c>
      <c r="M54" s="13">
        <f t="shared" si="22"/>
        <v>8.1447251700584311E-2</v>
      </c>
      <c r="N54" s="13">
        <f t="shared" si="22"/>
        <v>14.995314285714286</v>
      </c>
      <c r="O54" s="13">
        <f t="shared" si="22"/>
        <v>19</v>
      </c>
      <c r="P54" s="13">
        <f t="shared" si="22"/>
        <v>7.8765844152099396</v>
      </c>
    </row>
    <row r="55" spans="4:18" x14ac:dyDescent="0.35">
      <c r="G55" s="49" t="s">
        <v>94</v>
      </c>
      <c r="H55" s="2">
        <f>_xlfn.STDEV.S(H38:H44)</f>
        <v>0.53301308491934563</v>
      </c>
      <c r="I55" s="2">
        <f t="shared" ref="I55:P55" si="23">_xlfn.STDEV.S(I38:I44)</f>
        <v>6.9232314898401572</v>
      </c>
      <c r="J55" s="2">
        <f t="shared" si="23"/>
        <v>8.2074549594038634E-2</v>
      </c>
      <c r="K55" s="2">
        <f t="shared" si="23"/>
        <v>8.2074549594038634E-2</v>
      </c>
      <c r="L55" s="2">
        <f t="shared" si="23"/>
        <v>8.5505218945893607E-2</v>
      </c>
      <c r="M55" s="2">
        <f t="shared" si="23"/>
        <v>3.9817552741931939E-2</v>
      </c>
      <c r="N55" s="2">
        <f t="shared" si="23"/>
        <v>7.0936745956611631</v>
      </c>
      <c r="O55" s="2">
        <f t="shared" si="23"/>
        <v>3.3166247903553998</v>
      </c>
      <c r="P55" s="2">
        <f t="shared" si="23"/>
        <v>2.0007844348236392</v>
      </c>
    </row>
    <row r="56" spans="4:18" x14ac:dyDescent="0.35">
      <c r="G56" s="49" t="s">
        <v>95</v>
      </c>
      <c r="H56" s="2">
        <f>H55/(SQRT(COUNT(H38:H44)))</f>
        <v>0.20146000974856293</v>
      </c>
      <c r="I56" s="2">
        <f t="shared" ref="I56:P56" si="24">I55/(SQRT(COUNT(I38:I44)))</f>
        <v>2.616735541578322</v>
      </c>
      <c r="J56" s="2">
        <f t="shared" si="24"/>
        <v>3.1021263884780496E-2</v>
      </c>
      <c r="K56" s="2">
        <f t="shared" si="24"/>
        <v>3.1021263884780496E-2</v>
      </c>
      <c r="L56" s="2">
        <f t="shared" si="24"/>
        <v>3.2317935018423269E-2</v>
      </c>
      <c r="M56" s="2">
        <f t="shared" si="24"/>
        <v>1.5049620338621415E-2</v>
      </c>
      <c r="N56" s="2">
        <f t="shared" si="24"/>
        <v>2.6811569802480144</v>
      </c>
      <c r="O56" s="2">
        <f t="shared" si="24"/>
        <v>1.2535663410560174</v>
      </c>
      <c r="P56" s="2">
        <f t="shared" si="24"/>
        <v>0.75622543451318125</v>
      </c>
    </row>
    <row r="61" spans="4:18" ht="18.5" x14ac:dyDescent="0.45">
      <c r="F61" s="1" t="s">
        <v>405</v>
      </c>
      <c r="G61" s="3"/>
      <c r="H61" s="3"/>
      <c r="I61" s="3"/>
      <c r="J61" s="3"/>
      <c r="K61" s="3"/>
      <c r="L61" s="3"/>
      <c r="M61" s="3"/>
      <c r="N61" s="3"/>
      <c r="O61" s="3"/>
    </row>
    <row r="62" spans="4:18" ht="16" thickBot="1" x14ac:dyDescent="0.4">
      <c r="D62" s="204" t="s">
        <v>406</v>
      </c>
      <c r="F62" s="9" t="s">
        <v>1</v>
      </c>
      <c r="G62" s="9" t="s">
        <v>2</v>
      </c>
      <c r="H62" s="9" t="s">
        <v>3</v>
      </c>
      <c r="I62" s="9" t="s">
        <v>4</v>
      </c>
      <c r="J62" s="9" t="s">
        <v>5</v>
      </c>
      <c r="K62" s="9" t="s">
        <v>6</v>
      </c>
      <c r="L62" s="9" t="s">
        <v>7</v>
      </c>
      <c r="M62" s="9" t="s">
        <v>8</v>
      </c>
      <c r="N62" s="9" t="s">
        <v>9</v>
      </c>
      <c r="O62" s="9" t="s">
        <v>10</v>
      </c>
      <c r="P62" s="44" t="s">
        <v>139</v>
      </c>
      <c r="R62" s="44" t="s">
        <v>138</v>
      </c>
    </row>
    <row r="63" spans="4:18" x14ac:dyDescent="0.35">
      <c r="D63" s="155">
        <v>8</v>
      </c>
      <c r="F63" s="2">
        <v>2.88862</v>
      </c>
      <c r="G63" s="2">
        <v>6.7908499999999998</v>
      </c>
      <c r="H63" s="2">
        <f>G63-F63</f>
        <v>3.9022299999999999</v>
      </c>
      <c r="I63" s="2">
        <f t="shared" ref="I63:I78" si="25">F64-G63</f>
        <v>7.3269600000000006</v>
      </c>
      <c r="J63" s="2">
        <f>H63/N63</f>
        <v>0.34750770091164185</v>
      </c>
      <c r="K63" s="2">
        <f>I63/N63</f>
        <v>0.65249229908835815</v>
      </c>
      <c r="L63" s="2">
        <f>1/H63</f>
        <v>0.25626372612583065</v>
      </c>
      <c r="M63" s="2">
        <f>1/N63</f>
        <v>8.9053618293038053E-2</v>
      </c>
      <c r="N63" s="2">
        <f>H63+I63</f>
        <v>11.229190000000001</v>
      </c>
      <c r="O63" s="2">
        <v>18</v>
      </c>
      <c r="P63">
        <f>O63/H63</f>
        <v>4.6127470702649509</v>
      </c>
      <c r="R63" t="s">
        <v>565</v>
      </c>
    </row>
    <row r="64" spans="4:18" x14ac:dyDescent="0.35">
      <c r="D64" s="155">
        <v>8</v>
      </c>
      <c r="F64" s="2">
        <v>14.11781</v>
      </c>
      <c r="G64" s="2">
        <v>18.110659999999999</v>
      </c>
      <c r="H64" s="2">
        <f t="shared" ref="H64:H79" si="26">G64-F64</f>
        <v>3.9928499999999989</v>
      </c>
      <c r="I64" s="2">
        <f t="shared" si="25"/>
        <v>12.1447</v>
      </c>
      <c r="J64" s="2">
        <f t="shared" ref="J64:J78" si="27">H64/N64</f>
        <v>0.24742603431128019</v>
      </c>
      <c r="K64" s="2">
        <f t="shared" ref="K64:K78" si="28">I64/N64</f>
        <v>0.75257396568871993</v>
      </c>
      <c r="L64" s="2">
        <f t="shared" ref="L64:L78" si="29">1/H64</f>
        <v>0.25044767521945482</v>
      </c>
      <c r="M64" s="2">
        <f t="shared" ref="M64:M78" si="30">1/N64</f>
        <v>6.1967275082029191E-2</v>
      </c>
      <c r="N64" s="2">
        <f t="shared" ref="N64:N78" si="31">H64+I64</f>
        <v>16.137549999999997</v>
      </c>
      <c r="O64" s="2">
        <v>17</v>
      </c>
      <c r="P64">
        <f t="shared" ref="P64:P78" si="32">O64/H64</f>
        <v>4.2576104787307321</v>
      </c>
    </row>
    <row r="65" spans="4:18" x14ac:dyDescent="0.35">
      <c r="D65" s="155">
        <v>8</v>
      </c>
      <c r="F65" s="13">
        <v>30.25536</v>
      </c>
      <c r="G65" s="2">
        <v>34.252650000000003</v>
      </c>
      <c r="H65" s="2">
        <f t="shared" si="26"/>
        <v>3.9972900000000031</v>
      </c>
      <c r="I65" s="2">
        <f t="shared" si="25"/>
        <v>8.2306299999999979</v>
      </c>
      <c r="J65" s="2">
        <f t="shared" si="27"/>
        <v>0.32689860581358093</v>
      </c>
      <c r="K65" s="2">
        <f t="shared" si="28"/>
        <v>0.67310139418641901</v>
      </c>
      <c r="L65" s="2">
        <f t="shared" si="29"/>
        <v>0.25016948982935922</v>
      </c>
      <c r="M65" s="2">
        <f t="shared" si="30"/>
        <v>8.1780057442312343E-2</v>
      </c>
      <c r="N65" s="2">
        <f t="shared" si="31"/>
        <v>12.227920000000001</v>
      </c>
      <c r="O65" s="2">
        <v>18</v>
      </c>
      <c r="P65">
        <f t="shared" si="32"/>
        <v>4.5030508169284653</v>
      </c>
    </row>
    <row r="66" spans="4:18" x14ac:dyDescent="0.35">
      <c r="D66" s="155">
        <v>8</v>
      </c>
      <c r="F66" s="13">
        <v>42.483280000000001</v>
      </c>
      <c r="G66" s="2">
        <v>46.422519999999999</v>
      </c>
      <c r="H66" s="2">
        <f t="shared" si="26"/>
        <v>3.9392399999999981</v>
      </c>
      <c r="I66" s="2">
        <f t="shared" si="25"/>
        <v>5.4786599999999979</v>
      </c>
      <c r="J66" s="2">
        <f t="shared" si="27"/>
        <v>0.41827158920778518</v>
      </c>
      <c r="K66" s="2">
        <f t="shared" si="28"/>
        <v>0.58172841079221482</v>
      </c>
      <c r="L66" s="2">
        <f t="shared" si="29"/>
        <v>0.25385607376042091</v>
      </c>
      <c r="M66" s="2">
        <f t="shared" si="30"/>
        <v>0.10618078340181998</v>
      </c>
      <c r="N66" s="2">
        <f t="shared" si="31"/>
        <v>9.4178999999999959</v>
      </c>
      <c r="O66" s="2">
        <v>18</v>
      </c>
      <c r="P66">
        <f t="shared" si="32"/>
        <v>4.5694093276875769</v>
      </c>
    </row>
    <row r="67" spans="4:18" x14ac:dyDescent="0.35">
      <c r="D67" s="155">
        <v>8</v>
      </c>
      <c r="F67" s="13">
        <v>51.901179999999997</v>
      </c>
      <c r="G67" s="2">
        <v>55.583150000000003</v>
      </c>
      <c r="H67" s="2">
        <f t="shared" si="26"/>
        <v>3.6819700000000068</v>
      </c>
      <c r="I67" s="2">
        <f t="shared" si="25"/>
        <v>8.0226399999999956</v>
      </c>
      <c r="J67" s="2">
        <f t="shared" si="27"/>
        <v>0.31457434292983755</v>
      </c>
      <c r="K67" s="2">
        <f t="shared" si="28"/>
        <v>0.68542565707016245</v>
      </c>
      <c r="L67" s="2">
        <f t="shared" si="29"/>
        <v>0.27159373922112295</v>
      </c>
      <c r="M67" s="2">
        <f t="shared" si="30"/>
        <v>8.5436422059342418E-2</v>
      </c>
      <c r="N67" s="2">
        <f t="shared" si="31"/>
        <v>11.704610000000002</v>
      </c>
      <c r="O67" s="2">
        <v>18</v>
      </c>
      <c r="P67">
        <f t="shared" si="32"/>
        <v>4.8886873059802136</v>
      </c>
    </row>
    <row r="68" spans="4:18" x14ac:dyDescent="0.35">
      <c r="D68" s="155">
        <v>8</v>
      </c>
      <c r="F68" s="13">
        <v>63.605789999999999</v>
      </c>
      <c r="G68" s="2">
        <v>65.910510000000002</v>
      </c>
      <c r="H68" s="2">
        <f t="shared" si="26"/>
        <v>2.3047200000000032</v>
      </c>
      <c r="I68" s="2">
        <f t="shared" si="25"/>
        <v>9.9536899999999946</v>
      </c>
      <c r="J68" s="2">
        <f t="shared" si="27"/>
        <v>0.18801133262796754</v>
      </c>
      <c r="K68" s="2">
        <f t="shared" si="28"/>
        <v>0.81198866737203246</v>
      </c>
      <c r="L68" s="2">
        <f t="shared" si="29"/>
        <v>0.43389218646950545</v>
      </c>
      <c r="M68" s="2">
        <f t="shared" si="30"/>
        <v>8.1576648194994314E-2</v>
      </c>
      <c r="N68" s="2">
        <f t="shared" si="31"/>
        <v>12.258409999999998</v>
      </c>
      <c r="O68" s="2">
        <v>14</v>
      </c>
      <c r="P68">
        <f t="shared" si="32"/>
        <v>6.0744906105730765</v>
      </c>
    </row>
    <row r="69" spans="4:18" x14ac:dyDescent="0.35">
      <c r="D69" s="155">
        <v>8</v>
      </c>
      <c r="F69" s="13">
        <v>75.864199999999997</v>
      </c>
      <c r="G69" s="2">
        <v>80.814179999999993</v>
      </c>
      <c r="H69" s="2">
        <f t="shared" si="26"/>
        <v>4.9499799999999965</v>
      </c>
      <c r="I69" s="2">
        <f t="shared" si="25"/>
        <v>10.036590000000004</v>
      </c>
      <c r="J69" s="2">
        <f t="shared" si="27"/>
        <v>0.33029439024406493</v>
      </c>
      <c r="K69" s="2">
        <f t="shared" si="28"/>
        <v>0.66970560975593507</v>
      </c>
      <c r="L69" s="2">
        <f t="shared" si="29"/>
        <v>0.20202101826674063</v>
      </c>
      <c r="M69" s="2">
        <f t="shared" si="30"/>
        <v>6.6726409044898197E-2</v>
      </c>
      <c r="N69" s="2">
        <f t="shared" si="31"/>
        <v>14.98657</v>
      </c>
      <c r="O69" s="2">
        <v>25</v>
      </c>
      <c r="P69">
        <f t="shared" si="32"/>
        <v>5.0505254566685149</v>
      </c>
    </row>
    <row r="70" spans="4:18" x14ac:dyDescent="0.35">
      <c r="D70" s="155">
        <v>8</v>
      </c>
      <c r="F70" s="13">
        <v>90.850769999999997</v>
      </c>
      <c r="G70" s="2">
        <v>95.804410000000004</v>
      </c>
      <c r="H70" s="2">
        <f t="shared" si="26"/>
        <v>4.9536400000000071</v>
      </c>
      <c r="I70" s="2">
        <f t="shared" si="25"/>
        <v>7.3739699999999999</v>
      </c>
      <c r="J70" s="2">
        <f t="shared" si="27"/>
        <v>0.40183295870002411</v>
      </c>
      <c r="K70" s="2">
        <f t="shared" si="28"/>
        <v>0.59816704129997589</v>
      </c>
      <c r="L70" s="2">
        <f t="shared" si="29"/>
        <v>0.2018717549115395</v>
      </c>
      <c r="M70" s="2">
        <f t="shared" si="30"/>
        <v>8.1118724554070043E-2</v>
      </c>
      <c r="N70" s="2">
        <f t="shared" si="31"/>
        <v>12.327610000000007</v>
      </c>
      <c r="O70" s="2">
        <v>24</v>
      </c>
      <c r="P70">
        <f t="shared" si="32"/>
        <v>4.8449221178769477</v>
      </c>
    </row>
    <row r="71" spans="4:18" x14ac:dyDescent="0.35">
      <c r="D71" s="155">
        <v>8</v>
      </c>
      <c r="F71" s="13">
        <v>103.17838</v>
      </c>
      <c r="G71" s="2">
        <v>107.28752</v>
      </c>
      <c r="H71" s="2">
        <f t="shared" si="26"/>
        <v>4.1091399999999965</v>
      </c>
      <c r="I71" s="2">
        <f t="shared" si="25"/>
        <v>6.2058600000000013</v>
      </c>
      <c r="J71" s="2">
        <f t="shared" si="27"/>
        <v>0.39836548715462894</v>
      </c>
      <c r="K71" s="2">
        <f t="shared" si="28"/>
        <v>0.60163451284537106</v>
      </c>
      <c r="L71" s="2">
        <f t="shared" si="29"/>
        <v>0.24335992446107965</v>
      </c>
      <c r="M71" s="2">
        <f t="shared" si="30"/>
        <v>9.6946194861851701E-2</v>
      </c>
      <c r="N71" s="2">
        <f t="shared" si="31"/>
        <v>10.314999999999998</v>
      </c>
      <c r="O71" s="2">
        <v>21</v>
      </c>
      <c r="P71">
        <f t="shared" si="32"/>
        <v>5.1105584136826732</v>
      </c>
    </row>
    <row r="72" spans="4:18" x14ac:dyDescent="0.35">
      <c r="D72" s="155">
        <v>8</v>
      </c>
      <c r="F72" s="13">
        <v>113.49338</v>
      </c>
      <c r="G72" s="2">
        <v>116.63858999999999</v>
      </c>
      <c r="H72" s="2">
        <f t="shared" si="26"/>
        <v>3.1452099999999916</v>
      </c>
      <c r="I72" s="2">
        <f t="shared" si="25"/>
        <v>12.364350000000002</v>
      </c>
      <c r="J72" s="2">
        <f t="shared" si="27"/>
        <v>0.20279169750785922</v>
      </c>
      <c r="K72" s="2">
        <f t="shared" si="28"/>
        <v>0.79720830249214081</v>
      </c>
      <c r="L72" s="2">
        <f t="shared" si="29"/>
        <v>0.31794379389611588</v>
      </c>
      <c r="M72" s="2">
        <f t="shared" si="30"/>
        <v>6.4476361676282262E-2</v>
      </c>
      <c r="N72" s="2">
        <f t="shared" si="31"/>
        <v>15.509559999999993</v>
      </c>
      <c r="O72" s="2">
        <v>17</v>
      </c>
      <c r="P72">
        <f t="shared" si="32"/>
        <v>5.4050444962339705</v>
      </c>
    </row>
    <row r="73" spans="4:18" x14ac:dyDescent="0.35">
      <c r="D73" s="155">
        <v>0</v>
      </c>
      <c r="F73" s="13">
        <v>129.00294</v>
      </c>
      <c r="G73" s="2">
        <v>131.87608</v>
      </c>
      <c r="H73" s="2">
        <f t="shared" si="26"/>
        <v>2.8731400000000065</v>
      </c>
      <c r="I73" s="2">
        <f t="shared" si="25"/>
        <v>22.149709999999999</v>
      </c>
      <c r="J73" s="2">
        <f t="shared" si="27"/>
        <v>0.11482065392231523</v>
      </c>
      <c r="K73" s="2">
        <f t="shared" si="28"/>
        <v>0.88517934607768478</v>
      </c>
      <c r="L73" s="2">
        <f t="shared" si="29"/>
        <v>0.34805126098971778</v>
      </c>
      <c r="M73" s="2">
        <f t="shared" si="30"/>
        <v>3.9963473385325805E-2</v>
      </c>
      <c r="N73" s="2">
        <f t="shared" si="31"/>
        <v>25.022850000000005</v>
      </c>
      <c r="O73" s="2">
        <v>13</v>
      </c>
      <c r="P73">
        <f t="shared" si="32"/>
        <v>4.5246663928663313</v>
      </c>
      <c r="R73" t="s">
        <v>566</v>
      </c>
    </row>
    <row r="74" spans="4:18" x14ac:dyDescent="0.35">
      <c r="D74" s="155">
        <v>0</v>
      </c>
      <c r="F74" s="13">
        <v>154.02579</v>
      </c>
      <c r="G74" s="2">
        <v>157.99194</v>
      </c>
      <c r="H74" s="2">
        <f t="shared" si="26"/>
        <v>3.966149999999999</v>
      </c>
      <c r="I74" s="2">
        <f t="shared" si="25"/>
        <v>12.021549999999991</v>
      </c>
      <c r="J74" s="2">
        <f t="shared" si="27"/>
        <v>0.24807508271984097</v>
      </c>
      <c r="K74" s="2">
        <f t="shared" si="28"/>
        <v>0.75192491728015898</v>
      </c>
      <c r="L74" s="2">
        <f t="shared" si="29"/>
        <v>0.25213368127781355</v>
      </c>
      <c r="M74" s="2">
        <f t="shared" si="30"/>
        <v>6.2548083839451624E-2</v>
      </c>
      <c r="N74" s="2">
        <f t="shared" si="31"/>
        <v>15.98769999999999</v>
      </c>
      <c r="O74" s="2">
        <v>20</v>
      </c>
      <c r="P74">
        <f t="shared" si="32"/>
        <v>5.0426736255562714</v>
      </c>
    </row>
    <row r="75" spans="4:18" x14ac:dyDescent="0.35">
      <c r="D75" s="155">
        <v>0</v>
      </c>
      <c r="F75" s="13">
        <v>170.01348999999999</v>
      </c>
      <c r="G75" s="2">
        <v>173.98745</v>
      </c>
      <c r="H75" s="2">
        <f t="shared" si="26"/>
        <v>3.9739600000000053</v>
      </c>
      <c r="I75" s="2">
        <f t="shared" si="25"/>
        <v>8.0089100000000144</v>
      </c>
      <c r="J75" s="2">
        <f t="shared" si="27"/>
        <v>0.331636744786516</v>
      </c>
      <c r="K75" s="2">
        <f t="shared" si="28"/>
        <v>0.66836325521348405</v>
      </c>
      <c r="L75" s="2">
        <f t="shared" si="29"/>
        <v>0.25163816445057291</v>
      </c>
      <c r="M75" s="2">
        <f t="shared" si="30"/>
        <v>8.3452461722441987E-2</v>
      </c>
      <c r="N75" s="2">
        <f t="shared" si="31"/>
        <v>11.98287000000002</v>
      </c>
      <c r="O75" s="2">
        <v>18</v>
      </c>
      <c r="P75">
        <f t="shared" si="32"/>
        <v>4.5294869601103125</v>
      </c>
    </row>
    <row r="76" spans="4:18" x14ac:dyDescent="0.35">
      <c r="D76" s="155">
        <v>0</v>
      </c>
      <c r="F76" s="13">
        <v>181.99636000000001</v>
      </c>
      <c r="G76" s="2">
        <v>185.43049999999999</v>
      </c>
      <c r="H76" s="2">
        <f t="shared" si="26"/>
        <v>3.4341399999999851</v>
      </c>
      <c r="I76" s="2">
        <f t="shared" si="25"/>
        <v>10.527999999999992</v>
      </c>
      <c r="J76" s="2">
        <f t="shared" si="27"/>
        <v>0.24596086273307607</v>
      </c>
      <c r="K76" s="2">
        <f t="shared" si="28"/>
        <v>0.75403913726692395</v>
      </c>
      <c r="L76" s="2">
        <f t="shared" si="29"/>
        <v>0.29119371953385836</v>
      </c>
      <c r="M76" s="2">
        <f t="shared" si="30"/>
        <v>7.1622258479001194E-2</v>
      </c>
      <c r="N76" s="2">
        <f t="shared" si="31"/>
        <v>13.962139999999977</v>
      </c>
      <c r="O76" s="2">
        <v>18</v>
      </c>
      <c r="P76">
        <f t="shared" si="32"/>
        <v>5.24148695160945</v>
      </c>
    </row>
    <row r="77" spans="4:18" x14ac:dyDescent="0.35">
      <c r="D77" s="155">
        <v>0</v>
      </c>
      <c r="F77" s="13">
        <v>195.95849999999999</v>
      </c>
      <c r="G77" s="2">
        <v>198.95945</v>
      </c>
      <c r="H77" s="2">
        <f t="shared" si="26"/>
        <v>3.0009500000000173</v>
      </c>
      <c r="I77" s="2">
        <f t="shared" si="25"/>
        <v>20.040969999999987</v>
      </c>
      <c r="J77" s="2">
        <f t="shared" si="27"/>
        <v>0.13023871274616078</v>
      </c>
      <c r="K77" s="2">
        <f t="shared" si="28"/>
        <v>0.86976128725383928</v>
      </c>
      <c r="L77" s="2">
        <f t="shared" si="29"/>
        <v>0.33322781119312023</v>
      </c>
      <c r="M77" s="2">
        <f t="shared" si="30"/>
        <v>4.3399161181012683E-2</v>
      </c>
      <c r="N77" s="2">
        <f t="shared" si="31"/>
        <v>23.041920000000005</v>
      </c>
      <c r="O77" s="2">
        <v>16</v>
      </c>
      <c r="P77">
        <f t="shared" si="32"/>
        <v>5.3316449790899236</v>
      </c>
    </row>
    <row r="78" spans="4:18" x14ac:dyDescent="0.35">
      <c r="D78" s="155">
        <v>0</v>
      </c>
      <c r="F78" s="13">
        <v>219.00041999999999</v>
      </c>
      <c r="G78" s="13">
        <v>222.93287000000001</v>
      </c>
      <c r="H78" s="2">
        <f t="shared" si="26"/>
        <v>3.9324500000000171</v>
      </c>
      <c r="I78" s="2">
        <f t="shared" si="25"/>
        <v>8.221350000000001</v>
      </c>
      <c r="J78" s="2">
        <f t="shared" si="27"/>
        <v>0.32355724135661368</v>
      </c>
      <c r="K78" s="2">
        <f t="shared" si="28"/>
        <v>0.67644275864338632</v>
      </c>
      <c r="L78" s="2">
        <f t="shared" si="29"/>
        <v>0.25429439662296932</v>
      </c>
      <c r="M78" s="2">
        <f t="shared" si="30"/>
        <v>8.2278793463772523E-2</v>
      </c>
      <c r="N78" s="2">
        <f t="shared" si="31"/>
        <v>12.153800000000018</v>
      </c>
      <c r="O78" s="2">
        <v>17</v>
      </c>
      <c r="P78">
        <f t="shared" si="32"/>
        <v>4.3230047425904781</v>
      </c>
    </row>
    <row r="79" spans="4:18" x14ac:dyDescent="0.35">
      <c r="D79" s="155">
        <v>0</v>
      </c>
      <c r="F79" s="13">
        <v>231.15422000000001</v>
      </c>
      <c r="G79" s="13">
        <v>235.09674999999999</v>
      </c>
      <c r="H79" s="2">
        <f t="shared" si="26"/>
        <v>3.9425299999999766</v>
      </c>
      <c r="I79" s="2"/>
      <c r="J79" s="2"/>
      <c r="K79" s="2"/>
      <c r="L79" s="2"/>
      <c r="M79" s="2"/>
      <c r="N79" s="2"/>
      <c r="O79" s="2"/>
    </row>
    <row r="80" spans="4:18" x14ac:dyDescent="0.35">
      <c r="F80" s="13"/>
      <c r="G80" s="13"/>
      <c r="H80" s="2"/>
      <c r="I80" s="2"/>
      <c r="J80" s="2"/>
      <c r="K80" s="2"/>
      <c r="L80" s="2"/>
      <c r="M80" s="2"/>
      <c r="N80" s="2"/>
      <c r="O80" s="2"/>
    </row>
    <row r="81" spans="5:16" x14ac:dyDescent="0.35">
      <c r="F81" s="13"/>
    </row>
    <row r="82" spans="5:16" ht="16" thickBot="1" x14ac:dyDescent="0.4">
      <c r="F82" s="13"/>
      <c r="G82" s="13"/>
      <c r="H82" s="9" t="s">
        <v>3</v>
      </c>
      <c r="I82" s="9" t="s">
        <v>4</v>
      </c>
      <c r="J82" s="9" t="s">
        <v>5</v>
      </c>
      <c r="K82" s="9" t="s">
        <v>6</v>
      </c>
      <c r="L82" s="9" t="s">
        <v>7</v>
      </c>
      <c r="M82" s="9" t="s">
        <v>8</v>
      </c>
      <c r="N82" s="9" t="s">
        <v>9</v>
      </c>
      <c r="O82" s="9" t="s">
        <v>10</v>
      </c>
      <c r="P82" s="44" t="s">
        <v>139</v>
      </c>
    </row>
    <row r="83" spans="5:16" x14ac:dyDescent="0.35">
      <c r="E83" s="104" t="s">
        <v>413</v>
      </c>
      <c r="F83" s="13"/>
      <c r="G83" s="49" t="s">
        <v>77</v>
      </c>
      <c r="H83" s="13">
        <f>AVERAGE(H63:H72)</f>
        <v>3.897627</v>
      </c>
      <c r="I83" s="13">
        <f t="shared" ref="I83:P83" si="33">AVERAGE(I63:I72)</f>
        <v>8.7138049999999989</v>
      </c>
      <c r="J83" s="13">
        <f t="shared" si="33"/>
        <v>0.3175974139408671</v>
      </c>
      <c r="K83" s="13">
        <f t="shared" si="33"/>
        <v>0.68240258605913306</v>
      </c>
      <c r="L83" s="13">
        <f t="shared" si="33"/>
        <v>0.26814193821611698</v>
      </c>
      <c r="M83" s="13">
        <f t="shared" si="33"/>
        <v>8.1526249461063863E-2</v>
      </c>
      <c r="N83" s="13">
        <f t="shared" si="33"/>
        <v>12.611432000000001</v>
      </c>
      <c r="O83" s="13">
        <f t="shared" si="33"/>
        <v>19</v>
      </c>
      <c r="P83" s="13">
        <f t="shared" si="33"/>
        <v>4.9317046094627122</v>
      </c>
    </row>
    <row r="84" spans="5:16" x14ac:dyDescent="0.35">
      <c r="E84" s="104"/>
      <c r="F84" s="13"/>
      <c r="G84" s="49" t="s">
        <v>94</v>
      </c>
      <c r="H84" s="2">
        <f>_xlfn.STDEV.S(H63:H72)</f>
        <v>0.77732397069904879</v>
      </c>
      <c r="I84" s="2">
        <f t="shared" ref="I84:P84" si="34">_xlfn.STDEV.S(I63:I72)</f>
        <v>2.346870483115048</v>
      </c>
      <c r="J84" s="2">
        <f t="shared" si="34"/>
        <v>8.1515380508198385E-2</v>
      </c>
      <c r="K84" s="2">
        <f t="shared" si="34"/>
        <v>8.1515380508197788E-2</v>
      </c>
      <c r="L84" s="2">
        <f t="shared" si="34"/>
        <v>6.6936470461887804E-2</v>
      </c>
      <c r="M84" s="2">
        <f t="shared" si="34"/>
        <v>1.4181725153367679E-2</v>
      </c>
      <c r="N84" s="2">
        <f t="shared" si="34"/>
        <v>2.2368470155694977</v>
      </c>
      <c r="O84" s="2">
        <f t="shared" si="34"/>
        <v>3.3665016461206929</v>
      </c>
      <c r="P84" s="2">
        <f t="shared" si="34"/>
        <v>0.52245552845840426</v>
      </c>
    </row>
    <row r="85" spans="5:16" x14ac:dyDescent="0.35">
      <c r="E85" s="104"/>
      <c r="F85" s="13"/>
      <c r="G85" s="49" t="s">
        <v>95</v>
      </c>
      <c r="H85" s="2">
        <f>H84/(SQRT(COUNT(H63:H72)))</f>
        <v>0.24581142272549816</v>
      </c>
      <c r="I85" s="2">
        <f t="shared" ref="I85:P85" si="35">I84/(SQRT(COUNT(I63:I72)))</f>
        <v>0.74214561000632873</v>
      </c>
      <c r="J85" s="2">
        <f t="shared" si="35"/>
        <v>2.5777426674120068E-2</v>
      </c>
      <c r="K85" s="2">
        <f t="shared" si="35"/>
        <v>2.5777426674119881E-2</v>
      </c>
      <c r="L85" s="2">
        <f t="shared" si="35"/>
        <v>2.116717051921484E-2</v>
      </c>
      <c r="M85" s="2">
        <f t="shared" si="35"/>
        <v>4.4846552635142587E-3</v>
      </c>
      <c r="N85" s="2">
        <f t="shared" si="35"/>
        <v>0.70735313465497329</v>
      </c>
      <c r="O85" s="2">
        <f t="shared" si="35"/>
        <v>1.0645812948447542</v>
      </c>
      <c r="P85" s="2">
        <f t="shared" si="35"/>
        <v>0.16521494460754765</v>
      </c>
    </row>
    <row r="86" spans="5:16" x14ac:dyDescent="0.35">
      <c r="E86" s="104"/>
    </row>
    <row r="87" spans="5:16" x14ac:dyDescent="0.35">
      <c r="E87" s="104"/>
    </row>
    <row r="88" spans="5:16" ht="16" thickBot="1" x14ac:dyDescent="0.4">
      <c r="E88" s="104"/>
      <c r="G88" s="13"/>
      <c r="H88" s="9" t="s">
        <v>3</v>
      </c>
      <c r="I88" s="9" t="s">
        <v>4</v>
      </c>
      <c r="J88" s="9" t="s">
        <v>5</v>
      </c>
      <c r="K88" s="9" t="s">
        <v>6</v>
      </c>
      <c r="L88" s="9" t="s">
        <v>7</v>
      </c>
      <c r="M88" s="9" t="s">
        <v>8</v>
      </c>
      <c r="N88" s="9" t="s">
        <v>9</v>
      </c>
      <c r="O88" s="9" t="s">
        <v>10</v>
      </c>
      <c r="P88" s="44" t="s">
        <v>139</v>
      </c>
    </row>
    <row r="89" spans="5:16" x14ac:dyDescent="0.35">
      <c r="E89" s="104" t="s">
        <v>410</v>
      </c>
      <c r="G89" s="49" t="s">
        <v>77</v>
      </c>
      <c r="H89" s="13">
        <f>AVERAGE(H73:H78)</f>
        <v>3.5301316666666716</v>
      </c>
      <c r="I89" s="13">
        <f t="shared" ref="I89:P89" si="36">AVERAGE(I73:I78)</f>
        <v>13.495081666666664</v>
      </c>
      <c r="J89" s="13">
        <f t="shared" si="36"/>
        <v>0.23238154971075378</v>
      </c>
      <c r="K89" s="13">
        <f t="shared" si="36"/>
        <v>0.76761845028924636</v>
      </c>
      <c r="L89" s="13">
        <f t="shared" si="36"/>
        <v>0.28842317234467535</v>
      </c>
      <c r="M89" s="13">
        <f t="shared" si="36"/>
        <v>6.3877372011834313E-2</v>
      </c>
      <c r="N89" s="13">
        <f t="shared" si="36"/>
        <v>17.025213333333337</v>
      </c>
      <c r="O89" s="13">
        <f t="shared" si="36"/>
        <v>17</v>
      </c>
      <c r="P89" s="13">
        <f t="shared" si="36"/>
        <v>4.8321606086371274</v>
      </c>
    </row>
    <row r="90" spans="5:16" x14ac:dyDescent="0.35">
      <c r="G90" s="49" t="s">
        <v>94</v>
      </c>
      <c r="H90" s="2">
        <f>_xlfn.STDEV.S(H73:H78)</f>
        <v>0.50395263751335162</v>
      </c>
      <c r="I90" s="2">
        <f t="shared" ref="I90:P90" si="37">_xlfn.STDEV.S(I73:I78)</f>
        <v>6.109606208227877</v>
      </c>
      <c r="J90" s="2">
        <f t="shared" si="37"/>
        <v>9.2573223535587876E-2</v>
      </c>
      <c r="K90" s="2">
        <f t="shared" si="37"/>
        <v>9.2573223535586849E-2</v>
      </c>
      <c r="L90" s="2">
        <f t="shared" si="37"/>
        <v>4.3371598654999011E-2</v>
      </c>
      <c r="M90" s="2">
        <f t="shared" si="37"/>
        <v>1.8840267452534913E-2</v>
      </c>
      <c r="N90" s="2">
        <f t="shared" si="37"/>
        <v>5.6529230966347557</v>
      </c>
      <c r="O90" s="2">
        <f t="shared" si="37"/>
        <v>2.3664319132398464</v>
      </c>
      <c r="P90" s="2">
        <f t="shared" si="37"/>
        <v>0.4258525913611107</v>
      </c>
    </row>
    <row r="91" spans="5:16" x14ac:dyDescent="0.35">
      <c r="G91" s="49" t="s">
        <v>95</v>
      </c>
      <c r="H91" s="2">
        <f>H90/(SQRT(COUNT(H73:H78)))</f>
        <v>0.20573780273958067</v>
      </c>
      <c r="I91" s="2">
        <f t="shared" ref="I91:P91" si="38">I90/(SQRT(COUNT(I73:I78)))</f>
        <v>2.4942362899164352</v>
      </c>
      <c r="J91" s="2">
        <f t="shared" si="38"/>
        <v>3.77928602511328E-2</v>
      </c>
      <c r="K91" s="2">
        <f t="shared" si="38"/>
        <v>3.7792860251132383E-2</v>
      </c>
      <c r="L91" s="2">
        <f t="shared" si="38"/>
        <v>1.7706381005588127E-2</v>
      </c>
      <c r="M91" s="2">
        <f t="shared" si="38"/>
        <v>7.6915069793793388E-3</v>
      </c>
      <c r="N91" s="2">
        <f t="shared" si="38"/>
        <v>2.3077961903248259</v>
      </c>
      <c r="O91" s="2">
        <f t="shared" si="38"/>
        <v>0.966091783079296</v>
      </c>
      <c r="P91" s="2">
        <f t="shared" si="38"/>
        <v>0.17385359241277951</v>
      </c>
    </row>
    <row r="96" spans="5:16" ht="18.5" x14ac:dyDescent="0.45">
      <c r="F96" s="1" t="s">
        <v>405</v>
      </c>
      <c r="G96" s="3"/>
      <c r="H96" s="3"/>
      <c r="I96" s="3"/>
      <c r="J96" s="3"/>
      <c r="K96" s="3"/>
      <c r="L96" s="3"/>
      <c r="M96" s="3"/>
      <c r="N96" s="3"/>
      <c r="O96" s="3"/>
    </row>
    <row r="97" spans="4:18" ht="16" thickBot="1" x14ac:dyDescent="0.4">
      <c r="D97" s="204" t="s">
        <v>406</v>
      </c>
      <c r="F97" s="9" t="s">
        <v>1</v>
      </c>
      <c r="G97" s="9" t="s">
        <v>2</v>
      </c>
      <c r="H97" s="9" t="s">
        <v>3</v>
      </c>
      <c r="I97" s="9" t="s">
        <v>4</v>
      </c>
      <c r="J97" s="9" t="s">
        <v>5</v>
      </c>
      <c r="K97" s="9" t="s">
        <v>6</v>
      </c>
      <c r="L97" s="9" t="s">
        <v>7</v>
      </c>
      <c r="M97" s="9" t="s">
        <v>8</v>
      </c>
      <c r="N97" s="9" t="s">
        <v>9</v>
      </c>
      <c r="O97" s="9" t="s">
        <v>10</v>
      </c>
      <c r="P97" s="44" t="s">
        <v>139</v>
      </c>
      <c r="R97" s="44" t="s">
        <v>138</v>
      </c>
    </row>
    <row r="98" spans="4:18" x14ac:dyDescent="0.35">
      <c r="D98" s="155">
        <v>10</v>
      </c>
      <c r="F98" s="2">
        <v>9.4224399999999999</v>
      </c>
      <c r="G98" s="2">
        <v>13.428710000000001</v>
      </c>
      <c r="H98" s="2">
        <f t="shared" ref="H98:H112" si="39">G98-F98</f>
        <v>4.0062700000000007</v>
      </c>
      <c r="I98" s="2">
        <f t="shared" ref="I98:I111" si="40">F99-G98</f>
        <v>9.0883999999999983</v>
      </c>
      <c r="J98" s="2">
        <f>H98/N98</f>
        <v>0.30594661797509987</v>
      </c>
      <c r="K98" s="2">
        <f>I98/N98</f>
        <v>0.69405338202490008</v>
      </c>
      <c r="L98" s="2">
        <f>1/H98</f>
        <v>0.24960873830271046</v>
      </c>
      <c r="M98" s="2">
        <f>1/N98</f>
        <v>7.6366949300746029E-2</v>
      </c>
      <c r="N98" s="2">
        <f>H98+I98</f>
        <v>13.094669999999999</v>
      </c>
      <c r="O98" s="2">
        <v>19</v>
      </c>
      <c r="P98">
        <f>O98/H98</f>
        <v>4.7425660277514989</v>
      </c>
      <c r="R98" t="s">
        <v>568</v>
      </c>
    </row>
    <row r="99" spans="4:18" x14ac:dyDescent="0.35">
      <c r="D99" s="155">
        <v>10</v>
      </c>
      <c r="F99" s="2">
        <v>22.517109999999999</v>
      </c>
      <c r="G99" s="2">
        <v>26.478560000000002</v>
      </c>
      <c r="H99" s="2">
        <f t="shared" si="39"/>
        <v>3.9614500000000028</v>
      </c>
      <c r="I99" s="2">
        <f t="shared" si="40"/>
        <v>10.741259999999997</v>
      </c>
      <c r="J99" s="2">
        <f t="shared" ref="J99:J111" si="41">H99/N99</f>
        <v>0.26943672288986198</v>
      </c>
      <c r="K99" s="2">
        <f t="shared" ref="K99:K111" si="42">I99/N99</f>
        <v>0.73056327711013802</v>
      </c>
      <c r="L99" s="2">
        <f t="shared" ref="L99:L111" si="43">1/H99</f>
        <v>0.25243282131542727</v>
      </c>
      <c r="M99" s="2">
        <f t="shared" ref="M99:M111" si="44">1/N99</f>
        <v>6.8014672125070827E-2</v>
      </c>
      <c r="N99" s="2">
        <f t="shared" ref="N99:N111" si="45">H99+I99</f>
        <v>14.70271</v>
      </c>
      <c r="O99" s="2">
        <v>21</v>
      </c>
      <c r="P99">
        <f t="shared" ref="P99:P111" si="46">O99/H99</f>
        <v>5.3010892476239722</v>
      </c>
    </row>
    <row r="100" spans="4:18" x14ac:dyDescent="0.35">
      <c r="D100" s="155">
        <v>10</v>
      </c>
      <c r="F100" s="13">
        <v>37.219819999999999</v>
      </c>
      <c r="G100" s="2">
        <v>40.34883</v>
      </c>
      <c r="H100" s="2">
        <f t="shared" si="39"/>
        <v>3.129010000000001</v>
      </c>
      <c r="I100" s="2">
        <f t="shared" si="40"/>
        <v>7.9957300000000018</v>
      </c>
      <c r="J100" s="2">
        <f t="shared" si="41"/>
        <v>0.28126589924798245</v>
      </c>
      <c r="K100" s="2">
        <f t="shared" si="42"/>
        <v>0.7187341007520176</v>
      </c>
      <c r="L100" s="2">
        <f t="shared" si="43"/>
        <v>0.31958990223744882</v>
      </c>
      <c r="M100" s="2">
        <f t="shared" si="44"/>
        <v>8.988974124339083E-2</v>
      </c>
      <c r="N100" s="2">
        <f t="shared" si="45"/>
        <v>11.124740000000003</v>
      </c>
      <c r="O100" s="2">
        <v>16</v>
      </c>
      <c r="P100">
        <f t="shared" si="46"/>
        <v>5.1134384357991811</v>
      </c>
    </row>
    <row r="101" spans="4:18" x14ac:dyDescent="0.35">
      <c r="D101" s="155">
        <v>10</v>
      </c>
      <c r="F101" s="13">
        <v>48.344560000000001</v>
      </c>
      <c r="G101" s="2">
        <v>51.78792</v>
      </c>
      <c r="H101" s="2">
        <f t="shared" si="39"/>
        <v>3.4433599999999984</v>
      </c>
      <c r="I101" s="2">
        <f t="shared" si="40"/>
        <v>9.8510500000000008</v>
      </c>
      <c r="J101" s="2">
        <f t="shared" si="41"/>
        <v>0.25900810942343427</v>
      </c>
      <c r="K101" s="2">
        <f t="shared" si="42"/>
        <v>0.74099189057656578</v>
      </c>
      <c r="L101" s="2">
        <f t="shared" si="43"/>
        <v>0.29041401421867025</v>
      </c>
      <c r="M101" s="2">
        <f t="shared" si="44"/>
        <v>7.5219584772848139E-2</v>
      </c>
      <c r="N101" s="2">
        <f t="shared" si="45"/>
        <v>13.294409999999999</v>
      </c>
      <c r="O101" s="2">
        <v>21</v>
      </c>
      <c r="P101">
        <f t="shared" si="46"/>
        <v>6.0986942985920756</v>
      </c>
    </row>
    <row r="102" spans="4:18" x14ac:dyDescent="0.35">
      <c r="D102" s="155">
        <v>10</v>
      </c>
      <c r="F102" s="13">
        <v>61.63897</v>
      </c>
      <c r="G102" s="2">
        <v>65.636160000000004</v>
      </c>
      <c r="H102" s="2">
        <f t="shared" si="39"/>
        <v>3.9971900000000034</v>
      </c>
      <c r="I102" s="2">
        <f t="shared" si="40"/>
        <v>8.213009999999997</v>
      </c>
      <c r="J102" s="2">
        <f t="shared" si="41"/>
        <v>0.32736482612897438</v>
      </c>
      <c r="K102" s="2">
        <f t="shared" si="42"/>
        <v>0.67263517387102556</v>
      </c>
      <c r="L102" s="2">
        <f t="shared" si="43"/>
        <v>0.25017574846329527</v>
      </c>
      <c r="M102" s="2">
        <f t="shared" si="44"/>
        <v>8.1898740397372688E-2</v>
      </c>
      <c r="N102" s="2">
        <f t="shared" si="45"/>
        <v>12.2102</v>
      </c>
      <c r="O102" s="2">
        <v>25</v>
      </c>
      <c r="P102">
        <f t="shared" si="46"/>
        <v>6.2543937115823818</v>
      </c>
    </row>
    <row r="103" spans="4:18" x14ac:dyDescent="0.35">
      <c r="D103" s="155">
        <v>10</v>
      </c>
      <c r="F103" s="13">
        <v>73.849170000000001</v>
      </c>
      <c r="G103" s="2">
        <v>77.860759999999999</v>
      </c>
      <c r="H103" s="2">
        <f t="shared" si="39"/>
        <v>4.0115899999999982</v>
      </c>
      <c r="I103" s="2">
        <f t="shared" si="40"/>
        <v>7.9034699999999987</v>
      </c>
      <c r="J103" s="2">
        <f t="shared" si="41"/>
        <v>0.33668231632908263</v>
      </c>
      <c r="K103" s="2">
        <f t="shared" si="42"/>
        <v>0.66331768367091737</v>
      </c>
      <c r="L103" s="2">
        <f t="shared" si="43"/>
        <v>0.24927771781263799</v>
      </c>
      <c r="M103" s="2">
        <f t="shared" si="44"/>
        <v>8.3927399442386377E-2</v>
      </c>
      <c r="N103" s="2">
        <f t="shared" si="45"/>
        <v>11.915059999999997</v>
      </c>
      <c r="O103" s="2">
        <v>22</v>
      </c>
      <c r="P103">
        <f t="shared" si="46"/>
        <v>5.4841097918780362</v>
      </c>
    </row>
    <row r="104" spans="4:18" x14ac:dyDescent="0.35">
      <c r="D104" s="155">
        <v>10</v>
      </c>
      <c r="F104" s="13">
        <v>85.764229999999998</v>
      </c>
      <c r="G104" s="2">
        <v>89.712959999999995</v>
      </c>
      <c r="H104" s="2">
        <f t="shared" si="39"/>
        <v>3.9487299999999976</v>
      </c>
      <c r="I104" s="2">
        <f t="shared" si="40"/>
        <v>9.0899500000000018</v>
      </c>
      <c r="J104" s="2">
        <f t="shared" si="41"/>
        <v>0.30284737412069301</v>
      </c>
      <c r="K104" s="2">
        <f t="shared" si="42"/>
        <v>0.69715262587930693</v>
      </c>
      <c r="L104" s="2">
        <f t="shared" si="43"/>
        <v>0.25324598035317697</v>
      </c>
      <c r="M104" s="2">
        <f t="shared" si="44"/>
        <v>7.669488015658027E-2</v>
      </c>
      <c r="N104" s="2">
        <f t="shared" si="45"/>
        <v>13.038679999999999</v>
      </c>
      <c r="O104" s="2">
        <v>28</v>
      </c>
      <c r="P104">
        <f t="shared" si="46"/>
        <v>7.0908874498889558</v>
      </c>
    </row>
    <row r="105" spans="4:18" x14ac:dyDescent="0.35">
      <c r="D105" s="155">
        <v>10</v>
      </c>
      <c r="F105" s="13">
        <v>98.802909999999997</v>
      </c>
      <c r="G105" s="2">
        <v>103.45413000000001</v>
      </c>
      <c r="H105" s="2">
        <f t="shared" si="39"/>
        <v>4.6512200000000092</v>
      </c>
      <c r="I105" s="2">
        <f t="shared" si="40"/>
        <v>8.1465199999999953</v>
      </c>
      <c r="J105" s="2">
        <f t="shared" si="41"/>
        <v>0.3634407325043334</v>
      </c>
      <c r="K105" s="2">
        <f t="shared" si="42"/>
        <v>0.6365592674956666</v>
      </c>
      <c r="L105" s="2">
        <f t="shared" si="43"/>
        <v>0.21499735553252652</v>
      </c>
      <c r="M105" s="2">
        <f t="shared" si="44"/>
        <v>7.8138796381236039E-2</v>
      </c>
      <c r="N105" s="2">
        <f t="shared" si="45"/>
        <v>12.797740000000005</v>
      </c>
      <c r="O105" s="2">
        <v>22</v>
      </c>
      <c r="P105">
        <f t="shared" si="46"/>
        <v>4.7299418217155837</v>
      </c>
    </row>
    <row r="106" spans="4:18" x14ac:dyDescent="0.35">
      <c r="D106" s="155">
        <v>10</v>
      </c>
      <c r="F106" s="13">
        <v>111.60065</v>
      </c>
      <c r="G106" s="2">
        <v>115.73296999999999</v>
      </c>
      <c r="H106" s="2">
        <f t="shared" si="39"/>
        <v>4.1323199999999929</v>
      </c>
      <c r="I106" s="2">
        <f t="shared" si="40"/>
        <v>23.584820000000008</v>
      </c>
      <c r="J106" s="2">
        <f t="shared" si="41"/>
        <v>0.14908897526945394</v>
      </c>
      <c r="K106" s="2">
        <f t="shared" si="42"/>
        <v>0.85091102473054603</v>
      </c>
      <c r="L106" s="2">
        <f t="shared" si="43"/>
        <v>0.24199481163123904</v>
      </c>
      <c r="M106" s="2">
        <f t="shared" si="44"/>
        <v>3.6078758486625964E-2</v>
      </c>
      <c r="N106" s="2">
        <f t="shared" si="45"/>
        <v>27.717140000000001</v>
      </c>
      <c r="O106" s="2">
        <v>24</v>
      </c>
      <c r="P106">
        <f t="shared" si="46"/>
        <v>5.8078754791497369</v>
      </c>
    </row>
    <row r="107" spans="4:18" x14ac:dyDescent="0.35">
      <c r="D107" s="155">
        <v>0</v>
      </c>
      <c r="F107" s="13">
        <v>139.31779</v>
      </c>
      <c r="G107" s="2">
        <v>141.18072000000001</v>
      </c>
      <c r="H107" s="2">
        <f t="shared" si="39"/>
        <v>1.8629300000000057</v>
      </c>
      <c r="I107" s="2">
        <f t="shared" si="40"/>
        <v>8.573599999999999</v>
      </c>
      <c r="J107" s="2">
        <f t="shared" si="41"/>
        <v>0.17850090020342058</v>
      </c>
      <c r="K107" s="2">
        <f t="shared" si="42"/>
        <v>0.82149909979657942</v>
      </c>
      <c r="L107" s="2">
        <f t="shared" si="43"/>
        <v>0.53678882190957089</v>
      </c>
      <c r="M107" s="2">
        <f t="shared" si="44"/>
        <v>9.5817287929992015E-2</v>
      </c>
      <c r="N107" s="2">
        <f t="shared" si="45"/>
        <v>10.436530000000005</v>
      </c>
      <c r="O107" s="2">
        <v>11</v>
      </c>
      <c r="P107">
        <f t="shared" si="46"/>
        <v>5.9046770410052796</v>
      </c>
      <c r="R107" t="s">
        <v>567</v>
      </c>
    </row>
    <row r="108" spans="4:18" x14ac:dyDescent="0.35">
      <c r="D108" s="155">
        <v>0</v>
      </c>
      <c r="F108" s="13">
        <v>149.75432000000001</v>
      </c>
      <c r="G108" s="2">
        <v>151.95175</v>
      </c>
      <c r="H108" s="2">
        <f t="shared" si="39"/>
        <v>2.1974299999999971</v>
      </c>
      <c r="I108" s="2">
        <f t="shared" si="40"/>
        <v>17.643239999999992</v>
      </c>
      <c r="J108" s="2">
        <f t="shared" si="41"/>
        <v>0.11075382030949552</v>
      </c>
      <c r="K108" s="2">
        <f t="shared" si="42"/>
        <v>0.88924617969050446</v>
      </c>
      <c r="L108" s="2">
        <f t="shared" si="43"/>
        <v>0.45507706730134806</v>
      </c>
      <c r="M108" s="2">
        <f t="shared" si="44"/>
        <v>5.0401523738865701E-2</v>
      </c>
      <c r="N108" s="2">
        <f t="shared" si="45"/>
        <v>19.840669999999989</v>
      </c>
      <c r="O108" s="2">
        <v>14</v>
      </c>
      <c r="P108">
        <f t="shared" si="46"/>
        <v>6.3710789422188734</v>
      </c>
    </row>
    <row r="109" spans="4:18" x14ac:dyDescent="0.35">
      <c r="D109" s="155">
        <v>0</v>
      </c>
      <c r="F109" s="13">
        <v>169.59499</v>
      </c>
      <c r="G109" s="2">
        <v>172.04702</v>
      </c>
      <c r="H109" s="2">
        <f t="shared" si="39"/>
        <v>2.4520300000000077</v>
      </c>
      <c r="I109" s="2">
        <f t="shared" si="40"/>
        <v>12.699539999999985</v>
      </c>
      <c r="J109" s="2">
        <f t="shared" si="41"/>
        <v>0.16183339416311371</v>
      </c>
      <c r="K109" s="2">
        <f t="shared" si="42"/>
        <v>0.83816660583688629</v>
      </c>
      <c r="L109" s="2">
        <f t="shared" si="43"/>
        <v>0.40782535287088528</v>
      </c>
      <c r="M109" s="2">
        <f t="shared" si="44"/>
        <v>6.5999761080864916E-2</v>
      </c>
      <c r="N109" s="2">
        <f t="shared" si="45"/>
        <v>15.151569999999992</v>
      </c>
      <c r="O109" s="2">
        <v>13</v>
      </c>
      <c r="P109">
        <f t="shared" si="46"/>
        <v>5.3017295873215087</v>
      </c>
    </row>
    <row r="110" spans="4:18" x14ac:dyDescent="0.35">
      <c r="D110" s="155">
        <v>0</v>
      </c>
      <c r="F110" s="13">
        <v>184.74655999999999</v>
      </c>
      <c r="G110" s="2">
        <v>187.90385000000001</v>
      </c>
      <c r="H110" s="2">
        <f t="shared" si="39"/>
        <v>3.1572900000000175</v>
      </c>
      <c r="I110" s="2">
        <f t="shared" si="40"/>
        <v>17.36112</v>
      </c>
      <c r="J110" s="2">
        <f t="shared" si="41"/>
        <v>0.15387595822483394</v>
      </c>
      <c r="K110" s="2">
        <f t="shared" si="42"/>
        <v>0.84612404177516609</v>
      </c>
      <c r="L110" s="2">
        <f t="shared" si="43"/>
        <v>0.31672731994843506</v>
      </c>
      <c r="M110" s="2">
        <f t="shared" si="44"/>
        <v>4.8736719853049004E-2</v>
      </c>
      <c r="N110" s="2">
        <f t="shared" si="45"/>
        <v>20.518410000000017</v>
      </c>
      <c r="O110" s="2">
        <v>17</v>
      </c>
      <c r="P110">
        <f t="shared" si="46"/>
        <v>5.384364439123396</v>
      </c>
    </row>
    <row r="111" spans="4:18" x14ac:dyDescent="0.35">
      <c r="D111" s="155">
        <v>0</v>
      </c>
      <c r="F111" s="13">
        <v>205.26497000000001</v>
      </c>
      <c r="G111" s="2">
        <v>206.40667999999999</v>
      </c>
      <c r="H111" s="2">
        <f t="shared" si="39"/>
        <v>1.1417099999999891</v>
      </c>
      <c r="I111" s="2">
        <f t="shared" si="40"/>
        <v>23.559449999999998</v>
      </c>
      <c r="J111" s="2">
        <f t="shared" si="41"/>
        <v>4.6220906224646523E-2</v>
      </c>
      <c r="K111" s="2">
        <f t="shared" si="42"/>
        <v>0.95377909377535353</v>
      </c>
      <c r="L111" s="2">
        <f t="shared" si="43"/>
        <v>0.87587916371058283</v>
      </c>
      <c r="M111" s="2">
        <f t="shared" si="44"/>
        <v>4.0483928689988666E-2</v>
      </c>
      <c r="N111" s="2">
        <f t="shared" si="45"/>
        <v>24.701159999999987</v>
      </c>
      <c r="O111" s="2">
        <v>5</v>
      </c>
      <c r="P111">
        <f t="shared" si="46"/>
        <v>4.379395818552914</v>
      </c>
    </row>
    <row r="112" spans="4:18" x14ac:dyDescent="0.35">
      <c r="D112" s="155">
        <v>0</v>
      </c>
      <c r="F112" s="13">
        <v>229.96612999999999</v>
      </c>
      <c r="G112" s="2">
        <v>231.45565999999999</v>
      </c>
      <c r="H112" s="2">
        <f t="shared" si="39"/>
        <v>1.489530000000002</v>
      </c>
      <c r="I112" s="2"/>
      <c r="J112" s="2"/>
      <c r="K112" s="2"/>
      <c r="L112" s="2"/>
      <c r="M112" s="2"/>
      <c r="N112" s="2"/>
      <c r="O112" s="2"/>
    </row>
    <row r="113" spans="4:16" x14ac:dyDescent="0.35">
      <c r="D113" s="155"/>
      <c r="F113" s="13"/>
      <c r="G113" s="13"/>
      <c r="H113" s="2"/>
      <c r="I113" s="2"/>
      <c r="J113" s="2"/>
      <c r="K113" s="2"/>
      <c r="L113" s="2"/>
      <c r="M113" s="2"/>
      <c r="N113" s="2"/>
      <c r="O113" s="2"/>
    </row>
    <row r="114" spans="4:16" x14ac:dyDescent="0.35">
      <c r="F114" s="13"/>
      <c r="G114" s="13"/>
      <c r="H114" s="2"/>
      <c r="I114" s="2"/>
      <c r="J114" s="2"/>
      <c r="K114" s="2"/>
      <c r="L114" s="2"/>
      <c r="M114" s="2"/>
      <c r="N114" s="2"/>
      <c r="O114" s="2"/>
    </row>
    <row r="115" spans="4:16" x14ac:dyDescent="0.35">
      <c r="F115" s="13"/>
    </row>
    <row r="116" spans="4:16" ht="16" thickBot="1" x14ac:dyDescent="0.4">
      <c r="F116" s="13"/>
      <c r="G116" s="13"/>
      <c r="H116" s="9" t="s">
        <v>3</v>
      </c>
      <c r="I116" s="9" t="s">
        <v>4</v>
      </c>
      <c r="J116" s="9" t="s">
        <v>5</v>
      </c>
      <c r="K116" s="9" t="s">
        <v>6</v>
      </c>
      <c r="L116" s="9" t="s">
        <v>7</v>
      </c>
      <c r="M116" s="9" t="s">
        <v>8</v>
      </c>
      <c r="N116" s="9" t="s">
        <v>9</v>
      </c>
      <c r="O116" s="9" t="s">
        <v>10</v>
      </c>
      <c r="P116" s="44" t="s">
        <v>139</v>
      </c>
    </row>
    <row r="117" spans="4:16" x14ac:dyDescent="0.35">
      <c r="E117" s="104" t="s">
        <v>414</v>
      </c>
      <c r="F117" s="13"/>
      <c r="G117" s="49" t="s">
        <v>77</v>
      </c>
      <c r="H117" s="13">
        <f>AVERAGE(H98:H106)</f>
        <v>3.9201266666666674</v>
      </c>
      <c r="I117" s="13">
        <f t="shared" ref="I117:P117" si="47">AVERAGE(I98:I106)</f>
        <v>10.512689999999999</v>
      </c>
      <c r="J117" s="13">
        <f t="shared" si="47"/>
        <v>0.28834239709876841</v>
      </c>
      <c r="K117" s="13">
        <f t="shared" si="47"/>
        <v>0.71165760290123137</v>
      </c>
      <c r="L117" s="13">
        <f t="shared" si="47"/>
        <v>0.25797078776301474</v>
      </c>
      <c r="M117" s="13">
        <f t="shared" si="47"/>
        <v>7.4025502478473018E-2</v>
      </c>
      <c r="N117" s="13">
        <f t="shared" si="47"/>
        <v>14.432816666666668</v>
      </c>
      <c r="O117" s="13">
        <f t="shared" si="47"/>
        <v>22</v>
      </c>
      <c r="P117" s="13">
        <f t="shared" si="47"/>
        <v>5.6247773626646023</v>
      </c>
    </row>
    <row r="118" spans="4:16" x14ac:dyDescent="0.35">
      <c r="E118" s="104"/>
      <c r="F118" s="13"/>
      <c r="G118" s="49" t="s">
        <v>94</v>
      </c>
      <c r="H118" s="2">
        <f>_xlfn.STDEV.S(H98:H106)</f>
        <v>0.42675318519607475</v>
      </c>
      <c r="I118" s="2">
        <f t="shared" ref="I118:P118" si="48">_xlfn.STDEV.S(I98:I106)</f>
        <v>4.9931677170459654</v>
      </c>
      <c r="J118" s="2">
        <f t="shared" si="48"/>
        <v>6.192644624278499E-2</v>
      </c>
      <c r="K118" s="2">
        <f t="shared" si="48"/>
        <v>6.1926446242785149E-2</v>
      </c>
      <c r="L118" s="2">
        <f t="shared" si="48"/>
        <v>3.0022230833907301E-2</v>
      </c>
      <c r="M118" s="2">
        <f t="shared" si="48"/>
        <v>1.5486881308014355E-2</v>
      </c>
      <c r="N118" s="2">
        <f t="shared" si="48"/>
        <v>5.0802593750147231</v>
      </c>
      <c r="O118" s="2">
        <f t="shared" si="48"/>
        <v>3.4641016151377544</v>
      </c>
      <c r="P118" s="2">
        <f t="shared" si="48"/>
        <v>0.7720973110072481</v>
      </c>
    </row>
    <row r="119" spans="4:16" x14ac:dyDescent="0.35">
      <c r="E119" s="104"/>
      <c r="F119" s="13"/>
      <c r="G119" s="49" t="s">
        <v>95</v>
      </c>
      <c r="H119" s="2">
        <f>H118/(SQRT(COUNT(H98:H106)))</f>
        <v>0.14225106173202492</v>
      </c>
      <c r="I119" s="2">
        <f t="shared" ref="I119:P119" si="49">I118/(SQRT(COUNT(I98:I106)))</f>
        <v>1.6643892390153219</v>
      </c>
      <c r="J119" s="2">
        <f t="shared" si="49"/>
        <v>2.0642148747594995E-2</v>
      </c>
      <c r="K119" s="2">
        <f t="shared" si="49"/>
        <v>2.0642148747595051E-2</v>
      </c>
      <c r="L119" s="2">
        <f t="shared" si="49"/>
        <v>1.00074102779691E-2</v>
      </c>
      <c r="M119" s="2">
        <f t="shared" si="49"/>
        <v>5.1622937693381185E-3</v>
      </c>
      <c r="N119" s="2">
        <f t="shared" si="49"/>
        <v>1.6934197916715743</v>
      </c>
      <c r="O119" s="2">
        <f t="shared" si="49"/>
        <v>1.1547005383792515</v>
      </c>
      <c r="P119" s="2">
        <f t="shared" si="49"/>
        <v>0.25736577033574937</v>
      </c>
    </row>
    <row r="120" spans="4:16" x14ac:dyDescent="0.35">
      <c r="E120" s="104"/>
    </row>
    <row r="121" spans="4:16" x14ac:dyDescent="0.35">
      <c r="E121" s="104"/>
    </row>
    <row r="122" spans="4:16" ht="16" thickBot="1" x14ac:dyDescent="0.4">
      <c r="E122" s="104"/>
      <c r="G122" s="13"/>
      <c r="H122" s="9" t="s">
        <v>3</v>
      </c>
      <c r="I122" s="9" t="s">
        <v>4</v>
      </c>
      <c r="J122" s="9" t="s">
        <v>5</v>
      </c>
      <c r="K122" s="9" t="s">
        <v>6</v>
      </c>
      <c r="L122" s="9" t="s">
        <v>7</v>
      </c>
      <c r="M122" s="9" t="s">
        <v>8</v>
      </c>
      <c r="N122" s="9" t="s">
        <v>9</v>
      </c>
      <c r="O122" s="9" t="s">
        <v>10</v>
      </c>
      <c r="P122" s="44" t="s">
        <v>139</v>
      </c>
    </row>
    <row r="123" spans="4:16" x14ac:dyDescent="0.35">
      <c r="E123" s="104" t="s">
        <v>410</v>
      </c>
      <c r="G123" s="49" t="s">
        <v>77</v>
      </c>
      <c r="H123" s="13">
        <f>AVERAGE(H107:H111)</f>
        <v>2.1622780000000033</v>
      </c>
      <c r="I123" s="13">
        <f t="shared" ref="I123:P123" si="50">AVERAGE(I107:I111)</f>
        <v>15.967389999999995</v>
      </c>
      <c r="J123" s="13">
        <f t="shared" si="50"/>
        <v>0.13023699582510204</v>
      </c>
      <c r="K123" s="13">
        <f t="shared" si="50"/>
        <v>0.86976300417489794</v>
      </c>
      <c r="L123" s="13">
        <f t="shared" si="50"/>
        <v>0.51845954514816439</v>
      </c>
      <c r="M123" s="13">
        <f t="shared" si="50"/>
        <v>6.0287844258552062E-2</v>
      </c>
      <c r="N123" s="13">
        <f t="shared" si="50"/>
        <v>18.129667999999999</v>
      </c>
      <c r="O123" s="13">
        <f t="shared" si="50"/>
        <v>12</v>
      </c>
      <c r="P123" s="13">
        <f t="shared" si="50"/>
        <v>5.4682491656443943</v>
      </c>
    </row>
    <row r="124" spans="4:16" x14ac:dyDescent="0.35">
      <c r="G124" s="49" t="s">
        <v>94</v>
      </c>
      <c r="H124" s="2">
        <f>_xlfn.STDEV.S(H107:H111)</f>
        <v>0.74269930531811679</v>
      </c>
      <c r="I124" s="2">
        <f t="shared" ref="I124:P124" si="51">_xlfn.STDEV.S(I107:I111)</f>
        <v>5.6510464908192004</v>
      </c>
      <c r="J124" s="2">
        <f t="shared" si="51"/>
        <v>5.3209103631412125E-2</v>
      </c>
      <c r="K124" s="2">
        <f t="shared" si="51"/>
        <v>5.3209103631412132E-2</v>
      </c>
      <c r="L124" s="2">
        <f t="shared" si="51"/>
        <v>0.21508015936086686</v>
      </c>
      <c r="M124" s="2">
        <f t="shared" si="51"/>
        <v>2.1899373516628341E-2</v>
      </c>
      <c r="N124" s="2">
        <f t="shared" si="51"/>
        <v>5.4742936365635355</v>
      </c>
      <c r="O124" s="2">
        <f t="shared" si="51"/>
        <v>4.4721359549995796</v>
      </c>
      <c r="P124" s="2">
        <f t="shared" si="51"/>
        <v>0.74597887447336775</v>
      </c>
    </row>
    <row r="125" spans="4:16" x14ac:dyDescent="0.35">
      <c r="G125" s="49" t="s">
        <v>95</v>
      </c>
      <c r="H125" s="2">
        <f>H124/(SQRT(COUNT(H107:H111)))</f>
        <v>0.33214522670663604</v>
      </c>
      <c r="I125" s="2">
        <f t="shared" ref="I125:P125" si="52">I124/(SQRT(COUNT(I107:I111)))</f>
        <v>2.5272248194966744</v>
      </c>
      <c r="J125" s="2">
        <f t="shared" si="52"/>
        <v>2.3795834548333682E-2</v>
      </c>
      <c r="K125" s="2">
        <f t="shared" si="52"/>
        <v>2.3795834548333686E-2</v>
      </c>
      <c r="L125" s="2">
        <f t="shared" si="52"/>
        <v>9.6186771388477199E-2</v>
      </c>
      <c r="M125" s="2">
        <f t="shared" si="52"/>
        <v>9.7936975695679176E-3</v>
      </c>
      <c r="N125" s="2">
        <f t="shared" si="52"/>
        <v>2.4481785400301188</v>
      </c>
      <c r="O125" s="2">
        <f t="shared" si="52"/>
        <v>2</v>
      </c>
      <c r="P125" s="2">
        <f t="shared" si="52"/>
        <v>0.33361189462024654</v>
      </c>
    </row>
    <row r="129" spans="1:19" x14ac:dyDescent="0.35">
      <c r="A129" s="2"/>
      <c r="B129" s="2"/>
      <c r="C129" s="2"/>
      <c r="D129" s="2"/>
      <c r="E129" s="2"/>
      <c r="F129" s="2"/>
      <c r="G129" s="2"/>
      <c r="H129" s="2"/>
      <c r="I129" s="2"/>
      <c r="J129" s="2"/>
      <c r="K129" s="2"/>
      <c r="L129" s="2"/>
      <c r="M129" s="2"/>
      <c r="N129" s="2"/>
      <c r="O129" s="2"/>
      <c r="P129" s="2"/>
      <c r="Q129" s="2"/>
      <c r="R129" s="2"/>
      <c r="S129" s="2"/>
    </row>
    <row r="130" spans="1:19" ht="18.5" x14ac:dyDescent="0.45">
      <c r="A130" s="2"/>
      <c r="B130" s="2"/>
      <c r="C130" s="2"/>
      <c r="D130" s="2"/>
      <c r="E130" s="2"/>
      <c r="F130" s="1"/>
      <c r="G130" s="3"/>
      <c r="H130" s="3"/>
      <c r="I130" s="3"/>
      <c r="J130" s="3"/>
      <c r="K130" s="3"/>
      <c r="L130" s="3"/>
      <c r="M130" s="3"/>
      <c r="N130" s="3"/>
      <c r="O130" s="3"/>
      <c r="P130" s="2"/>
      <c r="Q130" s="2"/>
      <c r="R130" s="2"/>
      <c r="S130" s="2"/>
    </row>
    <row r="131" spans="1:19" ht="18.5" x14ac:dyDescent="0.45">
      <c r="A131" s="2"/>
      <c r="B131" s="2"/>
      <c r="C131" s="2"/>
      <c r="F131" s="1" t="s">
        <v>405</v>
      </c>
      <c r="G131" s="3"/>
      <c r="H131" s="3"/>
      <c r="I131" s="3"/>
      <c r="J131" s="3"/>
      <c r="K131" s="3"/>
      <c r="L131" s="3"/>
      <c r="M131" s="3"/>
      <c r="N131" s="3"/>
      <c r="O131" s="3"/>
      <c r="S131" s="2"/>
    </row>
    <row r="132" spans="1:19" ht="16" thickBot="1" x14ac:dyDescent="0.4">
      <c r="A132" s="2"/>
      <c r="B132" s="2"/>
      <c r="C132" s="2"/>
      <c r="D132" s="204" t="s">
        <v>406</v>
      </c>
      <c r="F132" s="9" t="s">
        <v>1</v>
      </c>
      <c r="G132" s="9" t="s">
        <v>2</v>
      </c>
      <c r="H132" s="9" t="s">
        <v>3</v>
      </c>
      <c r="I132" s="9" t="s">
        <v>4</v>
      </c>
      <c r="J132" s="9" t="s">
        <v>5</v>
      </c>
      <c r="K132" s="9" t="s">
        <v>6</v>
      </c>
      <c r="L132" s="9" t="s">
        <v>7</v>
      </c>
      <c r="M132" s="9" t="s">
        <v>8</v>
      </c>
      <c r="N132" s="9" t="s">
        <v>9</v>
      </c>
      <c r="O132" s="9" t="s">
        <v>10</v>
      </c>
      <c r="P132" s="44" t="s">
        <v>139</v>
      </c>
      <c r="R132" s="44" t="s">
        <v>138</v>
      </c>
      <c r="S132" s="2"/>
    </row>
    <row r="133" spans="1:19" x14ac:dyDescent="0.35">
      <c r="A133" s="2"/>
      <c r="B133" s="2"/>
      <c r="C133" s="2"/>
      <c r="D133" s="155">
        <v>14</v>
      </c>
      <c r="F133" s="2">
        <v>0.86828000000000005</v>
      </c>
      <c r="G133" s="2">
        <v>4.9771700000000001</v>
      </c>
      <c r="H133" s="2">
        <f t="shared" ref="H133:H149" si="53">G133-F133</f>
        <v>4.1088899999999997</v>
      </c>
      <c r="I133" s="2">
        <f t="shared" ref="I133:I148" si="54">F134-G133</f>
        <v>6.2498499999999995</v>
      </c>
      <c r="J133" s="2">
        <f>H133/N133</f>
        <v>0.39665924620175813</v>
      </c>
      <c r="K133" s="2">
        <f>I133/N133</f>
        <v>0.60334075379824181</v>
      </c>
      <c r="L133" s="2">
        <f>1/H133</f>
        <v>0.24337473137514026</v>
      </c>
      <c r="M133" s="2">
        <f>1/N133</f>
        <v>9.6536837491818517E-2</v>
      </c>
      <c r="N133" s="2">
        <f>H133+I133</f>
        <v>10.358739999999999</v>
      </c>
      <c r="O133" s="2">
        <v>25</v>
      </c>
      <c r="P133">
        <f>O133/H133</f>
        <v>6.084368284378507</v>
      </c>
      <c r="R133" t="s">
        <v>569</v>
      </c>
      <c r="S133" s="2"/>
    </row>
    <row r="134" spans="1:19" x14ac:dyDescent="0.35">
      <c r="A134" s="2"/>
      <c r="B134" s="2"/>
      <c r="C134" s="2"/>
      <c r="D134" s="155">
        <v>14</v>
      </c>
      <c r="F134" s="13">
        <v>11.22702</v>
      </c>
      <c r="G134" s="2">
        <v>15.457420000000001</v>
      </c>
      <c r="H134" s="2">
        <f t="shared" si="53"/>
        <v>4.2304000000000013</v>
      </c>
      <c r="I134" s="2">
        <f t="shared" si="54"/>
        <v>8.9111299999999982</v>
      </c>
      <c r="J134" s="2">
        <f t="shared" ref="J134:J148" si="55">H134/N134</f>
        <v>0.32191076685895792</v>
      </c>
      <c r="K134" s="2">
        <f t="shared" ref="K134:K148" si="56">I134/N134</f>
        <v>0.67808923314104208</v>
      </c>
      <c r="L134" s="2">
        <f t="shared" ref="L134:L148" si="57">1/H134</f>
        <v>0.23638426626323744</v>
      </c>
      <c r="M134" s="2">
        <f t="shared" ref="M134:M148" si="58">1/N134</f>
        <v>7.6094640426190865E-2</v>
      </c>
      <c r="N134" s="2">
        <f t="shared" ref="N134:N148" si="59">H134+I134</f>
        <v>13.141529999999999</v>
      </c>
      <c r="O134" s="2">
        <v>23</v>
      </c>
      <c r="P134">
        <f t="shared" ref="P134:P148" si="60">O134/H134</f>
        <v>5.4368381240544617</v>
      </c>
      <c r="S134" s="2"/>
    </row>
    <row r="135" spans="1:19" x14ac:dyDescent="0.35">
      <c r="A135" s="2"/>
      <c r="B135" s="2"/>
      <c r="C135" s="2"/>
      <c r="D135" s="155">
        <v>14</v>
      </c>
      <c r="F135" s="13">
        <v>24.368549999999999</v>
      </c>
      <c r="G135" s="2">
        <v>28.381910000000001</v>
      </c>
      <c r="H135" s="2">
        <f t="shared" si="53"/>
        <v>4.0133600000000023</v>
      </c>
      <c r="I135" s="2">
        <f t="shared" si="54"/>
        <v>8.3310700000000004</v>
      </c>
      <c r="J135" s="2">
        <f t="shared" si="55"/>
        <v>0.32511505188979978</v>
      </c>
      <c r="K135" s="2">
        <f t="shared" si="56"/>
        <v>0.67488494811020017</v>
      </c>
      <c r="L135" s="2">
        <f t="shared" si="57"/>
        <v>0.24916777961608214</v>
      </c>
      <c r="M135" s="2">
        <f t="shared" si="58"/>
        <v>8.100819559914875E-2</v>
      </c>
      <c r="N135" s="2">
        <f t="shared" si="59"/>
        <v>12.344430000000003</v>
      </c>
      <c r="O135" s="2">
        <v>21</v>
      </c>
      <c r="P135">
        <f t="shared" si="60"/>
        <v>5.2325233719377247</v>
      </c>
      <c r="S135" s="2"/>
    </row>
    <row r="136" spans="1:19" x14ac:dyDescent="0.35">
      <c r="A136" s="2"/>
      <c r="B136" s="2"/>
      <c r="C136" s="2"/>
      <c r="D136" s="155">
        <v>14</v>
      </c>
      <c r="F136" s="13">
        <v>36.712980000000002</v>
      </c>
      <c r="G136" s="2">
        <v>39.855759999999997</v>
      </c>
      <c r="H136" s="2">
        <f t="shared" si="53"/>
        <v>3.1427799999999948</v>
      </c>
      <c r="I136" s="2">
        <f t="shared" si="54"/>
        <v>10.080540000000006</v>
      </c>
      <c r="J136" s="2">
        <f t="shared" si="55"/>
        <v>0.2376695111363859</v>
      </c>
      <c r="K136" s="2">
        <f t="shared" si="56"/>
        <v>0.7623304888636141</v>
      </c>
      <c r="L136" s="2">
        <f t="shared" si="57"/>
        <v>0.31818962829087677</v>
      </c>
      <c r="M136" s="2">
        <f t="shared" si="58"/>
        <v>7.5623973404561021E-2</v>
      </c>
      <c r="N136" s="2">
        <f t="shared" si="59"/>
        <v>13.223320000000001</v>
      </c>
      <c r="O136" s="2">
        <v>18</v>
      </c>
      <c r="P136">
        <f t="shared" si="60"/>
        <v>5.7274133092357813</v>
      </c>
      <c r="S136" s="2"/>
    </row>
    <row r="137" spans="1:19" x14ac:dyDescent="0.35">
      <c r="A137" s="2"/>
      <c r="B137" s="2"/>
      <c r="C137" s="2"/>
      <c r="D137" s="155">
        <v>14</v>
      </c>
      <c r="F137" s="13">
        <v>49.936300000000003</v>
      </c>
      <c r="G137" s="2">
        <v>53.139600000000002</v>
      </c>
      <c r="H137" s="2">
        <f t="shared" si="53"/>
        <v>3.2032999999999987</v>
      </c>
      <c r="I137" s="2">
        <f t="shared" si="54"/>
        <v>8.7499099999999999</v>
      </c>
      <c r="J137" s="2">
        <f t="shared" si="55"/>
        <v>0.26798659104960082</v>
      </c>
      <c r="K137" s="2">
        <f t="shared" si="56"/>
        <v>0.73201340895039912</v>
      </c>
      <c r="L137" s="2">
        <f t="shared" si="57"/>
        <v>0.31217806636905704</v>
      </c>
      <c r="M137" s="2">
        <f t="shared" si="58"/>
        <v>8.3659535806699631E-2</v>
      </c>
      <c r="N137" s="2">
        <f t="shared" si="59"/>
        <v>11.953209999999999</v>
      </c>
      <c r="O137" s="2">
        <v>19</v>
      </c>
      <c r="P137">
        <f t="shared" si="60"/>
        <v>5.9313832610120834</v>
      </c>
      <c r="S137" s="2"/>
    </row>
    <row r="138" spans="1:19" x14ac:dyDescent="0.35">
      <c r="A138" s="2"/>
      <c r="B138" s="2"/>
      <c r="C138" s="2"/>
      <c r="D138" s="155">
        <v>14</v>
      </c>
      <c r="F138" s="13">
        <v>61.889510000000001</v>
      </c>
      <c r="G138" s="2">
        <v>66.732200000000006</v>
      </c>
      <c r="H138" s="2">
        <f t="shared" si="53"/>
        <v>4.8426900000000046</v>
      </c>
      <c r="I138" s="2">
        <f t="shared" si="54"/>
        <v>9.1181299999999936</v>
      </c>
      <c r="J138" s="2">
        <f t="shared" si="55"/>
        <v>0.34687718916224158</v>
      </c>
      <c r="K138" s="2">
        <f t="shared" si="56"/>
        <v>0.65312281083775847</v>
      </c>
      <c r="L138" s="2">
        <f t="shared" si="57"/>
        <v>0.20649680239701468</v>
      </c>
      <c r="M138" s="2">
        <f t="shared" si="58"/>
        <v>7.1629030386467285E-2</v>
      </c>
      <c r="N138" s="2">
        <f t="shared" si="59"/>
        <v>13.960819999999998</v>
      </c>
      <c r="O138" s="2">
        <v>27</v>
      </c>
      <c r="P138">
        <f t="shared" si="60"/>
        <v>5.5754136647193961</v>
      </c>
      <c r="S138" s="2"/>
    </row>
    <row r="139" spans="1:19" x14ac:dyDescent="0.35">
      <c r="A139" s="2"/>
      <c r="B139" s="2"/>
      <c r="C139" s="2"/>
      <c r="D139" s="155">
        <v>14</v>
      </c>
      <c r="F139" s="13">
        <v>75.85033</v>
      </c>
      <c r="G139" s="2">
        <v>78.881799999999998</v>
      </c>
      <c r="H139" s="2">
        <f t="shared" si="53"/>
        <v>3.0314699999999988</v>
      </c>
      <c r="I139" s="2">
        <f t="shared" si="54"/>
        <v>9.9811700000000059</v>
      </c>
      <c r="J139" s="2">
        <f t="shared" si="55"/>
        <v>0.23296348780877651</v>
      </c>
      <c r="K139" s="2">
        <f t="shared" si="56"/>
        <v>0.76703651219122349</v>
      </c>
      <c r="L139" s="2">
        <f t="shared" si="57"/>
        <v>0.32987296592082405</v>
      </c>
      <c r="M139" s="2">
        <f t="shared" si="58"/>
        <v>7.6848356674740839E-2</v>
      </c>
      <c r="N139" s="2">
        <f t="shared" si="59"/>
        <v>13.012640000000005</v>
      </c>
      <c r="O139" s="2">
        <v>15</v>
      </c>
      <c r="P139">
        <f t="shared" si="60"/>
        <v>4.9480944888123606</v>
      </c>
      <c r="S139" s="2"/>
    </row>
    <row r="140" spans="1:19" x14ac:dyDescent="0.35">
      <c r="A140" s="2"/>
      <c r="B140" s="2"/>
      <c r="C140" s="2"/>
      <c r="D140" s="155">
        <v>14</v>
      </c>
      <c r="F140" s="13">
        <v>88.862970000000004</v>
      </c>
      <c r="G140" s="2">
        <v>92.162959999999998</v>
      </c>
      <c r="H140" s="2">
        <f t="shared" si="53"/>
        <v>3.299989999999994</v>
      </c>
      <c r="I140" s="2">
        <f t="shared" si="54"/>
        <v>7.9381000000000057</v>
      </c>
      <c r="J140" s="2">
        <f t="shared" si="55"/>
        <v>0.29364331483374789</v>
      </c>
      <c r="K140" s="2">
        <f t="shared" si="56"/>
        <v>0.70635668516625205</v>
      </c>
      <c r="L140" s="2">
        <f t="shared" si="57"/>
        <v>0.30303122130673177</v>
      </c>
      <c r="M140" s="2">
        <f t="shared" si="58"/>
        <v>8.8983092322627785E-2</v>
      </c>
      <c r="N140" s="2">
        <f t="shared" si="59"/>
        <v>11.23809</v>
      </c>
      <c r="O140" s="2">
        <v>20</v>
      </c>
      <c r="P140">
        <f t="shared" si="60"/>
        <v>6.0606244261346358</v>
      </c>
      <c r="S140" s="2"/>
    </row>
    <row r="141" spans="1:19" x14ac:dyDescent="0.35">
      <c r="A141" s="2"/>
      <c r="B141" s="2"/>
      <c r="C141" s="2"/>
      <c r="D141" s="155">
        <v>14</v>
      </c>
      <c r="F141" s="13">
        <v>100.10106</v>
      </c>
      <c r="G141" s="2">
        <v>104.17746</v>
      </c>
      <c r="H141" s="2">
        <f t="shared" si="53"/>
        <v>4.0763999999999925</v>
      </c>
      <c r="I141" s="2">
        <f t="shared" si="54"/>
        <v>7.9898700000000105</v>
      </c>
      <c r="J141" s="2">
        <f t="shared" si="55"/>
        <v>0.33783431002289782</v>
      </c>
      <c r="K141" s="2">
        <f t="shared" si="56"/>
        <v>0.66216568997710212</v>
      </c>
      <c r="L141" s="2">
        <f t="shared" si="57"/>
        <v>0.24531449318025755</v>
      </c>
      <c r="M141" s="2">
        <f t="shared" si="58"/>
        <v>8.2875652542169179E-2</v>
      </c>
      <c r="N141" s="2">
        <f t="shared" si="59"/>
        <v>12.066270000000003</v>
      </c>
      <c r="O141" s="2">
        <v>24</v>
      </c>
      <c r="P141">
        <f t="shared" si="60"/>
        <v>5.8875478363261813</v>
      </c>
      <c r="S141" s="2"/>
    </row>
    <row r="142" spans="1:19" x14ac:dyDescent="0.35">
      <c r="A142" s="2"/>
      <c r="B142" s="2"/>
      <c r="C142" s="2"/>
      <c r="D142" s="155">
        <v>14</v>
      </c>
      <c r="F142" s="13">
        <v>112.16733000000001</v>
      </c>
      <c r="G142" s="2">
        <v>116.1255</v>
      </c>
      <c r="H142" s="2">
        <f t="shared" si="53"/>
        <v>3.9581699999999955</v>
      </c>
      <c r="I142" s="2">
        <f t="shared" si="54"/>
        <v>23.423369999999991</v>
      </c>
      <c r="J142" s="2">
        <f t="shared" si="55"/>
        <v>0.14455614987323567</v>
      </c>
      <c r="K142" s="2">
        <f t="shared" si="56"/>
        <v>0.85544385012676438</v>
      </c>
      <c r="L142" s="2">
        <f t="shared" si="57"/>
        <v>0.25264200375426044</v>
      </c>
      <c r="M142" s="2">
        <f t="shared" si="58"/>
        <v>3.6520955358975447E-2</v>
      </c>
      <c r="N142" s="2">
        <f t="shared" si="59"/>
        <v>27.381539999999987</v>
      </c>
      <c r="O142" s="2">
        <v>23</v>
      </c>
      <c r="P142">
        <f t="shared" si="60"/>
        <v>5.8107660863479902</v>
      </c>
      <c r="S142" s="2"/>
    </row>
    <row r="143" spans="1:19" x14ac:dyDescent="0.35">
      <c r="A143" s="2"/>
      <c r="B143" s="2"/>
      <c r="C143" s="2"/>
      <c r="D143" s="155">
        <v>0</v>
      </c>
      <c r="F143" s="13">
        <v>139.54886999999999</v>
      </c>
      <c r="G143" s="2">
        <v>142.71012999999999</v>
      </c>
      <c r="H143" s="2">
        <f t="shared" si="53"/>
        <v>3.1612599999999986</v>
      </c>
      <c r="I143" s="2">
        <f t="shared" si="54"/>
        <v>5.278649999999999</v>
      </c>
      <c r="J143" s="2">
        <f t="shared" si="55"/>
        <v>0.37456086617037382</v>
      </c>
      <c r="K143" s="2">
        <f t="shared" si="56"/>
        <v>0.62543913382962624</v>
      </c>
      <c r="L143" s="2">
        <f t="shared" si="57"/>
        <v>0.31632956479378488</v>
      </c>
      <c r="M143" s="2">
        <f t="shared" si="58"/>
        <v>0.11848467578445745</v>
      </c>
      <c r="N143" s="2">
        <f t="shared" si="59"/>
        <v>8.4399099999999976</v>
      </c>
      <c r="O143" s="2">
        <v>18</v>
      </c>
      <c r="P143">
        <f t="shared" si="60"/>
        <v>5.6939321662881284</v>
      </c>
      <c r="S143" s="2"/>
    </row>
    <row r="144" spans="1:19" x14ac:dyDescent="0.35">
      <c r="A144" s="2"/>
      <c r="B144" s="2"/>
      <c r="C144" s="2"/>
      <c r="D144" s="155">
        <v>0</v>
      </c>
      <c r="F144" s="13">
        <v>147.98877999999999</v>
      </c>
      <c r="G144" s="2">
        <v>151.09885</v>
      </c>
      <c r="H144" s="2">
        <f t="shared" si="53"/>
        <v>3.1100700000000074</v>
      </c>
      <c r="I144" s="2">
        <f t="shared" si="54"/>
        <v>11.79310000000001</v>
      </c>
      <c r="J144" s="2">
        <f t="shared" si="55"/>
        <v>0.20868513208934769</v>
      </c>
      <c r="K144" s="2">
        <f t="shared" si="56"/>
        <v>0.79131486791065231</v>
      </c>
      <c r="L144" s="2">
        <f t="shared" si="57"/>
        <v>0.32153617121157968</v>
      </c>
      <c r="M144" s="2">
        <f t="shared" si="58"/>
        <v>6.7099818360791624E-2</v>
      </c>
      <c r="N144" s="2">
        <f t="shared" si="59"/>
        <v>14.903170000000017</v>
      </c>
      <c r="O144" s="2">
        <v>20</v>
      </c>
      <c r="P144">
        <f t="shared" si="60"/>
        <v>6.4307234242315934</v>
      </c>
      <c r="S144" s="2"/>
    </row>
    <row r="145" spans="1:19" x14ac:dyDescent="0.35">
      <c r="A145" s="2"/>
      <c r="B145" s="2"/>
      <c r="C145" s="2"/>
      <c r="D145" s="155">
        <v>0</v>
      </c>
      <c r="F145" s="13">
        <v>162.89195000000001</v>
      </c>
      <c r="G145" s="2">
        <v>166.08528999999999</v>
      </c>
      <c r="H145" s="2">
        <f t="shared" si="53"/>
        <v>3.1933399999999779</v>
      </c>
      <c r="I145" s="2">
        <f t="shared" si="54"/>
        <v>6.1166600000000244</v>
      </c>
      <c r="J145" s="2">
        <f t="shared" si="55"/>
        <v>0.34300107411385361</v>
      </c>
      <c r="K145" s="2">
        <f t="shared" si="56"/>
        <v>0.65699892588614639</v>
      </c>
      <c r="L145" s="2">
        <f t="shared" si="57"/>
        <v>0.31315174707359911</v>
      </c>
      <c r="M145" s="2">
        <f t="shared" si="58"/>
        <v>0.1074113856068743</v>
      </c>
      <c r="N145" s="2">
        <f t="shared" si="59"/>
        <v>9.3100000000000023</v>
      </c>
      <c r="O145" s="2">
        <v>18</v>
      </c>
      <c r="P145">
        <f t="shared" si="60"/>
        <v>5.6367314473247836</v>
      </c>
      <c r="R145" s="2"/>
      <c r="S145" s="2"/>
    </row>
    <row r="146" spans="1:19" x14ac:dyDescent="0.35">
      <c r="A146" s="2"/>
      <c r="B146" s="2"/>
      <c r="C146" s="2"/>
      <c r="D146" s="155">
        <v>0</v>
      </c>
      <c r="F146" s="13">
        <v>172.20195000000001</v>
      </c>
      <c r="G146" s="2">
        <v>176.86644999999999</v>
      </c>
      <c r="H146" s="2">
        <f t="shared" si="53"/>
        <v>4.6644999999999754</v>
      </c>
      <c r="I146" s="2">
        <f t="shared" si="54"/>
        <v>20.04674</v>
      </c>
      <c r="J146" s="2">
        <f t="shared" si="55"/>
        <v>0.18876025646628741</v>
      </c>
      <c r="K146" s="2">
        <f t="shared" si="56"/>
        <v>0.81123974353371264</v>
      </c>
      <c r="L146" s="2">
        <f t="shared" si="57"/>
        <v>0.21438525029478084</v>
      </c>
      <c r="M146" s="2">
        <f t="shared" si="58"/>
        <v>4.0467414828232053E-2</v>
      </c>
      <c r="N146" s="2">
        <f t="shared" si="59"/>
        <v>24.711239999999975</v>
      </c>
      <c r="O146" s="2">
        <v>32</v>
      </c>
      <c r="P146">
        <f t="shared" si="60"/>
        <v>6.8603280094329868</v>
      </c>
      <c r="S146" s="2"/>
    </row>
    <row r="147" spans="1:19" x14ac:dyDescent="0.35">
      <c r="A147" s="2"/>
      <c r="B147" s="2"/>
      <c r="C147" s="2"/>
      <c r="D147" s="155">
        <v>0</v>
      </c>
      <c r="F147" s="13">
        <v>196.91318999999999</v>
      </c>
      <c r="G147" s="2">
        <v>199.14488</v>
      </c>
      <c r="H147" s="2">
        <f t="shared" si="53"/>
        <v>2.2316900000000146</v>
      </c>
      <c r="I147" s="2">
        <f t="shared" si="54"/>
        <v>7.0609699999999975</v>
      </c>
      <c r="J147" s="2">
        <f t="shared" si="55"/>
        <v>0.24015620930928408</v>
      </c>
      <c r="K147" s="2">
        <f t="shared" si="56"/>
        <v>0.75984379069071595</v>
      </c>
      <c r="L147" s="2">
        <f t="shared" si="57"/>
        <v>0.44809090868355078</v>
      </c>
      <c r="M147" s="2">
        <f t="shared" si="58"/>
        <v>0.10761181405539412</v>
      </c>
      <c r="N147" s="2">
        <f t="shared" si="59"/>
        <v>9.2926600000000121</v>
      </c>
      <c r="O147" s="2">
        <v>14</v>
      </c>
      <c r="P147">
        <f t="shared" si="60"/>
        <v>6.2732727215697111</v>
      </c>
      <c r="R147" t="s">
        <v>570</v>
      </c>
      <c r="S147" s="2"/>
    </row>
    <row r="148" spans="1:19" x14ac:dyDescent="0.35">
      <c r="A148" s="2"/>
      <c r="B148" s="2"/>
      <c r="C148" s="2"/>
      <c r="D148" s="155">
        <v>0</v>
      </c>
      <c r="F148" s="13">
        <v>206.20585</v>
      </c>
      <c r="G148" s="13">
        <v>208.11664999999999</v>
      </c>
      <c r="H148" s="2">
        <f t="shared" si="53"/>
        <v>1.9107999999999947</v>
      </c>
      <c r="I148" s="2">
        <f t="shared" si="54"/>
        <v>25.809480000000008</v>
      </c>
      <c r="J148" s="2">
        <f t="shared" si="55"/>
        <v>6.8931482654576159E-2</v>
      </c>
      <c r="K148" s="2">
        <f t="shared" si="56"/>
        <v>0.93106851734542384</v>
      </c>
      <c r="L148" s="2">
        <f t="shared" si="57"/>
        <v>0.52334100900146685</v>
      </c>
      <c r="M148" s="2">
        <f t="shared" si="58"/>
        <v>3.6074671684412994E-2</v>
      </c>
      <c r="N148" s="2">
        <f t="shared" si="59"/>
        <v>27.720280000000002</v>
      </c>
      <c r="O148" s="2">
        <v>10</v>
      </c>
      <c r="P148">
        <f t="shared" si="60"/>
        <v>5.2334100900146678</v>
      </c>
      <c r="S148" s="2"/>
    </row>
    <row r="149" spans="1:19" x14ac:dyDescent="0.35">
      <c r="A149" s="2"/>
      <c r="B149" s="2"/>
      <c r="C149" s="2"/>
      <c r="D149" s="155">
        <v>0</v>
      </c>
      <c r="F149" s="13">
        <v>233.92613</v>
      </c>
      <c r="G149" s="13">
        <v>236.98464000000001</v>
      </c>
      <c r="H149" s="2">
        <f t="shared" si="53"/>
        <v>3.0585100000000125</v>
      </c>
      <c r="I149" s="2"/>
      <c r="J149" s="2"/>
      <c r="K149" s="2"/>
      <c r="L149" s="2"/>
      <c r="M149" s="2"/>
      <c r="N149" s="2"/>
      <c r="O149" s="2"/>
      <c r="S149" s="2"/>
    </row>
    <row r="150" spans="1:19" x14ac:dyDescent="0.35">
      <c r="F150" s="13"/>
      <c r="G150" s="13"/>
      <c r="H150" s="2"/>
      <c r="I150" s="2"/>
      <c r="J150" s="2"/>
      <c r="K150" s="2"/>
      <c r="L150" s="2"/>
      <c r="M150" s="2"/>
      <c r="N150" s="2"/>
      <c r="O150" s="2"/>
    </row>
    <row r="151" spans="1:19" x14ac:dyDescent="0.35">
      <c r="F151" s="13"/>
    </row>
    <row r="152" spans="1:19" ht="16" thickBot="1" x14ac:dyDescent="0.4">
      <c r="F152" s="13"/>
      <c r="G152" s="13"/>
      <c r="H152" s="9" t="s">
        <v>3</v>
      </c>
      <c r="I152" s="9" t="s">
        <v>4</v>
      </c>
      <c r="J152" s="9" t="s">
        <v>5</v>
      </c>
      <c r="K152" s="9" t="s">
        <v>6</v>
      </c>
      <c r="L152" s="9" t="s">
        <v>7</v>
      </c>
      <c r="M152" s="9" t="s">
        <v>8</v>
      </c>
      <c r="N152" s="9" t="s">
        <v>9</v>
      </c>
      <c r="O152" s="9" t="s">
        <v>10</v>
      </c>
      <c r="P152" s="44" t="s">
        <v>139</v>
      </c>
    </row>
    <row r="153" spans="1:19" x14ac:dyDescent="0.35">
      <c r="E153" s="104" t="s">
        <v>459</v>
      </c>
      <c r="F153" s="13"/>
      <c r="G153" s="49" t="s">
        <v>77</v>
      </c>
      <c r="H153" s="13">
        <f>AVERAGE(H133:H142)</f>
        <v>3.7907449999999985</v>
      </c>
      <c r="I153" s="13">
        <f t="shared" ref="I153:P153" si="61">AVERAGE(I133:I142)</f>
        <v>10.077314000000001</v>
      </c>
      <c r="J153" s="13">
        <f t="shared" si="61"/>
        <v>0.29052156188374023</v>
      </c>
      <c r="K153" s="13">
        <f t="shared" si="61"/>
        <v>0.70947843811625977</v>
      </c>
      <c r="L153" s="13">
        <f t="shared" si="61"/>
        <v>0.26966519584734822</v>
      </c>
      <c r="M153" s="13">
        <f t="shared" si="61"/>
        <v>7.6978027001339946E-2</v>
      </c>
      <c r="N153" s="13">
        <f t="shared" si="61"/>
        <v>13.868058999999999</v>
      </c>
      <c r="O153" s="13">
        <f t="shared" si="61"/>
        <v>21.5</v>
      </c>
      <c r="P153" s="13">
        <f t="shared" si="61"/>
        <v>5.669497285295912</v>
      </c>
    </row>
    <row r="154" spans="1:19" x14ac:dyDescent="0.35">
      <c r="E154" s="104"/>
      <c r="F154" s="13"/>
      <c r="G154" s="49" t="s">
        <v>94</v>
      </c>
      <c r="H154" s="2">
        <f>_xlfn.STDEV.S(H133:H142)</f>
        <v>0.59091056437878253</v>
      </c>
      <c r="I154" s="2">
        <f t="shared" ref="I154:P154" si="62">_xlfn.STDEV.S(I133:I142)</f>
        <v>4.816649285408543</v>
      </c>
      <c r="J154" s="2">
        <f t="shared" si="62"/>
        <v>7.2104396190055126E-2</v>
      </c>
      <c r="K154" s="2">
        <f t="shared" si="62"/>
        <v>7.2104396190055361E-2</v>
      </c>
      <c r="L154" s="2">
        <f t="shared" si="62"/>
        <v>4.215339254168321E-2</v>
      </c>
      <c r="M154" s="2">
        <f t="shared" si="62"/>
        <v>1.5952542552739094E-2</v>
      </c>
      <c r="N154" s="2">
        <f t="shared" si="62"/>
        <v>4.8621513320258778</v>
      </c>
      <c r="O154" s="2">
        <f t="shared" si="62"/>
        <v>3.5978388574871505</v>
      </c>
      <c r="P154" s="2">
        <f t="shared" si="62"/>
        <v>0.37101812503521137</v>
      </c>
    </row>
    <row r="155" spans="1:19" x14ac:dyDescent="0.35">
      <c r="E155" s="104"/>
      <c r="F155" s="13"/>
      <c r="G155" s="49" t="s">
        <v>95</v>
      </c>
      <c r="H155" s="2">
        <f>H154/(SQRT(COUNT(H133:H142)))</f>
        <v>0.18686232768925129</v>
      </c>
      <c r="I155" s="2">
        <f t="shared" ref="I155:P155" si="63">I154/(SQRT(COUNT(I133:I142)))</f>
        <v>1.5231582432113422</v>
      </c>
      <c r="J155" s="2">
        <f t="shared" si="63"/>
        <v>2.2801412127174132E-2</v>
      </c>
      <c r="K155" s="2">
        <f t="shared" si="63"/>
        <v>2.2801412127174205E-2</v>
      </c>
      <c r="L155" s="2">
        <f t="shared" si="63"/>
        <v>1.3330073153487318E-2</v>
      </c>
      <c r="M155" s="2">
        <f t="shared" si="63"/>
        <v>5.0446368937412285E-3</v>
      </c>
      <c r="N155" s="2">
        <f t="shared" si="63"/>
        <v>1.537547253762336</v>
      </c>
      <c r="O155" s="2">
        <f t="shared" si="63"/>
        <v>1.137736544391734</v>
      </c>
      <c r="P155" s="2">
        <f t="shared" si="63"/>
        <v>0.11732623283164073</v>
      </c>
    </row>
    <row r="156" spans="1:19" x14ac:dyDescent="0.35">
      <c r="E156" s="104"/>
    </row>
    <row r="157" spans="1:19" x14ac:dyDescent="0.35">
      <c r="E157" s="104"/>
    </row>
    <row r="158" spans="1:19" ht="16" thickBot="1" x14ac:dyDescent="0.4">
      <c r="E158" s="104"/>
      <c r="G158" s="13"/>
      <c r="H158" s="9" t="s">
        <v>3</v>
      </c>
      <c r="I158" s="9" t="s">
        <v>4</v>
      </c>
      <c r="J158" s="9" t="s">
        <v>5</v>
      </c>
      <c r="K158" s="9" t="s">
        <v>6</v>
      </c>
      <c r="L158" s="9" t="s">
        <v>7</v>
      </c>
      <c r="M158" s="9" t="s">
        <v>8</v>
      </c>
      <c r="N158" s="9" t="s">
        <v>9</v>
      </c>
      <c r="O158" s="9" t="s">
        <v>10</v>
      </c>
      <c r="P158" s="44" t="s">
        <v>139</v>
      </c>
    </row>
    <row r="159" spans="1:19" x14ac:dyDescent="0.35">
      <c r="E159" s="104" t="s">
        <v>410</v>
      </c>
      <c r="G159" s="49" t="s">
        <v>77</v>
      </c>
      <c r="H159" s="13">
        <f>AVERAGE(H143:H148)</f>
        <v>3.0452766666666613</v>
      </c>
      <c r="I159" s="13">
        <f t="shared" ref="I159:P159" si="64">AVERAGE(I143:I148)</f>
        <v>12.684266666666673</v>
      </c>
      <c r="J159" s="13">
        <f t="shared" si="64"/>
        <v>0.23734917013395382</v>
      </c>
      <c r="K159" s="13">
        <f t="shared" si="64"/>
        <v>0.76265082986604626</v>
      </c>
      <c r="L159" s="13">
        <f t="shared" si="64"/>
        <v>0.35613910850979374</v>
      </c>
      <c r="M159" s="13">
        <f t="shared" si="64"/>
        <v>7.9524963386693751E-2</v>
      </c>
      <c r="N159" s="13">
        <f t="shared" si="64"/>
        <v>15.729543333333334</v>
      </c>
      <c r="O159" s="13">
        <f t="shared" si="64"/>
        <v>18.666666666666668</v>
      </c>
      <c r="P159" s="13">
        <f t="shared" si="64"/>
        <v>6.0213996431436456</v>
      </c>
    </row>
    <row r="160" spans="1:19" x14ac:dyDescent="0.35">
      <c r="G160" s="49" t="s">
        <v>94</v>
      </c>
      <c r="H160" s="2">
        <f>_xlfn.STDEV.S(H143:H148)</f>
        <v>0.96025182477652571</v>
      </c>
      <c r="I160" s="2">
        <f t="shared" ref="I160:P160" si="65">_xlfn.STDEV.S(I143:I148)</f>
        <v>8.4483074944077803</v>
      </c>
      <c r="J160" s="2">
        <f t="shared" si="65"/>
        <v>0.11094528460194113</v>
      </c>
      <c r="K160" s="2">
        <f t="shared" si="65"/>
        <v>0.11094528460194132</v>
      </c>
      <c r="L160" s="2">
        <f t="shared" si="65"/>
        <v>0.11057652706234795</v>
      </c>
      <c r="M160" s="2">
        <f t="shared" si="65"/>
        <v>3.6475161664258876E-2</v>
      </c>
      <c r="N160" s="2">
        <f t="shared" si="65"/>
        <v>8.4960495702100598</v>
      </c>
      <c r="O160" s="2">
        <f t="shared" si="65"/>
        <v>7.4475946900101038</v>
      </c>
      <c r="P160" s="2">
        <f t="shared" si="65"/>
        <v>0.60181706760076581</v>
      </c>
    </row>
    <row r="161" spans="4:19" x14ac:dyDescent="0.35">
      <c r="G161" s="49" t="s">
        <v>95</v>
      </c>
      <c r="H161" s="2">
        <f>H160/(SQRT(COUNT(H143:H148)))</f>
        <v>0.39202116587982161</v>
      </c>
      <c r="I161" s="2">
        <f t="shared" ref="I161:P161" si="66">I160/(SQRT(COUNT(I143:I148)))</f>
        <v>3.4490070919050186</v>
      </c>
      <c r="J161" s="2">
        <f t="shared" si="66"/>
        <v>4.5293222773769216E-2</v>
      </c>
      <c r="K161" s="2">
        <f t="shared" si="66"/>
        <v>4.5293222773769293E-2</v>
      </c>
      <c r="L161" s="2">
        <f t="shared" si="66"/>
        <v>4.5142678138634644E-2</v>
      </c>
      <c r="M161" s="2">
        <f t="shared" si="66"/>
        <v>1.489092239382672E-2</v>
      </c>
      <c r="N161" s="2">
        <f t="shared" si="66"/>
        <v>3.4684977127344951</v>
      </c>
      <c r="O161" s="2">
        <f t="shared" si="66"/>
        <v>3.040467800264369</v>
      </c>
      <c r="P161" s="2">
        <f t="shared" si="66"/>
        <v>0.24569078901998775</v>
      </c>
    </row>
    <row r="166" spans="4:19" ht="18.5" x14ac:dyDescent="0.45">
      <c r="F166" s="1" t="s">
        <v>405</v>
      </c>
      <c r="G166" s="3"/>
      <c r="H166" s="3"/>
      <c r="I166" s="3"/>
      <c r="J166" s="3"/>
      <c r="K166" s="3"/>
      <c r="L166" s="3"/>
      <c r="M166" s="3"/>
      <c r="N166" s="3"/>
      <c r="O166" s="3"/>
      <c r="S166" s="2"/>
    </row>
    <row r="167" spans="4:19" ht="16" thickBot="1" x14ac:dyDescent="0.4">
      <c r="D167" s="204" t="s">
        <v>406</v>
      </c>
      <c r="F167" s="9" t="s">
        <v>1</v>
      </c>
      <c r="G167" s="9" t="s">
        <v>2</v>
      </c>
      <c r="H167" s="9" t="s">
        <v>3</v>
      </c>
      <c r="I167" s="9" t="s">
        <v>4</v>
      </c>
      <c r="J167" s="9" t="s">
        <v>5</v>
      </c>
      <c r="K167" s="9" t="s">
        <v>6</v>
      </c>
      <c r="L167" s="9" t="s">
        <v>7</v>
      </c>
      <c r="M167" s="9" t="s">
        <v>8</v>
      </c>
      <c r="N167" s="9" t="s">
        <v>9</v>
      </c>
      <c r="O167" s="9" t="s">
        <v>10</v>
      </c>
      <c r="P167" s="44" t="s">
        <v>139</v>
      </c>
      <c r="R167" s="44" t="s">
        <v>138</v>
      </c>
      <c r="S167" s="2"/>
    </row>
    <row r="168" spans="4:19" x14ac:dyDescent="0.35">
      <c r="D168" s="155">
        <v>16</v>
      </c>
      <c r="F168" s="2">
        <v>1.13866</v>
      </c>
      <c r="G168" s="2">
        <v>5.9274399999999998</v>
      </c>
      <c r="H168" s="2">
        <f t="shared" ref="H168:H176" si="67">G168-F168</f>
        <v>4.78878</v>
      </c>
      <c r="I168" s="2">
        <f t="shared" ref="I168:I175" si="68">F169-G168</f>
        <v>7.8657700000000004</v>
      </c>
      <c r="J168" s="2">
        <f>H168/N168</f>
        <v>0.3784235709685449</v>
      </c>
      <c r="K168" s="2">
        <f>I168/N168</f>
        <v>0.62157642903145505</v>
      </c>
      <c r="L168" s="2">
        <f>1/H168</f>
        <v>0.2088214534808448</v>
      </c>
      <c r="M168" s="2">
        <f>1/N168</f>
        <v>7.9022960121063177E-2</v>
      </c>
      <c r="N168" s="2">
        <f>H168+I168</f>
        <v>12.65455</v>
      </c>
      <c r="O168" s="2">
        <v>30</v>
      </c>
      <c r="P168">
        <f>O168/H168</f>
        <v>6.264643604425344</v>
      </c>
      <c r="R168" t="s">
        <v>571</v>
      </c>
      <c r="S168" s="2"/>
    </row>
    <row r="169" spans="4:19" x14ac:dyDescent="0.35">
      <c r="D169" s="155">
        <v>16</v>
      </c>
      <c r="F169" s="13">
        <v>13.79321</v>
      </c>
      <c r="G169" s="2">
        <v>18.40326</v>
      </c>
      <c r="H169" s="2">
        <f t="shared" si="67"/>
        <v>4.6100499999999993</v>
      </c>
      <c r="I169" s="2">
        <f t="shared" si="68"/>
        <v>8.1564699999999988</v>
      </c>
      <c r="J169" s="2">
        <f t="shared" ref="J169:J175" si="69">H169/N169</f>
        <v>0.36110467065417984</v>
      </c>
      <c r="K169" s="2">
        <f t="shared" ref="K169:K175" si="70">I169/N169</f>
        <v>0.63889532934582016</v>
      </c>
      <c r="L169" s="2">
        <f t="shared" ref="L169:L175" si="71">1/H169</f>
        <v>0.21691738701315608</v>
      </c>
      <c r="M169" s="2">
        <f t="shared" ref="M169:M175" si="72">1/N169</f>
        <v>7.8329881596550993E-2</v>
      </c>
      <c r="N169" s="2">
        <f t="shared" ref="N169:N175" si="73">H169+I169</f>
        <v>12.766519999999998</v>
      </c>
      <c r="O169" s="2">
        <v>27</v>
      </c>
      <c r="P169">
        <f t="shared" ref="P169:P175" si="74">O169/H169</f>
        <v>5.8567694493552143</v>
      </c>
      <c r="S169" s="2"/>
    </row>
    <row r="170" spans="4:19" x14ac:dyDescent="0.35">
      <c r="D170" s="155">
        <v>16</v>
      </c>
      <c r="F170" s="13">
        <v>26.559729999999998</v>
      </c>
      <c r="G170" s="2">
        <v>29.140360000000001</v>
      </c>
      <c r="H170" s="2">
        <f t="shared" si="67"/>
        <v>2.5806300000000029</v>
      </c>
      <c r="I170" s="2">
        <f t="shared" si="68"/>
        <v>13.25018</v>
      </c>
      <c r="J170" s="2">
        <f t="shared" si="69"/>
        <v>0.16301313704099804</v>
      </c>
      <c r="K170" s="2">
        <f t="shared" si="70"/>
        <v>0.83698686295900193</v>
      </c>
      <c r="L170" s="2">
        <f t="shared" si="71"/>
        <v>0.38750227657587444</v>
      </c>
      <c r="M170" s="2">
        <f t="shared" si="72"/>
        <v>6.3167961715161758E-2</v>
      </c>
      <c r="N170" s="2">
        <f t="shared" si="73"/>
        <v>15.830810000000003</v>
      </c>
      <c r="O170" s="2">
        <v>17</v>
      </c>
      <c r="P170">
        <f t="shared" si="74"/>
        <v>6.5875387017898657</v>
      </c>
      <c r="S170" s="2"/>
    </row>
    <row r="171" spans="4:19" x14ac:dyDescent="0.35">
      <c r="D171" s="155">
        <v>16</v>
      </c>
      <c r="F171" s="13">
        <v>42.390540000000001</v>
      </c>
      <c r="G171" s="2">
        <v>46.381689999999999</v>
      </c>
      <c r="H171" s="2">
        <f t="shared" si="67"/>
        <v>3.9911499999999975</v>
      </c>
      <c r="I171" s="2">
        <f t="shared" si="68"/>
        <v>10.87379</v>
      </c>
      <c r="J171" s="2">
        <f t="shared" si="69"/>
        <v>0.26849418833846611</v>
      </c>
      <c r="K171" s="2">
        <f t="shared" si="70"/>
        <v>0.73150581166153394</v>
      </c>
      <c r="L171" s="2">
        <f t="shared" si="71"/>
        <v>0.25055435150269989</v>
      </c>
      <c r="M171" s="2">
        <f t="shared" si="72"/>
        <v>6.7272387241388135E-2</v>
      </c>
      <c r="N171" s="2">
        <f t="shared" si="73"/>
        <v>14.864939999999997</v>
      </c>
      <c r="O171" s="2">
        <v>22</v>
      </c>
      <c r="P171">
        <f t="shared" si="74"/>
        <v>5.5121957330593974</v>
      </c>
      <c r="S171" s="2"/>
    </row>
    <row r="172" spans="4:19" x14ac:dyDescent="0.35">
      <c r="D172" s="155">
        <v>16</v>
      </c>
      <c r="F172" s="13">
        <v>57.255479999999999</v>
      </c>
      <c r="G172" s="2">
        <v>62.179569999999998</v>
      </c>
      <c r="H172" s="2">
        <f t="shared" si="67"/>
        <v>4.9240899999999996</v>
      </c>
      <c r="I172" s="2">
        <f t="shared" si="68"/>
        <v>8.8659399999999948</v>
      </c>
      <c r="J172" s="2">
        <f t="shared" si="69"/>
        <v>0.35707609047986127</v>
      </c>
      <c r="K172" s="2">
        <f t="shared" si="70"/>
        <v>0.64292390952013867</v>
      </c>
      <c r="L172" s="2">
        <f t="shared" si="71"/>
        <v>0.20308320928333967</v>
      </c>
      <c r="M172" s="2">
        <f t="shared" si="72"/>
        <v>7.251615841299841E-2</v>
      </c>
      <c r="N172" s="2">
        <f t="shared" si="73"/>
        <v>13.790029999999994</v>
      </c>
      <c r="O172" s="2">
        <v>25</v>
      </c>
      <c r="P172">
        <f t="shared" si="74"/>
        <v>5.0770802320834916</v>
      </c>
      <c r="S172" s="2"/>
    </row>
    <row r="173" spans="4:19" x14ac:dyDescent="0.35">
      <c r="D173" s="155">
        <v>16</v>
      </c>
      <c r="F173" s="13">
        <v>71.045509999999993</v>
      </c>
      <c r="G173" s="2">
        <v>74.923169999999999</v>
      </c>
      <c r="H173" s="2">
        <f t="shared" si="67"/>
        <v>3.8776600000000059</v>
      </c>
      <c r="I173" s="2">
        <f t="shared" si="68"/>
        <v>7.8108299999999957</v>
      </c>
      <c r="J173" s="2">
        <f t="shared" si="69"/>
        <v>0.33175029452050736</v>
      </c>
      <c r="K173" s="2">
        <f t="shared" si="70"/>
        <v>0.66824970547949258</v>
      </c>
      <c r="L173" s="2">
        <f t="shared" si="71"/>
        <v>0.2578874888463657</v>
      </c>
      <c r="M173" s="2">
        <f t="shared" si="72"/>
        <v>8.5554250377935889E-2</v>
      </c>
      <c r="N173" s="2">
        <f t="shared" si="73"/>
        <v>11.688490000000002</v>
      </c>
      <c r="O173" s="2">
        <v>17</v>
      </c>
      <c r="P173">
        <f t="shared" si="74"/>
        <v>4.3840873103882174</v>
      </c>
      <c r="S173" s="2"/>
    </row>
    <row r="174" spans="4:19" x14ac:dyDescent="0.35">
      <c r="D174" s="155">
        <v>16</v>
      </c>
      <c r="F174" s="13">
        <v>82.733999999999995</v>
      </c>
      <c r="G174" s="2">
        <v>86.665949999999995</v>
      </c>
      <c r="H174" s="2">
        <f t="shared" si="67"/>
        <v>3.9319500000000005</v>
      </c>
      <c r="I174" s="2">
        <f t="shared" si="68"/>
        <v>10.822770000000006</v>
      </c>
      <c r="J174" s="2">
        <f t="shared" si="69"/>
        <v>0.26648760532222904</v>
      </c>
      <c r="K174" s="2">
        <f t="shared" si="70"/>
        <v>0.73351239467777096</v>
      </c>
      <c r="L174" s="2">
        <f t="shared" si="71"/>
        <v>0.25432673355459756</v>
      </c>
      <c r="M174" s="2">
        <f t="shared" si="72"/>
        <v>6.7774922194389298E-2</v>
      </c>
      <c r="N174" s="2">
        <f t="shared" si="73"/>
        <v>14.754720000000006</v>
      </c>
      <c r="O174" s="2">
        <v>23</v>
      </c>
      <c r="P174">
        <f t="shared" si="74"/>
        <v>5.8495148717557441</v>
      </c>
      <c r="S174" s="2"/>
    </row>
    <row r="175" spans="4:19" x14ac:dyDescent="0.35">
      <c r="D175" s="155">
        <v>16</v>
      </c>
      <c r="F175" s="13">
        <v>97.488720000000001</v>
      </c>
      <c r="G175" s="2">
        <v>100.89051000000001</v>
      </c>
      <c r="H175" s="2">
        <f t="shared" si="67"/>
        <v>3.4017900000000054</v>
      </c>
      <c r="I175" s="2">
        <f t="shared" si="68"/>
        <v>11.645509999999987</v>
      </c>
      <c r="J175" s="2">
        <f t="shared" si="69"/>
        <v>0.22607311610720907</v>
      </c>
      <c r="K175" s="2">
        <f t="shared" si="70"/>
        <v>0.77392688389279096</v>
      </c>
      <c r="L175" s="2">
        <f t="shared" si="71"/>
        <v>0.29396288424623462</v>
      </c>
      <c r="M175" s="2">
        <f t="shared" si="72"/>
        <v>6.645710526140905E-2</v>
      </c>
      <c r="N175" s="2">
        <f t="shared" si="73"/>
        <v>15.047299999999993</v>
      </c>
      <c r="O175" s="2">
        <v>21</v>
      </c>
      <c r="P175">
        <f t="shared" si="74"/>
        <v>6.173220569170927</v>
      </c>
      <c r="S175" s="2"/>
    </row>
    <row r="176" spans="4:19" x14ac:dyDescent="0.35">
      <c r="D176" s="155">
        <v>16</v>
      </c>
      <c r="F176" s="13">
        <v>112.53601999999999</v>
      </c>
      <c r="G176" s="2">
        <v>116.60132</v>
      </c>
      <c r="H176" s="2">
        <f t="shared" si="67"/>
        <v>4.0653000000000077</v>
      </c>
      <c r="I176" s="2"/>
      <c r="J176" s="2"/>
      <c r="K176" s="2"/>
      <c r="L176" s="2"/>
      <c r="M176" s="2"/>
      <c r="N176" s="2"/>
      <c r="O176" s="2"/>
      <c r="S176" s="2"/>
    </row>
    <row r="177" spans="3:17" x14ac:dyDescent="0.35">
      <c r="F177" s="13"/>
      <c r="G177" s="13"/>
      <c r="H177" s="2"/>
      <c r="I177" s="2"/>
      <c r="J177" s="2"/>
      <c r="K177" s="2"/>
      <c r="L177" s="2"/>
      <c r="M177" s="2"/>
      <c r="N177" s="2"/>
      <c r="O177" s="2"/>
    </row>
    <row r="178" spans="3:17" x14ac:dyDescent="0.35">
      <c r="F178" s="13"/>
    </row>
    <row r="179" spans="3:17" ht="16" thickBot="1" x14ac:dyDescent="0.4">
      <c r="F179" s="13"/>
      <c r="G179" s="13"/>
      <c r="H179" s="9" t="s">
        <v>3</v>
      </c>
      <c r="I179" s="9" t="s">
        <v>4</v>
      </c>
      <c r="J179" s="9" t="s">
        <v>5</v>
      </c>
      <c r="K179" s="9" t="s">
        <v>6</v>
      </c>
      <c r="L179" s="9" t="s">
        <v>7</v>
      </c>
      <c r="M179" s="9" t="s">
        <v>8</v>
      </c>
      <c r="N179" s="9" t="s">
        <v>9</v>
      </c>
      <c r="O179" s="9" t="s">
        <v>10</v>
      </c>
      <c r="P179" s="44" t="s">
        <v>139</v>
      </c>
    </row>
    <row r="180" spans="3:17" x14ac:dyDescent="0.35">
      <c r="E180" s="104" t="s">
        <v>572</v>
      </c>
      <c r="F180" s="13"/>
      <c r="G180" s="49" t="s">
        <v>77</v>
      </c>
      <c r="H180" s="13">
        <f>AVERAGE(H168:H175)</f>
        <v>4.0132625000000015</v>
      </c>
      <c r="I180" s="13">
        <f t="shared" ref="I180:P180" si="75">AVERAGE(I168:I175)</f>
        <v>9.9114074999999975</v>
      </c>
      <c r="J180" s="13">
        <f t="shared" si="75"/>
        <v>0.29405283417899947</v>
      </c>
      <c r="K180" s="13">
        <f t="shared" si="75"/>
        <v>0.70594716582100059</v>
      </c>
      <c r="L180" s="13">
        <f t="shared" si="75"/>
        <v>0.2591319730628891</v>
      </c>
      <c r="M180" s="13">
        <f t="shared" si="75"/>
        <v>7.2511953365112083E-2</v>
      </c>
      <c r="N180" s="13">
        <f t="shared" si="75"/>
        <v>13.924669999999999</v>
      </c>
      <c r="O180" s="13">
        <f t="shared" si="75"/>
        <v>22.75</v>
      </c>
      <c r="P180" s="13">
        <f t="shared" si="75"/>
        <v>5.7131313090035256</v>
      </c>
    </row>
    <row r="181" spans="3:17" x14ac:dyDescent="0.35">
      <c r="E181" s="104"/>
      <c r="F181" s="13"/>
      <c r="G181" s="49" t="s">
        <v>94</v>
      </c>
      <c r="H181" s="2">
        <f>_xlfn.STDEV.S(H168:H175)</f>
        <v>0.77818586371031562</v>
      </c>
      <c r="I181" s="2">
        <f t="shared" ref="I181:P181" si="76">_xlfn.STDEV.S(I168:I175)</f>
        <v>2.0241803105507756</v>
      </c>
      <c r="J181" s="2">
        <f t="shared" si="76"/>
        <v>7.5794015845896193E-2</v>
      </c>
      <c r="K181" s="2">
        <f t="shared" si="76"/>
        <v>7.5794015845896415E-2</v>
      </c>
      <c r="L181" s="2">
        <f t="shared" si="76"/>
        <v>6.0053577786109875E-2</v>
      </c>
      <c r="M181" s="2">
        <f t="shared" si="76"/>
        <v>7.7478744543804465E-3</v>
      </c>
      <c r="N181" s="2">
        <f t="shared" si="76"/>
        <v>1.4362602057725173</v>
      </c>
      <c r="O181" s="2">
        <f t="shared" si="76"/>
        <v>4.5591352563522705</v>
      </c>
      <c r="P181" s="2">
        <f t="shared" si="76"/>
        <v>0.71022759408731129</v>
      </c>
    </row>
    <row r="182" spans="3:17" x14ac:dyDescent="0.35">
      <c r="E182" s="104"/>
      <c r="F182" s="13"/>
      <c r="G182" s="49" t="s">
        <v>95</v>
      </c>
      <c r="H182" s="2">
        <f>H181/(SQRT(COUNT(H168:H175)))</f>
        <v>0.27513025062653729</v>
      </c>
      <c r="I182" s="2">
        <f t="shared" ref="I182:P182" si="77">I181/(SQRT(COUNT(I168:I175)))</f>
        <v>0.71565581196737249</v>
      </c>
      <c r="J182" s="2">
        <f t="shared" si="77"/>
        <v>2.6797231288996914E-2</v>
      </c>
      <c r="K182" s="2">
        <f t="shared" si="77"/>
        <v>2.6797231288996994E-2</v>
      </c>
      <c r="L182" s="2">
        <f t="shared" si="77"/>
        <v>2.1232146043536054E-2</v>
      </c>
      <c r="M182" s="2">
        <f t="shared" si="77"/>
        <v>2.7392872832372175E-3</v>
      </c>
      <c r="N182" s="2">
        <f t="shared" si="77"/>
        <v>0.50779466552506658</v>
      </c>
      <c r="O182" s="2">
        <f t="shared" si="77"/>
        <v>1.6118977280566795</v>
      </c>
      <c r="P182" s="2">
        <f t="shared" si="77"/>
        <v>0.25110337398247223</v>
      </c>
    </row>
    <row r="183" spans="3:17" x14ac:dyDescent="0.35">
      <c r="E183" s="104"/>
    </row>
    <row r="184" spans="3:17" x14ac:dyDescent="0.35">
      <c r="E184" s="104"/>
    </row>
    <row r="185" spans="3:17" ht="15.5" x14ac:dyDescent="0.35">
      <c r="C185" s="2"/>
      <c r="D185" s="2"/>
      <c r="E185" s="3"/>
      <c r="F185" s="2"/>
      <c r="G185" s="13"/>
      <c r="H185" s="5"/>
      <c r="I185" s="5"/>
      <c r="J185" s="5"/>
      <c r="K185" s="5"/>
      <c r="L185" s="5"/>
      <c r="M185" s="5"/>
      <c r="N185" s="5"/>
      <c r="O185" s="5"/>
      <c r="P185" s="14"/>
      <c r="Q185" s="2"/>
    </row>
    <row r="186" spans="3:17" x14ac:dyDescent="0.35">
      <c r="C186" s="2"/>
      <c r="D186" s="2"/>
      <c r="E186" s="3"/>
      <c r="F186" s="2"/>
      <c r="G186" s="49"/>
      <c r="H186" s="13"/>
      <c r="I186" s="13"/>
      <c r="J186" s="13"/>
      <c r="K186" s="13"/>
      <c r="L186" s="13"/>
      <c r="M186" s="13"/>
      <c r="N186" s="13"/>
      <c r="O186" s="13"/>
      <c r="P186" s="13"/>
      <c r="Q186" s="2"/>
    </row>
    <row r="187" spans="3:17" x14ac:dyDescent="0.35">
      <c r="C187" s="2"/>
      <c r="D187" s="2"/>
      <c r="E187" s="2"/>
      <c r="F187" s="2"/>
      <c r="G187" s="49"/>
      <c r="H187" s="2"/>
      <c r="I187" s="2"/>
      <c r="J187" s="2"/>
      <c r="K187" s="2"/>
      <c r="L187" s="2"/>
      <c r="M187" s="2"/>
      <c r="N187" s="2"/>
      <c r="O187" s="2"/>
      <c r="P187" s="2"/>
      <c r="Q187" s="2"/>
    </row>
    <row r="188" spans="3:17" x14ac:dyDescent="0.35">
      <c r="C188" s="2"/>
      <c r="D188" s="2"/>
      <c r="E188" s="2"/>
      <c r="F188" s="2"/>
      <c r="G188" s="49"/>
      <c r="H188" s="2"/>
      <c r="I188" s="2"/>
      <c r="J188" s="2"/>
      <c r="K188" s="2"/>
      <c r="L188" s="2"/>
      <c r="M188" s="2"/>
      <c r="N188" s="2"/>
      <c r="O188" s="2"/>
      <c r="P188" s="2"/>
      <c r="Q188" s="2"/>
    </row>
    <row r="189" spans="3:17" x14ac:dyDescent="0.35">
      <c r="C189" s="2"/>
      <c r="D189" s="2"/>
      <c r="E189" s="2"/>
      <c r="F189" s="2"/>
      <c r="G189" s="2"/>
      <c r="H189" s="2"/>
      <c r="I189" s="2"/>
      <c r="J189" s="2"/>
      <c r="K189" s="2"/>
      <c r="L189" s="2"/>
      <c r="M189" s="2"/>
      <c r="N189" s="2"/>
      <c r="O189" s="2"/>
      <c r="P189" s="2"/>
      <c r="Q189" s="2"/>
    </row>
    <row r="190" spans="3:17" x14ac:dyDescent="0.35">
      <c r="C190" s="2"/>
      <c r="D190" s="2"/>
      <c r="E190" s="2"/>
      <c r="F190" s="2"/>
      <c r="G190" s="2"/>
      <c r="H190" s="2"/>
      <c r="I190" s="2"/>
      <c r="J190" s="2"/>
      <c r="K190" s="2"/>
      <c r="L190" s="2"/>
      <c r="M190" s="2"/>
      <c r="N190" s="2"/>
      <c r="O190" s="2"/>
      <c r="P190" s="2"/>
      <c r="Q190" s="2"/>
    </row>
    <row r="191" spans="3:17" x14ac:dyDescent="0.35">
      <c r="C191" s="2"/>
      <c r="D191" s="2"/>
      <c r="E191" s="2"/>
      <c r="F191" s="2"/>
      <c r="G191" s="2"/>
      <c r="H191" s="2"/>
      <c r="I191" s="2"/>
      <c r="J191" s="2"/>
      <c r="K191" s="2"/>
      <c r="L191" s="2"/>
      <c r="M191" s="2"/>
      <c r="N191" s="2"/>
      <c r="O191" s="2"/>
      <c r="P191" s="2"/>
      <c r="Q191"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M343"/>
  <sheetViews>
    <sheetView topLeftCell="S112" workbookViewId="0">
      <selection activeCell="AI141" sqref="AI141"/>
    </sheetView>
  </sheetViews>
  <sheetFormatPr defaultRowHeight="14.5" x14ac:dyDescent="0.35"/>
  <sheetData>
    <row r="4" spans="2:39" ht="18.5" x14ac:dyDescent="0.45">
      <c r="B4" s="2"/>
      <c r="C4" s="1" t="s">
        <v>731</v>
      </c>
      <c r="D4" s="2"/>
      <c r="E4" s="2"/>
      <c r="F4" s="2"/>
      <c r="G4" s="2"/>
      <c r="H4" s="2"/>
      <c r="I4" s="2"/>
      <c r="J4" s="2"/>
      <c r="K4" s="2"/>
      <c r="L4" s="2"/>
      <c r="M4" s="2"/>
      <c r="N4" s="2"/>
      <c r="O4" s="2"/>
    </row>
    <row r="5" spans="2:39" ht="18.5" x14ac:dyDescent="0.45">
      <c r="B5" s="2"/>
      <c r="C5" s="2"/>
      <c r="D5" s="2"/>
      <c r="E5" s="2"/>
      <c r="F5" s="1" t="s">
        <v>0</v>
      </c>
      <c r="G5" s="3"/>
      <c r="H5" s="3"/>
      <c r="I5" s="3"/>
      <c r="J5" s="3"/>
      <c r="K5" s="3"/>
      <c r="L5" s="3"/>
      <c r="M5" s="3"/>
      <c r="N5" s="3"/>
      <c r="O5" s="3"/>
      <c r="AA5" s="1" t="s">
        <v>52</v>
      </c>
      <c r="AB5" s="3"/>
      <c r="AC5" s="3"/>
      <c r="AD5" s="3"/>
      <c r="AE5" s="3"/>
      <c r="AF5" s="3"/>
      <c r="AG5" s="3"/>
      <c r="AH5" s="3"/>
      <c r="AI5" s="3"/>
      <c r="AJ5" s="3"/>
    </row>
    <row r="6" spans="2:39"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9" t="s">
        <v>1</v>
      </c>
      <c r="AB6" s="9" t="s">
        <v>2</v>
      </c>
      <c r="AC6" s="9" t="s">
        <v>3</v>
      </c>
      <c r="AD6" s="9" t="s">
        <v>4</v>
      </c>
      <c r="AE6" s="9" t="s">
        <v>5</v>
      </c>
      <c r="AF6" s="9" t="s">
        <v>6</v>
      </c>
      <c r="AG6" s="9" t="s">
        <v>7</v>
      </c>
      <c r="AH6" s="9" t="s">
        <v>8</v>
      </c>
      <c r="AI6" s="9" t="s">
        <v>9</v>
      </c>
      <c r="AJ6" s="9" t="s">
        <v>10</v>
      </c>
      <c r="AK6" s="44" t="s">
        <v>139</v>
      </c>
      <c r="AM6" s="44" t="s">
        <v>138</v>
      </c>
    </row>
    <row r="7" spans="2:39" x14ac:dyDescent="0.35">
      <c r="B7" s="2"/>
      <c r="C7" s="2"/>
      <c r="D7" s="2"/>
      <c r="E7" s="2"/>
      <c r="F7" s="2">
        <v>0.92625999999999997</v>
      </c>
      <c r="G7" s="2">
        <v>2.9264299999999999</v>
      </c>
      <c r="H7" s="2">
        <f>G7-F7</f>
        <v>2.0001699999999998</v>
      </c>
      <c r="I7" s="2">
        <f>F8-G7</f>
        <v>5.3108599999999999</v>
      </c>
      <c r="J7" s="2">
        <f>H7/N7</f>
        <v>0.27358251846866993</v>
      </c>
      <c r="K7" s="2">
        <f>I7/N7</f>
        <v>0.72641748153133012</v>
      </c>
      <c r="L7" s="2">
        <f>1/H7</f>
        <v>0.49995750361219304</v>
      </c>
      <c r="M7" s="2">
        <f>1/N7</f>
        <v>0.13677963296553292</v>
      </c>
      <c r="N7" s="2">
        <f>H7+I7</f>
        <v>7.3110299999999997</v>
      </c>
      <c r="O7" s="2">
        <v>14</v>
      </c>
      <c r="P7">
        <f>O7/H7</f>
        <v>6.9994050505707026</v>
      </c>
      <c r="R7" t="s">
        <v>784</v>
      </c>
      <c r="AA7" s="2">
        <v>3.0599999999999998E-3</v>
      </c>
      <c r="AB7" s="2">
        <v>1.3169</v>
      </c>
      <c r="AC7" s="2">
        <f>AB7-AA7</f>
        <v>1.3138399999999999</v>
      </c>
      <c r="AD7" s="2">
        <f>AA8-AB7</f>
        <v>4.3711800000000007</v>
      </c>
      <c r="AE7" s="2">
        <f>AC7/AI7</f>
        <v>0.23110560736813587</v>
      </c>
      <c r="AF7" s="2">
        <f>AD7/AI7</f>
        <v>0.7688943926318641</v>
      </c>
      <c r="AG7" s="2">
        <f>1/AC7</f>
        <v>0.76112768678073439</v>
      </c>
      <c r="AH7" s="2">
        <f>1/AI7</f>
        <v>0.1759008763381659</v>
      </c>
      <c r="AI7" s="2">
        <f>AC7+AD7</f>
        <v>5.6850200000000006</v>
      </c>
      <c r="AJ7" s="2">
        <v>14</v>
      </c>
      <c r="AK7">
        <f>AJ7/AC7</f>
        <v>10.655787614930281</v>
      </c>
      <c r="AM7" t="s">
        <v>785</v>
      </c>
    </row>
    <row r="8" spans="2:39" x14ac:dyDescent="0.35">
      <c r="B8" s="2"/>
      <c r="C8" s="2"/>
      <c r="D8" s="2"/>
      <c r="E8" s="2"/>
      <c r="F8" s="13">
        <v>8.2372899999999998</v>
      </c>
      <c r="G8" s="2">
        <v>10.428179999999999</v>
      </c>
      <c r="H8" s="2">
        <f t="shared" ref="H8:H23" si="0">G8-F8</f>
        <v>2.1908899999999996</v>
      </c>
      <c r="I8" s="2">
        <f t="shared" ref="I8:I22" si="1">F9-G8</f>
        <v>7.2508600000000012</v>
      </c>
      <c r="J8" s="2">
        <f t="shared" ref="J8:J22" si="2">H8/N8</f>
        <v>0.23204278867794628</v>
      </c>
      <c r="K8" s="2">
        <f t="shared" ref="K8:K22" si="3">I8/N8</f>
        <v>0.76795721132205375</v>
      </c>
      <c r="L8" s="2">
        <f t="shared" ref="L8:L22" si="4">1/H8</f>
        <v>0.4564355125086153</v>
      </c>
      <c r="M8" s="2">
        <f t="shared" ref="M8:M22" si="5">1/N8</f>
        <v>0.10591256917414674</v>
      </c>
      <c r="N8" s="2">
        <f t="shared" ref="N8:N22" si="6">H8+I8</f>
        <v>9.4417500000000008</v>
      </c>
      <c r="O8" s="2">
        <v>18</v>
      </c>
      <c r="P8">
        <f t="shared" ref="P8:P22" si="7">O8/H8</f>
        <v>8.2158392251550758</v>
      </c>
      <c r="AA8" s="13">
        <v>5.6880800000000002</v>
      </c>
      <c r="AB8" s="2">
        <v>7.2136800000000001</v>
      </c>
      <c r="AC8" s="2">
        <f t="shared" ref="AC8:AC30" si="8">AB8-AA8</f>
        <v>1.5255999999999998</v>
      </c>
      <c r="AD8" s="2">
        <f t="shared" ref="AD8:AD29" si="9">AA9-AB8</f>
        <v>2.9632100000000001</v>
      </c>
      <c r="AE8" s="2">
        <f t="shared" ref="AE8:AE29" si="10">AC8/AI8</f>
        <v>0.33986735905507248</v>
      </c>
      <c r="AF8" s="2">
        <f t="shared" ref="AF8:AF29" si="11">AD8/AI8</f>
        <v>0.66013264094492752</v>
      </c>
      <c r="AG8" s="2">
        <f t="shared" ref="AG8:AG29" si="12">1/AC8</f>
        <v>0.65547981122181442</v>
      </c>
      <c r="AH8" s="2">
        <f t="shared" ref="AH8:AH29" si="13">1/AI8</f>
        <v>0.22277619235387552</v>
      </c>
      <c r="AI8" s="2">
        <f t="shared" ref="AI8:AI29" si="14">AC8+AD8</f>
        <v>4.48881</v>
      </c>
      <c r="AJ8" s="2">
        <v>14</v>
      </c>
      <c r="AK8">
        <f t="shared" ref="AK8:AK29" si="15">AJ8/AC8</f>
        <v>9.1767173571054013</v>
      </c>
    </row>
    <row r="9" spans="2:39" x14ac:dyDescent="0.35">
      <c r="B9" s="2"/>
      <c r="C9" s="2"/>
      <c r="D9" s="2"/>
      <c r="E9" s="2"/>
      <c r="F9" s="13">
        <v>17.679040000000001</v>
      </c>
      <c r="G9" s="2">
        <v>20.01924</v>
      </c>
      <c r="H9" s="2">
        <f t="shared" si="0"/>
        <v>2.3401999999999994</v>
      </c>
      <c r="I9" s="2">
        <f t="shared" si="1"/>
        <v>5.2726800000000011</v>
      </c>
      <c r="J9" s="2">
        <f t="shared" si="2"/>
        <v>0.30740009037315696</v>
      </c>
      <c r="K9" s="2">
        <f t="shared" si="3"/>
        <v>0.69259990962684304</v>
      </c>
      <c r="L9" s="2">
        <f t="shared" si="4"/>
        <v>0.42731390479446213</v>
      </c>
      <c r="M9" s="2">
        <f t="shared" si="5"/>
        <v>0.13135633295152424</v>
      </c>
      <c r="N9" s="2">
        <f t="shared" si="6"/>
        <v>7.6128800000000005</v>
      </c>
      <c r="O9" s="2">
        <v>18</v>
      </c>
      <c r="P9">
        <f t="shared" si="7"/>
        <v>7.6916502863003178</v>
      </c>
      <c r="AA9" s="13">
        <v>10.17689</v>
      </c>
      <c r="AB9" s="2">
        <v>10.648059999999999</v>
      </c>
      <c r="AC9" s="2">
        <f t="shared" si="8"/>
        <v>0.47116999999999898</v>
      </c>
      <c r="AD9" s="2">
        <f t="shared" si="9"/>
        <v>1.0225100000000005</v>
      </c>
      <c r="AE9" s="2">
        <f t="shared" si="10"/>
        <v>0.31544239730062607</v>
      </c>
      <c r="AF9" s="2">
        <f t="shared" si="11"/>
        <v>0.68455760269937393</v>
      </c>
      <c r="AG9" s="2">
        <f t="shared" si="12"/>
        <v>2.1223762124074161</v>
      </c>
      <c r="AH9" s="2">
        <f t="shared" si="13"/>
        <v>0.66948744041561803</v>
      </c>
      <c r="AI9" s="2">
        <f t="shared" si="14"/>
        <v>1.4936799999999995</v>
      </c>
      <c r="AJ9" s="2">
        <v>6</v>
      </c>
      <c r="AK9">
        <f t="shared" si="15"/>
        <v>12.734257274444495</v>
      </c>
    </row>
    <row r="10" spans="2:39" x14ac:dyDescent="0.35">
      <c r="B10" s="2"/>
      <c r="C10" s="2"/>
      <c r="D10" s="2"/>
      <c r="E10" s="2"/>
      <c r="F10" s="13">
        <v>25.291920000000001</v>
      </c>
      <c r="G10" s="2">
        <v>27.473590000000002</v>
      </c>
      <c r="H10" s="2">
        <f t="shared" si="0"/>
        <v>2.1816700000000004</v>
      </c>
      <c r="I10" s="2">
        <f t="shared" si="1"/>
        <v>5.6318100000000015</v>
      </c>
      <c r="J10" s="2">
        <f t="shared" si="2"/>
        <v>0.27921873480190645</v>
      </c>
      <c r="K10" s="2">
        <f t="shared" si="3"/>
        <v>0.7207812651980936</v>
      </c>
      <c r="L10" s="2">
        <f t="shared" si="4"/>
        <v>0.45836446391984115</v>
      </c>
      <c r="M10" s="2">
        <f t="shared" si="5"/>
        <v>0.12798394569385213</v>
      </c>
      <c r="N10" s="2">
        <f t="shared" si="6"/>
        <v>7.813480000000002</v>
      </c>
      <c r="O10" s="2">
        <v>16</v>
      </c>
      <c r="P10">
        <f t="shared" si="7"/>
        <v>7.3338314227174584</v>
      </c>
      <c r="AA10" s="13">
        <v>11.67057</v>
      </c>
      <c r="AB10" s="2">
        <v>13.21597</v>
      </c>
      <c r="AC10" s="2">
        <f t="shared" si="8"/>
        <v>1.5454000000000008</v>
      </c>
      <c r="AD10" s="2">
        <f t="shared" si="9"/>
        <v>3.0866300000000013</v>
      </c>
      <c r="AE10" s="2">
        <f t="shared" si="10"/>
        <v>0.33363341774556732</v>
      </c>
      <c r="AF10" s="2">
        <f t="shared" si="11"/>
        <v>0.66636658225443268</v>
      </c>
      <c r="AG10" s="2">
        <f t="shared" si="12"/>
        <v>0.64708166170570691</v>
      </c>
      <c r="AH10" s="2">
        <f t="shared" si="13"/>
        <v>0.21588806635535598</v>
      </c>
      <c r="AI10" s="2">
        <f t="shared" si="14"/>
        <v>4.6320300000000021</v>
      </c>
      <c r="AJ10" s="2">
        <v>14</v>
      </c>
      <c r="AK10">
        <f t="shared" si="15"/>
        <v>9.0591432638798963</v>
      </c>
    </row>
    <row r="11" spans="2:39" x14ac:dyDescent="0.35">
      <c r="B11" s="2"/>
      <c r="C11" s="2"/>
      <c r="D11" s="2"/>
      <c r="E11" s="2"/>
      <c r="F11" s="13">
        <v>33.105400000000003</v>
      </c>
      <c r="G11" s="2">
        <v>35.278239999999997</v>
      </c>
      <c r="H11" s="2">
        <f t="shared" si="0"/>
        <v>2.1728399999999937</v>
      </c>
      <c r="I11" s="2">
        <f t="shared" si="1"/>
        <v>3.8873800000000003</v>
      </c>
      <c r="J11" s="2">
        <f t="shared" si="2"/>
        <v>0.35854143908966934</v>
      </c>
      <c r="K11" s="2">
        <f t="shared" si="3"/>
        <v>0.64145856091033071</v>
      </c>
      <c r="L11" s="2">
        <f t="shared" si="4"/>
        <v>0.46022716813019038</v>
      </c>
      <c r="M11" s="2">
        <f t="shared" si="5"/>
        <v>0.16501051116956167</v>
      </c>
      <c r="N11" s="2">
        <f t="shared" si="6"/>
        <v>6.0602199999999939</v>
      </c>
      <c r="O11" s="2">
        <v>12</v>
      </c>
      <c r="P11">
        <f t="shared" si="7"/>
        <v>5.5227260175622845</v>
      </c>
      <c r="AA11" s="13">
        <v>16.302600000000002</v>
      </c>
      <c r="AB11" s="2">
        <v>17.781009999999998</v>
      </c>
      <c r="AC11" s="2">
        <f t="shared" si="8"/>
        <v>1.4784099999999967</v>
      </c>
      <c r="AD11" s="2">
        <f t="shared" si="9"/>
        <v>4.5941600000000022</v>
      </c>
      <c r="AE11" s="2">
        <f t="shared" si="10"/>
        <v>0.24345705360333383</v>
      </c>
      <c r="AF11" s="2">
        <f t="shared" si="11"/>
        <v>0.75654294639666619</v>
      </c>
      <c r="AG11" s="2">
        <f t="shared" si="12"/>
        <v>0.67640235117457426</v>
      </c>
      <c r="AH11" s="2">
        <f t="shared" si="13"/>
        <v>0.16467492346732934</v>
      </c>
      <c r="AI11" s="2">
        <f t="shared" si="14"/>
        <v>6.0725699999999989</v>
      </c>
      <c r="AJ11" s="2">
        <v>16</v>
      </c>
      <c r="AK11">
        <f t="shared" si="15"/>
        <v>10.822437618793188</v>
      </c>
    </row>
    <row r="12" spans="2:39" x14ac:dyDescent="0.35">
      <c r="B12" s="2"/>
      <c r="C12" s="2"/>
      <c r="D12" s="2"/>
      <c r="E12" s="2"/>
      <c r="F12" s="13">
        <v>39.165619999999997</v>
      </c>
      <c r="G12" s="2">
        <v>41.434899999999999</v>
      </c>
      <c r="H12" s="2">
        <f t="shared" si="0"/>
        <v>2.269280000000002</v>
      </c>
      <c r="I12" s="2">
        <f t="shared" si="1"/>
        <v>5.0106699999999975</v>
      </c>
      <c r="J12" s="2">
        <f t="shared" si="2"/>
        <v>0.31171642662380949</v>
      </c>
      <c r="K12" s="2">
        <f t="shared" si="3"/>
        <v>0.68828357337619051</v>
      </c>
      <c r="L12" s="2">
        <f t="shared" si="4"/>
        <v>0.44066840583797467</v>
      </c>
      <c r="M12" s="2">
        <f t="shared" si="5"/>
        <v>0.13736358079382413</v>
      </c>
      <c r="N12" s="2">
        <f t="shared" si="6"/>
        <v>7.2799499999999995</v>
      </c>
      <c r="O12" s="2">
        <v>16</v>
      </c>
      <c r="P12">
        <f t="shared" si="7"/>
        <v>7.0506944934075948</v>
      </c>
      <c r="AA12" s="13">
        <v>22.375170000000001</v>
      </c>
      <c r="AB12" s="2">
        <v>23.831389999999999</v>
      </c>
      <c r="AC12" s="2">
        <f t="shared" si="8"/>
        <v>1.4562199999999983</v>
      </c>
      <c r="AD12" s="2">
        <f t="shared" si="9"/>
        <v>3.1980700000000013</v>
      </c>
      <c r="AE12" s="2">
        <f t="shared" si="10"/>
        <v>0.31287693719127913</v>
      </c>
      <c r="AF12" s="2">
        <f t="shared" si="11"/>
        <v>0.68712306280872093</v>
      </c>
      <c r="AG12" s="2">
        <f t="shared" si="12"/>
        <v>0.68670942577357896</v>
      </c>
      <c r="AH12" s="2">
        <f t="shared" si="13"/>
        <v>0.21485554187641942</v>
      </c>
      <c r="AI12" s="2">
        <f t="shared" si="14"/>
        <v>4.6542899999999996</v>
      </c>
      <c r="AJ12" s="2">
        <v>16</v>
      </c>
      <c r="AK12">
        <f t="shared" si="15"/>
        <v>10.987350812377263</v>
      </c>
    </row>
    <row r="13" spans="2:39" x14ac:dyDescent="0.35">
      <c r="B13" s="2"/>
      <c r="C13" s="2"/>
      <c r="D13" s="2"/>
      <c r="E13" s="2"/>
      <c r="F13" s="13">
        <v>46.445569999999996</v>
      </c>
      <c r="G13" s="2">
        <v>48.871090000000002</v>
      </c>
      <c r="H13" s="2">
        <f t="shared" si="0"/>
        <v>2.4255200000000059</v>
      </c>
      <c r="I13" s="2">
        <f t="shared" si="1"/>
        <v>3.9855099999999979</v>
      </c>
      <c r="J13" s="2">
        <f t="shared" si="2"/>
        <v>0.37833546247638905</v>
      </c>
      <c r="K13" s="2">
        <f t="shared" si="3"/>
        <v>0.62166453752361095</v>
      </c>
      <c r="L13" s="2">
        <f t="shared" si="4"/>
        <v>0.4122827270028685</v>
      </c>
      <c r="M13" s="2">
        <f t="shared" si="5"/>
        <v>0.15598117619165711</v>
      </c>
      <c r="N13" s="2">
        <f t="shared" si="6"/>
        <v>6.4110300000000038</v>
      </c>
      <c r="O13" s="2">
        <v>16</v>
      </c>
      <c r="P13">
        <f t="shared" si="7"/>
        <v>6.596523632045896</v>
      </c>
      <c r="AA13" s="13">
        <v>27.02946</v>
      </c>
      <c r="AB13" s="2">
        <v>28.559750000000001</v>
      </c>
      <c r="AC13" s="2">
        <f t="shared" si="8"/>
        <v>1.5302900000000008</v>
      </c>
      <c r="AD13" s="2">
        <f t="shared" si="9"/>
        <v>4.3379100000000008</v>
      </c>
      <c r="AE13" s="2">
        <f t="shared" si="10"/>
        <v>0.26077672880951575</v>
      </c>
      <c r="AF13" s="2">
        <f t="shared" si="11"/>
        <v>0.73922327119048425</v>
      </c>
      <c r="AG13" s="2">
        <f t="shared" si="12"/>
        <v>0.65347091074240793</v>
      </c>
      <c r="AH13" s="2">
        <f t="shared" si="13"/>
        <v>0.17041000647558019</v>
      </c>
      <c r="AI13" s="2">
        <f t="shared" si="14"/>
        <v>5.8682000000000016</v>
      </c>
      <c r="AJ13" s="2">
        <v>16</v>
      </c>
      <c r="AK13">
        <f t="shared" si="15"/>
        <v>10.455534571878527</v>
      </c>
    </row>
    <row r="14" spans="2:39" x14ac:dyDescent="0.35">
      <c r="B14" s="2"/>
      <c r="C14" s="2"/>
      <c r="D14" s="2"/>
      <c r="E14" s="2"/>
      <c r="F14" s="13">
        <v>52.8566</v>
      </c>
      <c r="G14" s="2">
        <v>54.890180000000001</v>
      </c>
      <c r="H14" s="2">
        <f t="shared" si="0"/>
        <v>2.0335800000000006</v>
      </c>
      <c r="I14" s="2">
        <f t="shared" si="1"/>
        <v>4.280070000000002</v>
      </c>
      <c r="J14" s="2">
        <f t="shared" si="2"/>
        <v>0.32209260887125513</v>
      </c>
      <c r="K14" s="2">
        <f t="shared" si="3"/>
        <v>0.67790739112874487</v>
      </c>
      <c r="L14" s="2">
        <f t="shared" si="4"/>
        <v>0.49174362454390763</v>
      </c>
      <c r="M14" s="2">
        <f t="shared" si="5"/>
        <v>0.15838698692515416</v>
      </c>
      <c r="N14" s="2">
        <f t="shared" si="6"/>
        <v>6.3136500000000026</v>
      </c>
      <c r="O14" s="2">
        <v>14</v>
      </c>
      <c r="P14">
        <f t="shared" si="7"/>
        <v>6.8844107436147066</v>
      </c>
      <c r="AA14" s="13">
        <v>32.897660000000002</v>
      </c>
      <c r="AB14" s="2">
        <v>34.515740000000001</v>
      </c>
      <c r="AC14" s="2">
        <f t="shared" si="8"/>
        <v>1.6180799999999991</v>
      </c>
      <c r="AD14" s="2">
        <f t="shared" si="9"/>
        <v>1.594619999999999</v>
      </c>
      <c r="AE14" s="2">
        <f t="shared" si="10"/>
        <v>0.50365113455971611</v>
      </c>
      <c r="AF14" s="2">
        <f t="shared" si="11"/>
        <v>0.49634886544028389</v>
      </c>
      <c r="AG14" s="2">
        <f t="shared" si="12"/>
        <v>0.61801641451596989</v>
      </c>
      <c r="AH14" s="2">
        <f t="shared" si="13"/>
        <v>0.31126466834749605</v>
      </c>
      <c r="AI14" s="2">
        <f t="shared" si="14"/>
        <v>3.2126999999999981</v>
      </c>
      <c r="AJ14" s="2">
        <v>18</v>
      </c>
      <c r="AK14">
        <f t="shared" si="15"/>
        <v>11.124295461287458</v>
      </c>
    </row>
    <row r="15" spans="2:39" x14ac:dyDescent="0.35">
      <c r="B15" s="2"/>
      <c r="C15" s="2"/>
      <c r="D15" s="2"/>
      <c r="E15" s="2"/>
      <c r="F15" s="13">
        <v>59.170250000000003</v>
      </c>
      <c r="G15" s="2">
        <v>61.153440000000003</v>
      </c>
      <c r="H15" s="2">
        <f t="shared" si="0"/>
        <v>1.9831900000000005</v>
      </c>
      <c r="I15" s="2">
        <f t="shared" si="1"/>
        <v>8.3023199999999946</v>
      </c>
      <c r="J15" s="2">
        <f t="shared" si="2"/>
        <v>0.19281396838853895</v>
      </c>
      <c r="K15" s="2">
        <f t="shared" si="3"/>
        <v>0.80718603161146107</v>
      </c>
      <c r="L15" s="2">
        <f t="shared" si="4"/>
        <v>0.50423812141045476</v>
      </c>
      <c r="M15" s="2">
        <f t="shared" si="5"/>
        <v>9.7224153201931701E-2</v>
      </c>
      <c r="N15" s="2">
        <f t="shared" si="6"/>
        <v>10.285509999999995</v>
      </c>
      <c r="O15" s="2">
        <v>15</v>
      </c>
      <c r="P15">
        <f t="shared" si="7"/>
        <v>7.5635718211568213</v>
      </c>
      <c r="AA15" s="13">
        <v>36.11036</v>
      </c>
      <c r="AB15" s="2">
        <v>37.601860000000002</v>
      </c>
      <c r="AC15" s="2">
        <f t="shared" si="8"/>
        <v>1.491500000000002</v>
      </c>
      <c r="AD15" s="2">
        <f t="shared" si="9"/>
        <v>2.9939099999999996</v>
      </c>
      <c r="AE15" s="2">
        <f t="shared" si="10"/>
        <v>0.33252255646641032</v>
      </c>
      <c r="AF15" s="2">
        <f t="shared" si="11"/>
        <v>0.66747744353358973</v>
      </c>
      <c r="AG15" s="2">
        <f t="shared" si="12"/>
        <v>0.67046597385182605</v>
      </c>
      <c r="AH15" s="2">
        <f t="shared" si="13"/>
        <v>0.22294505964895062</v>
      </c>
      <c r="AI15" s="2">
        <f t="shared" si="14"/>
        <v>4.4854100000000017</v>
      </c>
      <c r="AJ15" s="2">
        <v>10</v>
      </c>
      <c r="AK15">
        <f t="shared" si="15"/>
        <v>6.7046597385182611</v>
      </c>
    </row>
    <row r="16" spans="2:39" x14ac:dyDescent="0.35">
      <c r="C16" s="2"/>
      <c r="D16" s="2"/>
      <c r="E16" s="2"/>
      <c r="F16" s="13">
        <v>69.455759999999998</v>
      </c>
      <c r="G16" s="2">
        <v>72.031630000000007</v>
      </c>
      <c r="H16" s="2">
        <f t="shared" si="0"/>
        <v>2.575870000000009</v>
      </c>
      <c r="I16" s="2">
        <f t="shared" si="1"/>
        <v>3.6077299999999894</v>
      </c>
      <c r="J16" s="2">
        <f t="shared" si="2"/>
        <v>0.41656478426806548</v>
      </c>
      <c r="K16" s="2">
        <f t="shared" si="3"/>
        <v>0.58343521573193458</v>
      </c>
      <c r="L16" s="2">
        <f t="shared" si="4"/>
        <v>0.38821834952850748</v>
      </c>
      <c r="M16" s="2">
        <f t="shared" si="5"/>
        <v>0.16171809302024714</v>
      </c>
      <c r="N16" s="2">
        <f t="shared" si="6"/>
        <v>6.1835999999999984</v>
      </c>
      <c r="O16" s="2">
        <v>20</v>
      </c>
      <c r="P16">
        <f t="shared" si="7"/>
        <v>7.7643669905701493</v>
      </c>
      <c r="AA16" s="13">
        <v>40.595770000000002</v>
      </c>
      <c r="AB16" s="2">
        <v>42.070349999999998</v>
      </c>
      <c r="AC16" s="2">
        <f t="shared" si="8"/>
        <v>1.474579999999996</v>
      </c>
      <c r="AD16" s="2">
        <f t="shared" si="9"/>
        <v>2.9887599999999992</v>
      </c>
      <c r="AE16" s="2">
        <f t="shared" si="10"/>
        <v>0.33037590683210277</v>
      </c>
      <c r="AF16" s="2">
        <f t="shared" si="11"/>
        <v>0.66962409316789717</v>
      </c>
      <c r="AG16" s="2">
        <f t="shared" si="12"/>
        <v>0.67815920465488666</v>
      </c>
      <c r="AH16" s="2">
        <f t="shared" si="13"/>
        <v>0.22404746221439573</v>
      </c>
      <c r="AI16" s="2">
        <f t="shared" si="14"/>
        <v>4.4633399999999952</v>
      </c>
      <c r="AJ16" s="2">
        <v>16</v>
      </c>
      <c r="AK16">
        <f t="shared" si="15"/>
        <v>10.850547274478187</v>
      </c>
    </row>
    <row r="17" spans="3:37" x14ac:dyDescent="0.35">
      <c r="C17" s="2"/>
      <c r="D17" s="2"/>
      <c r="E17" s="2"/>
      <c r="F17" s="13">
        <v>75.639359999999996</v>
      </c>
      <c r="G17" s="2">
        <v>76.451750000000004</v>
      </c>
      <c r="H17" s="2">
        <f t="shared" si="0"/>
        <v>0.81239000000000772</v>
      </c>
      <c r="I17" s="2">
        <f t="shared" si="1"/>
        <v>5.1767199999999889</v>
      </c>
      <c r="J17" s="2">
        <f t="shared" si="2"/>
        <v>0.13564452815193045</v>
      </c>
      <c r="K17" s="2">
        <f t="shared" si="3"/>
        <v>0.8643554718480696</v>
      </c>
      <c r="L17" s="2">
        <f t="shared" si="4"/>
        <v>1.2309358805499704</v>
      </c>
      <c r="M17" s="2">
        <f t="shared" si="5"/>
        <v>0.16696971670248176</v>
      </c>
      <c r="N17" s="2">
        <f t="shared" si="6"/>
        <v>5.9891099999999966</v>
      </c>
      <c r="O17" s="2">
        <v>10</v>
      </c>
      <c r="P17">
        <f t="shared" si="7"/>
        <v>12.309358805499704</v>
      </c>
      <c r="AA17" s="13">
        <v>45.059109999999997</v>
      </c>
      <c r="AB17" s="2">
        <v>46.529200000000003</v>
      </c>
      <c r="AC17" s="2">
        <f t="shared" si="8"/>
        <v>1.4700900000000061</v>
      </c>
      <c r="AD17" s="2">
        <f t="shared" si="9"/>
        <v>4.3636899999999983</v>
      </c>
      <c r="AE17" s="2">
        <f t="shared" si="10"/>
        <v>0.2519961328675413</v>
      </c>
      <c r="AF17" s="2">
        <f t="shared" si="11"/>
        <v>0.7480038671324587</v>
      </c>
      <c r="AG17" s="2">
        <f t="shared" si="12"/>
        <v>0.68023046208055005</v>
      </c>
      <c r="AH17" s="2">
        <f t="shared" si="13"/>
        <v>0.17141544590299929</v>
      </c>
      <c r="AI17" s="2">
        <f t="shared" si="14"/>
        <v>5.8337800000000044</v>
      </c>
      <c r="AJ17" s="2">
        <v>12</v>
      </c>
      <c r="AK17">
        <f t="shared" si="15"/>
        <v>8.1627655449666001</v>
      </c>
    </row>
    <row r="18" spans="3:37" x14ac:dyDescent="0.35">
      <c r="C18" s="2"/>
      <c r="D18" s="2"/>
      <c r="E18" s="2"/>
      <c r="F18" s="13">
        <v>81.628469999999993</v>
      </c>
      <c r="G18" s="2">
        <v>82.240729999999999</v>
      </c>
      <c r="H18" s="2">
        <f t="shared" si="0"/>
        <v>0.61226000000000624</v>
      </c>
      <c r="I18" s="2">
        <f t="shared" si="1"/>
        <v>5.3394300000000072</v>
      </c>
      <c r="J18" s="2">
        <f t="shared" si="2"/>
        <v>0.10287162133780571</v>
      </c>
      <c r="K18" s="2">
        <f t="shared" si="3"/>
        <v>0.8971283786621943</v>
      </c>
      <c r="L18" s="2">
        <f t="shared" si="4"/>
        <v>1.633293045438196</v>
      </c>
      <c r="M18" s="2">
        <f t="shared" si="5"/>
        <v>0.16801950370398958</v>
      </c>
      <c r="N18" s="2">
        <f t="shared" si="6"/>
        <v>5.9516900000000135</v>
      </c>
      <c r="O18" s="2">
        <v>8</v>
      </c>
      <c r="P18">
        <f t="shared" si="7"/>
        <v>13.066344363505568</v>
      </c>
      <c r="AA18" s="13">
        <v>50.892890000000001</v>
      </c>
      <c r="AB18" s="2">
        <v>52.610759999999999</v>
      </c>
      <c r="AC18" s="2">
        <f t="shared" si="8"/>
        <v>1.7178699999999978</v>
      </c>
      <c r="AD18" s="2">
        <f t="shared" si="9"/>
        <v>1.5840499999999977</v>
      </c>
      <c r="AE18" s="2">
        <f t="shared" si="10"/>
        <v>0.52026396763095417</v>
      </c>
      <c r="AF18" s="2">
        <f t="shared" si="11"/>
        <v>0.47973603236904583</v>
      </c>
      <c r="AG18" s="2">
        <f t="shared" si="12"/>
        <v>0.5821162253255493</v>
      </c>
      <c r="AH18" s="2">
        <f t="shared" si="13"/>
        <v>0.30285409701022475</v>
      </c>
      <c r="AI18" s="2">
        <f t="shared" si="14"/>
        <v>3.3019199999999955</v>
      </c>
      <c r="AJ18" s="2">
        <v>18</v>
      </c>
      <c r="AK18">
        <f t="shared" si="15"/>
        <v>10.478092055859886</v>
      </c>
    </row>
    <row r="19" spans="3:37" x14ac:dyDescent="0.35">
      <c r="C19" s="2"/>
      <c r="D19" s="2"/>
      <c r="E19" s="2"/>
      <c r="F19" s="13">
        <v>87.580160000000006</v>
      </c>
      <c r="G19" s="2">
        <v>89.886240000000001</v>
      </c>
      <c r="H19" s="2">
        <f t="shared" si="0"/>
        <v>2.3060799999999944</v>
      </c>
      <c r="I19" s="2">
        <f t="shared" si="1"/>
        <v>3.8113599999999934</v>
      </c>
      <c r="J19" s="2">
        <f t="shared" si="2"/>
        <v>0.37696814353716568</v>
      </c>
      <c r="K19" s="2">
        <f t="shared" si="3"/>
        <v>0.62303185646283432</v>
      </c>
      <c r="L19" s="2">
        <f t="shared" si="4"/>
        <v>0.4336363005619937</v>
      </c>
      <c r="M19" s="2">
        <f t="shared" si="5"/>
        <v>0.16346707119317919</v>
      </c>
      <c r="N19" s="2">
        <f t="shared" si="6"/>
        <v>6.1174399999999878</v>
      </c>
      <c r="O19" s="2">
        <v>18</v>
      </c>
      <c r="P19">
        <f t="shared" si="7"/>
        <v>7.805453410115887</v>
      </c>
      <c r="AA19" s="13">
        <v>54.194809999999997</v>
      </c>
      <c r="AB19" s="2">
        <v>54.533949999999997</v>
      </c>
      <c r="AC19" s="2">
        <f t="shared" si="8"/>
        <v>0.33914000000000044</v>
      </c>
      <c r="AD19" s="2">
        <f t="shared" si="9"/>
        <v>4.1123100000000008</v>
      </c>
      <c r="AE19" s="2">
        <f t="shared" si="10"/>
        <v>7.6186411169394314E-2</v>
      </c>
      <c r="AF19" s="2">
        <f t="shared" si="11"/>
        <v>0.92381358883060571</v>
      </c>
      <c r="AG19" s="2">
        <f t="shared" si="12"/>
        <v>2.9486347820958856</v>
      </c>
      <c r="AH19" s="2">
        <f t="shared" si="13"/>
        <v>0.22464590189713457</v>
      </c>
      <c r="AI19" s="2">
        <f t="shared" si="14"/>
        <v>4.4514500000000012</v>
      </c>
      <c r="AJ19" s="2">
        <v>6</v>
      </c>
      <c r="AK19">
        <f t="shared" si="15"/>
        <v>17.691808692575314</v>
      </c>
    </row>
    <row r="20" spans="3:37" x14ac:dyDescent="0.35">
      <c r="C20" s="2"/>
      <c r="D20" s="2"/>
      <c r="E20" s="2"/>
      <c r="F20" s="13">
        <v>93.697599999999994</v>
      </c>
      <c r="G20" s="2">
        <v>94.428290000000004</v>
      </c>
      <c r="H20" s="2">
        <f t="shared" si="0"/>
        <v>0.73069000000000983</v>
      </c>
      <c r="I20" s="2">
        <f t="shared" si="1"/>
        <v>5.3198500000000024</v>
      </c>
      <c r="J20" s="2">
        <f t="shared" si="2"/>
        <v>0.1207644276378651</v>
      </c>
      <c r="K20" s="2">
        <f t="shared" si="3"/>
        <v>0.8792355723621349</v>
      </c>
      <c r="L20" s="2">
        <f t="shared" si="4"/>
        <v>1.3685694343702344</v>
      </c>
      <c r="M20" s="2">
        <f t="shared" si="5"/>
        <v>0.16527450442439814</v>
      </c>
      <c r="N20" s="2">
        <f t="shared" si="6"/>
        <v>6.0505400000000122</v>
      </c>
      <c r="O20" s="2">
        <v>10</v>
      </c>
      <c r="P20">
        <f t="shared" si="7"/>
        <v>13.685694343702343</v>
      </c>
      <c r="AA20" s="13">
        <v>58.646259999999998</v>
      </c>
      <c r="AB20" s="2">
        <v>60.49212</v>
      </c>
      <c r="AC20" s="2">
        <f t="shared" si="8"/>
        <v>1.8458600000000018</v>
      </c>
      <c r="AD20" s="2">
        <f t="shared" si="9"/>
        <v>5.642390000000006</v>
      </c>
      <c r="AE20" s="2">
        <f t="shared" si="10"/>
        <v>0.24650085133375621</v>
      </c>
      <c r="AF20" s="2">
        <f t="shared" si="11"/>
        <v>0.75349914866624379</v>
      </c>
      <c r="AG20" s="2">
        <f t="shared" si="12"/>
        <v>0.5417528956692268</v>
      </c>
      <c r="AH20" s="2">
        <f t="shared" si="13"/>
        <v>0.13354254999499202</v>
      </c>
      <c r="AI20" s="2">
        <f t="shared" si="14"/>
        <v>7.4882500000000078</v>
      </c>
      <c r="AJ20" s="2">
        <v>18</v>
      </c>
      <c r="AK20">
        <f t="shared" si="15"/>
        <v>9.7515521220460819</v>
      </c>
    </row>
    <row r="21" spans="3:37" x14ac:dyDescent="0.35">
      <c r="C21" s="2"/>
      <c r="D21" s="2"/>
      <c r="E21" s="2"/>
      <c r="F21" s="13">
        <v>99.748140000000006</v>
      </c>
      <c r="G21" s="2">
        <v>100.53161</v>
      </c>
      <c r="H21" s="2">
        <f t="shared" si="0"/>
        <v>0.78346999999999412</v>
      </c>
      <c r="I21" s="2">
        <f t="shared" si="1"/>
        <v>5.2493099999999941</v>
      </c>
      <c r="J21" s="2">
        <f t="shared" si="2"/>
        <v>0.12986881669810529</v>
      </c>
      <c r="K21" s="2">
        <f t="shared" si="3"/>
        <v>0.87013118330189476</v>
      </c>
      <c r="L21" s="2">
        <f t="shared" si="4"/>
        <v>1.2763730583174946</v>
      </c>
      <c r="M21" s="2">
        <f t="shared" si="5"/>
        <v>0.16576105874903477</v>
      </c>
      <c r="N21" s="2">
        <f t="shared" si="6"/>
        <v>6.0327799999999883</v>
      </c>
      <c r="O21" s="2">
        <v>10</v>
      </c>
      <c r="P21">
        <f t="shared" si="7"/>
        <v>12.763730583174945</v>
      </c>
      <c r="AA21" s="13">
        <v>66.134510000000006</v>
      </c>
      <c r="AB21" s="2">
        <v>67.711240000000004</v>
      </c>
      <c r="AC21" s="2">
        <f t="shared" si="8"/>
        <v>1.5767299999999977</v>
      </c>
      <c r="AD21" s="2">
        <f t="shared" si="9"/>
        <v>4.4173899999999975</v>
      </c>
      <c r="AE21" s="2">
        <f t="shared" si="10"/>
        <v>0.26304611852949206</v>
      </c>
      <c r="AF21" s="2">
        <f t="shared" si="11"/>
        <v>0.73695388147050789</v>
      </c>
      <c r="AG21" s="2">
        <f t="shared" si="12"/>
        <v>0.63422399523063644</v>
      </c>
      <c r="AH21" s="2">
        <f t="shared" si="13"/>
        <v>0.16683016022368602</v>
      </c>
      <c r="AI21" s="2">
        <f t="shared" si="14"/>
        <v>5.9941199999999952</v>
      </c>
      <c r="AJ21" s="2">
        <v>18</v>
      </c>
      <c r="AK21">
        <f t="shared" si="15"/>
        <v>11.416031914151457</v>
      </c>
    </row>
    <row r="22" spans="3:37" x14ac:dyDescent="0.35">
      <c r="C22" s="2"/>
      <c r="D22" s="2"/>
      <c r="E22" s="2"/>
      <c r="F22" s="13">
        <v>105.78091999999999</v>
      </c>
      <c r="G22" s="2">
        <v>107.81806</v>
      </c>
      <c r="H22" s="2">
        <f t="shared" si="0"/>
        <v>2.0371400000000079</v>
      </c>
      <c r="I22" s="2">
        <f t="shared" si="1"/>
        <v>4.0054499999999962</v>
      </c>
      <c r="J22" s="2">
        <f t="shared" si="2"/>
        <v>0.33713027029800247</v>
      </c>
      <c r="K22" s="2">
        <f t="shared" si="3"/>
        <v>0.66286972970199753</v>
      </c>
      <c r="L22" s="2">
        <f t="shared" si="4"/>
        <v>0.49088427894008074</v>
      </c>
      <c r="M22" s="2">
        <f t="shared" si="5"/>
        <v>0.16549194964410946</v>
      </c>
      <c r="N22" s="2">
        <f t="shared" si="6"/>
        <v>6.0425900000000041</v>
      </c>
      <c r="O22" s="2">
        <v>16</v>
      </c>
      <c r="P22">
        <f t="shared" si="7"/>
        <v>7.8541484630412919</v>
      </c>
      <c r="AA22" s="13">
        <v>72.128630000000001</v>
      </c>
      <c r="AB22" s="2">
        <v>73.710710000000006</v>
      </c>
      <c r="AC22" s="2">
        <f t="shared" si="8"/>
        <v>1.5820800000000048</v>
      </c>
      <c r="AD22" s="2">
        <f t="shared" si="9"/>
        <v>4.2947399999999902</v>
      </c>
      <c r="AE22" s="2">
        <f t="shared" si="10"/>
        <v>0.26920681593106582</v>
      </c>
      <c r="AF22" s="2">
        <f t="shared" si="11"/>
        <v>0.73079318406893423</v>
      </c>
      <c r="AG22" s="2">
        <f t="shared" si="12"/>
        <v>0.63207928802588809</v>
      </c>
      <c r="AH22" s="2">
        <f t="shared" si="13"/>
        <v>0.17016005254542438</v>
      </c>
      <c r="AI22" s="2">
        <f t="shared" si="14"/>
        <v>5.876819999999995</v>
      </c>
      <c r="AJ22" s="2">
        <v>14</v>
      </c>
      <c r="AK22">
        <f t="shared" si="15"/>
        <v>8.8491100323624323</v>
      </c>
    </row>
    <row r="23" spans="3:37" x14ac:dyDescent="0.35">
      <c r="C23" s="2"/>
      <c r="D23" s="2"/>
      <c r="E23" s="2"/>
      <c r="F23" s="13">
        <v>111.82351</v>
      </c>
      <c r="G23" s="2">
        <v>113.98472</v>
      </c>
      <c r="H23" s="2">
        <f t="shared" si="0"/>
        <v>2.161209999999997</v>
      </c>
      <c r="I23" s="2"/>
      <c r="J23" s="2"/>
      <c r="K23" s="2"/>
      <c r="L23" s="2"/>
      <c r="M23" s="2"/>
      <c r="N23" s="2"/>
      <c r="O23" s="2"/>
      <c r="AA23" s="13">
        <v>78.005449999999996</v>
      </c>
      <c r="AB23" s="2">
        <v>79.433319999999995</v>
      </c>
      <c r="AC23" s="2">
        <f t="shared" si="8"/>
        <v>1.4278699999999986</v>
      </c>
      <c r="AD23" s="2">
        <f t="shared" si="9"/>
        <v>4.4834299999999985</v>
      </c>
      <c r="AE23" s="2">
        <f t="shared" si="10"/>
        <v>0.24154923620861729</v>
      </c>
      <c r="AF23" s="2">
        <f t="shared" si="11"/>
        <v>0.75845076379138276</v>
      </c>
      <c r="AG23" s="2">
        <f t="shared" si="12"/>
        <v>0.70034386883960087</v>
      </c>
      <c r="AH23" s="2">
        <f t="shared" si="13"/>
        <v>0.16916752660159365</v>
      </c>
      <c r="AI23" s="2">
        <f t="shared" si="14"/>
        <v>5.9112999999999971</v>
      </c>
      <c r="AJ23" s="2">
        <v>16</v>
      </c>
      <c r="AK23">
        <f t="shared" si="15"/>
        <v>11.205501901433614</v>
      </c>
    </row>
    <row r="24" spans="3:37" x14ac:dyDescent="0.35">
      <c r="C24" s="2"/>
      <c r="D24" s="2"/>
      <c r="E24" s="2"/>
      <c r="F24" s="13"/>
      <c r="G24" s="2"/>
      <c r="H24" s="2"/>
      <c r="I24" s="2"/>
      <c r="J24" s="2"/>
      <c r="K24" s="2"/>
      <c r="L24" s="2"/>
      <c r="M24" s="2"/>
      <c r="N24" s="2"/>
      <c r="O24" s="2"/>
      <c r="AA24" s="13">
        <v>83.916749999999993</v>
      </c>
      <c r="AB24" s="2">
        <v>85.42689</v>
      </c>
      <c r="AC24" s="2">
        <f t="shared" si="8"/>
        <v>1.5101400000000069</v>
      </c>
      <c r="AD24" s="2">
        <f t="shared" si="9"/>
        <v>4.3676799999999929</v>
      </c>
      <c r="AE24" s="2">
        <f t="shared" si="10"/>
        <v>0.25692178392669507</v>
      </c>
      <c r="AF24" s="2">
        <f t="shared" si="11"/>
        <v>0.74307821607330493</v>
      </c>
      <c r="AG24" s="2">
        <f t="shared" si="12"/>
        <v>0.66219026050564544</v>
      </c>
      <c r="AH24" s="2">
        <f t="shared" si="13"/>
        <v>0.17013110302799336</v>
      </c>
      <c r="AI24" s="2">
        <f t="shared" si="14"/>
        <v>5.8778199999999998</v>
      </c>
      <c r="AJ24" s="2">
        <v>16</v>
      </c>
      <c r="AK24">
        <f t="shared" si="15"/>
        <v>10.595044168090327</v>
      </c>
    </row>
    <row r="25" spans="3:37" x14ac:dyDescent="0.35">
      <c r="G25" s="49"/>
      <c r="H25" s="2"/>
      <c r="I25" s="2"/>
      <c r="J25" s="2"/>
      <c r="K25" s="2"/>
      <c r="L25" s="2"/>
      <c r="M25" s="2"/>
      <c r="N25" s="2"/>
      <c r="O25" s="2"/>
      <c r="P25" s="2"/>
      <c r="AA25" s="13">
        <v>89.794569999999993</v>
      </c>
      <c r="AB25" s="2">
        <v>91.305049999999994</v>
      </c>
      <c r="AC25" s="2">
        <f t="shared" si="8"/>
        <v>1.5104800000000012</v>
      </c>
      <c r="AD25" s="2">
        <f t="shared" si="9"/>
        <v>4.2382800000000032</v>
      </c>
      <c r="AE25" s="2">
        <f t="shared" si="10"/>
        <v>0.26274883627077839</v>
      </c>
      <c r="AF25" s="2">
        <f t="shared" si="11"/>
        <v>0.73725116372922161</v>
      </c>
      <c r="AG25" s="2">
        <f t="shared" si="12"/>
        <v>0.66204120544462641</v>
      </c>
      <c r="AH25" s="2">
        <f t="shared" si="13"/>
        <v>0.1739505562938789</v>
      </c>
      <c r="AI25" s="2">
        <f t="shared" si="14"/>
        <v>5.7487600000000043</v>
      </c>
      <c r="AJ25" s="2">
        <v>16</v>
      </c>
      <c r="AK25">
        <f t="shared" si="15"/>
        <v>10.592659287114023</v>
      </c>
    </row>
    <row r="26" spans="3:37" x14ac:dyDescent="0.35">
      <c r="G26" s="49"/>
      <c r="H26" s="2"/>
      <c r="I26" s="2"/>
      <c r="J26" s="2"/>
      <c r="K26" s="2"/>
      <c r="L26" s="2"/>
      <c r="M26" s="2"/>
      <c r="N26" s="2"/>
      <c r="O26" s="2"/>
      <c r="P26" s="2"/>
      <c r="AA26" s="13">
        <v>95.543329999999997</v>
      </c>
      <c r="AB26" s="2">
        <v>97.128680000000003</v>
      </c>
      <c r="AC26" s="2">
        <f t="shared" si="8"/>
        <v>1.5853500000000054</v>
      </c>
      <c r="AD26" s="2">
        <f t="shared" si="9"/>
        <v>5.3507699999999971</v>
      </c>
      <c r="AE26" s="2">
        <f t="shared" si="10"/>
        <v>0.22856438469922735</v>
      </c>
      <c r="AF26" s="2">
        <f t="shared" si="11"/>
        <v>0.77143561530077265</v>
      </c>
      <c r="AG26" s="2">
        <f t="shared" si="12"/>
        <v>0.63077553852461388</v>
      </c>
      <c r="AH26" s="2">
        <f t="shared" si="13"/>
        <v>0.14417282284620214</v>
      </c>
      <c r="AI26" s="2">
        <f t="shared" si="14"/>
        <v>6.9361200000000025</v>
      </c>
      <c r="AJ26" s="2">
        <v>20</v>
      </c>
      <c r="AK26">
        <f t="shared" si="15"/>
        <v>12.615510770492278</v>
      </c>
    </row>
    <row r="27" spans="3:37" ht="16" thickBot="1" x14ac:dyDescent="0.4">
      <c r="G27" s="13"/>
      <c r="H27" s="9" t="s">
        <v>3</v>
      </c>
      <c r="I27" s="9" t="s">
        <v>4</v>
      </c>
      <c r="J27" s="9" t="s">
        <v>5</v>
      </c>
      <c r="K27" s="9" t="s">
        <v>6</v>
      </c>
      <c r="L27" s="9" t="s">
        <v>7</v>
      </c>
      <c r="M27" s="9" t="s">
        <v>8</v>
      </c>
      <c r="N27" s="9" t="s">
        <v>9</v>
      </c>
      <c r="O27" s="9" t="s">
        <v>10</v>
      </c>
      <c r="P27" s="44" t="s">
        <v>139</v>
      </c>
      <c r="AA27" s="13">
        <v>102.47945</v>
      </c>
      <c r="AB27" s="2">
        <v>103.88227000000001</v>
      </c>
      <c r="AC27" s="2">
        <f t="shared" si="8"/>
        <v>1.4028200000000055</v>
      </c>
      <c r="AD27" s="2">
        <f t="shared" si="9"/>
        <v>4.1180399999999935</v>
      </c>
      <c r="AE27" s="2">
        <f t="shared" si="10"/>
        <v>0.25409447078897235</v>
      </c>
      <c r="AF27" s="2">
        <f t="shared" si="11"/>
        <v>0.74590552921102771</v>
      </c>
      <c r="AG27" s="2">
        <f t="shared" si="12"/>
        <v>0.71284983105458721</v>
      </c>
      <c r="AH27" s="2">
        <f t="shared" si="13"/>
        <v>0.18113120057382368</v>
      </c>
      <c r="AI27" s="2">
        <f t="shared" si="14"/>
        <v>5.520859999999999</v>
      </c>
      <c r="AJ27" s="2">
        <v>16</v>
      </c>
      <c r="AK27">
        <f t="shared" si="15"/>
        <v>11.405597296873395</v>
      </c>
    </row>
    <row r="28" spans="3:37" x14ac:dyDescent="0.35">
      <c r="C28" s="13"/>
      <c r="D28" s="13"/>
      <c r="G28" s="49" t="s">
        <v>77</v>
      </c>
      <c r="H28" s="13">
        <f>AVERAGE(H7:H22)</f>
        <v>1.840952500000002</v>
      </c>
      <c r="I28" s="13">
        <f t="shared" ref="I28:P28" si="16">AVERAGE(I7:I22)</f>
        <v>5.090125624999998</v>
      </c>
      <c r="J28" s="13">
        <f t="shared" si="16"/>
        <v>0.26722228935626757</v>
      </c>
      <c r="K28" s="13">
        <f t="shared" si="16"/>
        <v>0.73277771064373221</v>
      </c>
      <c r="L28" s="13">
        <f t="shared" si="16"/>
        <v>0.68582136121668658</v>
      </c>
      <c r="M28" s="13">
        <f t="shared" si="16"/>
        <v>0.14829379915653904</v>
      </c>
      <c r="N28" s="13">
        <f t="shared" si="16"/>
        <v>6.931078125</v>
      </c>
      <c r="O28" s="13">
        <f t="shared" si="16"/>
        <v>14.4375</v>
      </c>
      <c r="P28" s="13">
        <f t="shared" si="16"/>
        <v>8.6942343532587962</v>
      </c>
      <c r="AA28" s="13">
        <v>108.00031</v>
      </c>
      <c r="AB28" s="2">
        <v>109.43</v>
      </c>
      <c r="AC28" s="2">
        <f t="shared" si="8"/>
        <v>1.4296900000000079</v>
      </c>
      <c r="AD28" s="2">
        <f t="shared" si="9"/>
        <v>3.9251599999999911</v>
      </c>
      <c r="AE28" s="2">
        <f t="shared" si="10"/>
        <v>0.26698973827464972</v>
      </c>
      <c r="AF28" s="2">
        <f t="shared" si="11"/>
        <v>0.73301026172535022</v>
      </c>
      <c r="AG28" s="2">
        <f t="shared" si="12"/>
        <v>0.69945232882652497</v>
      </c>
      <c r="AH28" s="2">
        <f t="shared" si="13"/>
        <v>0.18674659420898815</v>
      </c>
      <c r="AI28" s="2">
        <f t="shared" si="14"/>
        <v>5.354849999999999</v>
      </c>
      <c r="AJ28" s="2">
        <v>16</v>
      </c>
      <c r="AK28">
        <f t="shared" si="15"/>
        <v>11.1912372612244</v>
      </c>
    </row>
    <row r="29" spans="3:37" x14ac:dyDescent="0.35">
      <c r="C29" s="2"/>
      <c r="D29" s="2"/>
      <c r="G29" s="49" t="s">
        <v>94</v>
      </c>
      <c r="H29" s="2">
        <f>_xlfn.STDEV.S(H7:H22)</f>
        <v>0.67918223967258229</v>
      </c>
      <c r="I29" s="2">
        <f t="shared" ref="I29:P29" si="17">_xlfn.STDEV.S(I7:I22)</f>
        <v>1.260918639532141</v>
      </c>
      <c r="J29" s="2">
        <f t="shared" si="17"/>
        <v>0.10267190888162163</v>
      </c>
      <c r="K29" s="2">
        <f t="shared" si="17"/>
        <v>0.10267190888162329</v>
      </c>
      <c r="L29" s="2">
        <f t="shared" si="17"/>
        <v>0.42127542189650319</v>
      </c>
      <c r="M29" s="2">
        <f t="shared" si="17"/>
        <v>2.2852668289593286E-2</v>
      </c>
      <c r="N29" s="2">
        <f t="shared" si="17"/>
        <v>1.3143881571500242</v>
      </c>
      <c r="O29" s="2">
        <f t="shared" si="17"/>
        <v>3.5207716957129347</v>
      </c>
      <c r="P29" s="2">
        <f t="shared" si="17"/>
        <v>2.62921267633154</v>
      </c>
      <c r="AA29" s="13">
        <v>113.35516</v>
      </c>
      <c r="AB29" s="2">
        <v>114.85384999999999</v>
      </c>
      <c r="AC29" s="2">
        <f t="shared" si="8"/>
        <v>1.4986899999999963</v>
      </c>
      <c r="AD29" s="2">
        <f t="shared" si="9"/>
        <v>3.9160600000000017</v>
      </c>
      <c r="AE29" s="2">
        <f t="shared" si="10"/>
        <v>0.27677916801329644</v>
      </c>
      <c r="AF29" s="2">
        <f t="shared" si="11"/>
        <v>0.72322083198670362</v>
      </c>
      <c r="AG29" s="2">
        <f t="shared" si="12"/>
        <v>0.6672493978074201</v>
      </c>
      <c r="AH29" s="2">
        <f t="shared" si="13"/>
        <v>0.1846807331825108</v>
      </c>
      <c r="AI29" s="2">
        <f t="shared" si="14"/>
        <v>5.414749999999998</v>
      </c>
      <c r="AJ29" s="2">
        <v>16</v>
      </c>
      <c r="AK29">
        <f t="shared" si="15"/>
        <v>10.675990364918722</v>
      </c>
    </row>
    <row r="30" spans="3:37" x14ac:dyDescent="0.35">
      <c r="C30" s="2"/>
      <c r="D30" s="2"/>
      <c r="G30" s="49" t="s">
        <v>95</v>
      </c>
      <c r="H30" s="2">
        <f>H29/(SQRT(COUNT(H7:H22)))</f>
        <v>0.16979555991814557</v>
      </c>
      <c r="I30" s="2">
        <f t="shared" ref="I30:P30" si="18">I29/(SQRT(COUNT(I7:I22)))</f>
        <v>0.31522965988303525</v>
      </c>
      <c r="J30" s="2">
        <f t="shared" si="18"/>
        <v>2.5667977220405407E-2</v>
      </c>
      <c r="K30" s="2">
        <f t="shared" si="18"/>
        <v>2.5667977220405824E-2</v>
      </c>
      <c r="L30" s="2">
        <f t="shared" si="18"/>
        <v>0.1053188554741258</v>
      </c>
      <c r="M30" s="2">
        <f t="shared" si="18"/>
        <v>5.7131670723983216E-3</v>
      </c>
      <c r="N30" s="2">
        <f t="shared" si="18"/>
        <v>0.32859703928750605</v>
      </c>
      <c r="O30" s="2">
        <f t="shared" si="18"/>
        <v>0.88019292392823367</v>
      </c>
      <c r="P30" s="2">
        <f t="shared" si="18"/>
        <v>0.657303169082885</v>
      </c>
      <c r="AA30" s="13">
        <v>118.76991</v>
      </c>
      <c r="AB30" s="2">
        <v>119.97584000000001</v>
      </c>
      <c r="AC30" s="2">
        <f t="shared" si="8"/>
        <v>1.2059300000000093</v>
      </c>
      <c r="AD30" s="2"/>
      <c r="AE30" s="2"/>
      <c r="AF30" s="2"/>
      <c r="AG30" s="2"/>
      <c r="AH30" s="2"/>
      <c r="AI30" s="2"/>
      <c r="AJ30" s="2"/>
    </row>
    <row r="31" spans="3:37" x14ac:dyDescent="0.35">
      <c r="G31" s="49"/>
      <c r="H31" s="2"/>
      <c r="I31" s="2"/>
      <c r="J31" s="2"/>
      <c r="K31" s="2"/>
      <c r="L31" s="2"/>
      <c r="M31" s="2"/>
      <c r="N31" s="2"/>
      <c r="O31" s="2"/>
      <c r="P31" s="2"/>
      <c r="AB31" s="49"/>
      <c r="AC31" s="2"/>
      <c r="AD31" s="2"/>
      <c r="AE31" s="2"/>
      <c r="AF31" s="2"/>
      <c r="AG31" s="2"/>
      <c r="AH31" s="2"/>
      <c r="AI31" s="2"/>
      <c r="AJ31" s="2"/>
      <c r="AK31" s="2"/>
    </row>
    <row r="32" spans="3:37" x14ac:dyDescent="0.35">
      <c r="G32" s="49"/>
      <c r="H32" s="2"/>
      <c r="I32" s="2"/>
      <c r="J32" s="2"/>
      <c r="K32" s="2"/>
      <c r="L32" s="2"/>
      <c r="M32" s="2"/>
      <c r="N32" s="2"/>
      <c r="O32" s="2"/>
      <c r="P32" s="2"/>
      <c r="AB32" s="49"/>
      <c r="AC32" s="2"/>
      <c r="AD32" s="2"/>
      <c r="AE32" s="2"/>
      <c r="AF32" s="2"/>
      <c r="AG32" s="2"/>
      <c r="AH32" s="2"/>
      <c r="AI32" s="2"/>
      <c r="AJ32" s="2"/>
      <c r="AK32" s="2"/>
    </row>
    <row r="33" spans="4:39" ht="16" thickBot="1" x14ac:dyDescent="0.4">
      <c r="AB33" s="13"/>
      <c r="AC33" s="9" t="s">
        <v>3</v>
      </c>
      <c r="AD33" s="9" t="s">
        <v>4</v>
      </c>
      <c r="AE33" s="9" t="s">
        <v>5</v>
      </c>
      <c r="AF33" s="9" t="s">
        <v>6</v>
      </c>
      <c r="AG33" s="9" t="s">
        <v>7</v>
      </c>
      <c r="AH33" s="9" t="s">
        <v>8</v>
      </c>
      <c r="AI33" s="9" t="s">
        <v>9</v>
      </c>
      <c r="AJ33" s="9" t="s">
        <v>10</v>
      </c>
      <c r="AK33" s="44" t="s">
        <v>139</v>
      </c>
    </row>
    <row r="34" spans="4:39" x14ac:dyDescent="0.35">
      <c r="G34" s="49"/>
      <c r="H34" s="2"/>
      <c r="I34" s="2"/>
      <c r="J34" s="2"/>
      <c r="K34" s="2"/>
      <c r="L34" s="2"/>
      <c r="M34" s="2"/>
      <c r="N34" s="2"/>
      <c r="O34" s="2"/>
      <c r="P34" s="2"/>
      <c r="AB34" s="49" t="s">
        <v>77</v>
      </c>
      <c r="AC34" s="13">
        <f>AVERAGE(AC7:AC29)</f>
        <v>1.4261695652173925</v>
      </c>
      <c r="AD34" s="13">
        <f t="shared" ref="AD34:AK34" si="19">AVERAGE(AD7:AD29)</f>
        <v>3.7376065217391292</v>
      </c>
      <c r="AE34" s="13">
        <f t="shared" si="19"/>
        <v>0.28776334845983481</v>
      </c>
      <c r="AF34" s="13">
        <f t="shared" si="19"/>
        <v>0.71223665154016513</v>
      </c>
      <c r="AG34" s="13">
        <f t="shared" si="19"/>
        <v>0.82274911879389878</v>
      </c>
      <c r="AH34" s="13">
        <f t="shared" si="19"/>
        <v>0.21615995573054952</v>
      </c>
      <c r="AI34" s="13">
        <f t="shared" si="19"/>
        <v>5.1637760869565215</v>
      </c>
      <c r="AJ34" s="13">
        <f t="shared" si="19"/>
        <v>14.869565217391305</v>
      </c>
      <c r="AK34" s="13">
        <f t="shared" si="19"/>
        <v>10.747897060860938</v>
      </c>
    </row>
    <row r="35" spans="4:39" x14ac:dyDescent="0.35">
      <c r="AB35" s="49" t="s">
        <v>94</v>
      </c>
      <c r="AC35" s="2">
        <f>_xlfn.STDEV.S(AC7:AC29)</f>
        <v>0.34003637533329095</v>
      </c>
      <c r="AD35" s="2">
        <f t="shared" ref="AD35:AK35" si="20">_xlfn.STDEV.S(AD7:AD29)</f>
        <v>1.1575224128425359</v>
      </c>
      <c r="AE35" s="2">
        <f t="shared" si="20"/>
        <v>8.8985540495707949E-2</v>
      </c>
      <c r="AF35" s="2">
        <f t="shared" si="20"/>
        <v>8.8985540495707893E-2</v>
      </c>
      <c r="AG35" s="2">
        <f t="shared" si="20"/>
        <v>0.55635262757195281</v>
      </c>
      <c r="AH35" s="2">
        <f t="shared" si="20"/>
        <v>0.1079578858308155</v>
      </c>
      <c r="AI35" s="2">
        <f t="shared" si="20"/>
        <v>1.2902041342175965</v>
      </c>
      <c r="AJ35" s="2">
        <f t="shared" si="20"/>
        <v>3.5071919332875123</v>
      </c>
      <c r="AK35" s="2">
        <f t="shared" si="20"/>
        <v>2.0261943937049671</v>
      </c>
    </row>
    <row r="36" spans="4:39" x14ac:dyDescent="0.35">
      <c r="AB36" s="49" t="s">
        <v>95</v>
      </c>
      <c r="AC36" s="2">
        <f>AC35/(SQRT(COUNT(AC7:AC29)))</f>
        <v>7.0902485560712714E-2</v>
      </c>
      <c r="AD36" s="2">
        <f t="shared" ref="AD36:AK36" si="21">AD35/(SQRT(COUNT(AD7:AD29)))</f>
        <v>0.24136010767179278</v>
      </c>
      <c r="AE36" s="2">
        <f t="shared" si="21"/>
        <v>1.8554767836014643E-2</v>
      </c>
      <c r="AF36" s="2">
        <f t="shared" si="21"/>
        <v>1.8554767836014632E-2</v>
      </c>
      <c r="AG36" s="2">
        <f t="shared" si="21"/>
        <v>0.11600754214727969</v>
      </c>
      <c r="AH36" s="2">
        <f t="shared" si="21"/>
        <v>2.2510775306853071E-2</v>
      </c>
      <c r="AI36" s="2">
        <f t="shared" si="21"/>
        <v>0.26902615906039762</v>
      </c>
      <c r="AJ36" s="2">
        <f t="shared" si="21"/>
        <v>0.73130007095514493</v>
      </c>
      <c r="AK36" s="2">
        <f t="shared" si="21"/>
        <v>0.42249073676912113</v>
      </c>
    </row>
    <row r="37" spans="4:39" ht="18.5" x14ac:dyDescent="0.45">
      <c r="F37" s="1" t="s">
        <v>405</v>
      </c>
      <c r="G37" s="3"/>
      <c r="H37" s="3"/>
      <c r="I37" s="3"/>
      <c r="J37" s="3"/>
      <c r="K37" s="3"/>
      <c r="L37" s="3"/>
      <c r="M37" s="3"/>
      <c r="N37" s="3"/>
      <c r="O37" s="3"/>
    </row>
    <row r="38" spans="4:39" ht="16" thickBot="1" x14ac:dyDescent="0.4">
      <c r="D38" s="204" t="s">
        <v>406</v>
      </c>
      <c r="F38" s="9" t="s">
        <v>1</v>
      </c>
      <c r="G38" s="9" t="s">
        <v>2</v>
      </c>
      <c r="H38" s="9" t="s">
        <v>3</v>
      </c>
      <c r="I38" s="9" t="s">
        <v>4</v>
      </c>
      <c r="J38" s="9" t="s">
        <v>5</v>
      </c>
      <c r="K38" s="9" t="s">
        <v>6</v>
      </c>
      <c r="L38" s="9" t="s">
        <v>7</v>
      </c>
      <c r="M38" s="9" t="s">
        <v>8</v>
      </c>
      <c r="N38" s="9" t="s">
        <v>9</v>
      </c>
      <c r="O38" s="9" t="s">
        <v>10</v>
      </c>
      <c r="P38" s="44" t="s">
        <v>139</v>
      </c>
      <c r="R38" s="44" t="s">
        <v>138</v>
      </c>
    </row>
    <row r="39" spans="4:39" ht="18.5" x14ac:dyDescent="0.45">
      <c r="D39" s="291">
        <v>10</v>
      </c>
      <c r="F39" s="2">
        <v>1.6017300000000001</v>
      </c>
      <c r="G39" s="2">
        <v>4.6982400000000002</v>
      </c>
      <c r="H39" s="2">
        <f>G39-F39</f>
        <v>3.0965100000000003</v>
      </c>
      <c r="I39" s="2">
        <f>F40-G39</f>
        <v>2.0697799999999997</v>
      </c>
      <c r="J39" s="2">
        <f>H39/N39</f>
        <v>0.59936821200513335</v>
      </c>
      <c r="K39" s="2">
        <f>I39/N39</f>
        <v>0.40063178799486665</v>
      </c>
      <c r="L39" s="2">
        <f>1/H39</f>
        <v>0.32294421784525157</v>
      </c>
      <c r="M39" s="2">
        <f>1/N39</f>
        <v>0.19356249842730469</v>
      </c>
      <c r="N39" s="2">
        <f>H39+I39</f>
        <v>5.16629</v>
      </c>
      <c r="O39" s="2">
        <v>28</v>
      </c>
      <c r="P39">
        <f>O39/H39</f>
        <v>9.0424380996670433</v>
      </c>
      <c r="R39" t="s">
        <v>786</v>
      </c>
      <c r="AA39" s="1" t="s">
        <v>797</v>
      </c>
      <c r="AB39" s="3"/>
      <c r="AC39" s="3"/>
      <c r="AD39" s="3"/>
      <c r="AE39" s="3"/>
      <c r="AF39" s="3"/>
      <c r="AG39" s="3"/>
      <c r="AH39" s="3"/>
      <c r="AI39" s="3"/>
      <c r="AJ39" s="3"/>
    </row>
    <row r="40" spans="4:39" ht="16" thickBot="1" x14ac:dyDescent="0.4">
      <c r="D40" s="300">
        <v>10</v>
      </c>
      <c r="F40" s="2">
        <v>6.7680199999999999</v>
      </c>
      <c r="G40" s="2">
        <v>9.5144800000000007</v>
      </c>
      <c r="H40" s="2">
        <f t="shared" ref="H40:H69" si="22">G40-F40</f>
        <v>2.7464600000000008</v>
      </c>
      <c r="I40" s="2">
        <f t="shared" ref="I40:I69" si="23">F41-G40</f>
        <v>2.5341199999999997</v>
      </c>
      <c r="J40" s="2">
        <f t="shared" ref="J40:J68" si="24">H40/N40</f>
        <v>0.52010574595972425</v>
      </c>
      <c r="K40" s="2">
        <f t="shared" ref="K40:K68" si="25">I40/N40</f>
        <v>0.4798942540402758</v>
      </c>
      <c r="L40" s="2">
        <f t="shared" ref="L40:L68" si="26">1/H40</f>
        <v>0.3641050661578904</v>
      </c>
      <c r="M40" s="2">
        <f t="shared" ref="M40:M72" si="27">1/N40</f>
        <v>0.18937313704176434</v>
      </c>
      <c r="N40" s="2">
        <f t="shared" ref="N40:N68" si="28">H40+I40</f>
        <v>5.2805800000000005</v>
      </c>
      <c r="O40" s="2">
        <v>22</v>
      </c>
      <c r="P40">
        <f t="shared" ref="P40:P68" si="29">O40/H40</f>
        <v>8.0103114554735892</v>
      </c>
      <c r="Y40" s="204" t="s">
        <v>406</v>
      </c>
      <c r="AA40" s="9" t="s">
        <v>1</v>
      </c>
      <c r="AB40" s="9" t="s">
        <v>2</v>
      </c>
      <c r="AC40" s="9" t="s">
        <v>3</v>
      </c>
      <c r="AD40" s="9" t="s">
        <v>4</v>
      </c>
      <c r="AE40" s="9" t="s">
        <v>5</v>
      </c>
      <c r="AF40" s="9" t="s">
        <v>6</v>
      </c>
      <c r="AG40" s="9" t="s">
        <v>7</v>
      </c>
      <c r="AH40" s="9" t="s">
        <v>8</v>
      </c>
      <c r="AI40" s="9" t="s">
        <v>9</v>
      </c>
      <c r="AJ40" s="9" t="s">
        <v>10</v>
      </c>
      <c r="AK40" s="44" t="s">
        <v>139</v>
      </c>
      <c r="AM40" s="44" t="s">
        <v>138</v>
      </c>
    </row>
    <row r="41" spans="4:39" x14ac:dyDescent="0.35">
      <c r="D41" s="300">
        <v>10</v>
      </c>
      <c r="F41" s="13">
        <v>12.0486</v>
      </c>
      <c r="G41" s="2">
        <v>14.887879999999999</v>
      </c>
      <c r="H41" s="2">
        <f t="shared" si="22"/>
        <v>2.8392799999999987</v>
      </c>
      <c r="I41" s="2">
        <f t="shared" si="23"/>
        <v>3.3727499999999999</v>
      </c>
      <c r="J41" s="2">
        <f t="shared" si="24"/>
        <v>0.45706154026944484</v>
      </c>
      <c r="K41" s="2">
        <f t="shared" si="25"/>
        <v>0.54293845973055521</v>
      </c>
      <c r="L41" s="2">
        <f t="shared" si="26"/>
        <v>0.35220196669578219</v>
      </c>
      <c r="M41" s="2">
        <f t="shared" si="27"/>
        <v>0.16097797338390191</v>
      </c>
      <c r="N41" s="2">
        <f t="shared" si="28"/>
        <v>6.2120299999999986</v>
      </c>
      <c r="O41" s="2">
        <v>24</v>
      </c>
      <c r="P41">
        <f t="shared" si="29"/>
        <v>8.4528472006987734</v>
      </c>
      <c r="Y41" s="300">
        <v>-1</v>
      </c>
      <c r="AA41" s="2">
        <v>5.23698</v>
      </c>
      <c r="AB41" s="2">
        <v>7.9865399999999998</v>
      </c>
      <c r="AC41" s="2">
        <f t="shared" ref="AC41:AC67" si="30">AB41-AA41</f>
        <v>2.7495599999999998</v>
      </c>
      <c r="AD41" s="2">
        <f t="shared" ref="AD41:AD67" si="31">AA42-AB41</f>
        <v>4.041780000000001</v>
      </c>
      <c r="AE41" s="2">
        <f>AC41/AI41</f>
        <v>0.4048626633330093</v>
      </c>
      <c r="AF41" s="2">
        <f>AD41/AI41</f>
        <v>0.59513733666699065</v>
      </c>
      <c r="AG41" s="2">
        <f>1/AC41</f>
        <v>0.36369455476512608</v>
      </c>
      <c r="AH41" s="2">
        <f>1/AI41</f>
        <v>0.14724634608192197</v>
      </c>
      <c r="AI41" s="2">
        <f>AC41+AD41</f>
        <v>6.7913400000000008</v>
      </c>
      <c r="AJ41" s="2">
        <v>20</v>
      </c>
      <c r="AK41">
        <f>AJ41/AC41</f>
        <v>7.2738910953025213</v>
      </c>
      <c r="AM41" t="s">
        <v>798</v>
      </c>
    </row>
    <row r="42" spans="4:39" x14ac:dyDescent="0.35">
      <c r="D42" s="300">
        <v>10</v>
      </c>
      <c r="F42" s="13">
        <v>18.260629999999999</v>
      </c>
      <c r="G42" s="2">
        <v>21.179539999999999</v>
      </c>
      <c r="H42" s="2">
        <f t="shared" si="22"/>
        <v>2.9189100000000003</v>
      </c>
      <c r="I42" s="2">
        <f t="shared" si="23"/>
        <v>1.9617399999999989</v>
      </c>
      <c r="J42" s="2">
        <f t="shared" si="24"/>
        <v>0.59805763576572812</v>
      </c>
      <c r="K42" s="2">
        <f t="shared" si="25"/>
        <v>0.40194236423427193</v>
      </c>
      <c r="L42" s="2">
        <f t="shared" si="26"/>
        <v>0.34259363940649074</v>
      </c>
      <c r="M42" s="2">
        <f t="shared" si="27"/>
        <v>0.20489074201182222</v>
      </c>
      <c r="N42" s="2">
        <f t="shared" si="28"/>
        <v>4.8806499999999993</v>
      </c>
      <c r="O42" s="2">
        <v>24</v>
      </c>
      <c r="P42">
        <f t="shared" si="29"/>
        <v>8.2222473457557772</v>
      </c>
      <c r="Y42" s="300">
        <v>-1</v>
      </c>
      <c r="AA42" s="2">
        <v>12.028320000000001</v>
      </c>
      <c r="AB42" s="2">
        <v>13.474919999999999</v>
      </c>
      <c r="AC42" s="2">
        <f t="shared" si="30"/>
        <v>1.4465999999999983</v>
      </c>
      <c r="AD42" s="2">
        <f t="shared" si="31"/>
        <v>3.8895199999999992</v>
      </c>
      <c r="AE42" s="2">
        <f t="shared" ref="AE42:AE67" si="32">AC42/AI42</f>
        <v>0.27109585241711187</v>
      </c>
      <c r="AF42" s="2">
        <f t="shared" ref="AF42:AF67" si="33">AD42/AI42</f>
        <v>0.72890414758288813</v>
      </c>
      <c r="AG42" s="2">
        <f t="shared" ref="AG42:AG67" si="34">1/AC42</f>
        <v>0.69127609567261239</v>
      </c>
      <c r="AH42" s="2">
        <f t="shared" ref="AH42:AH79" si="35">1/AI42</f>
        <v>0.18740208241193984</v>
      </c>
      <c r="AI42" s="2">
        <f t="shared" ref="AI42:AI67" si="36">AC42+AD42</f>
        <v>5.3361199999999975</v>
      </c>
      <c r="AJ42" s="2">
        <v>14</v>
      </c>
      <c r="AK42">
        <f t="shared" ref="AK42:AK70" si="37">AJ42/AC42</f>
        <v>9.6778653394165737</v>
      </c>
    </row>
    <row r="43" spans="4:39" x14ac:dyDescent="0.35">
      <c r="D43" s="300">
        <v>10</v>
      </c>
      <c r="F43" s="13">
        <v>23.141279999999998</v>
      </c>
      <c r="G43" s="2">
        <v>26.177890000000001</v>
      </c>
      <c r="H43" s="2">
        <f t="shared" si="22"/>
        <v>3.0366100000000031</v>
      </c>
      <c r="I43" s="2">
        <f t="shared" si="23"/>
        <v>4.070689999999999</v>
      </c>
      <c r="J43" s="2">
        <f t="shared" si="24"/>
        <v>0.4272522617590368</v>
      </c>
      <c r="K43" s="2">
        <f t="shared" si="25"/>
        <v>0.57274773824096326</v>
      </c>
      <c r="L43" s="2">
        <f t="shared" si="26"/>
        <v>0.32931459752816428</v>
      </c>
      <c r="M43" s="2">
        <f t="shared" si="27"/>
        <v>0.1407004066241751</v>
      </c>
      <c r="N43" s="2">
        <f t="shared" si="28"/>
        <v>7.1073000000000022</v>
      </c>
      <c r="O43" s="2">
        <v>26</v>
      </c>
      <c r="P43">
        <f t="shared" si="29"/>
        <v>8.5621795357322714</v>
      </c>
      <c r="Y43" s="300">
        <v>-1</v>
      </c>
      <c r="AA43" s="13">
        <v>17.364439999999998</v>
      </c>
      <c r="AB43" s="2">
        <v>18.752849999999999</v>
      </c>
      <c r="AC43" s="2">
        <f t="shared" si="30"/>
        <v>1.3884100000000004</v>
      </c>
      <c r="AD43" s="2">
        <f t="shared" si="31"/>
        <v>5.2569000000000017</v>
      </c>
      <c r="AE43" s="2">
        <f t="shared" si="32"/>
        <v>0.20893080984935239</v>
      </c>
      <c r="AF43" s="2">
        <f t="shared" si="33"/>
        <v>0.79106919015064758</v>
      </c>
      <c r="AG43" s="2">
        <f t="shared" si="34"/>
        <v>0.72024834162819318</v>
      </c>
      <c r="AH43" s="2">
        <f t="shared" si="35"/>
        <v>0.15048206930903144</v>
      </c>
      <c r="AI43" s="2">
        <f t="shared" si="36"/>
        <v>6.645310000000002</v>
      </c>
      <c r="AJ43" s="2">
        <v>16</v>
      </c>
      <c r="AK43">
        <f t="shared" si="37"/>
        <v>11.523973466051091</v>
      </c>
    </row>
    <row r="44" spans="4:39" x14ac:dyDescent="0.35">
      <c r="D44" s="300">
        <v>10</v>
      </c>
      <c r="F44" s="13">
        <v>30.24858</v>
      </c>
      <c r="G44" s="2">
        <v>33.080390000000001</v>
      </c>
      <c r="H44" s="2">
        <f t="shared" si="22"/>
        <v>2.8318100000000008</v>
      </c>
      <c r="I44" s="2">
        <f t="shared" si="23"/>
        <v>4.5720799999999997</v>
      </c>
      <c r="J44" s="2">
        <f t="shared" si="24"/>
        <v>0.38247596871374379</v>
      </c>
      <c r="K44" s="2">
        <f t="shared" si="25"/>
        <v>0.61752403128625621</v>
      </c>
      <c r="L44" s="2">
        <f t="shared" si="26"/>
        <v>0.35313103633365223</v>
      </c>
      <c r="M44" s="2">
        <f t="shared" si="27"/>
        <v>0.13506413520460189</v>
      </c>
      <c r="N44" s="2">
        <f t="shared" si="28"/>
        <v>7.4038900000000005</v>
      </c>
      <c r="O44" s="2">
        <v>24</v>
      </c>
      <c r="P44">
        <f t="shared" si="29"/>
        <v>8.4751448720076539</v>
      </c>
      <c r="Y44" s="300">
        <v>-1</v>
      </c>
      <c r="AA44" s="13">
        <v>24.00975</v>
      </c>
      <c r="AB44" s="2">
        <v>25.55254</v>
      </c>
      <c r="AC44" s="2">
        <f t="shared" si="30"/>
        <v>1.5427900000000001</v>
      </c>
      <c r="AD44" s="2">
        <f t="shared" si="31"/>
        <v>5.1072400000000009</v>
      </c>
      <c r="AE44" s="2">
        <f t="shared" si="32"/>
        <v>0.23199744963556554</v>
      </c>
      <c r="AF44" s="2">
        <f t="shared" si="33"/>
        <v>0.76800255036443443</v>
      </c>
      <c r="AG44" s="2">
        <f t="shared" si="34"/>
        <v>0.64817635582289224</v>
      </c>
      <c r="AH44" s="2">
        <f t="shared" si="35"/>
        <v>0.15037526146498584</v>
      </c>
      <c r="AI44" s="2">
        <f t="shared" si="36"/>
        <v>6.650030000000001</v>
      </c>
      <c r="AJ44" s="2">
        <v>16</v>
      </c>
      <c r="AK44">
        <f t="shared" si="37"/>
        <v>10.370821693166276</v>
      </c>
    </row>
    <row r="45" spans="4:39" x14ac:dyDescent="0.35">
      <c r="D45" s="300">
        <v>10</v>
      </c>
      <c r="F45" s="13">
        <v>37.652470000000001</v>
      </c>
      <c r="G45" s="2">
        <v>40.096179999999997</v>
      </c>
      <c r="H45" s="2">
        <f t="shared" si="22"/>
        <v>2.4437099999999958</v>
      </c>
      <c r="I45" s="2">
        <f t="shared" si="23"/>
        <v>2.6403200000000027</v>
      </c>
      <c r="J45" s="2">
        <f t="shared" si="24"/>
        <v>0.48066396146364138</v>
      </c>
      <c r="K45" s="2">
        <f t="shared" si="25"/>
        <v>0.51933603853635868</v>
      </c>
      <c r="L45" s="2">
        <f t="shared" si="26"/>
        <v>0.40921385925498593</v>
      </c>
      <c r="M45" s="2">
        <f t="shared" si="27"/>
        <v>0.19669435467532653</v>
      </c>
      <c r="N45" s="2">
        <f t="shared" si="28"/>
        <v>5.0840299999999985</v>
      </c>
      <c r="O45" s="2">
        <v>20</v>
      </c>
      <c r="P45">
        <f t="shared" si="29"/>
        <v>8.1842771850997185</v>
      </c>
      <c r="Y45" s="300">
        <v>-1</v>
      </c>
      <c r="AA45" s="13">
        <v>30.659780000000001</v>
      </c>
      <c r="AB45" s="2">
        <v>32.314959999999999</v>
      </c>
      <c r="AC45" s="2">
        <f t="shared" si="30"/>
        <v>1.6551799999999979</v>
      </c>
      <c r="AD45" s="2">
        <f t="shared" si="31"/>
        <v>4.9418100000000038</v>
      </c>
      <c r="AE45" s="2">
        <f t="shared" si="32"/>
        <v>0.25089927375969912</v>
      </c>
      <c r="AF45" s="2">
        <f t="shared" si="33"/>
        <v>0.74910072624030088</v>
      </c>
      <c r="AG45" s="2">
        <f t="shared" si="34"/>
        <v>0.60416389758213684</v>
      </c>
      <c r="AH45" s="2">
        <f t="shared" si="35"/>
        <v>0.15158428313518738</v>
      </c>
      <c r="AI45" s="2">
        <f t="shared" si="36"/>
        <v>6.5969900000000017</v>
      </c>
      <c r="AJ45" s="2">
        <v>16</v>
      </c>
      <c r="AK45">
        <f t="shared" si="37"/>
        <v>9.6666223613141895</v>
      </c>
    </row>
    <row r="46" spans="4:39" x14ac:dyDescent="0.35">
      <c r="D46" s="300">
        <v>10</v>
      </c>
      <c r="F46" s="13">
        <v>42.736499999999999</v>
      </c>
      <c r="G46" s="2">
        <v>43.919499999999999</v>
      </c>
      <c r="H46" s="2">
        <f t="shared" si="22"/>
        <v>1.1829999999999998</v>
      </c>
      <c r="I46" s="2">
        <f t="shared" si="23"/>
        <v>7.4892299999999992</v>
      </c>
      <c r="J46" s="2">
        <f t="shared" si="24"/>
        <v>0.13641243371082179</v>
      </c>
      <c r="K46" s="2">
        <f t="shared" si="25"/>
        <v>0.86358756628917821</v>
      </c>
      <c r="L46" s="2">
        <f t="shared" si="26"/>
        <v>0.84530853761623004</v>
      </c>
      <c r="M46" s="2">
        <f t="shared" si="27"/>
        <v>0.11531059485276568</v>
      </c>
      <c r="N46" s="2">
        <f t="shared" si="28"/>
        <v>8.672229999999999</v>
      </c>
      <c r="O46" s="2">
        <v>16</v>
      </c>
      <c r="P46">
        <f t="shared" si="29"/>
        <v>13.524936601859681</v>
      </c>
      <c r="Y46" s="300">
        <v>-1</v>
      </c>
      <c r="AA46" s="13">
        <v>37.256770000000003</v>
      </c>
      <c r="AB46" s="2">
        <v>38.851819999999996</v>
      </c>
      <c r="AC46" s="2">
        <f t="shared" si="30"/>
        <v>1.5950499999999934</v>
      </c>
      <c r="AD46" s="2">
        <f t="shared" si="31"/>
        <v>5.0745000000000005</v>
      </c>
      <c r="AE46" s="2">
        <f t="shared" si="32"/>
        <v>0.23915406586651197</v>
      </c>
      <c r="AF46" s="2">
        <f t="shared" si="33"/>
        <v>0.760845934133488</v>
      </c>
      <c r="AG46" s="2">
        <f t="shared" si="34"/>
        <v>0.62693959437008506</v>
      </c>
      <c r="AH46" s="2">
        <f t="shared" si="35"/>
        <v>0.14993515304630761</v>
      </c>
      <c r="AI46" s="2">
        <f t="shared" si="36"/>
        <v>6.6695499999999939</v>
      </c>
      <c r="AJ46" s="2">
        <v>16</v>
      </c>
      <c r="AK46">
        <f t="shared" si="37"/>
        <v>10.031033509921361</v>
      </c>
    </row>
    <row r="47" spans="4:39" x14ac:dyDescent="0.35">
      <c r="D47" s="300">
        <v>10</v>
      </c>
      <c r="F47" s="13">
        <v>51.408729999999998</v>
      </c>
      <c r="G47" s="2">
        <v>55.980690000000003</v>
      </c>
      <c r="H47" s="2">
        <f t="shared" si="22"/>
        <v>4.5719600000000042</v>
      </c>
      <c r="I47" s="2">
        <f t="shared" si="23"/>
        <v>8.2028699999999972</v>
      </c>
      <c r="J47" s="2">
        <f t="shared" si="24"/>
        <v>0.35788812845259027</v>
      </c>
      <c r="K47" s="2">
        <f t="shared" si="25"/>
        <v>0.64211187154740978</v>
      </c>
      <c r="L47" s="2">
        <f t="shared" si="26"/>
        <v>0.21872457326835734</v>
      </c>
      <c r="M47" s="2">
        <f t="shared" si="27"/>
        <v>7.8278928173603865E-2</v>
      </c>
      <c r="N47" s="2">
        <f t="shared" si="28"/>
        <v>12.774830000000001</v>
      </c>
      <c r="O47" s="2">
        <v>64</v>
      </c>
      <c r="P47">
        <f t="shared" si="29"/>
        <v>13.99837268917487</v>
      </c>
      <c r="Y47" s="300">
        <v>-1</v>
      </c>
      <c r="AA47" s="13">
        <v>43.926319999999997</v>
      </c>
      <c r="AB47" s="2">
        <v>45.531089999999999</v>
      </c>
      <c r="AC47" s="2">
        <f t="shared" si="30"/>
        <v>1.604770000000002</v>
      </c>
      <c r="AD47" s="2">
        <f t="shared" si="31"/>
        <v>4.9612600000000029</v>
      </c>
      <c r="AE47" s="2">
        <f t="shared" si="32"/>
        <v>0.2444049143851004</v>
      </c>
      <c r="AF47" s="2">
        <f t="shared" si="33"/>
        <v>0.75559508561489963</v>
      </c>
      <c r="AG47" s="2">
        <f t="shared" si="34"/>
        <v>0.62314225714588301</v>
      </c>
      <c r="AH47" s="2">
        <f t="shared" si="35"/>
        <v>0.15229903000747777</v>
      </c>
      <c r="AI47" s="2">
        <f t="shared" si="36"/>
        <v>6.5660300000000049</v>
      </c>
      <c r="AJ47" s="2">
        <v>16</v>
      </c>
      <c r="AK47">
        <f t="shared" si="37"/>
        <v>9.9702761143341281</v>
      </c>
    </row>
    <row r="48" spans="4:39" x14ac:dyDescent="0.35">
      <c r="D48" s="300">
        <v>10</v>
      </c>
      <c r="F48" s="13">
        <v>64.18356</v>
      </c>
      <c r="G48" s="2">
        <v>68.192250000000001</v>
      </c>
      <c r="H48" s="2">
        <f t="shared" si="22"/>
        <v>4.0086900000000014</v>
      </c>
      <c r="I48" s="2">
        <f t="shared" si="23"/>
        <v>4.7920299999999969</v>
      </c>
      <c r="J48" s="2">
        <f t="shared" si="24"/>
        <v>0.45549568671654161</v>
      </c>
      <c r="K48" s="2">
        <f t="shared" si="25"/>
        <v>0.54450431328345839</v>
      </c>
      <c r="L48" s="2">
        <f t="shared" si="26"/>
        <v>0.24945805238120175</v>
      </c>
      <c r="M48" s="2">
        <f t="shared" si="27"/>
        <v>0.11362706687634651</v>
      </c>
      <c r="N48" s="2">
        <f t="shared" si="28"/>
        <v>8.8007199999999983</v>
      </c>
      <c r="O48" s="2">
        <v>54</v>
      </c>
      <c r="P48">
        <f t="shared" si="29"/>
        <v>13.470734828584895</v>
      </c>
      <c r="Y48" s="300">
        <v>-1</v>
      </c>
      <c r="AA48" s="13">
        <v>50.492350000000002</v>
      </c>
      <c r="AB48" s="2">
        <v>52.206710000000001</v>
      </c>
      <c r="AC48" s="2">
        <f t="shared" si="30"/>
        <v>1.7143599999999992</v>
      </c>
      <c r="AD48" s="2">
        <f t="shared" si="31"/>
        <v>6.4930799999999991</v>
      </c>
      <c r="AE48" s="2">
        <f t="shared" si="32"/>
        <v>0.20887877340559291</v>
      </c>
      <c r="AF48" s="2">
        <f t="shared" si="33"/>
        <v>0.79112122659440709</v>
      </c>
      <c r="AG48" s="2">
        <f t="shared" si="34"/>
        <v>0.5833080566508787</v>
      </c>
      <c r="AH48" s="2">
        <f t="shared" si="35"/>
        <v>0.12184067139083565</v>
      </c>
      <c r="AI48" s="2">
        <f t="shared" si="36"/>
        <v>8.2074399999999983</v>
      </c>
      <c r="AJ48" s="2">
        <v>16</v>
      </c>
      <c r="AK48">
        <f t="shared" si="37"/>
        <v>9.3329289064140593</v>
      </c>
    </row>
    <row r="49" spans="4:39" x14ac:dyDescent="0.35">
      <c r="D49" s="300">
        <v>10</v>
      </c>
      <c r="F49" s="13">
        <v>72.984279999999998</v>
      </c>
      <c r="G49" s="2">
        <v>76.414190000000005</v>
      </c>
      <c r="H49" s="2">
        <f t="shared" si="22"/>
        <v>3.4299100000000067</v>
      </c>
      <c r="I49" s="2">
        <f t="shared" si="23"/>
        <v>9.9622600000000006</v>
      </c>
      <c r="J49" s="2">
        <f t="shared" si="24"/>
        <v>0.25611308697544943</v>
      </c>
      <c r="K49" s="2">
        <f t="shared" si="25"/>
        <v>0.74388691302455057</v>
      </c>
      <c r="L49" s="2">
        <f t="shared" si="26"/>
        <v>0.29155283957888051</v>
      </c>
      <c r="M49" s="2">
        <f t="shared" si="27"/>
        <v>7.4670497761005081E-2</v>
      </c>
      <c r="N49" s="2">
        <f t="shared" si="28"/>
        <v>13.392170000000007</v>
      </c>
      <c r="O49" s="2">
        <v>40</v>
      </c>
      <c r="P49">
        <f t="shared" si="29"/>
        <v>11.66211358315522</v>
      </c>
      <c r="Y49" s="300">
        <v>-1</v>
      </c>
      <c r="AA49" s="13">
        <v>58.69979</v>
      </c>
      <c r="AB49" s="2">
        <v>60.379010000000001</v>
      </c>
      <c r="AC49" s="2">
        <f t="shared" si="30"/>
        <v>1.6792200000000008</v>
      </c>
      <c r="AD49" s="2">
        <f t="shared" si="31"/>
        <v>3.8427900000000008</v>
      </c>
      <c r="AE49" s="2">
        <f t="shared" si="32"/>
        <v>0.30409579120646291</v>
      </c>
      <c r="AF49" s="2">
        <f t="shared" si="33"/>
        <v>0.69590420879353709</v>
      </c>
      <c r="AG49" s="2">
        <f t="shared" si="34"/>
        <v>0.59551458415216563</v>
      </c>
      <c r="AH49" s="2">
        <f t="shared" si="35"/>
        <v>0.18109347864274053</v>
      </c>
      <c r="AI49" s="2">
        <f t="shared" si="36"/>
        <v>5.5220100000000016</v>
      </c>
      <c r="AJ49" s="2">
        <v>18</v>
      </c>
      <c r="AK49">
        <f t="shared" si="37"/>
        <v>10.719262514738981</v>
      </c>
    </row>
    <row r="50" spans="4:39" x14ac:dyDescent="0.35">
      <c r="D50" s="300">
        <v>10</v>
      </c>
      <c r="F50" s="13">
        <v>86.376450000000006</v>
      </c>
      <c r="G50" s="2">
        <v>89.162210000000002</v>
      </c>
      <c r="H50" s="2">
        <f t="shared" si="22"/>
        <v>2.7857599999999962</v>
      </c>
      <c r="I50" s="2">
        <f t="shared" si="23"/>
        <v>1.6432499999999948</v>
      </c>
      <c r="J50" s="2">
        <f t="shared" si="24"/>
        <v>0.62898029130663557</v>
      </c>
      <c r="K50" s="2">
        <f t="shared" si="25"/>
        <v>0.37101970869336448</v>
      </c>
      <c r="L50" s="2">
        <f t="shared" si="26"/>
        <v>0.35896846820975292</v>
      </c>
      <c r="M50" s="2">
        <f t="shared" si="27"/>
        <v>0.22578409170446714</v>
      </c>
      <c r="N50" s="2">
        <f t="shared" si="28"/>
        <v>4.429009999999991</v>
      </c>
      <c r="O50" s="2">
        <v>42</v>
      </c>
      <c r="P50">
        <f t="shared" si="29"/>
        <v>15.076675664809624</v>
      </c>
      <c r="Y50" s="300">
        <v>-1</v>
      </c>
      <c r="AA50" s="13">
        <v>64.221800000000002</v>
      </c>
      <c r="AB50" s="2">
        <v>65.640479999999997</v>
      </c>
      <c r="AC50" s="2">
        <f t="shared" si="30"/>
        <v>1.4186799999999948</v>
      </c>
      <c r="AD50" s="2">
        <f t="shared" si="31"/>
        <v>4.0766100000000023</v>
      </c>
      <c r="AE50" s="2">
        <f t="shared" si="32"/>
        <v>0.25816289950120841</v>
      </c>
      <c r="AF50" s="2">
        <f t="shared" si="33"/>
        <v>0.74183710049879159</v>
      </c>
      <c r="AG50" s="2">
        <f t="shared" si="34"/>
        <v>0.70488059322750984</v>
      </c>
      <c r="AH50" s="2">
        <f t="shared" si="35"/>
        <v>0.18197401774974578</v>
      </c>
      <c r="AI50" s="2">
        <f t="shared" si="36"/>
        <v>5.4952899999999971</v>
      </c>
      <c r="AJ50" s="2">
        <v>16</v>
      </c>
      <c r="AK50">
        <f t="shared" si="37"/>
        <v>11.278089491640158</v>
      </c>
    </row>
    <row r="51" spans="4:39" x14ac:dyDescent="0.35">
      <c r="D51" s="300">
        <v>10</v>
      </c>
      <c r="F51" s="13">
        <v>90.805459999999997</v>
      </c>
      <c r="G51" s="2">
        <v>93.90231</v>
      </c>
      <c r="H51" s="2">
        <f t="shared" si="22"/>
        <v>3.0968500000000034</v>
      </c>
      <c r="I51" s="2">
        <f t="shared" si="23"/>
        <v>4.0516199999999998</v>
      </c>
      <c r="J51" s="2">
        <f t="shared" si="24"/>
        <v>0.43321857684231757</v>
      </c>
      <c r="K51" s="2">
        <f t="shared" si="25"/>
        <v>0.56678142315768243</v>
      </c>
      <c r="L51" s="2">
        <f t="shared" si="26"/>
        <v>0.32290876212926001</v>
      </c>
      <c r="M51" s="2">
        <f t="shared" si="27"/>
        <v>0.13989007437955248</v>
      </c>
      <c r="N51" s="2">
        <f t="shared" si="28"/>
        <v>7.1484700000000032</v>
      </c>
      <c r="O51" s="2">
        <v>34</v>
      </c>
      <c r="P51">
        <f t="shared" si="29"/>
        <v>10.97889791239484</v>
      </c>
      <c r="Y51" s="300">
        <v>-1</v>
      </c>
      <c r="AA51" s="13">
        <v>69.717089999999999</v>
      </c>
      <c r="AB51" s="2">
        <v>71.135589999999993</v>
      </c>
      <c r="AC51" s="2">
        <f t="shared" si="30"/>
        <v>1.4184999999999945</v>
      </c>
      <c r="AD51" s="2">
        <f t="shared" si="31"/>
        <v>4.0455000000000041</v>
      </c>
      <c r="AE51" s="2">
        <f t="shared" si="32"/>
        <v>0.25960834553440609</v>
      </c>
      <c r="AF51" s="2">
        <f t="shared" si="33"/>
        <v>0.74039165446559385</v>
      </c>
      <c r="AG51" s="2">
        <f t="shared" si="34"/>
        <v>0.70497003877335485</v>
      </c>
      <c r="AH51" s="2">
        <f t="shared" si="35"/>
        <v>0.18301610541727675</v>
      </c>
      <c r="AI51" s="2">
        <f t="shared" si="36"/>
        <v>5.4639999999999986</v>
      </c>
      <c r="AJ51" s="2">
        <v>16</v>
      </c>
      <c r="AK51">
        <f t="shared" si="37"/>
        <v>11.279520620373678</v>
      </c>
    </row>
    <row r="52" spans="4:39" x14ac:dyDescent="0.35">
      <c r="D52" s="300">
        <v>10</v>
      </c>
      <c r="F52" s="13">
        <v>97.95393</v>
      </c>
      <c r="G52" s="2">
        <v>101.00357</v>
      </c>
      <c r="H52" s="2">
        <f t="shared" si="22"/>
        <v>3.0496399999999966</v>
      </c>
      <c r="I52" s="2">
        <f t="shared" si="23"/>
        <v>4.396410000000003</v>
      </c>
      <c r="J52" s="2">
        <f t="shared" si="24"/>
        <v>0.40956480281491486</v>
      </c>
      <c r="K52" s="2">
        <f t="shared" si="25"/>
        <v>0.59043519718508519</v>
      </c>
      <c r="L52" s="2">
        <f t="shared" si="26"/>
        <v>0.3279075563017278</v>
      </c>
      <c r="M52" s="2">
        <f t="shared" si="27"/>
        <v>0.13429939363823773</v>
      </c>
      <c r="N52" s="2">
        <f t="shared" si="28"/>
        <v>7.4460499999999996</v>
      </c>
      <c r="O52" s="2">
        <v>38</v>
      </c>
      <c r="P52">
        <f t="shared" si="29"/>
        <v>12.460487139465656</v>
      </c>
      <c r="Y52" s="300">
        <v>-1</v>
      </c>
      <c r="AA52" s="13">
        <v>75.181089999999998</v>
      </c>
      <c r="AB52" s="2">
        <v>76.789479999999998</v>
      </c>
      <c r="AC52" s="2">
        <f t="shared" si="30"/>
        <v>1.60839</v>
      </c>
      <c r="AD52" s="2">
        <f t="shared" si="31"/>
        <v>3.9385599999999954</v>
      </c>
      <c r="AE52" s="2">
        <f t="shared" si="32"/>
        <v>0.28995934702854748</v>
      </c>
      <c r="AF52" s="2">
        <f t="shared" si="33"/>
        <v>0.71004065297145258</v>
      </c>
      <c r="AG52" s="2">
        <f t="shared" si="34"/>
        <v>0.62173975217453481</v>
      </c>
      <c r="AH52" s="2">
        <f t="shared" si="35"/>
        <v>0.18027925256221902</v>
      </c>
      <c r="AI52" s="2">
        <f t="shared" si="36"/>
        <v>5.5469499999999954</v>
      </c>
      <c r="AJ52" s="2">
        <v>14</v>
      </c>
      <c r="AK52">
        <f t="shared" si="37"/>
        <v>8.7043565304434871</v>
      </c>
    </row>
    <row r="53" spans="4:39" x14ac:dyDescent="0.35">
      <c r="D53" s="300">
        <v>10</v>
      </c>
      <c r="F53" s="13">
        <v>105.39998</v>
      </c>
      <c r="G53" s="2">
        <v>108.47512999999999</v>
      </c>
      <c r="H53" s="2">
        <f t="shared" si="22"/>
        <v>3.0751499999999936</v>
      </c>
      <c r="I53" s="2">
        <f t="shared" si="23"/>
        <v>4.9681200000000132</v>
      </c>
      <c r="J53" s="2">
        <f t="shared" si="24"/>
        <v>0.38232584508539325</v>
      </c>
      <c r="K53" s="2">
        <f t="shared" si="25"/>
        <v>0.61767415491460675</v>
      </c>
      <c r="L53" s="2">
        <f t="shared" si="26"/>
        <v>0.32518738923304624</v>
      </c>
      <c r="M53" s="2">
        <f t="shared" si="27"/>
        <v>0.12432754339963711</v>
      </c>
      <c r="N53" s="2">
        <f t="shared" si="28"/>
        <v>8.0432700000000068</v>
      </c>
      <c r="O53" s="2">
        <v>34</v>
      </c>
      <c r="P53">
        <f t="shared" si="29"/>
        <v>11.056371233923571</v>
      </c>
      <c r="Y53" s="300">
        <v>-1</v>
      </c>
      <c r="AA53" s="13">
        <v>80.728039999999993</v>
      </c>
      <c r="AB53" s="2">
        <v>82.47936</v>
      </c>
      <c r="AC53" s="2">
        <f t="shared" si="30"/>
        <v>1.7513200000000069</v>
      </c>
      <c r="AD53" s="2">
        <f t="shared" si="31"/>
        <v>3.9291300000000007</v>
      </c>
      <c r="AE53" s="2">
        <f t="shared" si="32"/>
        <v>0.30830656021970171</v>
      </c>
      <c r="AF53" s="2">
        <f t="shared" si="33"/>
        <v>0.69169343978029829</v>
      </c>
      <c r="AG53" s="2">
        <f t="shared" si="34"/>
        <v>0.57099787588789941</v>
      </c>
      <c r="AH53" s="2">
        <f t="shared" si="35"/>
        <v>0.17604239100775443</v>
      </c>
      <c r="AI53" s="2">
        <f t="shared" si="36"/>
        <v>5.6804500000000075</v>
      </c>
      <c r="AJ53" s="2">
        <v>20</v>
      </c>
      <c r="AK53">
        <f t="shared" si="37"/>
        <v>11.41995751775799</v>
      </c>
    </row>
    <row r="54" spans="4:39" x14ac:dyDescent="0.35">
      <c r="D54" s="300">
        <v>10</v>
      </c>
      <c r="F54" s="13">
        <v>113.44325000000001</v>
      </c>
      <c r="G54" s="2">
        <v>114.55240000000001</v>
      </c>
      <c r="H54" s="2">
        <f t="shared" si="22"/>
        <v>1.1091499999999996</v>
      </c>
      <c r="I54" s="2">
        <f t="shared" si="23"/>
        <v>4.3751699999999971</v>
      </c>
      <c r="J54" s="2">
        <f t="shared" si="24"/>
        <v>0.2022402048020539</v>
      </c>
      <c r="K54" s="2">
        <f t="shared" si="25"/>
        <v>0.79775979519794604</v>
      </c>
      <c r="L54" s="2">
        <f t="shared" si="26"/>
        <v>0.90159130865978476</v>
      </c>
      <c r="M54" s="2">
        <f t="shared" si="27"/>
        <v>0.18233801091110668</v>
      </c>
      <c r="N54" s="2">
        <f t="shared" si="28"/>
        <v>5.4843199999999968</v>
      </c>
      <c r="O54" s="2">
        <v>16</v>
      </c>
      <c r="P54">
        <f t="shared" si="29"/>
        <v>14.425460938556556</v>
      </c>
      <c r="Y54" s="300">
        <v>-1</v>
      </c>
      <c r="AA54" s="13">
        <v>86.40849</v>
      </c>
      <c r="AB54" s="2">
        <v>87.922309999999996</v>
      </c>
      <c r="AC54" s="2">
        <f t="shared" si="30"/>
        <v>1.5138199999999955</v>
      </c>
      <c r="AD54" s="2">
        <f t="shared" si="31"/>
        <v>5.573369999999997</v>
      </c>
      <c r="AE54" s="2">
        <f t="shared" si="32"/>
        <v>0.2135994660789392</v>
      </c>
      <c r="AF54" s="2">
        <f t="shared" si="33"/>
        <v>0.7864005339210608</v>
      </c>
      <c r="AG54" s="2">
        <f t="shared" si="34"/>
        <v>0.66058051815936036</v>
      </c>
      <c r="AH54" s="2">
        <f t="shared" si="35"/>
        <v>0.14109964598098837</v>
      </c>
      <c r="AI54" s="2">
        <f t="shared" si="36"/>
        <v>7.0871899999999926</v>
      </c>
      <c r="AJ54" s="2">
        <v>16</v>
      </c>
      <c r="AK54">
        <f t="shared" si="37"/>
        <v>10.569288290549766</v>
      </c>
    </row>
    <row r="55" spans="4:39" x14ac:dyDescent="0.35">
      <c r="D55" s="300">
        <v>10</v>
      </c>
      <c r="F55" s="13">
        <v>118.92757</v>
      </c>
      <c r="G55" s="2">
        <v>120.0847</v>
      </c>
      <c r="H55" s="2">
        <f t="shared" si="22"/>
        <v>1.1571299999999951</v>
      </c>
      <c r="I55" s="2">
        <f t="shared" si="23"/>
        <v>7.5924399999999963</v>
      </c>
      <c r="J55" s="2">
        <f t="shared" si="24"/>
        <v>0.1322499277107328</v>
      </c>
      <c r="K55" s="2">
        <f t="shared" si="25"/>
        <v>0.86775007228926726</v>
      </c>
      <c r="L55" s="2">
        <f t="shared" si="26"/>
        <v>0.86420713316568076</v>
      </c>
      <c r="M55" s="2">
        <f t="shared" si="27"/>
        <v>0.11429133088826091</v>
      </c>
      <c r="N55" s="2">
        <f t="shared" si="28"/>
        <v>8.7495699999999914</v>
      </c>
      <c r="O55" s="2">
        <v>18</v>
      </c>
      <c r="P55">
        <f t="shared" si="29"/>
        <v>15.555728396982255</v>
      </c>
      <c r="R55" t="s">
        <v>787</v>
      </c>
      <c r="Y55" s="300">
        <v>-1</v>
      </c>
      <c r="AA55" s="13">
        <v>93.495679999999993</v>
      </c>
      <c r="AB55" s="2">
        <v>95.067779999999999</v>
      </c>
      <c r="AC55" s="2">
        <f t="shared" si="30"/>
        <v>1.572100000000006</v>
      </c>
      <c r="AD55" s="2">
        <f t="shared" si="31"/>
        <v>4.1855599999999953</v>
      </c>
      <c r="AE55" s="2">
        <f t="shared" si="32"/>
        <v>0.27304495228964643</v>
      </c>
      <c r="AF55" s="2">
        <f t="shared" si="33"/>
        <v>0.72695504771035357</v>
      </c>
      <c r="AG55" s="2">
        <f t="shared" si="34"/>
        <v>0.63609185166337778</v>
      </c>
      <c r="AH55" s="2">
        <f t="shared" si="35"/>
        <v>0.17368166928925982</v>
      </c>
      <c r="AI55" s="2">
        <f t="shared" si="36"/>
        <v>5.7576600000000013</v>
      </c>
      <c r="AJ55" s="2">
        <v>18</v>
      </c>
      <c r="AK55">
        <f t="shared" si="37"/>
        <v>11.4496533299408</v>
      </c>
    </row>
    <row r="56" spans="4:39" x14ac:dyDescent="0.35">
      <c r="D56" s="300">
        <v>0</v>
      </c>
      <c r="F56" s="13">
        <v>127.67713999999999</v>
      </c>
      <c r="G56" s="2">
        <v>130.61118999999999</v>
      </c>
      <c r="H56" s="2">
        <f t="shared" si="22"/>
        <v>2.9340499999999992</v>
      </c>
      <c r="I56" s="2">
        <f t="shared" si="23"/>
        <v>3.5439200000000142</v>
      </c>
      <c r="J56" s="2">
        <f t="shared" si="24"/>
        <v>0.45292738311538849</v>
      </c>
      <c r="K56" s="2">
        <f t="shared" si="25"/>
        <v>0.54707261688461151</v>
      </c>
      <c r="L56" s="2">
        <f t="shared" si="26"/>
        <v>0.34082582096419634</v>
      </c>
      <c r="M56" s="2">
        <f t="shared" si="27"/>
        <v>0.15436934718746737</v>
      </c>
      <c r="N56" s="2">
        <f t="shared" si="28"/>
        <v>6.4779700000000133</v>
      </c>
      <c r="O56" s="2">
        <v>24</v>
      </c>
      <c r="P56">
        <f t="shared" si="29"/>
        <v>8.1798197031407121</v>
      </c>
      <c r="Y56" s="300">
        <v>-1</v>
      </c>
      <c r="AA56" s="13">
        <v>99.253339999999994</v>
      </c>
      <c r="AB56" s="2">
        <v>100.84713000000001</v>
      </c>
      <c r="AC56" s="2">
        <f t="shared" si="30"/>
        <v>1.5937900000000127</v>
      </c>
      <c r="AD56" s="2">
        <f t="shared" si="31"/>
        <v>4.1060499999999962</v>
      </c>
      <c r="AE56" s="2">
        <f t="shared" si="32"/>
        <v>0.27962012968785266</v>
      </c>
      <c r="AF56" s="2">
        <f t="shared" si="33"/>
        <v>0.72037987031214734</v>
      </c>
      <c r="AG56" s="2">
        <f t="shared" si="34"/>
        <v>0.6274352329980688</v>
      </c>
      <c r="AH56" s="2">
        <f t="shared" si="35"/>
        <v>0.17544352122164805</v>
      </c>
      <c r="AI56" s="2">
        <f t="shared" si="36"/>
        <v>5.6998400000000089</v>
      </c>
      <c r="AJ56" s="2">
        <v>14</v>
      </c>
      <c r="AK56">
        <f t="shared" si="37"/>
        <v>8.7840932619729628</v>
      </c>
    </row>
    <row r="57" spans="4:39" x14ac:dyDescent="0.35">
      <c r="D57" s="300">
        <v>0</v>
      </c>
      <c r="F57" s="13">
        <v>134.15511000000001</v>
      </c>
      <c r="G57" s="2">
        <v>135.09144000000001</v>
      </c>
      <c r="H57" s="2">
        <f t="shared" si="22"/>
        <v>0.93632999999999811</v>
      </c>
      <c r="I57" s="2">
        <f t="shared" si="23"/>
        <v>6.2281999999999869</v>
      </c>
      <c r="J57" s="2">
        <f t="shared" si="24"/>
        <v>0.13068966142929125</v>
      </c>
      <c r="K57" s="2">
        <f t="shared" si="25"/>
        <v>0.86931033857070872</v>
      </c>
      <c r="L57" s="2">
        <f t="shared" si="26"/>
        <v>1.067999530080209</v>
      </c>
      <c r="M57" s="2">
        <f t="shared" si="27"/>
        <v>0.13957649699282468</v>
      </c>
      <c r="N57" s="2">
        <f t="shared" si="28"/>
        <v>7.164529999999985</v>
      </c>
      <c r="O57" s="2">
        <v>14</v>
      </c>
      <c r="P57">
        <f t="shared" si="29"/>
        <v>14.951993421122925</v>
      </c>
      <c r="Y57" s="300">
        <v>-1</v>
      </c>
      <c r="AA57" s="13">
        <v>104.95318</v>
      </c>
      <c r="AB57" s="2">
        <v>106.7796</v>
      </c>
      <c r="AC57" s="2">
        <f t="shared" si="30"/>
        <v>1.8264199999999988</v>
      </c>
      <c r="AD57" s="2">
        <f t="shared" si="31"/>
        <v>3.9543099999999924</v>
      </c>
      <c r="AE57" s="2">
        <f t="shared" si="32"/>
        <v>0.31594971569334696</v>
      </c>
      <c r="AF57" s="2">
        <f t="shared" si="33"/>
        <v>0.68405028430665304</v>
      </c>
      <c r="AG57" s="2">
        <f t="shared" si="34"/>
        <v>0.5475191905476291</v>
      </c>
      <c r="AH57" s="2">
        <f t="shared" si="35"/>
        <v>0.17298853259017485</v>
      </c>
      <c r="AI57" s="2">
        <f t="shared" si="36"/>
        <v>5.7807299999999913</v>
      </c>
      <c r="AJ57" s="2">
        <v>18</v>
      </c>
      <c r="AK57">
        <f t="shared" si="37"/>
        <v>9.8553454298573229</v>
      </c>
    </row>
    <row r="58" spans="4:39" x14ac:dyDescent="0.35">
      <c r="D58" s="300">
        <v>0</v>
      </c>
      <c r="F58" s="13">
        <v>141.31963999999999</v>
      </c>
      <c r="G58" s="2">
        <v>142.32694000000001</v>
      </c>
      <c r="H58" s="2">
        <f t="shared" si="22"/>
        <v>1.007300000000015</v>
      </c>
      <c r="I58" s="2">
        <f t="shared" si="23"/>
        <v>6.843609999999984</v>
      </c>
      <c r="J58" s="2">
        <f t="shared" si="24"/>
        <v>0.12830359792686646</v>
      </c>
      <c r="K58" s="2">
        <f t="shared" si="25"/>
        <v>0.87169640207313359</v>
      </c>
      <c r="L58" s="2">
        <f t="shared" si="26"/>
        <v>0.99275290380222891</v>
      </c>
      <c r="M58" s="2">
        <f t="shared" si="27"/>
        <v>0.12737376941017031</v>
      </c>
      <c r="N58" s="2">
        <f t="shared" si="28"/>
        <v>7.8509099999999989</v>
      </c>
      <c r="O58" s="2">
        <v>16</v>
      </c>
      <c r="P58">
        <f t="shared" si="29"/>
        <v>15.884046460835663</v>
      </c>
      <c r="Y58" s="300">
        <v>-1</v>
      </c>
      <c r="AA58" s="13">
        <v>110.73390999999999</v>
      </c>
      <c r="AB58" s="2">
        <v>112.51636000000001</v>
      </c>
      <c r="AC58" s="2">
        <f t="shared" si="30"/>
        <v>1.7824500000000114</v>
      </c>
      <c r="AD58" s="2">
        <f t="shared" si="31"/>
        <v>3.9318299999999908</v>
      </c>
      <c r="AE58" s="2">
        <f t="shared" si="32"/>
        <v>0.31192906192906378</v>
      </c>
      <c r="AF58" s="2">
        <f t="shared" si="33"/>
        <v>0.68807093807093622</v>
      </c>
      <c r="AG58" s="2">
        <f t="shared" si="34"/>
        <v>0.56102555471401361</v>
      </c>
      <c r="AH58" s="2">
        <f t="shared" si="35"/>
        <v>0.17500017500017492</v>
      </c>
      <c r="AI58" s="2">
        <f t="shared" si="36"/>
        <v>5.7142800000000022</v>
      </c>
      <c r="AJ58" s="2">
        <v>18</v>
      </c>
      <c r="AK58">
        <f t="shared" si="37"/>
        <v>10.098459984852246</v>
      </c>
    </row>
    <row r="59" spans="4:39" x14ac:dyDescent="0.35">
      <c r="D59" s="300">
        <v>0</v>
      </c>
      <c r="F59" s="13">
        <v>149.17054999999999</v>
      </c>
      <c r="G59" s="2">
        <v>151.70402999999999</v>
      </c>
      <c r="H59" s="2">
        <f t="shared" si="22"/>
        <v>2.5334799999999973</v>
      </c>
      <c r="I59" s="2">
        <f t="shared" si="23"/>
        <v>4.2584100000000262</v>
      </c>
      <c r="J59" s="2">
        <f t="shared" si="24"/>
        <v>0.37301546403136515</v>
      </c>
      <c r="K59" s="2">
        <f t="shared" si="25"/>
        <v>0.6269845359686349</v>
      </c>
      <c r="L59" s="2">
        <f t="shared" si="26"/>
        <v>0.39471399024267056</v>
      </c>
      <c r="M59" s="2">
        <f t="shared" si="27"/>
        <v>0.14723442223004149</v>
      </c>
      <c r="N59" s="2">
        <f t="shared" si="28"/>
        <v>6.7918900000000235</v>
      </c>
      <c r="O59" s="2">
        <v>18</v>
      </c>
      <c r="P59">
        <f t="shared" si="29"/>
        <v>7.1048518243680707</v>
      </c>
      <c r="Y59" s="300">
        <v>-1</v>
      </c>
      <c r="AA59" s="13">
        <v>116.44819</v>
      </c>
      <c r="AB59" s="2">
        <v>116.78188</v>
      </c>
      <c r="AC59" s="2">
        <f t="shared" si="30"/>
        <v>0.33369000000000426</v>
      </c>
      <c r="AD59" s="2">
        <f t="shared" si="31"/>
        <v>1.082800000000006</v>
      </c>
      <c r="AE59" s="2">
        <f t="shared" si="32"/>
        <v>0.23557525997359802</v>
      </c>
      <c r="AF59" s="2">
        <f t="shared" si="33"/>
        <v>0.76442474002640204</v>
      </c>
      <c r="AG59" s="2">
        <f t="shared" si="34"/>
        <v>2.9967934310287609</v>
      </c>
      <c r="AH59" s="2">
        <f t="shared" si="35"/>
        <v>0.70597039160177111</v>
      </c>
      <c r="AI59" s="2">
        <f t="shared" si="36"/>
        <v>1.4164900000000102</v>
      </c>
      <c r="AJ59" s="2">
        <v>6</v>
      </c>
      <c r="AK59">
        <f t="shared" si="37"/>
        <v>17.980760586172565</v>
      </c>
    </row>
    <row r="60" spans="4:39" x14ac:dyDescent="0.35">
      <c r="D60" s="300">
        <v>0</v>
      </c>
      <c r="F60" s="13">
        <v>155.96244000000002</v>
      </c>
      <c r="G60" s="2">
        <v>158.60554999999999</v>
      </c>
      <c r="H60" s="2">
        <f t="shared" si="22"/>
        <v>2.6431099999999788</v>
      </c>
      <c r="I60" s="2">
        <f t="shared" si="23"/>
        <v>3.0041800000000194</v>
      </c>
      <c r="J60" s="2">
        <f t="shared" si="24"/>
        <v>0.46803156912430205</v>
      </c>
      <c r="K60" s="2">
        <f t="shared" si="25"/>
        <v>0.53196843087569801</v>
      </c>
      <c r="L60" s="2">
        <f t="shared" si="26"/>
        <v>0.37834218023465088</v>
      </c>
      <c r="M60" s="2">
        <f t="shared" si="27"/>
        <v>0.17707608428113314</v>
      </c>
      <c r="N60" s="2">
        <f t="shared" si="28"/>
        <v>5.6472899999999981</v>
      </c>
      <c r="O60" s="2">
        <v>20</v>
      </c>
      <c r="P60">
        <f t="shared" si="29"/>
        <v>7.566843604693017</v>
      </c>
      <c r="Y60" s="300">
        <v>-1</v>
      </c>
      <c r="AA60" s="13">
        <v>117.86468000000001</v>
      </c>
      <c r="AB60" s="2">
        <v>119.50969000000001</v>
      </c>
      <c r="AC60" s="2">
        <f t="shared" si="30"/>
        <v>1.6450099999999992</v>
      </c>
      <c r="AD60" s="2">
        <f t="shared" si="31"/>
        <v>3.9401699999999948</v>
      </c>
      <c r="AE60" s="2">
        <f t="shared" si="32"/>
        <v>0.29453124160725364</v>
      </c>
      <c r="AF60" s="2">
        <f t="shared" si="33"/>
        <v>0.70546875839274636</v>
      </c>
      <c r="AG60" s="2">
        <f t="shared" si="34"/>
        <v>0.60789904012741591</v>
      </c>
      <c r="AH60" s="2">
        <f t="shared" si="35"/>
        <v>0.17904525906058552</v>
      </c>
      <c r="AI60" s="2">
        <f t="shared" si="36"/>
        <v>5.585179999999994</v>
      </c>
      <c r="AJ60" s="2">
        <v>14</v>
      </c>
      <c r="AK60">
        <f t="shared" si="37"/>
        <v>8.510586561783823</v>
      </c>
    </row>
    <row r="61" spans="4:39" x14ac:dyDescent="0.35">
      <c r="D61" s="300">
        <v>0</v>
      </c>
      <c r="F61" s="13">
        <v>161.60973000000001</v>
      </c>
      <c r="G61" s="2">
        <v>162.44138000000001</v>
      </c>
      <c r="H61" s="2">
        <f t="shared" si="22"/>
        <v>0.83164999999999623</v>
      </c>
      <c r="I61" s="2">
        <f t="shared" si="23"/>
        <v>7.2026299999999992</v>
      </c>
      <c r="J61" s="2">
        <f t="shared" si="24"/>
        <v>0.10351269808868956</v>
      </c>
      <c r="K61" s="2">
        <f t="shared" si="25"/>
        <v>0.89648730191131043</v>
      </c>
      <c r="L61" s="2">
        <f t="shared" si="26"/>
        <v>1.202428906390915</v>
      </c>
      <c r="M61" s="2">
        <f t="shared" si="27"/>
        <v>0.12446666036035595</v>
      </c>
      <c r="N61" s="2">
        <f t="shared" si="28"/>
        <v>8.0342799999999954</v>
      </c>
      <c r="O61" s="2">
        <v>12</v>
      </c>
      <c r="P61">
        <f t="shared" si="29"/>
        <v>14.429146876690981</v>
      </c>
      <c r="Y61" s="300">
        <v>0</v>
      </c>
      <c r="AA61" s="13">
        <v>123.44986</v>
      </c>
      <c r="AB61" s="2">
        <v>125.25366</v>
      </c>
      <c r="AC61" s="2">
        <f t="shared" si="30"/>
        <v>1.8037999999999954</v>
      </c>
      <c r="AD61" s="2">
        <f t="shared" si="31"/>
        <v>4.268400000000014</v>
      </c>
      <c r="AE61" s="2">
        <f t="shared" si="32"/>
        <v>0.29705872665590605</v>
      </c>
      <c r="AF61" s="2">
        <f t="shared" si="33"/>
        <v>0.70294127334409395</v>
      </c>
      <c r="AG61" s="2">
        <f t="shared" si="34"/>
        <v>0.55438518682780935</v>
      </c>
      <c r="AH61" s="2">
        <f t="shared" si="35"/>
        <v>0.16468495767596561</v>
      </c>
      <c r="AI61" s="2">
        <f t="shared" si="36"/>
        <v>6.0722000000000094</v>
      </c>
      <c r="AJ61" s="2">
        <v>11</v>
      </c>
      <c r="AK61">
        <f t="shared" si="37"/>
        <v>6.0982370551059031</v>
      </c>
      <c r="AM61" t="s">
        <v>799</v>
      </c>
    </row>
    <row r="62" spans="4:39" x14ac:dyDescent="0.35">
      <c r="D62" s="300">
        <v>0</v>
      </c>
      <c r="F62" s="13">
        <v>169.64401000000001</v>
      </c>
      <c r="G62" s="2">
        <v>172.27264</v>
      </c>
      <c r="H62" s="2">
        <f t="shared" si="22"/>
        <v>2.6286299999999869</v>
      </c>
      <c r="I62" s="2">
        <f t="shared" si="23"/>
        <v>4.0457300000000203</v>
      </c>
      <c r="J62" s="2">
        <f t="shared" si="24"/>
        <v>0.39384000863003854</v>
      </c>
      <c r="K62" s="2">
        <f t="shared" si="25"/>
        <v>0.60615999136996146</v>
      </c>
      <c r="L62" s="2">
        <f t="shared" si="26"/>
        <v>0.38042630571818969</v>
      </c>
      <c r="M62" s="2">
        <f t="shared" si="27"/>
        <v>0.14982709952714551</v>
      </c>
      <c r="N62" s="2">
        <f t="shared" si="28"/>
        <v>6.6743600000000072</v>
      </c>
      <c r="O62" s="2">
        <v>20</v>
      </c>
      <c r="P62">
        <f t="shared" si="29"/>
        <v>7.6085261143637934</v>
      </c>
      <c r="Y62" s="300">
        <v>0</v>
      </c>
      <c r="AA62" s="13">
        <v>129.52206000000001</v>
      </c>
      <c r="AB62" s="2">
        <v>131.28536</v>
      </c>
      <c r="AC62" s="2">
        <f t="shared" si="30"/>
        <v>1.7632999999999868</v>
      </c>
      <c r="AD62" s="2">
        <f t="shared" si="31"/>
        <v>4.2628100000000018</v>
      </c>
      <c r="AE62" s="2">
        <f t="shared" si="32"/>
        <v>0.29260999218401096</v>
      </c>
      <c r="AF62" s="2">
        <f t="shared" si="33"/>
        <v>0.70739000781598904</v>
      </c>
      <c r="AG62" s="2">
        <f t="shared" si="34"/>
        <v>0.56711847104860635</v>
      </c>
      <c r="AH62" s="2">
        <f t="shared" si="35"/>
        <v>0.16594453138094092</v>
      </c>
      <c r="AI62" s="2">
        <f t="shared" si="36"/>
        <v>6.0261099999999885</v>
      </c>
      <c r="AJ62" s="2">
        <v>13</v>
      </c>
      <c r="AK62">
        <f t="shared" si="37"/>
        <v>7.3725401236318824</v>
      </c>
    </row>
    <row r="63" spans="4:39" x14ac:dyDescent="0.35">
      <c r="D63" s="300">
        <v>0</v>
      </c>
      <c r="F63" s="13">
        <v>176.31837000000002</v>
      </c>
      <c r="G63" s="2">
        <v>178.82912999999999</v>
      </c>
      <c r="H63" s="2">
        <f t="shared" si="22"/>
        <v>2.5107599999999763</v>
      </c>
      <c r="I63" s="2">
        <f t="shared" si="23"/>
        <v>5.3267899999999884</v>
      </c>
      <c r="J63" s="2">
        <f t="shared" si="24"/>
        <v>0.32035010940918879</v>
      </c>
      <c r="K63" s="2">
        <f t="shared" si="25"/>
        <v>0.67964989059081116</v>
      </c>
      <c r="L63" s="2">
        <f t="shared" si="26"/>
        <v>0.39828577801144249</v>
      </c>
      <c r="M63" s="2">
        <f t="shared" si="27"/>
        <v>0.1275908925620895</v>
      </c>
      <c r="N63" s="2">
        <f t="shared" si="28"/>
        <v>7.8375499999999647</v>
      </c>
      <c r="O63" s="2">
        <v>18</v>
      </c>
      <c r="P63">
        <f t="shared" si="29"/>
        <v>7.1691440042059655</v>
      </c>
      <c r="Y63" s="300">
        <v>0</v>
      </c>
      <c r="AA63" s="13">
        <v>135.54817</v>
      </c>
      <c r="AB63" s="2">
        <v>137.14042000000001</v>
      </c>
      <c r="AC63" s="2">
        <f t="shared" si="30"/>
        <v>1.592250000000007</v>
      </c>
      <c r="AD63" s="2">
        <f t="shared" si="31"/>
        <v>4.4516199999999913</v>
      </c>
      <c r="AE63" s="2">
        <f t="shared" si="32"/>
        <v>0.26344875055221367</v>
      </c>
      <c r="AF63" s="2">
        <f t="shared" si="33"/>
        <v>0.73655124944778638</v>
      </c>
      <c r="AG63" s="2">
        <f t="shared" si="34"/>
        <v>0.62804207881927809</v>
      </c>
      <c r="AH63" s="2">
        <f t="shared" si="35"/>
        <v>0.16545690095915369</v>
      </c>
      <c r="AI63" s="2">
        <f t="shared" si="36"/>
        <v>6.0438699999999983</v>
      </c>
      <c r="AJ63" s="2">
        <v>10</v>
      </c>
      <c r="AK63">
        <f t="shared" si="37"/>
        <v>6.2804207881927807</v>
      </c>
    </row>
    <row r="64" spans="4:39" x14ac:dyDescent="0.35">
      <c r="D64" s="300">
        <v>0</v>
      </c>
      <c r="F64" s="13">
        <v>184.15591999999998</v>
      </c>
      <c r="G64" s="2">
        <v>185.34463</v>
      </c>
      <c r="H64" s="2">
        <f t="shared" si="22"/>
        <v>1.1887100000000146</v>
      </c>
      <c r="I64" s="2">
        <f t="shared" si="23"/>
        <v>4.5234300000000189</v>
      </c>
      <c r="J64" s="2">
        <f t="shared" si="24"/>
        <v>0.2081023924483657</v>
      </c>
      <c r="K64" s="2">
        <f t="shared" si="25"/>
        <v>0.7918976075516343</v>
      </c>
      <c r="L64" s="2">
        <f t="shared" si="26"/>
        <v>0.84124807564501669</v>
      </c>
      <c r="M64" s="2">
        <f t="shared" si="27"/>
        <v>0.17506573718431168</v>
      </c>
      <c r="N64" s="2">
        <f t="shared" si="28"/>
        <v>5.7121400000000335</v>
      </c>
      <c r="O64" s="2">
        <v>16</v>
      </c>
      <c r="P64">
        <f t="shared" si="29"/>
        <v>13.459969210320267</v>
      </c>
      <c r="Y64" s="300">
        <v>0</v>
      </c>
      <c r="AA64" s="13">
        <v>141.59204</v>
      </c>
      <c r="AB64" s="2">
        <v>143.31004999999999</v>
      </c>
      <c r="AC64" s="2">
        <f t="shared" si="30"/>
        <v>1.7180099999999925</v>
      </c>
      <c r="AD64" s="2">
        <f t="shared" si="31"/>
        <v>4.367590000000007</v>
      </c>
      <c r="AE64" s="2">
        <f t="shared" si="32"/>
        <v>0.28230741422374006</v>
      </c>
      <c r="AF64" s="2">
        <f t="shared" si="33"/>
        <v>0.71769258577625994</v>
      </c>
      <c r="AG64" s="2">
        <f t="shared" si="34"/>
        <v>0.58206878888947355</v>
      </c>
      <c r="AH64" s="2">
        <f t="shared" si="35"/>
        <v>0.16432233469173133</v>
      </c>
      <c r="AI64" s="2">
        <f t="shared" si="36"/>
        <v>6.0855999999999995</v>
      </c>
      <c r="AJ64" s="2">
        <v>10</v>
      </c>
      <c r="AK64">
        <f t="shared" si="37"/>
        <v>5.8206878888947351</v>
      </c>
    </row>
    <row r="65" spans="4:37" x14ac:dyDescent="0.35">
      <c r="D65" s="300">
        <v>0</v>
      </c>
      <c r="F65" s="13">
        <v>189.86806000000001</v>
      </c>
      <c r="G65" s="2">
        <v>190.85890999999998</v>
      </c>
      <c r="H65" s="2">
        <f t="shared" si="22"/>
        <v>0.99084999999996626</v>
      </c>
      <c r="I65" s="2">
        <f t="shared" si="23"/>
        <v>8.3750100000000316</v>
      </c>
      <c r="J65" s="2">
        <f t="shared" si="24"/>
        <v>0.1057938085771052</v>
      </c>
      <c r="K65" s="2">
        <f t="shared" si="25"/>
        <v>0.89420619142289481</v>
      </c>
      <c r="L65" s="2">
        <f t="shared" si="26"/>
        <v>1.0092344956350952</v>
      </c>
      <c r="M65" s="2">
        <f t="shared" si="27"/>
        <v>0.10677076104063057</v>
      </c>
      <c r="N65" s="2">
        <f t="shared" si="28"/>
        <v>9.3658599999999979</v>
      </c>
      <c r="O65" s="2">
        <v>14</v>
      </c>
      <c r="P65">
        <f t="shared" si="29"/>
        <v>14.129282938891333</v>
      </c>
      <c r="Y65" s="300">
        <v>0</v>
      </c>
      <c r="AA65" s="13">
        <v>147.67764</v>
      </c>
      <c r="AB65" s="2">
        <v>149.58408</v>
      </c>
      <c r="AC65" s="2">
        <f t="shared" si="30"/>
        <v>1.9064400000000035</v>
      </c>
      <c r="AD65" s="2">
        <f t="shared" si="31"/>
        <v>2.7754899999999907</v>
      </c>
      <c r="AE65" s="2">
        <f t="shared" si="32"/>
        <v>0.40719105155352725</v>
      </c>
      <c r="AF65" s="2">
        <f t="shared" si="33"/>
        <v>0.59280894844647269</v>
      </c>
      <c r="AG65" s="2">
        <f t="shared" si="34"/>
        <v>0.52453788212584618</v>
      </c>
      <c r="AH65" s="2">
        <f t="shared" si="35"/>
        <v>0.21358713180248343</v>
      </c>
      <c r="AI65" s="2">
        <f t="shared" si="36"/>
        <v>4.6819299999999942</v>
      </c>
      <c r="AJ65" s="2">
        <v>14</v>
      </c>
      <c r="AK65">
        <f t="shared" si="37"/>
        <v>7.3435303497618465</v>
      </c>
    </row>
    <row r="66" spans="4:37" x14ac:dyDescent="0.35">
      <c r="D66" s="300">
        <v>0</v>
      </c>
      <c r="F66" s="13">
        <v>199.23392000000001</v>
      </c>
      <c r="G66" s="2">
        <v>200.52026999999998</v>
      </c>
      <c r="H66" s="2">
        <f t="shared" si="22"/>
        <v>1.2863499999999704</v>
      </c>
      <c r="I66" s="2">
        <f t="shared" si="23"/>
        <v>5.2308800000000133</v>
      </c>
      <c r="J66" s="2">
        <f t="shared" si="24"/>
        <v>0.1973767996526091</v>
      </c>
      <c r="K66" s="2">
        <f t="shared" si="25"/>
        <v>0.80262320034739087</v>
      </c>
      <c r="L66" s="2">
        <f t="shared" si="26"/>
        <v>0.77739339993005252</v>
      </c>
      <c r="M66" s="2">
        <f t="shared" si="27"/>
        <v>0.15343942134925459</v>
      </c>
      <c r="N66" s="2">
        <f t="shared" si="28"/>
        <v>6.5172299999999836</v>
      </c>
      <c r="O66" s="2">
        <v>20</v>
      </c>
      <c r="P66">
        <f t="shared" si="29"/>
        <v>15.547867998601051</v>
      </c>
      <c r="Y66" s="300">
        <v>0</v>
      </c>
      <c r="AA66" s="13">
        <v>152.35956999999999</v>
      </c>
      <c r="AB66" s="2">
        <v>154.04079000000002</v>
      </c>
      <c r="AC66" s="2">
        <f t="shared" si="30"/>
        <v>1.6812200000000246</v>
      </c>
      <c r="AD66" s="2">
        <f t="shared" si="31"/>
        <v>2.9287499999999795</v>
      </c>
      <c r="AE66" s="2">
        <f t="shared" si="32"/>
        <v>0.36469217804020915</v>
      </c>
      <c r="AF66" s="2">
        <f t="shared" si="33"/>
        <v>0.63530782195979085</v>
      </c>
      <c r="AG66" s="2">
        <f t="shared" si="34"/>
        <v>0.59480615267483461</v>
      </c>
      <c r="AH66" s="2">
        <f t="shared" si="35"/>
        <v>0.21692115133070261</v>
      </c>
      <c r="AI66" s="2">
        <f t="shared" si="36"/>
        <v>4.6099700000000041</v>
      </c>
      <c r="AJ66" s="2">
        <v>9</v>
      </c>
      <c r="AK66">
        <f t="shared" si="37"/>
        <v>5.3532553740735107</v>
      </c>
    </row>
    <row r="67" spans="4:37" x14ac:dyDescent="0.35">
      <c r="D67" s="300">
        <v>0</v>
      </c>
      <c r="F67" s="13">
        <v>205.75115</v>
      </c>
      <c r="G67" s="2">
        <v>206.30885000000001</v>
      </c>
      <c r="H67" s="2">
        <f t="shared" si="22"/>
        <v>0.55770000000001119</v>
      </c>
      <c r="I67" s="2">
        <f t="shared" si="23"/>
        <v>2.0664899999999875</v>
      </c>
      <c r="J67" s="2">
        <f t="shared" si="24"/>
        <v>0.21252272129686167</v>
      </c>
      <c r="K67" s="2">
        <f t="shared" si="25"/>
        <v>0.78747727870313833</v>
      </c>
      <c r="L67" s="2">
        <f t="shared" si="26"/>
        <v>1.7930787161556032</v>
      </c>
      <c r="M67" s="2">
        <f t="shared" si="27"/>
        <v>0.38106996825687184</v>
      </c>
      <c r="N67" s="2">
        <f t="shared" si="28"/>
        <v>2.6241899999999987</v>
      </c>
      <c r="O67" s="2">
        <v>8</v>
      </c>
      <c r="P67">
        <f t="shared" si="29"/>
        <v>14.344629729244826</v>
      </c>
      <c r="Y67" s="300">
        <v>0</v>
      </c>
      <c r="AA67" s="13">
        <v>156.96953999999999</v>
      </c>
      <c r="AB67" s="2">
        <v>158.60163</v>
      </c>
      <c r="AC67" s="2">
        <f t="shared" si="30"/>
        <v>1.6320900000000051</v>
      </c>
      <c r="AD67" s="2">
        <f t="shared" si="31"/>
        <v>4.5846099999999979</v>
      </c>
      <c r="AE67" s="2">
        <f t="shared" si="32"/>
        <v>0.26253317676580895</v>
      </c>
      <c r="AF67" s="2">
        <f t="shared" si="33"/>
        <v>0.7374668232341911</v>
      </c>
      <c r="AG67" s="2">
        <f t="shared" si="34"/>
        <v>0.61271130881262481</v>
      </c>
      <c r="AH67" s="2">
        <f t="shared" si="35"/>
        <v>0.16085704634291498</v>
      </c>
      <c r="AI67" s="2">
        <f t="shared" si="36"/>
        <v>6.216700000000003</v>
      </c>
      <c r="AJ67" s="2">
        <v>11</v>
      </c>
      <c r="AK67">
        <f t="shared" si="37"/>
        <v>6.7398243969388734</v>
      </c>
    </row>
    <row r="68" spans="4:37" x14ac:dyDescent="0.35">
      <c r="D68" s="300">
        <v>0</v>
      </c>
      <c r="F68" s="13">
        <v>208.37533999999999</v>
      </c>
      <c r="G68" s="2">
        <v>209.41433000000001</v>
      </c>
      <c r="H68" s="2">
        <f t="shared" si="22"/>
        <v>1.0389900000000125</v>
      </c>
      <c r="I68" s="2">
        <f t="shared" si="23"/>
        <v>7.0209199999999896</v>
      </c>
      <c r="J68" s="2">
        <f t="shared" si="24"/>
        <v>0.12890838731450008</v>
      </c>
      <c r="K68" s="2">
        <f t="shared" si="25"/>
        <v>0.87109161268549995</v>
      </c>
      <c r="L68" s="2">
        <f t="shared" si="26"/>
        <v>0.96247317106034513</v>
      </c>
      <c r="M68" s="2">
        <f t="shared" si="27"/>
        <v>0.12407086431486204</v>
      </c>
      <c r="N68" s="2">
        <f t="shared" si="28"/>
        <v>8.0599100000000021</v>
      </c>
      <c r="O68" s="2">
        <v>14</v>
      </c>
      <c r="P68">
        <f t="shared" si="29"/>
        <v>13.474624394844831</v>
      </c>
      <c r="Y68" s="300">
        <v>0</v>
      </c>
      <c r="AA68" s="13">
        <v>163.18624</v>
      </c>
      <c r="AB68" s="2">
        <v>165.13569999999999</v>
      </c>
      <c r="AC68" s="2">
        <f t="shared" ref="AC68:AC80" si="38">AB68-AA68</f>
        <v>1.9494599999999878</v>
      </c>
      <c r="AD68" s="2">
        <f t="shared" ref="AD68:AD79" si="39">AA69-AB68</f>
        <v>4.3094000000000108</v>
      </c>
      <c r="AE68" s="2">
        <f t="shared" ref="AE68:AE79" si="40">AC68/AI68</f>
        <v>0.3114720572116948</v>
      </c>
      <c r="AF68" s="2">
        <f t="shared" ref="AF68:AF79" si="41">AD68/AI68</f>
        <v>0.6885279427883052</v>
      </c>
      <c r="AG68" s="2">
        <f t="shared" ref="AG68:AG79" si="42">1/AC68</f>
        <v>0.51296256399208306</v>
      </c>
      <c r="AH68" s="2">
        <f t="shared" si="35"/>
        <v>0.15977350507919977</v>
      </c>
      <c r="AI68" s="2">
        <f t="shared" ref="AI68:AI79" si="43">AC68+AD68</f>
        <v>6.2588599999999985</v>
      </c>
      <c r="AJ68" s="2">
        <v>12</v>
      </c>
      <c r="AK68">
        <f t="shared" si="37"/>
        <v>6.1555507679049972</v>
      </c>
    </row>
    <row r="69" spans="4:37" x14ac:dyDescent="0.35">
      <c r="D69" s="300">
        <v>0</v>
      </c>
      <c r="F69" s="13">
        <v>216.43525</v>
      </c>
      <c r="G69" s="2">
        <v>217.46785</v>
      </c>
      <c r="H69" s="2">
        <f t="shared" si="22"/>
        <v>1.0326000000000022</v>
      </c>
      <c r="I69" s="2">
        <f t="shared" si="23"/>
        <v>8.7009800000000155</v>
      </c>
      <c r="J69" s="2">
        <f>H69/N69</f>
        <v>0.10608635260613261</v>
      </c>
      <c r="K69" s="2">
        <f>I69/N69</f>
        <v>0.89391364739386736</v>
      </c>
      <c r="L69" s="2">
        <f>1/H69</f>
        <v>0.96842920782490594</v>
      </c>
      <c r="M69" s="2">
        <f>1/N69</f>
        <v>0.10273712241539065</v>
      </c>
      <c r="N69" s="2">
        <f>H69+I69</f>
        <v>9.7335800000000177</v>
      </c>
      <c r="O69" s="2">
        <v>16</v>
      </c>
      <c r="P69">
        <f>O69/H69</f>
        <v>15.494867325198495</v>
      </c>
      <c r="Y69" s="300">
        <v>0</v>
      </c>
      <c r="AA69" s="13">
        <v>169.4451</v>
      </c>
      <c r="AB69" s="2">
        <v>171.28255999999999</v>
      </c>
      <c r="AC69" s="2">
        <f t="shared" si="38"/>
        <v>1.837459999999993</v>
      </c>
      <c r="AD69" s="2">
        <f t="shared" si="39"/>
        <v>4.3238800000000026</v>
      </c>
      <c r="AE69" s="2">
        <f t="shared" si="40"/>
        <v>0.29822408761730312</v>
      </c>
      <c r="AF69" s="2">
        <f t="shared" si="41"/>
        <v>0.70177591238269688</v>
      </c>
      <c r="AG69" s="2">
        <f t="shared" si="42"/>
        <v>0.54422953424836662</v>
      </c>
      <c r="AH69" s="2">
        <f t="shared" si="35"/>
        <v>0.16230235630560896</v>
      </c>
      <c r="AI69" s="2">
        <f t="shared" si="43"/>
        <v>6.1613399999999956</v>
      </c>
      <c r="AJ69" s="2">
        <v>12</v>
      </c>
      <c r="AK69">
        <f t="shared" si="37"/>
        <v>6.5307544109803999</v>
      </c>
    </row>
    <row r="70" spans="4:37" x14ac:dyDescent="0.35">
      <c r="D70" s="300">
        <v>0</v>
      </c>
      <c r="F70" s="13">
        <v>226.16883000000001</v>
      </c>
      <c r="G70" s="2">
        <v>227.32776000000001</v>
      </c>
      <c r="H70" s="2">
        <f>G70-F70</f>
        <v>1.158929999999998</v>
      </c>
      <c r="I70" s="2">
        <f>F71-G70</f>
        <v>4.5075400000000059</v>
      </c>
      <c r="J70" s="2">
        <f>H70/N70</f>
        <v>0.20452415701486062</v>
      </c>
      <c r="K70" s="2">
        <f>I70/N70</f>
        <v>0.7954758429851394</v>
      </c>
      <c r="L70" s="2">
        <f>1/H70</f>
        <v>0.8628648839878178</v>
      </c>
      <c r="M70" s="2">
        <f t="shared" si="27"/>
        <v>0.17647671301533394</v>
      </c>
      <c r="N70" s="2">
        <f>H70+I70</f>
        <v>5.6664700000000039</v>
      </c>
      <c r="O70" s="2">
        <v>18</v>
      </c>
      <c r="P70">
        <f>O70/H70</f>
        <v>15.531567911780721</v>
      </c>
      <c r="Y70" s="300">
        <v>0</v>
      </c>
      <c r="AA70" s="13">
        <v>175.60643999999999</v>
      </c>
      <c r="AB70" s="2">
        <v>177.45874000000001</v>
      </c>
      <c r="AC70" s="2">
        <f t="shared" si="38"/>
        <v>1.8523000000000138</v>
      </c>
      <c r="AD70" s="2">
        <f t="shared" si="39"/>
        <v>4.4254899999999964</v>
      </c>
      <c r="AE70" s="2">
        <f t="shared" si="40"/>
        <v>0.29505606272271145</v>
      </c>
      <c r="AF70" s="2">
        <f t="shared" si="41"/>
        <v>0.70494393727728855</v>
      </c>
      <c r="AG70" s="2">
        <f t="shared" si="42"/>
        <v>0.53986935161690464</v>
      </c>
      <c r="AH70" s="2">
        <f t="shared" si="35"/>
        <v>0.15929172527274699</v>
      </c>
      <c r="AI70" s="2">
        <f t="shared" si="43"/>
        <v>6.2777900000000102</v>
      </c>
      <c r="AJ70" s="2">
        <v>12</v>
      </c>
      <c r="AK70">
        <f t="shared" si="37"/>
        <v>6.4784322194028565</v>
      </c>
    </row>
    <row r="71" spans="4:37" x14ac:dyDescent="0.35">
      <c r="D71" s="300">
        <v>0</v>
      </c>
      <c r="F71" s="13">
        <v>231.83530000000002</v>
      </c>
      <c r="G71" s="2">
        <v>232.66068999999999</v>
      </c>
      <c r="H71" s="2">
        <f>G71-F71</f>
        <v>0.82538999999997031</v>
      </c>
      <c r="I71" s="2">
        <f>F72-G71</f>
        <v>3.8424300000000073</v>
      </c>
      <c r="J71" s="2">
        <f>H71/N71</f>
        <v>0.17682558453410249</v>
      </c>
      <c r="K71" s="2">
        <f>I71/N71</f>
        <v>0.82317441546589754</v>
      </c>
      <c r="L71" s="2">
        <f>1/H71</f>
        <v>1.2115484801124752</v>
      </c>
      <c r="M71" s="2">
        <f t="shared" si="27"/>
        <v>0.21423276818729189</v>
      </c>
      <c r="N71" s="2">
        <f>H71+I71</f>
        <v>4.6678199999999777</v>
      </c>
      <c r="O71" s="2">
        <v>12</v>
      </c>
      <c r="P71">
        <f>O71/H71</f>
        <v>14.538581761349704</v>
      </c>
      <c r="Y71" s="300">
        <v>0</v>
      </c>
      <c r="AA71" s="13">
        <v>181.88423</v>
      </c>
      <c r="AB71" s="2">
        <v>183.5162</v>
      </c>
      <c r="AC71" s="2">
        <f t="shared" si="38"/>
        <v>1.6319699999999955</v>
      </c>
      <c r="AD71" s="2">
        <f t="shared" si="39"/>
        <v>4.502759999999995</v>
      </c>
      <c r="AE71" s="2">
        <f t="shared" si="40"/>
        <v>0.26602148749822696</v>
      </c>
      <c r="AF71" s="2">
        <f t="shared" si="41"/>
        <v>0.73397851250177304</v>
      </c>
      <c r="AG71" s="2">
        <f t="shared" si="42"/>
        <v>0.61275636194292959</v>
      </c>
      <c r="AH71" s="2">
        <f t="shared" si="35"/>
        <v>0.16300635887806009</v>
      </c>
      <c r="AI71" s="2">
        <f t="shared" si="43"/>
        <v>6.1347299999999905</v>
      </c>
      <c r="AJ71" s="2">
        <v>10</v>
      </c>
      <c r="AK71">
        <f>AJ71/AC71</f>
        <v>6.1275636194292957</v>
      </c>
    </row>
    <row r="72" spans="4:37" x14ac:dyDescent="0.35">
      <c r="D72" s="300">
        <v>0</v>
      </c>
      <c r="F72" s="13">
        <v>236.50312</v>
      </c>
      <c r="G72" s="2">
        <v>237.07924</v>
      </c>
      <c r="H72" s="2">
        <f>G72-F72</f>
        <v>0.57612000000000307</v>
      </c>
      <c r="I72" s="2">
        <f>F73-G72</f>
        <v>1.8026200000000188</v>
      </c>
      <c r="J72" s="2">
        <f>H72/N72</f>
        <v>0.24219544801029022</v>
      </c>
      <c r="K72" s="2">
        <f>I72/N72</f>
        <v>0.75780455198970975</v>
      </c>
      <c r="L72" s="2">
        <f>1/H72</f>
        <v>1.7357494966326368</v>
      </c>
      <c r="M72" s="2">
        <f t="shared" si="27"/>
        <v>0.42039062697057722</v>
      </c>
      <c r="N72" s="2">
        <f>H72+I72</f>
        <v>2.3787400000000218</v>
      </c>
      <c r="O72" s="2">
        <v>8</v>
      </c>
      <c r="P72">
        <f>O72/H72</f>
        <v>13.885995973061094</v>
      </c>
      <c r="Y72" s="300">
        <v>0</v>
      </c>
      <c r="AA72" s="13">
        <v>188.01895999999999</v>
      </c>
      <c r="AB72" s="2">
        <v>190.00331</v>
      </c>
      <c r="AC72" s="2">
        <f t="shared" si="38"/>
        <v>1.9843500000000063</v>
      </c>
      <c r="AD72" s="2">
        <f t="shared" si="39"/>
        <v>4.3336400000000026</v>
      </c>
      <c r="AE72" s="2">
        <f t="shared" si="40"/>
        <v>0.31407931953042084</v>
      </c>
      <c r="AF72" s="2">
        <f t="shared" si="41"/>
        <v>0.68592068046957921</v>
      </c>
      <c r="AG72" s="2">
        <f t="shared" si="42"/>
        <v>0.50394335676669788</v>
      </c>
      <c r="AH72" s="2">
        <f t="shared" si="35"/>
        <v>0.15827818657516055</v>
      </c>
      <c r="AI72" s="2">
        <f t="shared" si="43"/>
        <v>6.3179900000000089</v>
      </c>
      <c r="AJ72" s="2">
        <v>14</v>
      </c>
      <c r="AK72">
        <f t="shared" ref="AK72:AK79" si="44">AJ72/AC72</f>
        <v>7.0552069947337692</v>
      </c>
    </row>
    <row r="73" spans="4:37" x14ac:dyDescent="0.35">
      <c r="D73" s="300">
        <v>0</v>
      </c>
      <c r="F73" s="13">
        <v>238.88186000000002</v>
      </c>
      <c r="G73" s="2">
        <v>239.76472000000001</v>
      </c>
      <c r="H73" s="2">
        <f>G73-F73</f>
        <v>0.88285999999999376</v>
      </c>
      <c r="I73" s="2"/>
      <c r="J73" s="2"/>
      <c r="K73" s="2"/>
      <c r="L73" s="2"/>
      <c r="M73" s="2"/>
      <c r="N73" s="2"/>
      <c r="O73" s="2"/>
      <c r="Y73" s="300">
        <v>0</v>
      </c>
      <c r="AA73" s="13">
        <v>194.33695</v>
      </c>
      <c r="AB73" s="2">
        <v>196.16012000000001</v>
      </c>
      <c r="AC73" s="2">
        <f t="shared" si="38"/>
        <v>1.8231700000000046</v>
      </c>
      <c r="AD73" s="2">
        <f t="shared" si="39"/>
        <v>4.4459400000000073</v>
      </c>
      <c r="AE73" s="2">
        <f t="shared" si="40"/>
        <v>0.29081799489879762</v>
      </c>
      <c r="AF73" s="2">
        <f t="shared" si="41"/>
        <v>0.70918200510120233</v>
      </c>
      <c r="AG73" s="2">
        <f t="shared" si="42"/>
        <v>0.5484952034094448</v>
      </c>
      <c r="AH73" s="2">
        <f t="shared" si="35"/>
        <v>0.15951227526714287</v>
      </c>
      <c r="AI73" s="2">
        <f t="shared" si="43"/>
        <v>6.269110000000012</v>
      </c>
      <c r="AJ73" s="2">
        <v>13</v>
      </c>
      <c r="AK73">
        <f t="shared" si="44"/>
        <v>7.1304376443227824</v>
      </c>
    </row>
    <row r="74" spans="4:37" x14ac:dyDescent="0.35">
      <c r="D74" s="291"/>
      <c r="F74" s="13"/>
      <c r="G74" s="2"/>
      <c r="H74" s="2"/>
      <c r="I74" s="2"/>
      <c r="J74" s="2"/>
      <c r="K74" s="2"/>
      <c r="L74" s="2"/>
      <c r="M74" s="2"/>
      <c r="N74" s="2"/>
      <c r="O74" s="2"/>
      <c r="Y74" s="300">
        <v>0</v>
      </c>
      <c r="AA74" s="13">
        <v>200.60606000000001</v>
      </c>
      <c r="AB74" s="2">
        <v>202.35448</v>
      </c>
      <c r="AC74" s="2">
        <f t="shared" si="38"/>
        <v>1.7484199999999817</v>
      </c>
      <c r="AD74" s="2">
        <f t="shared" si="39"/>
        <v>4.5556600000000174</v>
      </c>
      <c r="AE74" s="2">
        <f t="shared" si="40"/>
        <v>0.27734736868821175</v>
      </c>
      <c r="AF74" s="2">
        <f t="shared" si="41"/>
        <v>0.72265263131178825</v>
      </c>
      <c r="AG74" s="2">
        <f t="shared" si="42"/>
        <v>0.57194495601743889</v>
      </c>
      <c r="AH74" s="2">
        <f t="shared" si="35"/>
        <v>0.15862742858593168</v>
      </c>
      <c r="AI74" s="2">
        <f t="shared" si="43"/>
        <v>6.304079999999999</v>
      </c>
      <c r="AJ74" s="2">
        <v>11</v>
      </c>
      <c r="AK74">
        <f t="shared" si="44"/>
        <v>6.2913945161918274</v>
      </c>
    </row>
    <row r="75" spans="4:37" x14ac:dyDescent="0.35">
      <c r="F75" s="13"/>
      <c r="H75" s="2"/>
      <c r="I75" s="2"/>
      <c r="J75" s="2"/>
      <c r="K75" s="2"/>
      <c r="L75" s="2"/>
      <c r="M75" s="2"/>
      <c r="N75" s="2"/>
      <c r="O75" s="2"/>
      <c r="Y75" s="300">
        <v>0</v>
      </c>
      <c r="AA75" s="13">
        <v>206.91014000000001</v>
      </c>
      <c r="AB75" s="2">
        <v>208.65827000000002</v>
      </c>
      <c r="AC75" s="2">
        <f t="shared" si="38"/>
        <v>1.7481300000000033</v>
      </c>
      <c r="AD75" s="2">
        <f t="shared" si="39"/>
        <v>4.5268499999999676</v>
      </c>
      <c r="AE75" s="2">
        <f t="shared" si="40"/>
        <v>0.27858734211105235</v>
      </c>
      <c r="AF75" s="2">
        <f t="shared" si="41"/>
        <v>0.72141265788894759</v>
      </c>
      <c r="AG75" s="2">
        <f t="shared" si="42"/>
        <v>0.57203983685423743</v>
      </c>
      <c r="AH75" s="2">
        <f t="shared" si="35"/>
        <v>0.15936305773086204</v>
      </c>
      <c r="AI75" s="2">
        <f t="shared" si="43"/>
        <v>6.2749799999999709</v>
      </c>
      <c r="AJ75" s="2">
        <v>13</v>
      </c>
      <c r="AK75">
        <f t="shared" si="44"/>
        <v>7.4365178791050868</v>
      </c>
    </row>
    <row r="76" spans="4:37" ht="16" thickBot="1" x14ac:dyDescent="0.4">
      <c r="F76" s="13"/>
      <c r="G76" s="13"/>
      <c r="H76" s="9" t="s">
        <v>3</v>
      </c>
      <c r="I76" s="9" t="s">
        <v>4</v>
      </c>
      <c r="J76" s="9" t="s">
        <v>5</v>
      </c>
      <c r="K76" s="9" t="s">
        <v>6</v>
      </c>
      <c r="L76" s="9" t="s">
        <v>7</v>
      </c>
      <c r="M76" s="9" t="s">
        <v>8</v>
      </c>
      <c r="N76" s="9" t="s">
        <v>9</v>
      </c>
      <c r="O76" s="9" t="s">
        <v>10</v>
      </c>
      <c r="P76" s="44" t="s">
        <v>139</v>
      </c>
      <c r="Y76" s="300">
        <v>0</v>
      </c>
      <c r="AA76" s="13">
        <v>213.18511999999998</v>
      </c>
      <c r="AB76" s="2">
        <v>215.00542000000002</v>
      </c>
      <c r="AC76" s="2">
        <f t="shared" si="38"/>
        <v>1.8203000000000316</v>
      </c>
      <c r="AD76" s="2">
        <f t="shared" si="39"/>
        <v>4.4981699999999876</v>
      </c>
      <c r="AE76" s="2">
        <f t="shared" si="40"/>
        <v>0.28809189566461912</v>
      </c>
      <c r="AF76" s="2">
        <f t="shared" si="41"/>
        <v>0.71190810433538088</v>
      </c>
      <c r="AG76" s="2">
        <f t="shared" si="42"/>
        <v>0.54935999560511051</v>
      </c>
      <c r="AH76" s="2">
        <f t="shared" si="35"/>
        <v>0.15826616253618311</v>
      </c>
      <c r="AI76" s="2">
        <f t="shared" si="43"/>
        <v>6.3184700000000191</v>
      </c>
      <c r="AJ76" s="2">
        <v>12</v>
      </c>
      <c r="AK76">
        <f t="shared" si="44"/>
        <v>6.5923199472613261</v>
      </c>
    </row>
    <row r="77" spans="4:37" x14ac:dyDescent="0.35">
      <c r="E77" s="104" t="s">
        <v>414</v>
      </c>
      <c r="F77" s="13"/>
      <c r="G77" s="49" t="s">
        <v>77</v>
      </c>
      <c r="H77" s="13">
        <f>AVERAGE(H39:H55)</f>
        <v>2.7870899999999996</v>
      </c>
      <c r="I77" s="13">
        <f t="shared" ref="I77:P77" si="45">AVERAGE(I39:I55)</f>
        <v>4.6291105882352941</v>
      </c>
      <c r="J77" s="13">
        <f t="shared" si="45"/>
        <v>0.40349848884434736</v>
      </c>
      <c r="K77" s="13">
        <f t="shared" si="45"/>
        <v>0.59650151115565275</v>
      </c>
      <c r="L77" s="13">
        <f t="shared" si="45"/>
        <v>0.4223128825744788</v>
      </c>
      <c r="M77" s="13">
        <f t="shared" si="45"/>
        <v>0.14847533999728707</v>
      </c>
      <c r="N77" s="13">
        <f t="shared" si="45"/>
        <v>7.4162005882352942</v>
      </c>
      <c r="O77" s="13">
        <f t="shared" si="45"/>
        <v>30.823529411764707</v>
      </c>
      <c r="P77" s="13">
        <f t="shared" si="45"/>
        <v>11.244660275490707</v>
      </c>
      <c r="Y77" s="300">
        <v>0</v>
      </c>
      <c r="AA77" s="13">
        <v>219.50359</v>
      </c>
      <c r="AB77" s="2">
        <v>221.46251000000001</v>
      </c>
      <c r="AC77" s="2">
        <f t="shared" si="38"/>
        <v>1.9589200000000062</v>
      </c>
      <c r="AD77" s="2">
        <f t="shared" si="39"/>
        <v>4.433400000000006</v>
      </c>
      <c r="AE77" s="2">
        <f t="shared" si="40"/>
        <v>0.30644898878654425</v>
      </c>
      <c r="AF77" s="2">
        <f t="shared" si="41"/>
        <v>0.69355101121345575</v>
      </c>
      <c r="AG77" s="2">
        <f t="shared" si="42"/>
        <v>0.51048536948930878</v>
      </c>
      <c r="AH77" s="2">
        <f t="shared" si="35"/>
        <v>0.1564377252703241</v>
      </c>
      <c r="AI77" s="2">
        <f t="shared" si="43"/>
        <v>6.3923200000000122</v>
      </c>
      <c r="AJ77" s="2">
        <v>11</v>
      </c>
      <c r="AK77">
        <f t="shared" si="44"/>
        <v>5.6153390643823968</v>
      </c>
    </row>
    <row r="78" spans="4:37" x14ac:dyDescent="0.35">
      <c r="E78" s="104"/>
      <c r="F78" s="13"/>
      <c r="G78" s="49" t="s">
        <v>94</v>
      </c>
      <c r="H78" s="2">
        <f>_xlfn.STDEV.S(H39:H55)</f>
        <v>0.92480294759883996</v>
      </c>
      <c r="I78" s="2">
        <f t="shared" ref="I78:P78" si="46">_xlfn.STDEV.S(I39:I55)</f>
        <v>2.3925358934101459</v>
      </c>
      <c r="J78" s="2">
        <f t="shared" si="46"/>
        <v>0.15078496257564911</v>
      </c>
      <c r="K78" s="2">
        <f t="shared" si="46"/>
        <v>0.1507849625756493</v>
      </c>
      <c r="L78" s="2">
        <f t="shared" si="46"/>
        <v>0.21833283615441396</v>
      </c>
      <c r="M78" s="2">
        <f t="shared" si="46"/>
        <v>4.4334328027570508E-2</v>
      </c>
      <c r="N78" s="2">
        <f t="shared" si="46"/>
        <v>2.5721751701586899</v>
      </c>
      <c r="O78" s="2">
        <f t="shared" si="46"/>
        <v>13.436123390498684</v>
      </c>
      <c r="P78" s="2">
        <f t="shared" si="46"/>
        <v>2.7312495536045751</v>
      </c>
      <c r="Y78" s="300">
        <v>0</v>
      </c>
      <c r="AA78" s="13">
        <v>225.89591000000001</v>
      </c>
      <c r="AB78" s="2">
        <v>227.67180999999999</v>
      </c>
      <c r="AC78" s="2">
        <f t="shared" si="38"/>
        <v>1.7758999999999787</v>
      </c>
      <c r="AD78" s="2">
        <f t="shared" si="39"/>
        <v>4.4759999999999991</v>
      </c>
      <c r="AE78" s="2">
        <f t="shared" si="40"/>
        <v>0.28405764647546905</v>
      </c>
      <c r="AF78" s="2">
        <f t="shared" si="41"/>
        <v>0.71594235352453095</v>
      </c>
      <c r="AG78" s="2">
        <f t="shared" si="42"/>
        <v>0.56309476884960419</v>
      </c>
      <c r="AH78" s="2">
        <f t="shared" si="35"/>
        <v>0.15995137478206681</v>
      </c>
      <c r="AI78" s="2">
        <f t="shared" si="43"/>
        <v>6.2518999999999778</v>
      </c>
      <c r="AJ78" s="2">
        <v>11</v>
      </c>
      <c r="AK78">
        <f t="shared" si="44"/>
        <v>6.1940424573456454</v>
      </c>
    </row>
    <row r="79" spans="4:37" x14ac:dyDescent="0.35">
      <c r="E79" s="104"/>
      <c r="F79" s="13"/>
      <c r="G79" s="49" t="s">
        <v>95</v>
      </c>
      <c r="H79" s="2">
        <f>H78/(SQRT(COUNT(H39:H55)))</f>
        <v>0.22429766093132775</v>
      </c>
      <c r="I79" s="2">
        <f t="shared" ref="I79:P79" si="47">I78/(SQRT(COUNT(I39:I55)))</f>
        <v>0.58027518833009106</v>
      </c>
      <c r="J79" s="2">
        <f t="shared" si="47"/>
        <v>3.6570725144365129E-2</v>
      </c>
      <c r="K79" s="2">
        <f t="shared" si="47"/>
        <v>3.6570725144365178E-2</v>
      </c>
      <c r="L79" s="2">
        <f t="shared" si="47"/>
        <v>5.2953490882666064E-2</v>
      </c>
      <c r="M79" s="2">
        <f t="shared" si="47"/>
        <v>1.0752653958732629E-2</v>
      </c>
      <c r="N79" s="2">
        <f t="shared" si="47"/>
        <v>0.62384411259737393</v>
      </c>
      <c r="O79" s="2">
        <f t="shared" si="47"/>
        <v>3.2587385845798917</v>
      </c>
      <c r="P79" s="2">
        <f t="shared" si="47"/>
        <v>0.66242531761369106</v>
      </c>
      <c r="Y79" s="300">
        <v>0</v>
      </c>
      <c r="AA79" s="13">
        <v>232.14780999999999</v>
      </c>
      <c r="AB79" s="2">
        <v>234.08283</v>
      </c>
      <c r="AC79" s="2">
        <f t="shared" si="38"/>
        <v>1.9350200000000086</v>
      </c>
      <c r="AD79" s="2">
        <f t="shared" si="39"/>
        <v>4.570350000000019</v>
      </c>
      <c r="AE79" s="2">
        <f t="shared" si="40"/>
        <v>0.29744964544676172</v>
      </c>
      <c r="AF79" s="2">
        <f t="shared" si="41"/>
        <v>0.70255035455323822</v>
      </c>
      <c r="AG79" s="2">
        <f t="shared" si="42"/>
        <v>0.51679052412894722</v>
      </c>
      <c r="AH79" s="2">
        <f t="shared" si="35"/>
        <v>0.15371915817240153</v>
      </c>
      <c r="AI79" s="2">
        <f t="shared" si="43"/>
        <v>6.5053700000000276</v>
      </c>
      <c r="AJ79" s="2">
        <v>10</v>
      </c>
      <c r="AK79">
        <f t="shared" si="44"/>
        <v>5.167905241289473</v>
      </c>
    </row>
    <row r="80" spans="4:37" x14ac:dyDescent="0.35">
      <c r="E80" s="104"/>
      <c r="Y80" s="300">
        <v>0</v>
      </c>
      <c r="AA80" s="13">
        <v>238.65318000000002</v>
      </c>
      <c r="AB80" s="2">
        <v>239.81918000000002</v>
      </c>
      <c r="AC80" s="2">
        <f t="shared" si="38"/>
        <v>1.1659999999999968</v>
      </c>
      <c r="AD80" s="2"/>
      <c r="AE80" s="2"/>
      <c r="AF80" s="2"/>
      <c r="AG80" s="2"/>
      <c r="AH80" s="2"/>
      <c r="AI80" s="2"/>
      <c r="AJ80" s="2"/>
    </row>
    <row r="81" spans="4:37" x14ac:dyDescent="0.35">
      <c r="E81" s="104"/>
      <c r="Y81" s="300"/>
      <c r="AA81" s="13"/>
      <c r="AB81" s="2"/>
      <c r="AC81" s="2"/>
      <c r="AD81" s="2"/>
      <c r="AE81" s="2"/>
      <c r="AF81" s="2"/>
      <c r="AG81" s="2"/>
      <c r="AH81" s="2"/>
      <c r="AI81" s="2"/>
      <c r="AJ81" s="2"/>
    </row>
    <row r="82" spans="4:37" ht="16" thickBot="1" x14ac:dyDescent="0.4">
      <c r="E82" s="104"/>
      <c r="G82" s="13"/>
      <c r="H82" s="9" t="s">
        <v>3</v>
      </c>
      <c r="I82" s="9" t="s">
        <v>4</v>
      </c>
      <c r="J82" s="9" t="s">
        <v>5</v>
      </c>
      <c r="K82" s="9" t="s">
        <v>6</v>
      </c>
      <c r="L82" s="9" t="s">
        <v>7</v>
      </c>
      <c r="M82" s="9" t="s">
        <v>8</v>
      </c>
      <c r="N82" s="9" t="s">
        <v>9</v>
      </c>
      <c r="O82" s="9" t="s">
        <v>10</v>
      </c>
      <c r="P82" s="44" t="s">
        <v>139</v>
      </c>
      <c r="Y82" s="300"/>
      <c r="AA82" s="13"/>
      <c r="AB82" s="2"/>
      <c r="AC82" s="2"/>
      <c r="AD82" s="2"/>
      <c r="AE82" s="2"/>
      <c r="AF82" s="2"/>
      <c r="AG82" s="2"/>
      <c r="AH82" s="2"/>
      <c r="AI82" s="2"/>
      <c r="AJ82" s="2"/>
    </row>
    <row r="83" spans="4:37" x14ac:dyDescent="0.35">
      <c r="E83" s="104" t="s">
        <v>410</v>
      </c>
      <c r="G83" s="49" t="s">
        <v>77</v>
      </c>
      <c r="H83" s="13">
        <f>AVERAGE(H56:H72)</f>
        <v>1.4518205882352879</v>
      </c>
      <c r="I83" s="13">
        <f t="shared" ref="I83:P83" si="48">AVERAGE(I56:I72)</f>
        <v>5.0896335294117723</v>
      </c>
      <c r="J83" s="13">
        <f t="shared" si="48"/>
        <v>0.23252977312999756</v>
      </c>
      <c r="K83" s="13">
        <f t="shared" si="48"/>
        <v>0.76747022687000244</v>
      </c>
      <c r="L83" s="13">
        <f t="shared" si="48"/>
        <v>0.90104678484873246</v>
      </c>
      <c r="M83" s="13">
        <f t="shared" si="48"/>
        <v>0.17657463266386778</v>
      </c>
      <c r="N83" s="13">
        <f t="shared" si="48"/>
        <v>6.54145411764706</v>
      </c>
      <c r="O83" s="13">
        <f t="shared" si="48"/>
        <v>15.764705882352942</v>
      </c>
      <c r="P83" s="13">
        <f t="shared" si="48"/>
        <v>12.547162308983145</v>
      </c>
      <c r="AA83" s="13"/>
      <c r="AC83" s="2"/>
      <c r="AD83" s="2"/>
      <c r="AE83" s="2"/>
      <c r="AF83" s="2"/>
      <c r="AG83" s="2"/>
      <c r="AH83" s="2"/>
      <c r="AI83" s="2"/>
      <c r="AJ83" s="2"/>
    </row>
    <row r="84" spans="4:37" ht="16" thickBot="1" x14ac:dyDescent="0.4">
      <c r="G84" s="49" t="s">
        <v>94</v>
      </c>
      <c r="H84" s="2">
        <f>_xlfn.STDEV.S(H56:H72)</f>
        <v>0.82310825549764499</v>
      </c>
      <c r="I84" s="2">
        <f t="shared" ref="I84:P84" si="49">_xlfn.STDEV.S(I56:I72)</f>
        <v>2.0487329742579337</v>
      </c>
      <c r="J84" s="2">
        <f t="shared" si="49"/>
        <v>0.1235886541170949</v>
      </c>
      <c r="K84" s="2">
        <f t="shared" si="49"/>
        <v>0.12358865411709447</v>
      </c>
      <c r="L84" s="2">
        <f t="shared" si="49"/>
        <v>0.44184076745074707</v>
      </c>
      <c r="M84" s="2">
        <f t="shared" si="49"/>
        <v>8.9189154394149359E-2</v>
      </c>
      <c r="N84" s="2">
        <f t="shared" si="49"/>
        <v>2.0156493362005539</v>
      </c>
      <c r="O84" s="2">
        <f t="shared" si="49"/>
        <v>4.2943190927769015</v>
      </c>
      <c r="P84" s="2">
        <f t="shared" si="49"/>
        <v>3.4191974800132598</v>
      </c>
      <c r="AA84" s="13"/>
      <c r="AB84" s="13"/>
      <c r="AC84" s="9" t="s">
        <v>3</v>
      </c>
      <c r="AD84" s="9" t="s">
        <v>4</v>
      </c>
      <c r="AE84" s="9" t="s">
        <v>5</v>
      </c>
      <c r="AF84" s="9" t="s">
        <v>6</v>
      </c>
      <c r="AG84" s="9" t="s">
        <v>7</v>
      </c>
      <c r="AH84" s="9" t="s">
        <v>8</v>
      </c>
      <c r="AI84" s="9" t="s">
        <v>9</v>
      </c>
      <c r="AJ84" s="9" t="s">
        <v>10</v>
      </c>
      <c r="AK84" s="44" t="s">
        <v>139</v>
      </c>
    </row>
    <row r="85" spans="4:37" x14ac:dyDescent="0.35">
      <c r="G85" s="49" t="s">
        <v>95</v>
      </c>
      <c r="H85" s="2">
        <f>H84/(SQRT(COUNT(H56:H72)))</f>
        <v>0.19963307521968698</v>
      </c>
      <c r="I85" s="2">
        <f t="shared" ref="I85:P85" si="50">I84/(SQRT(COUNT(I56:I72)))</f>
        <v>0.49689073244419341</v>
      </c>
      <c r="J85" s="2">
        <f t="shared" si="50"/>
        <v>2.9974651473688777E-2</v>
      </c>
      <c r="K85" s="2">
        <f t="shared" si="50"/>
        <v>2.9974651473688673E-2</v>
      </c>
      <c r="L85" s="2">
        <f t="shared" si="50"/>
        <v>0.10716212670019999</v>
      </c>
      <c r="M85" s="2">
        <f t="shared" si="50"/>
        <v>2.1631547307447017E-2</v>
      </c>
      <c r="N85" s="2">
        <f t="shared" si="50"/>
        <v>0.48886677160947101</v>
      </c>
      <c r="O85" s="2">
        <f t="shared" si="50"/>
        <v>1.0415253652721042</v>
      </c>
      <c r="P85" s="2">
        <f t="shared" si="50"/>
        <v>0.82927719793767063</v>
      </c>
      <c r="Z85" s="104" t="s">
        <v>470</v>
      </c>
      <c r="AA85" s="13"/>
      <c r="AB85" s="49" t="s">
        <v>77</v>
      </c>
      <c r="AC85" s="13">
        <f>AVERAGE(AC41:AC60)</f>
        <v>1.5920055000000009</v>
      </c>
      <c r="AD85" s="13">
        <f t="shared" ref="AD85:AK85" si="51">AVERAGE(AD41:AD60)</f>
        <v>4.3186384999999996</v>
      </c>
      <c r="AE85" s="13">
        <f t="shared" si="51"/>
        <v>0.2702303286700985</v>
      </c>
      <c r="AF85" s="13">
        <f t="shared" si="51"/>
        <v>0.72976967132990134</v>
      </c>
      <c r="AG85" s="13">
        <f t="shared" si="51"/>
        <v>0.73481984085459495</v>
      </c>
      <c r="AH85" s="13">
        <f t="shared" si="51"/>
        <v>0.19183996684860133</v>
      </c>
      <c r="AI85" s="13">
        <f t="shared" si="51"/>
        <v>5.9106439999999996</v>
      </c>
      <c r="AJ85" s="13">
        <f t="shared" si="51"/>
        <v>15.9</v>
      </c>
      <c r="AK85" s="13">
        <f t="shared" si="51"/>
        <v>10.424839330300198</v>
      </c>
    </row>
    <row r="86" spans="4:37" x14ac:dyDescent="0.35">
      <c r="Z86" s="104"/>
      <c r="AA86" s="13"/>
      <c r="AB86" s="49" t="s">
        <v>94</v>
      </c>
      <c r="AC86" s="2">
        <f>_xlfn.STDEV.S(AC41:AC60)</f>
        <v>0.41048002448320986</v>
      </c>
      <c r="AD86" s="2">
        <f t="shared" ref="AD86:AK86" si="52">_xlfn.STDEV.S(AD41:AD60)</f>
        <v>1.0526442588086864</v>
      </c>
      <c r="AE86" s="2">
        <f t="shared" si="52"/>
        <v>4.6614003031121773E-2</v>
      </c>
      <c r="AF86" s="2">
        <f t="shared" si="52"/>
        <v>4.6614003031121468E-2</v>
      </c>
      <c r="AG86" s="2">
        <f t="shared" si="52"/>
        <v>0.53788151197119582</v>
      </c>
      <c r="AH86" s="2">
        <f t="shared" si="52"/>
        <v>0.12231490906057692</v>
      </c>
      <c r="AI86" s="2">
        <f t="shared" si="52"/>
        <v>1.2868389679586358</v>
      </c>
      <c r="AJ86" s="2">
        <f t="shared" si="52"/>
        <v>2.936162909577559</v>
      </c>
      <c r="AK86" s="2">
        <f t="shared" si="52"/>
        <v>2.1060335174431595</v>
      </c>
    </row>
    <row r="87" spans="4:37" x14ac:dyDescent="0.35">
      <c r="Z87" s="104"/>
      <c r="AA87" s="13"/>
      <c r="AB87" s="49" t="s">
        <v>95</v>
      </c>
      <c r="AC87" s="2">
        <f>AC86/(SQRT(COUNT(AC41:AC60)))</f>
        <v>9.1786123815023518E-2</v>
      </c>
      <c r="AD87" s="2">
        <f t="shared" ref="AD87:AK87" si="53">AD86/(SQRT(COUNT(AD41:AD60)))</f>
        <v>0.23537841188211045</v>
      </c>
      <c r="AE87" s="2">
        <f t="shared" si="53"/>
        <v>1.0423207948096952E-2</v>
      </c>
      <c r="AF87" s="2">
        <f t="shared" si="53"/>
        <v>1.0423207948096884E-2</v>
      </c>
      <c r="AG87" s="2">
        <f t="shared" si="53"/>
        <v>0.12027396246079607</v>
      </c>
      <c r="AH87" s="2">
        <f t="shared" si="53"/>
        <v>2.7350445132115493E-2</v>
      </c>
      <c r="AI87" s="2">
        <f t="shared" si="53"/>
        <v>0.28774594084511834</v>
      </c>
      <c r="AJ87" s="2">
        <f t="shared" si="53"/>
        <v>0.65654598588289903</v>
      </c>
      <c r="AK87" s="2">
        <f t="shared" si="53"/>
        <v>0.47092341078958933</v>
      </c>
    </row>
    <row r="88" spans="4:37" x14ac:dyDescent="0.35">
      <c r="Z88" s="104"/>
    </row>
    <row r="89" spans="4:37" x14ac:dyDescent="0.35">
      <c r="Z89" s="104"/>
    </row>
    <row r="90" spans="4:37" ht="19" thickBot="1" x14ac:dyDescent="0.5">
      <c r="F90" s="1" t="s">
        <v>405</v>
      </c>
      <c r="G90" s="3"/>
      <c r="H90" s="3"/>
      <c r="I90" s="3"/>
      <c r="J90" s="3"/>
      <c r="K90" s="3"/>
      <c r="L90" s="3"/>
      <c r="M90" s="3"/>
      <c r="N90" s="3"/>
      <c r="O90" s="3"/>
      <c r="Z90" s="104"/>
      <c r="AB90" s="13"/>
      <c r="AC90" s="9" t="s">
        <v>3</v>
      </c>
      <c r="AD90" s="9" t="s">
        <v>4</v>
      </c>
      <c r="AE90" s="9" t="s">
        <v>5</v>
      </c>
      <c r="AF90" s="9" t="s">
        <v>6</v>
      </c>
      <c r="AG90" s="9" t="s">
        <v>7</v>
      </c>
      <c r="AH90" s="9" t="s">
        <v>8</v>
      </c>
      <c r="AI90" s="9" t="s">
        <v>9</v>
      </c>
      <c r="AJ90" s="9" t="s">
        <v>10</v>
      </c>
      <c r="AK90" s="44" t="s">
        <v>139</v>
      </c>
    </row>
    <row r="91" spans="4:37" ht="16" thickBot="1" x14ac:dyDescent="0.4">
      <c r="D91" s="204" t="s">
        <v>406</v>
      </c>
      <c r="F91" s="9" t="s">
        <v>1</v>
      </c>
      <c r="G91" s="9" t="s">
        <v>2</v>
      </c>
      <c r="H91" s="9" t="s">
        <v>3</v>
      </c>
      <c r="I91" s="9" t="s">
        <v>4</v>
      </c>
      <c r="J91" s="9" t="s">
        <v>5</v>
      </c>
      <c r="K91" s="9" t="s">
        <v>6</v>
      </c>
      <c r="L91" s="9" t="s">
        <v>7</v>
      </c>
      <c r="M91" s="9" t="s">
        <v>8</v>
      </c>
      <c r="N91" s="9" t="s">
        <v>9</v>
      </c>
      <c r="O91" s="9" t="s">
        <v>10</v>
      </c>
      <c r="P91" s="44" t="s">
        <v>139</v>
      </c>
      <c r="R91" s="44" t="s">
        <v>138</v>
      </c>
      <c r="Z91" s="104" t="s">
        <v>410</v>
      </c>
      <c r="AB91" s="49" t="s">
        <v>77</v>
      </c>
      <c r="AC91" s="13">
        <f>AVERAGE(AC61:AC79)</f>
        <v>1.7980268421052645</v>
      </c>
      <c r="AD91" s="13">
        <f t="shared" ref="AD91:AK91" si="54">AVERAGE(AD61:AD79)</f>
        <v>4.2653057894736834</v>
      </c>
      <c r="AE91" s="13">
        <f t="shared" si="54"/>
        <v>0.29881553613827527</v>
      </c>
      <c r="AF91" s="13">
        <f t="shared" si="54"/>
        <v>0.70118446386172484</v>
      </c>
      <c r="AG91" s="13">
        <f t="shared" si="54"/>
        <v>0.55840219432208149</v>
      </c>
      <c r="AH91" s="13">
        <f t="shared" si="54"/>
        <v>0.16633175624418847</v>
      </c>
      <c r="AI91" s="13">
        <f t="shared" si="54"/>
        <v>6.0633326315789482</v>
      </c>
      <c r="AJ91" s="13">
        <f t="shared" si="54"/>
        <v>11.526315789473685</v>
      </c>
      <c r="AK91" s="13">
        <f t="shared" si="54"/>
        <v>6.409682144155231</v>
      </c>
    </row>
    <row r="92" spans="4:37" x14ac:dyDescent="0.35">
      <c r="D92" s="291">
        <v>15</v>
      </c>
      <c r="F92" s="2">
        <v>0.77603999999999995</v>
      </c>
      <c r="G92" s="2">
        <v>2.0660799999999999</v>
      </c>
      <c r="H92" s="2">
        <f>G92-F92</f>
        <v>1.2900399999999999</v>
      </c>
      <c r="I92" s="2">
        <f>F93-G92</f>
        <v>1.0032900000000002</v>
      </c>
      <c r="J92" s="2">
        <f>H92/N92</f>
        <v>0.5625182594742143</v>
      </c>
      <c r="K92" s="2">
        <f>I92/N92</f>
        <v>0.43748174052578576</v>
      </c>
      <c r="L92" s="2">
        <f>1/H92</f>
        <v>0.775169762177917</v>
      </c>
      <c r="M92" s="2">
        <f>1/N92</f>
        <v>0.4360471454173625</v>
      </c>
      <c r="N92" s="2">
        <f>H92+I92</f>
        <v>2.2933300000000001</v>
      </c>
      <c r="O92" s="2">
        <v>17</v>
      </c>
      <c r="P92">
        <f>O92/H92</f>
        <v>13.177885957024589</v>
      </c>
      <c r="R92" t="s">
        <v>789</v>
      </c>
      <c r="AB92" s="49" t="s">
        <v>94</v>
      </c>
      <c r="AC92" s="2">
        <f>_xlfn.STDEV.S(AC61:AC79)</f>
        <v>0.11639593697818384</v>
      </c>
      <c r="AD92" s="2">
        <f t="shared" ref="AD92:AK92" si="55">_xlfn.STDEV.S(AD61:AD79)</f>
        <v>0.50828862434334432</v>
      </c>
      <c r="AE92" s="2">
        <f t="shared" si="55"/>
        <v>3.4782155456659573E-2</v>
      </c>
      <c r="AF92" s="2">
        <f t="shared" si="55"/>
        <v>3.4782155456660233E-2</v>
      </c>
      <c r="AG92" s="2">
        <f t="shared" si="55"/>
        <v>3.6554036737588808E-2</v>
      </c>
      <c r="AH92" s="2">
        <f t="shared" si="55"/>
        <v>1.7530733649974938E-2</v>
      </c>
      <c r="AI92" s="2">
        <f t="shared" si="55"/>
        <v>0.51421750175325509</v>
      </c>
      <c r="AJ92" s="2">
        <f t="shared" si="55"/>
        <v>1.4286131990551643</v>
      </c>
      <c r="AK92" s="2">
        <f t="shared" si="55"/>
        <v>0.66273009029703878</v>
      </c>
    </row>
    <row r="93" spans="4:37" x14ac:dyDescent="0.35">
      <c r="D93" s="300">
        <v>15</v>
      </c>
      <c r="F93" s="2">
        <v>3.0693700000000002</v>
      </c>
      <c r="G93" s="2">
        <v>4.0607600000000001</v>
      </c>
      <c r="H93" s="2">
        <f t="shared" ref="H93:H133" si="56">G93-F93</f>
        <v>0.99138999999999999</v>
      </c>
      <c r="I93" s="2">
        <f t="shared" ref="I93:I133" si="57">F94-G93</f>
        <v>1.4983899999999997</v>
      </c>
      <c r="J93" s="2">
        <f t="shared" ref="J93:J133" si="58">H93/N93</f>
        <v>0.39818377527331739</v>
      </c>
      <c r="K93" s="2">
        <f t="shared" ref="K93:K133" si="59">I93/N93</f>
        <v>0.60181622472668261</v>
      </c>
      <c r="L93" s="2">
        <f t="shared" ref="L93:L133" si="60">1/H93</f>
        <v>1.008684775920677</v>
      </c>
      <c r="M93" s="2">
        <f t="shared" ref="M93:M156" si="61">1/N93</f>
        <v>0.40164191213681538</v>
      </c>
      <c r="N93" s="2">
        <f t="shared" ref="N93:N133" si="62">H93+I93</f>
        <v>2.4897799999999997</v>
      </c>
      <c r="O93" s="2">
        <v>13</v>
      </c>
      <c r="P93">
        <f t="shared" ref="P93:P156" si="63">O93/H93</f>
        <v>13.112902086968802</v>
      </c>
      <c r="AB93" s="49" t="s">
        <v>95</v>
      </c>
      <c r="AC93" s="2">
        <f>AC92/(SQRT(COUNT(AC61:AC79)))</f>
        <v>2.67030593014017E-2</v>
      </c>
      <c r="AD93" s="2">
        <f t="shared" ref="AD93:AK93" si="64">AD92/(SQRT(COUNT(AD61:AD79)))</f>
        <v>0.11660940777178661</v>
      </c>
      <c r="AE93" s="2">
        <f t="shared" si="64"/>
        <v>7.97957371968952E-3</v>
      </c>
      <c r="AF93" s="2">
        <f t="shared" si="64"/>
        <v>7.9795737196896709E-3</v>
      </c>
      <c r="AG93" s="2">
        <f t="shared" si="64"/>
        <v>8.3860711640854103E-3</v>
      </c>
      <c r="AH93" s="2">
        <f t="shared" si="64"/>
        <v>4.0218261255983521E-3</v>
      </c>
      <c r="AI93" s="2">
        <f t="shared" si="64"/>
        <v>0.11796958553380989</v>
      </c>
      <c r="AJ93" s="2">
        <f t="shared" si="64"/>
        <v>0.32774634547841142</v>
      </c>
      <c r="AK93" s="2">
        <f t="shared" si="64"/>
        <v>0.15204071002359881</v>
      </c>
    </row>
    <row r="94" spans="4:37" x14ac:dyDescent="0.35">
      <c r="D94" s="300">
        <v>15</v>
      </c>
      <c r="F94" s="13">
        <v>5.5591499999999998</v>
      </c>
      <c r="G94" s="2">
        <v>6.3877699999999997</v>
      </c>
      <c r="H94" s="2">
        <f t="shared" si="56"/>
        <v>0.82861999999999991</v>
      </c>
      <c r="I94" s="2">
        <f t="shared" si="57"/>
        <v>1.6256599999999999</v>
      </c>
      <c r="J94" s="2">
        <f t="shared" si="58"/>
        <v>0.33762243916749513</v>
      </c>
      <c r="K94" s="2">
        <f t="shared" si="59"/>
        <v>0.66237756083250487</v>
      </c>
      <c r="L94" s="2">
        <f t="shared" si="60"/>
        <v>1.206825806763052</v>
      </c>
      <c r="M94" s="2">
        <f t="shared" si="61"/>
        <v>0.40745147252962177</v>
      </c>
      <c r="N94" s="2">
        <f t="shared" si="62"/>
        <v>2.4542799999999998</v>
      </c>
      <c r="O94" s="2">
        <v>12</v>
      </c>
      <c r="P94">
        <f t="shared" si="63"/>
        <v>14.481909681156623</v>
      </c>
    </row>
    <row r="95" spans="4:37" x14ac:dyDescent="0.35">
      <c r="D95" s="300">
        <v>15</v>
      </c>
      <c r="F95" s="13">
        <v>8.0134299999999996</v>
      </c>
      <c r="G95" s="2">
        <v>8.35121</v>
      </c>
      <c r="H95" s="2">
        <f t="shared" si="56"/>
        <v>0.33778000000000041</v>
      </c>
      <c r="I95" s="2">
        <f t="shared" si="57"/>
        <v>2.2639499999999995</v>
      </c>
      <c r="J95" s="2">
        <f t="shared" si="58"/>
        <v>0.12982899839722048</v>
      </c>
      <c r="K95" s="2">
        <f t="shared" si="59"/>
        <v>0.87017100160277949</v>
      </c>
      <c r="L95" s="2">
        <f t="shared" si="60"/>
        <v>2.9605068387707938</v>
      </c>
      <c r="M95" s="2">
        <f t="shared" si="61"/>
        <v>0.38435963762573366</v>
      </c>
      <c r="N95" s="2">
        <f t="shared" si="62"/>
        <v>2.6017299999999999</v>
      </c>
      <c r="O95" s="2">
        <v>6</v>
      </c>
      <c r="P95">
        <f t="shared" si="63"/>
        <v>17.763041032624763</v>
      </c>
    </row>
    <row r="96" spans="4:37" x14ac:dyDescent="0.35">
      <c r="D96" s="300">
        <v>15</v>
      </c>
      <c r="F96" s="13">
        <v>10.615159999999999</v>
      </c>
      <c r="G96" s="2">
        <v>10.78825</v>
      </c>
      <c r="H96" s="2">
        <f t="shared" si="56"/>
        <v>0.17309000000000019</v>
      </c>
      <c r="I96" s="2">
        <f t="shared" si="57"/>
        <v>2.22532</v>
      </c>
      <c r="J96" s="2">
        <f t="shared" si="58"/>
        <v>7.2168645060686112E-2</v>
      </c>
      <c r="K96" s="2">
        <f t="shared" si="59"/>
        <v>0.9278313549393139</v>
      </c>
      <c r="L96" s="2">
        <f t="shared" si="60"/>
        <v>5.7773412675486675</v>
      </c>
      <c r="M96" s="2">
        <f t="shared" si="61"/>
        <v>0.41694289133217421</v>
      </c>
      <c r="N96" s="2">
        <f t="shared" si="62"/>
        <v>2.3984100000000002</v>
      </c>
      <c r="O96" s="2">
        <v>4</v>
      </c>
      <c r="P96">
        <f t="shared" si="63"/>
        <v>23.10936507019467</v>
      </c>
    </row>
    <row r="97" spans="4:39" x14ac:dyDescent="0.35">
      <c r="D97" s="300">
        <v>15</v>
      </c>
      <c r="F97" s="13">
        <v>13.01357</v>
      </c>
      <c r="G97" s="2">
        <v>14.07785</v>
      </c>
      <c r="H97" s="2">
        <f t="shared" si="56"/>
        <v>1.0642800000000001</v>
      </c>
      <c r="I97" s="2">
        <f t="shared" si="57"/>
        <v>1.3120100000000008</v>
      </c>
      <c r="J97" s="2">
        <f t="shared" si="58"/>
        <v>0.44787462809673889</v>
      </c>
      <c r="K97" s="2">
        <f t="shared" si="59"/>
        <v>0.55212537190326105</v>
      </c>
      <c r="L97" s="2">
        <f t="shared" si="60"/>
        <v>0.93960236028112898</v>
      </c>
      <c r="M97" s="2">
        <f t="shared" si="61"/>
        <v>0.42082405766972869</v>
      </c>
      <c r="N97" s="2">
        <f t="shared" si="62"/>
        <v>2.3762900000000009</v>
      </c>
      <c r="O97" s="2">
        <v>15</v>
      </c>
      <c r="P97">
        <f t="shared" si="63"/>
        <v>14.094035404216934</v>
      </c>
    </row>
    <row r="98" spans="4:39" x14ac:dyDescent="0.35">
      <c r="D98" s="300">
        <v>15</v>
      </c>
      <c r="F98" s="13">
        <v>15.389860000000001</v>
      </c>
      <c r="G98" s="2">
        <v>16.233930000000001</v>
      </c>
      <c r="H98" s="2">
        <f t="shared" si="56"/>
        <v>0.84407000000000032</v>
      </c>
      <c r="I98" s="2">
        <f t="shared" si="57"/>
        <v>1.5953199999999974</v>
      </c>
      <c r="J98" s="2">
        <f t="shared" si="58"/>
        <v>0.34601683207687212</v>
      </c>
      <c r="K98" s="2">
        <f t="shared" si="59"/>
        <v>0.65398316792312783</v>
      </c>
      <c r="L98" s="2">
        <f t="shared" si="60"/>
        <v>1.1847358631393126</v>
      </c>
      <c r="M98" s="2">
        <f t="shared" si="61"/>
        <v>0.40993855021132369</v>
      </c>
      <c r="N98" s="2">
        <f t="shared" si="62"/>
        <v>2.4393899999999977</v>
      </c>
      <c r="O98" s="2">
        <v>12</v>
      </c>
      <c r="P98">
        <f t="shared" si="63"/>
        <v>14.216830357671752</v>
      </c>
    </row>
    <row r="99" spans="4:39" x14ac:dyDescent="0.35">
      <c r="D99" s="300">
        <v>15</v>
      </c>
      <c r="F99" s="13">
        <v>17.829249999999998</v>
      </c>
      <c r="G99" s="2">
        <v>18.167899999999999</v>
      </c>
      <c r="H99" s="2">
        <f t="shared" si="56"/>
        <v>0.33865000000000123</v>
      </c>
      <c r="I99" s="2">
        <f t="shared" si="57"/>
        <v>2.1843600000000016</v>
      </c>
      <c r="J99" s="2">
        <f t="shared" si="58"/>
        <v>0.13422459681095233</v>
      </c>
      <c r="K99" s="2">
        <f t="shared" si="59"/>
        <v>0.86577540318904767</v>
      </c>
      <c r="L99" s="2">
        <f t="shared" si="60"/>
        <v>2.9529012254539979</v>
      </c>
      <c r="M99" s="2">
        <f t="shared" si="61"/>
        <v>0.39635197640912989</v>
      </c>
      <c r="N99" s="2">
        <f t="shared" si="62"/>
        <v>2.5230100000000029</v>
      </c>
      <c r="O99" s="2">
        <v>6</v>
      </c>
      <c r="P99">
        <f t="shared" si="63"/>
        <v>17.717407352723988</v>
      </c>
    </row>
    <row r="100" spans="4:39" ht="18.5" x14ac:dyDescent="0.45">
      <c r="D100" s="300">
        <v>15</v>
      </c>
      <c r="F100" s="13">
        <v>20.352260000000001</v>
      </c>
      <c r="G100" s="2">
        <v>21.597159999999999</v>
      </c>
      <c r="H100" s="2">
        <f t="shared" si="56"/>
        <v>1.2448999999999977</v>
      </c>
      <c r="I100" s="2">
        <f t="shared" si="57"/>
        <v>1.138580000000001</v>
      </c>
      <c r="J100" s="2">
        <f t="shared" si="58"/>
        <v>0.52230352258042789</v>
      </c>
      <c r="K100" s="2">
        <f t="shared" si="59"/>
        <v>0.47769647741957205</v>
      </c>
      <c r="L100" s="2">
        <f t="shared" si="60"/>
        <v>0.80327737167644142</v>
      </c>
      <c r="M100" s="2">
        <f t="shared" si="61"/>
        <v>0.41955460083575297</v>
      </c>
      <c r="N100" s="2">
        <f t="shared" si="62"/>
        <v>2.3834799999999987</v>
      </c>
      <c r="O100" s="2">
        <v>18</v>
      </c>
      <c r="P100">
        <f t="shared" si="63"/>
        <v>14.458992690175945</v>
      </c>
      <c r="AA100" s="1" t="s">
        <v>797</v>
      </c>
      <c r="AB100" s="3"/>
      <c r="AC100" s="3"/>
      <c r="AD100" s="3"/>
      <c r="AE100" s="3"/>
      <c r="AF100" s="3"/>
      <c r="AG100" s="3"/>
      <c r="AH100" s="3"/>
      <c r="AI100" s="3"/>
      <c r="AJ100" s="3"/>
    </row>
    <row r="101" spans="4:39" ht="16" thickBot="1" x14ac:dyDescent="0.4">
      <c r="D101" s="300">
        <v>15</v>
      </c>
      <c r="F101" s="13">
        <v>22.73574</v>
      </c>
      <c r="G101" s="2">
        <v>22.915769999999998</v>
      </c>
      <c r="H101" s="2">
        <f t="shared" si="56"/>
        <v>0.18002999999999858</v>
      </c>
      <c r="I101" s="2">
        <f t="shared" si="57"/>
        <v>2.3917100000000033</v>
      </c>
      <c r="J101" s="2">
        <f t="shared" si="58"/>
        <v>7.0003188502725175E-2</v>
      </c>
      <c r="K101" s="2">
        <f t="shared" si="59"/>
        <v>0.92999681149727487</v>
      </c>
      <c r="L101" s="2">
        <f t="shared" si="60"/>
        <v>5.5546297839249448</v>
      </c>
      <c r="M101" s="2">
        <f t="shared" si="61"/>
        <v>0.38884179582694955</v>
      </c>
      <c r="N101" s="2">
        <f t="shared" si="62"/>
        <v>2.5717400000000019</v>
      </c>
      <c r="O101" s="2">
        <v>4</v>
      </c>
      <c r="P101">
        <f t="shared" si="63"/>
        <v>22.218519135699779</v>
      </c>
      <c r="Y101" s="204" t="s">
        <v>406</v>
      </c>
      <c r="AA101" s="9" t="s">
        <v>1</v>
      </c>
      <c r="AB101" s="9" t="s">
        <v>2</v>
      </c>
      <c r="AC101" s="9" t="s">
        <v>3</v>
      </c>
      <c r="AD101" s="9" t="s">
        <v>4</v>
      </c>
      <c r="AE101" s="9" t="s">
        <v>5</v>
      </c>
      <c r="AF101" s="9" t="s">
        <v>6</v>
      </c>
      <c r="AG101" s="9" t="s">
        <v>7</v>
      </c>
      <c r="AH101" s="9" t="s">
        <v>8</v>
      </c>
      <c r="AI101" s="9" t="s">
        <v>9</v>
      </c>
      <c r="AJ101" s="9" t="s">
        <v>10</v>
      </c>
      <c r="AK101" s="44" t="s">
        <v>139</v>
      </c>
      <c r="AM101" s="44" t="s">
        <v>138</v>
      </c>
    </row>
    <row r="102" spans="4:39" x14ac:dyDescent="0.35">
      <c r="D102" s="300">
        <v>15</v>
      </c>
      <c r="F102" s="13">
        <v>25.307480000000002</v>
      </c>
      <c r="G102" s="2">
        <v>25.472580000000001</v>
      </c>
      <c r="H102" s="2">
        <f t="shared" si="56"/>
        <v>0.16509999999999891</v>
      </c>
      <c r="I102" s="2">
        <f t="shared" si="57"/>
        <v>2.2387799999999984</v>
      </c>
      <c r="J102" s="2">
        <f t="shared" si="58"/>
        <v>6.8680632976687306E-2</v>
      </c>
      <c r="K102" s="2">
        <f t="shared" si="59"/>
        <v>0.93131936702331264</v>
      </c>
      <c r="L102" s="2">
        <f t="shared" si="60"/>
        <v>6.0569351907934985</v>
      </c>
      <c r="M102" s="2">
        <f t="shared" si="61"/>
        <v>0.41599414280246982</v>
      </c>
      <c r="N102" s="2">
        <f t="shared" si="62"/>
        <v>2.4038799999999974</v>
      </c>
      <c r="O102" s="2">
        <v>4</v>
      </c>
      <c r="P102">
        <f t="shared" si="63"/>
        <v>24.227740763173994</v>
      </c>
      <c r="Y102" s="300">
        <v>-2</v>
      </c>
      <c r="AA102" s="2">
        <v>4.7066400000000002</v>
      </c>
      <c r="AB102" s="2">
        <v>6.5954899999999999</v>
      </c>
      <c r="AC102" s="2">
        <f t="shared" ref="AC102:AC136" si="65">AB102-AA102</f>
        <v>1.8888499999999997</v>
      </c>
      <c r="AD102" s="2">
        <f t="shared" ref="AD102:AD135" si="66">AA103-AB102</f>
        <v>4.4994399999999999</v>
      </c>
      <c r="AE102" s="2">
        <f>AC102/AI102</f>
        <v>0.29567380316172243</v>
      </c>
      <c r="AF102" s="2">
        <f>AD102/AI102</f>
        <v>0.70432619683827757</v>
      </c>
      <c r="AG102" s="2">
        <f>1/AC102</f>
        <v>0.5294226645842709</v>
      </c>
      <c r="AH102" s="2">
        <f>1/AI102</f>
        <v>0.15653641271764432</v>
      </c>
      <c r="AI102" s="2">
        <f>AC102+AD102</f>
        <v>6.3882899999999996</v>
      </c>
      <c r="AJ102" s="2">
        <v>14</v>
      </c>
      <c r="AK102">
        <f>AJ102/AC102</f>
        <v>7.4119173041797932</v>
      </c>
      <c r="AM102" t="s">
        <v>800</v>
      </c>
    </row>
    <row r="103" spans="4:39" x14ac:dyDescent="0.35">
      <c r="D103" s="300">
        <v>15</v>
      </c>
      <c r="F103" s="13">
        <v>27.711359999999999</v>
      </c>
      <c r="G103" s="2">
        <v>28.928830000000001</v>
      </c>
      <c r="H103" s="2">
        <f t="shared" si="56"/>
        <v>1.2174700000000023</v>
      </c>
      <c r="I103" s="2">
        <f t="shared" si="57"/>
        <v>1.1506799999999977</v>
      </c>
      <c r="J103" s="2">
        <f t="shared" si="58"/>
        <v>0.51410172497519258</v>
      </c>
      <c r="K103" s="2">
        <f t="shared" si="59"/>
        <v>0.48589827502480742</v>
      </c>
      <c r="L103" s="2">
        <f t="shared" si="60"/>
        <v>0.82137547537105482</v>
      </c>
      <c r="M103" s="2">
        <f t="shared" si="61"/>
        <v>0.42227054874057807</v>
      </c>
      <c r="N103" s="2">
        <f t="shared" si="62"/>
        <v>2.36815</v>
      </c>
      <c r="O103" s="2">
        <v>18</v>
      </c>
      <c r="P103">
        <f t="shared" si="63"/>
        <v>14.784758556678987</v>
      </c>
      <c r="Y103" s="300">
        <v>-2</v>
      </c>
      <c r="AA103" s="2">
        <v>11.09493</v>
      </c>
      <c r="AB103" s="2">
        <v>12.95295</v>
      </c>
      <c r="AC103" s="2">
        <f t="shared" si="65"/>
        <v>1.8580199999999998</v>
      </c>
      <c r="AD103" s="2">
        <f t="shared" si="66"/>
        <v>4.561729999999999</v>
      </c>
      <c r="AE103" s="2">
        <f t="shared" ref="AE103:AE135" si="67">AC103/AI103</f>
        <v>0.28942248529927178</v>
      </c>
      <c r="AF103" s="2">
        <f t="shared" ref="AF103:AF135" si="68">AD103/AI103</f>
        <v>0.71057751470072816</v>
      </c>
      <c r="AG103" s="2">
        <f t="shared" ref="AG103:AG135" si="69">1/AC103</f>
        <v>0.53820733899527462</v>
      </c>
      <c r="AH103" s="2">
        <f t="shared" ref="AH103:AH135" si="70">1/AI103</f>
        <v>0.15576930565832006</v>
      </c>
      <c r="AI103" s="2">
        <f t="shared" ref="AI103:AI135" si="71">AC103+AD103</f>
        <v>6.4197499999999987</v>
      </c>
      <c r="AJ103" s="2">
        <v>17</v>
      </c>
      <c r="AK103">
        <f t="shared" ref="AK103:AK131" si="72">AJ103/AC103</f>
        <v>9.1495247629196683</v>
      </c>
    </row>
    <row r="104" spans="4:39" x14ac:dyDescent="0.35">
      <c r="D104" s="300">
        <v>15</v>
      </c>
      <c r="F104" s="13">
        <v>30.079509999999999</v>
      </c>
      <c r="G104" s="2">
        <v>30.919160000000002</v>
      </c>
      <c r="H104" s="2">
        <f t="shared" si="56"/>
        <v>0.83965000000000245</v>
      </c>
      <c r="I104" s="2">
        <f t="shared" si="57"/>
        <v>1.7178000000000004</v>
      </c>
      <c r="J104" s="2">
        <f t="shared" si="58"/>
        <v>0.32831531408238734</v>
      </c>
      <c r="K104" s="2">
        <f t="shared" si="59"/>
        <v>0.67168468591761266</v>
      </c>
      <c r="L104" s="2">
        <f t="shared" si="60"/>
        <v>1.1909724289882655</v>
      </c>
      <c r="M104" s="2">
        <f t="shared" si="61"/>
        <v>0.39101448708674613</v>
      </c>
      <c r="N104" s="2">
        <f t="shared" si="62"/>
        <v>2.5574500000000029</v>
      </c>
      <c r="O104" s="2">
        <v>12</v>
      </c>
      <c r="P104">
        <f t="shared" si="63"/>
        <v>14.291669147859185</v>
      </c>
      <c r="Y104" s="300">
        <v>-2</v>
      </c>
      <c r="AA104" s="13">
        <v>17.514679999999998</v>
      </c>
      <c r="AB104" s="2">
        <v>19.171659999999999</v>
      </c>
      <c r="AC104" s="2">
        <f t="shared" si="65"/>
        <v>1.6569800000000008</v>
      </c>
      <c r="AD104" s="2">
        <f t="shared" si="66"/>
        <v>4.7028099999999995</v>
      </c>
      <c r="AE104" s="2">
        <f t="shared" si="67"/>
        <v>0.26054004927835678</v>
      </c>
      <c r="AF104" s="2">
        <f t="shared" si="68"/>
        <v>0.73945995072164317</v>
      </c>
      <c r="AG104" s="2">
        <f t="shared" si="69"/>
        <v>0.60350758609035682</v>
      </c>
      <c r="AH104" s="2">
        <f t="shared" si="70"/>
        <v>0.15723789621984374</v>
      </c>
      <c r="AI104" s="2">
        <f t="shared" si="71"/>
        <v>6.3597900000000003</v>
      </c>
      <c r="AJ104" s="2">
        <v>15</v>
      </c>
      <c r="AK104">
        <f t="shared" si="72"/>
        <v>9.0526137913553537</v>
      </c>
    </row>
    <row r="105" spans="4:39" x14ac:dyDescent="0.35">
      <c r="D105" s="300">
        <v>15</v>
      </c>
      <c r="F105" s="13">
        <v>32.636960000000002</v>
      </c>
      <c r="G105" s="2">
        <v>32.831519999999998</v>
      </c>
      <c r="H105" s="2">
        <f t="shared" si="56"/>
        <v>0.19455999999999563</v>
      </c>
      <c r="I105" s="2">
        <f t="shared" si="57"/>
        <v>2.3000299999999996</v>
      </c>
      <c r="J105" s="2">
        <f t="shared" si="58"/>
        <v>7.7992776368058875E-2</v>
      </c>
      <c r="K105" s="2">
        <f t="shared" si="59"/>
        <v>0.9220072236319411</v>
      </c>
      <c r="L105" s="2">
        <f t="shared" si="60"/>
        <v>5.1398026315790633</v>
      </c>
      <c r="M105" s="2">
        <f t="shared" si="61"/>
        <v>0.40086747722070637</v>
      </c>
      <c r="N105" s="2">
        <f t="shared" si="62"/>
        <v>2.4945899999999952</v>
      </c>
      <c r="O105" s="2">
        <v>4</v>
      </c>
      <c r="P105">
        <f t="shared" si="63"/>
        <v>20.559210526316253</v>
      </c>
      <c r="Y105" s="300">
        <v>-2</v>
      </c>
      <c r="AA105" s="13">
        <v>23.874469999999999</v>
      </c>
      <c r="AB105" s="2">
        <v>25.717970000000001</v>
      </c>
      <c r="AC105" s="2">
        <f t="shared" si="65"/>
        <v>1.8435000000000024</v>
      </c>
      <c r="AD105" s="2">
        <f t="shared" si="66"/>
        <v>4.5963700000000003</v>
      </c>
      <c r="AE105" s="2">
        <f t="shared" si="67"/>
        <v>0.28626354258704007</v>
      </c>
      <c r="AF105" s="2">
        <f t="shared" si="68"/>
        <v>0.71373645741295999</v>
      </c>
      <c r="AG105" s="2">
        <f t="shared" si="69"/>
        <v>0.54244643341469956</v>
      </c>
      <c r="AH105" s="2">
        <f t="shared" si="70"/>
        <v>0.15528263769299686</v>
      </c>
      <c r="AI105" s="2">
        <f t="shared" si="71"/>
        <v>6.4398700000000026</v>
      </c>
      <c r="AJ105" s="2">
        <v>17</v>
      </c>
      <c r="AK105">
        <f t="shared" si="72"/>
        <v>9.2215893680498926</v>
      </c>
    </row>
    <row r="106" spans="4:39" x14ac:dyDescent="0.35">
      <c r="D106" s="300">
        <v>15</v>
      </c>
      <c r="F106" s="13">
        <v>35.131549999999997</v>
      </c>
      <c r="G106" s="2">
        <v>36.009520000000002</v>
      </c>
      <c r="H106" s="2">
        <f t="shared" si="56"/>
        <v>0.8779700000000048</v>
      </c>
      <c r="I106" s="2">
        <f t="shared" si="57"/>
        <v>4.1946399999999997</v>
      </c>
      <c r="J106" s="2">
        <f t="shared" si="58"/>
        <v>0.17308052462144813</v>
      </c>
      <c r="K106" s="2">
        <f t="shared" si="59"/>
        <v>0.82691947537855182</v>
      </c>
      <c r="L106" s="2">
        <f t="shared" si="60"/>
        <v>1.1389910816998241</v>
      </c>
      <c r="M106" s="2">
        <f t="shared" si="61"/>
        <v>0.19713717395975625</v>
      </c>
      <c r="N106" s="2">
        <f t="shared" si="62"/>
        <v>5.0726100000000045</v>
      </c>
      <c r="O106" s="2">
        <v>14</v>
      </c>
      <c r="P106">
        <f t="shared" si="63"/>
        <v>15.945875143797537</v>
      </c>
      <c r="Y106" s="300">
        <v>-2</v>
      </c>
      <c r="AA106" s="13">
        <v>30.314340000000001</v>
      </c>
      <c r="AB106" s="2">
        <v>32.262529999999998</v>
      </c>
      <c r="AC106" s="2">
        <f t="shared" si="65"/>
        <v>1.9481899999999968</v>
      </c>
      <c r="AD106" s="2">
        <f t="shared" si="66"/>
        <v>4.4843900000000048</v>
      </c>
      <c r="AE106" s="2">
        <f t="shared" si="67"/>
        <v>0.30286292591774938</v>
      </c>
      <c r="AF106" s="2">
        <f t="shared" si="68"/>
        <v>0.69713707408225067</v>
      </c>
      <c r="AG106" s="2">
        <f t="shared" si="69"/>
        <v>0.51329695768893269</v>
      </c>
      <c r="AH106" s="2">
        <f t="shared" si="70"/>
        <v>0.15545861847034934</v>
      </c>
      <c r="AI106" s="2">
        <f t="shared" si="71"/>
        <v>6.4325800000000015</v>
      </c>
      <c r="AJ106" s="2">
        <v>12</v>
      </c>
      <c r="AK106">
        <f t="shared" si="72"/>
        <v>6.1595634922671918</v>
      </c>
    </row>
    <row r="107" spans="4:39" x14ac:dyDescent="0.35">
      <c r="D107" s="300">
        <v>15</v>
      </c>
      <c r="F107" s="13">
        <v>40.204160000000002</v>
      </c>
      <c r="G107" s="13">
        <v>41.32779</v>
      </c>
      <c r="H107" s="2">
        <f t="shared" si="56"/>
        <v>1.1236299999999986</v>
      </c>
      <c r="I107" s="2">
        <f t="shared" si="57"/>
        <v>1.355870000000003</v>
      </c>
      <c r="J107" s="2">
        <f t="shared" si="58"/>
        <v>0.45316797741480053</v>
      </c>
      <c r="K107" s="2">
        <f t="shared" si="59"/>
        <v>0.54683202258519947</v>
      </c>
      <c r="L107" s="2">
        <f t="shared" si="60"/>
        <v>0.88997267783879153</v>
      </c>
      <c r="M107" s="2">
        <f t="shared" si="61"/>
        <v>0.40330711837063898</v>
      </c>
      <c r="N107" s="2">
        <f t="shared" si="62"/>
        <v>2.4795000000000016</v>
      </c>
      <c r="O107" s="2">
        <v>16</v>
      </c>
      <c r="P107">
        <f t="shared" si="63"/>
        <v>14.239562845420664</v>
      </c>
      <c r="Y107" s="300">
        <v>-2</v>
      </c>
      <c r="AA107" s="13">
        <v>36.746920000000003</v>
      </c>
      <c r="AB107" s="2">
        <v>38.722149999999999</v>
      </c>
      <c r="AC107" s="2">
        <f t="shared" si="65"/>
        <v>1.9752299999999963</v>
      </c>
      <c r="AD107" s="2">
        <f t="shared" si="66"/>
        <v>4.4273099999999985</v>
      </c>
      <c r="AE107" s="2">
        <f t="shared" si="67"/>
        <v>0.30850724868567753</v>
      </c>
      <c r="AF107" s="2">
        <f t="shared" si="68"/>
        <v>0.69149275131432242</v>
      </c>
      <c r="AG107" s="2">
        <f t="shared" si="69"/>
        <v>0.506270155880582</v>
      </c>
      <c r="AH107" s="2">
        <f t="shared" si="70"/>
        <v>0.15618801288238743</v>
      </c>
      <c r="AI107" s="2">
        <f t="shared" si="71"/>
        <v>6.4025399999999948</v>
      </c>
      <c r="AJ107" s="2">
        <v>20</v>
      </c>
      <c r="AK107">
        <f t="shared" si="72"/>
        <v>10.12540311761164</v>
      </c>
    </row>
    <row r="108" spans="4:39" x14ac:dyDescent="0.35">
      <c r="D108" s="300">
        <v>15</v>
      </c>
      <c r="F108" s="13">
        <v>42.683660000000003</v>
      </c>
      <c r="G108" s="13">
        <v>43.387790000000003</v>
      </c>
      <c r="H108" s="2">
        <f t="shared" si="56"/>
        <v>0.70412999999999926</v>
      </c>
      <c r="I108" s="2">
        <f t="shared" si="57"/>
        <v>1.7055399999999992</v>
      </c>
      <c r="J108" s="2">
        <f t="shared" si="58"/>
        <v>0.2922101366577165</v>
      </c>
      <c r="K108" s="2">
        <f t="shared" si="59"/>
        <v>0.70778986334228355</v>
      </c>
      <c r="L108" s="2">
        <f t="shared" si="60"/>
        <v>1.4201922940366141</v>
      </c>
      <c r="M108" s="2">
        <f t="shared" si="61"/>
        <v>0.41499458432067488</v>
      </c>
      <c r="N108" s="2">
        <f t="shared" si="62"/>
        <v>2.4096699999999984</v>
      </c>
      <c r="O108" s="2">
        <v>10</v>
      </c>
      <c r="P108">
        <f t="shared" si="63"/>
        <v>14.20192294036614</v>
      </c>
      <c r="Y108" s="300">
        <v>-2</v>
      </c>
      <c r="AA108" s="13">
        <v>43.149459999999998</v>
      </c>
      <c r="AB108" s="2">
        <v>45.119909999999997</v>
      </c>
      <c r="AC108" s="2">
        <f t="shared" si="65"/>
        <v>1.9704499999999996</v>
      </c>
      <c r="AD108" s="2">
        <f t="shared" si="66"/>
        <v>4.5755499999999998</v>
      </c>
      <c r="AE108" s="2">
        <f t="shared" si="67"/>
        <v>0.30101588756492509</v>
      </c>
      <c r="AF108" s="2">
        <f t="shared" si="68"/>
        <v>0.69898411243507486</v>
      </c>
      <c r="AG108" s="2">
        <f t="shared" si="69"/>
        <v>0.50749828719328083</v>
      </c>
      <c r="AH108" s="2">
        <f t="shared" si="70"/>
        <v>0.1527650473571647</v>
      </c>
      <c r="AI108" s="2">
        <f t="shared" si="71"/>
        <v>6.5459999999999994</v>
      </c>
      <c r="AJ108" s="2">
        <v>16</v>
      </c>
      <c r="AK108">
        <f t="shared" si="72"/>
        <v>8.1199725950924933</v>
      </c>
    </row>
    <row r="109" spans="4:39" x14ac:dyDescent="0.35">
      <c r="D109" s="300">
        <v>15</v>
      </c>
      <c r="F109" s="13">
        <v>45.093330000000002</v>
      </c>
      <c r="G109" s="13">
        <v>45.459220000000002</v>
      </c>
      <c r="H109" s="2">
        <f t="shared" si="56"/>
        <v>0.36589000000000027</v>
      </c>
      <c r="I109" s="2">
        <f t="shared" si="57"/>
        <v>2.165779999999998</v>
      </c>
      <c r="J109" s="2">
        <f t="shared" si="58"/>
        <v>0.14452515533225124</v>
      </c>
      <c r="K109" s="2">
        <f t="shared" si="59"/>
        <v>0.8554748446677487</v>
      </c>
      <c r="L109" s="2">
        <f t="shared" si="60"/>
        <v>2.733061849189645</v>
      </c>
      <c r="M109" s="2">
        <f t="shared" si="61"/>
        <v>0.39499618828678329</v>
      </c>
      <c r="N109" s="2">
        <f t="shared" si="62"/>
        <v>2.5316699999999983</v>
      </c>
      <c r="O109" s="2">
        <v>6</v>
      </c>
      <c r="P109">
        <f t="shared" si="63"/>
        <v>16.398371095137872</v>
      </c>
      <c r="Y109" s="300">
        <v>-2</v>
      </c>
      <c r="AA109" s="13">
        <v>49.695459999999997</v>
      </c>
      <c r="AB109" s="2">
        <v>51.367359999999998</v>
      </c>
      <c r="AC109" s="2">
        <f t="shared" si="65"/>
        <v>1.6719000000000008</v>
      </c>
      <c r="AD109" s="2">
        <f t="shared" si="66"/>
        <v>4.7394999999999996</v>
      </c>
      <c r="AE109" s="2">
        <f t="shared" si="67"/>
        <v>0.26076987865364831</v>
      </c>
      <c r="AF109" s="2">
        <f t="shared" si="68"/>
        <v>0.73923012134635169</v>
      </c>
      <c r="AG109" s="2">
        <f t="shared" si="69"/>
        <v>0.59812189724265774</v>
      </c>
      <c r="AH109" s="2">
        <f t="shared" si="70"/>
        <v>0.15597217456405776</v>
      </c>
      <c r="AI109" s="2">
        <f t="shared" si="71"/>
        <v>6.4114000000000004</v>
      </c>
      <c r="AJ109" s="2">
        <v>14</v>
      </c>
      <c r="AK109">
        <f t="shared" si="72"/>
        <v>8.3737065613972081</v>
      </c>
    </row>
    <row r="110" spans="4:39" x14ac:dyDescent="0.35">
      <c r="D110" s="300">
        <v>15</v>
      </c>
      <c r="F110" s="13">
        <v>47.625</v>
      </c>
      <c r="G110" s="13">
        <v>48.711440000000003</v>
      </c>
      <c r="H110" s="2">
        <f t="shared" si="56"/>
        <v>1.0864400000000032</v>
      </c>
      <c r="I110" s="2">
        <f t="shared" si="57"/>
        <v>1.2716399999999979</v>
      </c>
      <c r="J110" s="2">
        <f t="shared" si="58"/>
        <v>0.46073076401140023</v>
      </c>
      <c r="K110" s="2">
        <f t="shared" si="59"/>
        <v>0.53926923598859977</v>
      </c>
      <c r="L110" s="2">
        <f t="shared" si="60"/>
        <v>0.92043739184860374</v>
      </c>
      <c r="M110" s="2">
        <f t="shared" si="61"/>
        <v>0.42407382277106781</v>
      </c>
      <c r="N110" s="2">
        <f t="shared" si="62"/>
        <v>2.3580800000000011</v>
      </c>
      <c r="O110" s="2">
        <v>16</v>
      </c>
      <c r="P110">
        <f t="shared" si="63"/>
        <v>14.72699826957766</v>
      </c>
      <c r="Y110" s="300">
        <v>-2</v>
      </c>
      <c r="AA110" s="13">
        <v>56.106859999999998</v>
      </c>
      <c r="AB110" s="2">
        <v>57.964469999999999</v>
      </c>
      <c r="AC110" s="2">
        <f t="shared" si="65"/>
        <v>1.8576100000000011</v>
      </c>
      <c r="AD110" s="2">
        <f t="shared" si="66"/>
        <v>6.3051199999999952</v>
      </c>
      <c r="AE110" s="2">
        <f t="shared" si="67"/>
        <v>0.2275721480436082</v>
      </c>
      <c r="AF110" s="2">
        <f t="shared" si="68"/>
        <v>0.77242785195639185</v>
      </c>
      <c r="AG110" s="2">
        <f t="shared" si="69"/>
        <v>0.53832612873531016</v>
      </c>
      <c r="AH110" s="2">
        <f t="shared" si="70"/>
        <v>0.12250803346429448</v>
      </c>
      <c r="AI110" s="2">
        <f t="shared" si="71"/>
        <v>8.1627299999999963</v>
      </c>
      <c r="AJ110" s="2">
        <v>16</v>
      </c>
      <c r="AK110">
        <f t="shared" si="72"/>
        <v>8.6132180597649626</v>
      </c>
    </row>
    <row r="111" spans="4:39" x14ac:dyDescent="0.35">
      <c r="D111" s="300">
        <v>15</v>
      </c>
      <c r="F111" s="13">
        <v>49.983080000000001</v>
      </c>
      <c r="G111" s="13">
        <v>50.347169999999998</v>
      </c>
      <c r="H111" s="2">
        <f t="shared" si="56"/>
        <v>0.36408999999999736</v>
      </c>
      <c r="I111" s="2">
        <f t="shared" si="57"/>
        <v>2.1899000000000015</v>
      </c>
      <c r="J111" s="2">
        <f t="shared" si="58"/>
        <v>0.14255733186112612</v>
      </c>
      <c r="K111" s="2">
        <f t="shared" si="59"/>
        <v>0.85744266813887382</v>
      </c>
      <c r="L111" s="2">
        <f t="shared" si="60"/>
        <v>2.746573649372428</v>
      </c>
      <c r="M111" s="2">
        <f t="shared" si="61"/>
        <v>0.39154421121460947</v>
      </c>
      <c r="N111" s="2">
        <f t="shared" si="62"/>
        <v>2.5539899999999989</v>
      </c>
      <c r="O111" s="2">
        <v>6</v>
      </c>
      <c r="P111">
        <f t="shared" si="63"/>
        <v>16.479441896234565</v>
      </c>
      <c r="Y111" s="300">
        <v>-2</v>
      </c>
      <c r="AA111" s="13">
        <v>64.269589999999994</v>
      </c>
      <c r="AB111" s="2">
        <v>66.167910000000006</v>
      </c>
      <c r="AC111" s="2">
        <f t="shared" si="65"/>
        <v>1.8983200000000124</v>
      </c>
      <c r="AD111" s="2">
        <f t="shared" si="66"/>
        <v>7.9128599999999949</v>
      </c>
      <c r="AE111" s="2">
        <f t="shared" si="67"/>
        <v>0.19348539115580501</v>
      </c>
      <c r="AF111" s="2">
        <f t="shared" si="68"/>
        <v>0.80651460884419501</v>
      </c>
      <c r="AG111" s="2">
        <f t="shared" si="69"/>
        <v>0.52678157528761926</v>
      </c>
      <c r="AH111" s="2">
        <f t="shared" si="70"/>
        <v>0.10192453914819617</v>
      </c>
      <c r="AI111" s="2">
        <f t="shared" si="71"/>
        <v>9.8111800000000073</v>
      </c>
      <c r="AJ111" s="2">
        <v>15</v>
      </c>
      <c r="AK111">
        <f t="shared" si="72"/>
        <v>7.9017236293142892</v>
      </c>
    </row>
    <row r="112" spans="4:39" x14ac:dyDescent="0.35">
      <c r="D112" s="300">
        <v>15</v>
      </c>
      <c r="F112" s="13">
        <v>52.53707</v>
      </c>
      <c r="G112" s="13">
        <v>53.552619999999997</v>
      </c>
      <c r="H112" s="2">
        <f t="shared" si="56"/>
        <v>1.0155499999999975</v>
      </c>
      <c r="I112" s="2">
        <f t="shared" si="57"/>
        <v>1.5189900000000023</v>
      </c>
      <c r="J112" s="2">
        <f t="shared" si="58"/>
        <v>0.40068414781380352</v>
      </c>
      <c r="K112" s="2">
        <f t="shared" si="59"/>
        <v>0.59931585218619643</v>
      </c>
      <c r="L112" s="2">
        <f t="shared" si="60"/>
        <v>0.9846881000443134</v>
      </c>
      <c r="M112" s="2">
        <f t="shared" si="61"/>
        <v>0.39454891222864902</v>
      </c>
      <c r="N112" s="2">
        <f t="shared" si="62"/>
        <v>2.5345399999999998</v>
      </c>
      <c r="O112" s="2">
        <v>14</v>
      </c>
      <c r="P112">
        <f t="shared" si="63"/>
        <v>13.785633400620387</v>
      </c>
      <c r="Y112" s="300">
        <v>-2</v>
      </c>
      <c r="AA112" s="13">
        <v>74.080770000000001</v>
      </c>
      <c r="AB112" s="2">
        <v>75.798910000000006</v>
      </c>
      <c r="AC112" s="2">
        <f t="shared" si="65"/>
        <v>1.7181400000000053</v>
      </c>
      <c r="AD112" s="2">
        <f t="shared" si="66"/>
        <v>4.8773099999999943</v>
      </c>
      <c r="AE112" s="2">
        <f t="shared" si="67"/>
        <v>0.26050383218734208</v>
      </c>
      <c r="AF112" s="2">
        <f t="shared" si="68"/>
        <v>0.73949616781265792</v>
      </c>
      <c r="AG112" s="2">
        <f t="shared" si="69"/>
        <v>0.58202474769227008</v>
      </c>
      <c r="AH112" s="2">
        <f t="shared" si="70"/>
        <v>0.15161967720170724</v>
      </c>
      <c r="AI112" s="2">
        <f t="shared" si="71"/>
        <v>6.5954499999999996</v>
      </c>
      <c r="AJ112" s="2">
        <v>17</v>
      </c>
      <c r="AK112">
        <f t="shared" si="72"/>
        <v>9.8944207107685909</v>
      </c>
    </row>
    <row r="113" spans="4:39" x14ac:dyDescent="0.35">
      <c r="D113" s="300">
        <v>15</v>
      </c>
      <c r="F113" s="13">
        <v>55.07161</v>
      </c>
      <c r="G113" s="13">
        <v>55.771709999999999</v>
      </c>
      <c r="H113" s="2">
        <f t="shared" si="56"/>
        <v>0.70009999999999906</v>
      </c>
      <c r="I113" s="2">
        <f t="shared" si="57"/>
        <v>1.910029999999999</v>
      </c>
      <c r="J113" s="2">
        <f t="shared" si="58"/>
        <v>0.26822418806726084</v>
      </c>
      <c r="K113" s="2">
        <f t="shared" si="59"/>
        <v>0.73177581193273911</v>
      </c>
      <c r="L113" s="2">
        <f t="shared" si="60"/>
        <v>1.428367376089132</v>
      </c>
      <c r="M113" s="2">
        <f t="shared" si="61"/>
        <v>0.3831226797132713</v>
      </c>
      <c r="N113" s="2">
        <f t="shared" si="62"/>
        <v>2.6101299999999981</v>
      </c>
      <c r="O113" s="2">
        <v>10</v>
      </c>
      <c r="P113">
        <f t="shared" si="63"/>
        <v>14.28367376089132</v>
      </c>
      <c r="Y113" s="300">
        <v>-2</v>
      </c>
      <c r="AA113" s="13">
        <v>80.676220000000001</v>
      </c>
      <c r="AB113" s="2">
        <v>82.389510000000001</v>
      </c>
      <c r="AC113" s="2">
        <f t="shared" si="65"/>
        <v>1.7132900000000006</v>
      </c>
      <c r="AD113" s="2">
        <f t="shared" si="66"/>
        <v>4.868070000000003</v>
      </c>
      <c r="AE113" s="2">
        <f t="shared" si="67"/>
        <v>0.26032461375764276</v>
      </c>
      <c r="AF113" s="2">
        <f t="shared" si="68"/>
        <v>0.73967538624235729</v>
      </c>
      <c r="AG113" s="2">
        <f t="shared" si="69"/>
        <v>0.58367234968977788</v>
      </c>
      <c r="AH113" s="2">
        <f t="shared" si="70"/>
        <v>0.15194427899400723</v>
      </c>
      <c r="AI113" s="2">
        <f t="shared" si="71"/>
        <v>6.5813600000000037</v>
      </c>
      <c r="AJ113" s="2">
        <v>12</v>
      </c>
      <c r="AK113">
        <f t="shared" si="72"/>
        <v>7.004068196277335</v>
      </c>
    </row>
    <row r="114" spans="4:39" x14ac:dyDescent="0.35">
      <c r="D114" s="300">
        <v>15</v>
      </c>
      <c r="F114" s="13">
        <v>57.681739999999998</v>
      </c>
      <c r="G114" s="13">
        <v>58.056669999999997</v>
      </c>
      <c r="H114" s="2">
        <f t="shared" si="56"/>
        <v>0.3749299999999991</v>
      </c>
      <c r="I114" s="2">
        <f t="shared" si="57"/>
        <v>2.2793000000000063</v>
      </c>
      <c r="J114" s="2">
        <f t="shared" si="58"/>
        <v>0.14125753985148173</v>
      </c>
      <c r="K114" s="2">
        <f t="shared" si="59"/>
        <v>0.85874246014851829</v>
      </c>
      <c r="L114" s="2">
        <f t="shared" si="60"/>
        <v>2.6671645373803172</v>
      </c>
      <c r="M114" s="2">
        <f t="shared" si="61"/>
        <v>0.37675710092945902</v>
      </c>
      <c r="N114" s="2">
        <f t="shared" si="62"/>
        <v>2.6542300000000054</v>
      </c>
      <c r="O114" s="2">
        <v>6</v>
      </c>
      <c r="P114">
        <f t="shared" si="63"/>
        <v>16.002987224281906</v>
      </c>
      <c r="Y114" s="300">
        <v>-2</v>
      </c>
      <c r="AA114" s="13">
        <v>87.257580000000004</v>
      </c>
      <c r="AB114" s="2">
        <v>89.149649999999994</v>
      </c>
      <c r="AC114" s="2">
        <f t="shared" si="65"/>
        <v>1.8920699999999897</v>
      </c>
      <c r="AD114" s="2">
        <f t="shared" si="66"/>
        <v>4.6611800000000017</v>
      </c>
      <c r="AE114" s="2">
        <f t="shared" si="67"/>
        <v>0.28872238965398728</v>
      </c>
      <c r="AF114" s="2">
        <f t="shared" si="68"/>
        <v>0.71127761034601267</v>
      </c>
      <c r="AG114" s="2">
        <f t="shared" si="69"/>
        <v>0.52852167203116451</v>
      </c>
      <c r="AH114" s="2">
        <f t="shared" si="70"/>
        <v>0.15259604013275876</v>
      </c>
      <c r="AI114" s="2">
        <f t="shared" si="71"/>
        <v>6.5532499999999914</v>
      </c>
      <c r="AJ114" s="2">
        <v>17</v>
      </c>
      <c r="AK114">
        <f t="shared" si="72"/>
        <v>8.9848684245297967</v>
      </c>
    </row>
    <row r="115" spans="4:39" x14ac:dyDescent="0.35">
      <c r="D115" s="300">
        <v>15</v>
      </c>
      <c r="F115" s="13">
        <v>60.335970000000003</v>
      </c>
      <c r="G115" s="13">
        <v>61.430120000000002</v>
      </c>
      <c r="H115" s="2">
        <f t="shared" si="56"/>
        <v>1.0941499999999991</v>
      </c>
      <c r="I115" s="2">
        <f t="shared" si="57"/>
        <v>1.3635699999999957</v>
      </c>
      <c r="J115" s="2">
        <f t="shared" si="58"/>
        <v>0.44518903699363693</v>
      </c>
      <c r="K115" s="2">
        <f t="shared" si="59"/>
        <v>0.55481096300636301</v>
      </c>
      <c r="L115" s="2">
        <f t="shared" si="60"/>
        <v>0.91395146917698744</v>
      </c>
      <c r="M115" s="2">
        <f t="shared" si="61"/>
        <v>0.4068811744218227</v>
      </c>
      <c r="N115" s="2">
        <f t="shared" si="62"/>
        <v>2.4577199999999948</v>
      </c>
      <c r="O115" s="2">
        <v>16</v>
      </c>
      <c r="P115">
        <f t="shared" si="63"/>
        <v>14.623223506831799</v>
      </c>
      <c r="Y115" s="300">
        <v>-2</v>
      </c>
      <c r="AA115" s="13">
        <v>93.810829999999996</v>
      </c>
      <c r="AB115" s="2">
        <v>95.580070000000006</v>
      </c>
      <c r="AC115" s="2">
        <f t="shared" si="65"/>
        <v>1.7692400000000106</v>
      </c>
      <c r="AD115" s="2">
        <f t="shared" si="66"/>
        <v>5.0348499999999916</v>
      </c>
      <c r="AE115" s="2">
        <f t="shared" si="67"/>
        <v>0.26002595497708142</v>
      </c>
      <c r="AF115" s="2">
        <f t="shared" si="68"/>
        <v>0.73997404502291853</v>
      </c>
      <c r="AG115" s="2">
        <f t="shared" si="69"/>
        <v>0.56521444235942775</v>
      </c>
      <c r="AH115" s="2">
        <f t="shared" si="70"/>
        <v>0.14697042514134875</v>
      </c>
      <c r="AI115" s="2">
        <f t="shared" si="71"/>
        <v>6.8040900000000022</v>
      </c>
      <c r="AJ115" s="2">
        <v>15</v>
      </c>
      <c r="AK115">
        <f t="shared" si="72"/>
        <v>8.4782166353914175</v>
      </c>
    </row>
    <row r="116" spans="4:39" x14ac:dyDescent="0.35">
      <c r="D116" s="300">
        <v>15</v>
      </c>
      <c r="F116" s="13">
        <v>62.793689999999998</v>
      </c>
      <c r="G116" s="13">
        <v>63.350149999999999</v>
      </c>
      <c r="H116" s="2">
        <f t="shared" si="56"/>
        <v>0.55646000000000129</v>
      </c>
      <c r="I116" s="2">
        <f t="shared" si="57"/>
        <v>1.9082099999999969</v>
      </c>
      <c r="J116" s="2">
        <f t="shared" si="58"/>
        <v>0.22577464731586855</v>
      </c>
      <c r="K116" s="2">
        <f t="shared" si="59"/>
        <v>0.77422535268413151</v>
      </c>
      <c r="L116" s="2">
        <f t="shared" si="60"/>
        <v>1.7970743629371342</v>
      </c>
      <c r="M116" s="2">
        <f t="shared" si="61"/>
        <v>0.4057338304925206</v>
      </c>
      <c r="N116" s="2">
        <f t="shared" si="62"/>
        <v>2.4646699999999981</v>
      </c>
      <c r="O116" s="2">
        <v>8</v>
      </c>
      <c r="P116">
        <f t="shared" si="63"/>
        <v>14.376594903497073</v>
      </c>
      <c r="Y116" s="300">
        <v>-2</v>
      </c>
      <c r="AA116" s="13">
        <v>100.61492</v>
      </c>
      <c r="AB116" s="2">
        <v>102.37808</v>
      </c>
      <c r="AC116" s="2">
        <f t="shared" si="65"/>
        <v>1.7631599999999992</v>
      </c>
      <c r="AD116" s="2">
        <f t="shared" si="66"/>
        <v>6.9687399999999968</v>
      </c>
      <c r="AE116" s="2">
        <f t="shared" si="67"/>
        <v>0.20192168943757946</v>
      </c>
      <c r="AF116" s="2">
        <f t="shared" si="68"/>
        <v>0.79807831056242051</v>
      </c>
      <c r="AG116" s="2">
        <f t="shared" si="69"/>
        <v>0.56716350189432641</v>
      </c>
      <c r="AH116" s="2">
        <f t="shared" si="70"/>
        <v>0.11452261248983617</v>
      </c>
      <c r="AI116" s="2">
        <f t="shared" si="71"/>
        <v>8.731899999999996</v>
      </c>
      <c r="AJ116" s="2">
        <v>14</v>
      </c>
      <c r="AK116">
        <f t="shared" si="72"/>
        <v>7.9402890265205688</v>
      </c>
    </row>
    <row r="117" spans="4:39" x14ac:dyDescent="0.35">
      <c r="D117" s="300">
        <v>15</v>
      </c>
      <c r="F117" s="13">
        <v>65.258359999999996</v>
      </c>
      <c r="G117" s="13">
        <v>66.180599999999998</v>
      </c>
      <c r="H117" s="2">
        <f t="shared" si="56"/>
        <v>0.92224000000000217</v>
      </c>
      <c r="I117" s="2">
        <f t="shared" si="57"/>
        <v>4.0138600000000082</v>
      </c>
      <c r="J117" s="2">
        <f t="shared" si="58"/>
        <v>0.18683576102591118</v>
      </c>
      <c r="K117" s="2">
        <f t="shared" si="59"/>
        <v>0.81316423897408885</v>
      </c>
      <c r="L117" s="2">
        <f t="shared" si="60"/>
        <v>1.0843164469118642</v>
      </c>
      <c r="M117" s="2">
        <f t="shared" si="61"/>
        <v>0.20258908855169019</v>
      </c>
      <c r="N117" s="2">
        <f t="shared" si="62"/>
        <v>4.9361000000000104</v>
      </c>
      <c r="O117" s="2">
        <v>12</v>
      </c>
      <c r="P117">
        <f t="shared" si="63"/>
        <v>13.011797362942371</v>
      </c>
      <c r="Y117" s="300">
        <v>-2</v>
      </c>
      <c r="AA117" s="13">
        <v>109.34681999999999</v>
      </c>
      <c r="AB117" s="2">
        <v>111.20305999999999</v>
      </c>
      <c r="AC117" s="2">
        <f t="shared" si="65"/>
        <v>1.8562399999999997</v>
      </c>
      <c r="AD117" s="2">
        <f t="shared" si="66"/>
        <v>1.5670500000000089</v>
      </c>
      <c r="AE117" s="2">
        <f t="shared" si="67"/>
        <v>0.54223860672043411</v>
      </c>
      <c r="AF117" s="2">
        <f t="shared" si="68"/>
        <v>0.45776139327956583</v>
      </c>
      <c r="AG117" s="2">
        <f t="shared" si="69"/>
        <v>0.53872344093436209</v>
      </c>
      <c r="AH117" s="2">
        <f t="shared" si="70"/>
        <v>0.29211664801988657</v>
      </c>
      <c r="AI117" s="2">
        <f t="shared" si="71"/>
        <v>3.4232900000000086</v>
      </c>
      <c r="AJ117" s="2">
        <v>16</v>
      </c>
      <c r="AK117">
        <f t="shared" si="72"/>
        <v>8.6195750549497934</v>
      </c>
    </row>
    <row r="118" spans="4:39" x14ac:dyDescent="0.35">
      <c r="D118" s="300">
        <v>15</v>
      </c>
      <c r="F118" s="13">
        <v>70.194460000000007</v>
      </c>
      <c r="G118" s="13">
        <v>71.250960000000006</v>
      </c>
      <c r="H118" s="2">
        <f t="shared" si="56"/>
        <v>1.0564999999999998</v>
      </c>
      <c r="I118" s="2">
        <f t="shared" si="57"/>
        <v>1.2953599999999881</v>
      </c>
      <c r="J118" s="2">
        <f t="shared" si="58"/>
        <v>0.44921891609194647</v>
      </c>
      <c r="K118" s="2">
        <f t="shared" si="59"/>
        <v>0.55078108390805358</v>
      </c>
      <c r="L118" s="2">
        <f t="shared" si="60"/>
        <v>0.9465215333648842</v>
      </c>
      <c r="M118" s="2">
        <f t="shared" si="61"/>
        <v>0.42519537727586043</v>
      </c>
      <c r="N118" s="2">
        <f t="shared" si="62"/>
        <v>2.3518599999999878</v>
      </c>
      <c r="O118" s="2">
        <v>14</v>
      </c>
      <c r="P118">
        <f t="shared" si="63"/>
        <v>13.25130146710838</v>
      </c>
      <c r="Y118" s="300">
        <v>-2</v>
      </c>
      <c r="AA118" s="13">
        <v>112.77011</v>
      </c>
      <c r="AB118" s="2">
        <v>114.64566000000001</v>
      </c>
      <c r="AC118" s="2">
        <f t="shared" si="65"/>
        <v>1.875550000000004</v>
      </c>
      <c r="AD118" s="2">
        <f t="shared" si="66"/>
        <v>3.3180499999999995</v>
      </c>
      <c r="AE118" s="2">
        <f t="shared" si="67"/>
        <v>0.36112715650030858</v>
      </c>
      <c r="AF118" s="2">
        <f t="shared" si="68"/>
        <v>0.63887284349969142</v>
      </c>
      <c r="AG118" s="2">
        <f t="shared" si="69"/>
        <v>0.53317693476580086</v>
      </c>
      <c r="AH118" s="2">
        <f t="shared" si="70"/>
        <v>0.19254467036352421</v>
      </c>
      <c r="AI118" s="2">
        <f t="shared" si="71"/>
        <v>5.1936000000000035</v>
      </c>
      <c r="AJ118" s="2">
        <v>15</v>
      </c>
      <c r="AK118">
        <f t="shared" si="72"/>
        <v>7.9976540214870129</v>
      </c>
    </row>
    <row r="119" spans="4:39" x14ac:dyDescent="0.35">
      <c r="D119" s="300">
        <v>15</v>
      </c>
      <c r="F119" s="13">
        <v>72.546319999999994</v>
      </c>
      <c r="G119" s="13">
        <v>73.423940000000002</v>
      </c>
      <c r="H119" s="2">
        <f t="shared" si="56"/>
        <v>0.87762000000000739</v>
      </c>
      <c r="I119" s="2">
        <f t="shared" si="57"/>
        <v>1.5864200000000039</v>
      </c>
      <c r="J119" s="2">
        <f t="shared" si="58"/>
        <v>0.35617116605250049</v>
      </c>
      <c r="K119" s="2">
        <f t="shared" si="59"/>
        <v>0.64382883394749946</v>
      </c>
      <c r="L119" s="2">
        <f t="shared" si="60"/>
        <v>1.1394453180191786</v>
      </c>
      <c r="M119" s="2">
        <f t="shared" si="61"/>
        <v>0.40583756757195316</v>
      </c>
      <c r="N119" s="2">
        <f t="shared" si="62"/>
        <v>2.4640400000000113</v>
      </c>
      <c r="O119" s="2">
        <v>12</v>
      </c>
      <c r="P119">
        <f t="shared" si="63"/>
        <v>13.673343816230144</v>
      </c>
      <c r="Y119" s="300">
        <v>-2</v>
      </c>
      <c r="AA119" s="13">
        <v>117.96371000000001</v>
      </c>
      <c r="AB119" s="2">
        <v>119.71858</v>
      </c>
      <c r="AC119" s="2">
        <f t="shared" si="65"/>
        <v>1.7548699999999968</v>
      </c>
      <c r="AD119" s="2">
        <f t="shared" si="66"/>
        <v>4.7713899999999967</v>
      </c>
      <c r="AE119" s="2">
        <f t="shared" si="67"/>
        <v>0.26889366957491712</v>
      </c>
      <c r="AF119" s="2">
        <f t="shared" si="68"/>
        <v>0.73110633042508288</v>
      </c>
      <c r="AG119" s="2">
        <f t="shared" si="69"/>
        <v>0.56984278037689506</v>
      </c>
      <c r="AH119" s="2">
        <f t="shared" si="70"/>
        <v>0.15322711629631688</v>
      </c>
      <c r="AI119" s="2">
        <f t="shared" si="71"/>
        <v>6.5262599999999935</v>
      </c>
      <c r="AJ119" s="2">
        <v>11</v>
      </c>
      <c r="AK119">
        <f t="shared" si="72"/>
        <v>6.2682705841458457</v>
      </c>
    </row>
    <row r="120" spans="4:39" x14ac:dyDescent="0.35">
      <c r="D120" s="300">
        <v>15</v>
      </c>
      <c r="F120" s="13">
        <v>75.010360000000006</v>
      </c>
      <c r="G120" s="13">
        <v>75.204740000000001</v>
      </c>
      <c r="H120" s="2">
        <f t="shared" si="56"/>
        <v>0.19437999999999533</v>
      </c>
      <c r="I120" s="2">
        <f t="shared" si="57"/>
        <v>2.2642799999999994</v>
      </c>
      <c r="J120" s="2">
        <f t="shared" si="58"/>
        <v>7.9059324998168007E-2</v>
      </c>
      <c r="K120" s="2">
        <f t="shared" si="59"/>
        <v>0.92094067500183197</v>
      </c>
      <c r="L120" s="2">
        <f t="shared" si="60"/>
        <v>5.1445621977570948</v>
      </c>
      <c r="M120" s="2">
        <f t="shared" si="61"/>
        <v>0.40672561476576757</v>
      </c>
      <c r="N120" s="2">
        <f t="shared" si="62"/>
        <v>2.4586599999999947</v>
      </c>
      <c r="O120" s="2">
        <v>4</v>
      </c>
      <c r="P120">
        <f t="shared" si="63"/>
        <v>20.578248791028379</v>
      </c>
      <c r="Y120" s="300">
        <v>0</v>
      </c>
      <c r="AA120" s="13">
        <v>124.48997</v>
      </c>
      <c r="AB120" s="2">
        <v>126.54259</v>
      </c>
      <c r="AC120" s="2">
        <f t="shared" si="65"/>
        <v>2.0526200000000046</v>
      </c>
      <c r="AD120" s="2">
        <f t="shared" si="66"/>
        <v>5.0426000000000073</v>
      </c>
      <c r="AE120" s="2">
        <f t="shared" si="67"/>
        <v>0.28929617404393398</v>
      </c>
      <c r="AF120" s="2">
        <f t="shared" si="68"/>
        <v>0.71070382595606607</v>
      </c>
      <c r="AG120" s="2">
        <f t="shared" si="69"/>
        <v>0.48718223538696775</v>
      </c>
      <c r="AH120" s="2">
        <f t="shared" si="70"/>
        <v>0.14093995675962104</v>
      </c>
      <c r="AI120" s="2">
        <f t="shared" si="71"/>
        <v>7.0952200000000119</v>
      </c>
      <c r="AJ120" s="2">
        <v>20</v>
      </c>
      <c r="AK120">
        <f t="shared" si="72"/>
        <v>9.7436447077393549</v>
      </c>
      <c r="AM120" t="s">
        <v>801</v>
      </c>
    </row>
    <row r="121" spans="4:39" x14ac:dyDescent="0.35">
      <c r="D121" s="300">
        <v>15</v>
      </c>
      <c r="F121" s="13">
        <v>77.46902</v>
      </c>
      <c r="G121" s="13">
        <v>78.638199999999998</v>
      </c>
      <c r="H121" s="2">
        <f t="shared" si="56"/>
        <v>1.1691799999999972</v>
      </c>
      <c r="I121" s="2">
        <f t="shared" si="57"/>
        <v>1.0893000000000086</v>
      </c>
      <c r="J121" s="2">
        <f t="shared" si="58"/>
        <v>0.51768446034500826</v>
      </c>
      <c r="K121" s="2">
        <f t="shared" si="59"/>
        <v>0.48231553965499174</v>
      </c>
      <c r="L121" s="2">
        <f t="shared" si="60"/>
        <v>0.85530029593390444</v>
      </c>
      <c r="M121" s="2">
        <f t="shared" si="61"/>
        <v>0.44277567213346913</v>
      </c>
      <c r="N121" s="2">
        <f t="shared" si="62"/>
        <v>2.2584800000000058</v>
      </c>
      <c r="O121" s="2">
        <v>16</v>
      </c>
      <c r="P121">
        <f t="shared" si="63"/>
        <v>13.684804734942471</v>
      </c>
      <c r="Y121" s="300">
        <v>0</v>
      </c>
      <c r="AA121" s="13">
        <v>131.58519000000001</v>
      </c>
      <c r="AB121" s="2">
        <v>133.37834000000001</v>
      </c>
      <c r="AC121" s="2">
        <f t="shared" si="65"/>
        <v>1.7931499999999971</v>
      </c>
      <c r="AD121" s="2">
        <f t="shared" si="66"/>
        <v>3.4185300000000041</v>
      </c>
      <c r="AE121" s="2">
        <f t="shared" si="67"/>
        <v>0.34406371841709327</v>
      </c>
      <c r="AF121" s="2">
        <f t="shared" si="68"/>
        <v>0.65593628158290673</v>
      </c>
      <c r="AG121" s="2">
        <f t="shared" si="69"/>
        <v>0.55767782951788836</v>
      </c>
      <c r="AH121" s="2">
        <f t="shared" si="70"/>
        <v>0.19187670770269852</v>
      </c>
      <c r="AI121" s="2">
        <f t="shared" si="71"/>
        <v>5.2116800000000012</v>
      </c>
      <c r="AJ121" s="2">
        <v>18</v>
      </c>
      <c r="AK121">
        <f t="shared" si="72"/>
        <v>10.038200931321992</v>
      </c>
    </row>
    <row r="122" spans="4:39" x14ac:dyDescent="0.35">
      <c r="D122" s="300">
        <v>15</v>
      </c>
      <c r="F122" s="13">
        <v>79.727500000000006</v>
      </c>
      <c r="G122" s="13">
        <v>79.918819999999997</v>
      </c>
      <c r="H122" s="2">
        <f t="shared" si="56"/>
        <v>0.19131999999999039</v>
      </c>
      <c r="I122" s="2">
        <f t="shared" si="57"/>
        <v>2.3605700000000098</v>
      </c>
      <c r="J122" s="2">
        <f t="shared" si="58"/>
        <v>7.4971883584319998E-2</v>
      </c>
      <c r="K122" s="2">
        <f t="shared" si="59"/>
        <v>0.92502811641567995</v>
      </c>
      <c r="L122" s="2">
        <f t="shared" si="60"/>
        <v>5.226845076312201</v>
      </c>
      <c r="M122" s="2">
        <f t="shared" si="61"/>
        <v>0.39186642057455451</v>
      </c>
      <c r="N122" s="2">
        <f t="shared" si="62"/>
        <v>2.5518900000000002</v>
      </c>
      <c r="O122" s="2">
        <v>4</v>
      </c>
      <c r="P122">
        <f t="shared" si="63"/>
        <v>20.907380305248804</v>
      </c>
      <c r="Y122" s="300">
        <v>0</v>
      </c>
      <c r="AA122" s="13">
        <v>136.79687000000001</v>
      </c>
      <c r="AB122" s="2">
        <v>138.65235000000001</v>
      </c>
      <c r="AC122" s="2">
        <f t="shared" si="65"/>
        <v>1.85548</v>
      </c>
      <c r="AD122" s="2">
        <f t="shared" si="66"/>
        <v>5.0142099999999914</v>
      </c>
      <c r="AE122" s="2">
        <f t="shared" si="67"/>
        <v>0.27009661280203362</v>
      </c>
      <c r="AF122" s="2">
        <f t="shared" si="68"/>
        <v>0.72990338719796644</v>
      </c>
      <c r="AG122" s="2">
        <f t="shared" si="69"/>
        <v>0.53894410071787358</v>
      </c>
      <c r="AH122" s="2">
        <f t="shared" si="70"/>
        <v>0.14556697609353569</v>
      </c>
      <c r="AI122" s="2">
        <f t="shared" si="71"/>
        <v>6.8696899999999914</v>
      </c>
      <c r="AJ122" s="2">
        <v>20</v>
      </c>
      <c r="AK122">
        <f t="shared" si="72"/>
        <v>10.778882014357471</v>
      </c>
    </row>
    <row r="123" spans="4:39" x14ac:dyDescent="0.35">
      <c r="D123" s="300">
        <v>15</v>
      </c>
      <c r="F123" s="13">
        <v>82.279390000000006</v>
      </c>
      <c r="G123" s="13">
        <v>83.077680000000001</v>
      </c>
      <c r="H123" s="2">
        <f t="shared" si="56"/>
        <v>0.79828999999999439</v>
      </c>
      <c r="I123" s="2">
        <f t="shared" si="57"/>
        <v>1.594939999999994</v>
      </c>
      <c r="J123" s="2">
        <f t="shared" si="58"/>
        <v>0.33356175545183631</v>
      </c>
      <c r="K123" s="2">
        <f t="shared" si="59"/>
        <v>0.66643824454816369</v>
      </c>
      <c r="L123" s="2">
        <f t="shared" si="60"/>
        <v>1.2526775983665173</v>
      </c>
      <c r="M123" s="2">
        <f t="shared" si="61"/>
        <v>0.41784533872632584</v>
      </c>
      <c r="N123" s="2">
        <f t="shared" si="62"/>
        <v>2.3932299999999884</v>
      </c>
      <c r="O123" s="2">
        <v>12</v>
      </c>
      <c r="P123">
        <f t="shared" si="63"/>
        <v>15.032131180398206</v>
      </c>
      <c r="Y123" s="300">
        <v>0</v>
      </c>
      <c r="AA123" s="13">
        <v>143.66656</v>
      </c>
      <c r="AB123" s="2">
        <v>145.58207999999999</v>
      </c>
      <c r="AC123" s="2">
        <f t="shared" si="65"/>
        <v>1.9155199999999866</v>
      </c>
      <c r="AD123" s="2">
        <f t="shared" si="66"/>
        <v>5.1047300000000178</v>
      </c>
      <c r="AE123" s="2">
        <f t="shared" si="67"/>
        <v>0.27285637975855354</v>
      </c>
      <c r="AF123" s="2">
        <f t="shared" si="68"/>
        <v>0.72714362024144652</v>
      </c>
      <c r="AG123" s="2">
        <f t="shared" si="69"/>
        <v>0.52205145339124992</v>
      </c>
      <c r="AH123" s="2">
        <f t="shared" si="70"/>
        <v>0.14244506962002768</v>
      </c>
      <c r="AI123" s="2">
        <f t="shared" si="71"/>
        <v>7.0202500000000043</v>
      </c>
      <c r="AJ123" s="2">
        <v>19</v>
      </c>
      <c r="AK123">
        <f t="shared" si="72"/>
        <v>9.9189776144337483</v>
      </c>
    </row>
    <row r="124" spans="4:39" x14ac:dyDescent="0.35">
      <c r="D124" s="300">
        <v>15</v>
      </c>
      <c r="F124" s="13">
        <v>84.672619999999995</v>
      </c>
      <c r="G124" s="13">
        <v>84.856430000000003</v>
      </c>
      <c r="H124" s="2">
        <f t="shared" si="56"/>
        <v>0.18381000000000824</v>
      </c>
      <c r="I124" s="2">
        <f t="shared" si="57"/>
        <v>2.3205399999999941</v>
      </c>
      <c r="J124" s="2">
        <f t="shared" si="58"/>
        <v>7.3396290454612212E-2</v>
      </c>
      <c r="K124" s="2">
        <f t="shared" si="59"/>
        <v>0.92660370954538784</v>
      </c>
      <c r="L124" s="2">
        <f t="shared" si="60"/>
        <v>5.4404004134701873</v>
      </c>
      <c r="M124" s="2">
        <f t="shared" si="61"/>
        <v>0.39930520893645022</v>
      </c>
      <c r="N124" s="2">
        <f t="shared" si="62"/>
        <v>2.5043500000000023</v>
      </c>
      <c r="O124" s="2">
        <v>4</v>
      </c>
      <c r="P124">
        <f t="shared" si="63"/>
        <v>21.761601653880749</v>
      </c>
      <c r="Y124" s="300">
        <v>0</v>
      </c>
      <c r="AA124" s="13">
        <v>150.68681000000001</v>
      </c>
      <c r="AB124" s="2">
        <v>152.57749000000001</v>
      </c>
      <c r="AC124" s="2">
        <f t="shared" si="65"/>
        <v>1.8906800000000032</v>
      </c>
      <c r="AD124" s="2">
        <f t="shared" si="66"/>
        <v>5.0291699999999935</v>
      </c>
      <c r="AE124" s="2">
        <f t="shared" si="67"/>
        <v>0.27322557569889583</v>
      </c>
      <c r="AF124" s="2">
        <f t="shared" si="68"/>
        <v>0.72677442430110417</v>
      </c>
      <c r="AG124" s="2">
        <f t="shared" si="69"/>
        <v>0.52891023335519405</v>
      </c>
      <c r="AH124" s="2">
        <f t="shared" si="70"/>
        <v>0.1445118030015102</v>
      </c>
      <c r="AI124" s="2">
        <f t="shared" si="71"/>
        <v>6.9198499999999967</v>
      </c>
      <c r="AJ124" s="2">
        <v>16</v>
      </c>
      <c r="AK124">
        <f t="shared" si="72"/>
        <v>8.4625637336831048</v>
      </c>
    </row>
    <row r="125" spans="4:39" x14ac:dyDescent="0.35">
      <c r="D125" s="300">
        <v>15</v>
      </c>
      <c r="F125" s="13">
        <v>87.176969999999997</v>
      </c>
      <c r="G125" s="13">
        <v>88.313140000000004</v>
      </c>
      <c r="H125" s="2">
        <f t="shared" si="56"/>
        <v>1.136170000000007</v>
      </c>
      <c r="I125" s="2">
        <f t="shared" si="57"/>
        <v>1.2718500000000006</v>
      </c>
      <c r="J125" s="2">
        <f t="shared" si="58"/>
        <v>0.47182747651597723</v>
      </c>
      <c r="K125" s="2">
        <f t="shared" si="59"/>
        <v>0.52817252348402277</v>
      </c>
      <c r="L125" s="2">
        <f t="shared" si="60"/>
        <v>0.88014997755617019</v>
      </c>
      <c r="M125" s="2">
        <f t="shared" si="61"/>
        <v>0.41527894286592171</v>
      </c>
      <c r="N125" s="2">
        <f t="shared" si="62"/>
        <v>2.4080200000000076</v>
      </c>
      <c r="O125" s="2">
        <v>16</v>
      </c>
      <c r="P125">
        <f t="shared" si="63"/>
        <v>14.082399640898723</v>
      </c>
      <c r="Y125" s="300">
        <v>0</v>
      </c>
      <c r="AA125" s="13">
        <v>157.60666000000001</v>
      </c>
      <c r="AB125" s="2">
        <v>159.76173</v>
      </c>
      <c r="AC125" s="2">
        <f t="shared" si="65"/>
        <v>2.1550699999999949</v>
      </c>
      <c r="AD125" s="2">
        <f t="shared" si="66"/>
        <v>4.9734899999999982</v>
      </c>
      <c r="AE125" s="2">
        <f t="shared" si="67"/>
        <v>0.3023149135309231</v>
      </c>
      <c r="AF125" s="2">
        <f t="shared" si="68"/>
        <v>0.6976850864690769</v>
      </c>
      <c r="AG125" s="2">
        <f t="shared" si="69"/>
        <v>0.46402205032783267</v>
      </c>
      <c r="AH125" s="2">
        <f t="shared" si="70"/>
        <v>0.14028078602130037</v>
      </c>
      <c r="AI125" s="2">
        <f t="shared" si="71"/>
        <v>7.1285599999999931</v>
      </c>
      <c r="AJ125" s="2">
        <v>26</v>
      </c>
      <c r="AK125">
        <f t="shared" si="72"/>
        <v>12.064573308523649</v>
      </c>
    </row>
    <row r="126" spans="4:39" x14ac:dyDescent="0.35">
      <c r="D126" s="300">
        <v>15</v>
      </c>
      <c r="F126" s="13">
        <v>89.584990000000005</v>
      </c>
      <c r="G126" s="13">
        <v>89.962969999999999</v>
      </c>
      <c r="H126" s="2">
        <f t="shared" si="56"/>
        <v>0.37797999999999377</v>
      </c>
      <c r="I126" s="2">
        <f t="shared" si="57"/>
        <v>1.9706400000000031</v>
      </c>
      <c r="J126" s="2">
        <f t="shared" si="58"/>
        <v>0.16093706091236312</v>
      </c>
      <c r="K126" s="2">
        <f t="shared" si="59"/>
        <v>0.83906293908763685</v>
      </c>
      <c r="L126" s="2">
        <f t="shared" si="60"/>
        <v>2.6456426265940434</v>
      </c>
      <c r="M126" s="2">
        <f t="shared" si="61"/>
        <v>0.42578194854850993</v>
      </c>
      <c r="N126" s="2">
        <f t="shared" si="62"/>
        <v>2.3486199999999968</v>
      </c>
      <c r="O126" s="2">
        <v>6</v>
      </c>
      <c r="P126">
        <f t="shared" si="63"/>
        <v>15.873855759564259</v>
      </c>
      <c r="Y126" s="300">
        <v>0</v>
      </c>
      <c r="AA126" s="13">
        <v>164.73522</v>
      </c>
      <c r="AB126" s="2">
        <v>166.79885999999999</v>
      </c>
      <c r="AC126" s="2">
        <f t="shared" si="65"/>
        <v>2.0636399999999924</v>
      </c>
      <c r="AD126" s="2">
        <f t="shared" si="66"/>
        <v>4.8751500000000192</v>
      </c>
      <c r="AE126" s="2">
        <f t="shared" si="67"/>
        <v>0.29740632012209461</v>
      </c>
      <c r="AF126" s="2">
        <f t="shared" si="68"/>
        <v>0.70259367987790533</v>
      </c>
      <c r="AG126" s="2">
        <f t="shared" si="69"/>
        <v>0.48458064391076144</v>
      </c>
      <c r="AH126" s="2">
        <f t="shared" si="70"/>
        <v>0.14411734610789464</v>
      </c>
      <c r="AI126" s="2">
        <f t="shared" si="71"/>
        <v>6.9387900000000116</v>
      </c>
      <c r="AJ126" s="2">
        <v>22</v>
      </c>
      <c r="AK126">
        <f t="shared" si="72"/>
        <v>10.660774166036751</v>
      </c>
    </row>
    <row r="127" spans="4:39" x14ac:dyDescent="0.35">
      <c r="D127" s="300">
        <v>15</v>
      </c>
      <c r="F127" s="13">
        <v>91.933610000000002</v>
      </c>
      <c r="G127" s="13">
        <v>92.097449999999995</v>
      </c>
      <c r="H127" s="2">
        <f t="shared" si="56"/>
        <v>0.16383999999999332</v>
      </c>
      <c r="I127" s="2">
        <f t="shared" si="57"/>
        <v>2.3325099999999992</v>
      </c>
      <c r="J127" s="2">
        <f t="shared" si="58"/>
        <v>6.5631822460790273E-2</v>
      </c>
      <c r="K127" s="2">
        <f t="shared" si="59"/>
        <v>0.93436817753920975</v>
      </c>
      <c r="L127" s="2">
        <f t="shared" si="60"/>
        <v>6.1035156250002487</v>
      </c>
      <c r="M127" s="2">
        <f t="shared" si="61"/>
        <v>0.40058485388667575</v>
      </c>
      <c r="N127" s="2">
        <f t="shared" si="62"/>
        <v>2.4963499999999925</v>
      </c>
      <c r="O127" s="2">
        <v>4</v>
      </c>
      <c r="P127">
        <f t="shared" si="63"/>
        <v>24.414062500000995</v>
      </c>
      <c r="Y127" s="300">
        <v>0</v>
      </c>
      <c r="AA127" s="13">
        <v>171.67401000000001</v>
      </c>
      <c r="AB127" s="2">
        <v>173.62171000000001</v>
      </c>
      <c r="AC127" s="2">
        <f t="shared" si="65"/>
        <v>1.9476999999999975</v>
      </c>
      <c r="AD127" s="2">
        <f t="shared" si="66"/>
        <v>6.8577300000000037</v>
      </c>
      <c r="AE127" s="2">
        <f t="shared" si="67"/>
        <v>0.22119305928273772</v>
      </c>
      <c r="AF127" s="2">
        <f t="shared" si="68"/>
        <v>0.77880694071726231</v>
      </c>
      <c r="AG127" s="2">
        <f t="shared" si="69"/>
        <v>0.51342609231401204</v>
      </c>
      <c r="AH127" s="2">
        <f t="shared" si="70"/>
        <v>0.11356628807451764</v>
      </c>
      <c r="AI127" s="2">
        <f t="shared" si="71"/>
        <v>8.8054300000000012</v>
      </c>
      <c r="AJ127" s="2">
        <v>20</v>
      </c>
      <c r="AK127">
        <f t="shared" si="72"/>
        <v>10.26852184628024</v>
      </c>
    </row>
    <row r="128" spans="4:39" x14ac:dyDescent="0.35">
      <c r="D128" s="300">
        <v>15</v>
      </c>
      <c r="F128" s="13">
        <v>94.429959999999994</v>
      </c>
      <c r="G128" s="13">
        <v>95.202719999999999</v>
      </c>
      <c r="H128" s="2">
        <f t="shared" si="56"/>
        <v>0.77276000000000522</v>
      </c>
      <c r="I128" s="2">
        <f t="shared" si="57"/>
        <v>4.5787600000000026</v>
      </c>
      <c r="J128" s="2">
        <f t="shared" si="58"/>
        <v>0.14440009567375328</v>
      </c>
      <c r="K128" s="2">
        <f t="shared" si="59"/>
        <v>0.85559990432624677</v>
      </c>
      <c r="L128" s="2">
        <f t="shared" si="60"/>
        <v>1.2940628396914866</v>
      </c>
      <c r="M128" s="2">
        <f t="shared" si="61"/>
        <v>0.18686279785929952</v>
      </c>
      <c r="N128" s="2">
        <f t="shared" si="62"/>
        <v>5.3515200000000078</v>
      </c>
      <c r="O128" s="2">
        <v>12</v>
      </c>
      <c r="P128">
        <f t="shared" si="63"/>
        <v>15.52875407629784</v>
      </c>
      <c r="Y128" s="300">
        <v>0</v>
      </c>
      <c r="AA128" s="13">
        <v>180.47944000000001</v>
      </c>
      <c r="AB128" s="2">
        <v>182.41051999999999</v>
      </c>
      <c r="AC128" s="2">
        <f t="shared" si="65"/>
        <v>1.9310799999999801</v>
      </c>
      <c r="AD128" s="2">
        <f t="shared" si="66"/>
        <v>5.1411700000000167</v>
      </c>
      <c r="AE128" s="2">
        <f t="shared" si="67"/>
        <v>0.27305030223761617</v>
      </c>
      <c r="AF128" s="2">
        <f t="shared" si="68"/>
        <v>0.72694969776238383</v>
      </c>
      <c r="AG128" s="2">
        <f t="shared" si="69"/>
        <v>0.51784493651221608</v>
      </c>
      <c r="AH128" s="2">
        <f t="shared" si="70"/>
        <v>0.14139771642687976</v>
      </c>
      <c r="AI128" s="2">
        <f t="shared" si="71"/>
        <v>7.0722499999999968</v>
      </c>
      <c r="AJ128" s="2">
        <v>24</v>
      </c>
      <c r="AK128">
        <f t="shared" si="72"/>
        <v>12.428278476293187</v>
      </c>
    </row>
    <row r="129" spans="1:37" x14ac:dyDescent="0.35">
      <c r="A129" s="2"/>
      <c r="D129" s="300">
        <v>15</v>
      </c>
      <c r="F129" s="13">
        <v>99.781480000000002</v>
      </c>
      <c r="G129" s="13">
        <v>100.88119</v>
      </c>
      <c r="H129" s="2">
        <f t="shared" si="56"/>
        <v>1.0997100000000017</v>
      </c>
      <c r="I129" s="2">
        <f t="shared" si="57"/>
        <v>1.4407499999999942</v>
      </c>
      <c r="J129" s="2">
        <f t="shared" si="58"/>
        <v>0.43287829763113905</v>
      </c>
      <c r="K129" s="2">
        <f t="shared" si="59"/>
        <v>0.56712170236886095</v>
      </c>
      <c r="L129" s="2">
        <f t="shared" si="60"/>
        <v>0.9093306417146324</v>
      </c>
      <c r="M129" s="2">
        <f t="shared" si="61"/>
        <v>0.39362950016926129</v>
      </c>
      <c r="N129" s="2">
        <f t="shared" si="62"/>
        <v>2.5404599999999959</v>
      </c>
      <c r="O129" s="2">
        <v>16</v>
      </c>
      <c r="P129">
        <f t="shared" si="63"/>
        <v>14.549290267434118</v>
      </c>
      <c r="Y129" s="300">
        <v>0</v>
      </c>
      <c r="AA129" s="13">
        <v>187.55169000000001</v>
      </c>
      <c r="AB129" s="2">
        <v>189.57649000000001</v>
      </c>
      <c r="AC129" s="2">
        <f t="shared" si="65"/>
        <v>2.024799999999999</v>
      </c>
      <c r="AD129" s="2">
        <f t="shared" si="66"/>
        <v>5.1333999999999946</v>
      </c>
      <c r="AE129" s="2">
        <f t="shared" si="67"/>
        <v>0.28286440725322021</v>
      </c>
      <c r="AF129" s="2">
        <f t="shared" si="68"/>
        <v>0.71713559274677985</v>
      </c>
      <c r="AG129" s="2">
        <f t="shared" si="69"/>
        <v>0.49387593836428312</v>
      </c>
      <c r="AH129" s="2">
        <f t="shared" si="70"/>
        <v>0.13969992456204086</v>
      </c>
      <c r="AI129" s="2">
        <f t="shared" si="71"/>
        <v>7.1581999999999937</v>
      </c>
      <c r="AJ129" s="2">
        <v>24</v>
      </c>
      <c r="AK129">
        <f t="shared" si="72"/>
        <v>11.853022520742796</v>
      </c>
    </row>
    <row r="130" spans="1:37" x14ac:dyDescent="0.35">
      <c r="A130" s="2"/>
      <c r="D130" s="300">
        <v>15</v>
      </c>
      <c r="F130" s="13">
        <v>102.32194</v>
      </c>
      <c r="G130" s="13">
        <v>102.99446</v>
      </c>
      <c r="H130" s="2">
        <f t="shared" si="56"/>
        <v>0.67252000000000578</v>
      </c>
      <c r="I130" s="2">
        <f t="shared" si="57"/>
        <v>1.9647099999999966</v>
      </c>
      <c r="J130" s="2">
        <f t="shared" si="58"/>
        <v>0.25500999154416004</v>
      </c>
      <c r="K130" s="2">
        <f t="shared" si="59"/>
        <v>0.74499000845583996</v>
      </c>
      <c r="L130" s="2">
        <f t="shared" si="60"/>
        <v>1.4869446261821082</v>
      </c>
      <c r="M130" s="2">
        <f t="shared" si="61"/>
        <v>0.37918573654933363</v>
      </c>
      <c r="N130" s="2">
        <f t="shared" si="62"/>
        <v>2.6372300000000024</v>
      </c>
      <c r="O130" s="2">
        <v>10</v>
      </c>
      <c r="P130">
        <f t="shared" si="63"/>
        <v>14.869446261821082</v>
      </c>
      <c r="Y130" s="300">
        <v>0</v>
      </c>
      <c r="AA130" s="13">
        <v>194.70989</v>
      </c>
      <c r="AB130" s="2">
        <v>196.59857</v>
      </c>
      <c r="AC130" s="2">
        <f t="shared" si="65"/>
        <v>1.8886799999999937</v>
      </c>
      <c r="AD130" s="2">
        <f t="shared" si="66"/>
        <v>5.1499699999999962</v>
      </c>
      <c r="AE130" s="2">
        <f t="shared" si="67"/>
        <v>0.26832986439160866</v>
      </c>
      <c r="AF130" s="2">
        <f t="shared" si="68"/>
        <v>0.73167013560839134</v>
      </c>
      <c r="AG130" s="2">
        <f t="shared" si="69"/>
        <v>0.52947031789398058</v>
      </c>
      <c r="AH130" s="2">
        <f t="shared" si="70"/>
        <v>0.14207269859987376</v>
      </c>
      <c r="AI130" s="2">
        <f t="shared" si="71"/>
        <v>7.0386499999999899</v>
      </c>
      <c r="AJ130" s="2">
        <v>20</v>
      </c>
      <c r="AK130">
        <f t="shared" si="72"/>
        <v>10.589406357879612</v>
      </c>
    </row>
    <row r="131" spans="1:37" x14ac:dyDescent="0.35">
      <c r="A131" s="2"/>
      <c r="B131" s="2"/>
      <c r="D131" s="300">
        <v>15</v>
      </c>
      <c r="F131" s="13">
        <v>104.95917</v>
      </c>
      <c r="G131" s="13">
        <v>105.16269</v>
      </c>
      <c r="H131" s="2">
        <f t="shared" si="56"/>
        <v>0.20351999999999748</v>
      </c>
      <c r="I131" s="2">
        <f t="shared" si="57"/>
        <v>2.4500799999999998</v>
      </c>
      <c r="J131" s="2">
        <f t="shared" si="58"/>
        <v>7.6695809466384421E-2</v>
      </c>
      <c r="K131" s="2">
        <f t="shared" si="59"/>
        <v>0.92330419053361557</v>
      </c>
      <c r="L131" s="2">
        <f t="shared" si="60"/>
        <v>4.9135220125786772</v>
      </c>
      <c r="M131" s="2">
        <f t="shared" si="61"/>
        <v>0.3768465480856199</v>
      </c>
      <c r="N131" s="2">
        <f t="shared" si="62"/>
        <v>2.6535999999999973</v>
      </c>
      <c r="O131" s="2">
        <v>4</v>
      </c>
      <c r="P131">
        <f t="shared" si="63"/>
        <v>19.654088050314709</v>
      </c>
      <c r="Y131" s="300">
        <v>0</v>
      </c>
      <c r="AA131" s="13">
        <v>201.74853999999999</v>
      </c>
      <c r="AB131" s="2">
        <v>203.56082000000001</v>
      </c>
      <c r="AC131" s="2">
        <f t="shared" si="65"/>
        <v>1.8122800000000154</v>
      </c>
      <c r="AD131" s="2">
        <f t="shared" si="66"/>
        <v>3.4182099999999878</v>
      </c>
      <c r="AE131" s="2">
        <f t="shared" si="67"/>
        <v>0.34648379023762865</v>
      </c>
      <c r="AF131" s="2">
        <f t="shared" si="68"/>
        <v>0.65351620976237135</v>
      </c>
      <c r="AG131" s="2">
        <f t="shared" si="69"/>
        <v>0.5517911139558962</v>
      </c>
      <c r="AH131" s="2">
        <f t="shared" si="70"/>
        <v>0.19118667658288219</v>
      </c>
      <c r="AI131" s="2">
        <f t="shared" si="71"/>
        <v>5.2304900000000032</v>
      </c>
      <c r="AJ131" s="2">
        <v>16</v>
      </c>
      <c r="AK131">
        <f t="shared" si="72"/>
        <v>8.8286578232943391</v>
      </c>
    </row>
    <row r="132" spans="1:37" x14ac:dyDescent="0.35">
      <c r="A132" s="2"/>
      <c r="B132" s="2"/>
      <c r="D132" s="300">
        <v>15</v>
      </c>
      <c r="F132" s="13">
        <v>107.61277</v>
      </c>
      <c r="G132" s="13">
        <v>108.67742</v>
      </c>
      <c r="H132" s="2">
        <f t="shared" si="56"/>
        <v>1.0646500000000003</v>
      </c>
      <c r="I132" s="2">
        <f t="shared" si="57"/>
        <v>1.5568700000000035</v>
      </c>
      <c r="J132" s="2">
        <f t="shared" si="58"/>
        <v>0.40611935060575499</v>
      </c>
      <c r="K132" s="2">
        <f t="shared" si="59"/>
        <v>0.59388064939424501</v>
      </c>
      <c r="L132" s="2">
        <f t="shared" si="60"/>
        <v>0.93927581834405649</v>
      </c>
      <c r="M132" s="2">
        <f t="shared" si="61"/>
        <v>0.38145808538557729</v>
      </c>
      <c r="N132" s="2">
        <f t="shared" si="62"/>
        <v>2.6215200000000038</v>
      </c>
      <c r="O132" s="2">
        <v>16</v>
      </c>
      <c r="P132">
        <f t="shared" si="63"/>
        <v>15.028413093504904</v>
      </c>
      <c r="Y132" s="300">
        <v>0</v>
      </c>
      <c r="AA132" s="13">
        <v>206.97902999999999</v>
      </c>
      <c r="AB132" s="2">
        <v>209.08566999999999</v>
      </c>
      <c r="AC132" s="2">
        <f t="shared" si="65"/>
        <v>2.1066399999999987</v>
      </c>
      <c r="AD132" s="2">
        <f t="shared" si="66"/>
        <v>4.916560000000004</v>
      </c>
      <c r="AE132" s="2">
        <f t="shared" si="67"/>
        <v>0.29995443672400018</v>
      </c>
      <c r="AF132" s="2">
        <f t="shared" si="68"/>
        <v>0.70004556327599987</v>
      </c>
      <c r="AG132" s="2">
        <f t="shared" si="69"/>
        <v>0.47468955303231714</v>
      </c>
      <c r="AH132" s="2">
        <f t="shared" si="70"/>
        <v>0.14238523749857609</v>
      </c>
      <c r="AI132" s="2">
        <f t="shared" si="71"/>
        <v>7.0232000000000028</v>
      </c>
      <c r="AJ132" s="2">
        <v>22</v>
      </c>
      <c r="AK132">
        <f>AJ132/AC132</f>
        <v>10.443170166710978</v>
      </c>
    </row>
    <row r="133" spans="1:37" x14ac:dyDescent="0.35">
      <c r="A133" s="2"/>
      <c r="B133" s="2"/>
      <c r="D133" s="300">
        <v>15</v>
      </c>
      <c r="F133" s="13">
        <v>110.23429</v>
      </c>
      <c r="G133" s="13">
        <v>110.58633</v>
      </c>
      <c r="H133" s="2">
        <f t="shared" si="56"/>
        <v>0.35204000000000235</v>
      </c>
      <c r="I133" s="2">
        <f t="shared" si="57"/>
        <v>2.2705500000000001</v>
      </c>
      <c r="J133" s="2">
        <f t="shared" si="58"/>
        <v>0.13423371552549274</v>
      </c>
      <c r="K133" s="2">
        <f t="shared" si="59"/>
        <v>0.86576628447450721</v>
      </c>
      <c r="L133" s="2">
        <f t="shared" si="60"/>
        <v>2.8405862970116842</v>
      </c>
      <c r="M133" s="2">
        <f t="shared" si="61"/>
        <v>0.38130245291867926</v>
      </c>
      <c r="N133" s="2">
        <f t="shared" si="62"/>
        <v>2.6225900000000024</v>
      </c>
      <c r="O133" s="2">
        <v>5</v>
      </c>
      <c r="P133">
        <f t="shared" si="63"/>
        <v>14.202931485058421</v>
      </c>
      <c r="Y133" s="300">
        <v>0</v>
      </c>
      <c r="AA133" s="13">
        <v>214.00223</v>
      </c>
      <c r="AB133" s="2">
        <v>216.12518</v>
      </c>
      <c r="AC133" s="2">
        <f t="shared" si="65"/>
        <v>2.122950000000003</v>
      </c>
      <c r="AD133" s="2">
        <f t="shared" si="66"/>
        <v>5.0729599999999948</v>
      </c>
      <c r="AE133" s="2">
        <f t="shared" si="67"/>
        <v>0.29502175541383974</v>
      </c>
      <c r="AF133" s="2">
        <f t="shared" si="68"/>
        <v>0.70497824458616021</v>
      </c>
      <c r="AG133" s="2">
        <f t="shared" si="69"/>
        <v>0.47104265291222053</v>
      </c>
      <c r="AH133" s="2">
        <f t="shared" si="70"/>
        <v>0.13896783033695534</v>
      </c>
      <c r="AI133" s="2">
        <f t="shared" si="71"/>
        <v>7.1959099999999978</v>
      </c>
      <c r="AJ133" s="2">
        <v>28</v>
      </c>
      <c r="AK133">
        <f>AJ133/AC133</f>
        <v>13.189194281542175</v>
      </c>
    </row>
    <row r="134" spans="1:37" x14ac:dyDescent="0.35">
      <c r="A134" s="2"/>
      <c r="B134" s="2"/>
      <c r="D134" s="300">
        <v>15</v>
      </c>
      <c r="F134" s="13">
        <v>112.85688</v>
      </c>
      <c r="G134" s="13">
        <v>113.93037</v>
      </c>
      <c r="H134" s="2">
        <f t="shared" ref="H134:H159" si="73">G134-F134</f>
        <v>1.0734899999999925</v>
      </c>
      <c r="I134" s="2">
        <f t="shared" ref="I134:I158" si="74">F135-G134</f>
        <v>1.5119800000000083</v>
      </c>
      <c r="J134" s="2">
        <f t="shared" ref="J134:J158" si="75">H134/N134</f>
        <v>0.41520110463474424</v>
      </c>
      <c r="K134" s="2">
        <f t="shared" ref="K134:K158" si="76">I134/N134</f>
        <v>0.58479889536525576</v>
      </c>
      <c r="L134" s="2">
        <f t="shared" ref="L134:L158" si="77">1/H134</f>
        <v>0.93154104835630236</v>
      </c>
      <c r="M134" s="2">
        <f t="shared" si="61"/>
        <v>0.3867768722901444</v>
      </c>
      <c r="N134" s="2">
        <f t="shared" ref="N134:N158" si="78">H134+I134</f>
        <v>2.5854700000000008</v>
      </c>
      <c r="O134" s="2">
        <v>14</v>
      </c>
      <c r="P134">
        <f t="shared" si="63"/>
        <v>13.041574676988233</v>
      </c>
      <c r="Y134" s="300">
        <v>0</v>
      </c>
      <c r="AA134" s="13">
        <v>221.19814</v>
      </c>
      <c r="AB134" s="2">
        <v>223.08784</v>
      </c>
      <c r="AC134" s="2">
        <f t="shared" si="65"/>
        <v>1.8897000000000048</v>
      </c>
      <c r="AD134" s="2">
        <f t="shared" si="66"/>
        <v>5.180499999999995</v>
      </c>
      <c r="AE134" s="2">
        <f t="shared" si="67"/>
        <v>0.26727673898899673</v>
      </c>
      <c r="AF134" s="2">
        <f t="shared" si="68"/>
        <v>0.73272326101100327</v>
      </c>
      <c r="AG134" s="2">
        <f t="shared" si="69"/>
        <v>0.5291845266444396</v>
      </c>
      <c r="AH134" s="2">
        <f t="shared" si="70"/>
        <v>0.14143871460496169</v>
      </c>
      <c r="AI134" s="2">
        <f t="shared" si="71"/>
        <v>7.0701999999999998</v>
      </c>
      <c r="AJ134" s="2">
        <v>22</v>
      </c>
      <c r="AK134">
        <f>AJ134/AC134</f>
        <v>11.64205958617767</v>
      </c>
    </row>
    <row r="135" spans="1:37" x14ac:dyDescent="0.35">
      <c r="A135" s="2"/>
      <c r="B135" s="2"/>
      <c r="D135" s="300">
        <v>15</v>
      </c>
      <c r="F135" s="13">
        <v>115.44235</v>
      </c>
      <c r="G135" s="13">
        <v>115.62666</v>
      </c>
      <c r="H135" s="2">
        <f t="shared" si="73"/>
        <v>0.18430999999999642</v>
      </c>
      <c r="I135" s="2">
        <f t="shared" si="74"/>
        <v>2.6542599999999936</v>
      </c>
      <c r="J135" s="2">
        <f t="shared" si="75"/>
        <v>6.4930581243371505E-2</v>
      </c>
      <c r="K135" s="2">
        <f t="shared" si="76"/>
        <v>0.93506941875662852</v>
      </c>
      <c r="L135" s="2">
        <f t="shared" si="77"/>
        <v>5.4256415821171906</v>
      </c>
      <c r="M135" s="2">
        <f t="shared" si="61"/>
        <v>0.35229006154507497</v>
      </c>
      <c r="N135" s="2">
        <f t="shared" si="78"/>
        <v>2.83856999999999</v>
      </c>
      <c r="O135" s="2">
        <v>4</v>
      </c>
      <c r="P135">
        <f t="shared" si="63"/>
        <v>21.702566328468762</v>
      </c>
      <c r="Y135" s="300">
        <v>0</v>
      </c>
      <c r="AA135" s="13">
        <v>228.26833999999999</v>
      </c>
      <c r="AB135" s="2">
        <v>231.96798000000001</v>
      </c>
      <c r="AC135" s="2">
        <f t="shared" si="65"/>
        <v>3.6996400000000165</v>
      </c>
      <c r="AD135" s="2">
        <f t="shared" si="66"/>
        <v>3.4395399999999938</v>
      </c>
      <c r="AE135" s="2">
        <f t="shared" si="67"/>
        <v>0.51821637779128848</v>
      </c>
      <c r="AF135" s="2">
        <f t="shared" si="68"/>
        <v>0.48178362220871146</v>
      </c>
      <c r="AG135" s="2">
        <f t="shared" si="69"/>
        <v>0.27029656939594005</v>
      </c>
      <c r="AH135" s="2">
        <f t="shared" si="70"/>
        <v>0.1400721091217757</v>
      </c>
      <c r="AI135" s="2">
        <f t="shared" si="71"/>
        <v>7.1391800000000103</v>
      </c>
      <c r="AJ135" s="2">
        <v>36</v>
      </c>
      <c r="AK135">
        <f>AJ135/AC135</f>
        <v>9.7306764982538407</v>
      </c>
    </row>
    <row r="136" spans="1:37" x14ac:dyDescent="0.35">
      <c r="A136" s="2"/>
      <c r="B136" s="2"/>
      <c r="D136" s="300">
        <v>15</v>
      </c>
      <c r="F136" s="13">
        <v>118.28091999999999</v>
      </c>
      <c r="G136">
        <v>121.04505</v>
      </c>
      <c r="H136" s="2">
        <f t="shared" si="73"/>
        <v>2.7641300000000086</v>
      </c>
      <c r="I136" s="2">
        <f t="shared" si="74"/>
        <v>2.2931099999999986</v>
      </c>
      <c r="J136" s="2">
        <f t="shared" si="75"/>
        <v>0.54656887946785293</v>
      </c>
      <c r="K136" s="2">
        <f t="shared" si="76"/>
        <v>0.45343112053214707</v>
      </c>
      <c r="L136" s="2">
        <f t="shared" si="77"/>
        <v>0.36177748513998864</v>
      </c>
      <c r="M136" s="2">
        <f t="shared" si="61"/>
        <v>0.19773631466966143</v>
      </c>
      <c r="N136" s="2">
        <f t="shared" si="78"/>
        <v>5.0572400000000073</v>
      </c>
      <c r="O136" s="2">
        <v>20</v>
      </c>
      <c r="P136">
        <f t="shared" si="63"/>
        <v>7.2355497027997737</v>
      </c>
      <c r="Y136" s="300">
        <v>0</v>
      </c>
      <c r="AA136" s="13">
        <v>235.40752000000001</v>
      </c>
      <c r="AB136" s="2">
        <v>237.65323000000001</v>
      </c>
      <c r="AC136" s="2">
        <f t="shared" si="65"/>
        <v>2.2457100000000025</v>
      </c>
      <c r="AD136" s="2"/>
      <c r="AE136" s="2"/>
      <c r="AF136" s="2"/>
      <c r="AG136" s="2"/>
      <c r="AH136" s="2"/>
      <c r="AI136" s="2"/>
      <c r="AJ136" s="2"/>
    </row>
    <row r="137" spans="1:37" x14ac:dyDescent="0.35">
      <c r="A137" s="2"/>
      <c r="B137" s="2"/>
      <c r="D137" s="300">
        <v>0</v>
      </c>
      <c r="F137" s="13">
        <v>123.33816</v>
      </c>
      <c r="G137">
        <v>124.6172</v>
      </c>
      <c r="H137" s="2">
        <f t="shared" si="73"/>
        <v>1.2790399999999948</v>
      </c>
      <c r="I137" s="2">
        <f t="shared" si="74"/>
        <v>1.1825800000000015</v>
      </c>
      <c r="J137" s="2">
        <f t="shared" si="75"/>
        <v>0.51959278848888002</v>
      </c>
      <c r="K137" s="2">
        <f t="shared" si="76"/>
        <v>0.48040721151112004</v>
      </c>
      <c r="L137" s="2">
        <f t="shared" si="77"/>
        <v>0.7818363772829654</v>
      </c>
      <c r="M137" s="2">
        <f t="shared" si="61"/>
        <v>0.4062365434145</v>
      </c>
      <c r="N137" s="2">
        <f t="shared" si="78"/>
        <v>2.4616199999999964</v>
      </c>
      <c r="O137" s="2">
        <v>18</v>
      </c>
      <c r="P137">
        <f t="shared" si="63"/>
        <v>14.073054791093377</v>
      </c>
      <c r="R137" t="s">
        <v>790</v>
      </c>
      <c r="Y137" s="300"/>
      <c r="AA137" s="13"/>
      <c r="AB137" s="2"/>
      <c r="AC137" s="2"/>
      <c r="AD137" s="2"/>
      <c r="AE137" s="2"/>
      <c r="AF137" s="2"/>
      <c r="AG137" s="2"/>
      <c r="AH137" s="2"/>
      <c r="AI137" s="2"/>
      <c r="AJ137" s="2"/>
    </row>
    <row r="138" spans="1:37" x14ac:dyDescent="0.35">
      <c r="A138" s="2"/>
      <c r="B138" s="2"/>
      <c r="D138" s="300">
        <v>0</v>
      </c>
      <c r="F138" s="13">
        <v>125.79978</v>
      </c>
      <c r="G138">
        <v>126.20220999999999</v>
      </c>
      <c r="H138" s="2">
        <f t="shared" si="73"/>
        <v>0.4024299999999954</v>
      </c>
      <c r="I138" s="2">
        <f t="shared" si="74"/>
        <v>5.1817600000000112</v>
      </c>
      <c r="J138" s="2">
        <f t="shared" si="75"/>
        <v>7.2065957641125195E-2</v>
      </c>
      <c r="K138" s="2">
        <f t="shared" si="76"/>
        <v>0.92793404235887478</v>
      </c>
      <c r="L138" s="2">
        <f t="shared" si="77"/>
        <v>2.4849042069428506</v>
      </c>
      <c r="M138" s="2">
        <f t="shared" si="61"/>
        <v>0.17907700131979729</v>
      </c>
      <c r="N138" s="2">
        <f t="shared" si="78"/>
        <v>5.5841900000000066</v>
      </c>
      <c r="O138" s="2">
        <v>6</v>
      </c>
      <c r="P138">
        <f t="shared" si="63"/>
        <v>14.909425241657104</v>
      </c>
      <c r="AA138" s="13"/>
      <c r="AC138" s="2"/>
      <c r="AD138" s="2"/>
      <c r="AE138" s="2"/>
      <c r="AF138" s="2"/>
      <c r="AG138" s="2"/>
      <c r="AH138" s="2"/>
      <c r="AI138" s="2"/>
      <c r="AJ138" s="2"/>
    </row>
    <row r="139" spans="1:37" ht="16" thickBot="1" x14ac:dyDescent="0.4">
      <c r="A139" s="2"/>
      <c r="B139" s="2"/>
      <c r="D139" s="300">
        <v>0</v>
      </c>
      <c r="F139" s="13">
        <v>131.38397000000001</v>
      </c>
      <c r="G139">
        <v>132.51548</v>
      </c>
      <c r="H139" s="2">
        <f t="shared" si="73"/>
        <v>1.1315099999999916</v>
      </c>
      <c r="I139" s="2">
        <f t="shared" si="74"/>
        <v>1.4095499999999959</v>
      </c>
      <c r="J139" s="2">
        <f t="shared" si="75"/>
        <v>0.44529054803900625</v>
      </c>
      <c r="K139" s="2">
        <f t="shared" si="76"/>
        <v>0.55470945196099375</v>
      </c>
      <c r="L139" s="2">
        <f t="shared" si="77"/>
        <v>0.88377477883536815</v>
      </c>
      <c r="M139" s="2">
        <f t="shared" si="61"/>
        <v>0.39353655561065259</v>
      </c>
      <c r="N139" s="2">
        <f t="shared" si="78"/>
        <v>2.5410599999999874</v>
      </c>
      <c r="O139" s="2">
        <v>16</v>
      </c>
      <c r="P139">
        <f t="shared" si="63"/>
        <v>14.14039646136589</v>
      </c>
      <c r="AA139" s="13"/>
      <c r="AB139" s="13"/>
      <c r="AC139" s="9" t="s">
        <v>3</v>
      </c>
      <c r="AD139" s="9" t="s">
        <v>4</v>
      </c>
      <c r="AE139" s="9" t="s">
        <v>5</v>
      </c>
      <c r="AF139" s="9" t="s">
        <v>6</v>
      </c>
      <c r="AG139" s="9" t="s">
        <v>7</v>
      </c>
      <c r="AH139" s="9" t="s">
        <v>8</v>
      </c>
      <c r="AI139" s="9" t="s">
        <v>9</v>
      </c>
      <c r="AJ139" s="9" t="s">
        <v>10</v>
      </c>
      <c r="AK139" s="44" t="s">
        <v>139</v>
      </c>
    </row>
    <row r="140" spans="1:37" x14ac:dyDescent="0.35">
      <c r="A140" s="2"/>
      <c r="B140" s="2"/>
      <c r="D140" s="300">
        <v>0</v>
      </c>
      <c r="F140" s="13">
        <v>133.92502999999999</v>
      </c>
      <c r="G140">
        <v>134.81540000000001</v>
      </c>
      <c r="H140" s="2">
        <f t="shared" si="73"/>
        <v>0.89037000000001854</v>
      </c>
      <c r="I140" s="2">
        <f t="shared" si="74"/>
        <v>3.8860299999999768</v>
      </c>
      <c r="J140" s="2">
        <f t="shared" si="75"/>
        <v>0.18641026714680919</v>
      </c>
      <c r="K140" s="2">
        <f t="shared" si="76"/>
        <v>0.81358973285319081</v>
      </c>
      <c r="L140" s="2">
        <f t="shared" si="77"/>
        <v>1.1231285869919014</v>
      </c>
      <c r="M140" s="2">
        <f t="shared" si="61"/>
        <v>0.20936269994137865</v>
      </c>
      <c r="N140" s="2">
        <f t="shared" si="78"/>
        <v>4.7763999999999953</v>
      </c>
      <c r="O140" s="2">
        <v>12</v>
      </c>
      <c r="P140">
        <f t="shared" si="63"/>
        <v>13.477543043902816</v>
      </c>
      <c r="Z140" s="104" t="s">
        <v>426</v>
      </c>
      <c r="AA140" s="13"/>
      <c r="AB140" s="49" t="s">
        <v>77</v>
      </c>
      <c r="AC140" s="13">
        <f>AVERAGE(AC102:AC119)</f>
        <v>1.8284227777777788</v>
      </c>
      <c r="AD140" s="13">
        <f t="shared" ref="AD140:AK140" si="79">AVERAGE(AD102:AD119)</f>
        <v>4.8262066666666659</v>
      </c>
      <c r="AE140" s="13">
        <f t="shared" si="79"/>
        <v>0.28721507073094987</v>
      </c>
      <c r="AF140" s="13">
        <f t="shared" si="79"/>
        <v>0.71278492926905013</v>
      </c>
      <c r="AG140" s="13">
        <f t="shared" si="79"/>
        <v>0.54845660526983364</v>
      </c>
      <c r="AH140" s="13">
        <f t="shared" si="79"/>
        <v>0.1569546748230356</v>
      </c>
      <c r="AI140" s="13">
        <f t="shared" si="79"/>
        <v>6.6546294444444447</v>
      </c>
      <c r="AJ140" s="13">
        <f t="shared" si="79"/>
        <v>15.166666666666666</v>
      </c>
      <c r="AK140" s="13">
        <f t="shared" si="79"/>
        <v>8.2953664075568252</v>
      </c>
    </row>
    <row r="141" spans="1:37" x14ac:dyDescent="0.35">
      <c r="A141" s="2"/>
      <c r="B141" s="2"/>
      <c r="D141" s="300">
        <v>0</v>
      </c>
      <c r="F141" s="13">
        <v>138.70142999999999</v>
      </c>
      <c r="G141">
        <v>139.84329</v>
      </c>
      <c r="H141" s="2">
        <f t="shared" si="73"/>
        <v>1.1418600000000083</v>
      </c>
      <c r="I141" s="2">
        <f t="shared" si="74"/>
        <v>3.9073500000000081</v>
      </c>
      <c r="J141" s="2">
        <f t="shared" si="75"/>
        <v>0.22614626842615074</v>
      </c>
      <c r="K141" s="2">
        <f t="shared" si="76"/>
        <v>0.77385373157384929</v>
      </c>
      <c r="L141" s="2">
        <f t="shared" si="77"/>
        <v>0.87576410418089146</v>
      </c>
      <c r="M141" s="2">
        <f t="shared" si="61"/>
        <v>0.19805078418207933</v>
      </c>
      <c r="N141" s="2">
        <f t="shared" si="78"/>
        <v>5.0492100000000164</v>
      </c>
      <c r="O141" s="2">
        <v>16</v>
      </c>
      <c r="P141">
        <f t="shared" si="63"/>
        <v>14.012225666894263</v>
      </c>
      <c r="Z141" s="104"/>
      <c r="AA141" s="13"/>
      <c r="AB141" s="49" t="s">
        <v>94</v>
      </c>
      <c r="AC141" s="2">
        <f>_xlfn.STDEV.S(AC102:AC119)</f>
        <v>9.8842715450923366E-2</v>
      </c>
      <c r="AD141" s="2">
        <f t="shared" ref="AD141:AK141" si="80">_xlfn.STDEV.S(AD102:AD119)</f>
        <v>1.3255612801420233</v>
      </c>
      <c r="AE141" s="2">
        <f t="shared" si="80"/>
        <v>7.4757718839190343E-2</v>
      </c>
      <c r="AF141" s="2">
        <f t="shared" si="80"/>
        <v>7.4757718839190426E-2</v>
      </c>
      <c r="AG141" s="2">
        <f t="shared" si="80"/>
        <v>3.0144106498298975E-2</v>
      </c>
      <c r="AH141" s="2">
        <f t="shared" si="80"/>
        <v>3.8928832298991571E-2</v>
      </c>
      <c r="AI141" s="2">
        <f t="shared" si="80"/>
        <v>1.3202123673573101</v>
      </c>
      <c r="AJ141" s="2">
        <f t="shared" si="80"/>
        <v>2.1760730956581074</v>
      </c>
      <c r="AK141" s="2">
        <f t="shared" si="80"/>
        <v>1.0929498300477742</v>
      </c>
    </row>
    <row r="142" spans="1:37" x14ac:dyDescent="0.35">
      <c r="A142" s="2"/>
      <c r="B142" s="2"/>
      <c r="D142" s="300">
        <v>0</v>
      </c>
      <c r="F142" s="13">
        <v>143.75064</v>
      </c>
      <c r="G142">
        <v>144.28994</v>
      </c>
      <c r="H142" s="2">
        <f t="shared" si="73"/>
        <v>0.53929999999999723</v>
      </c>
      <c r="I142" s="2">
        <f t="shared" si="74"/>
        <v>2.0060000000000002</v>
      </c>
      <c r="J142" s="2">
        <f t="shared" si="75"/>
        <v>0.21188072132950841</v>
      </c>
      <c r="K142" s="2">
        <f t="shared" si="76"/>
        <v>0.78811927867049159</v>
      </c>
      <c r="L142" s="2">
        <f t="shared" si="77"/>
        <v>1.8542555164101708</v>
      </c>
      <c r="M142" s="2">
        <f t="shared" si="61"/>
        <v>0.3928809963462071</v>
      </c>
      <c r="N142" s="2">
        <f t="shared" si="78"/>
        <v>2.5452999999999975</v>
      </c>
      <c r="O142" s="2">
        <v>8</v>
      </c>
      <c r="P142">
        <f t="shared" si="63"/>
        <v>14.834044131281367</v>
      </c>
      <c r="Z142" s="104"/>
      <c r="AA142" s="13"/>
      <c r="AB142" s="49" t="s">
        <v>95</v>
      </c>
      <c r="AC142" s="2">
        <f>AC141/(SQRT(COUNT(AC102:AC119)))</f>
        <v>2.3297451455413419E-2</v>
      </c>
      <c r="AD142" s="2">
        <f t="shared" ref="AD142:AK142" si="81">AD141/(SQRT(COUNT(AD102:AD119)))</f>
        <v>0.31243779002224853</v>
      </c>
      <c r="AE142" s="2">
        <f t="shared" si="81"/>
        <v>1.7620563312409604E-2</v>
      </c>
      <c r="AF142" s="2">
        <f t="shared" si="81"/>
        <v>1.7620563312409625E-2</v>
      </c>
      <c r="AG142" s="2">
        <f t="shared" si="81"/>
        <v>7.105034039252227E-3</v>
      </c>
      <c r="AH142" s="2">
        <f t="shared" si="81"/>
        <v>9.1756137674302799E-3</v>
      </c>
      <c r="AI142" s="2">
        <f t="shared" si="81"/>
        <v>0.31117703918823314</v>
      </c>
      <c r="AJ142" s="2">
        <f t="shared" si="81"/>
        <v>0.5129053474324835</v>
      </c>
      <c r="AK142" s="2">
        <f t="shared" si="81"/>
        <v>0.25761074544115531</v>
      </c>
    </row>
    <row r="143" spans="1:37" x14ac:dyDescent="0.35">
      <c r="A143" s="2"/>
      <c r="B143" s="2"/>
      <c r="D143" s="300">
        <v>0</v>
      </c>
      <c r="F143" s="13">
        <v>146.29594</v>
      </c>
      <c r="G143">
        <v>147.51661999999999</v>
      </c>
      <c r="H143" s="2">
        <f t="shared" si="73"/>
        <v>1.2206799999999873</v>
      </c>
      <c r="I143" s="2">
        <f t="shared" si="74"/>
        <v>1.1020300000000134</v>
      </c>
      <c r="J143" s="2">
        <f t="shared" si="75"/>
        <v>0.52554128582560322</v>
      </c>
      <c r="K143" s="2">
        <f t="shared" si="76"/>
        <v>0.47445871417439672</v>
      </c>
      <c r="L143" s="2">
        <f t="shared" si="77"/>
        <v>0.81921551921880453</v>
      </c>
      <c r="M143" s="2">
        <f t="shared" si="61"/>
        <v>0.43053157733853975</v>
      </c>
      <c r="N143" s="2">
        <f t="shared" si="78"/>
        <v>2.3227100000000007</v>
      </c>
      <c r="O143" s="2">
        <v>16</v>
      </c>
      <c r="P143">
        <f t="shared" si="63"/>
        <v>13.107448307500873</v>
      </c>
      <c r="Z143" s="104"/>
    </row>
    <row r="144" spans="1:37" x14ac:dyDescent="0.35">
      <c r="A144" s="2"/>
      <c r="B144" s="2"/>
      <c r="D144" s="300">
        <v>0</v>
      </c>
      <c r="F144" s="13">
        <v>148.61865</v>
      </c>
      <c r="G144">
        <v>148.97821999999999</v>
      </c>
      <c r="H144" s="2">
        <f t="shared" si="73"/>
        <v>0.35956999999999084</v>
      </c>
      <c r="I144" s="2">
        <f t="shared" si="74"/>
        <v>17.716340000000002</v>
      </c>
      <c r="J144" s="2">
        <f t="shared" si="75"/>
        <v>1.9892221193842576E-2</v>
      </c>
      <c r="K144" s="2">
        <f t="shared" si="76"/>
        <v>0.9801077788061574</v>
      </c>
      <c r="L144" s="2">
        <f t="shared" si="77"/>
        <v>2.7810996468004157</v>
      </c>
      <c r="M144" s="2">
        <f t="shared" si="61"/>
        <v>5.5322249336271334E-2</v>
      </c>
      <c r="N144" s="2">
        <f t="shared" si="78"/>
        <v>18.075909999999993</v>
      </c>
      <c r="O144" s="2">
        <v>6</v>
      </c>
      <c r="P144">
        <f t="shared" si="63"/>
        <v>16.686597880802495</v>
      </c>
      <c r="Z144" s="104"/>
    </row>
    <row r="145" spans="1:39" ht="16" thickBot="1" x14ac:dyDescent="0.4">
      <c r="A145" s="2"/>
      <c r="B145" s="2"/>
      <c r="D145" s="300">
        <v>0</v>
      </c>
      <c r="F145" s="13">
        <v>166.69456</v>
      </c>
      <c r="G145">
        <v>167.43959000000001</v>
      </c>
      <c r="H145" s="2">
        <f t="shared" si="73"/>
        <v>0.74503000000001407</v>
      </c>
      <c r="I145" s="2">
        <f t="shared" si="74"/>
        <v>4.4837599999999895</v>
      </c>
      <c r="J145" s="2">
        <f t="shared" si="75"/>
        <v>0.14248612011574638</v>
      </c>
      <c r="K145" s="2">
        <f t="shared" si="76"/>
        <v>0.85751387988425365</v>
      </c>
      <c r="L145" s="2">
        <f t="shared" si="77"/>
        <v>1.3422278297517967</v>
      </c>
      <c r="M145" s="2">
        <f t="shared" si="61"/>
        <v>0.19124883577271209</v>
      </c>
      <c r="N145" s="2">
        <f t="shared" si="78"/>
        <v>5.2287900000000036</v>
      </c>
      <c r="O145" s="2">
        <v>10</v>
      </c>
      <c r="P145">
        <f t="shared" si="63"/>
        <v>13.422278297517968</v>
      </c>
      <c r="Z145" s="104"/>
      <c r="AB145" s="13"/>
      <c r="AC145" s="9" t="s">
        <v>3</v>
      </c>
      <c r="AD145" s="9" t="s">
        <v>4</v>
      </c>
      <c r="AE145" s="9" t="s">
        <v>5</v>
      </c>
      <c r="AF145" s="9" t="s">
        <v>6</v>
      </c>
      <c r="AG145" s="9" t="s">
        <v>7</v>
      </c>
      <c r="AH145" s="9" t="s">
        <v>8</v>
      </c>
      <c r="AI145" s="9" t="s">
        <v>9</v>
      </c>
      <c r="AJ145" s="9" t="s">
        <v>10</v>
      </c>
      <c r="AK145" s="44" t="s">
        <v>139</v>
      </c>
    </row>
    <row r="146" spans="1:39" x14ac:dyDescent="0.35">
      <c r="A146" s="2"/>
      <c r="B146" s="2"/>
      <c r="D146" s="300">
        <v>0</v>
      </c>
      <c r="F146" s="13">
        <v>171.92335</v>
      </c>
      <c r="G146">
        <v>172.93859</v>
      </c>
      <c r="H146" s="2">
        <f t="shared" si="73"/>
        <v>1.0152400000000057</v>
      </c>
      <c r="I146" s="2">
        <f t="shared" si="74"/>
        <v>5.6501899999999807</v>
      </c>
      <c r="J146" s="2">
        <f t="shared" si="75"/>
        <v>0.15231425429417272</v>
      </c>
      <c r="K146" s="2">
        <f t="shared" si="76"/>
        <v>0.84768574570582722</v>
      </c>
      <c r="L146" s="2">
        <f t="shared" si="77"/>
        <v>0.98498877112800365</v>
      </c>
      <c r="M146" s="2">
        <f t="shared" si="61"/>
        <v>0.15002783016249543</v>
      </c>
      <c r="N146" s="2">
        <f t="shared" si="78"/>
        <v>6.6654299999999864</v>
      </c>
      <c r="O146" s="2">
        <v>14</v>
      </c>
      <c r="P146">
        <f t="shared" si="63"/>
        <v>13.789842795792051</v>
      </c>
      <c r="Z146" s="104" t="s">
        <v>410</v>
      </c>
      <c r="AB146" s="49" t="s">
        <v>77</v>
      </c>
      <c r="AC146" s="13">
        <f>AVERAGE(AC120:AC135)</f>
        <v>2.0718518749999992</v>
      </c>
      <c r="AD146" s="13">
        <f t="shared" ref="AD146:AK146" si="82">AVERAGE(AD120:AD135)</f>
        <v>4.8604950000000011</v>
      </c>
      <c r="AE146" s="13">
        <f t="shared" si="82"/>
        <v>0.30135315166840404</v>
      </c>
      <c r="AF146" s="13">
        <f t="shared" si="82"/>
        <v>0.69864684833159596</v>
      </c>
      <c r="AG146" s="13">
        <f t="shared" si="82"/>
        <v>0.49593689047706713</v>
      </c>
      <c r="AH146" s="13">
        <f t="shared" si="82"/>
        <v>0.14628286506969071</v>
      </c>
      <c r="AI146" s="13">
        <f t="shared" si="82"/>
        <v>6.9323468750000004</v>
      </c>
      <c r="AJ146" s="13">
        <f t="shared" si="82"/>
        <v>22.0625</v>
      </c>
      <c r="AK146" s="13">
        <f t="shared" si="82"/>
        <v>10.665037752079431</v>
      </c>
    </row>
    <row r="147" spans="1:39" x14ac:dyDescent="0.35">
      <c r="A147" s="2"/>
      <c r="B147" s="2"/>
      <c r="D147" s="300">
        <v>0</v>
      </c>
      <c r="F147" s="13">
        <v>178.58877999999999</v>
      </c>
      <c r="G147">
        <v>179.67327</v>
      </c>
      <c r="H147" s="2">
        <f t="shared" si="73"/>
        <v>1.0844900000000166</v>
      </c>
      <c r="I147" s="2">
        <f t="shared" si="74"/>
        <v>7.8351499999999987</v>
      </c>
      <c r="J147" s="2">
        <f t="shared" si="75"/>
        <v>0.1215845034104532</v>
      </c>
      <c r="K147" s="2">
        <f t="shared" si="76"/>
        <v>0.87841549658954676</v>
      </c>
      <c r="L147" s="2">
        <f t="shared" si="77"/>
        <v>0.9220924121015267</v>
      </c>
      <c r="M147" s="2">
        <f t="shared" si="61"/>
        <v>0.11211214802391109</v>
      </c>
      <c r="N147" s="2">
        <f t="shared" si="78"/>
        <v>8.9196400000000153</v>
      </c>
      <c r="O147" s="2">
        <v>16</v>
      </c>
      <c r="P147">
        <f t="shared" si="63"/>
        <v>14.753478593624427</v>
      </c>
      <c r="AB147" s="49" t="s">
        <v>94</v>
      </c>
      <c r="AC147" s="2">
        <f>_xlfn.STDEV.S(AC120:AC135)</f>
        <v>0.44826967199397633</v>
      </c>
      <c r="AD147" s="2">
        <f t="shared" ref="AD147:AK147" si="83">_xlfn.STDEV.S(AD120:AD135)</f>
        <v>0.84510844403150198</v>
      </c>
      <c r="AE147" s="2">
        <f t="shared" si="83"/>
        <v>6.5061511706326305E-2</v>
      </c>
      <c r="AF147" s="2">
        <f t="shared" si="83"/>
        <v>6.5061511706326319E-2</v>
      </c>
      <c r="AG147" s="2">
        <f t="shared" si="83"/>
        <v>6.6722979653558584E-2</v>
      </c>
      <c r="AH147" s="2">
        <f t="shared" si="83"/>
        <v>1.9094204902185163E-2</v>
      </c>
      <c r="AI147" s="2">
        <f t="shared" si="83"/>
        <v>0.80265042598230818</v>
      </c>
      <c r="AJ147" s="2">
        <f t="shared" si="83"/>
        <v>4.9594186487262126</v>
      </c>
      <c r="AK147" s="2">
        <f t="shared" si="83"/>
        <v>1.2890518852911481</v>
      </c>
    </row>
    <row r="148" spans="1:39" x14ac:dyDescent="0.35">
      <c r="A148" s="2"/>
      <c r="B148" s="2"/>
      <c r="D148" s="300">
        <v>0</v>
      </c>
      <c r="F148" s="13">
        <v>187.50842</v>
      </c>
      <c r="G148">
        <v>188.41120000000001</v>
      </c>
      <c r="H148" s="2">
        <f t="shared" si="73"/>
        <v>0.90278000000000702</v>
      </c>
      <c r="I148" s="2">
        <f t="shared" si="74"/>
        <v>11.390690000000006</v>
      </c>
      <c r="J148" s="2">
        <f t="shared" si="75"/>
        <v>7.34357345810423E-2</v>
      </c>
      <c r="K148" s="2">
        <f t="shared" si="76"/>
        <v>0.92656426541895776</v>
      </c>
      <c r="L148" s="2">
        <f t="shared" si="77"/>
        <v>1.1076895810717917</v>
      </c>
      <c r="M148" s="2">
        <f t="shared" si="61"/>
        <v>8.1343998073774043E-2</v>
      </c>
      <c r="N148" s="2">
        <f t="shared" si="78"/>
        <v>12.293470000000013</v>
      </c>
      <c r="O148" s="2">
        <v>14</v>
      </c>
      <c r="P148">
        <f t="shared" si="63"/>
        <v>15.507654135005085</v>
      </c>
      <c r="AB148" s="49" t="s">
        <v>95</v>
      </c>
      <c r="AC148" s="2">
        <f>AC147/(SQRT(COUNT(AC120:AC135)))</f>
        <v>0.11206741799849408</v>
      </c>
      <c r="AD148" s="2">
        <f t="shared" ref="AD148:AK148" si="84">AD147/(SQRT(COUNT(AD120:AD135)))</f>
        <v>0.2112771110078755</v>
      </c>
      <c r="AE148" s="2">
        <f t="shared" si="84"/>
        <v>1.6265377926581576E-2</v>
      </c>
      <c r="AF148" s="2">
        <f t="shared" si="84"/>
        <v>1.626537792658158E-2</v>
      </c>
      <c r="AG148" s="2">
        <f t="shared" si="84"/>
        <v>1.6680744913389646E-2</v>
      </c>
      <c r="AH148" s="2">
        <f t="shared" si="84"/>
        <v>4.7735512255462909E-3</v>
      </c>
      <c r="AI148" s="2">
        <f t="shared" si="84"/>
        <v>0.20066260649557704</v>
      </c>
      <c r="AJ148" s="2">
        <f t="shared" si="84"/>
        <v>1.2398546621815532</v>
      </c>
      <c r="AK148" s="2">
        <f t="shared" si="84"/>
        <v>0.32226297132278703</v>
      </c>
    </row>
    <row r="149" spans="1:39" x14ac:dyDescent="0.35">
      <c r="A149" s="2"/>
      <c r="B149" s="2"/>
      <c r="D149" s="300">
        <v>0</v>
      </c>
      <c r="F149" s="13">
        <v>199.80189000000001</v>
      </c>
      <c r="G149">
        <v>201.21271999999999</v>
      </c>
      <c r="H149" s="2">
        <f t="shared" si="73"/>
        <v>1.4108299999999758</v>
      </c>
      <c r="I149" s="2">
        <f t="shared" si="74"/>
        <v>11.302580000000006</v>
      </c>
      <c r="J149" s="2">
        <f t="shared" si="75"/>
        <v>0.11097180064199753</v>
      </c>
      <c r="K149" s="2">
        <f t="shared" si="76"/>
        <v>0.88902819935800248</v>
      </c>
      <c r="L149" s="2">
        <f t="shared" si="77"/>
        <v>0.70880261973449465</v>
      </c>
      <c r="M149" s="2">
        <f t="shared" si="61"/>
        <v>7.8657103011701923E-2</v>
      </c>
      <c r="N149" s="2">
        <f t="shared" si="78"/>
        <v>12.713409999999982</v>
      </c>
      <c r="O149" s="2">
        <v>20</v>
      </c>
      <c r="P149">
        <f t="shared" si="63"/>
        <v>14.176052394689894</v>
      </c>
    </row>
    <row r="150" spans="1:39" x14ac:dyDescent="0.35">
      <c r="B150" s="2"/>
      <c r="D150" s="300">
        <v>0</v>
      </c>
      <c r="F150" s="13">
        <v>212.5153</v>
      </c>
      <c r="G150">
        <v>213.59334999999999</v>
      </c>
      <c r="H150" s="2">
        <f t="shared" si="73"/>
        <v>1.0780499999999904</v>
      </c>
      <c r="I150" s="2">
        <f t="shared" si="74"/>
        <v>1.3719200000000171</v>
      </c>
      <c r="J150" s="2">
        <f t="shared" si="75"/>
        <v>0.44002579623423432</v>
      </c>
      <c r="K150" s="2">
        <f t="shared" si="76"/>
        <v>0.55997420376576568</v>
      </c>
      <c r="L150" s="2">
        <f t="shared" si="77"/>
        <v>0.92760076063263197</v>
      </c>
      <c r="M150" s="2">
        <f t="shared" si="61"/>
        <v>0.40816826328485528</v>
      </c>
      <c r="N150" s="2">
        <f t="shared" si="78"/>
        <v>2.4499700000000075</v>
      </c>
      <c r="O150" s="2">
        <v>14</v>
      </c>
      <c r="P150">
        <f t="shared" si="63"/>
        <v>12.986410648856848</v>
      </c>
    </row>
    <row r="151" spans="1:39" x14ac:dyDescent="0.35">
      <c r="B151" s="2"/>
      <c r="D151" s="300">
        <v>0</v>
      </c>
      <c r="F151" s="13">
        <v>214.96527</v>
      </c>
      <c r="G151">
        <v>215.39587</v>
      </c>
      <c r="H151" s="2">
        <f t="shared" si="73"/>
        <v>0.43059999999999832</v>
      </c>
      <c r="I151" s="2">
        <f t="shared" si="74"/>
        <v>2.2032199999999875</v>
      </c>
      <c r="J151" s="2">
        <f t="shared" si="75"/>
        <v>0.16348877296094669</v>
      </c>
      <c r="K151" s="2">
        <f t="shared" si="76"/>
        <v>0.83651122703905334</v>
      </c>
      <c r="L151" s="2">
        <f t="shared" si="77"/>
        <v>2.3223409196470133</v>
      </c>
      <c r="M151" s="2">
        <f t="shared" si="61"/>
        <v>0.37967666735008671</v>
      </c>
      <c r="N151" s="2">
        <f t="shared" si="78"/>
        <v>2.6338199999999858</v>
      </c>
      <c r="O151" s="2">
        <v>6</v>
      </c>
      <c r="P151">
        <f t="shared" si="63"/>
        <v>13.93404551788208</v>
      </c>
    </row>
    <row r="152" spans="1:39" x14ac:dyDescent="0.35">
      <c r="D152" s="300">
        <v>0</v>
      </c>
      <c r="F152" s="13">
        <v>217.59908999999999</v>
      </c>
      <c r="G152">
        <v>217.94001</v>
      </c>
      <c r="H152" s="2">
        <f t="shared" si="73"/>
        <v>0.34092000000001121</v>
      </c>
      <c r="I152" s="2">
        <f t="shared" si="74"/>
        <v>2.4367799999999988</v>
      </c>
      <c r="J152" s="2">
        <f t="shared" si="75"/>
        <v>0.12273463656982755</v>
      </c>
      <c r="K152" s="2">
        <f t="shared" si="76"/>
        <v>0.87726536343017247</v>
      </c>
      <c r="L152" s="2">
        <f t="shared" si="77"/>
        <v>2.9332394696702075</v>
      </c>
      <c r="M152" s="2">
        <f t="shared" si="61"/>
        <v>0.36001008028224663</v>
      </c>
      <c r="N152" s="2">
        <f t="shared" si="78"/>
        <v>2.77770000000001</v>
      </c>
      <c r="O152" s="2">
        <v>6</v>
      </c>
      <c r="P152">
        <f t="shared" si="63"/>
        <v>17.599436818021246</v>
      </c>
    </row>
    <row r="153" spans="1:39" x14ac:dyDescent="0.35">
      <c r="D153" s="300">
        <v>0</v>
      </c>
      <c r="F153" s="13">
        <v>220.37679</v>
      </c>
      <c r="G153">
        <v>221.54714000000001</v>
      </c>
      <c r="H153" s="2">
        <f t="shared" si="73"/>
        <v>1.1703500000000133</v>
      </c>
      <c r="I153" s="2">
        <f t="shared" si="74"/>
        <v>1.3453199999999867</v>
      </c>
      <c r="J153" s="2">
        <f t="shared" si="75"/>
        <v>0.46522397611769956</v>
      </c>
      <c r="K153" s="2">
        <f t="shared" si="76"/>
        <v>0.53477602388230039</v>
      </c>
      <c r="L153" s="2">
        <f t="shared" si="77"/>
        <v>0.85444525142050554</v>
      </c>
      <c r="M153" s="2">
        <f t="shared" si="61"/>
        <v>0.39750841724073505</v>
      </c>
      <c r="N153" s="2">
        <f t="shared" si="78"/>
        <v>2.5156700000000001</v>
      </c>
      <c r="O153" s="2">
        <v>18</v>
      </c>
      <c r="P153">
        <f t="shared" si="63"/>
        <v>15.380014525569099</v>
      </c>
    </row>
    <row r="154" spans="1:39" x14ac:dyDescent="0.35">
      <c r="D154" s="300">
        <v>0</v>
      </c>
      <c r="F154" s="13">
        <v>222.89246</v>
      </c>
      <c r="G154">
        <v>223.68844999999999</v>
      </c>
      <c r="H154" s="2">
        <f t="shared" si="73"/>
        <v>0.7959899999999891</v>
      </c>
      <c r="I154" s="2">
        <f t="shared" si="74"/>
        <v>1.9744600000000219</v>
      </c>
      <c r="J154" s="2">
        <f t="shared" si="75"/>
        <v>0.28731433521629551</v>
      </c>
      <c r="K154" s="2">
        <f t="shared" si="76"/>
        <v>0.71268566478370443</v>
      </c>
      <c r="L154" s="2">
        <f t="shared" si="77"/>
        <v>1.256297189663204</v>
      </c>
      <c r="M154" s="2">
        <f t="shared" si="61"/>
        <v>0.3609521918821838</v>
      </c>
      <c r="N154" s="2">
        <f t="shared" si="78"/>
        <v>2.770450000000011</v>
      </c>
      <c r="O154" s="2">
        <v>10</v>
      </c>
      <c r="P154">
        <f t="shared" si="63"/>
        <v>12.562971896632039</v>
      </c>
    </row>
    <row r="155" spans="1:39" ht="18.5" x14ac:dyDescent="0.45">
      <c r="D155" s="300">
        <v>0</v>
      </c>
      <c r="F155" s="13">
        <v>225.66291000000001</v>
      </c>
      <c r="G155">
        <v>225.99286999999998</v>
      </c>
      <c r="H155" s="2">
        <f t="shared" si="73"/>
        <v>0.32995999999997139</v>
      </c>
      <c r="I155" s="2">
        <f t="shared" si="74"/>
        <v>2.462110000000024</v>
      </c>
      <c r="J155" s="2">
        <f t="shared" si="75"/>
        <v>0.11817755285504014</v>
      </c>
      <c r="K155" s="2">
        <f t="shared" si="76"/>
        <v>0.88182244714495983</v>
      </c>
      <c r="L155" s="2">
        <f t="shared" si="77"/>
        <v>3.0306703842892677</v>
      </c>
      <c r="M155" s="2">
        <f t="shared" si="61"/>
        <v>0.35815720952554975</v>
      </c>
      <c r="N155" s="2">
        <f t="shared" si="78"/>
        <v>2.7920699999999954</v>
      </c>
      <c r="O155" s="2">
        <v>6</v>
      </c>
      <c r="P155">
        <f t="shared" si="63"/>
        <v>18.184022305735606</v>
      </c>
      <c r="AA155" s="1" t="s">
        <v>797</v>
      </c>
      <c r="AB155" s="3"/>
      <c r="AC155" s="3"/>
      <c r="AD155" s="3"/>
      <c r="AE155" s="3"/>
      <c r="AF155" s="3"/>
      <c r="AG155" s="3"/>
      <c r="AH155" s="3"/>
      <c r="AI155" s="3"/>
      <c r="AJ155" s="3"/>
    </row>
    <row r="156" spans="1:39" ht="16" thickBot="1" x14ac:dyDescent="0.4">
      <c r="D156" s="300">
        <v>0</v>
      </c>
      <c r="F156" s="13">
        <v>228.45498000000001</v>
      </c>
      <c r="G156">
        <v>229.68152000000001</v>
      </c>
      <c r="H156" s="2">
        <f t="shared" si="73"/>
        <v>1.22654</v>
      </c>
      <c r="I156" s="2">
        <f t="shared" si="74"/>
        <v>4.3045899999999904</v>
      </c>
      <c r="J156" s="2">
        <f t="shared" si="75"/>
        <v>0.22175215552699035</v>
      </c>
      <c r="K156" s="2">
        <f t="shared" si="76"/>
        <v>0.77824784447300965</v>
      </c>
      <c r="L156" s="2">
        <f t="shared" si="77"/>
        <v>0.81530158005446218</v>
      </c>
      <c r="M156" s="2">
        <f t="shared" si="61"/>
        <v>0.18079488278163808</v>
      </c>
      <c r="N156" s="2">
        <f t="shared" si="78"/>
        <v>5.5311299999999903</v>
      </c>
      <c r="O156" s="2">
        <v>18</v>
      </c>
      <c r="P156">
        <f t="shared" si="63"/>
        <v>14.675428440980319</v>
      </c>
      <c r="Y156" s="204" t="s">
        <v>406</v>
      </c>
      <c r="AA156" s="9" t="s">
        <v>1</v>
      </c>
      <c r="AB156" s="9" t="s">
        <v>2</v>
      </c>
      <c r="AC156" s="9" t="s">
        <v>3</v>
      </c>
      <c r="AD156" s="9" t="s">
        <v>4</v>
      </c>
      <c r="AE156" s="9" t="s">
        <v>5</v>
      </c>
      <c r="AF156" s="9" t="s">
        <v>6</v>
      </c>
      <c r="AG156" s="9" t="s">
        <v>7</v>
      </c>
      <c r="AH156" s="9" t="s">
        <v>8</v>
      </c>
      <c r="AI156" s="9" t="s">
        <v>9</v>
      </c>
      <c r="AJ156" s="9" t="s">
        <v>10</v>
      </c>
      <c r="AK156" s="44" t="s">
        <v>139</v>
      </c>
      <c r="AM156" s="44" t="s">
        <v>138</v>
      </c>
    </row>
    <row r="157" spans="1:39" x14ac:dyDescent="0.35">
      <c r="D157" s="300">
        <v>0</v>
      </c>
      <c r="F157" s="13">
        <v>233.98611</v>
      </c>
      <c r="G157">
        <v>235.4631</v>
      </c>
      <c r="H157" s="2">
        <f t="shared" si="73"/>
        <v>1.4769900000000007</v>
      </c>
      <c r="I157" s="2">
        <f t="shared" si="74"/>
        <v>1.1185600000000022</v>
      </c>
      <c r="J157" s="2">
        <f t="shared" si="75"/>
        <v>0.56904702278900388</v>
      </c>
      <c r="K157" s="2">
        <f t="shared" si="76"/>
        <v>0.43095297721099612</v>
      </c>
      <c r="L157" s="2">
        <f t="shared" si="77"/>
        <v>0.67705265438493123</v>
      </c>
      <c r="M157" s="2">
        <f>1/N157</f>
        <v>0.38527479724913749</v>
      </c>
      <c r="N157" s="2">
        <f t="shared" si="78"/>
        <v>2.5955500000000029</v>
      </c>
      <c r="O157" s="2">
        <v>20</v>
      </c>
      <c r="P157">
        <f>O157/H157</f>
        <v>13.541053087698623</v>
      </c>
      <c r="Y157" s="300">
        <v>-8</v>
      </c>
      <c r="AA157" s="2">
        <v>1.6042799999999999</v>
      </c>
      <c r="AB157" s="2">
        <v>3.5513400000000002</v>
      </c>
      <c r="AC157" s="2">
        <f t="shared" ref="AC157:AC176" si="85">AB157-AA157</f>
        <v>1.9470600000000002</v>
      </c>
      <c r="AD157" s="2">
        <f t="shared" ref="AD157:AD175" si="86">AA158-AB157</f>
        <v>5.4179399999999998</v>
      </c>
      <c r="AE157" s="2">
        <f>AC157/AI157</f>
        <v>0.26436659877800411</v>
      </c>
      <c r="AF157" s="2">
        <f>AD157/AI157</f>
        <v>0.73563340122199583</v>
      </c>
      <c r="AG157" s="2">
        <f>1/AC157</f>
        <v>0.51359485583392395</v>
      </c>
      <c r="AH157" s="2">
        <f>1/AI157</f>
        <v>0.13577732518669383</v>
      </c>
      <c r="AI157" s="2">
        <f>AC157+AD157</f>
        <v>7.3650000000000002</v>
      </c>
      <c r="AJ157" s="2">
        <v>16</v>
      </c>
      <c r="AK157">
        <f>AJ157/AC157</f>
        <v>8.2175176933427831</v>
      </c>
      <c r="AM157" t="s">
        <v>802</v>
      </c>
    </row>
    <row r="158" spans="1:39" x14ac:dyDescent="0.35">
      <c r="D158" s="300">
        <v>0</v>
      </c>
      <c r="F158" s="13">
        <v>236.58166</v>
      </c>
      <c r="G158">
        <v>237.40241</v>
      </c>
      <c r="H158" s="2">
        <f t="shared" si="73"/>
        <v>0.82075000000000387</v>
      </c>
      <c r="I158" s="2">
        <f t="shared" si="74"/>
        <v>2.1950399999999775</v>
      </c>
      <c r="J158" s="2">
        <f t="shared" si="75"/>
        <v>0.27215091236459071</v>
      </c>
      <c r="K158" s="2">
        <f t="shared" si="76"/>
        <v>0.72784908763540934</v>
      </c>
      <c r="L158" s="2">
        <f t="shared" si="77"/>
        <v>1.2183978068839418</v>
      </c>
      <c r="M158" s="2">
        <f>1/N158</f>
        <v>0.33158807476648117</v>
      </c>
      <c r="N158" s="2">
        <f t="shared" si="78"/>
        <v>3.0157899999999813</v>
      </c>
      <c r="O158" s="2">
        <v>12</v>
      </c>
      <c r="P158">
        <f>O158/H158</f>
        <v>14.620773682607302</v>
      </c>
      <c r="Y158" s="300">
        <v>-8</v>
      </c>
      <c r="AA158" s="2">
        <v>8.9692799999999995</v>
      </c>
      <c r="AB158" s="2">
        <v>10.84915</v>
      </c>
      <c r="AC158" s="2">
        <f t="shared" si="85"/>
        <v>1.8798700000000004</v>
      </c>
      <c r="AD158" s="2">
        <f t="shared" si="86"/>
        <v>5.4351600000000015</v>
      </c>
      <c r="AE158" s="2">
        <f t="shared" ref="AE158:AE175" si="87">AC158/AI158</f>
        <v>0.25698732609435637</v>
      </c>
      <c r="AF158" s="2">
        <f t="shared" ref="AF158:AF175" si="88">AD158/AI158</f>
        <v>0.74301267390564363</v>
      </c>
      <c r="AG158" s="2">
        <f t="shared" ref="AG158:AG175" si="89">1/AC158</f>
        <v>0.53195167750961492</v>
      </c>
      <c r="AH158" s="2">
        <f t="shared" ref="AH158:AH175" si="90">1/AI158</f>
        <v>0.13670483921460333</v>
      </c>
      <c r="AI158" s="2">
        <f t="shared" ref="AI158:AI175" si="91">AC158+AD158</f>
        <v>7.3150300000000019</v>
      </c>
      <c r="AJ158" s="2">
        <v>14</v>
      </c>
      <c r="AK158">
        <f t="shared" ref="AK158:AK175" si="92">AJ158/AC158</f>
        <v>7.4473234851346088</v>
      </c>
    </row>
    <row r="159" spans="1:39" x14ac:dyDescent="0.35">
      <c r="F159" s="13">
        <v>239.59744999999998</v>
      </c>
      <c r="G159">
        <v>239.89442</v>
      </c>
      <c r="H159" s="2">
        <f t="shared" si="73"/>
        <v>0.29697000000001594</v>
      </c>
      <c r="I159" s="2"/>
      <c r="J159" s="2"/>
      <c r="K159" s="2"/>
      <c r="L159" s="2"/>
      <c r="M159" s="2"/>
      <c r="N159" s="2"/>
      <c r="O159" s="2"/>
      <c r="Y159" s="300">
        <v>-8</v>
      </c>
      <c r="AA159" s="13">
        <v>16.284310000000001</v>
      </c>
      <c r="AB159" s="2">
        <v>18.176449999999999</v>
      </c>
      <c r="AC159" s="2">
        <f t="shared" si="85"/>
        <v>1.8921399999999977</v>
      </c>
      <c r="AD159" s="2">
        <f t="shared" si="86"/>
        <v>5.3110999999999997</v>
      </c>
      <c r="AE159" s="2">
        <f t="shared" si="87"/>
        <v>0.26267901666472288</v>
      </c>
      <c r="AF159" s="2">
        <f t="shared" si="88"/>
        <v>0.73732098333527718</v>
      </c>
      <c r="AG159" s="2">
        <f t="shared" si="89"/>
        <v>0.528502119293499</v>
      </c>
      <c r="AH159" s="2">
        <f t="shared" si="90"/>
        <v>0.13882641700123838</v>
      </c>
      <c r="AI159" s="2">
        <f t="shared" si="91"/>
        <v>7.2032399999999974</v>
      </c>
      <c r="AJ159" s="2">
        <v>16</v>
      </c>
      <c r="AK159">
        <f t="shared" si="92"/>
        <v>8.4560339086959839</v>
      </c>
    </row>
    <row r="160" spans="1:39" x14ac:dyDescent="0.35">
      <c r="F160" s="13"/>
      <c r="G160" s="13"/>
      <c r="H160" s="2"/>
      <c r="I160" s="2"/>
      <c r="J160" s="2"/>
      <c r="K160" s="2"/>
      <c r="L160" s="2"/>
      <c r="M160" s="2"/>
      <c r="N160" s="2"/>
      <c r="O160" s="2"/>
      <c r="Y160" s="300">
        <v>-8</v>
      </c>
      <c r="AA160" s="13">
        <v>23.487549999999999</v>
      </c>
      <c r="AB160" s="2">
        <v>25.621569999999998</v>
      </c>
      <c r="AC160" s="2">
        <f t="shared" si="85"/>
        <v>2.1340199999999996</v>
      </c>
      <c r="AD160" s="2">
        <f t="shared" si="86"/>
        <v>6.4518100000000018</v>
      </c>
      <c r="AE160" s="2">
        <f t="shared" si="87"/>
        <v>0.24855139223581171</v>
      </c>
      <c r="AF160" s="2">
        <f t="shared" si="88"/>
        <v>0.75144860776418831</v>
      </c>
      <c r="AG160" s="2">
        <f t="shared" si="89"/>
        <v>0.4685991696422715</v>
      </c>
      <c r="AH160" s="2">
        <f t="shared" si="90"/>
        <v>0.11647097601513189</v>
      </c>
      <c r="AI160" s="2">
        <f t="shared" si="91"/>
        <v>8.5858300000000014</v>
      </c>
      <c r="AJ160" s="2">
        <v>20</v>
      </c>
      <c r="AK160">
        <f t="shared" si="92"/>
        <v>9.3719833928454293</v>
      </c>
    </row>
    <row r="161" spans="5:37" x14ac:dyDescent="0.35">
      <c r="F161" s="13"/>
      <c r="G161" s="13"/>
      <c r="H161" s="2"/>
      <c r="I161" s="2"/>
      <c r="J161" s="2"/>
      <c r="K161" s="2"/>
      <c r="L161" s="2"/>
      <c r="M161" s="2"/>
      <c r="N161" s="2"/>
      <c r="O161" s="2"/>
      <c r="Y161" s="300">
        <v>-8</v>
      </c>
      <c r="AA161" s="13">
        <v>32.07338</v>
      </c>
      <c r="AB161" s="2">
        <v>32.80151</v>
      </c>
      <c r="AC161" s="2">
        <f t="shared" si="85"/>
        <v>0.72813000000000017</v>
      </c>
      <c r="AD161" s="2">
        <f t="shared" si="86"/>
        <v>5.6016800000000018</v>
      </c>
      <c r="AE161" s="2">
        <f t="shared" si="87"/>
        <v>0.11503188879287055</v>
      </c>
      <c r="AF161" s="2">
        <f t="shared" si="88"/>
        <v>0.88496811120712948</v>
      </c>
      <c r="AG161" s="2">
        <f t="shared" si="89"/>
        <v>1.3733811269965526</v>
      </c>
      <c r="AH161" s="2">
        <f t="shared" si="90"/>
        <v>0.15798262507089467</v>
      </c>
      <c r="AI161" s="2">
        <f t="shared" si="91"/>
        <v>6.3298100000000019</v>
      </c>
      <c r="AJ161" s="2">
        <v>12</v>
      </c>
      <c r="AK161">
        <f t="shared" si="92"/>
        <v>16.480573523958629</v>
      </c>
    </row>
    <row r="162" spans="5:37" x14ac:dyDescent="0.35">
      <c r="F162" s="13"/>
      <c r="Y162" s="300">
        <v>-8</v>
      </c>
      <c r="AA162" s="13">
        <v>38.403190000000002</v>
      </c>
      <c r="AB162" s="2">
        <v>40.186720000000001</v>
      </c>
      <c r="AC162" s="2">
        <f t="shared" si="85"/>
        <v>1.7835299999999989</v>
      </c>
      <c r="AD162" s="2">
        <f t="shared" si="86"/>
        <v>4.6033299999999997</v>
      </c>
      <c r="AE162" s="2">
        <f t="shared" si="87"/>
        <v>0.27924989744569306</v>
      </c>
      <c r="AF162" s="2">
        <f t="shared" si="88"/>
        <v>0.72075010255430694</v>
      </c>
      <c r="AG162" s="2">
        <f t="shared" si="89"/>
        <v>0.56068583090836743</v>
      </c>
      <c r="AH162" s="2">
        <f t="shared" si="90"/>
        <v>0.15657146078041481</v>
      </c>
      <c r="AI162" s="2">
        <f t="shared" si="91"/>
        <v>6.3868599999999986</v>
      </c>
      <c r="AJ162" s="2">
        <v>18</v>
      </c>
      <c r="AK162">
        <f t="shared" si="92"/>
        <v>10.092344956350614</v>
      </c>
    </row>
    <row r="163" spans="5:37" ht="16" thickBot="1" x14ac:dyDescent="0.4">
      <c r="F163" s="13"/>
      <c r="G163" s="13"/>
      <c r="H163" s="9" t="s">
        <v>3</v>
      </c>
      <c r="I163" s="9" t="s">
        <v>4</v>
      </c>
      <c r="J163" s="9" t="s">
        <v>5</v>
      </c>
      <c r="K163" s="9" t="s">
        <v>6</v>
      </c>
      <c r="L163" s="9" t="s">
        <v>7</v>
      </c>
      <c r="M163" s="9" t="s">
        <v>8</v>
      </c>
      <c r="N163" s="9" t="s">
        <v>9</v>
      </c>
      <c r="O163" s="9" t="s">
        <v>10</v>
      </c>
      <c r="P163" s="44" t="s">
        <v>139</v>
      </c>
      <c r="Y163" s="300">
        <v>-8</v>
      </c>
      <c r="AA163" s="13">
        <v>44.790050000000001</v>
      </c>
      <c r="AB163" s="2">
        <v>46.510770000000001</v>
      </c>
      <c r="AC163" s="2">
        <f t="shared" si="85"/>
        <v>1.72072</v>
      </c>
      <c r="AD163" s="2">
        <f t="shared" si="86"/>
        <v>5.1108699999999985</v>
      </c>
      <c r="AE163" s="2">
        <f t="shared" si="87"/>
        <v>0.25187694226380686</v>
      </c>
      <c r="AF163" s="2">
        <f t="shared" si="88"/>
        <v>0.74812305773619314</v>
      </c>
      <c r="AG163" s="2">
        <f t="shared" si="89"/>
        <v>0.581152075875215</v>
      </c>
      <c r="AH163" s="2">
        <f t="shared" si="90"/>
        <v>0.14637880786171303</v>
      </c>
      <c r="AI163" s="2">
        <f t="shared" si="91"/>
        <v>6.8315899999999985</v>
      </c>
      <c r="AJ163" s="2">
        <v>16</v>
      </c>
      <c r="AK163">
        <f t="shared" si="92"/>
        <v>9.29843321400344</v>
      </c>
    </row>
    <row r="164" spans="5:37" x14ac:dyDescent="0.35">
      <c r="E164" s="104" t="s">
        <v>788</v>
      </c>
      <c r="F164" s="13"/>
      <c r="G164" s="49" t="s">
        <v>77</v>
      </c>
      <c r="H164" s="13">
        <f>AVERAGE(H92:H136)</f>
        <v>0.73847622222222209</v>
      </c>
      <c r="I164" s="13">
        <f t="shared" ref="I164:P164" si="93">AVERAGE(I92:I136)</f>
        <v>1.9851264444444445</v>
      </c>
      <c r="J164" s="13">
        <f t="shared" si="93"/>
        <v>0.27561267838821907</v>
      </c>
      <c r="K164" s="13">
        <f t="shared" si="93"/>
        <v>0.72438732161178088</v>
      </c>
      <c r="L164" s="13">
        <f t="shared" si="93"/>
        <v>2.307451000720556</v>
      </c>
      <c r="M164" s="13">
        <f t="shared" si="93"/>
        <v>0.38389048657475955</v>
      </c>
      <c r="N164" s="13">
        <f t="shared" si="93"/>
        <v>2.7236026666666664</v>
      </c>
      <c r="O164" s="13">
        <f t="shared" si="93"/>
        <v>10.488888888888889</v>
      </c>
      <c r="P164" s="13">
        <f t="shared" si="93"/>
        <v>16.119157642312768</v>
      </c>
      <c r="Y164" s="300">
        <v>-8</v>
      </c>
      <c r="AA164" s="13">
        <v>51.621639999999999</v>
      </c>
      <c r="AB164" s="2">
        <v>53.477080000000001</v>
      </c>
      <c r="AC164" s="2">
        <f t="shared" si="85"/>
        <v>1.8554400000000015</v>
      </c>
      <c r="AD164" s="2">
        <f t="shared" si="86"/>
        <v>5.1882400000000004</v>
      </c>
      <c r="AE164" s="2">
        <f t="shared" si="87"/>
        <v>0.26341912182268373</v>
      </c>
      <c r="AF164" s="2">
        <f t="shared" si="88"/>
        <v>0.73658087817731621</v>
      </c>
      <c r="AG164" s="2">
        <f t="shared" si="89"/>
        <v>0.53895571939809384</v>
      </c>
      <c r="AH164" s="2">
        <f t="shared" si="90"/>
        <v>0.14197124230515862</v>
      </c>
      <c r="AI164" s="2">
        <f t="shared" si="91"/>
        <v>7.0436800000000019</v>
      </c>
      <c r="AJ164" s="2">
        <v>18</v>
      </c>
      <c r="AK164">
        <f t="shared" si="92"/>
        <v>9.7012029491656886</v>
      </c>
    </row>
    <row r="165" spans="5:37" x14ac:dyDescent="0.35">
      <c r="E165" s="104"/>
      <c r="F165" s="13"/>
      <c r="G165" s="49" t="s">
        <v>94</v>
      </c>
      <c r="H165" s="2">
        <f>_xlfn.STDEV.S(H92:H136)</f>
        <v>0.49014515240751638</v>
      </c>
      <c r="I165" s="2">
        <f t="shared" ref="I165:P165" si="94">_xlfn.STDEV.S(I92:I136)</f>
        <v>0.76131523162865922</v>
      </c>
      <c r="J165" s="2">
        <f t="shared" si="94"/>
        <v>0.16636552372940042</v>
      </c>
      <c r="K165" s="2">
        <f t="shared" si="94"/>
        <v>0.1663655237294018</v>
      </c>
      <c r="L165" s="2">
        <f t="shared" si="94"/>
        <v>1.8451682148639801</v>
      </c>
      <c r="M165" s="2">
        <f t="shared" si="94"/>
        <v>6.1862778996092674E-2</v>
      </c>
      <c r="N165" s="2">
        <f t="shared" si="94"/>
        <v>0.7613496974285523</v>
      </c>
      <c r="O165" s="2">
        <f t="shared" si="94"/>
        <v>5.0660286679653188</v>
      </c>
      <c r="P165" s="2">
        <f t="shared" si="94"/>
        <v>3.5552969375218759</v>
      </c>
      <c r="Y165" s="300">
        <v>-8</v>
      </c>
      <c r="AA165" s="13">
        <v>58.665320000000001</v>
      </c>
      <c r="AB165" s="2">
        <v>60.468299999999999</v>
      </c>
      <c r="AC165" s="2">
        <f t="shared" si="85"/>
        <v>1.802979999999998</v>
      </c>
      <c r="AD165" s="2">
        <f t="shared" si="86"/>
        <v>5.2570599999999956</v>
      </c>
      <c r="AE165" s="2">
        <f t="shared" si="87"/>
        <v>0.25537815649769685</v>
      </c>
      <c r="AF165" s="2">
        <f t="shared" si="88"/>
        <v>0.7446218435023032</v>
      </c>
      <c r="AG165" s="2">
        <f t="shared" si="89"/>
        <v>0.55463732265471666</v>
      </c>
      <c r="AH165" s="2">
        <f t="shared" si="90"/>
        <v>0.14164225698437982</v>
      </c>
      <c r="AI165" s="2">
        <f t="shared" si="91"/>
        <v>7.0600399999999937</v>
      </c>
      <c r="AJ165" s="2">
        <v>16</v>
      </c>
      <c r="AK165">
        <f t="shared" si="92"/>
        <v>8.8741971624754665</v>
      </c>
    </row>
    <row r="166" spans="5:37" x14ac:dyDescent="0.35">
      <c r="E166" s="104"/>
      <c r="F166" s="13"/>
      <c r="G166" s="49" t="s">
        <v>95</v>
      </c>
      <c r="H166" s="2">
        <f>H165/(SQRT(COUNT(H92:H136)))</f>
        <v>7.3066525308346758E-2</v>
      </c>
      <c r="I166" s="2">
        <f t="shared" ref="I166:P166" si="95">I165/(SQRT(COUNT(I92:I136)))</f>
        <v>0.11349017401517866</v>
      </c>
      <c r="J166" s="2">
        <f t="shared" si="95"/>
        <v>2.4800308011419577E-2</v>
      </c>
      <c r="K166" s="2">
        <f t="shared" si="95"/>
        <v>2.4800308011419782E-2</v>
      </c>
      <c r="L166" s="2">
        <f t="shared" si="95"/>
        <v>0.27506143722385312</v>
      </c>
      <c r="M166" s="2">
        <f t="shared" si="95"/>
        <v>9.2219586074872937E-3</v>
      </c>
      <c r="N166" s="2">
        <f t="shared" si="95"/>
        <v>0.11349531187327598</v>
      </c>
      <c r="O166" s="2">
        <f t="shared" si="95"/>
        <v>0.75519896516887752</v>
      </c>
      <c r="P166" s="2">
        <f t="shared" si="95"/>
        <v>0.52999237549971578</v>
      </c>
      <c r="Y166" s="300">
        <v>-8</v>
      </c>
      <c r="AA166" s="13">
        <v>65.725359999999995</v>
      </c>
      <c r="AB166" s="2">
        <v>67.563400000000001</v>
      </c>
      <c r="AC166" s="2">
        <f t="shared" si="85"/>
        <v>1.8380400000000066</v>
      </c>
      <c r="AD166" s="2">
        <f t="shared" si="86"/>
        <v>5.2552799999999991</v>
      </c>
      <c r="AE166" s="2">
        <f t="shared" si="87"/>
        <v>0.25912266752381186</v>
      </c>
      <c r="AF166" s="2">
        <f t="shared" si="88"/>
        <v>0.74087733247618814</v>
      </c>
      <c r="AG166" s="2">
        <f t="shared" si="89"/>
        <v>0.5440578007007445</v>
      </c>
      <c r="AH166" s="2">
        <f t="shared" si="90"/>
        <v>0.14097770860471531</v>
      </c>
      <c r="AI166" s="2">
        <f t="shared" si="91"/>
        <v>7.0933200000000056</v>
      </c>
      <c r="AJ166" s="2">
        <v>16</v>
      </c>
      <c r="AK166">
        <f t="shared" si="92"/>
        <v>8.704924811211912</v>
      </c>
    </row>
    <row r="167" spans="5:37" x14ac:dyDescent="0.35">
      <c r="E167" s="104"/>
      <c r="Y167" s="300">
        <v>-8</v>
      </c>
      <c r="AA167" s="13">
        <v>72.818680000000001</v>
      </c>
      <c r="AB167" s="2">
        <v>74.657390000000007</v>
      </c>
      <c r="AC167" s="2">
        <f t="shared" si="85"/>
        <v>1.8387100000000061</v>
      </c>
      <c r="AD167" s="2">
        <f t="shared" si="86"/>
        <v>7.0824899999999928</v>
      </c>
      <c r="AE167" s="2">
        <f t="shared" si="87"/>
        <v>0.20610568085011055</v>
      </c>
      <c r="AF167" s="2">
        <f t="shared" si="88"/>
        <v>0.79389431914988939</v>
      </c>
      <c r="AG167" s="2">
        <f t="shared" si="89"/>
        <v>0.54385955370884842</v>
      </c>
      <c r="AH167" s="2">
        <f t="shared" si="90"/>
        <v>0.11209254360399948</v>
      </c>
      <c r="AI167" s="2">
        <f t="shared" si="91"/>
        <v>8.9211999999999989</v>
      </c>
      <c r="AJ167" s="2">
        <v>18</v>
      </c>
      <c r="AK167">
        <f t="shared" si="92"/>
        <v>9.7894719667592724</v>
      </c>
    </row>
    <row r="168" spans="5:37" x14ac:dyDescent="0.35">
      <c r="E168" s="104"/>
      <c r="Y168" s="300">
        <v>-8</v>
      </c>
      <c r="AA168" s="13">
        <v>81.739879999999999</v>
      </c>
      <c r="AB168" s="2">
        <v>82.050210000000007</v>
      </c>
      <c r="AC168" s="2">
        <f t="shared" si="85"/>
        <v>0.31033000000000754</v>
      </c>
      <c r="AD168" s="2">
        <f t="shared" si="86"/>
        <v>1.4304799999999886</v>
      </c>
      <c r="AE168" s="2">
        <f t="shared" si="87"/>
        <v>0.17826758807681953</v>
      </c>
      <c r="AF168" s="2">
        <f t="shared" si="88"/>
        <v>0.82173241192318047</v>
      </c>
      <c r="AG168" s="2">
        <f t="shared" si="89"/>
        <v>3.2223761801951976</v>
      </c>
      <c r="AH168" s="2">
        <f t="shared" si="90"/>
        <v>0.57444522951959276</v>
      </c>
      <c r="AI168" s="2">
        <f t="shared" si="91"/>
        <v>1.7408099999999962</v>
      </c>
      <c r="AJ168" s="2">
        <v>6</v>
      </c>
      <c r="AK168">
        <f t="shared" si="92"/>
        <v>19.334257081171184</v>
      </c>
    </row>
    <row r="169" spans="5:37" ht="16" thickBot="1" x14ac:dyDescent="0.4">
      <c r="E169" s="104"/>
      <c r="G169" s="13"/>
      <c r="H169" s="9" t="s">
        <v>3</v>
      </c>
      <c r="I169" s="9" t="s">
        <v>4</v>
      </c>
      <c r="J169" s="9" t="s">
        <v>5</v>
      </c>
      <c r="K169" s="9" t="s">
        <v>6</v>
      </c>
      <c r="L169" s="9" t="s">
        <v>7</v>
      </c>
      <c r="M169" s="9" t="s">
        <v>8</v>
      </c>
      <c r="N169" s="9" t="s">
        <v>9</v>
      </c>
      <c r="O169" s="9" t="s">
        <v>10</v>
      </c>
      <c r="P169" s="44" t="s">
        <v>139</v>
      </c>
      <c r="Y169" s="300">
        <v>-8</v>
      </c>
      <c r="AA169" s="13">
        <v>83.480689999999996</v>
      </c>
      <c r="AB169" s="2">
        <v>83.888189999999994</v>
      </c>
      <c r="AC169" s="2">
        <f t="shared" si="85"/>
        <v>0.40749999999999886</v>
      </c>
      <c r="AD169" s="2">
        <f t="shared" si="86"/>
        <v>3.0837800000000044</v>
      </c>
      <c r="AE169" s="2">
        <f t="shared" si="87"/>
        <v>0.11671936940033412</v>
      </c>
      <c r="AF169" s="2">
        <f t="shared" si="88"/>
        <v>0.88328063059966588</v>
      </c>
      <c r="AG169" s="2">
        <f t="shared" si="89"/>
        <v>2.4539877300613564</v>
      </c>
      <c r="AH169" s="2">
        <f t="shared" si="90"/>
        <v>0.28642790036891885</v>
      </c>
      <c r="AI169" s="2">
        <f t="shared" si="91"/>
        <v>3.4912800000000033</v>
      </c>
      <c r="AJ169" s="2">
        <v>6</v>
      </c>
      <c r="AK169">
        <f t="shared" si="92"/>
        <v>14.723926380368139</v>
      </c>
    </row>
    <row r="170" spans="5:37" x14ac:dyDescent="0.35">
      <c r="E170" s="104" t="s">
        <v>410</v>
      </c>
      <c r="G170" s="49" t="s">
        <v>77</v>
      </c>
      <c r="H170" s="13">
        <f>AVERAGE(H137:H158)</f>
        <v>0.89969454545454464</v>
      </c>
      <c r="I170" s="13">
        <f t="shared" ref="I170:P170" si="96">AVERAGE(I137:I158)</f>
        <v>4.3848186363636366</v>
      </c>
      <c r="J170" s="13">
        <f t="shared" si="96"/>
        <v>0.24852398326222574</v>
      </c>
      <c r="K170" s="13">
        <f t="shared" si="96"/>
        <v>0.7514760167377742</v>
      </c>
      <c r="L170" s="13">
        <f t="shared" si="96"/>
        <v>1.3956875439589613</v>
      </c>
      <c r="M170" s="13">
        <f t="shared" si="96"/>
        <v>0.27456904122258802</v>
      </c>
      <c r="N170" s="13">
        <f t="shared" si="96"/>
        <v>5.2845131818181805</v>
      </c>
      <c r="O170" s="13">
        <f t="shared" si="96"/>
        <v>12.818181818181818</v>
      </c>
      <c r="P170" s="13">
        <f t="shared" si="96"/>
        <v>14.562463575686856</v>
      </c>
      <c r="Y170" s="300">
        <v>-8</v>
      </c>
      <c r="AA170" s="13">
        <v>86.971969999999999</v>
      </c>
      <c r="AB170" s="2">
        <v>87.271460000000005</v>
      </c>
      <c r="AC170" s="2">
        <f t="shared" si="85"/>
        <v>0.29949000000000581</v>
      </c>
      <c r="AD170" s="2">
        <f t="shared" si="86"/>
        <v>3.1697399999999902</v>
      </c>
      <c r="AE170" s="2">
        <f t="shared" si="87"/>
        <v>8.632751359812009E-2</v>
      </c>
      <c r="AF170" s="2">
        <f t="shared" si="88"/>
        <v>0.91367248640187992</v>
      </c>
      <c r="AG170" s="2">
        <f t="shared" si="89"/>
        <v>3.339009649737823</v>
      </c>
      <c r="AH170" s="2">
        <f t="shared" si="90"/>
        <v>0.28824840094199611</v>
      </c>
      <c r="AI170" s="2">
        <f t="shared" si="91"/>
        <v>3.469229999999996</v>
      </c>
      <c r="AJ170" s="2">
        <v>6</v>
      </c>
      <c r="AK170">
        <f t="shared" si="92"/>
        <v>20.034057898426937</v>
      </c>
    </row>
    <row r="171" spans="5:37" x14ac:dyDescent="0.35">
      <c r="G171" s="49" t="s">
        <v>94</v>
      </c>
      <c r="H171" s="2">
        <f>_xlfn.STDEV.S(H137:H158)</f>
        <v>0.36384266163545814</v>
      </c>
      <c r="I171" s="2">
        <f t="shared" ref="I171:P171" si="97">_xlfn.STDEV.S(I137:I158)</f>
        <v>4.2352475751217007</v>
      </c>
      <c r="J171" s="2">
        <f t="shared" si="97"/>
        <v>0.16810237788344179</v>
      </c>
      <c r="K171" s="2">
        <f t="shared" si="97"/>
        <v>0.16810237788344212</v>
      </c>
      <c r="L171" s="2">
        <f t="shared" si="97"/>
        <v>0.78359773008875722</v>
      </c>
      <c r="M171" s="2">
        <f t="shared" si="97"/>
        <v>0.12941793307895469</v>
      </c>
      <c r="N171" s="2">
        <f t="shared" si="97"/>
        <v>4.193048835117458</v>
      </c>
      <c r="O171" s="2">
        <f t="shared" si="97"/>
        <v>4.8857066909639473</v>
      </c>
      <c r="P171" s="2">
        <f t="shared" si="97"/>
        <v>1.4249532056478462</v>
      </c>
      <c r="Y171" s="300">
        <v>-8</v>
      </c>
      <c r="AA171" s="13">
        <v>90.441199999999995</v>
      </c>
      <c r="AB171" s="2">
        <v>92.200779999999995</v>
      </c>
      <c r="AC171" s="2">
        <f t="shared" si="85"/>
        <v>1.7595799999999997</v>
      </c>
      <c r="AD171" s="2">
        <f t="shared" si="86"/>
        <v>5.024320000000003</v>
      </c>
      <c r="AE171" s="2">
        <f t="shared" si="87"/>
        <v>0.25937587523400979</v>
      </c>
      <c r="AF171" s="2">
        <f t="shared" si="88"/>
        <v>0.74062412476599027</v>
      </c>
      <c r="AG171" s="2">
        <f t="shared" si="89"/>
        <v>0.56831743938894519</v>
      </c>
      <c r="AH171" s="2">
        <f t="shared" si="90"/>
        <v>0.14740783325225898</v>
      </c>
      <c r="AI171" s="2">
        <f t="shared" si="91"/>
        <v>6.7839000000000027</v>
      </c>
      <c r="AJ171" s="2">
        <v>12</v>
      </c>
      <c r="AK171">
        <f t="shared" si="92"/>
        <v>6.8198092726673423</v>
      </c>
    </row>
    <row r="172" spans="5:37" x14ac:dyDescent="0.35">
      <c r="G172" s="49" t="s">
        <v>95</v>
      </c>
      <c r="H172" s="2">
        <f>H171/(SQRT(COUNT(H137:H158)))</f>
        <v>7.757151610141165E-2</v>
      </c>
      <c r="I172" s="2">
        <f t="shared" ref="I172:P172" si="98">I171/(SQRT(COUNT(I137:I158)))</f>
        <v>0.90295781695930855</v>
      </c>
      <c r="J172" s="2">
        <f t="shared" si="98"/>
        <v>3.5839547385831311E-2</v>
      </c>
      <c r="K172" s="2">
        <f t="shared" si="98"/>
        <v>3.583954738583138E-2</v>
      </c>
      <c r="L172" s="2">
        <f t="shared" si="98"/>
        <v>0.16706359738955331</v>
      </c>
      <c r="M172" s="2">
        <f t="shared" si="98"/>
        <v>2.7591996041695592E-2</v>
      </c>
      <c r="N172" s="2">
        <f t="shared" si="98"/>
        <v>0.89396101536109984</v>
      </c>
      <c r="O172" s="2">
        <f t="shared" si="98"/>
        <v>1.0416361664169125</v>
      </c>
      <c r="P172" s="2">
        <f t="shared" si="98"/>
        <v>0.30380104421734427</v>
      </c>
      <c r="Y172" s="300">
        <v>-8</v>
      </c>
      <c r="AA172" s="13">
        <v>97.225099999999998</v>
      </c>
      <c r="AB172" s="2">
        <v>99.016009999999994</v>
      </c>
      <c r="AC172" s="2">
        <f t="shared" si="85"/>
        <v>1.7909099999999967</v>
      </c>
      <c r="AD172" s="2">
        <f t="shared" si="86"/>
        <v>6.4877900000000039</v>
      </c>
      <c r="AE172" s="2">
        <f t="shared" si="87"/>
        <v>0.21632744271443544</v>
      </c>
      <c r="AF172" s="2">
        <f t="shared" si="88"/>
        <v>0.78367255728556462</v>
      </c>
      <c r="AG172" s="2">
        <f t="shared" si="89"/>
        <v>0.558375351078503</v>
      </c>
      <c r="AH172" s="2">
        <f t="shared" si="90"/>
        <v>0.12079191177358763</v>
      </c>
      <c r="AI172" s="2">
        <f t="shared" si="91"/>
        <v>8.2787000000000006</v>
      </c>
      <c r="AJ172" s="2">
        <v>16</v>
      </c>
      <c r="AK172">
        <f t="shared" si="92"/>
        <v>8.934005617256048</v>
      </c>
    </row>
    <row r="173" spans="5:37" x14ac:dyDescent="0.35">
      <c r="Y173" s="300">
        <v>-8</v>
      </c>
      <c r="AA173" s="13">
        <v>105.5038</v>
      </c>
      <c r="AB173" s="2">
        <v>107.2873</v>
      </c>
      <c r="AC173" s="2">
        <f t="shared" si="85"/>
        <v>1.7835000000000036</v>
      </c>
      <c r="AD173" s="2">
        <f t="shared" si="86"/>
        <v>4.8473800000000011</v>
      </c>
      <c r="AE173" s="2">
        <f t="shared" si="87"/>
        <v>0.26896882465072547</v>
      </c>
      <c r="AF173" s="2">
        <f t="shared" si="88"/>
        <v>0.73103117534927453</v>
      </c>
      <c r="AG173" s="2">
        <f t="shared" si="89"/>
        <v>0.56069526212503396</v>
      </c>
      <c r="AH173" s="2">
        <f t="shared" si="90"/>
        <v>0.1508095456410008</v>
      </c>
      <c r="AI173" s="2">
        <f t="shared" si="91"/>
        <v>6.6308800000000048</v>
      </c>
      <c r="AJ173" s="2">
        <v>18</v>
      </c>
      <c r="AK173">
        <f t="shared" si="92"/>
        <v>10.092514718250611</v>
      </c>
    </row>
    <row r="174" spans="5:37" x14ac:dyDescent="0.35">
      <c r="Y174" s="300">
        <v>-8</v>
      </c>
      <c r="AA174" s="13">
        <v>112.13468</v>
      </c>
      <c r="AB174" s="2">
        <v>112.46249</v>
      </c>
      <c r="AC174" s="2">
        <f t="shared" si="85"/>
        <v>0.32780999999999949</v>
      </c>
      <c r="AD174" s="2">
        <f t="shared" si="86"/>
        <v>1.3217099999999959</v>
      </c>
      <c r="AE174" s="2">
        <f t="shared" si="87"/>
        <v>0.19873053979339469</v>
      </c>
      <c r="AF174" s="2">
        <f t="shared" si="88"/>
        <v>0.80126946020660528</v>
      </c>
      <c r="AG174" s="2">
        <f t="shared" si="89"/>
        <v>3.0505475732894101</v>
      </c>
      <c r="AH174" s="2">
        <f t="shared" si="90"/>
        <v>0.60623696590523468</v>
      </c>
      <c r="AI174" s="2">
        <f t="shared" si="91"/>
        <v>1.6495199999999954</v>
      </c>
      <c r="AJ174" s="2">
        <v>6</v>
      </c>
      <c r="AK174">
        <f t="shared" si="92"/>
        <v>18.303285439736459</v>
      </c>
    </row>
    <row r="175" spans="5:37" x14ac:dyDescent="0.35">
      <c r="Y175" s="300">
        <v>-8</v>
      </c>
      <c r="AA175" s="13">
        <v>113.7842</v>
      </c>
      <c r="AB175" s="2">
        <v>115.51022</v>
      </c>
      <c r="AC175" s="2">
        <f t="shared" si="85"/>
        <v>1.7260200000000054</v>
      </c>
      <c r="AD175" s="2">
        <f t="shared" si="86"/>
        <v>3.2843199999999939</v>
      </c>
      <c r="AE175" s="2">
        <f t="shared" si="87"/>
        <v>0.34449159138900864</v>
      </c>
      <c r="AF175" s="2">
        <f t="shared" si="88"/>
        <v>0.65550840861099136</v>
      </c>
      <c r="AG175" s="2">
        <f t="shared" si="89"/>
        <v>0.57936756236891629</v>
      </c>
      <c r="AH175" s="2">
        <f t="shared" si="90"/>
        <v>0.19958725355963869</v>
      </c>
      <c r="AI175" s="2">
        <f t="shared" si="91"/>
        <v>5.0103399999999993</v>
      </c>
      <c r="AJ175" s="2">
        <v>12</v>
      </c>
      <c r="AK175">
        <f t="shared" si="92"/>
        <v>6.9524107484269955</v>
      </c>
    </row>
    <row r="176" spans="5:37" x14ac:dyDescent="0.35">
      <c r="Y176" s="300">
        <v>-8</v>
      </c>
      <c r="AA176" s="13">
        <v>118.79454</v>
      </c>
      <c r="AB176" s="2">
        <v>119.70307</v>
      </c>
      <c r="AC176" s="2">
        <f t="shared" si="85"/>
        <v>0.90852999999999895</v>
      </c>
      <c r="AD176" s="2"/>
      <c r="AE176" s="2"/>
      <c r="AF176" s="2"/>
      <c r="AG176" s="2"/>
      <c r="AH176" s="2"/>
      <c r="AI176" s="2"/>
      <c r="AJ176" s="2"/>
    </row>
    <row r="177" spans="4:38" ht="18.5" x14ac:dyDescent="0.45">
      <c r="F177" s="1" t="s">
        <v>405</v>
      </c>
      <c r="G177" s="3"/>
      <c r="H177" s="3"/>
      <c r="I177" s="3"/>
      <c r="J177" s="3"/>
      <c r="K177" s="3"/>
      <c r="L177" s="3"/>
      <c r="M177" s="3"/>
      <c r="N177" s="3"/>
      <c r="O177" s="3"/>
      <c r="AA177" s="13"/>
      <c r="AC177" s="2"/>
      <c r="AD177" s="2"/>
      <c r="AE177" s="2"/>
      <c r="AF177" s="2"/>
      <c r="AG177" s="2"/>
      <c r="AH177" s="2"/>
      <c r="AI177" s="2"/>
      <c r="AJ177" s="2"/>
    </row>
    <row r="178" spans="4:38" ht="16" thickBot="1" x14ac:dyDescent="0.4">
      <c r="D178" s="204" t="s">
        <v>406</v>
      </c>
      <c r="F178" s="9" t="s">
        <v>1</v>
      </c>
      <c r="G178" s="9" t="s">
        <v>2</v>
      </c>
      <c r="H178" s="9" t="s">
        <v>3</v>
      </c>
      <c r="I178" s="9" t="s">
        <v>4</v>
      </c>
      <c r="J178" s="9" t="s">
        <v>5</v>
      </c>
      <c r="K178" s="9" t="s">
        <v>6</v>
      </c>
      <c r="L178" s="9" t="s">
        <v>7</v>
      </c>
      <c r="M178" s="9" t="s">
        <v>8</v>
      </c>
      <c r="N178" s="9" t="s">
        <v>9</v>
      </c>
      <c r="O178" s="9" t="s">
        <v>10</v>
      </c>
      <c r="P178" s="44" t="s">
        <v>139</v>
      </c>
      <c r="R178" s="44" t="s">
        <v>138</v>
      </c>
      <c r="AA178" s="13"/>
      <c r="AB178" s="13"/>
      <c r="AC178" s="9" t="s">
        <v>3</v>
      </c>
      <c r="AD178" s="9" t="s">
        <v>4</v>
      </c>
      <c r="AE178" s="9" t="s">
        <v>5</v>
      </c>
      <c r="AF178" s="9" t="s">
        <v>6</v>
      </c>
      <c r="AG178" s="9" t="s">
        <v>7</v>
      </c>
      <c r="AH178" s="9" t="s">
        <v>8</v>
      </c>
      <c r="AI178" s="9" t="s">
        <v>9</v>
      </c>
      <c r="AJ178" s="9" t="s">
        <v>10</v>
      </c>
      <c r="AK178" s="44" t="s">
        <v>139</v>
      </c>
    </row>
    <row r="179" spans="4:38" x14ac:dyDescent="0.35">
      <c r="D179" s="291">
        <v>20</v>
      </c>
      <c r="F179" s="2">
        <v>4.2099999999999999E-2</v>
      </c>
      <c r="G179" s="2">
        <v>0.53956000000000004</v>
      </c>
      <c r="H179" s="2">
        <f t="shared" ref="H179:H187" si="99">G179-F179</f>
        <v>0.49746000000000001</v>
      </c>
      <c r="I179" s="2">
        <f t="shared" ref="I179:I187" si="100">F180-G179</f>
        <v>1.4742599999999999</v>
      </c>
      <c r="J179" s="2">
        <f>H179/N179</f>
        <v>0.25229748645852357</v>
      </c>
      <c r="K179" s="2">
        <f>I179/N179</f>
        <v>0.74770251354147643</v>
      </c>
      <c r="L179" s="2">
        <f>1/H179</f>
        <v>2.0102118763317653</v>
      </c>
      <c r="M179" s="2">
        <f>1/N179</f>
        <v>0.50717140364757674</v>
      </c>
      <c r="N179" s="2">
        <f>H179+I179</f>
        <v>1.9717199999999999</v>
      </c>
      <c r="O179" s="2">
        <v>8</v>
      </c>
      <c r="P179">
        <f>O179/H179</f>
        <v>16.081695010654123</v>
      </c>
      <c r="R179" t="s">
        <v>791</v>
      </c>
      <c r="Z179" s="104" t="s">
        <v>435</v>
      </c>
      <c r="AA179" s="13"/>
      <c r="AB179" s="49" t="s">
        <v>77</v>
      </c>
      <c r="AC179" s="13">
        <f>AVERAGE(AC157:AC175)</f>
        <v>1.4645147368421068</v>
      </c>
      <c r="AD179" s="13">
        <f t="shared" ref="AD179:AK179" si="101">AVERAGE(AD157:AD175)</f>
        <v>4.7033936842105248</v>
      </c>
      <c r="AE179" s="13">
        <f t="shared" si="101"/>
        <v>0.2279988123066535</v>
      </c>
      <c r="AF179" s="13">
        <f t="shared" si="101"/>
        <v>0.77200118769334647</v>
      </c>
      <c r="AG179" s="13">
        <f t="shared" si="101"/>
        <v>1.1090554737245806</v>
      </c>
      <c r="AH179" s="13">
        <f t="shared" si="101"/>
        <v>0.20522901282058803</v>
      </c>
      <c r="AI179" s="13">
        <f t="shared" si="101"/>
        <v>6.1679084210526325</v>
      </c>
      <c r="AJ179" s="13">
        <f t="shared" si="101"/>
        <v>13.789473684210526</v>
      </c>
      <c r="AK179" s="13">
        <f t="shared" si="101"/>
        <v>11.138330222118292</v>
      </c>
    </row>
    <row r="180" spans="4:38" x14ac:dyDescent="0.35">
      <c r="D180" s="300">
        <v>20</v>
      </c>
      <c r="F180" s="2">
        <v>2.0138199999999999</v>
      </c>
      <c r="G180" s="2">
        <v>5.8578299999999999</v>
      </c>
      <c r="H180" s="2">
        <f t="shared" si="99"/>
        <v>3.8440099999999999</v>
      </c>
      <c r="I180" s="2">
        <f t="shared" si="100"/>
        <v>4.1814400000000003</v>
      </c>
      <c r="J180" s="2">
        <f t="shared" ref="J180:J187" si="102">H180/N180</f>
        <v>0.47897750281915658</v>
      </c>
      <c r="K180" s="2">
        <f t="shared" ref="K180:K187" si="103">I180/N180</f>
        <v>0.52102249718084348</v>
      </c>
      <c r="L180" s="2">
        <f t="shared" ref="L180:L187" si="104">1/H180</f>
        <v>0.26014500482568986</v>
      </c>
      <c r="M180" s="2">
        <f t="shared" ref="M180:M187" si="105">1/N180</f>
        <v>0.12460360478228637</v>
      </c>
      <c r="N180" s="2">
        <f t="shared" ref="N180:N187" si="106">H180+I180</f>
        <v>8.0254499999999993</v>
      </c>
      <c r="O180" s="2">
        <v>58</v>
      </c>
      <c r="P180">
        <f t="shared" ref="P180:P219" si="107">O180/H180</f>
        <v>15.088410279890011</v>
      </c>
      <c r="Z180" s="104"/>
      <c r="AA180" s="13"/>
      <c r="AB180" s="49" t="s">
        <v>94</v>
      </c>
      <c r="AC180" s="2">
        <f>_xlfn.STDEV.S(AC157:AC175)</f>
        <v>0.6564046132054725</v>
      </c>
      <c r="AD180" s="2">
        <f t="shared" ref="AD180:AK180" si="108">_xlfn.STDEV.S(AD157:AD175)</f>
        <v>1.5706712967221352</v>
      </c>
      <c r="AE180" s="2">
        <f t="shared" si="108"/>
        <v>6.4701115444820614E-2</v>
      </c>
      <c r="AF180" s="2">
        <f t="shared" si="108"/>
        <v>6.470111544482067E-2</v>
      </c>
      <c r="AG180" s="2">
        <f t="shared" si="108"/>
        <v>1.0421435907880128</v>
      </c>
      <c r="AH180" s="2">
        <f t="shared" si="108"/>
        <v>0.14429842981582375</v>
      </c>
      <c r="AI180" s="2">
        <f t="shared" si="108"/>
        <v>2.1217538160427103</v>
      </c>
      <c r="AJ180" s="2">
        <f t="shared" si="108"/>
        <v>4.6616514404282503</v>
      </c>
      <c r="AK180" s="2">
        <f t="shared" si="108"/>
        <v>4.3014554886712322</v>
      </c>
    </row>
    <row r="181" spans="4:38" x14ac:dyDescent="0.35">
      <c r="D181" s="300">
        <v>20</v>
      </c>
      <c r="F181" s="13">
        <v>10.03927</v>
      </c>
      <c r="G181" s="2">
        <v>13.673220000000001</v>
      </c>
      <c r="H181" s="2">
        <f t="shared" si="99"/>
        <v>3.6339500000000005</v>
      </c>
      <c r="I181" s="2">
        <f t="shared" si="100"/>
        <v>1.7988499999999998</v>
      </c>
      <c r="J181" s="2">
        <f t="shared" si="102"/>
        <v>0.66889081136798711</v>
      </c>
      <c r="K181" s="2">
        <f t="shared" si="103"/>
        <v>0.33110918863201289</v>
      </c>
      <c r="L181" s="2">
        <f t="shared" si="104"/>
        <v>0.27518265248558726</v>
      </c>
      <c r="M181" s="2">
        <f t="shared" si="105"/>
        <v>0.1840671476954793</v>
      </c>
      <c r="N181" s="2">
        <f t="shared" si="106"/>
        <v>5.4328000000000003</v>
      </c>
      <c r="O181" s="2">
        <v>44</v>
      </c>
      <c r="P181">
        <f t="shared" si="107"/>
        <v>12.108036709365839</v>
      </c>
      <c r="Z181" s="104"/>
      <c r="AA181" s="13"/>
      <c r="AB181" s="49" t="s">
        <v>95</v>
      </c>
      <c r="AC181" s="2">
        <f>AC180/(SQRT(COUNT(AC157:AC175)))</f>
        <v>0.15058954605455568</v>
      </c>
      <c r="AD181" s="2">
        <f t="shared" ref="AD181:AK181" si="109">AD180/(SQRT(COUNT(AD157:AD175)))</f>
        <v>0.36033670820693547</v>
      </c>
      <c r="AE181" s="2">
        <f t="shared" si="109"/>
        <v>1.4843453882017459E-2</v>
      </c>
      <c r="AF181" s="2">
        <f t="shared" si="109"/>
        <v>1.4843453882017471E-2</v>
      </c>
      <c r="AG181" s="2">
        <f t="shared" si="109"/>
        <v>0.23908413667913433</v>
      </c>
      <c r="AH181" s="2">
        <f t="shared" si="109"/>
        <v>3.3104330172566955E-2</v>
      </c>
      <c r="AI181" s="2">
        <f t="shared" si="109"/>
        <v>0.48676370880010322</v>
      </c>
      <c r="AJ181" s="2">
        <f t="shared" si="109"/>
        <v>1.0694561862546084</v>
      </c>
      <c r="AK181" s="2">
        <f t="shared" si="109"/>
        <v>0.98682156764506657</v>
      </c>
    </row>
    <row r="182" spans="4:38" x14ac:dyDescent="0.35">
      <c r="D182" s="300">
        <v>20</v>
      </c>
      <c r="F182" s="13">
        <v>15.47207</v>
      </c>
      <c r="G182" s="2">
        <v>16.69669</v>
      </c>
      <c r="H182" s="2">
        <f t="shared" si="99"/>
        <v>1.2246199999999998</v>
      </c>
      <c r="I182" s="2">
        <f t="shared" si="100"/>
        <v>1.3527300000000011</v>
      </c>
      <c r="J182" s="2">
        <f t="shared" si="102"/>
        <v>0.47514695326595124</v>
      </c>
      <c r="K182" s="2">
        <f t="shared" si="103"/>
        <v>0.52485304673404876</v>
      </c>
      <c r="L182" s="2">
        <f t="shared" si="104"/>
        <v>0.81657983701066461</v>
      </c>
      <c r="M182" s="2">
        <f t="shared" si="105"/>
        <v>0.38799542165402434</v>
      </c>
      <c r="N182" s="2">
        <f t="shared" si="106"/>
        <v>2.5773500000000009</v>
      </c>
      <c r="O182" s="2">
        <v>18</v>
      </c>
      <c r="P182">
        <f t="shared" si="107"/>
        <v>14.698437066191964</v>
      </c>
      <c r="Z182" s="104"/>
    </row>
    <row r="183" spans="4:38" x14ac:dyDescent="0.35">
      <c r="D183" s="300">
        <v>20</v>
      </c>
      <c r="F183" s="13">
        <v>18.049420000000001</v>
      </c>
      <c r="G183" s="2">
        <v>18.9255</v>
      </c>
      <c r="H183" s="2">
        <f t="shared" si="99"/>
        <v>0.87607999999999819</v>
      </c>
      <c r="I183" s="2">
        <f t="shared" si="100"/>
        <v>1.6169200000000004</v>
      </c>
      <c r="J183" s="2">
        <f t="shared" si="102"/>
        <v>0.35141596470116276</v>
      </c>
      <c r="K183" s="2">
        <f t="shared" si="103"/>
        <v>0.64858403529883724</v>
      </c>
      <c r="L183" s="2">
        <f t="shared" si="104"/>
        <v>1.1414482695644257</v>
      </c>
      <c r="M183" s="2">
        <f t="shared" si="105"/>
        <v>0.40112314480545552</v>
      </c>
      <c r="N183" s="2">
        <f t="shared" si="106"/>
        <v>2.4929999999999986</v>
      </c>
      <c r="O183" s="2">
        <v>14</v>
      </c>
      <c r="P183">
        <f t="shared" si="107"/>
        <v>15.98027577390196</v>
      </c>
      <c r="Z183" s="104"/>
    </row>
    <row r="184" spans="4:38" ht="15.5" x14ac:dyDescent="0.35">
      <c r="D184" s="300">
        <v>20</v>
      </c>
      <c r="F184" s="13">
        <v>20.54242</v>
      </c>
      <c r="G184" s="2">
        <v>21.783180000000002</v>
      </c>
      <c r="H184" s="2">
        <f t="shared" si="99"/>
        <v>1.2407600000000016</v>
      </c>
      <c r="I184" s="2">
        <f t="shared" si="100"/>
        <v>1.1450099999999992</v>
      </c>
      <c r="J184" s="2">
        <f t="shared" si="102"/>
        <v>0.52006689664133643</v>
      </c>
      <c r="K184" s="2">
        <f t="shared" si="103"/>
        <v>0.47993310335866357</v>
      </c>
      <c r="L184" s="2">
        <f t="shared" si="104"/>
        <v>0.80595763886650007</v>
      </c>
      <c r="M184" s="2">
        <f t="shared" si="105"/>
        <v>0.41915188806967968</v>
      </c>
      <c r="N184" s="2">
        <f t="shared" si="106"/>
        <v>2.3857700000000008</v>
      </c>
      <c r="O184" s="2">
        <v>18</v>
      </c>
      <c r="P184">
        <f t="shared" si="107"/>
        <v>14.507237499597002</v>
      </c>
      <c r="Y184" s="2"/>
      <c r="Z184" s="3"/>
      <c r="AA184" s="2"/>
      <c r="AB184" s="13"/>
      <c r="AC184" s="5"/>
      <c r="AD184" s="5"/>
      <c r="AE184" s="5"/>
      <c r="AF184" s="5"/>
      <c r="AG184" s="5"/>
      <c r="AH184" s="5"/>
      <c r="AI184" s="5"/>
      <c r="AJ184" s="5"/>
      <c r="AK184" s="14"/>
      <c r="AL184" s="2"/>
    </row>
    <row r="185" spans="4:38" x14ac:dyDescent="0.35">
      <c r="D185" s="300">
        <v>20</v>
      </c>
      <c r="F185" s="13">
        <v>22.928190000000001</v>
      </c>
      <c r="G185" s="2">
        <v>23.817920000000001</v>
      </c>
      <c r="H185" s="2">
        <f t="shared" si="99"/>
        <v>0.88973000000000013</v>
      </c>
      <c r="I185" s="2">
        <f t="shared" si="100"/>
        <v>1.7184500000000007</v>
      </c>
      <c r="J185" s="2">
        <f t="shared" si="102"/>
        <v>0.34113059681463698</v>
      </c>
      <c r="K185" s="2">
        <f t="shared" si="103"/>
        <v>0.65886940318536302</v>
      </c>
      <c r="L185" s="2">
        <f t="shared" si="104"/>
        <v>1.1239364751104266</v>
      </c>
      <c r="M185" s="2">
        <f t="shared" si="105"/>
        <v>0.38340912053615916</v>
      </c>
      <c r="N185" s="2">
        <f t="shared" si="106"/>
        <v>2.6081800000000008</v>
      </c>
      <c r="O185" s="2">
        <v>14</v>
      </c>
      <c r="P185">
        <f t="shared" si="107"/>
        <v>15.735110651545972</v>
      </c>
      <c r="Y185" s="2"/>
      <c r="Z185" s="3"/>
      <c r="AA185" s="2"/>
      <c r="AB185" s="49"/>
      <c r="AC185" s="13"/>
      <c r="AD185" s="13"/>
      <c r="AE185" s="13"/>
      <c r="AF185" s="13"/>
      <c r="AG185" s="13"/>
      <c r="AH185" s="13"/>
      <c r="AI185" s="13"/>
      <c r="AJ185" s="13"/>
      <c r="AK185" s="13"/>
      <c r="AL185" s="2"/>
    </row>
    <row r="186" spans="4:38" x14ac:dyDescent="0.35">
      <c r="D186" s="300">
        <v>20</v>
      </c>
      <c r="F186" s="13">
        <v>25.536370000000002</v>
      </c>
      <c r="G186" s="2">
        <v>26.521899999999999</v>
      </c>
      <c r="H186" s="2">
        <f t="shared" si="99"/>
        <v>0.98552999999999713</v>
      </c>
      <c r="I186" s="2">
        <f t="shared" si="100"/>
        <v>1.2917699999999996</v>
      </c>
      <c r="J186" s="2">
        <f t="shared" si="102"/>
        <v>0.43276248188644384</v>
      </c>
      <c r="K186" s="2">
        <f t="shared" si="103"/>
        <v>0.56723751811355616</v>
      </c>
      <c r="L186" s="2">
        <f t="shared" si="104"/>
        <v>1.0146824551256715</v>
      </c>
      <c r="M186" s="2">
        <f t="shared" si="105"/>
        <v>0.4391164976068157</v>
      </c>
      <c r="N186" s="2">
        <f t="shared" si="106"/>
        <v>2.2772999999999968</v>
      </c>
      <c r="O186" s="2">
        <v>16</v>
      </c>
      <c r="P186">
        <f t="shared" si="107"/>
        <v>16.234919282010743</v>
      </c>
      <c r="Y186" s="2"/>
      <c r="Z186" s="2"/>
      <c r="AA186" s="2"/>
      <c r="AB186" s="49"/>
      <c r="AC186" s="2"/>
      <c r="AD186" s="2"/>
      <c r="AE186" s="2"/>
      <c r="AF186" s="2"/>
      <c r="AG186" s="2"/>
      <c r="AH186" s="2"/>
      <c r="AI186" s="2"/>
      <c r="AJ186" s="2"/>
      <c r="AK186" s="2"/>
      <c r="AL186" s="2"/>
    </row>
    <row r="187" spans="4:38" x14ac:dyDescent="0.35">
      <c r="D187" s="300">
        <v>20</v>
      </c>
      <c r="F187" s="13">
        <v>27.813669999999998</v>
      </c>
      <c r="G187" s="2">
        <v>28.756769999999999</v>
      </c>
      <c r="H187" s="2">
        <f t="shared" si="99"/>
        <v>0.94310000000000116</v>
      </c>
      <c r="I187" s="2">
        <f t="shared" si="100"/>
        <v>1.5118100000000005</v>
      </c>
      <c r="J187" s="2">
        <f t="shared" si="102"/>
        <v>0.38416886973453224</v>
      </c>
      <c r="K187" s="2">
        <f t="shared" si="103"/>
        <v>0.61583113026546776</v>
      </c>
      <c r="L187" s="2">
        <f t="shared" si="104"/>
        <v>1.0603329445445857</v>
      </c>
      <c r="M187" s="2">
        <f t="shared" si="105"/>
        <v>0.40734690884798191</v>
      </c>
      <c r="N187" s="2">
        <f t="shared" si="106"/>
        <v>2.4549100000000017</v>
      </c>
      <c r="O187" s="2">
        <v>14</v>
      </c>
      <c r="P187">
        <f t="shared" si="107"/>
        <v>14.8446612236242</v>
      </c>
      <c r="Y187" s="2"/>
      <c r="Z187" s="2"/>
      <c r="AA187" s="2"/>
      <c r="AB187" s="49"/>
      <c r="AC187" s="2"/>
      <c r="AD187" s="2"/>
      <c r="AE187" s="2"/>
      <c r="AF187" s="2"/>
      <c r="AG187" s="2"/>
      <c r="AH187" s="2"/>
      <c r="AI187" s="2"/>
      <c r="AJ187" s="2"/>
      <c r="AK187" s="2"/>
      <c r="AL187" s="2"/>
    </row>
    <row r="188" spans="4:38" x14ac:dyDescent="0.35">
      <c r="D188" s="300">
        <v>20</v>
      </c>
      <c r="F188" s="13">
        <v>30.26858</v>
      </c>
      <c r="G188" s="2">
        <v>31.347629999999999</v>
      </c>
      <c r="H188" s="2">
        <f t="shared" ref="H188:H220" si="110">G188-F188</f>
        <v>1.0790499999999987</v>
      </c>
      <c r="I188" s="2">
        <f t="shared" ref="I188:I219" si="111">F189-G188</f>
        <v>1.2254699999999978</v>
      </c>
      <c r="J188" s="2">
        <f t="shared" ref="J188:J219" si="112">H188/N188</f>
        <v>0.46823199625084633</v>
      </c>
      <c r="K188" s="2">
        <f t="shared" ref="K188:K219" si="113">I188/N188</f>
        <v>0.53176800374915367</v>
      </c>
      <c r="L188" s="2">
        <f t="shared" ref="L188:L219" si="114">1/H188</f>
        <v>0.92674111486956223</v>
      </c>
      <c r="M188" s="2">
        <f t="shared" ref="M188:M219" si="115">1/N188</f>
        <v>0.43392984222311004</v>
      </c>
      <c r="N188" s="2">
        <f t="shared" ref="N188:N219" si="116">H188+I188</f>
        <v>2.3045199999999966</v>
      </c>
      <c r="O188" s="2">
        <v>16</v>
      </c>
      <c r="P188">
        <f t="shared" si="107"/>
        <v>14.827857837912996</v>
      </c>
      <c r="Y188" s="2"/>
      <c r="Z188" s="2"/>
      <c r="AA188" s="2"/>
      <c r="AB188" s="2"/>
      <c r="AC188" s="2"/>
      <c r="AD188" s="2"/>
      <c r="AE188" s="2"/>
      <c r="AF188" s="2"/>
      <c r="AG188" s="2"/>
      <c r="AH188" s="2"/>
      <c r="AI188" s="2"/>
      <c r="AJ188" s="2"/>
      <c r="AK188" s="2"/>
      <c r="AL188" s="2"/>
    </row>
    <row r="189" spans="4:38" x14ac:dyDescent="0.35">
      <c r="D189" s="300">
        <v>20</v>
      </c>
      <c r="F189" s="13">
        <v>32.573099999999997</v>
      </c>
      <c r="G189" s="2">
        <v>33.361109999999996</v>
      </c>
      <c r="H189" s="2">
        <f t="shared" si="110"/>
        <v>0.78800999999999988</v>
      </c>
      <c r="I189" s="2">
        <f t="shared" si="111"/>
        <v>1.6297100000000029</v>
      </c>
      <c r="J189" s="2">
        <f t="shared" si="112"/>
        <v>0.32593104246976445</v>
      </c>
      <c r="K189" s="2">
        <f t="shared" si="113"/>
        <v>0.67406895753023555</v>
      </c>
      <c r="L189" s="2">
        <f t="shared" si="114"/>
        <v>1.2690194286874534</v>
      </c>
      <c r="M189" s="2">
        <f t="shared" si="115"/>
        <v>0.41361282530648663</v>
      </c>
      <c r="N189" s="2">
        <f t="shared" si="116"/>
        <v>2.4177200000000028</v>
      </c>
      <c r="O189" s="2">
        <v>12</v>
      </c>
      <c r="P189">
        <f t="shared" si="107"/>
        <v>15.22823314424944</v>
      </c>
      <c r="Y189" s="2"/>
      <c r="Z189" s="2"/>
      <c r="AA189" s="2"/>
      <c r="AB189" s="2"/>
      <c r="AC189" s="2"/>
      <c r="AD189" s="2"/>
      <c r="AE189" s="2"/>
      <c r="AF189" s="2"/>
      <c r="AG189" s="2"/>
      <c r="AH189" s="2"/>
      <c r="AI189" s="2"/>
      <c r="AJ189" s="2"/>
      <c r="AK189" s="2"/>
      <c r="AL189" s="2"/>
    </row>
    <row r="190" spans="4:38" x14ac:dyDescent="0.35">
      <c r="D190" s="300">
        <v>20</v>
      </c>
      <c r="F190" s="13">
        <v>34.990819999999999</v>
      </c>
      <c r="G190" s="2">
        <v>36.15737</v>
      </c>
      <c r="H190" s="2">
        <f t="shared" si="110"/>
        <v>1.1665500000000009</v>
      </c>
      <c r="I190" s="2">
        <f t="shared" si="111"/>
        <v>1.0169300000000021</v>
      </c>
      <c r="J190" s="2">
        <f t="shared" si="112"/>
        <v>0.53426182057999128</v>
      </c>
      <c r="K190" s="2">
        <f t="shared" si="113"/>
        <v>0.46573817942000878</v>
      </c>
      <c r="L190" s="2">
        <f t="shared" si="114"/>
        <v>0.85722858000085655</v>
      </c>
      <c r="M190" s="2">
        <f t="shared" si="115"/>
        <v>0.45798450180445832</v>
      </c>
      <c r="N190" s="2">
        <f t="shared" si="116"/>
        <v>2.183480000000003</v>
      </c>
      <c r="O190" s="2">
        <v>14</v>
      </c>
      <c r="P190">
        <f t="shared" si="107"/>
        <v>12.001200120011992</v>
      </c>
    </row>
    <row r="191" spans="4:38" x14ac:dyDescent="0.35">
      <c r="D191" s="300">
        <v>20</v>
      </c>
      <c r="F191" s="13">
        <v>37.174300000000002</v>
      </c>
      <c r="G191" s="2">
        <v>38.190809999999999</v>
      </c>
      <c r="H191" s="2">
        <f t="shared" si="110"/>
        <v>1.0165099999999967</v>
      </c>
      <c r="I191" s="2">
        <f t="shared" si="111"/>
        <v>1.3196300000000036</v>
      </c>
      <c r="J191" s="2">
        <f t="shared" si="112"/>
        <v>0.43512375114504975</v>
      </c>
      <c r="K191" s="2">
        <f t="shared" si="113"/>
        <v>0.56487624885495025</v>
      </c>
      <c r="L191" s="2">
        <f t="shared" si="114"/>
        <v>0.98375815289569535</v>
      </c>
      <c r="M191" s="2">
        <f t="shared" si="115"/>
        <v>0.42805653770750035</v>
      </c>
      <c r="N191" s="2">
        <f t="shared" si="116"/>
        <v>2.3361400000000003</v>
      </c>
      <c r="O191" s="2">
        <v>14</v>
      </c>
      <c r="P191">
        <f t="shared" si="107"/>
        <v>13.772614140539735</v>
      </c>
    </row>
    <row r="192" spans="4:38" x14ac:dyDescent="0.35">
      <c r="D192" s="300">
        <v>20</v>
      </c>
      <c r="F192" s="13">
        <v>39.510440000000003</v>
      </c>
      <c r="G192" s="2">
        <v>40.520940000000003</v>
      </c>
      <c r="H192" s="2">
        <f t="shared" si="110"/>
        <v>1.0105000000000004</v>
      </c>
      <c r="I192" s="2">
        <f t="shared" si="111"/>
        <v>1.2401299999999935</v>
      </c>
      <c r="J192" s="2">
        <f t="shared" si="112"/>
        <v>0.44898539520045638</v>
      </c>
      <c r="K192" s="2">
        <f t="shared" si="113"/>
        <v>0.55101460479954367</v>
      </c>
      <c r="L192" s="2">
        <f t="shared" si="114"/>
        <v>0.98960910440376015</v>
      </c>
      <c r="M192" s="2">
        <f t="shared" si="115"/>
        <v>0.44432003483469196</v>
      </c>
      <c r="N192" s="2">
        <f t="shared" si="116"/>
        <v>2.2506299999999939</v>
      </c>
      <c r="O192" s="2">
        <v>14</v>
      </c>
      <c r="P192">
        <f t="shared" si="107"/>
        <v>13.854527461652642</v>
      </c>
    </row>
    <row r="193" spans="4:16" x14ac:dyDescent="0.35">
      <c r="D193" s="300">
        <v>20</v>
      </c>
      <c r="F193" s="13">
        <v>41.761069999999997</v>
      </c>
      <c r="G193" s="2">
        <v>42.561779999999999</v>
      </c>
      <c r="H193" s="2">
        <f t="shared" si="110"/>
        <v>0.80071000000000225</v>
      </c>
      <c r="I193" s="2">
        <f t="shared" si="111"/>
        <v>1.5930299999999988</v>
      </c>
      <c r="J193" s="2">
        <f t="shared" si="112"/>
        <v>0.33450165849256891</v>
      </c>
      <c r="K193" s="2">
        <f t="shared" si="113"/>
        <v>0.66549834150743115</v>
      </c>
      <c r="L193" s="2">
        <f t="shared" si="114"/>
        <v>1.2488916086972777</v>
      </c>
      <c r="M193" s="2">
        <f t="shared" si="115"/>
        <v>0.41775631438669175</v>
      </c>
      <c r="N193" s="2">
        <f t="shared" si="116"/>
        <v>2.3937400000000011</v>
      </c>
      <c r="O193" s="2">
        <v>12</v>
      </c>
      <c r="P193">
        <f t="shared" si="107"/>
        <v>14.986699304367331</v>
      </c>
    </row>
    <row r="194" spans="4:16" x14ac:dyDescent="0.35">
      <c r="D194" s="300">
        <v>20</v>
      </c>
      <c r="F194" s="13">
        <v>44.154809999999998</v>
      </c>
      <c r="G194" s="2">
        <v>45.211390000000002</v>
      </c>
      <c r="H194" s="2">
        <f t="shared" si="110"/>
        <v>1.0565800000000038</v>
      </c>
      <c r="I194" s="2">
        <f t="shared" si="111"/>
        <v>1.1729799999999955</v>
      </c>
      <c r="J194" s="2">
        <f t="shared" si="112"/>
        <v>0.4738961947648882</v>
      </c>
      <c r="K194" s="2">
        <f t="shared" si="113"/>
        <v>0.5261038052351118</v>
      </c>
      <c r="L194" s="2">
        <f t="shared" si="114"/>
        <v>0.9464498665505654</v>
      </c>
      <c r="M194" s="2">
        <f t="shared" si="115"/>
        <v>0.44851899029404918</v>
      </c>
      <c r="N194" s="2">
        <f t="shared" si="116"/>
        <v>2.2295599999999993</v>
      </c>
      <c r="O194" s="2">
        <v>14</v>
      </c>
      <c r="P194">
        <f t="shared" si="107"/>
        <v>13.250298131707915</v>
      </c>
    </row>
    <row r="195" spans="4:16" x14ac:dyDescent="0.35">
      <c r="D195" s="300">
        <v>20</v>
      </c>
      <c r="F195" s="13">
        <v>46.384369999999997</v>
      </c>
      <c r="G195" s="2">
        <v>46.852269999999997</v>
      </c>
      <c r="H195" s="2">
        <f t="shared" si="110"/>
        <v>0.4679000000000002</v>
      </c>
      <c r="I195" s="2">
        <f t="shared" si="111"/>
        <v>1.9288100000000057</v>
      </c>
      <c r="J195" s="2">
        <f t="shared" si="112"/>
        <v>0.19522595558077491</v>
      </c>
      <c r="K195" s="2">
        <f t="shared" si="113"/>
        <v>0.80477404441922507</v>
      </c>
      <c r="L195" s="2">
        <f t="shared" si="114"/>
        <v>2.1372088053002769</v>
      </c>
      <c r="M195" s="2">
        <f t="shared" si="115"/>
        <v>0.4172386312903929</v>
      </c>
      <c r="N195" s="2">
        <f t="shared" si="116"/>
        <v>2.3967100000000059</v>
      </c>
      <c r="O195" s="2">
        <v>8</v>
      </c>
      <c r="P195">
        <f t="shared" si="107"/>
        <v>17.097670442402215</v>
      </c>
    </row>
    <row r="196" spans="4:16" x14ac:dyDescent="0.35">
      <c r="D196" s="300">
        <v>20</v>
      </c>
      <c r="F196" s="13">
        <v>48.781080000000003</v>
      </c>
      <c r="G196" s="2">
        <v>49.8962</v>
      </c>
      <c r="H196" s="2">
        <f t="shared" si="110"/>
        <v>1.1151199999999974</v>
      </c>
      <c r="I196" s="2">
        <f t="shared" si="111"/>
        <v>3.8791399999999996</v>
      </c>
      <c r="J196" s="2">
        <f t="shared" si="112"/>
        <v>0.22328032581403412</v>
      </c>
      <c r="K196" s="2">
        <f t="shared" si="113"/>
        <v>0.77671967418596588</v>
      </c>
      <c r="L196" s="2">
        <f t="shared" si="114"/>
        <v>0.89676447377860879</v>
      </c>
      <c r="M196" s="2">
        <f t="shared" si="115"/>
        <v>0.20022986388373865</v>
      </c>
      <c r="N196" s="2">
        <f t="shared" si="116"/>
        <v>4.994259999999997</v>
      </c>
      <c r="O196" s="2">
        <v>14</v>
      </c>
      <c r="P196">
        <f t="shared" si="107"/>
        <v>12.554702632900524</v>
      </c>
    </row>
    <row r="197" spans="4:16" x14ac:dyDescent="0.35">
      <c r="D197" s="300">
        <v>20</v>
      </c>
      <c r="F197" s="13">
        <v>53.77534</v>
      </c>
      <c r="G197" s="2">
        <v>56.909770000000002</v>
      </c>
      <c r="H197" s="2">
        <f t="shared" si="110"/>
        <v>3.1344300000000018</v>
      </c>
      <c r="I197" s="2">
        <f t="shared" si="111"/>
        <v>1.5643299999999982</v>
      </c>
      <c r="J197" s="2">
        <f t="shared" si="112"/>
        <v>0.66707599451770294</v>
      </c>
      <c r="K197" s="2">
        <f t="shared" si="113"/>
        <v>0.33292400548229706</v>
      </c>
      <c r="L197" s="2">
        <f t="shared" si="114"/>
        <v>0.31903727312461894</v>
      </c>
      <c r="M197" s="2">
        <f t="shared" si="115"/>
        <v>0.21282210625782122</v>
      </c>
      <c r="N197" s="2">
        <f t="shared" si="116"/>
        <v>4.69876</v>
      </c>
      <c r="O197" s="2">
        <v>32</v>
      </c>
      <c r="P197">
        <f t="shared" si="107"/>
        <v>10.209192739987806</v>
      </c>
    </row>
    <row r="198" spans="4:16" x14ac:dyDescent="0.35">
      <c r="D198" s="300">
        <v>20</v>
      </c>
      <c r="F198" s="13">
        <v>58.4741</v>
      </c>
      <c r="G198" s="2">
        <v>59.295290000000001</v>
      </c>
      <c r="H198" s="2">
        <f t="shared" si="110"/>
        <v>0.82119000000000142</v>
      </c>
      <c r="I198" s="2">
        <f t="shared" si="111"/>
        <v>1.6284799999999962</v>
      </c>
      <c r="J198" s="2">
        <f t="shared" si="112"/>
        <v>0.33522474455743112</v>
      </c>
      <c r="K198" s="2">
        <f t="shared" si="113"/>
        <v>0.66477525544256888</v>
      </c>
      <c r="L198" s="2">
        <f t="shared" si="114"/>
        <v>1.2177449798463185</v>
      </c>
      <c r="M198" s="2">
        <f t="shared" si="115"/>
        <v>0.40821824980507621</v>
      </c>
      <c r="N198" s="2">
        <f t="shared" si="116"/>
        <v>2.4496699999999976</v>
      </c>
      <c r="O198" s="2">
        <v>12</v>
      </c>
      <c r="P198">
        <f t="shared" si="107"/>
        <v>14.612939758155822</v>
      </c>
    </row>
    <row r="199" spans="4:16" x14ac:dyDescent="0.35">
      <c r="D199" s="300">
        <v>20</v>
      </c>
      <c r="F199" s="13">
        <v>60.923769999999998</v>
      </c>
      <c r="G199" s="2">
        <v>61.313540000000003</v>
      </c>
      <c r="H199" s="2">
        <f t="shared" si="110"/>
        <v>0.38977000000000572</v>
      </c>
      <c r="I199" s="2">
        <f t="shared" si="111"/>
        <v>2.037309999999998</v>
      </c>
      <c r="J199" s="2">
        <f t="shared" si="112"/>
        <v>0.16059215188621931</v>
      </c>
      <c r="K199" s="2">
        <f t="shared" si="113"/>
        <v>0.83940784811378066</v>
      </c>
      <c r="L199" s="2">
        <f t="shared" si="114"/>
        <v>2.5656156194678537</v>
      </c>
      <c r="M199" s="2">
        <f t="shared" si="115"/>
        <v>0.41201773324323815</v>
      </c>
      <c r="N199" s="2">
        <f t="shared" si="116"/>
        <v>2.4270800000000037</v>
      </c>
      <c r="O199" s="2">
        <v>6</v>
      </c>
      <c r="P199">
        <f t="shared" si="107"/>
        <v>15.393693716807121</v>
      </c>
    </row>
    <row r="200" spans="4:16" x14ac:dyDescent="0.35">
      <c r="D200" s="300">
        <v>20</v>
      </c>
      <c r="F200" s="13">
        <v>63.350850000000001</v>
      </c>
      <c r="G200" s="2">
        <v>66.581549999999993</v>
      </c>
      <c r="H200" s="2">
        <f t="shared" si="110"/>
        <v>3.2306999999999917</v>
      </c>
      <c r="I200" s="2">
        <f t="shared" si="111"/>
        <v>1.6186300000000102</v>
      </c>
      <c r="J200" s="2">
        <f t="shared" si="112"/>
        <v>0.66621574526790106</v>
      </c>
      <c r="K200" s="2">
        <f t="shared" si="113"/>
        <v>0.33378425473209899</v>
      </c>
      <c r="L200" s="2">
        <f t="shared" si="114"/>
        <v>0.3095304423190029</v>
      </c>
      <c r="M200" s="2">
        <f t="shared" si="115"/>
        <v>0.20621405431265755</v>
      </c>
      <c r="N200" s="2">
        <f t="shared" si="116"/>
        <v>4.8493300000000019</v>
      </c>
      <c r="O200" s="2">
        <v>32</v>
      </c>
      <c r="P200">
        <f t="shared" si="107"/>
        <v>9.9049741542080927</v>
      </c>
    </row>
    <row r="201" spans="4:16" x14ac:dyDescent="0.35">
      <c r="D201" s="300">
        <v>20</v>
      </c>
      <c r="F201" s="13">
        <v>68.200180000000003</v>
      </c>
      <c r="G201" s="2">
        <v>68.36797</v>
      </c>
      <c r="H201" s="2">
        <f t="shared" si="110"/>
        <v>0.16778999999999655</v>
      </c>
      <c r="I201" s="2">
        <f t="shared" si="111"/>
        <v>2.0945099999999996</v>
      </c>
      <c r="J201" s="2">
        <f t="shared" si="112"/>
        <v>7.4167882243732858E-2</v>
      </c>
      <c r="K201" s="2">
        <f t="shared" si="113"/>
        <v>0.92583211775626717</v>
      </c>
      <c r="L201" s="2">
        <f t="shared" si="114"/>
        <v>5.9598307408070834</v>
      </c>
      <c r="M201" s="2">
        <f t="shared" si="115"/>
        <v>0.44202802457675888</v>
      </c>
      <c r="N201" s="2">
        <f t="shared" si="116"/>
        <v>2.2622999999999962</v>
      </c>
      <c r="O201" s="2">
        <v>4</v>
      </c>
      <c r="P201">
        <f t="shared" si="107"/>
        <v>23.839322963228334</v>
      </c>
    </row>
    <row r="202" spans="4:16" x14ac:dyDescent="0.35">
      <c r="D202" s="300">
        <v>20</v>
      </c>
      <c r="F202" s="13">
        <v>70.462479999999999</v>
      </c>
      <c r="G202" s="2">
        <v>71.470690000000005</v>
      </c>
      <c r="H202" s="2">
        <f t="shared" si="110"/>
        <v>1.0082100000000054</v>
      </c>
      <c r="I202" s="2">
        <f t="shared" si="111"/>
        <v>1.2254700000000014</v>
      </c>
      <c r="J202" s="2">
        <f t="shared" si="112"/>
        <v>0.45136725045664655</v>
      </c>
      <c r="K202" s="2">
        <f t="shared" si="113"/>
        <v>0.54863274954335339</v>
      </c>
      <c r="L202" s="2">
        <f t="shared" si="114"/>
        <v>0.99185685521864952</v>
      </c>
      <c r="M202" s="2">
        <f t="shared" si="115"/>
        <v>0.44769170158661803</v>
      </c>
      <c r="N202" s="2">
        <f t="shared" si="116"/>
        <v>2.2336800000000068</v>
      </c>
      <c r="O202" s="2">
        <v>16</v>
      </c>
      <c r="P202">
        <f t="shared" si="107"/>
        <v>15.869709683498392</v>
      </c>
    </row>
    <row r="203" spans="4:16" x14ac:dyDescent="0.35">
      <c r="D203" s="300">
        <v>20</v>
      </c>
      <c r="F203" s="13">
        <v>72.696160000000006</v>
      </c>
      <c r="G203" s="2">
        <v>73.124420000000001</v>
      </c>
      <c r="H203" s="2">
        <f t="shared" si="110"/>
        <v>0.42825999999999453</v>
      </c>
      <c r="I203" s="2">
        <f t="shared" si="111"/>
        <v>2.1063900000000046</v>
      </c>
      <c r="J203" s="2">
        <f t="shared" si="112"/>
        <v>0.168962184127984</v>
      </c>
      <c r="K203" s="2">
        <f t="shared" si="113"/>
        <v>0.83103781587201597</v>
      </c>
      <c r="L203" s="2">
        <f t="shared" si="114"/>
        <v>2.335030121888602</v>
      </c>
      <c r="M203" s="2">
        <f t="shared" si="115"/>
        <v>0.39453178939893097</v>
      </c>
      <c r="N203" s="2">
        <f t="shared" si="116"/>
        <v>2.5346499999999992</v>
      </c>
      <c r="O203" s="2">
        <v>6</v>
      </c>
      <c r="P203">
        <f t="shared" si="107"/>
        <v>14.010180731331612</v>
      </c>
    </row>
    <row r="204" spans="4:16" x14ac:dyDescent="0.35">
      <c r="D204" s="300">
        <v>20</v>
      </c>
      <c r="F204" s="13">
        <v>75.230810000000005</v>
      </c>
      <c r="G204" s="2">
        <v>76.461690000000004</v>
      </c>
      <c r="H204" s="2">
        <f t="shared" si="110"/>
        <v>1.2308799999999991</v>
      </c>
      <c r="I204" s="2">
        <f t="shared" si="111"/>
        <v>5.3655299999999926</v>
      </c>
      <c r="J204" s="2">
        <f t="shared" si="112"/>
        <v>0.18659846795453899</v>
      </c>
      <c r="K204" s="2">
        <f t="shared" si="113"/>
        <v>0.81340153204546095</v>
      </c>
      <c r="L204" s="2">
        <f t="shared" si="114"/>
        <v>0.81242688158065834</v>
      </c>
      <c r="M204" s="2">
        <f t="shared" si="115"/>
        <v>0.15159761142803452</v>
      </c>
      <c r="N204" s="2">
        <f t="shared" si="116"/>
        <v>6.5964099999999917</v>
      </c>
      <c r="O204" s="2">
        <v>16</v>
      </c>
      <c r="P204">
        <f t="shared" si="107"/>
        <v>12.998830105290534</v>
      </c>
    </row>
    <row r="205" spans="4:16" x14ac:dyDescent="0.35">
      <c r="D205" s="300">
        <v>20</v>
      </c>
      <c r="F205" s="13">
        <v>81.827219999999997</v>
      </c>
      <c r="G205" s="2">
        <v>83.019310000000004</v>
      </c>
      <c r="H205" s="2">
        <f t="shared" si="110"/>
        <v>1.1920900000000074</v>
      </c>
      <c r="I205" s="2">
        <f t="shared" si="111"/>
        <v>1.3257100000000008</v>
      </c>
      <c r="J205" s="2">
        <f t="shared" si="112"/>
        <v>0.47346492970053361</v>
      </c>
      <c r="K205" s="2">
        <f t="shared" si="113"/>
        <v>0.52653507029946645</v>
      </c>
      <c r="L205" s="2">
        <f t="shared" si="114"/>
        <v>0.83886283753742907</v>
      </c>
      <c r="M205" s="2">
        <f t="shared" si="115"/>
        <v>0.39717213440304899</v>
      </c>
      <c r="N205" s="2">
        <f t="shared" si="116"/>
        <v>2.5178000000000083</v>
      </c>
      <c r="O205" s="2">
        <v>18</v>
      </c>
      <c r="P205">
        <f t="shared" si="107"/>
        <v>15.099531075673722</v>
      </c>
    </row>
    <row r="206" spans="4:16" x14ac:dyDescent="0.35">
      <c r="D206" s="300">
        <v>20</v>
      </c>
      <c r="F206" s="13">
        <v>84.345020000000005</v>
      </c>
      <c r="G206" s="2">
        <v>85.215479999999999</v>
      </c>
      <c r="H206" s="2">
        <f t="shared" si="110"/>
        <v>0.87045999999999424</v>
      </c>
      <c r="I206" s="2">
        <f t="shared" si="111"/>
        <v>1.5862500000000068</v>
      </c>
      <c r="J206" s="2">
        <f t="shared" si="112"/>
        <v>0.3543193946375412</v>
      </c>
      <c r="K206" s="2">
        <f t="shared" si="113"/>
        <v>0.64568060536245875</v>
      </c>
      <c r="L206" s="2">
        <f t="shared" si="114"/>
        <v>1.148817866415466</v>
      </c>
      <c r="M206" s="2">
        <f t="shared" si="115"/>
        <v>0.40704845097711961</v>
      </c>
      <c r="N206" s="2">
        <f t="shared" si="116"/>
        <v>2.4567100000000011</v>
      </c>
      <c r="O206" s="2">
        <v>12</v>
      </c>
      <c r="P206">
        <f t="shared" si="107"/>
        <v>13.785814396985593</v>
      </c>
    </row>
    <row r="207" spans="4:16" x14ac:dyDescent="0.35">
      <c r="D207" s="300">
        <v>20</v>
      </c>
      <c r="F207" s="13">
        <v>86.801730000000006</v>
      </c>
      <c r="G207" s="2">
        <v>87.136669999999995</v>
      </c>
      <c r="H207" s="2">
        <f t="shared" si="110"/>
        <v>0.33493999999998891</v>
      </c>
      <c r="I207" s="2">
        <f t="shared" si="111"/>
        <v>2.0801600000000064</v>
      </c>
      <c r="J207" s="2">
        <f t="shared" si="112"/>
        <v>0.13868576870522528</v>
      </c>
      <c r="K207" s="2">
        <f t="shared" si="113"/>
        <v>0.86131423129477469</v>
      </c>
      <c r="L207" s="2">
        <f t="shared" si="114"/>
        <v>2.9856093628710609</v>
      </c>
      <c r="M207" s="2">
        <f t="shared" si="115"/>
        <v>0.41406152954329095</v>
      </c>
      <c r="N207" s="2">
        <f t="shared" si="116"/>
        <v>2.4150999999999954</v>
      </c>
      <c r="O207" s="2">
        <v>6</v>
      </c>
      <c r="P207">
        <f t="shared" si="107"/>
        <v>17.913656177226365</v>
      </c>
    </row>
    <row r="208" spans="4:16" x14ac:dyDescent="0.35">
      <c r="D208" s="300">
        <v>20</v>
      </c>
      <c r="F208" s="13">
        <v>89.216830000000002</v>
      </c>
      <c r="G208" s="2">
        <v>90.130279999999999</v>
      </c>
      <c r="H208" s="2">
        <f t="shared" si="110"/>
        <v>0.91344999999999743</v>
      </c>
      <c r="I208" s="2">
        <f t="shared" si="111"/>
        <v>1.4994200000000006</v>
      </c>
      <c r="J208" s="2">
        <f t="shared" si="112"/>
        <v>0.3785740632524745</v>
      </c>
      <c r="K208" s="2">
        <f t="shared" si="113"/>
        <v>0.62142593674752544</v>
      </c>
      <c r="L208" s="2">
        <f t="shared" si="114"/>
        <v>1.0947506705347887</v>
      </c>
      <c r="M208" s="2">
        <f t="shared" si="115"/>
        <v>0.41444420959272599</v>
      </c>
      <c r="N208" s="2">
        <f t="shared" si="116"/>
        <v>2.4128699999999981</v>
      </c>
      <c r="O208" s="2">
        <v>14</v>
      </c>
      <c r="P208">
        <f t="shared" si="107"/>
        <v>15.326509387487043</v>
      </c>
    </row>
    <row r="209" spans="4:16" x14ac:dyDescent="0.35">
      <c r="D209" s="300">
        <v>20</v>
      </c>
      <c r="F209" s="13">
        <v>91.6297</v>
      </c>
      <c r="G209" s="2">
        <v>91.821929999999995</v>
      </c>
      <c r="H209" s="2">
        <f t="shared" si="110"/>
        <v>0.19222999999999502</v>
      </c>
      <c r="I209" s="2">
        <f t="shared" si="111"/>
        <v>2.2850400000000093</v>
      </c>
      <c r="J209" s="2">
        <f t="shared" si="112"/>
        <v>7.7597516621117066E-2</v>
      </c>
      <c r="K209" s="2">
        <f t="shared" si="113"/>
        <v>0.92240248337888298</v>
      </c>
      <c r="L209" s="2">
        <f t="shared" si="114"/>
        <v>5.2021016490663579</v>
      </c>
      <c r="M209" s="2">
        <f t="shared" si="115"/>
        <v>0.40367016917816723</v>
      </c>
      <c r="N209" s="2">
        <f t="shared" si="116"/>
        <v>2.4772700000000043</v>
      </c>
      <c r="O209" s="2">
        <v>4</v>
      </c>
      <c r="P209">
        <f t="shared" si="107"/>
        <v>20.808406596265431</v>
      </c>
    </row>
    <row r="210" spans="4:16" x14ac:dyDescent="0.35">
      <c r="D210" s="300">
        <v>20</v>
      </c>
      <c r="F210" s="13">
        <v>94.106970000000004</v>
      </c>
      <c r="G210" s="2">
        <v>94.914529999999999</v>
      </c>
      <c r="H210" s="2">
        <f t="shared" si="110"/>
        <v>0.80755999999999517</v>
      </c>
      <c r="I210" s="2">
        <f t="shared" si="111"/>
        <v>1.5041200000000003</v>
      </c>
      <c r="J210" s="2">
        <f t="shared" si="112"/>
        <v>0.34933900885935626</v>
      </c>
      <c r="K210" s="2">
        <f t="shared" si="113"/>
        <v>0.65066099114064369</v>
      </c>
      <c r="L210" s="2">
        <f t="shared" si="114"/>
        <v>1.2382980831145747</v>
      </c>
      <c r="M210" s="2">
        <f t="shared" si="115"/>
        <v>0.43258582502768633</v>
      </c>
      <c r="N210" s="2">
        <f t="shared" si="116"/>
        <v>2.3116799999999955</v>
      </c>
      <c r="O210" s="2">
        <v>12</v>
      </c>
      <c r="P210">
        <f t="shared" si="107"/>
        <v>14.859576997374896</v>
      </c>
    </row>
    <row r="211" spans="4:16" x14ac:dyDescent="0.35">
      <c r="D211" s="300">
        <v>20</v>
      </c>
      <c r="F211" s="13">
        <v>96.41865</v>
      </c>
      <c r="G211" s="2">
        <v>96.583190000000002</v>
      </c>
      <c r="H211" s="2">
        <f t="shared" si="110"/>
        <v>0.16454000000000235</v>
      </c>
      <c r="I211" s="2">
        <f t="shared" si="111"/>
        <v>2.1507299999999958</v>
      </c>
      <c r="J211" s="2">
        <f t="shared" si="112"/>
        <v>7.1067305325081945E-2</v>
      </c>
      <c r="K211" s="2">
        <f t="shared" si="113"/>
        <v>0.92893269467491801</v>
      </c>
      <c r="L211" s="2">
        <f t="shared" si="114"/>
        <v>6.0775495320285993</v>
      </c>
      <c r="M211" s="2">
        <f t="shared" si="115"/>
        <v>0.43191506822098535</v>
      </c>
      <c r="N211" s="2">
        <f t="shared" si="116"/>
        <v>2.3152699999999982</v>
      </c>
      <c r="O211" s="2">
        <v>4</v>
      </c>
      <c r="P211">
        <f t="shared" si="107"/>
        <v>24.310198128114397</v>
      </c>
    </row>
    <row r="212" spans="4:16" x14ac:dyDescent="0.35">
      <c r="D212" s="300">
        <v>20</v>
      </c>
      <c r="F212" s="13">
        <v>98.733919999999998</v>
      </c>
      <c r="G212" s="2">
        <v>99.948049999999995</v>
      </c>
      <c r="H212" s="2">
        <f t="shared" si="110"/>
        <v>1.2141299999999973</v>
      </c>
      <c r="I212" s="2">
        <f t="shared" si="111"/>
        <v>3.3794900000000041</v>
      </c>
      <c r="J212" s="2">
        <f t="shared" si="112"/>
        <v>0.26430788789669085</v>
      </c>
      <c r="K212" s="2">
        <f t="shared" si="113"/>
        <v>0.7356921121033092</v>
      </c>
      <c r="L212" s="2">
        <f t="shared" si="114"/>
        <v>0.82363503084513379</v>
      </c>
      <c r="M212" s="2">
        <f t="shared" si="115"/>
        <v>0.21769323540040311</v>
      </c>
      <c r="N212" s="2">
        <f t="shared" si="116"/>
        <v>4.5936200000000014</v>
      </c>
      <c r="O212" s="2">
        <v>16</v>
      </c>
      <c r="P212">
        <f t="shared" si="107"/>
        <v>13.178160493522141</v>
      </c>
    </row>
    <row r="213" spans="4:16" x14ac:dyDescent="0.35">
      <c r="D213" s="300">
        <v>20</v>
      </c>
      <c r="F213" s="13">
        <v>103.32754</v>
      </c>
      <c r="G213" s="2">
        <v>103.74795</v>
      </c>
      <c r="H213" s="2">
        <f t="shared" si="110"/>
        <v>0.42041000000000395</v>
      </c>
      <c r="I213" s="2">
        <f t="shared" si="111"/>
        <v>1.7918599999999998</v>
      </c>
      <c r="J213" s="2">
        <f t="shared" si="112"/>
        <v>0.19003557431959175</v>
      </c>
      <c r="K213" s="2">
        <f t="shared" si="113"/>
        <v>0.80996442568040827</v>
      </c>
      <c r="L213" s="2">
        <f t="shared" si="114"/>
        <v>2.3786303846245107</v>
      </c>
      <c r="M213" s="2">
        <f t="shared" si="115"/>
        <v>0.45202439123615035</v>
      </c>
      <c r="N213" s="2">
        <f t="shared" si="116"/>
        <v>2.2122700000000037</v>
      </c>
      <c r="O213" s="2">
        <v>6</v>
      </c>
      <c r="P213">
        <f t="shared" si="107"/>
        <v>14.271782307747065</v>
      </c>
    </row>
    <row r="214" spans="4:16" x14ac:dyDescent="0.35">
      <c r="D214" s="300">
        <v>20</v>
      </c>
      <c r="F214" s="13">
        <v>105.53981</v>
      </c>
      <c r="G214" s="2">
        <v>106.50479</v>
      </c>
      <c r="H214" s="2">
        <f t="shared" si="110"/>
        <v>0.96497999999999706</v>
      </c>
      <c r="I214" s="2">
        <f t="shared" si="111"/>
        <v>1.2278100000000052</v>
      </c>
      <c r="J214" s="2">
        <f t="shared" si="112"/>
        <v>0.44006950049936205</v>
      </c>
      <c r="K214" s="2">
        <f t="shared" si="113"/>
        <v>0.559930499500638</v>
      </c>
      <c r="L214" s="2">
        <f t="shared" si="114"/>
        <v>1.03629090758358</v>
      </c>
      <c r="M214" s="2">
        <f t="shared" si="115"/>
        <v>0.45604002207233663</v>
      </c>
      <c r="N214" s="2">
        <f t="shared" si="116"/>
        <v>2.1927900000000022</v>
      </c>
      <c r="O214" s="2">
        <v>14</v>
      </c>
      <c r="P214">
        <f t="shared" si="107"/>
        <v>14.50807270617012</v>
      </c>
    </row>
    <row r="215" spans="4:16" x14ac:dyDescent="0.35">
      <c r="D215" s="300">
        <v>20</v>
      </c>
      <c r="F215" s="13">
        <v>107.73260000000001</v>
      </c>
      <c r="G215" s="2">
        <v>108.0698</v>
      </c>
      <c r="H215" s="2">
        <f t="shared" si="110"/>
        <v>0.33719999999999573</v>
      </c>
      <c r="I215" s="2">
        <f t="shared" si="111"/>
        <v>1.8579399999999993</v>
      </c>
      <c r="J215" s="2">
        <f t="shared" si="112"/>
        <v>0.15361207030075372</v>
      </c>
      <c r="K215" s="2">
        <f t="shared" si="113"/>
        <v>0.84638792969924626</v>
      </c>
      <c r="L215" s="2">
        <f t="shared" si="114"/>
        <v>2.9655990510083412</v>
      </c>
      <c r="M215" s="2">
        <f t="shared" si="115"/>
        <v>0.45555180990734179</v>
      </c>
      <c r="N215" s="2">
        <f t="shared" si="116"/>
        <v>2.195139999999995</v>
      </c>
      <c r="O215" s="2">
        <v>6</v>
      </c>
      <c r="P215">
        <f t="shared" si="107"/>
        <v>17.793594306050046</v>
      </c>
    </row>
    <row r="216" spans="4:16" x14ac:dyDescent="0.35">
      <c r="D216" s="300">
        <v>20</v>
      </c>
      <c r="F216" s="13">
        <v>109.92774</v>
      </c>
      <c r="G216" s="2">
        <v>110.14278</v>
      </c>
      <c r="H216" s="2">
        <f t="shared" si="110"/>
        <v>0.2150400000000019</v>
      </c>
      <c r="I216" s="2">
        <f t="shared" si="111"/>
        <v>2.0543399999999963</v>
      </c>
      <c r="J216" s="2">
        <f t="shared" si="112"/>
        <v>9.4757158342808193E-2</v>
      </c>
      <c r="K216" s="2">
        <f t="shared" si="113"/>
        <v>0.90524284165719182</v>
      </c>
      <c r="L216" s="2">
        <f t="shared" si="114"/>
        <v>4.6502976190475778</v>
      </c>
      <c r="M216" s="2">
        <f t="shared" si="115"/>
        <v>0.44064898782927531</v>
      </c>
      <c r="N216" s="2">
        <f t="shared" si="116"/>
        <v>2.2693799999999982</v>
      </c>
      <c r="O216" s="2">
        <v>4</v>
      </c>
      <c r="P216">
        <f t="shared" si="107"/>
        <v>18.601190476190311</v>
      </c>
    </row>
    <row r="217" spans="4:16" x14ac:dyDescent="0.35">
      <c r="D217" s="300">
        <v>20</v>
      </c>
      <c r="F217" s="13">
        <v>112.19712</v>
      </c>
      <c r="G217" s="2">
        <v>113.01855</v>
      </c>
      <c r="H217" s="2">
        <f t="shared" si="110"/>
        <v>0.82143000000000654</v>
      </c>
      <c r="I217" s="2">
        <f t="shared" si="111"/>
        <v>1.4258799999999923</v>
      </c>
      <c r="J217" s="2">
        <f t="shared" si="112"/>
        <v>0.36551699587507153</v>
      </c>
      <c r="K217" s="2">
        <f t="shared" si="113"/>
        <v>0.63448300412492853</v>
      </c>
      <c r="L217" s="2">
        <f t="shared" si="114"/>
        <v>1.2173891871492299</v>
      </c>
      <c r="M217" s="2">
        <f t="shared" si="115"/>
        <v>0.44497643849758178</v>
      </c>
      <c r="N217" s="2">
        <f t="shared" si="116"/>
        <v>2.2473099999999988</v>
      </c>
      <c r="O217" s="2">
        <v>12</v>
      </c>
      <c r="P217">
        <f t="shared" si="107"/>
        <v>14.60867024579076</v>
      </c>
    </row>
    <row r="218" spans="4:16" x14ac:dyDescent="0.35">
      <c r="D218" s="300">
        <v>20</v>
      </c>
      <c r="F218" s="13">
        <v>114.44443</v>
      </c>
      <c r="G218" s="2">
        <v>114.80763</v>
      </c>
      <c r="H218" s="2">
        <f t="shared" si="110"/>
        <v>0.36320000000000618</v>
      </c>
      <c r="I218" s="2">
        <f t="shared" si="111"/>
        <v>1.9942700000000002</v>
      </c>
      <c r="J218" s="2">
        <f t="shared" si="112"/>
        <v>0.15406346634315821</v>
      </c>
      <c r="K218" s="2">
        <f t="shared" si="113"/>
        <v>0.84593653365684174</v>
      </c>
      <c r="L218" s="2">
        <f t="shared" si="114"/>
        <v>2.7533039647576625</v>
      </c>
      <c r="M218" s="2">
        <f t="shared" si="115"/>
        <v>0.4241835527069262</v>
      </c>
      <c r="N218" s="2">
        <f t="shared" si="116"/>
        <v>2.3574700000000064</v>
      </c>
      <c r="O218" s="2">
        <v>6</v>
      </c>
      <c r="P218">
        <f t="shared" si="107"/>
        <v>16.519823788545974</v>
      </c>
    </row>
    <row r="219" spans="4:16" x14ac:dyDescent="0.35">
      <c r="D219" s="300">
        <v>20</v>
      </c>
      <c r="F219" s="13">
        <v>116.8019</v>
      </c>
      <c r="G219" s="2">
        <v>117.33331</v>
      </c>
      <c r="H219" s="2">
        <f t="shared" si="110"/>
        <v>0.53140999999999394</v>
      </c>
      <c r="I219" s="2">
        <f t="shared" si="111"/>
        <v>1.7196300000000093</v>
      </c>
      <c r="J219" s="2">
        <f t="shared" si="112"/>
        <v>0.23607310398748718</v>
      </c>
      <c r="K219" s="2">
        <f t="shared" si="113"/>
        <v>0.76392689601251285</v>
      </c>
      <c r="L219" s="2">
        <f t="shared" si="114"/>
        <v>1.8817861914529486</v>
      </c>
      <c r="M219" s="2">
        <f t="shared" si="115"/>
        <v>0.44423910725708943</v>
      </c>
      <c r="N219" s="2">
        <f t="shared" si="116"/>
        <v>2.2510400000000033</v>
      </c>
      <c r="O219" s="2">
        <v>8</v>
      </c>
      <c r="P219">
        <f t="shared" si="107"/>
        <v>15.054289531623589</v>
      </c>
    </row>
    <row r="220" spans="4:16" x14ac:dyDescent="0.35">
      <c r="D220" s="300">
        <v>20</v>
      </c>
      <c r="F220" s="13">
        <v>119.05294000000001</v>
      </c>
      <c r="G220" s="2">
        <v>119.76358999999999</v>
      </c>
      <c r="H220" s="2">
        <f t="shared" si="110"/>
        <v>0.7106499999999869</v>
      </c>
      <c r="I220" s="2"/>
      <c r="J220" s="2"/>
      <c r="K220" s="2"/>
      <c r="L220" s="2"/>
      <c r="M220" s="2"/>
      <c r="N220" s="2"/>
      <c r="O220" s="2"/>
    </row>
    <row r="221" spans="4:16" x14ac:dyDescent="0.35">
      <c r="F221" s="13"/>
    </row>
    <row r="222" spans="4:16" ht="16" thickBot="1" x14ac:dyDescent="0.4">
      <c r="F222" s="13"/>
      <c r="G222" s="13"/>
      <c r="H222" s="9" t="s">
        <v>3</v>
      </c>
      <c r="I222" s="9" t="s">
        <v>4</v>
      </c>
      <c r="J222" s="9" t="s">
        <v>5</v>
      </c>
      <c r="K222" s="9" t="s">
        <v>6</v>
      </c>
      <c r="L222" s="9" t="s">
        <v>7</v>
      </c>
      <c r="M222" s="9" t="s">
        <v>8</v>
      </c>
      <c r="N222" s="9" t="s">
        <v>9</v>
      </c>
      <c r="O222" s="9" t="s">
        <v>10</v>
      </c>
      <c r="P222" s="44" t="s">
        <v>139</v>
      </c>
    </row>
    <row r="223" spans="4:16" x14ac:dyDescent="0.35">
      <c r="E223" s="104" t="s">
        <v>414</v>
      </c>
      <c r="F223" s="13"/>
      <c r="G223" s="49" t="s">
        <v>77</v>
      </c>
      <c r="H223" s="13">
        <f>AVERAGE(H179:H219)</f>
        <v>1.0339139024390238</v>
      </c>
      <c r="I223" s="13">
        <f t="shared" ref="I223:P223" si="117">AVERAGE(I179:I219)</f>
        <v>1.8687895121951228</v>
      </c>
      <c r="J223" s="13">
        <f t="shared" si="117"/>
        <v>0.33648741145528083</v>
      </c>
      <c r="K223" s="13">
        <f t="shared" si="117"/>
        <v>0.66351258854471895</v>
      </c>
      <c r="L223" s="13">
        <f t="shared" si="117"/>
        <v>1.696783988813156</v>
      </c>
      <c r="M223" s="13">
        <f t="shared" si="117"/>
        <v>0.38602460687404494</v>
      </c>
      <c r="N223" s="13">
        <f t="shared" si="117"/>
        <v>2.9027034146341464</v>
      </c>
      <c r="O223" s="13">
        <f t="shared" si="117"/>
        <v>14.341463414634147</v>
      </c>
      <c r="P223" s="13">
        <f t="shared" si="117"/>
        <v>15.276358711702487</v>
      </c>
    </row>
    <row r="224" spans="4:16" x14ac:dyDescent="0.35">
      <c r="E224" s="104"/>
      <c r="F224" s="13"/>
      <c r="G224" s="49" t="s">
        <v>94</v>
      </c>
      <c r="H224" s="2">
        <f>_xlfn.STDEV.S(H179:H219)</f>
        <v>0.87728145826433013</v>
      </c>
      <c r="I224" s="2">
        <f t="shared" ref="I224:P224" si="118">_xlfn.STDEV.S(I179:I219)</f>
        <v>0.86953247843007764</v>
      </c>
      <c r="J224" s="2">
        <f t="shared" si="118"/>
        <v>0.16475703457589128</v>
      </c>
      <c r="K224" s="2">
        <f t="shared" si="118"/>
        <v>0.16475703457589264</v>
      </c>
      <c r="L224" s="2">
        <f t="shared" si="118"/>
        <v>1.4503235886414689</v>
      </c>
      <c r="M224" s="2">
        <f t="shared" si="118"/>
        <v>9.5937913236565295E-2</v>
      </c>
      <c r="N224" s="2">
        <f t="shared" si="118"/>
        <v>1.3379629942278113</v>
      </c>
      <c r="O224" s="2">
        <f t="shared" si="118"/>
        <v>10.563166561447286</v>
      </c>
      <c r="P224" s="2">
        <f t="shared" si="118"/>
        <v>2.8551111565422294</v>
      </c>
    </row>
    <row r="225" spans="3:18" x14ac:dyDescent="0.35">
      <c r="E225" s="104"/>
      <c r="F225" s="13"/>
      <c r="G225" s="49" t="s">
        <v>95</v>
      </c>
      <c r="H225" s="2">
        <f>H224/(SQRT(COUNT(H179:H219)))</f>
        <v>0.1370083455722626</v>
      </c>
      <c r="I225" s="2">
        <f t="shared" ref="I225:P225" si="119">I224/(SQRT(COUNT(I179:I219)))</f>
        <v>0.13579815824074845</v>
      </c>
      <c r="J225" s="2">
        <f t="shared" si="119"/>
        <v>2.5730725887328082E-2</v>
      </c>
      <c r="K225" s="2">
        <f t="shared" si="119"/>
        <v>2.5730725887328294E-2</v>
      </c>
      <c r="L225" s="2">
        <f t="shared" si="119"/>
        <v>0.22650249079392143</v>
      </c>
      <c r="M225" s="2">
        <f t="shared" si="119"/>
        <v>1.4982984817897097E-2</v>
      </c>
      <c r="N225" s="2">
        <f t="shared" si="119"/>
        <v>0.20895471407630062</v>
      </c>
      <c r="O225" s="2">
        <f t="shared" si="119"/>
        <v>1.6496894593571541</v>
      </c>
      <c r="P225" s="2">
        <f t="shared" si="119"/>
        <v>0.44589344992732882</v>
      </c>
    </row>
    <row r="226" spans="3:18" x14ac:dyDescent="0.35">
      <c r="E226" s="104"/>
    </row>
    <row r="227" spans="3:18" x14ac:dyDescent="0.35">
      <c r="E227" s="104"/>
    </row>
    <row r="228" spans="3:18" ht="15.5" x14ac:dyDescent="0.35">
      <c r="D228" s="2"/>
      <c r="E228" s="3"/>
      <c r="F228" s="2"/>
      <c r="G228" s="13"/>
      <c r="H228" s="5"/>
      <c r="I228" s="5"/>
      <c r="J228" s="5"/>
      <c r="K228" s="5"/>
      <c r="L228" s="5"/>
      <c r="M228" s="5"/>
      <c r="N228" s="5"/>
      <c r="O228" s="5"/>
      <c r="P228" s="14"/>
      <c r="Q228" s="2"/>
      <c r="R228" s="2"/>
    </row>
    <row r="229" spans="3:18" x14ac:dyDescent="0.35">
      <c r="D229" s="2"/>
      <c r="E229" s="3"/>
      <c r="F229" s="2"/>
      <c r="G229" s="49"/>
      <c r="H229" s="13"/>
      <c r="I229" s="13"/>
      <c r="J229" s="13"/>
      <c r="K229" s="13"/>
      <c r="L229" s="13"/>
      <c r="M229" s="13"/>
      <c r="N229" s="13"/>
      <c r="O229" s="13"/>
      <c r="P229" s="13"/>
      <c r="Q229" s="2"/>
      <c r="R229" s="2"/>
    </row>
    <row r="230" spans="3:18" x14ac:dyDescent="0.35">
      <c r="D230" s="2"/>
      <c r="E230" s="2"/>
      <c r="F230" s="2"/>
      <c r="G230" s="49"/>
      <c r="H230" s="2"/>
      <c r="I230" s="2"/>
      <c r="J230" s="2"/>
      <c r="K230" s="2"/>
      <c r="L230" s="2"/>
      <c r="M230" s="2"/>
      <c r="N230" s="2"/>
      <c r="O230" s="2"/>
      <c r="P230" s="2"/>
      <c r="Q230" s="2"/>
      <c r="R230" s="2"/>
    </row>
    <row r="231" spans="3:18" x14ac:dyDescent="0.35">
      <c r="D231" s="2"/>
      <c r="E231" s="2"/>
      <c r="F231" s="2"/>
      <c r="G231" s="49"/>
      <c r="H231" s="2"/>
      <c r="I231" s="2"/>
      <c r="J231" s="2"/>
      <c r="K231" s="2"/>
      <c r="L231" s="2"/>
      <c r="M231" s="2"/>
      <c r="N231" s="2"/>
      <c r="O231" s="2"/>
      <c r="P231" s="2"/>
      <c r="Q231" s="2"/>
      <c r="R231" s="2"/>
    </row>
    <row r="232" spans="3:18" x14ac:dyDescent="0.35">
      <c r="D232" s="2"/>
      <c r="E232" s="2"/>
      <c r="F232" s="2"/>
      <c r="G232" s="2"/>
      <c r="H232" s="2"/>
      <c r="I232" s="2"/>
      <c r="J232" s="2"/>
      <c r="K232" s="2"/>
      <c r="L232" s="2"/>
      <c r="M232" s="2"/>
      <c r="N232" s="2"/>
      <c r="O232" s="2"/>
      <c r="P232" s="2"/>
      <c r="Q232" s="2"/>
      <c r="R232" s="2"/>
    </row>
    <row r="233" spans="3:18" x14ac:dyDescent="0.35">
      <c r="D233" s="2"/>
      <c r="E233" s="2"/>
      <c r="F233" s="2"/>
      <c r="G233" s="2"/>
      <c r="H233" s="2"/>
      <c r="I233" s="2"/>
      <c r="J233" s="2"/>
      <c r="K233" s="2"/>
      <c r="L233" s="2"/>
      <c r="M233" s="2"/>
      <c r="N233" s="2"/>
      <c r="O233" s="2"/>
      <c r="P233" s="2"/>
      <c r="Q233" s="2"/>
      <c r="R233" s="2"/>
    </row>
    <row r="235" spans="3:18" x14ac:dyDescent="0.35">
      <c r="C235" s="2"/>
      <c r="D235" s="2"/>
      <c r="E235" s="2"/>
      <c r="F235" s="2"/>
      <c r="G235" s="2"/>
      <c r="H235" s="2"/>
      <c r="I235" s="2"/>
      <c r="J235" s="2"/>
      <c r="K235" s="2"/>
      <c r="L235" s="2"/>
      <c r="M235" s="2"/>
      <c r="N235" s="2"/>
      <c r="O235" s="2"/>
      <c r="P235" s="2"/>
      <c r="Q235" s="2"/>
      <c r="R235" s="2"/>
    </row>
    <row r="236" spans="3:18" ht="18.5" x14ac:dyDescent="0.45">
      <c r="C236" s="2"/>
      <c r="D236" s="2"/>
      <c r="E236" s="2"/>
      <c r="F236" s="1"/>
      <c r="G236" s="3"/>
      <c r="H236" s="3"/>
      <c r="I236" s="3"/>
      <c r="J236" s="3"/>
      <c r="K236" s="3"/>
      <c r="L236" s="3"/>
      <c r="M236" s="3"/>
      <c r="N236" s="3"/>
      <c r="O236" s="3"/>
      <c r="P236" s="2"/>
      <c r="Q236" s="2"/>
      <c r="R236" s="2"/>
    </row>
    <row r="237" spans="3:18" ht="18.5" x14ac:dyDescent="0.45">
      <c r="C237" s="2"/>
      <c r="F237" s="1" t="s">
        <v>405</v>
      </c>
      <c r="G237" s="3"/>
      <c r="H237" s="3"/>
      <c r="I237" s="3"/>
      <c r="J237" s="3"/>
      <c r="K237" s="3"/>
      <c r="L237" s="3"/>
      <c r="M237" s="3"/>
      <c r="N237" s="3"/>
      <c r="O237" s="3"/>
    </row>
    <row r="238" spans="3:18" ht="16" thickBot="1" x14ac:dyDescent="0.4">
      <c r="C238" s="2"/>
      <c r="D238" s="204" t="s">
        <v>406</v>
      </c>
      <c r="F238" s="9" t="s">
        <v>1</v>
      </c>
      <c r="G238" s="9" t="s">
        <v>2</v>
      </c>
      <c r="H238" s="9" t="s">
        <v>3</v>
      </c>
      <c r="I238" s="9" t="s">
        <v>4</v>
      </c>
      <c r="J238" s="9" t="s">
        <v>5</v>
      </c>
      <c r="K238" s="9" t="s">
        <v>6</v>
      </c>
      <c r="L238" s="9" t="s">
        <v>7</v>
      </c>
      <c r="M238" s="9" t="s">
        <v>8</v>
      </c>
      <c r="N238" s="9" t="s">
        <v>9</v>
      </c>
      <c r="O238" s="9" t="s">
        <v>10</v>
      </c>
      <c r="P238" s="44" t="s">
        <v>139</v>
      </c>
      <c r="R238" s="44" t="s">
        <v>138</v>
      </c>
    </row>
    <row r="239" spans="3:18" x14ac:dyDescent="0.35">
      <c r="C239" s="2"/>
      <c r="D239" s="291">
        <v>5</v>
      </c>
      <c r="F239" s="2">
        <v>1.83327</v>
      </c>
      <c r="G239" s="2">
        <v>4.3048999999999999</v>
      </c>
      <c r="H239" s="2">
        <f t="shared" ref="H239:H249" si="120">G239-F239</f>
        <v>2.4716300000000002</v>
      </c>
      <c r="I239" s="2">
        <f t="shared" ref="I239:I249" si="121">F240-G239</f>
        <v>4.2501099999999994</v>
      </c>
      <c r="J239" s="2">
        <f>H239/N239</f>
        <v>0.36770687351786896</v>
      </c>
      <c r="K239" s="2">
        <f>I239/N239</f>
        <v>0.6322931264821311</v>
      </c>
      <c r="L239" s="2">
        <f>1/H239</f>
        <v>0.40459130209618749</v>
      </c>
      <c r="M239" s="2">
        <f>1/N239</f>
        <v>0.14877100274631272</v>
      </c>
      <c r="N239" s="2">
        <f>H239+I239</f>
        <v>6.7217399999999996</v>
      </c>
      <c r="O239" s="2">
        <v>20</v>
      </c>
      <c r="P239">
        <f>O239/H239</f>
        <v>8.0918260419237509</v>
      </c>
      <c r="R239" t="s">
        <v>792</v>
      </c>
    </row>
    <row r="240" spans="3:18" x14ac:dyDescent="0.35">
      <c r="C240" s="2"/>
      <c r="D240" s="300">
        <v>5</v>
      </c>
      <c r="F240" s="13">
        <v>8.5550099999999993</v>
      </c>
      <c r="G240" s="2">
        <v>10.80617</v>
      </c>
      <c r="H240" s="2">
        <f t="shared" si="120"/>
        <v>2.2511600000000005</v>
      </c>
      <c r="I240" s="2">
        <f t="shared" si="121"/>
        <v>4.7913399999999999</v>
      </c>
      <c r="J240" s="2">
        <f t="shared" ref="J240:J249" si="122">H240/N240</f>
        <v>0.31965353212637565</v>
      </c>
      <c r="K240" s="2">
        <f t="shared" ref="K240:K249" si="123">I240/N240</f>
        <v>0.68034646787362441</v>
      </c>
      <c r="L240" s="2">
        <f t="shared" ref="L240:L249" si="124">1/H240</f>
        <v>0.4442154267133388</v>
      </c>
      <c r="M240" s="2">
        <f t="shared" ref="M240:M249" si="125">1/N240</f>
        <v>0.14199503017394391</v>
      </c>
      <c r="N240" s="2">
        <f t="shared" ref="N240:N249" si="126">H240+I240</f>
        <v>7.0425000000000004</v>
      </c>
      <c r="O240" s="2">
        <v>16</v>
      </c>
      <c r="P240">
        <f t="shared" ref="P240:P267" si="127">O240/H240</f>
        <v>7.1074468274134208</v>
      </c>
    </row>
    <row r="241" spans="3:18" x14ac:dyDescent="0.35">
      <c r="C241" s="2"/>
      <c r="D241" s="300">
        <v>5</v>
      </c>
      <c r="F241" s="13">
        <v>15.59751</v>
      </c>
      <c r="G241" s="2">
        <v>16.324729999999999</v>
      </c>
      <c r="H241" s="2">
        <f t="shared" si="120"/>
        <v>0.72721999999999909</v>
      </c>
      <c r="I241" s="2">
        <f t="shared" si="121"/>
        <v>6.5251200000000011</v>
      </c>
      <c r="J241" s="2">
        <f t="shared" si="122"/>
        <v>0.10027384264940682</v>
      </c>
      <c r="K241" s="2">
        <f t="shared" si="123"/>
        <v>0.89972615735059314</v>
      </c>
      <c r="L241" s="2">
        <f t="shared" si="124"/>
        <v>1.3750996947278695</v>
      </c>
      <c r="M241" s="2">
        <f t="shared" si="125"/>
        <v>0.13788653041638974</v>
      </c>
      <c r="N241" s="2">
        <f t="shared" si="126"/>
        <v>7.2523400000000002</v>
      </c>
      <c r="O241" s="2">
        <v>11</v>
      </c>
      <c r="P241">
        <f t="shared" si="127"/>
        <v>15.126096642006564</v>
      </c>
    </row>
    <row r="242" spans="3:18" x14ac:dyDescent="0.35">
      <c r="C242" s="2"/>
      <c r="D242" s="300">
        <v>5</v>
      </c>
      <c r="F242" s="13">
        <v>22.84985</v>
      </c>
      <c r="G242" s="2">
        <v>25.23124</v>
      </c>
      <c r="H242" s="2">
        <f t="shared" si="120"/>
        <v>2.3813899999999997</v>
      </c>
      <c r="I242" s="2">
        <f t="shared" si="121"/>
        <v>4.4482999999999997</v>
      </c>
      <c r="J242" s="2">
        <f t="shared" si="122"/>
        <v>0.34868200460050164</v>
      </c>
      <c r="K242" s="2">
        <f t="shared" si="123"/>
        <v>0.65131799539949842</v>
      </c>
      <c r="L242" s="2">
        <f t="shared" si="124"/>
        <v>0.41992281818601745</v>
      </c>
      <c r="M242" s="2">
        <f t="shared" si="125"/>
        <v>0.14641953002259256</v>
      </c>
      <c r="N242" s="2">
        <f t="shared" si="126"/>
        <v>6.8296899999999994</v>
      </c>
      <c r="O242" s="2">
        <v>23</v>
      </c>
      <c r="P242">
        <f t="shared" si="127"/>
        <v>9.6582248182784021</v>
      </c>
    </row>
    <row r="243" spans="3:18" x14ac:dyDescent="0.35">
      <c r="C243" s="2"/>
      <c r="D243" s="300">
        <v>5</v>
      </c>
      <c r="F243" s="13">
        <v>29.679539999999999</v>
      </c>
      <c r="G243" s="2">
        <v>31.959199999999999</v>
      </c>
      <c r="H243" s="2">
        <f t="shared" si="120"/>
        <v>2.2796599999999998</v>
      </c>
      <c r="I243" s="2">
        <f t="shared" si="121"/>
        <v>7.2823499999999974</v>
      </c>
      <c r="J243" s="2">
        <f t="shared" si="122"/>
        <v>0.23840803345740075</v>
      </c>
      <c r="K243" s="2">
        <f t="shared" si="123"/>
        <v>0.76159196654259931</v>
      </c>
      <c r="L243" s="2">
        <f t="shared" si="124"/>
        <v>0.43866190572278324</v>
      </c>
      <c r="M243" s="2">
        <f t="shared" si="125"/>
        <v>0.10458052229604448</v>
      </c>
      <c r="N243" s="2">
        <f t="shared" si="126"/>
        <v>9.5620099999999972</v>
      </c>
      <c r="O243" s="2">
        <v>18</v>
      </c>
      <c r="P243">
        <f t="shared" si="127"/>
        <v>7.8959143030100991</v>
      </c>
    </row>
    <row r="244" spans="3:18" x14ac:dyDescent="0.35">
      <c r="C244" s="2"/>
      <c r="D244" s="300">
        <v>5</v>
      </c>
      <c r="F244" s="13">
        <v>39.241549999999997</v>
      </c>
      <c r="G244" s="2">
        <v>41.815420000000003</v>
      </c>
      <c r="H244" s="2">
        <f t="shared" si="120"/>
        <v>2.5738700000000065</v>
      </c>
      <c r="I244" s="2">
        <f t="shared" si="121"/>
        <v>4.8846299999999943</v>
      </c>
      <c r="J244" s="2">
        <f t="shared" si="122"/>
        <v>0.34509217671113579</v>
      </c>
      <c r="K244" s="2">
        <f t="shared" si="123"/>
        <v>0.65490782328886421</v>
      </c>
      <c r="L244" s="2">
        <f t="shared" si="124"/>
        <v>0.38852001072315129</v>
      </c>
      <c r="M244" s="2">
        <f t="shared" si="125"/>
        <v>0.1340752161962861</v>
      </c>
      <c r="N244" s="2">
        <f t="shared" si="126"/>
        <v>7.4585000000000008</v>
      </c>
      <c r="O244" s="2">
        <v>21</v>
      </c>
      <c r="P244">
        <f t="shared" si="127"/>
        <v>8.1589202251861774</v>
      </c>
    </row>
    <row r="245" spans="3:18" x14ac:dyDescent="0.35">
      <c r="C245" s="2"/>
      <c r="D245" s="300">
        <v>5</v>
      </c>
      <c r="F245" s="13">
        <v>46.700049999999997</v>
      </c>
      <c r="G245" s="2">
        <v>49.065919999999998</v>
      </c>
      <c r="H245" s="2">
        <f t="shared" si="120"/>
        <v>2.365870000000001</v>
      </c>
      <c r="I245" s="2">
        <f t="shared" si="121"/>
        <v>5.0657300000000021</v>
      </c>
      <c r="J245" s="2">
        <f t="shared" si="122"/>
        <v>0.31835271004898003</v>
      </c>
      <c r="K245" s="2">
        <f t="shared" si="123"/>
        <v>0.68164728995101997</v>
      </c>
      <c r="L245" s="2">
        <f t="shared" si="124"/>
        <v>0.42267749284618322</v>
      </c>
      <c r="M245" s="2">
        <f t="shared" si="125"/>
        <v>0.1345605253242908</v>
      </c>
      <c r="N245" s="2">
        <f t="shared" si="126"/>
        <v>7.4316000000000031</v>
      </c>
      <c r="O245" s="2">
        <v>14</v>
      </c>
      <c r="P245">
        <f t="shared" si="127"/>
        <v>5.9174848998465652</v>
      </c>
    </row>
    <row r="246" spans="3:18" x14ac:dyDescent="0.35">
      <c r="C246" s="2"/>
      <c r="D246" s="300">
        <v>5</v>
      </c>
      <c r="F246" s="13">
        <v>54.13165</v>
      </c>
      <c r="G246" s="2">
        <v>54.942990000000002</v>
      </c>
      <c r="H246" s="2">
        <f t="shared" si="120"/>
        <v>0.81134000000000128</v>
      </c>
      <c r="I246" s="2">
        <f t="shared" si="121"/>
        <v>6.6676099999999963</v>
      </c>
      <c r="J246" s="2">
        <f t="shared" si="122"/>
        <v>0.10848314268714213</v>
      </c>
      <c r="K246" s="2">
        <f t="shared" si="123"/>
        <v>0.8915168573128579</v>
      </c>
      <c r="L246" s="2">
        <f t="shared" si="124"/>
        <v>1.2325289028027688</v>
      </c>
      <c r="M246" s="2">
        <f t="shared" si="125"/>
        <v>0.1337086088287795</v>
      </c>
      <c r="N246" s="2">
        <f t="shared" si="126"/>
        <v>7.4789499999999975</v>
      </c>
      <c r="O246" s="2">
        <v>12</v>
      </c>
      <c r="P246">
        <f t="shared" si="127"/>
        <v>14.790346833633226</v>
      </c>
    </row>
    <row r="247" spans="3:18" x14ac:dyDescent="0.35">
      <c r="C247" s="2"/>
      <c r="D247" s="300">
        <v>5</v>
      </c>
      <c r="F247" s="13">
        <v>61.610599999999998</v>
      </c>
      <c r="G247" s="2">
        <v>64.145790000000005</v>
      </c>
      <c r="H247" s="2">
        <f t="shared" si="120"/>
        <v>2.5351900000000072</v>
      </c>
      <c r="I247" s="2">
        <f t="shared" si="121"/>
        <v>7.847139999999996</v>
      </c>
      <c r="J247" s="2">
        <f t="shared" si="122"/>
        <v>0.24418314578712161</v>
      </c>
      <c r="K247" s="2">
        <f t="shared" si="123"/>
        <v>0.75581685421287836</v>
      </c>
      <c r="L247" s="2">
        <f t="shared" si="124"/>
        <v>0.39444775342281929</v>
      </c>
      <c r="M247" s="2">
        <f t="shared" si="125"/>
        <v>9.6317493279446872E-2</v>
      </c>
      <c r="N247" s="2">
        <f t="shared" si="126"/>
        <v>10.382330000000003</v>
      </c>
      <c r="O247" s="2">
        <v>22</v>
      </c>
      <c r="P247">
        <f t="shared" si="127"/>
        <v>8.6778505753020241</v>
      </c>
    </row>
    <row r="248" spans="3:18" x14ac:dyDescent="0.35">
      <c r="C248" s="2"/>
      <c r="D248" s="300">
        <v>5</v>
      </c>
      <c r="F248" s="13">
        <v>71.992930000000001</v>
      </c>
      <c r="G248" s="2">
        <v>74.343360000000004</v>
      </c>
      <c r="H248" s="2">
        <f t="shared" si="120"/>
        <v>2.3504300000000029</v>
      </c>
      <c r="I248" s="2">
        <f t="shared" si="121"/>
        <v>7.1187699999999978</v>
      </c>
      <c r="J248" s="2">
        <f t="shared" si="122"/>
        <v>0.24821843450344303</v>
      </c>
      <c r="K248" s="2">
        <f t="shared" si="123"/>
        <v>0.75178156549655695</v>
      </c>
      <c r="L248" s="2">
        <f t="shared" si="124"/>
        <v>0.42545406585177981</v>
      </c>
      <c r="M248" s="2">
        <f t="shared" si="125"/>
        <v>0.10560554217885354</v>
      </c>
      <c r="N248" s="2">
        <f t="shared" si="126"/>
        <v>9.4692000000000007</v>
      </c>
      <c r="O248" s="2">
        <v>19</v>
      </c>
      <c r="P248">
        <f t="shared" si="127"/>
        <v>8.0836272511838168</v>
      </c>
    </row>
    <row r="249" spans="3:18" x14ac:dyDescent="0.35">
      <c r="C249" s="2"/>
      <c r="D249" s="300">
        <v>5</v>
      </c>
      <c r="F249" s="13">
        <v>81.462130000000002</v>
      </c>
      <c r="G249" s="2">
        <v>84.070229999999995</v>
      </c>
      <c r="H249" s="2">
        <f t="shared" si="120"/>
        <v>2.6080999999999932</v>
      </c>
      <c r="I249" s="2">
        <f t="shared" si="121"/>
        <v>5.4985199999999992</v>
      </c>
      <c r="J249" s="2">
        <f t="shared" si="122"/>
        <v>0.32172471387581947</v>
      </c>
      <c r="K249" s="2">
        <f t="shared" si="123"/>
        <v>0.67827528612418053</v>
      </c>
      <c r="L249" s="2">
        <f t="shared" si="124"/>
        <v>0.38342088110118577</v>
      </c>
      <c r="M249" s="2">
        <f t="shared" si="125"/>
        <v>0.12335597326629359</v>
      </c>
      <c r="N249" s="2">
        <f t="shared" si="126"/>
        <v>8.1066199999999924</v>
      </c>
      <c r="O249" s="2">
        <v>20</v>
      </c>
      <c r="P249">
        <f t="shared" si="127"/>
        <v>7.668417622023715</v>
      </c>
    </row>
    <row r="250" spans="3:18" x14ac:dyDescent="0.35">
      <c r="C250" s="2"/>
      <c r="D250" s="300">
        <v>5</v>
      </c>
      <c r="F250" s="13">
        <v>89.568749999999994</v>
      </c>
      <c r="G250" s="2">
        <v>92.119839999999996</v>
      </c>
      <c r="H250" s="2">
        <f t="shared" ref="H250:H268" si="128">G250-F250</f>
        <v>2.5510900000000021</v>
      </c>
      <c r="I250" s="2">
        <f t="shared" ref="I250:I267" si="129">F251-G250</f>
        <v>9.5044600000000088</v>
      </c>
      <c r="J250" s="2">
        <f t="shared" ref="J250:J267" si="130">H250/N250</f>
        <v>0.21161124959043759</v>
      </c>
      <c r="K250" s="2">
        <f t="shared" ref="K250:K267" si="131">I250/N250</f>
        <v>0.78838875040956247</v>
      </c>
      <c r="L250" s="2">
        <f t="shared" ref="L250:L267" si="132">1/H250</f>
        <v>0.39198930653171749</v>
      </c>
      <c r="M250" s="2">
        <f t="shared" ref="M250:M267" si="133">1/N250</f>
        <v>8.2949346981265812E-2</v>
      </c>
      <c r="N250" s="2">
        <f t="shared" ref="N250:N267" si="134">H250+I250</f>
        <v>12.055550000000011</v>
      </c>
      <c r="O250" s="2">
        <v>23</v>
      </c>
      <c r="P250">
        <f t="shared" si="127"/>
        <v>9.0157540502295017</v>
      </c>
    </row>
    <row r="251" spans="3:18" x14ac:dyDescent="0.35">
      <c r="C251" s="2"/>
      <c r="D251" s="300">
        <v>5</v>
      </c>
      <c r="F251" s="13">
        <v>101.62430000000001</v>
      </c>
      <c r="G251" s="2">
        <v>104.06695000000001</v>
      </c>
      <c r="H251" s="2">
        <f t="shared" si="128"/>
        <v>2.4426500000000004</v>
      </c>
      <c r="I251" s="2">
        <f t="shared" si="129"/>
        <v>4.8389999999999986</v>
      </c>
      <c r="J251" s="2">
        <f t="shared" si="130"/>
        <v>0.33545281632597018</v>
      </c>
      <c r="K251" s="2">
        <f t="shared" si="131"/>
        <v>0.66454718367402987</v>
      </c>
      <c r="L251" s="2">
        <f t="shared" si="132"/>
        <v>0.40939143962499736</v>
      </c>
      <c r="M251" s="2">
        <f t="shared" si="133"/>
        <v>0.13733151140194874</v>
      </c>
      <c r="N251" s="2">
        <f t="shared" si="134"/>
        <v>7.2816499999999991</v>
      </c>
      <c r="O251" s="2">
        <v>20</v>
      </c>
      <c r="P251">
        <f t="shared" si="127"/>
        <v>8.187828792499948</v>
      </c>
      <c r="R251" s="2"/>
    </row>
    <row r="252" spans="3:18" x14ac:dyDescent="0.35">
      <c r="C252" s="2"/>
      <c r="D252" s="300">
        <v>5</v>
      </c>
      <c r="F252" s="13">
        <v>108.90595</v>
      </c>
      <c r="G252" s="2">
        <v>111.23972000000001</v>
      </c>
      <c r="H252" s="2">
        <f t="shared" si="128"/>
        <v>2.3337700000000012</v>
      </c>
      <c r="I252" s="2">
        <f t="shared" si="129"/>
        <v>7.5348099999999931</v>
      </c>
      <c r="J252" s="2">
        <f t="shared" si="130"/>
        <v>0.23648488435012965</v>
      </c>
      <c r="K252" s="2">
        <f t="shared" si="131"/>
        <v>0.76351511564987029</v>
      </c>
      <c r="L252" s="2">
        <f t="shared" si="132"/>
        <v>0.42849123949660828</v>
      </c>
      <c r="M252" s="2">
        <f t="shared" si="133"/>
        <v>0.10133170121739912</v>
      </c>
      <c r="N252" s="2">
        <f t="shared" si="134"/>
        <v>9.8685799999999944</v>
      </c>
      <c r="O252" s="2">
        <v>17</v>
      </c>
      <c r="P252">
        <f t="shared" si="127"/>
        <v>7.284351071442341</v>
      </c>
    </row>
    <row r="253" spans="3:18" x14ac:dyDescent="0.35">
      <c r="C253" s="2"/>
      <c r="D253" s="300">
        <v>5</v>
      </c>
      <c r="F253" s="13">
        <v>118.77453</v>
      </c>
      <c r="G253" s="2">
        <v>119.56165</v>
      </c>
      <c r="H253" s="2">
        <f t="shared" si="128"/>
        <v>0.7871200000000016</v>
      </c>
      <c r="I253" s="2">
        <f t="shared" si="129"/>
        <v>8.3238500000000073</v>
      </c>
      <c r="J253" s="2">
        <f t="shared" si="130"/>
        <v>8.6392557543269355E-2</v>
      </c>
      <c r="K253" s="2">
        <f t="shared" si="131"/>
        <v>0.91360744245673065</v>
      </c>
      <c r="L253" s="2">
        <f t="shared" si="132"/>
        <v>1.2704543144628493</v>
      </c>
      <c r="M253" s="2">
        <f t="shared" si="133"/>
        <v>0.10975779746832653</v>
      </c>
      <c r="N253" s="2">
        <f t="shared" si="134"/>
        <v>9.1109700000000089</v>
      </c>
      <c r="O253" s="2">
        <v>12</v>
      </c>
      <c r="P253">
        <f t="shared" si="127"/>
        <v>15.245451773554192</v>
      </c>
    </row>
    <row r="254" spans="3:18" x14ac:dyDescent="0.35">
      <c r="C254" s="2"/>
      <c r="D254" s="299">
        <v>0</v>
      </c>
      <c r="F254" s="13">
        <v>127.88550000000001</v>
      </c>
      <c r="G254" s="2">
        <v>129.04831000000001</v>
      </c>
      <c r="H254" s="2">
        <f t="shared" si="128"/>
        <v>1.1628100000000074</v>
      </c>
      <c r="I254" s="2">
        <f t="shared" si="129"/>
        <v>9.3154099999999858</v>
      </c>
      <c r="J254" s="2">
        <f t="shared" si="130"/>
        <v>0.11097400130938348</v>
      </c>
      <c r="K254" s="2">
        <f t="shared" si="131"/>
        <v>0.88902599869061649</v>
      </c>
      <c r="L254" s="2">
        <f t="shared" si="132"/>
        <v>0.85998572423697217</v>
      </c>
      <c r="M254" s="2">
        <f t="shared" si="133"/>
        <v>9.5436056887524851E-2</v>
      </c>
      <c r="N254" s="2">
        <f t="shared" si="134"/>
        <v>10.478219999999993</v>
      </c>
      <c r="O254" s="2">
        <v>18</v>
      </c>
      <c r="P254">
        <f t="shared" si="127"/>
        <v>15.479743036265498</v>
      </c>
      <c r="R254" t="s">
        <v>793</v>
      </c>
    </row>
    <row r="255" spans="3:18" x14ac:dyDescent="0.35">
      <c r="C255" s="2"/>
      <c r="D255" s="299">
        <v>0</v>
      </c>
      <c r="F255" s="13">
        <v>138.36372</v>
      </c>
      <c r="G255" s="2">
        <v>140.80824999999999</v>
      </c>
      <c r="H255" s="2">
        <f t="shared" si="128"/>
        <v>2.4445299999999861</v>
      </c>
      <c r="I255" s="2">
        <f t="shared" si="129"/>
        <v>5.1360500000000116</v>
      </c>
      <c r="J255" s="2">
        <f t="shared" si="130"/>
        <v>0.32247268678649743</v>
      </c>
      <c r="K255" s="2">
        <f t="shared" si="131"/>
        <v>0.67752731321350257</v>
      </c>
      <c r="L255" s="2">
        <f t="shared" si="132"/>
        <v>0.40907659141021208</v>
      </c>
      <c r="M255" s="2">
        <f t="shared" si="133"/>
        <v>0.13191602753351331</v>
      </c>
      <c r="N255" s="2">
        <f t="shared" si="134"/>
        <v>7.5805799999999977</v>
      </c>
      <c r="O255" s="2">
        <v>18</v>
      </c>
      <c r="P255">
        <f t="shared" si="127"/>
        <v>7.3633786453838175</v>
      </c>
    </row>
    <row r="256" spans="3:18" x14ac:dyDescent="0.35">
      <c r="C256" s="2"/>
      <c r="D256" s="299">
        <v>0</v>
      </c>
      <c r="F256" s="13">
        <v>145.9443</v>
      </c>
      <c r="G256" s="2">
        <v>146.65722</v>
      </c>
      <c r="H256" s="2">
        <f t="shared" si="128"/>
        <v>0.71291999999999689</v>
      </c>
      <c r="I256" s="2">
        <f t="shared" si="129"/>
        <v>8.1442600000000027</v>
      </c>
      <c r="J256" s="2">
        <f t="shared" si="130"/>
        <v>8.0490630200582683E-2</v>
      </c>
      <c r="K256" s="2">
        <f t="shared" si="131"/>
        <v>0.91950936979941733</v>
      </c>
      <c r="L256" s="2">
        <f t="shared" si="132"/>
        <v>1.4026819278460478</v>
      </c>
      <c r="M256" s="2">
        <f t="shared" si="133"/>
        <v>0.11290275234329664</v>
      </c>
      <c r="N256" s="2">
        <f t="shared" si="134"/>
        <v>8.8571799999999996</v>
      </c>
      <c r="O256" s="2">
        <v>10</v>
      </c>
      <c r="P256">
        <f t="shared" si="127"/>
        <v>14.026819278460477</v>
      </c>
    </row>
    <row r="257" spans="3:16" x14ac:dyDescent="0.35">
      <c r="C257" s="2"/>
      <c r="D257" s="299">
        <v>0</v>
      </c>
      <c r="F257" s="13">
        <v>154.80148</v>
      </c>
      <c r="G257" s="2">
        <v>157.45775</v>
      </c>
      <c r="H257" s="2">
        <f t="shared" si="128"/>
        <v>2.6562700000000063</v>
      </c>
      <c r="I257" s="2">
        <f t="shared" si="129"/>
        <v>4.7670799999999929</v>
      </c>
      <c r="J257" s="2">
        <f t="shared" si="130"/>
        <v>0.35782631830642592</v>
      </c>
      <c r="K257" s="2">
        <f t="shared" si="131"/>
        <v>0.64217368169357414</v>
      </c>
      <c r="L257" s="2">
        <f t="shared" si="132"/>
        <v>0.37646775365455981</v>
      </c>
      <c r="M257" s="2">
        <f t="shared" si="133"/>
        <v>0.13471007025130166</v>
      </c>
      <c r="N257" s="2">
        <f t="shared" si="134"/>
        <v>7.4233499999999992</v>
      </c>
      <c r="O257" s="2">
        <v>22</v>
      </c>
      <c r="P257">
        <f t="shared" si="127"/>
        <v>8.282290580400316</v>
      </c>
    </row>
    <row r="258" spans="3:16" x14ac:dyDescent="0.35">
      <c r="C258" s="2"/>
      <c r="D258" s="299">
        <v>0</v>
      </c>
      <c r="F258" s="13">
        <v>162.22483</v>
      </c>
      <c r="G258" s="2">
        <v>164.60557</v>
      </c>
      <c r="H258" s="2">
        <f t="shared" si="128"/>
        <v>2.380740000000003</v>
      </c>
      <c r="I258" s="2">
        <f t="shared" si="129"/>
        <v>7.6741999999999848</v>
      </c>
      <c r="J258" s="2">
        <f t="shared" si="130"/>
        <v>0.23677316821383379</v>
      </c>
      <c r="K258" s="2">
        <f t="shared" si="131"/>
        <v>0.76322683178616624</v>
      </c>
      <c r="L258" s="2">
        <f t="shared" si="132"/>
        <v>0.42003746734208641</v>
      </c>
      <c r="M258" s="2">
        <f t="shared" si="133"/>
        <v>9.9453601911100531E-2</v>
      </c>
      <c r="N258" s="2">
        <f t="shared" si="134"/>
        <v>10.054939999999988</v>
      </c>
      <c r="O258" s="2">
        <v>14</v>
      </c>
      <c r="P258">
        <f t="shared" si="127"/>
        <v>5.8805245427892094</v>
      </c>
    </row>
    <row r="259" spans="3:16" x14ac:dyDescent="0.35">
      <c r="C259" s="2"/>
      <c r="D259" s="299">
        <v>0</v>
      </c>
      <c r="F259" s="13">
        <v>172.27976999999998</v>
      </c>
      <c r="G259" s="2">
        <v>173.23191</v>
      </c>
      <c r="H259" s="2">
        <f t="shared" si="128"/>
        <v>0.9521400000000142</v>
      </c>
      <c r="I259" s="2">
        <f t="shared" si="129"/>
        <v>7.1482699999999966</v>
      </c>
      <c r="J259" s="2">
        <f t="shared" si="130"/>
        <v>0.11754219848131303</v>
      </c>
      <c r="K259" s="2">
        <f t="shared" si="131"/>
        <v>0.88245780151868691</v>
      </c>
      <c r="L259" s="2">
        <f t="shared" si="132"/>
        <v>1.0502657172264427</v>
      </c>
      <c r="M259" s="2">
        <f t="shared" si="133"/>
        <v>0.12345054139234911</v>
      </c>
      <c r="N259" s="2">
        <f t="shared" si="134"/>
        <v>8.1004100000000108</v>
      </c>
      <c r="O259" s="2">
        <v>14</v>
      </c>
      <c r="P259">
        <f t="shared" si="127"/>
        <v>14.703720041170197</v>
      </c>
    </row>
    <row r="260" spans="3:16" x14ac:dyDescent="0.35">
      <c r="C260" s="2"/>
      <c r="D260" s="299">
        <v>0</v>
      </c>
      <c r="F260" s="13">
        <v>180.38018</v>
      </c>
      <c r="G260" s="2">
        <v>181.27752000000001</v>
      </c>
      <c r="H260" s="2">
        <f t="shared" si="128"/>
        <v>0.89734000000001402</v>
      </c>
      <c r="I260" s="2">
        <f t="shared" si="129"/>
        <v>7.4582299999999861</v>
      </c>
      <c r="J260" s="2">
        <f t="shared" si="130"/>
        <v>0.10739422923870114</v>
      </c>
      <c r="K260" s="2">
        <f t="shared" si="131"/>
        <v>0.89260577076129888</v>
      </c>
      <c r="L260" s="2">
        <f t="shared" si="132"/>
        <v>1.1144047963982262</v>
      </c>
      <c r="M260" s="2">
        <f t="shared" si="133"/>
        <v>0.11968064416909917</v>
      </c>
      <c r="N260" s="2">
        <f t="shared" si="134"/>
        <v>8.3555700000000002</v>
      </c>
      <c r="O260" s="2">
        <v>14</v>
      </c>
      <c r="P260">
        <f t="shared" si="127"/>
        <v>15.601667149575167</v>
      </c>
    </row>
    <row r="261" spans="3:16" x14ac:dyDescent="0.35">
      <c r="C261" s="2"/>
      <c r="D261" s="299">
        <v>0</v>
      </c>
      <c r="F261" s="13">
        <v>188.73575</v>
      </c>
      <c r="G261" s="2">
        <v>189.50724</v>
      </c>
      <c r="H261" s="2">
        <f t="shared" si="128"/>
        <v>0.77149000000000001</v>
      </c>
      <c r="I261" s="2">
        <f t="shared" si="129"/>
        <v>5.8914800000000014</v>
      </c>
      <c r="J261" s="2">
        <f t="shared" si="130"/>
        <v>0.11578770428202435</v>
      </c>
      <c r="K261" s="2">
        <f t="shared" si="131"/>
        <v>0.88421229571797566</v>
      </c>
      <c r="L261" s="2">
        <f t="shared" si="132"/>
        <v>1.296193080921334</v>
      </c>
      <c r="M261" s="2">
        <f t="shared" si="133"/>
        <v>0.15008322114612549</v>
      </c>
      <c r="N261" s="2">
        <f t="shared" si="134"/>
        <v>6.6629700000000014</v>
      </c>
      <c r="O261" s="2">
        <v>12</v>
      </c>
      <c r="P261">
        <f t="shared" si="127"/>
        <v>15.554316971056009</v>
      </c>
    </row>
    <row r="262" spans="3:16" x14ac:dyDescent="0.35">
      <c r="C262" s="2"/>
      <c r="D262" s="299">
        <v>0</v>
      </c>
      <c r="F262" s="13">
        <v>195.39872</v>
      </c>
      <c r="G262" s="2">
        <v>196.50268</v>
      </c>
      <c r="H262" s="2">
        <f t="shared" si="128"/>
        <v>1.1039600000000007</v>
      </c>
      <c r="I262" s="2">
        <f t="shared" si="129"/>
        <v>7.8858299999999986</v>
      </c>
      <c r="J262" s="2">
        <f t="shared" si="130"/>
        <v>0.12280153373994285</v>
      </c>
      <c r="K262" s="2">
        <f t="shared" si="131"/>
        <v>0.87719846626005715</v>
      </c>
      <c r="L262" s="2">
        <f t="shared" si="132"/>
        <v>0.90582992137396223</v>
      </c>
      <c r="M262" s="2">
        <f t="shared" si="133"/>
        <v>0.1112373036522544</v>
      </c>
      <c r="N262" s="2">
        <f t="shared" si="134"/>
        <v>8.9897899999999993</v>
      </c>
      <c r="O262" s="2">
        <v>17</v>
      </c>
      <c r="P262">
        <f t="shared" si="127"/>
        <v>15.399108663357358</v>
      </c>
    </row>
    <row r="263" spans="3:16" x14ac:dyDescent="0.35">
      <c r="C263" s="2"/>
      <c r="D263" s="299">
        <v>0</v>
      </c>
      <c r="F263" s="13">
        <v>204.38851</v>
      </c>
      <c r="G263" s="2">
        <v>205.69015000000002</v>
      </c>
      <c r="H263" s="2">
        <f t="shared" si="128"/>
        <v>1.3016400000000203</v>
      </c>
      <c r="I263" s="2">
        <f t="shared" si="129"/>
        <v>7.6505199999999718</v>
      </c>
      <c r="J263" s="2">
        <f t="shared" si="130"/>
        <v>0.14539954603135125</v>
      </c>
      <c r="K263" s="2">
        <f t="shared" si="131"/>
        <v>0.8546004539686487</v>
      </c>
      <c r="L263" s="2">
        <f t="shared" si="132"/>
        <v>0.76826157770196402</v>
      </c>
      <c r="M263" s="2">
        <f t="shared" si="133"/>
        <v>0.11170488463119525</v>
      </c>
      <c r="N263" s="2">
        <f t="shared" si="134"/>
        <v>8.9521599999999921</v>
      </c>
      <c r="O263" s="2">
        <v>18</v>
      </c>
      <c r="P263">
        <f t="shared" si="127"/>
        <v>13.828708398635351</v>
      </c>
    </row>
    <row r="264" spans="3:16" x14ac:dyDescent="0.35">
      <c r="C264" s="2"/>
      <c r="D264" s="299">
        <v>0</v>
      </c>
      <c r="F264" s="13">
        <v>213.34066999999999</v>
      </c>
      <c r="G264" s="2">
        <v>214.18423999999999</v>
      </c>
      <c r="H264" s="2">
        <f t="shared" si="128"/>
        <v>0.84356999999999971</v>
      </c>
      <c r="I264" s="2">
        <f t="shared" si="129"/>
        <v>12.464850000000013</v>
      </c>
      <c r="J264" s="2">
        <f t="shared" si="130"/>
        <v>6.3386187090578666E-2</v>
      </c>
      <c r="K264" s="2">
        <f t="shared" si="131"/>
        <v>0.93661381290942136</v>
      </c>
      <c r="L264" s="2">
        <f t="shared" si="132"/>
        <v>1.1854380786419625</v>
      </c>
      <c r="M264" s="2">
        <f t="shared" si="133"/>
        <v>7.5140399837095542E-2</v>
      </c>
      <c r="N264" s="2">
        <f t="shared" si="134"/>
        <v>13.308420000000012</v>
      </c>
      <c r="O264" s="2">
        <v>12</v>
      </c>
      <c r="P264">
        <f t="shared" si="127"/>
        <v>14.225256943703551</v>
      </c>
    </row>
    <row r="265" spans="3:16" x14ac:dyDescent="0.35">
      <c r="C265" s="2"/>
      <c r="D265" s="299">
        <v>0</v>
      </c>
      <c r="F265" s="13">
        <v>226.64909</v>
      </c>
      <c r="G265" s="2">
        <v>229.51614000000001</v>
      </c>
      <c r="H265" s="2">
        <f t="shared" si="128"/>
        <v>2.8670500000000061</v>
      </c>
      <c r="I265" s="2">
        <f t="shared" si="129"/>
        <v>4.5792899999999861</v>
      </c>
      <c r="J265" s="2">
        <f t="shared" si="130"/>
        <v>0.38502808090954871</v>
      </c>
      <c r="K265" s="2">
        <f t="shared" si="131"/>
        <v>0.61497191909045124</v>
      </c>
      <c r="L265" s="2">
        <f t="shared" si="132"/>
        <v>0.34879056870302155</v>
      </c>
      <c r="M265" s="2">
        <f t="shared" si="133"/>
        <v>0.1342941633070745</v>
      </c>
      <c r="N265" s="2">
        <f t="shared" si="134"/>
        <v>7.4463399999999922</v>
      </c>
      <c r="O265" s="2">
        <v>28</v>
      </c>
      <c r="P265">
        <f t="shared" si="127"/>
        <v>9.7661359236846028</v>
      </c>
    </row>
    <row r="266" spans="3:16" x14ac:dyDescent="0.35">
      <c r="C266" s="2"/>
      <c r="D266" s="299">
        <v>0</v>
      </c>
      <c r="F266" s="13">
        <v>234.09542999999999</v>
      </c>
      <c r="G266" s="2">
        <v>234.38195000000002</v>
      </c>
      <c r="H266" s="2">
        <f t="shared" si="128"/>
        <v>0.28652000000002431</v>
      </c>
      <c r="I266" s="2">
        <f t="shared" si="129"/>
        <v>2.1811500000000024</v>
      </c>
      <c r="J266" s="2">
        <f t="shared" si="130"/>
        <v>0.11610952842155604</v>
      </c>
      <c r="K266" s="2">
        <f t="shared" si="131"/>
        <v>0.88389047157844391</v>
      </c>
      <c r="L266" s="2">
        <f t="shared" si="132"/>
        <v>3.4901577551302356</v>
      </c>
      <c r="M266" s="2">
        <f t="shared" si="133"/>
        <v>0.40524057106500838</v>
      </c>
      <c r="N266" s="2">
        <f t="shared" si="134"/>
        <v>2.4676700000000267</v>
      </c>
      <c r="O266" s="2">
        <v>6</v>
      </c>
      <c r="P266">
        <f t="shared" si="127"/>
        <v>20.940946530781414</v>
      </c>
    </row>
    <row r="267" spans="3:16" x14ac:dyDescent="0.35">
      <c r="C267" s="2"/>
      <c r="D267" s="299">
        <v>0</v>
      </c>
      <c r="F267" s="13">
        <v>236.56310000000002</v>
      </c>
      <c r="G267" s="2">
        <v>236.87934000000001</v>
      </c>
      <c r="H267" s="2">
        <f t="shared" si="128"/>
        <v>0.31623999999999342</v>
      </c>
      <c r="I267" s="2">
        <f t="shared" si="129"/>
        <v>2.1408700000000067</v>
      </c>
      <c r="J267" s="2">
        <f t="shared" si="130"/>
        <v>0.12870404662387658</v>
      </c>
      <c r="K267" s="2">
        <f t="shared" si="131"/>
        <v>0.87129595337612342</v>
      </c>
      <c r="L267" s="2">
        <f t="shared" si="132"/>
        <v>3.1621553250696333</v>
      </c>
      <c r="M267" s="2">
        <f t="shared" si="133"/>
        <v>0.40698218638970168</v>
      </c>
      <c r="N267" s="2">
        <f t="shared" si="134"/>
        <v>2.4571100000000001</v>
      </c>
      <c r="O267" s="2">
        <v>6</v>
      </c>
      <c r="P267">
        <f t="shared" si="127"/>
        <v>18.972931950417799</v>
      </c>
    </row>
    <row r="268" spans="3:16" x14ac:dyDescent="0.35">
      <c r="C268" s="2"/>
      <c r="D268" s="299">
        <v>0</v>
      </c>
      <c r="F268" s="13">
        <v>239.02021000000002</v>
      </c>
      <c r="G268" s="2">
        <v>239.21827000000002</v>
      </c>
      <c r="H268" s="2">
        <f t="shared" si="128"/>
        <v>0.19805999999999813</v>
      </c>
      <c r="I268" s="2"/>
      <c r="J268" s="2"/>
      <c r="K268" s="2"/>
      <c r="L268" s="2"/>
      <c r="M268" s="2"/>
      <c r="N268" s="2"/>
      <c r="O268" s="2"/>
    </row>
    <row r="269" spans="3:16" x14ac:dyDescent="0.35">
      <c r="F269" s="13"/>
    </row>
    <row r="270" spans="3:16" ht="16" thickBot="1" x14ac:dyDescent="0.4">
      <c r="F270" s="13"/>
      <c r="G270" s="13"/>
      <c r="H270" s="9" t="s">
        <v>3</v>
      </c>
      <c r="I270" s="9" t="s">
        <v>4</v>
      </c>
      <c r="J270" s="9" t="s">
        <v>5</v>
      </c>
      <c r="K270" s="9" t="s">
        <v>6</v>
      </c>
      <c r="L270" s="9" t="s">
        <v>7</v>
      </c>
      <c r="M270" s="9" t="s">
        <v>8</v>
      </c>
      <c r="N270" s="9" t="s">
        <v>9</v>
      </c>
      <c r="O270" s="9" t="s">
        <v>10</v>
      </c>
      <c r="P270" s="44" t="s">
        <v>139</v>
      </c>
    </row>
    <row r="271" spans="3:16" x14ac:dyDescent="0.35">
      <c r="E271" s="104" t="s">
        <v>779</v>
      </c>
      <c r="F271" s="13"/>
      <c r="G271" s="49" t="s">
        <v>77</v>
      </c>
      <c r="H271" s="13">
        <f>AVERAGE(H239:H253)</f>
        <v>2.0980326666666675</v>
      </c>
      <c r="I271" s="13">
        <f t="shared" ref="I271:P271" si="135">AVERAGE(I239:I253)</f>
        <v>6.3054493333333328</v>
      </c>
      <c r="J271" s="13">
        <f t="shared" si="135"/>
        <v>0.25538134118500017</v>
      </c>
      <c r="K271" s="13">
        <f t="shared" si="135"/>
        <v>0.74461865881499989</v>
      </c>
      <c r="L271" s="13">
        <f t="shared" si="135"/>
        <v>0.58865777028735056</v>
      </c>
      <c r="M271" s="13">
        <f t="shared" si="135"/>
        <v>0.12257642211987826</v>
      </c>
      <c r="N271" s="13">
        <f t="shared" si="135"/>
        <v>8.4034820000000003</v>
      </c>
      <c r="O271" s="13">
        <f t="shared" si="135"/>
        <v>17.866666666666667</v>
      </c>
      <c r="P271" s="13">
        <f t="shared" si="135"/>
        <v>9.3939694485022489</v>
      </c>
    </row>
    <row r="272" spans="3:16" x14ac:dyDescent="0.35">
      <c r="E272" s="104"/>
      <c r="F272" s="13"/>
      <c r="G272" s="49" t="s">
        <v>94</v>
      </c>
      <c r="H272" s="2">
        <f>_xlfn.STDEV.S(H239:H253)</f>
        <v>0.69293537118207549</v>
      </c>
      <c r="I272" s="2">
        <f t="shared" ref="I272:P272" si="136">_xlfn.STDEV.S(I239:I253)</f>
        <v>1.6105495938852086</v>
      </c>
      <c r="J272" s="2">
        <f t="shared" si="136"/>
        <v>9.45710571406886E-2</v>
      </c>
      <c r="K272" s="2">
        <f t="shared" si="136"/>
        <v>9.4571057140687892E-2</v>
      </c>
      <c r="L272" s="2">
        <f t="shared" si="136"/>
        <v>0.36588149111221963</v>
      </c>
      <c r="M272" s="2">
        <f t="shared" si="136"/>
        <v>2.065286809455405E-2</v>
      </c>
      <c r="N272" s="2">
        <f t="shared" si="136"/>
        <v>1.5788750496259782</v>
      </c>
      <c r="O272" s="2">
        <f t="shared" si="136"/>
        <v>4.050867044167684</v>
      </c>
      <c r="P272" s="2">
        <f t="shared" si="136"/>
        <v>3.0510271689690831</v>
      </c>
    </row>
    <row r="273" spans="4:19" x14ac:dyDescent="0.35">
      <c r="E273" s="104"/>
      <c r="F273" s="13"/>
      <c r="G273" s="49" t="s">
        <v>95</v>
      </c>
      <c r="H273" s="2">
        <f>H272/(SQRT(COUNT(H239:H253)))</f>
        <v>0.17891514350574889</v>
      </c>
      <c r="I273" s="2">
        <f t="shared" ref="I273:P273" si="137">I272/(SQRT(COUNT(I239:I253)))</f>
        <v>0.41584211702390206</v>
      </c>
      <c r="J273" s="2">
        <f t="shared" si="137"/>
        <v>2.4418141955941129E-2</v>
      </c>
      <c r="K273" s="2">
        <f t="shared" si="137"/>
        <v>2.4418141955940949E-2</v>
      </c>
      <c r="L273" s="2">
        <f t="shared" si="137"/>
        <v>9.4470194784210912E-2</v>
      </c>
      <c r="M273" s="2">
        <f t="shared" si="137"/>
        <v>5.332547612108423E-3</v>
      </c>
      <c r="N273" s="2">
        <f t="shared" si="137"/>
        <v>0.40766378486292149</v>
      </c>
      <c r="O273" s="2">
        <f t="shared" si="137"/>
        <v>1.0459293733174602</v>
      </c>
      <c r="P273" s="2">
        <f t="shared" si="137"/>
        <v>0.78777182761624143</v>
      </c>
    </row>
    <row r="274" spans="4:19" x14ac:dyDescent="0.35">
      <c r="E274" s="104"/>
    </row>
    <row r="275" spans="4:19" x14ac:dyDescent="0.35">
      <c r="E275" s="104"/>
    </row>
    <row r="276" spans="4:19" ht="16" thickBot="1" x14ac:dyDescent="0.4">
      <c r="E276" s="104"/>
      <c r="G276" s="13"/>
      <c r="H276" s="9" t="s">
        <v>3</v>
      </c>
      <c r="I276" s="9" t="s">
        <v>4</v>
      </c>
      <c r="J276" s="9" t="s">
        <v>5</v>
      </c>
      <c r="K276" s="9" t="s">
        <v>6</v>
      </c>
      <c r="L276" s="9" t="s">
        <v>7</v>
      </c>
      <c r="M276" s="9" t="s">
        <v>8</v>
      </c>
      <c r="N276" s="9" t="s">
        <v>9</v>
      </c>
      <c r="O276" s="9" t="s">
        <v>10</v>
      </c>
      <c r="P276" s="44" t="s">
        <v>139</v>
      </c>
    </row>
    <row r="277" spans="4:19" x14ac:dyDescent="0.35">
      <c r="E277" s="104" t="s">
        <v>410</v>
      </c>
      <c r="G277" s="49" t="s">
        <v>77</v>
      </c>
      <c r="H277" s="13">
        <f>AVERAGE(H254:H267)</f>
        <v>1.3355157142857195</v>
      </c>
      <c r="I277" s="13">
        <f t="shared" ref="I277:P277" si="138">AVERAGE(I254:I267)</f>
        <v>6.6026778571428526</v>
      </c>
      <c r="J277" s="13">
        <f t="shared" si="138"/>
        <v>0.17219213283111542</v>
      </c>
      <c r="K277" s="13">
        <f t="shared" si="138"/>
        <v>0.82780786716888444</v>
      </c>
      <c r="L277" s="13">
        <f t="shared" si="138"/>
        <v>1.1992675918326186</v>
      </c>
      <c r="M277" s="13">
        <f t="shared" si="138"/>
        <v>0.15801660175118862</v>
      </c>
      <c r="N277" s="13">
        <f t="shared" si="138"/>
        <v>7.9381935714285721</v>
      </c>
      <c r="O277" s="13">
        <f t="shared" si="138"/>
        <v>14.928571428571429</v>
      </c>
      <c r="P277" s="13">
        <f t="shared" si="138"/>
        <v>13.573253475405769</v>
      </c>
    </row>
    <row r="278" spans="4:19" x14ac:dyDescent="0.35">
      <c r="G278" s="49" t="s">
        <v>94</v>
      </c>
      <c r="H278" s="2">
        <f>_xlfn.STDEV.S(H254:H267)</f>
        <v>0.87367655616686957</v>
      </c>
      <c r="I278" s="2">
        <f t="shared" ref="I278:P278" si="139">_xlfn.STDEV.S(I254:I267)</f>
        <v>2.754027281486509</v>
      </c>
      <c r="J278" s="2">
        <f t="shared" si="139"/>
        <v>0.10708382590635908</v>
      </c>
      <c r="K278" s="2">
        <f t="shared" si="139"/>
        <v>0.10708382590636013</v>
      </c>
      <c r="L278" s="2">
        <f t="shared" si="139"/>
        <v>0.96875688087746659</v>
      </c>
      <c r="M278" s="2">
        <f t="shared" si="139"/>
        <v>0.10677110318512387</v>
      </c>
      <c r="N278" s="2">
        <f t="shared" si="139"/>
        <v>2.8444370755147945</v>
      </c>
      <c r="O278" s="2">
        <f t="shared" si="139"/>
        <v>5.9286045279097221</v>
      </c>
      <c r="P278" s="2">
        <f t="shared" si="139"/>
        <v>4.3025042027496605</v>
      </c>
    </row>
    <row r="279" spans="4:19" x14ac:dyDescent="0.35">
      <c r="G279" s="49" t="s">
        <v>95</v>
      </c>
      <c r="H279" s="2">
        <f>H278/(SQRT(COUNT(H254:H267)))</f>
        <v>0.23349988143092756</v>
      </c>
      <c r="I279" s="2">
        <f t="shared" ref="I279:P279" si="140">I278/(SQRT(COUNT(I254:I267)))</f>
        <v>0.73604475151078241</v>
      </c>
      <c r="J279" s="2">
        <f t="shared" si="140"/>
        <v>2.8619356300467372E-2</v>
      </c>
      <c r="K279" s="2">
        <f t="shared" si="140"/>
        <v>2.8619356300467653E-2</v>
      </c>
      <c r="L279" s="2">
        <f t="shared" si="140"/>
        <v>0.25891116709451828</v>
      </c>
      <c r="M279" s="2">
        <f t="shared" si="140"/>
        <v>2.8535777637615816E-2</v>
      </c>
      <c r="N279" s="2">
        <f t="shared" si="140"/>
        <v>0.76020778534382849</v>
      </c>
      <c r="O279" s="2">
        <f t="shared" si="140"/>
        <v>1.5844862089367748</v>
      </c>
      <c r="P279" s="2">
        <f t="shared" si="140"/>
        <v>1.1498926165602996</v>
      </c>
    </row>
    <row r="283" spans="4:19" x14ac:dyDescent="0.35">
      <c r="S283" s="2"/>
    </row>
    <row r="284" spans="4:19" ht="18.5" x14ac:dyDescent="0.45">
      <c r="F284" s="1" t="s">
        <v>405</v>
      </c>
      <c r="G284" s="3"/>
      <c r="H284" s="3"/>
      <c r="I284" s="3"/>
      <c r="J284" s="3"/>
      <c r="K284" s="3"/>
      <c r="L284" s="3"/>
      <c r="M284" s="3"/>
      <c r="N284" s="3"/>
      <c r="O284" s="3"/>
      <c r="S284" s="2"/>
    </row>
    <row r="285" spans="4:19" ht="16" thickBot="1" x14ac:dyDescent="0.4">
      <c r="D285" s="204" t="s">
        <v>406</v>
      </c>
      <c r="F285" s="9" t="s">
        <v>1</v>
      </c>
      <c r="G285" s="9" t="s">
        <v>2</v>
      </c>
      <c r="H285" s="9" t="s">
        <v>3</v>
      </c>
      <c r="I285" s="9" t="s">
        <v>4</v>
      </c>
      <c r="J285" s="9" t="s">
        <v>5</v>
      </c>
      <c r="K285" s="9" t="s">
        <v>6</v>
      </c>
      <c r="L285" s="9" t="s">
        <v>7</v>
      </c>
      <c r="M285" s="9" t="s">
        <v>8</v>
      </c>
      <c r="N285" s="9" t="s">
        <v>9</v>
      </c>
      <c r="O285" s="9" t="s">
        <v>10</v>
      </c>
      <c r="P285" s="44" t="s">
        <v>139</v>
      </c>
      <c r="R285" s="44" t="s">
        <v>138</v>
      </c>
      <c r="S285" s="2"/>
    </row>
    <row r="286" spans="4:19" x14ac:dyDescent="0.35">
      <c r="D286" s="300">
        <v>7.5</v>
      </c>
      <c r="F286" s="2">
        <v>1.22739</v>
      </c>
      <c r="G286" s="2">
        <v>3.6695799999999998</v>
      </c>
      <c r="H286" s="2">
        <f t="shared" ref="H286:H304" si="141">G286-F286</f>
        <v>2.4421900000000001</v>
      </c>
      <c r="I286" s="2">
        <f t="shared" ref="I286:I304" si="142">F287-G286</f>
        <v>2.4296500000000005</v>
      </c>
      <c r="J286" s="2">
        <f>H286/N286</f>
        <v>0.5012869880784262</v>
      </c>
      <c r="K286" s="2">
        <f>I286/N286</f>
        <v>0.4987130119215738</v>
      </c>
      <c r="L286" s="2">
        <f>1/H286</f>
        <v>0.40946855076795824</v>
      </c>
      <c r="M286" s="2">
        <f>1/N286</f>
        <v>0.20526125652730792</v>
      </c>
      <c r="N286" s="2">
        <f>H286+I286</f>
        <v>4.8718400000000006</v>
      </c>
      <c r="O286" s="2">
        <v>16</v>
      </c>
      <c r="P286">
        <f>O286/H286</f>
        <v>6.5514968122873318</v>
      </c>
      <c r="R286" t="s">
        <v>795</v>
      </c>
      <c r="S286" s="2"/>
    </row>
    <row r="287" spans="4:19" x14ac:dyDescent="0.35">
      <c r="D287" s="300">
        <v>7.5</v>
      </c>
      <c r="F287" s="13">
        <v>6.0992300000000004</v>
      </c>
      <c r="G287" s="2">
        <v>8.6917500000000008</v>
      </c>
      <c r="H287" s="2">
        <f t="shared" si="141"/>
        <v>2.5925200000000004</v>
      </c>
      <c r="I287" s="2">
        <f t="shared" si="142"/>
        <v>4.4042099999999991</v>
      </c>
      <c r="J287" s="2">
        <f t="shared" ref="J287:J304" si="143">H287/N287</f>
        <v>0.37053309188721023</v>
      </c>
      <c r="K287" s="2">
        <f t="shared" ref="K287:K304" si="144">I287/N287</f>
        <v>0.62946690811278971</v>
      </c>
      <c r="L287" s="2">
        <f t="shared" ref="L287:L304" si="145">1/H287</f>
        <v>0.38572508601669414</v>
      </c>
      <c r="M287" s="2">
        <f t="shared" ref="M287:M304" si="146">1/N287</f>
        <v>0.14292390874022581</v>
      </c>
      <c r="N287" s="2">
        <f t="shared" ref="N287:N304" si="147">H287+I287</f>
        <v>6.9967299999999994</v>
      </c>
      <c r="O287" s="2">
        <v>22</v>
      </c>
      <c r="P287">
        <f t="shared" ref="P287:P320" si="148">O287/H287</f>
        <v>8.4859518923672699</v>
      </c>
      <c r="S287" s="2"/>
    </row>
    <row r="288" spans="4:19" x14ac:dyDescent="0.35">
      <c r="D288" s="300">
        <v>7.5</v>
      </c>
      <c r="F288" s="13">
        <v>13.09596</v>
      </c>
      <c r="G288" s="2">
        <v>15.59145</v>
      </c>
      <c r="H288" s="2">
        <f t="shared" si="141"/>
        <v>2.4954900000000002</v>
      </c>
      <c r="I288" s="2">
        <f t="shared" si="142"/>
        <v>4.6363700000000012</v>
      </c>
      <c r="J288" s="2">
        <f t="shared" si="143"/>
        <v>0.34990731730572383</v>
      </c>
      <c r="K288" s="2">
        <f t="shared" si="144"/>
        <v>0.65009268269427611</v>
      </c>
      <c r="L288" s="2">
        <f t="shared" si="145"/>
        <v>0.40072290411903072</v>
      </c>
      <c r="M288" s="2">
        <f t="shared" si="146"/>
        <v>0.14021587636324884</v>
      </c>
      <c r="N288" s="2">
        <f t="shared" si="147"/>
        <v>7.1318600000000014</v>
      </c>
      <c r="O288" s="2">
        <v>20</v>
      </c>
      <c r="P288">
        <f t="shared" si="148"/>
        <v>8.0144580823806137</v>
      </c>
      <c r="S288" s="2"/>
    </row>
    <row r="289" spans="3:19" x14ac:dyDescent="0.35">
      <c r="D289" s="300">
        <v>7.5</v>
      </c>
      <c r="F289" s="13">
        <v>20.227820000000001</v>
      </c>
      <c r="G289" s="2">
        <v>22.755939999999999</v>
      </c>
      <c r="H289" s="2">
        <f t="shared" si="141"/>
        <v>2.5281199999999977</v>
      </c>
      <c r="I289" s="2">
        <f t="shared" si="142"/>
        <v>7.1378900000000023</v>
      </c>
      <c r="J289" s="2">
        <f t="shared" si="143"/>
        <v>0.26154742235938072</v>
      </c>
      <c r="K289" s="2">
        <f t="shared" si="144"/>
        <v>0.73845257764061922</v>
      </c>
      <c r="L289" s="2">
        <f t="shared" si="145"/>
        <v>0.39555084410550168</v>
      </c>
      <c r="M289" s="2">
        <f t="shared" si="146"/>
        <v>0.10345530368787122</v>
      </c>
      <c r="N289" s="2">
        <f t="shared" si="147"/>
        <v>9.66601</v>
      </c>
      <c r="O289" s="2">
        <v>22</v>
      </c>
      <c r="P289">
        <f t="shared" si="148"/>
        <v>8.7021185703210371</v>
      </c>
      <c r="S289" s="2"/>
    </row>
    <row r="290" spans="3:19" x14ac:dyDescent="0.35">
      <c r="D290" s="300">
        <v>7.5</v>
      </c>
      <c r="F290" s="13">
        <v>29.893830000000001</v>
      </c>
      <c r="G290" s="2">
        <v>32.7624</v>
      </c>
      <c r="H290" s="2">
        <f t="shared" si="141"/>
        <v>2.8685699999999983</v>
      </c>
      <c r="I290" s="2">
        <f t="shared" si="142"/>
        <v>4.1715799999999987</v>
      </c>
      <c r="J290" s="2">
        <f t="shared" si="143"/>
        <v>0.40745864789812708</v>
      </c>
      <c r="K290" s="2">
        <f t="shared" si="144"/>
        <v>0.59254135210187286</v>
      </c>
      <c r="L290" s="2">
        <f t="shared" si="145"/>
        <v>0.34860575129768512</v>
      </c>
      <c r="M290" s="2">
        <f t="shared" si="146"/>
        <v>0.14204242807326553</v>
      </c>
      <c r="N290" s="2">
        <f t="shared" si="147"/>
        <v>7.040149999999997</v>
      </c>
      <c r="O290" s="2">
        <v>26</v>
      </c>
      <c r="P290">
        <f t="shared" si="148"/>
        <v>9.0637495337398128</v>
      </c>
      <c r="S290" s="2"/>
    </row>
    <row r="291" spans="3:19" x14ac:dyDescent="0.35">
      <c r="D291" s="300">
        <v>7.5</v>
      </c>
      <c r="F291" s="13">
        <v>36.933979999999998</v>
      </c>
      <c r="G291" s="2">
        <v>39.38203</v>
      </c>
      <c r="H291" s="2">
        <f t="shared" si="141"/>
        <v>2.4480500000000021</v>
      </c>
      <c r="I291" s="2">
        <f t="shared" si="142"/>
        <v>2.3841800000000006</v>
      </c>
      <c r="J291" s="2">
        <f t="shared" si="143"/>
        <v>0.50660874999741334</v>
      </c>
      <c r="K291" s="2">
        <f t="shared" si="144"/>
        <v>0.49339125000258666</v>
      </c>
      <c r="L291" s="2">
        <f t="shared" si="145"/>
        <v>0.40848838871755033</v>
      </c>
      <c r="M291" s="2">
        <f t="shared" si="146"/>
        <v>0.20694379199665566</v>
      </c>
      <c r="N291" s="2">
        <f t="shared" si="147"/>
        <v>4.8322300000000027</v>
      </c>
      <c r="O291" s="2">
        <v>18</v>
      </c>
      <c r="P291">
        <f t="shared" si="148"/>
        <v>7.3527909969159069</v>
      </c>
      <c r="S291" s="2"/>
    </row>
    <row r="292" spans="3:19" x14ac:dyDescent="0.35">
      <c r="D292" s="300">
        <v>7.5</v>
      </c>
      <c r="F292" s="13">
        <v>41.766210000000001</v>
      </c>
      <c r="G292" s="2">
        <v>44.045079999999999</v>
      </c>
      <c r="H292" s="2">
        <f t="shared" si="141"/>
        <v>2.2788699999999977</v>
      </c>
      <c r="I292" s="2">
        <f t="shared" si="142"/>
        <v>2.423960000000001</v>
      </c>
      <c r="J292" s="2">
        <f t="shared" si="143"/>
        <v>0.48457418192875318</v>
      </c>
      <c r="K292" s="2">
        <f t="shared" si="144"/>
        <v>0.51542581807124677</v>
      </c>
      <c r="L292" s="2">
        <f t="shared" si="145"/>
        <v>0.4388139735921755</v>
      </c>
      <c r="M292" s="2">
        <f t="shared" si="146"/>
        <v>0.21263792227233394</v>
      </c>
      <c r="N292" s="2">
        <f t="shared" si="147"/>
        <v>4.7028299999999987</v>
      </c>
      <c r="O292" s="2">
        <v>14</v>
      </c>
      <c r="P292">
        <f t="shared" si="148"/>
        <v>6.1433956302904571</v>
      </c>
      <c r="S292" s="2"/>
    </row>
    <row r="293" spans="3:19" x14ac:dyDescent="0.35">
      <c r="D293" s="300">
        <v>7.5</v>
      </c>
      <c r="F293" s="13">
        <v>46.46904</v>
      </c>
      <c r="G293" s="2">
        <v>47.248800000000003</v>
      </c>
      <c r="H293" s="2">
        <f t="shared" si="141"/>
        <v>0.77976000000000312</v>
      </c>
      <c r="I293" s="2">
        <f t="shared" si="142"/>
        <v>4.3997299999999981</v>
      </c>
      <c r="J293" s="2">
        <f t="shared" si="143"/>
        <v>0.15054764079088925</v>
      </c>
      <c r="K293" s="2">
        <f t="shared" si="144"/>
        <v>0.84945235920911077</v>
      </c>
      <c r="L293" s="2">
        <f t="shared" si="145"/>
        <v>1.2824458807838257</v>
      </c>
      <c r="M293" s="2">
        <f t="shared" si="146"/>
        <v>0.19306920179399897</v>
      </c>
      <c r="N293" s="2">
        <f t="shared" si="147"/>
        <v>5.1794900000000013</v>
      </c>
      <c r="O293" s="2">
        <v>12</v>
      </c>
      <c r="P293">
        <f t="shared" si="148"/>
        <v>15.389350569405909</v>
      </c>
      <c r="S293" s="2"/>
    </row>
    <row r="294" spans="3:19" x14ac:dyDescent="0.35">
      <c r="D294" s="300">
        <v>7.5</v>
      </c>
      <c r="F294" s="13">
        <v>51.648530000000001</v>
      </c>
      <c r="G294" s="2">
        <v>54.055070000000001</v>
      </c>
      <c r="H294" s="2">
        <f t="shared" si="141"/>
        <v>2.4065399999999997</v>
      </c>
      <c r="I294" s="2">
        <f t="shared" si="142"/>
        <v>2.2818699999999978</v>
      </c>
      <c r="J294" s="2">
        <f t="shared" si="143"/>
        <v>0.5132955522234619</v>
      </c>
      <c r="K294" s="2">
        <f t="shared" si="144"/>
        <v>0.4867044477765381</v>
      </c>
      <c r="L294" s="2">
        <f t="shared" si="145"/>
        <v>0.41553433560215086</v>
      </c>
      <c r="M294" s="2">
        <f t="shared" si="146"/>
        <v>0.21329192626071536</v>
      </c>
      <c r="N294" s="2">
        <f t="shared" si="147"/>
        <v>4.6884099999999975</v>
      </c>
      <c r="O294" s="2">
        <v>18</v>
      </c>
      <c r="P294">
        <f t="shared" si="148"/>
        <v>7.4796180408387158</v>
      </c>
      <c r="S294" s="2"/>
    </row>
    <row r="295" spans="3:19" x14ac:dyDescent="0.35">
      <c r="D295" s="300">
        <v>7.5</v>
      </c>
      <c r="F295" s="13">
        <v>56.336939999999998</v>
      </c>
      <c r="G295" s="2">
        <v>58.765340000000002</v>
      </c>
      <c r="H295" s="2">
        <f t="shared" si="141"/>
        <v>2.4284000000000034</v>
      </c>
      <c r="I295" s="2">
        <f t="shared" si="142"/>
        <v>4.7668699999999973</v>
      </c>
      <c r="J295" s="2">
        <f t="shared" si="143"/>
        <v>0.33749949619680752</v>
      </c>
      <c r="K295" s="2">
        <f t="shared" si="144"/>
        <v>0.66250050380319248</v>
      </c>
      <c r="L295" s="2">
        <f t="shared" si="145"/>
        <v>0.41179377367814141</v>
      </c>
      <c r="M295" s="2">
        <f t="shared" si="146"/>
        <v>0.13898019115335489</v>
      </c>
      <c r="N295" s="2">
        <f t="shared" si="147"/>
        <v>7.1952700000000007</v>
      </c>
      <c r="O295" s="2">
        <v>18</v>
      </c>
      <c r="P295">
        <f t="shared" si="148"/>
        <v>7.4122879262065453</v>
      </c>
      <c r="S295" s="2"/>
    </row>
    <row r="296" spans="3:19" x14ac:dyDescent="0.35">
      <c r="D296" s="300">
        <v>7.5</v>
      </c>
      <c r="F296" s="13">
        <v>63.532209999999999</v>
      </c>
      <c r="G296" s="2">
        <v>66.119870000000006</v>
      </c>
      <c r="H296" s="2">
        <f t="shared" si="141"/>
        <v>2.5876600000000067</v>
      </c>
      <c r="I296" s="2">
        <f t="shared" si="142"/>
        <v>4.5134299999999996</v>
      </c>
      <c r="J296" s="2">
        <f t="shared" si="143"/>
        <v>0.36440321133797832</v>
      </c>
      <c r="K296" s="2">
        <f t="shared" si="144"/>
        <v>0.63559678866202174</v>
      </c>
      <c r="L296" s="2">
        <f t="shared" si="145"/>
        <v>0.38644953355541201</v>
      </c>
      <c r="M296" s="2">
        <f t="shared" si="146"/>
        <v>0.14082345104765595</v>
      </c>
      <c r="N296" s="2">
        <f t="shared" si="147"/>
        <v>7.1010900000000063</v>
      </c>
      <c r="O296" s="2">
        <v>18</v>
      </c>
      <c r="P296">
        <f t="shared" si="148"/>
        <v>6.9560916039974154</v>
      </c>
      <c r="S296" s="2"/>
    </row>
    <row r="297" spans="3:19" x14ac:dyDescent="0.35">
      <c r="D297" s="300">
        <v>7.5</v>
      </c>
      <c r="F297" s="13">
        <v>70.633300000000006</v>
      </c>
      <c r="G297" s="2">
        <v>72.970470000000006</v>
      </c>
      <c r="H297" s="2">
        <f t="shared" si="141"/>
        <v>2.3371700000000004</v>
      </c>
      <c r="I297" s="2">
        <f t="shared" si="142"/>
        <v>2.6143000000000001</v>
      </c>
      <c r="J297" s="2">
        <f t="shared" si="143"/>
        <v>0.47201538129080861</v>
      </c>
      <c r="K297" s="2">
        <f t="shared" si="144"/>
        <v>0.52798461870919133</v>
      </c>
      <c r="L297" s="2">
        <f t="shared" si="145"/>
        <v>0.42786789150981736</v>
      </c>
      <c r="M297" s="2">
        <f t="shared" si="146"/>
        <v>0.20196022595310079</v>
      </c>
      <c r="N297" s="2">
        <f t="shared" si="147"/>
        <v>4.9514700000000005</v>
      </c>
      <c r="O297" s="2">
        <v>18</v>
      </c>
      <c r="P297">
        <f t="shared" si="148"/>
        <v>7.7016220471767127</v>
      </c>
      <c r="S297" s="2"/>
    </row>
    <row r="298" spans="3:19" x14ac:dyDescent="0.35">
      <c r="D298" s="300">
        <v>7.5</v>
      </c>
      <c r="F298" s="13">
        <v>75.584770000000006</v>
      </c>
      <c r="G298" s="2">
        <v>78.22954</v>
      </c>
      <c r="H298" s="2">
        <f t="shared" si="141"/>
        <v>2.6447699999999941</v>
      </c>
      <c r="I298" s="2">
        <f t="shared" si="142"/>
        <v>4.574150000000003</v>
      </c>
      <c r="J298" s="2">
        <f t="shared" si="143"/>
        <v>0.36636643708477101</v>
      </c>
      <c r="K298" s="2">
        <f t="shared" si="144"/>
        <v>0.63363356291522899</v>
      </c>
      <c r="L298" s="2">
        <f t="shared" si="145"/>
        <v>0.37810471231903048</v>
      </c>
      <c r="M298" s="2">
        <f t="shared" si="146"/>
        <v>0.13852487629728552</v>
      </c>
      <c r="N298" s="2">
        <f t="shared" si="147"/>
        <v>7.2189199999999971</v>
      </c>
      <c r="O298" s="2">
        <v>26</v>
      </c>
      <c r="P298">
        <f t="shared" si="148"/>
        <v>9.8307225202947919</v>
      </c>
      <c r="R298" s="2"/>
      <c r="S298" s="2"/>
    </row>
    <row r="299" spans="3:19" x14ac:dyDescent="0.35">
      <c r="D299" s="300">
        <v>7.5</v>
      </c>
      <c r="F299" s="13">
        <v>82.803690000000003</v>
      </c>
      <c r="G299" s="2">
        <v>85.447990000000004</v>
      </c>
      <c r="H299" s="2">
        <f t="shared" si="141"/>
        <v>2.6443000000000012</v>
      </c>
      <c r="I299" s="2">
        <f t="shared" si="142"/>
        <v>4.8559899999999914</v>
      </c>
      <c r="J299" s="2">
        <f t="shared" si="143"/>
        <v>0.3525597010248942</v>
      </c>
      <c r="K299" s="2">
        <f t="shared" si="144"/>
        <v>0.6474402989751058</v>
      </c>
      <c r="L299" s="2">
        <f t="shared" si="145"/>
        <v>0.37817191695344687</v>
      </c>
      <c r="M299" s="2">
        <f t="shared" si="146"/>
        <v>0.13332817797711835</v>
      </c>
      <c r="N299" s="2">
        <f t="shared" si="147"/>
        <v>7.5002899999999926</v>
      </c>
      <c r="O299" s="2">
        <v>29</v>
      </c>
      <c r="P299">
        <f t="shared" si="148"/>
        <v>10.966985591649959</v>
      </c>
      <c r="S299" s="2"/>
    </row>
    <row r="300" spans="3:19" x14ac:dyDescent="0.35">
      <c r="D300" s="300">
        <v>7.5</v>
      </c>
      <c r="F300" s="13">
        <v>90.303979999999996</v>
      </c>
      <c r="G300" s="2">
        <v>93.112669999999994</v>
      </c>
      <c r="H300" s="2">
        <f t="shared" si="141"/>
        <v>2.8086899999999986</v>
      </c>
      <c r="I300" s="2">
        <f t="shared" si="142"/>
        <v>2.3901800000000009</v>
      </c>
      <c r="J300" s="2">
        <f t="shared" si="143"/>
        <v>0.54025009280862935</v>
      </c>
      <c r="K300" s="2">
        <f t="shared" si="144"/>
        <v>0.45974990719137065</v>
      </c>
      <c r="L300" s="2">
        <f t="shared" si="145"/>
        <v>0.35603786818766064</v>
      </c>
      <c r="M300" s="2">
        <f t="shared" si="146"/>
        <v>0.19234949133177021</v>
      </c>
      <c r="N300" s="2">
        <f t="shared" si="147"/>
        <v>5.1988699999999994</v>
      </c>
      <c r="O300" s="2">
        <v>26</v>
      </c>
      <c r="P300">
        <f t="shared" si="148"/>
        <v>9.2569845728791762</v>
      </c>
      <c r="S300" s="2"/>
    </row>
    <row r="301" spans="3:19" x14ac:dyDescent="0.35">
      <c r="D301" s="300">
        <v>7.5</v>
      </c>
      <c r="F301" s="13">
        <v>95.502849999999995</v>
      </c>
      <c r="G301" s="2">
        <v>98.303569999999993</v>
      </c>
      <c r="H301" s="2">
        <f t="shared" si="141"/>
        <v>2.8007199999999983</v>
      </c>
      <c r="I301" s="2">
        <f t="shared" si="142"/>
        <v>4.930800000000005</v>
      </c>
      <c r="J301" s="2">
        <f t="shared" si="143"/>
        <v>0.36224700964364021</v>
      </c>
      <c r="K301" s="2">
        <f t="shared" si="144"/>
        <v>0.63775299035635979</v>
      </c>
      <c r="L301" s="2">
        <f t="shared" si="145"/>
        <v>0.35705104401725291</v>
      </c>
      <c r="M301" s="2">
        <f t="shared" si="146"/>
        <v>0.12934067298538962</v>
      </c>
      <c r="N301" s="2">
        <f t="shared" si="147"/>
        <v>7.7315200000000033</v>
      </c>
      <c r="O301" s="2">
        <v>24</v>
      </c>
      <c r="P301">
        <f t="shared" si="148"/>
        <v>8.5692250564140693</v>
      </c>
      <c r="S301" s="2"/>
    </row>
    <row r="302" spans="3:19" x14ac:dyDescent="0.35">
      <c r="D302" s="300">
        <v>7.5</v>
      </c>
      <c r="F302" s="13">
        <v>103.23437</v>
      </c>
      <c r="G302" s="2">
        <v>106.32624</v>
      </c>
      <c r="H302" s="2">
        <f t="shared" si="141"/>
        <v>3.0918700000000001</v>
      </c>
      <c r="I302" s="2">
        <f t="shared" si="142"/>
        <v>2.2456399999999945</v>
      </c>
      <c r="J302" s="2">
        <f t="shared" si="143"/>
        <v>0.57927198262860458</v>
      </c>
      <c r="K302" s="2">
        <f t="shared" si="144"/>
        <v>0.42072801737139542</v>
      </c>
      <c r="L302" s="2">
        <f t="shared" si="145"/>
        <v>0.32342886343863098</v>
      </c>
      <c r="M302" s="2">
        <f t="shared" si="146"/>
        <v>0.18735327896341197</v>
      </c>
      <c r="N302" s="2">
        <f t="shared" si="147"/>
        <v>5.3375099999999946</v>
      </c>
      <c r="O302" s="2">
        <v>26</v>
      </c>
      <c r="P302">
        <f t="shared" si="148"/>
        <v>8.4091504494044056</v>
      </c>
      <c r="S302" s="2"/>
    </row>
    <row r="303" spans="3:19" x14ac:dyDescent="0.35">
      <c r="C303" s="2"/>
      <c r="D303" s="300">
        <v>7.5</v>
      </c>
      <c r="F303" s="13">
        <v>108.57187999999999</v>
      </c>
      <c r="G303" s="2">
        <v>111.15864999999999</v>
      </c>
      <c r="H303" s="2">
        <f t="shared" si="141"/>
        <v>2.5867700000000013</v>
      </c>
      <c r="I303" s="2">
        <f t="shared" si="142"/>
        <v>5.6161600000000078</v>
      </c>
      <c r="J303" s="2">
        <f t="shared" si="143"/>
        <v>0.31534707720290173</v>
      </c>
      <c r="K303" s="2">
        <f t="shared" si="144"/>
        <v>0.68465292279709833</v>
      </c>
      <c r="L303" s="2">
        <f t="shared" si="145"/>
        <v>0.38658249477147155</v>
      </c>
      <c r="M303" s="2">
        <f t="shared" si="146"/>
        <v>0.12190765982398959</v>
      </c>
      <c r="N303" s="2">
        <f t="shared" si="147"/>
        <v>8.2029300000000092</v>
      </c>
      <c r="O303" s="2">
        <v>25</v>
      </c>
      <c r="P303">
        <f t="shared" si="148"/>
        <v>9.6645623692867897</v>
      </c>
      <c r="S303" s="2"/>
    </row>
    <row r="304" spans="3:19" x14ac:dyDescent="0.35">
      <c r="C304" s="2"/>
      <c r="D304" s="300">
        <v>7.5</v>
      </c>
      <c r="F304" s="13">
        <v>116.77481</v>
      </c>
      <c r="G304">
        <v>119.88318</v>
      </c>
      <c r="H304" s="2">
        <f t="shared" si="141"/>
        <v>3.1083699999999936</v>
      </c>
      <c r="I304" s="2">
        <f t="shared" si="142"/>
        <v>1.3442200000000071</v>
      </c>
      <c r="J304" s="2">
        <f t="shared" si="143"/>
        <v>0.69810380026007179</v>
      </c>
      <c r="K304" s="2">
        <f t="shared" si="144"/>
        <v>0.30189619973992821</v>
      </c>
      <c r="L304" s="2">
        <f t="shared" si="145"/>
        <v>0.32171202270000099</v>
      </c>
      <c r="M304" s="2">
        <f t="shared" si="146"/>
        <v>0.22458838563622519</v>
      </c>
      <c r="N304" s="2">
        <f t="shared" si="147"/>
        <v>4.4525900000000007</v>
      </c>
      <c r="O304" s="13">
        <v>18</v>
      </c>
      <c r="P304">
        <f t="shared" si="148"/>
        <v>5.7908164086000173</v>
      </c>
    </row>
    <row r="305" spans="3:18" x14ac:dyDescent="0.35">
      <c r="C305" s="2"/>
      <c r="D305" s="299">
        <v>0</v>
      </c>
      <c r="F305" s="13">
        <v>121.2274</v>
      </c>
      <c r="G305">
        <v>123.44146000000001</v>
      </c>
      <c r="H305" s="2">
        <f t="shared" ref="H305:H321" si="149">G305-F305</f>
        <v>2.2140600000000035</v>
      </c>
      <c r="I305" s="2">
        <f t="shared" ref="I305:I320" si="150">F306-G305</f>
        <v>2.1792699999999883</v>
      </c>
      <c r="J305" s="2">
        <f t="shared" ref="J305:J320" si="151">H305/N305</f>
        <v>0.50395941119834109</v>
      </c>
      <c r="K305" s="2">
        <f t="shared" ref="K305:K320" si="152">I305/N305</f>
        <v>0.49604058880165897</v>
      </c>
      <c r="L305" s="2">
        <f t="shared" ref="L305:L320" si="153">1/H305</f>
        <v>0.45165894329873557</v>
      </c>
      <c r="M305" s="2">
        <f t="shared" ref="M305:M320" si="154">1/N305</f>
        <v>0.22761777512729567</v>
      </c>
      <c r="N305" s="2">
        <f t="shared" ref="N305:N320" si="155">H305+I305</f>
        <v>4.3933299999999917</v>
      </c>
      <c r="O305" s="2">
        <v>19</v>
      </c>
      <c r="P305">
        <f t="shared" si="148"/>
        <v>8.5815199226759749</v>
      </c>
      <c r="R305" t="s">
        <v>796</v>
      </c>
    </row>
    <row r="306" spans="3:18" x14ac:dyDescent="0.35">
      <c r="C306" s="2"/>
      <c r="D306" s="299">
        <v>0</v>
      </c>
      <c r="F306" s="13">
        <v>125.62072999999999</v>
      </c>
      <c r="G306">
        <v>128.10220000000001</v>
      </c>
      <c r="H306" s="2">
        <f t="shared" si="149"/>
        <v>2.4814700000000158</v>
      </c>
      <c r="I306" s="2">
        <f t="shared" si="150"/>
        <v>4.7850099999999998</v>
      </c>
      <c r="J306" s="2">
        <f t="shared" si="151"/>
        <v>0.34149546960839505</v>
      </c>
      <c r="K306" s="2">
        <f t="shared" si="152"/>
        <v>0.65850453039160495</v>
      </c>
      <c r="L306" s="2">
        <f t="shared" si="153"/>
        <v>0.4029869391932982</v>
      </c>
      <c r="M306" s="2">
        <f t="shared" si="154"/>
        <v>0.13761821404586511</v>
      </c>
      <c r="N306" s="2">
        <f t="shared" si="155"/>
        <v>7.2664800000000156</v>
      </c>
      <c r="O306" s="2">
        <v>22</v>
      </c>
      <c r="P306">
        <f t="shared" si="148"/>
        <v>8.8657126622525606</v>
      </c>
    </row>
    <row r="307" spans="3:18" x14ac:dyDescent="0.35">
      <c r="C307" s="2"/>
      <c r="D307" s="299">
        <v>0</v>
      </c>
      <c r="F307" s="13">
        <v>132.88721000000001</v>
      </c>
      <c r="G307">
        <v>135.80596</v>
      </c>
      <c r="H307" s="2">
        <f t="shared" si="149"/>
        <v>2.9187499999999886</v>
      </c>
      <c r="I307" s="2">
        <f t="shared" si="150"/>
        <v>5.4689099999999939</v>
      </c>
      <c r="J307" s="2">
        <f t="shared" si="151"/>
        <v>0.34798143940026116</v>
      </c>
      <c r="K307" s="2">
        <f t="shared" si="152"/>
        <v>0.65201856059973884</v>
      </c>
      <c r="L307" s="2">
        <f t="shared" si="153"/>
        <v>0.34261241970021544</v>
      </c>
      <c r="M307" s="2">
        <f t="shared" si="154"/>
        <v>0.11922276296368738</v>
      </c>
      <c r="N307" s="2">
        <f t="shared" si="155"/>
        <v>8.3876599999999826</v>
      </c>
      <c r="O307" s="2">
        <v>24</v>
      </c>
      <c r="P307">
        <f t="shared" si="148"/>
        <v>8.2226980728051711</v>
      </c>
    </row>
    <row r="308" spans="3:18" x14ac:dyDescent="0.35">
      <c r="C308" s="2"/>
      <c r="D308" s="299">
        <v>0</v>
      </c>
      <c r="F308" s="13">
        <v>141.27486999999999</v>
      </c>
      <c r="G308">
        <v>146.85173</v>
      </c>
      <c r="H308" s="2">
        <f t="shared" si="149"/>
        <v>5.5768600000000106</v>
      </c>
      <c r="I308" s="2">
        <f t="shared" si="150"/>
        <v>4.3508999999999958</v>
      </c>
      <c r="J308" s="2">
        <f t="shared" si="151"/>
        <v>0.56174403893728364</v>
      </c>
      <c r="K308" s="2">
        <f t="shared" si="152"/>
        <v>0.43825596106271636</v>
      </c>
      <c r="L308" s="2">
        <f t="shared" si="153"/>
        <v>0.17931237291235536</v>
      </c>
      <c r="M308" s="2">
        <f t="shared" si="154"/>
        <v>0.10072765659121487</v>
      </c>
      <c r="N308" s="2">
        <f t="shared" si="155"/>
        <v>9.9277600000000064</v>
      </c>
      <c r="O308" s="2">
        <v>54</v>
      </c>
      <c r="P308">
        <f t="shared" si="148"/>
        <v>9.6828681372671888</v>
      </c>
    </row>
    <row r="309" spans="3:18" x14ac:dyDescent="0.35">
      <c r="C309" s="2"/>
      <c r="D309" s="299">
        <v>0</v>
      </c>
      <c r="F309" s="13">
        <v>151.20263</v>
      </c>
      <c r="G309">
        <v>154.46666999999999</v>
      </c>
      <c r="H309" s="2">
        <f t="shared" si="149"/>
        <v>3.2640399999999943</v>
      </c>
      <c r="I309" s="2">
        <f t="shared" si="150"/>
        <v>6.9197900000000061</v>
      </c>
      <c r="J309" s="2">
        <f t="shared" si="151"/>
        <v>0.32051202740029971</v>
      </c>
      <c r="K309" s="2">
        <f t="shared" si="152"/>
        <v>0.67948797259970029</v>
      </c>
      <c r="L309" s="2">
        <f t="shared" si="153"/>
        <v>0.30636879450006793</v>
      </c>
      <c r="M309" s="2">
        <f t="shared" si="154"/>
        <v>9.8194883457402571E-2</v>
      </c>
      <c r="N309" s="2">
        <f t="shared" si="155"/>
        <v>10.18383</v>
      </c>
      <c r="O309" s="2">
        <v>34</v>
      </c>
      <c r="P309">
        <f t="shared" si="148"/>
        <v>10.416539013002311</v>
      </c>
    </row>
    <row r="310" spans="3:18" x14ac:dyDescent="0.35">
      <c r="D310" s="299">
        <v>0</v>
      </c>
      <c r="F310" s="13">
        <v>161.38646</v>
      </c>
      <c r="G310">
        <v>164.15253000000001</v>
      </c>
      <c r="H310" s="2">
        <f t="shared" si="149"/>
        <v>2.7660700000000134</v>
      </c>
      <c r="I310" s="2">
        <f t="shared" si="150"/>
        <v>2.557489999999973</v>
      </c>
      <c r="J310" s="2">
        <f t="shared" si="151"/>
        <v>0.51959027417743398</v>
      </c>
      <c r="K310" s="2">
        <f t="shared" si="152"/>
        <v>0.48040972582256602</v>
      </c>
      <c r="L310" s="2">
        <f t="shared" si="153"/>
        <v>0.36152375030277439</v>
      </c>
      <c r="M310" s="2">
        <f t="shared" si="154"/>
        <v>0.18784422454147273</v>
      </c>
      <c r="N310" s="2">
        <f t="shared" si="155"/>
        <v>5.3235599999999863</v>
      </c>
      <c r="O310" s="2">
        <v>19</v>
      </c>
      <c r="P310">
        <f t="shared" si="148"/>
        <v>6.8689512557527133</v>
      </c>
    </row>
    <row r="311" spans="3:18" x14ac:dyDescent="0.35">
      <c r="D311" s="299">
        <v>0</v>
      </c>
      <c r="F311" s="13">
        <v>166.71001999999999</v>
      </c>
      <c r="G311">
        <v>169.2998</v>
      </c>
      <c r="H311" s="2">
        <f t="shared" si="149"/>
        <v>2.5897800000000188</v>
      </c>
      <c r="I311" s="2">
        <f t="shared" si="150"/>
        <v>4.8803499999999929</v>
      </c>
      <c r="J311" s="2">
        <f t="shared" si="151"/>
        <v>0.34668472971688774</v>
      </c>
      <c r="K311" s="2">
        <f t="shared" si="152"/>
        <v>0.6533152702831122</v>
      </c>
      <c r="L311" s="2">
        <f t="shared" si="153"/>
        <v>0.38613318505818744</v>
      </c>
      <c r="M311" s="2">
        <f t="shared" si="154"/>
        <v>0.13386647889661873</v>
      </c>
      <c r="N311" s="2">
        <f t="shared" si="155"/>
        <v>7.4701300000000117</v>
      </c>
      <c r="O311" s="2">
        <v>18</v>
      </c>
      <c r="P311">
        <f t="shared" si="148"/>
        <v>6.9503973310473741</v>
      </c>
    </row>
    <row r="312" spans="3:18" x14ac:dyDescent="0.35">
      <c r="D312" s="299">
        <v>0</v>
      </c>
      <c r="F312" s="13">
        <v>174.18015</v>
      </c>
      <c r="G312">
        <v>177.18144999999998</v>
      </c>
      <c r="H312" s="2">
        <f t="shared" si="149"/>
        <v>3.0012999999999863</v>
      </c>
      <c r="I312" s="2">
        <f t="shared" si="150"/>
        <v>4.8665400000000147</v>
      </c>
      <c r="J312" s="2">
        <f t="shared" si="151"/>
        <v>0.38146429007198746</v>
      </c>
      <c r="K312" s="2">
        <f t="shared" si="152"/>
        <v>0.61853570992801254</v>
      </c>
      <c r="L312" s="2">
        <f t="shared" si="153"/>
        <v>0.33318895145437127</v>
      </c>
      <c r="M312" s="2">
        <f t="shared" si="154"/>
        <v>0.12709968682637166</v>
      </c>
      <c r="N312" s="2">
        <f t="shared" si="155"/>
        <v>7.8678400000000011</v>
      </c>
      <c r="O312" s="2">
        <v>26</v>
      </c>
      <c r="P312">
        <f t="shared" si="148"/>
        <v>8.6629127378136541</v>
      </c>
    </row>
    <row r="313" spans="3:18" x14ac:dyDescent="0.35">
      <c r="D313" s="299">
        <v>0</v>
      </c>
      <c r="F313" s="13">
        <v>182.04799</v>
      </c>
      <c r="G313">
        <v>182.85168999999999</v>
      </c>
      <c r="H313" s="2">
        <f t="shared" si="149"/>
        <v>0.80369999999999209</v>
      </c>
      <c r="I313" s="2">
        <f t="shared" si="150"/>
        <v>4.573190000000011</v>
      </c>
      <c r="J313" s="2">
        <f t="shared" si="151"/>
        <v>0.14947302250929284</v>
      </c>
      <c r="K313" s="2">
        <f t="shared" si="152"/>
        <v>0.85052697749070716</v>
      </c>
      <c r="L313" s="2">
        <f t="shared" si="153"/>
        <v>1.244245365186027</v>
      </c>
      <c r="M313" s="2">
        <f t="shared" si="154"/>
        <v>0.18598111547753429</v>
      </c>
      <c r="N313" s="2">
        <f t="shared" si="155"/>
        <v>5.3768900000000031</v>
      </c>
      <c r="O313" s="2">
        <v>11</v>
      </c>
      <c r="P313">
        <f t="shared" si="148"/>
        <v>13.686699017046296</v>
      </c>
    </row>
    <row r="314" spans="3:18" x14ac:dyDescent="0.35">
      <c r="D314" s="299">
        <v>0</v>
      </c>
      <c r="F314" s="13">
        <v>187.42488</v>
      </c>
      <c r="G314">
        <v>190.21186</v>
      </c>
      <c r="H314" s="2">
        <f t="shared" si="149"/>
        <v>2.7869799999999998</v>
      </c>
      <c r="I314" s="2">
        <f t="shared" si="150"/>
        <v>4.6640100000000189</v>
      </c>
      <c r="J314" s="2">
        <f t="shared" si="151"/>
        <v>0.37404157031481627</v>
      </c>
      <c r="K314" s="2">
        <f t="shared" si="152"/>
        <v>0.62595842968518378</v>
      </c>
      <c r="L314" s="2">
        <f t="shared" si="153"/>
        <v>0.35881132982655062</v>
      </c>
      <c r="M314" s="2">
        <f t="shared" si="154"/>
        <v>0.13421035325507047</v>
      </c>
      <c r="N314" s="2">
        <f t="shared" si="155"/>
        <v>7.4509900000000187</v>
      </c>
      <c r="O314" s="2">
        <v>22</v>
      </c>
      <c r="P314">
        <f t="shared" si="148"/>
        <v>7.8938492561841143</v>
      </c>
    </row>
    <row r="315" spans="3:18" x14ac:dyDescent="0.35">
      <c r="D315" s="299">
        <v>0</v>
      </c>
      <c r="F315" s="13">
        <v>194.87587000000002</v>
      </c>
      <c r="G315">
        <v>197.58784</v>
      </c>
      <c r="H315" s="2">
        <f t="shared" si="149"/>
        <v>2.7119699999999796</v>
      </c>
      <c r="I315" s="2">
        <f t="shared" si="150"/>
        <v>4.6962299999999857</v>
      </c>
      <c r="J315" s="2">
        <f t="shared" si="151"/>
        <v>0.36607677978456199</v>
      </c>
      <c r="K315" s="2">
        <f t="shared" si="152"/>
        <v>0.63392322021543801</v>
      </c>
      <c r="L315" s="2">
        <f t="shared" si="153"/>
        <v>0.36873564235592854</v>
      </c>
      <c r="M315" s="2">
        <f t="shared" si="154"/>
        <v>0.13498555654545027</v>
      </c>
      <c r="N315" s="2">
        <f t="shared" si="155"/>
        <v>7.4081999999999653</v>
      </c>
      <c r="O315" s="2">
        <v>20</v>
      </c>
      <c r="P315">
        <f t="shared" si="148"/>
        <v>7.3747128471185706</v>
      </c>
    </row>
    <row r="316" spans="3:18" x14ac:dyDescent="0.35">
      <c r="D316" s="299">
        <v>0</v>
      </c>
      <c r="F316" s="13">
        <v>202.28406999999999</v>
      </c>
      <c r="G316">
        <v>205.04320999999999</v>
      </c>
      <c r="H316" s="2">
        <f t="shared" si="149"/>
        <v>2.7591400000000021</v>
      </c>
      <c r="I316" s="2">
        <f t="shared" si="150"/>
        <v>4.6717500000000314</v>
      </c>
      <c r="J316" s="2">
        <f t="shared" si="151"/>
        <v>0.37130680174245478</v>
      </c>
      <c r="K316" s="2">
        <f t="shared" si="152"/>
        <v>0.62869319825754522</v>
      </c>
      <c r="L316" s="2">
        <f t="shared" si="153"/>
        <v>0.36243177221887951</v>
      </c>
      <c r="M316" s="2">
        <f t="shared" si="154"/>
        <v>0.13457338219244203</v>
      </c>
      <c r="N316" s="2">
        <f t="shared" si="155"/>
        <v>7.4308900000000335</v>
      </c>
      <c r="O316" s="2">
        <v>22</v>
      </c>
      <c r="P316">
        <f t="shared" si="148"/>
        <v>7.9734989888153489</v>
      </c>
    </row>
    <row r="317" spans="3:18" x14ac:dyDescent="0.35">
      <c r="D317" s="299">
        <v>0</v>
      </c>
      <c r="F317" s="13">
        <v>209.71496000000002</v>
      </c>
      <c r="G317">
        <v>210.37366</v>
      </c>
      <c r="H317" s="2">
        <f t="shared" si="149"/>
        <v>0.65869999999998186</v>
      </c>
      <c r="I317" s="2">
        <f t="shared" si="150"/>
        <v>4.5676299999999799</v>
      </c>
      <c r="J317" s="2">
        <f t="shared" si="151"/>
        <v>0.12603490403399453</v>
      </c>
      <c r="K317" s="2">
        <f t="shared" si="152"/>
        <v>0.87396509596600547</v>
      </c>
      <c r="L317" s="2">
        <f t="shared" si="153"/>
        <v>1.5181417944436428</v>
      </c>
      <c r="M317" s="2">
        <f t="shared" si="154"/>
        <v>0.19133885537270079</v>
      </c>
      <c r="N317" s="2">
        <f t="shared" si="155"/>
        <v>5.2263299999999617</v>
      </c>
      <c r="O317" s="2">
        <v>10</v>
      </c>
      <c r="P317">
        <f t="shared" si="148"/>
        <v>15.181417944436429</v>
      </c>
    </row>
    <row r="318" spans="3:18" x14ac:dyDescent="0.35">
      <c r="D318" s="299">
        <v>0</v>
      </c>
      <c r="F318" s="13">
        <v>214.94128999999998</v>
      </c>
      <c r="G318">
        <v>217.49198999999999</v>
      </c>
      <c r="H318" s="2">
        <f t="shared" si="149"/>
        <v>2.5507000000000062</v>
      </c>
      <c r="I318" s="2">
        <f t="shared" si="150"/>
        <v>2.4948899999999981</v>
      </c>
      <c r="J318" s="2">
        <f t="shared" si="151"/>
        <v>0.50553057224229558</v>
      </c>
      <c r="K318" s="2">
        <f t="shared" si="152"/>
        <v>0.49446942775770442</v>
      </c>
      <c r="L318" s="2">
        <f t="shared" si="153"/>
        <v>0.39204924138471697</v>
      </c>
      <c r="M318" s="2">
        <f t="shared" si="154"/>
        <v>0.19819287734437382</v>
      </c>
      <c r="N318" s="2">
        <f t="shared" si="155"/>
        <v>5.0455900000000042</v>
      </c>
      <c r="O318" s="2">
        <v>18</v>
      </c>
      <c r="P318">
        <f t="shared" si="148"/>
        <v>7.0568863449249051</v>
      </c>
    </row>
    <row r="319" spans="3:18" x14ac:dyDescent="0.35">
      <c r="D319" s="299">
        <v>0</v>
      </c>
      <c r="F319" s="13">
        <v>219.98687999999999</v>
      </c>
      <c r="G319">
        <v>222.66651000000002</v>
      </c>
      <c r="H319" s="2">
        <f t="shared" si="149"/>
        <v>2.6796300000000315</v>
      </c>
      <c r="I319" s="2">
        <f t="shared" si="150"/>
        <v>5.2506999999999948</v>
      </c>
      <c r="J319" s="2">
        <f t="shared" si="151"/>
        <v>0.33789640531983189</v>
      </c>
      <c r="K319" s="2">
        <f t="shared" si="152"/>
        <v>0.66210359468016811</v>
      </c>
      <c r="L319" s="2">
        <f t="shared" si="153"/>
        <v>0.37318585028529622</v>
      </c>
      <c r="M319" s="2">
        <f t="shared" si="154"/>
        <v>0.12609815732762655</v>
      </c>
      <c r="N319" s="2">
        <f t="shared" si="155"/>
        <v>7.9303300000000263</v>
      </c>
      <c r="O319" s="2">
        <v>20</v>
      </c>
      <c r="P319">
        <f t="shared" si="148"/>
        <v>7.4637170057059237</v>
      </c>
    </row>
    <row r="320" spans="3:18" x14ac:dyDescent="0.35">
      <c r="D320" s="299">
        <v>0</v>
      </c>
      <c r="F320" s="13">
        <v>227.91721000000001</v>
      </c>
      <c r="G320">
        <v>230.53431</v>
      </c>
      <c r="H320" s="2">
        <f t="shared" si="149"/>
        <v>2.6170999999999935</v>
      </c>
      <c r="I320" s="2">
        <f t="shared" si="150"/>
        <v>6.2404999999999973</v>
      </c>
      <c r="J320" s="2">
        <f t="shared" si="151"/>
        <v>0.29546378251445043</v>
      </c>
      <c r="K320" s="2">
        <f t="shared" si="152"/>
        <v>0.70453621748554951</v>
      </c>
      <c r="L320" s="2">
        <f t="shared" si="153"/>
        <v>0.38210232700317237</v>
      </c>
      <c r="M320" s="2">
        <f t="shared" si="154"/>
        <v>0.11289739884393075</v>
      </c>
      <c r="N320" s="2">
        <f t="shared" si="155"/>
        <v>8.8575999999999908</v>
      </c>
      <c r="O320" s="2">
        <v>18</v>
      </c>
      <c r="P320">
        <f t="shared" si="148"/>
        <v>6.8778418860571033</v>
      </c>
    </row>
    <row r="321" spans="4:19" x14ac:dyDescent="0.35">
      <c r="D321" s="299"/>
      <c r="F321" s="13">
        <v>236.77481</v>
      </c>
      <c r="G321">
        <v>239.88317999999998</v>
      </c>
      <c r="H321" s="2">
        <f t="shared" si="149"/>
        <v>3.1083699999999794</v>
      </c>
      <c r="I321" s="2"/>
      <c r="J321" s="2"/>
      <c r="K321" s="2"/>
      <c r="L321" s="2"/>
      <c r="M321" s="2"/>
      <c r="N321" s="2"/>
      <c r="O321" s="2"/>
    </row>
    <row r="322" spans="4:19" x14ac:dyDescent="0.35">
      <c r="D322" s="299"/>
      <c r="F322" s="13"/>
      <c r="G322" s="2"/>
      <c r="H322" s="2"/>
      <c r="I322" s="2"/>
      <c r="J322" s="2"/>
      <c r="K322" s="2"/>
      <c r="L322" s="2"/>
      <c r="M322" s="2"/>
      <c r="N322" s="2"/>
      <c r="O322" s="2"/>
    </row>
    <row r="323" spans="4:19" x14ac:dyDescent="0.35">
      <c r="D323" s="299"/>
      <c r="F323" s="13"/>
      <c r="G323" s="2"/>
      <c r="H323" s="2"/>
      <c r="I323" s="2"/>
      <c r="J323" s="2"/>
      <c r="K323" s="2"/>
      <c r="L323" s="2"/>
      <c r="M323" s="2"/>
      <c r="N323" s="2"/>
      <c r="O323" s="2"/>
    </row>
    <row r="324" spans="4:19" x14ac:dyDescent="0.35">
      <c r="F324" s="13"/>
    </row>
    <row r="325" spans="4:19" ht="16" thickBot="1" x14ac:dyDescent="0.4">
      <c r="F325" s="13"/>
      <c r="G325" s="13"/>
      <c r="H325" s="9" t="s">
        <v>3</v>
      </c>
      <c r="I325" s="9" t="s">
        <v>4</v>
      </c>
      <c r="J325" s="9" t="s">
        <v>5</v>
      </c>
      <c r="K325" s="9" t="s">
        <v>6</v>
      </c>
      <c r="L325" s="9" t="s">
        <v>7</v>
      </c>
      <c r="M325" s="9" t="s">
        <v>8</v>
      </c>
      <c r="N325" s="9" t="s">
        <v>9</v>
      </c>
      <c r="O325" s="9" t="s">
        <v>10</v>
      </c>
      <c r="P325" s="44" t="s">
        <v>139</v>
      </c>
    </row>
    <row r="326" spans="4:19" x14ac:dyDescent="0.35">
      <c r="E326" s="104" t="s">
        <v>794</v>
      </c>
      <c r="F326" s="13"/>
      <c r="G326" s="49" t="s">
        <v>77</v>
      </c>
      <c r="H326" s="13">
        <f>AVERAGE(H286:H304)</f>
        <v>2.5199384210526312</v>
      </c>
      <c r="I326" s="13">
        <f t="shared" ref="I326:P326" si="156">AVERAGE(I286:I304)</f>
        <v>3.795851578947369</v>
      </c>
      <c r="J326" s="13">
        <f t="shared" si="156"/>
        <v>0.41756967273413131</v>
      </c>
      <c r="K326" s="13">
        <f t="shared" si="156"/>
        <v>0.58243032726586885</v>
      </c>
      <c r="L326" s="13">
        <f t="shared" si="156"/>
        <v>0.43223978084912834</v>
      </c>
      <c r="M326" s="13">
        <f t="shared" si="156"/>
        <v>0.16678936983604872</v>
      </c>
      <c r="N326" s="13">
        <f t="shared" si="156"/>
        <v>6.3157899999999998</v>
      </c>
      <c r="O326" s="13">
        <f t="shared" si="156"/>
        <v>20.842105263157894</v>
      </c>
      <c r="P326" s="13">
        <f t="shared" si="156"/>
        <v>8.5127041407608921</v>
      </c>
    </row>
    <row r="327" spans="4:19" x14ac:dyDescent="0.35">
      <c r="E327" s="104"/>
      <c r="F327" s="13"/>
      <c r="G327" s="49" t="s">
        <v>94</v>
      </c>
      <c r="H327" s="2">
        <f>_xlfn.STDEV.S(H286:H304)</f>
        <v>0.48047093859697282</v>
      </c>
      <c r="I327" s="2">
        <f t="shared" ref="I327:P327" si="157">_xlfn.STDEV.S(I286:I304)</f>
        <v>1.4974029611974609</v>
      </c>
      <c r="J327" s="2">
        <f t="shared" si="157"/>
        <v>0.12551760693316369</v>
      </c>
      <c r="K327" s="2">
        <f t="shared" si="157"/>
        <v>0.12551760693316369</v>
      </c>
      <c r="L327" s="2">
        <f t="shared" si="157"/>
        <v>0.2083988865616056</v>
      </c>
      <c r="M327" s="2">
        <f t="shared" si="157"/>
        <v>3.8285325907054135E-2</v>
      </c>
      <c r="N327" s="2">
        <f t="shared" si="157"/>
        <v>1.4984682094577606</v>
      </c>
      <c r="O327" s="2">
        <f t="shared" si="157"/>
        <v>4.7171455339330022</v>
      </c>
      <c r="P327" s="2">
        <f t="shared" si="157"/>
        <v>2.122697264769807</v>
      </c>
    </row>
    <row r="328" spans="4:19" x14ac:dyDescent="0.35">
      <c r="E328" s="104"/>
      <c r="F328" s="13"/>
      <c r="G328" s="49" t="s">
        <v>95</v>
      </c>
      <c r="H328" s="2">
        <f>H327/(SQRT(COUNT(H286:H304)))</f>
        <v>0.11022759298170214</v>
      </c>
      <c r="I328" s="2">
        <f t="shared" ref="I328:P328" si="158">I327/(SQRT(COUNT(I286:I304)))</f>
        <v>0.34352779924306776</v>
      </c>
      <c r="J328" s="2">
        <f t="shared" si="158"/>
        <v>2.8795713908248456E-2</v>
      </c>
      <c r="K328" s="2">
        <f t="shared" si="158"/>
        <v>2.8795713908248456E-2</v>
      </c>
      <c r="L328" s="2">
        <f t="shared" si="158"/>
        <v>4.7809983498338697E-2</v>
      </c>
      <c r="M328" s="2">
        <f t="shared" si="158"/>
        <v>8.7832561394404537E-3</v>
      </c>
      <c r="N328" s="2">
        <f t="shared" si="158"/>
        <v>0.3437721839544588</v>
      </c>
      <c r="O328" s="2">
        <f t="shared" si="158"/>
        <v>1.0821874044414825</v>
      </c>
      <c r="P328" s="2">
        <f t="shared" si="158"/>
        <v>0.48698015078219936</v>
      </c>
    </row>
    <row r="329" spans="4:19" x14ac:dyDescent="0.35">
      <c r="E329" s="104"/>
    </row>
    <row r="330" spans="4:19" x14ac:dyDescent="0.35">
      <c r="E330" s="104"/>
    </row>
    <row r="331" spans="4:19" ht="16" thickBot="1" x14ac:dyDescent="0.4">
      <c r="E331" s="104"/>
      <c r="G331" s="13"/>
      <c r="H331" s="9" t="s">
        <v>3</v>
      </c>
      <c r="I331" s="9" t="s">
        <v>4</v>
      </c>
      <c r="J331" s="9" t="s">
        <v>5</v>
      </c>
      <c r="K331" s="9" t="s">
        <v>6</v>
      </c>
      <c r="L331" s="9" t="s">
        <v>7</v>
      </c>
      <c r="M331" s="9" t="s">
        <v>8</v>
      </c>
      <c r="N331" s="9" t="s">
        <v>9</v>
      </c>
      <c r="O331" s="9" t="s">
        <v>10</v>
      </c>
      <c r="P331" s="44" t="s">
        <v>139</v>
      </c>
    </row>
    <row r="332" spans="4:19" x14ac:dyDescent="0.35">
      <c r="E332" s="104" t="s">
        <v>410</v>
      </c>
      <c r="G332" s="49" t="s">
        <v>77</v>
      </c>
      <c r="H332" s="13">
        <f>AVERAGE(H305:H320)</f>
        <v>2.6487656250000011</v>
      </c>
      <c r="I332" s="13">
        <f t="shared" ref="I332:P332" si="159">AVERAGE(I305:I320)</f>
        <v>4.5729474999999988</v>
      </c>
      <c r="J332" s="13">
        <f t="shared" si="159"/>
        <v>0.3655784699357868</v>
      </c>
      <c r="K332" s="13">
        <f t="shared" si="159"/>
        <v>0.6344215300642132</v>
      </c>
      <c r="L332" s="13">
        <f t="shared" si="159"/>
        <v>0.48521804244526368</v>
      </c>
      <c r="M332" s="13">
        <f t="shared" si="159"/>
        <v>0.14690433617556611</v>
      </c>
      <c r="N332" s="13">
        <f t="shared" si="159"/>
        <v>7.221713125</v>
      </c>
      <c r="O332" s="13">
        <f t="shared" si="159"/>
        <v>22.3125</v>
      </c>
      <c r="P332" s="13">
        <f t="shared" si="159"/>
        <v>8.8600139014316017</v>
      </c>
    </row>
    <row r="333" spans="4:19" x14ac:dyDescent="0.35">
      <c r="G333" s="49" t="s">
        <v>94</v>
      </c>
      <c r="H333" s="2">
        <f>_xlfn.STDEV.S(H305:H320)</f>
        <v>1.0581477133933579</v>
      </c>
      <c r="I333" s="2">
        <f t="shared" ref="I333:P333" si="160">_xlfn.STDEV.S(I305:I320)</f>
        <v>1.2640894447757021</v>
      </c>
      <c r="J333" s="2">
        <f t="shared" si="160"/>
        <v>0.11953692375614428</v>
      </c>
      <c r="K333" s="2">
        <f t="shared" si="160"/>
        <v>0.11953692375614453</v>
      </c>
      <c r="L333" s="2">
        <f t="shared" si="160"/>
        <v>0.35791642523286554</v>
      </c>
      <c r="M333" s="2">
        <f t="shared" si="160"/>
        <v>3.8545983845938596E-2</v>
      </c>
      <c r="N333" s="2">
        <f t="shared" si="160"/>
        <v>1.7314731976161</v>
      </c>
      <c r="O333" s="2">
        <f t="shared" si="160"/>
        <v>10.084435201504016</v>
      </c>
      <c r="P333" s="2">
        <f t="shared" si="160"/>
        <v>2.4158628182112984</v>
      </c>
      <c r="S333" s="2"/>
    </row>
    <row r="334" spans="4:19" x14ac:dyDescent="0.35">
      <c r="G334" s="49" t="s">
        <v>95</v>
      </c>
      <c r="H334" s="2">
        <f>H333/(SQRT(COUNT(H305:H320)))</f>
        <v>0.26453692834833947</v>
      </c>
      <c r="I334" s="2">
        <f t="shared" ref="I334:P334" si="161">I333/(SQRT(COUNT(I305:I320)))</f>
        <v>0.31602236119392552</v>
      </c>
      <c r="J334" s="2">
        <f t="shared" si="161"/>
        <v>2.9884230939036069E-2</v>
      </c>
      <c r="K334" s="2">
        <f t="shared" si="161"/>
        <v>2.9884230939036131E-2</v>
      </c>
      <c r="L334" s="2">
        <f t="shared" si="161"/>
        <v>8.9479106308216386E-2</v>
      </c>
      <c r="M334" s="2">
        <f t="shared" si="161"/>
        <v>9.636495961484649E-3</v>
      </c>
      <c r="N334" s="2">
        <f t="shared" si="161"/>
        <v>0.43286829940402499</v>
      </c>
      <c r="O334" s="2">
        <f t="shared" si="161"/>
        <v>2.521108800376004</v>
      </c>
      <c r="P334" s="2">
        <f t="shared" si="161"/>
        <v>0.60396570455282461</v>
      </c>
      <c r="S334" s="2"/>
    </row>
    <row r="335" spans="4:19" x14ac:dyDescent="0.35">
      <c r="S335" s="2"/>
    </row>
    <row r="336" spans="4:19" x14ac:dyDescent="0.35">
      <c r="S336" s="2"/>
    </row>
    <row r="337" spans="19:19" x14ac:dyDescent="0.35">
      <c r="S337" s="2"/>
    </row>
    <row r="338" spans="19:19" x14ac:dyDescent="0.35">
      <c r="S338" s="2"/>
    </row>
    <row r="339" spans="19:19" x14ac:dyDescent="0.35">
      <c r="S339" s="2"/>
    </row>
    <row r="340" spans="19:19" x14ac:dyDescent="0.35">
      <c r="S340" s="2"/>
    </row>
    <row r="341" spans="19:19" x14ac:dyDescent="0.35">
      <c r="S341" s="2"/>
    </row>
    <row r="342" spans="19:19" x14ac:dyDescent="0.35">
      <c r="S342" s="2"/>
    </row>
    <row r="343" spans="19:19" x14ac:dyDescent="0.35">
      <c r="S343" s="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60"/>
  <sheetViews>
    <sheetView workbookViewId="0">
      <selection activeCell="AE45" sqref="AE45"/>
    </sheetView>
  </sheetViews>
  <sheetFormatPr defaultRowHeight="14.5" x14ac:dyDescent="0.35"/>
  <sheetData>
    <row r="4" spans="2:40" ht="18.5" x14ac:dyDescent="0.45">
      <c r="B4" s="2"/>
      <c r="C4" s="1" t="s">
        <v>732</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3.6560700000000002</v>
      </c>
      <c r="G7" s="2">
        <v>6.4544899999999998</v>
      </c>
      <c r="H7" s="2">
        <f t="shared" ref="H7:H13" si="0">G7-F7</f>
        <v>2.7984199999999997</v>
      </c>
      <c r="I7" s="2">
        <f t="shared" ref="I7:I13" si="1">F8-G7</f>
        <v>4.9550599999999996</v>
      </c>
      <c r="J7" s="2">
        <f>H7/N7</f>
        <v>0.36092438492135143</v>
      </c>
      <c r="K7" s="2">
        <f>I7/N7</f>
        <v>0.63907561507864852</v>
      </c>
      <c r="L7" s="2">
        <f>1/H7</f>
        <v>0.35734450154015485</v>
      </c>
      <c r="M7" s="2">
        <f>1/N7</f>
        <v>0.1289743444234073</v>
      </c>
      <c r="N7" s="2">
        <f>H7+I7</f>
        <v>7.7534799999999997</v>
      </c>
      <c r="O7" s="2">
        <v>41</v>
      </c>
      <c r="P7">
        <f>O7/H7</f>
        <v>14.651124563146348</v>
      </c>
      <c r="R7" t="s">
        <v>736</v>
      </c>
      <c r="AA7" s="2"/>
      <c r="AB7" s="2">
        <v>1.70844</v>
      </c>
      <c r="AC7" s="2">
        <v>3.8588200000000001</v>
      </c>
      <c r="AD7" s="2">
        <f>AC7-AB7</f>
        <v>2.1503800000000002</v>
      </c>
      <c r="AE7" s="2">
        <f>AB8-AC7</f>
        <v>4.9421900000000001</v>
      </c>
      <c r="AF7" s="2">
        <f>AD7/AJ7</f>
        <v>0.30318770206004314</v>
      </c>
      <c r="AG7" s="2">
        <f>AE7/AJ7</f>
        <v>0.69681229793995692</v>
      </c>
      <c r="AH7" s="2">
        <f>1/AD7</f>
        <v>0.46503408699857696</v>
      </c>
      <c r="AI7" s="2">
        <f>1/AJ7</f>
        <v>0.14099261621668874</v>
      </c>
      <c r="AJ7" s="2">
        <f>AD7+AE7</f>
        <v>7.0925700000000003</v>
      </c>
      <c r="AK7" s="2">
        <v>16</v>
      </c>
      <c r="AL7">
        <f>AK7/AD7</f>
        <v>7.4405453919772313</v>
      </c>
      <c r="AN7" t="s">
        <v>734</v>
      </c>
    </row>
    <row r="8" spans="2:40" x14ac:dyDescent="0.35">
      <c r="B8" s="2"/>
      <c r="C8" s="2"/>
      <c r="D8" s="2"/>
      <c r="E8" s="2"/>
      <c r="F8" s="13">
        <v>11.409549999999999</v>
      </c>
      <c r="G8" s="2">
        <v>15.060510000000001</v>
      </c>
      <c r="H8" s="2">
        <f t="shared" si="0"/>
        <v>3.6509600000000013</v>
      </c>
      <c r="I8" s="2">
        <f t="shared" si="1"/>
        <v>2.869609999999998</v>
      </c>
      <c r="J8" s="2">
        <f t="shared" ref="J8:J13" si="2">H8/N8</f>
        <v>0.55991424062620321</v>
      </c>
      <c r="K8" s="2">
        <f t="shared" ref="K8:K13" si="3">I8/N8</f>
        <v>0.44008575937379679</v>
      </c>
      <c r="L8" s="2">
        <f t="shared" ref="L8:L13" si="4">1/H8</f>
        <v>0.27390056313955774</v>
      </c>
      <c r="M8" s="2">
        <f t="shared" ref="M8:M13" si="5">1/N8</f>
        <v>0.15336082581737487</v>
      </c>
      <c r="N8" s="2">
        <f t="shared" ref="N8:N13" si="6">H8+I8</f>
        <v>6.5205699999999993</v>
      </c>
      <c r="O8" s="2">
        <v>45</v>
      </c>
      <c r="P8">
        <f t="shared" ref="P8:P13" si="7">O8/H8</f>
        <v>12.325525341280096</v>
      </c>
      <c r="AA8" s="2"/>
      <c r="AB8" s="13">
        <v>8.8010099999999998</v>
      </c>
      <c r="AC8" s="2">
        <v>10.925459999999999</v>
      </c>
      <c r="AD8" s="2">
        <f t="shared" ref="AD8:AD39" si="8">AC8-AB8</f>
        <v>2.1244499999999995</v>
      </c>
      <c r="AE8" s="2">
        <f t="shared" ref="AE8:AE38" si="9">AB9-AC8</f>
        <v>3.9091500000000003</v>
      </c>
      <c r="AF8" s="2">
        <f t="shared" ref="AF8:AF38" si="10">AD8/AJ8</f>
        <v>0.35210322195704052</v>
      </c>
      <c r="AG8" s="2">
        <f t="shared" ref="AG8:AG38" si="11">AE8/AJ8</f>
        <v>0.64789677804295953</v>
      </c>
      <c r="AH8" s="2">
        <f t="shared" ref="AH8:AH38" si="12">1/AD8</f>
        <v>0.4707100661347644</v>
      </c>
      <c r="AI8" s="2">
        <f t="shared" ref="AI8:AI38" si="13">1/AJ8</f>
        <v>0.16573853089366217</v>
      </c>
      <c r="AJ8" s="2">
        <f t="shared" ref="AJ8:AJ38" si="14">AD8+AE8</f>
        <v>6.0335999999999999</v>
      </c>
      <c r="AK8" s="2">
        <v>13</v>
      </c>
      <c r="AL8">
        <f t="shared" ref="AL8:AL38" si="15">AK8/AD8</f>
        <v>6.1192308597519371</v>
      </c>
    </row>
    <row r="9" spans="2:40" x14ac:dyDescent="0.35">
      <c r="B9" s="2"/>
      <c r="C9" s="2"/>
      <c r="D9" s="2"/>
      <c r="E9" s="2"/>
      <c r="F9" s="13">
        <v>17.930119999999999</v>
      </c>
      <c r="G9" s="2">
        <v>20.354330000000001</v>
      </c>
      <c r="H9" s="2">
        <f t="shared" si="0"/>
        <v>2.4242100000000022</v>
      </c>
      <c r="I9" s="2">
        <f t="shared" si="1"/>
        <v>3.9153099999999981</v>
      </c>
      <c r="J9" s="2">
        <f t="shared" si="2"/>
        <v>0.38239645903790859</v>
      </c>
      <c r="K9" s="2">
        <f t="shared" si="3"/>
        <v>0.61760354096209147</v>
      </c>
      <c r="L9" s="2">
        <f t="shared" si="4"/>
        <v>0.41250551726129298</v>
      </c>
      <c r="M9" s="2">
        <f t="shared" si="5"/>
        <v>0.15774064913431932</v>
      </c>
      <c r="N9" s="2">
        <f t="shared" si="6"/>
        <v>6.3395200000000003</v>
      </c>
      <c r="O9" s="2">
        <v>33</v>
      </c>
      <c r="P9">
        <f t="shared" si="7"/>
        <v>13.612682069622668</v>
      </c>
      <c r="AA9" s="2"/>
      <c r="AB9" s="13">
        <v>14.83461</v>
      </c>
      <c r="AC9" s="2">
        <v>17.954180000000001</v>
      </c>
      <c r="AD9" s="2">
        <f t="shared" si="8"/>
        <v>3.1195700000000013</v>
      </c>
      <c r="AE9" s="2">
        <f t="shared" si="9"/>
        <v>2.8868899999999975</v>
      </c>
      <c r="AF9" s="2">
        <f t="shared" si="10"/>
        <v>0.51936914588626282</v>
      </c>
      <c r="AG9" s="2">
        <f t="shared" si="11"/>
        <v>0.48063085411373724</v>
      </c>
      <c r="AH9" s="2">
        <f t="shared" si="12"/>
        <v>0.32055699984292696</v>
      </c>
      <c r="AI9" s="2">
        <f t="shared" si="13"/>
        <v>0.16648741521628382</v>
      </c>
      <c r="AJ9" s="2">
        <f t="shared" si="14"/>
        <v>6.0064599999999988</v>
      </c>
      <c r="AK9" s="2">
        <v>18</v>
      </c>
      <c r="AL9">
        <f t="shared" si="15"/>
        <v>5.7700259971726853</v>
      </c>
    </row>
    <row r="10" spans="2:40" x14ac:dyDescent="0.35">
      <c r="B10" s="2"/>
      <c r="C10" s="2"/>
      <c r="D10" s="2"/>
      <c r="E10" s="2"/>
      <c r="F10" s="13">
        <v>24.269639999999999</v>
      </c>
      <c r="G10" s="13">
        <v>27.672499999999999</v>
      </c>
      <c r="H10" s="2">
        <f t="shared" si="0"/>
        <v>3.4028600000000004</v>
      </c>
      <c r="I10" s="2">
        <f t="shared" si="1"/>
        <v>3.0862800000000021</v>
      </c>
      <c r="J10" s="2">
        <f t="shared" si="2"/>
        <v>0.52439306287119691</v>
      </c>
      <c r="K10" s="2">
        <f t="shared" si="3"/>
        <v>0.47560693712880303</v>
      </c>
      <c r="L10" s="2">
        <f t="shared" si="4"/>
        <v>0.29387045015075552</v>
      </c>
      <c r="M10" s="2">
        <f t="shared" si="5"/>
        <v>0.15410362544189207</v>
      </c>
      <c r="N10" s="2">
        <f t="shared" si="6"/>
        <v>6.4891400000000026</v>
      </c>
      <c r="O10" s="2">
        <v>38</v>
      </c>
      <c r="P10">
        <f t="shared" si="7"/>
        <v>11.167077105728708</v>
      </c>
      <c r="AA10" s="2"/>
      <c r="AB10" s="13">
        <v>20.841069999999998</v>
      </c>
      <c r="AC10" s="13">
        <v>23.983910000000002</v>
      </c>
      <c r="AD10" s="2">
        <f t="shared" si="8"/>
        <v>3.1428400000000032</v>
      </c>
      <c r="AE10" s="2">
        <f t="shared" si="9"/>
        <v>3.8747899999999973</v>
      </c>
      <c r="AF10" s="2">
        <f t="shared" si="10"/>
        <v>0.44784920265103789</v>
      </c>
      <c r="AG10" s="2">
        <f t="shared" si="11"/>
        <v>0.55215079734896211</v>
      </c>
      <c r="AH10" s="2">
        <f t="shared" si="12"/>
        <v>0.31818355372847457</v>
      </c>
      <c r="AI10" s="2">
        <f t="shared" si="13"/>
        <v>0.142498250833971</v>
      </c>
      <c r="AJ10" s="2">
        <f t="shared" si="14"/>
        <v>7.0176300000000005</v>
      </c>
      <c r="AK10" s="2">
        <v>19</v>
      </c>
      <c r="AL10">
        <f t="shared" si="15"/>
        <v>6.045487520841017</v>
      </c>
    </row>
    <row r="11" spans="2:40" x14ac:dyDescent="0.35">
      <c r="B11" s="2"/>
      <c r="C11" s="2"/>
      <c r="D11" s="2"/>
      <c r="E11" s="2"/>
      <c r="F11" s="13">
        <v>30.758780000000002</v>
      </c>
      <c r="G11" s="13">
        <v>34.155419999999999</v>
      </c>
      <c r="H11" s="2">
        <f t="shared" si="0"/>
        <v>3.3966399999999979</v>
      </c>
      <c r="I11" s="2">
        <f t="shared" si="1"/>
        <v>4.1463999999999999</v>
      </c>
      <c r="J11" s="2">
        <f t="shared" si="2"/>
        <v>0.45030120481927699</v>
      </c>
      <c r="K11" s="2">
        <f t="shared" si="3"/>
        <v>0.54969879518072307</v>
      </c>
      <c r="L11" s="2">
        <f t="shared" si="4"/>
        <v>0.29440859202034969</v>
      </c>
      <c r="M11" s="2">
        <f t="shared" si="5"/>
        <v>0.13257254369591046</v>
      </c>
      <c r="N11" s="2">
        <f t="shared" si="6"/>
        <v>7.5430399999999977</v>
      </c>
      <c r="O11" s="2">
        <v>41</v>
      </c>
      <c r="P11">
        <f t="shared" si="7"/>
        <v>12.070752272834337</v>
      </c>
      <c r="AA11" s="2"/>
      <c r="AB11" s="13">
        <v>27.858699999999999</v>
      </c>
      <c r="AC11" s="13">
        <v>30.873729999999998</v>
      </c>
      <c r="AD11" s="2">
        <f t="shared" si="8"/>
        <v>3.0150299999999994</v>
      </c>
      <c r="AE11" s="2">
        <f t="shared" si="9"/>
        <v>2.9970600000000012</v>
      </c>
      <c r="AF11" s="2">
        <f t="shared" si="10"/>
        <v>0.50149448860545986</v>
      </c>
      <c r="AG11" s="2">
        <f t="shared" si="11"/>
        <v>0.49850551139454014</v>
      </c>
      <c r="AH11" s="2">
        <f t="shared" si="12"/>
        <v>0.33167165832512452</v>
      </c>
      <c r="AI11" s="2">
        <f t="shared" si="13"/>
        <v>0.16633150867668314</v>
      </c>
      <c r="AJ11" s="2">
        <f t="shared" si="14"/>
        <v>6.0120900000000006</v>
      </c>
      <c r="AK11" s="2">
        <v>20</v>
      </c>
      <c r="AL11">
        <f t="shared" si="15"/>
        <v>6.6334331665024902</v>
      </c>
    </row>
    <row r="12" spans="2:40" x14ac:dyDescent="0.35">
      <c r="B12" s="2"/>
      <c r="C12" s="2"/>
      <c r="D12" s="2"/>
      <c r="E12" s="2"/>
      <c r="F12" s="13">
        <v>38.301819999999999</v>
      </c>
      <c r="G12" s="13">
        <v>41.043439999999997</v>
      </c>
      <c r="H12" s="2">
        <f t="shared" si="0"/>
        <v>2.7416199999999975</v>
      </c>
      <c r="I12" s="2">
        <f t="shared" si="1"/>
        <v>4.8393700000000024</v>
      </c>
      <c r="J12" s="2">
        <f t="shared" si="2"/>
        <v>0.36164405968085928</v>
      </c>
      <c r="K12" s="2">
        <f t="shared" si="3"/>
        <v>0.63835594031914067</v>
      </c>
      <c r="L12" s="2">
        <f t="shared" si="4"/>
        <v>0.36474784981142572</v>
      </c>
      <c r="M12" s="2">
        <f t="shared" si="5"/>
        <v>0.13190889316566834</v>
      </c>
      <c r="N12" s="2">
        <f t="shared" si="6"/>
        <v>7.5809899999999999</v>
      </c>
      <c r="O12" s="2">
        <v>33</v>
      </c>
      <c r="P12">
        <f t="shared" si="7"/>
        <v>12.036679043777047</v>
      </c>
      <c r="AA12" s="2"/>
      <c r="AB12" s="13">
        <v>33.87079</v>
      </c>
      <c r="AC12" s="13">
        <v>36.217939999999999</v>
      </c>
      <c r="AD12" s="2">
        <f t="shared" si="8"/>
        <v>2.3471499999999992</v>
      </c>
      <c r="AE12" s="2">
        <f t="shared" si="9"/>
        <v>3.7094500000000039</v>
      </c>
      <c r="AF12" s="2">
        <f t="shared" si="10"/>
        <v>0.38753591123732756</v>
      </c>
      <c r="AG12" s="2">
        <f t="shared" si="11"/>
        <v>0.61246408876267244</v>
      </c>
      <c r="AH12" s="2">
        <f t="shared" si="12"/>
        <v>0.42604861214664608</v>
      </c>
      <c r="AI12" s="2">
        <f t="shared" si="13"/>
        <v>0.16510913713964923</v>
      </c>
      <c r="AJ12" s="2">
        <f t="shared" si="14"/>
        <v>6.0566000000000031</v>
      </c>
      <c r="AK12" s="2">
        <v>18</v>
      </c>
      <c r="AL12">
        <f t="shared" si="15"/>
        <v>7.6688750186396293</v>
      </c>
    </row>
    <row r="13" spans="2:40" x14ac:dyDescent="0.35">
      <c r="B13" s="2"/>
      <c r="C13" s="2"/>
      <c r="D13" s="2"/>
      <c r="E13" s="2"/>
      <c r="F13" s="13">
        <v>45.882809999999999</v>
      </c>
      <c r="G13" s="13">
        <v>49.264569999999999</v>
      </c>
      <c r="H13" s="2">
        <f t="shared" si="0"/>
        <v>3.3817599999999999</v>
      </c>
      <c r="I13" s="2">
        <f t="shared" si="1"/>
        <v>5.1983800000000002</v>
      </c>
      <c r="J13" s="2">
        <f t="shared" si="2"/>
        <v>0.39413809098686031</v>
      </c>
      <c r="K13" s="2">
        <f t="shared" si="3"/>
        <v>0.60586190901313963</v>
      </c>
      <c r="L13" s="2">
        <f t="shared" si="4"/>
        <v>0.29570401211203634</v>
      </c>
      <c r="M13" s="2">
        <f t="shared" si="5"/>
        <v>0.11654821483099344</v>
      </c>
      <c r="N13" s="2">
        <f t="shared" si="6"/>
        <v>8.5801400000000001</v>
      </c>
      <c r="O13" s="2">
        <v>40</v>
      </c>
      <c r="P13">
        <f t="shared" si="7"/>
        <v>11.828160484481455</v>
      </c>
      <c r="AA13" s="2"/>
      <c r="AB13" s="13">
        <v>39.927390000000003</v>
      </c>
      <c r="AC13" s="13">
        <v>42.337479999999999</v>
      </c>
      <c r="AD13" s="2">
        <f t="shared" si="8"/>
        <v>2.4100899999999967</v>
      </c>
      <c r="AE13" s="2">
        <f t="shared" si="9"/>
        <v>5.495040000000003</v>
      </c>
      <c r="AF13" s="2">
        <f t="shared" si="10"/>
        <v>0.30487670664492511</v>
      </c>
      <c r="AG13" s="2">
        <f t="shared" si="11"/>
        <v>0.69512329335507494</v>
      </c>
      <c r="AH13" s="2">
        <f t="shared" si="12"/>
        <v>0.41492226431378137</v>
      </c>
      <c r="AI13" s="2">
        <f t="shared" si="13"/>
        <v>0.1265001334576408</v>
      </c>
      <c r="AJ13" s="2">
        <f t="shared" si="14"/>
        <v>7.9051299999999998</v>
      </c>
      <c r="AK13" s="2">
        <v>18</v>
      </c>
      <c r="AL13">
        <f t="shared" si="15"/>
        <v>7.4686007576480646</v>
      </c>
    </row>
    <row r="14" spans="2:40" x14ac:dyDescent="0.35">
      <c r="B14" s="2"/>
      <c r="C14" s="2"/>
      <c r="D14" s="2"/>
      <c r="E14" s="2"/>
      <c r="F14" s="13">
        <v>54.462949999999999</v>
      </c>
      <c r="G14" s="13">
        <v>57.975900000000003</v>
      </c>
      <c r="H14" s="2">
        <f t="shared" ref="H14:H22" si="16">G14-F14</f>
        <v>3.5129500000000036</v>
      </c>
      <c r="I14" s="2">
        <f t="shared" ref="I14:I22" si="17">F15-G14</f>
        <v>3.8539499999999975</v>
      </c>
      <c r="J14" s="2">
        <f t="shared" ref="J14:J22" si="18">H14/N14</f>
        <v>0.47685593668978854</v>
      </c>
      <c r="K14" s="2">
        <f t="shared" ref="K14:K22" si="19">I14/N14</f>
        <v>0.52314406331021146</v>
      </c>
      <c r="L14" s="2">
        <f t="shared" ref="L14:L22" si="20">1/H14</f>
        <v>0.28466103986677832</v>
      </c>
      <c r="M14" s="2">
        <f t="shared" ref="M14:M22" si="21">1/N14</f>
        <v>0.13574230680476182</v>
      </c>
      <c r="N14" s="2">
        <f t="shared" ref="N14:N22" si="22">H14+I14</f>
        <v>7.3669000000000011</v>
      </c>
      <c r="O14" s="2">
        <v>43</v>
      </c>
      <c r="P14">
        <f t="shared" ref="P14:P22" si="23">O14/H14</f>
        <v>12.240424714271469</v>
      </c>
      <c r="AA14" s="2"/>
      <c r="AB14" s="13">
        <v>47.832520000000002</v>
      </c>
      <c r="AC14" s="13">
        <v>51.190820000000002</v>
      </c>
      <c r="AD14" s="2">
        <f t="shared" si="8"/>
        <v>3.3582999999999998</v>
      </c>
      <c r="AE14" s="2">
        <f t="shared" si="9"/>
        <v>3.7417899999999946</v>
      </c>
      <c r="AF14" s="2">
        <f t="shared" si="10"/>
        <v>0.4729940043013543</v>
      </c>
      <c r="AG14" s="2">
        <f t="shared" si="11"/>
        <v>0.5270059956986457</v>
      </c>
      <c r="AH14" s="2">
        <f t="shared" si="12"/>
        <v>0.29776970491022242</v>
      </c>
      <c r="AI14" s="2">
        <f t="shared" si="13"/>
        <v>0.14084328508511876</v>
      </c>
      <c r="AJ14" s="2">
        <f t="shared" si="14"/>
        <v>7.1000899999999945</v>
      </c>
      <c r="AK14" s="2">
        <v>22</v>
      </c>
      <c r="AL14">
        <f t="shared" si="15"/>
        <v>6.5509335080248938</v>
      </c>
    </row>
    <row r="15" spans="2:40" x14ac:dyDescent="0.35">
      <c r="B15" s="2"/>
      <c r="C15" s="2"/>
      <c r="D15" s="2"/>
      <c r="E15" s="2"/>
      <c r="F15" s="13">
        <v>61.82985</v>
      </c>
      <c r="G15" s="13">
        <v>64.533779999999993</v>
      </c>
      <c r="H15" s="2">
        <f t="shared" si="16"/>
        <v>2.7039299999999926</v>
      </c>
      <c r="I15" s="2">
        <f t="shared" si="17"/>
        <v>3.770780000000002</v>
      </c>
      <c r="J15" s="2">
        <f t="shared" si="18"/>
        <v>0.41761407074602491</v>
      </c>
      <c r="K15" s="2">
        <f t="shared" si="19"/>
        <v>0.58238592925397514</v>
      </c>
      <c r="L15" s="2">
        <f t="shared" si="20"/>
        <v>0.36983205926189017</v>
      </c>
      <c r="M15" s="2">
        <f t="shared" si="21"/>
        <v>0.15444707176074307</v>
      </c>
      <c r="N15" s="2">
        <f t="shared" si="22"/>
        <v>6.4747099999999946</v>
      </c>
      <c r="O15" s="2">
        <v>36</v>
      </c>
      <c r="P15">
        <f t="shared" si="23"/>
        <v>13.313954133428046</v>
      </c>
      <c r="AA15" s="2"/>
      <c r="AB15" s="13">
        <v>54.932609999999997</v>
      </c>
      <c r="AC15" s="13">
        <v>57.259709999999998</v>
      </c>
      <c r="AD15" s="2">
        <f t="shared" si="8"/>
        <v>2.3271000000000015</v>
      </c>
      <c r="AE15" s="2">
        <f t="shared" si="9"/>
        <v>5.6221900000000034</v>
      </c>
      <c r="AF15" s="2">
        <f t="shared" si="10"/>
        <v>0.29274312548667869</v>
      </c>
      <c r="AG15" s="2">
        <f t="shared" si="11"/>
        <v>0.70725687451332131</v>
      </c>
      <c r="AH15" s="2">
        <f t="shared" si="12"/>
        <v>0.4297193932362165</v>
      </c>
      <c r="AI15" s="2">
        <f t="shared" si="13"/>
        <v>0.12579739825820915</v>
      </c>
      <c r="AJ15" s="2">
        <f t="shared" si="14"/>
        <v>7.9492900000000049</v>
      </c>
      <c r="AK15" s="2">
        <v>17</v>
      </c>
      <c r="AL15">
        <f t="shared" si="15"/>
        <v>7.3052296850156804</v>
      </c>
    </row>
    <row r="16" spans="2:40" x14ac:dyDescent="0.35">
      <c r="B16" s="2"/>
      <c r="C16" s="2"/>
      <c r="D16" s="2"/>
      <c r="E16" s="2"/>
      <c r="F16" s="13">
        <v>68.304559999999995</v>
      </c>
      <c r="G16" s="13">
        <v>70.870689999999996</v>
      </c>
      <c r="H16" s="2">
        <f t="shared" si="16"/>
        <v>2.5661300000000011</v>
      </c>
      <c r="I16" s="2">
        <f t="shared" si="17"/>
        <v>3.8783700000000039</v>
      </c>
      <c r="J16" s="2">
        <f t="shared" si="18"/>
        <v>0.39818915354177969</v>
      </c>
      <c r="K16" s="2">
        <f t="shared" si="19"/>
        <v>0.60181084645822036</v>
      </c>
      <c r="L16" s="2">
        <f t="shared" si="20"/>
        <v>0.38969187063788646</v>
      </c>
      <c r="M16" s="2">
        <f t="shared" si="21"/>
        <v>0.1551710761114127</v>
      </c>
      <c r="N16" s="2">
        <f t="shared" si="22"/>
        <v>6.444500000000005</v>
      </c>
      <c r="O16" s="2">
        <v>35</v>
      </c>
      <c r="P16">
        <f t="shared" si="23"/>
        <v>13.639215472326025</v>
      </c>
      <c r="AA16" s="2"/>
      <c r="AB16" s="13">
        <v>62.881900000000002</v>
      </c>
      <c r="AC16" s="13">
        <v>66.145110000000003</v>
      </c>
      <c r="AD16" s="2">
        <f t="shared" si="8"/>
        <v>3.2632100000000008</v>
      </c>
      <c r="AE16" s="2">
        <f t="shared" si="9"/>
        <v>4.7126999999999981</v>
      </c>
      <c r="AF16" s="2">
        <f t="shared" si="10"/>
        <v>0.4091332525066107</v>
      </c>
      <c r="AG16" s="2">
        <f t="shared" si="11"/>
        <v>0.5908667474933893</v>
      </c>
      <c r="AH16" s="2">
        <f t="shared" si="12"/>
        <v>0.30644671964108955</v>
      </c>
      <c r="AI16" s="2">
        <f t="shared" si="13"/>
        <v>0.1253775431267404</v>
      </c>
      <c r="AJ16" s="2">
        <f t="shared" si="14"/>
        <v>7.9759099999999989</v>
      </c>
      <c r="AK16" s="2">
        <v>24</v>
      </c>
      <c r="AL16">
        <f t="shared" si="15"/>
        <v>7.3547212713861487</v>
      </c>
    </row>
    <row r="17" spans="2:40" x14ac:dyDescent="0.35">
      <c r="B17" s="2"/>
      <c r="C17" s="2"/>
      <c r="D17" s="2"/>
      <c r="E17" s="2"/>
      <c r="F17" s="13">
        <v>74.74906</v>
      </c>
      <c r="G17" s="13">
        <v>77.183490000000006</v>
      </c>
      <c r="H17" s="2">
        <f t="shared" si="16"/>
        <v>2.4344300000000061</v>
      </c>
      <c r="I17" s="2">
        <f t="shared" si="17"/>
        <v>3.8610199999999963</v>
      </c>
      <c r="J17" s="2">
        <f t="shared" si="18"/>
        <v>0.38669674129728693</v>
      </c>
      <c r="K17" s="2">
        <f t="shared" si="19"/>
        <v>0.61330325870271307</v>
      </c>
      <c r="L17" s="2">
        <f t="shared" si="20"/>
        <v>0.410773774559136</v>
      </c>
      <c r="M17" s="2">
        <f t="shared" si="21"/>
        <v>0.1588448800324043</v>
      </c>
      <c r="N17" s="2">
        <f t="shared" si="22"/>
        <v>6.2954500000000024</v>
      </c>
      <c r="O17" s="2">
        <v>32</v>
      </c>
      <c r="P17">
        <f t="shared" si="23"/>
        <v>13.144760785892352</v>
      </c>
      <c r="AA17" s="2"/>
      <c r="AB17" s="13">
        <v>70.857810000000001</v>
      </c>
      <c r="AC17" s="13">
        <v>73.988929999999996</v>
      </c>
      <c r="AD17" s="2">
        <f t="shared" si="8"/>
        <v>3.1311199999999957</v>
      </c>
      <c r="AE17" s="2">
        <f t="shared" si="9"/>
        <v>2.9811300000000074</v>
      </c>
      <c r="AF17" s="2">
        <f t="shared" si="10"/>
        <v>0.51226962247944607</v>
      </c>
      <c r="AG17" s="2">
        <f t="shared" si="11"/>
        <v>0.48773037752055393</v>
      </c>
      <c r="AH17" s="2">
        <f t="shared" si="12"/>
        <v>0.31937453690692191</v>
      </c>
      <c r="AI17" s="2">
        <f t="shared" si="13"/>
        <v>0.16360587345085681</v>
      </c>
      <c r="AJ17" s="2">
        <f t="shared" si="14"/>
        <v>6.1122500000000031</v>
      </c>
      <c r="AK17" s="2">
        <v>20</v>
      </c>
      <c r="AL17">
        <f t="shared" si="15"/>
        <v>6.3874907381384389</v>
      </c>
    </row>
    <row r="18" spans="2:40" x14ac:dyDescent="0.35">
      <c r="B18" s="2"/>
      <c r="C18" s="2"/>
      <c r="D18" s="2"/>
      <c r="E18" s="2"/>
      <c r="F18" s="13">
        <v>81.044510000000002</v>
      </c>
      <c r="G18" s="13">
        <v>84.528289999999998</v>
      </c>
      <c r="H18" s="2">
        <f t="shared" si="16"/>
        <v>3.4837799999999959</v>
      </c>
      <c r="I18" s="2">
        <f t="shared" si="17"/>
        <v>3.8188099999999991</v>
      </c>
      <c r="J18" s="2">
        <f t="shared" si="18"/>
        <v>0.47706087840067679</v>
      </c>
      <c r="K18" s="2">
        <f t="shared" si="19"/>
        <v>0.52293912159932321</v>
      </c>
      <c r="L18" s="2">
        <f t="shared" si="20"/>
        <v>0.28704453208870856</v>
      </c>
      <c r="M18" s="2">
        <f t="shared" si="21"/>
        <v>0.13693771661835058</v>
      </c>
      <c r="N18" s="2">
        <f t="shared" si="22"/>
        <v>7.302589999999995</v>
      </c>
      <c r="O18" s="2">
        <v>47</v>
      </c>
      <c r="P18">
        <f t="shared" si="23"/>
        <v>13.491093008169303</v>
      </c>
      <c r="AA18" s="2"/>
      <c r="AB18" s="13">
        <v>76.970060000000004</v>
      </c>
      <c r="AC18" s="13">
        <v>79.034700000000001</v>
      </c>
      <c r="AD18" s="2">
        <f t="shared" si="8"/>
        <v>2.0646399999999971</v>
      </c>
      <c r="AE18" s="2">
        <f t="shared" si="9"/>
        <v>4.9468099999999993</v>
      </c>
      <c r="AF18" s="2">
        <f t="shared" si="10"/>
        <v>0.29446690770097456</v>
      </c>
      <c r="AG18" s="2">
        <f t="shared" si="11"/>
        <v>0.70553309229902539</v>
      </c>
      <c r="AH18" s="2">
        <f t="shared" si="12"/>
        <v>0.48434593924364605</v>
      </c>
      <c r="AI18" s="2">
        <f t="shared" si="13"/>
        <v>0.14262385098660058</v>
      </c>
      <c r="AJ18" s="2">
        <f t="shared" si="14"/>
        <v>7.0114499999999964</v>
      </c>
      <c r="AK18" s="2">
        <v>16</v>
      </c>
      <c r="AL18">
        <f t="shared" si="15"/>
        <v>7.7495350278983368</v>
      </c>
    </row>
    <row r="19" spans="2:40" x14ac:dyDescent="0.35">
      <c r="B19" s="2"/>
      <c r="C19" s="2"/>
      <c r="D19" s="2"/>
      <c r="E19" s="2"/>
      <c r="F19" s="13">
        <v>88.347099999999998</v>
      </c>
      <c r="G19" s="13">
        <v>90.999799999999993</v>
      </c>
      <c r="H19" s="2">
        <f t="shared" si="16"/>
        <v>2.6526999999999958</v>
      </c>
      <c r="I19" s="2">
        <f t="shared" si="17"/>
        <v>4.9561200000000127</v>
      </c>
      <c r="J19" s="2">
        <f t="shared" si="18"/>
        <v>0.34863487373863394</v>
      </c>
      <c r="K19" s="2">
        <f t="shared" si="19"/>
        <v>0.651365126261366</v>
      </c>
      <c r="L19" s="2">
        <f t="shared" si="20"/>
        <v>0.37697440343800714</v>
      </c>
      <c r="M19" s="2">
        <f t="shared" si="21"/>
        <v>0.13142642354530648</v>
      </c>
      <c r="N19" s="2">
        <f t="shared" si="22"/>
        <v>7.6088200000000086</v>
      </c>
      <c r="O19" s="2">
        <v>36</v>
      </c>
      <c r="P19">
        <f t="shared" si="23"/>
        <v>13.571078523768257</v>
      </c>
      <c r="AA19" s="2"/>
      <c r="AB19" s="13">
        <v>83.98151</v>
      </c>
      <c r="AC19" s="13">
        <v>87.460909999999998</v>
      </c>
      <c r="AD19" s="2">
        <f t="shared" si="8"/>
        <v>3.4793999999999983</v>
      </c>
      <c r="AE19" s="2">
        <f t="shared" si="9"/>
        <v>3.5548900000000003</v>
      </c>
      <c r="AF19" s="2">
        <f t="shared" si="10"/>
        <v>0.4946341421806606</v>
      </c>
      <c r="AG19" s="2">
        <f t="shared" si="11"/>
        <v>0.5053658578193394</v>
      </c>
      <c r="AH19" s="2">
        <f t="shared" si="12"/>
        <v>0.28740587457607647</v>
      </c>
      <c r="AI19" s="2">
        <f t="shared" si="13"/>
        <v>0.14216075822862012</v>
      </c>
      <c r="AJ19" s="2">
        <f t="shared" si="14"/>
        <v>7.0342899999999986</v>
      </c>
      <c r="AK19" s="2">
        <v>26</v>
      </c>
      <c r="AL19">
        <f t="shared" si="15"/>
        <v>7.4725527389779884</v>
      </c>
    </row>
    <row r="20" spans="2:40" x14ac:dyDescent="0.35">
      <c r="B20" s="2"/>
      <c r="C20" s="2"/>
      <c r="D20" s="2"/>
      <c r="E20" s="2"/>
      <c r="F20" s="13">
        <v>95.955920000000006</v>
      </c>
      <c r="G20" s="13">
        <v>98.337739999999997</v>
      </c>
      <c r="H20" s="2">
        <f t="shared" si="16"/>
        <v>2.3818199999999905</v>
      </c>
      <c r="I20" s="2">
        <f t="shared" si="17"/>
        <v>5.0242199999999997</v>
      </c>
      <c r="J20" s="2">
        <f t="shared" si="18"/>
        <v>0.32160506829560653</v>
      </c>
      <c r="K20" s="2">
        <f t="shared" si="19"/>
        <v>0.67839493170439347</v>
      </c>
      <c r="L20" s="2">
        <f t="shared" si="20"/>
        <v>0.41984700775037742</v>
      </c>
      <c r="M20" s="2">
        <f t="shared" si="21"/>
        <v>0.13502492560126617</v>
      </c>
      <c r="N20" s="2">
        <f t="shared" si="22"/>
        <v>7.4060399999999902</v>
      </c>
      <c r="O20" s="2">
        <v>31</v>
      </c>
      <c r="P20">
        <f t="shared" si="23"/>
        <v>13.0152572402617</v>
      </c>
      <c r="AA20" s="2"/>
      <c r="AB20" s="13">
        <v>91.015799999999999</v>
      </c>
      <c r="AC20" s="13">
        <v>93.268119999999996</v>
      </c>
      <c r="AD20" s="2">
        <f t="shared" si="8"/>
        <v>2.2523199999999974</v>
      </c>
      <c r="AE20" s="2">
        <f t="shared" si="9"/>
        <v>5.7544800000000009</v>
      </c>
      <c r="AF20" s="2">
        <f t="shared" si="10"/>
        <v>0.28130089423989585</v>
      </c>
      <c r="AG20" s="2">
        <f t="shared" si="11"/>
        <v>0.71869910576010421</v>
      </c>
      <c r="AH20" s="2">
        <f t="shared" si="12"/>
        <v>0.44398664488172246</v>
      </c>
      <c r="AI20" s="2">
        <f t="shared" si="13"/>
        <v>0.12489384023579959</v>
      </c>
      <c r="AJ20" s="2">
        <f t="shared" si="14"/>
        <v>8.0067999999999984</v>
      </c>
      <c r="AK20" s="2">
        <v>18</v>
      </c>
      <c r="AL20">
        <f t="shared" si="15"/>
        <v>7.9917596078710043</v>
      </c>
    </row>
    <row r="21" spans="2:40" x14ac:dyDescent="0.35">
      <c r="B21" s="2"/>
      <c r="C21" s="2"/>
      <c r="D21" s="2"/>
      <c r="E21" s="2"/>
      <c r="F21" s="13">
        <v>103.36196</v>
      </c>
      <c r="G21" s="13">
        <v>105.85760999999999</v>
      </c>
      <c r="H21" s="2">
        <f t="shared" si="16"/>
        <v>2.4956499999999977</v>
      </c>
      <c r="I21" s="2">
        <f t="shared" si="17"/>
        <v>3.7776400000000052</v>
      </c>
      <c r="J21" s="2">
        <f t="shared" si="18"/>
        <v>0.39782155774721023</v>
      </c>
      <c r="K21" s="2">
        <f t="shared" si="19"/>
        <v>0.60217844225278971</v>
      </c>
      <c r="L21" s="2">
        <f t="shared" si="20"/>
        <v>0.40069721315088291</v>
      </c>
      <c r="M21" s="2">
        <f t="shared" si="21"/>
        <v>0.15940598952065019</v>
      </c>
      <c r="N21" s="2">
        <f t="shared" si="22"/>
        <v>6.2732900000000029</v>
      </c>
      <c r="O21" s="2">
        <v>33</v>
      </c>
      <c r="P21">
        <f t="shared" si="23"/>
        <v>13.223008033979136</v>
      </c>
      <c r="AA21" s="2"/>
      <c r="AB21" s="13">
        <v>99.022599999999997</v>
      </c>
      <c r="AC21" s="13">
        <v>102.23002</v>
      </c>
      <c r="AD21" s="2">
        <f t="shared" si="8"/>
        <v>3.207419999999999</v>
      </c>
      <c r="AE21" s="2">
        <f t="shared" si="9"/>
        <v>2.9337600000000066</v>
      </c>
      <c r="AF21" s="2">
        <f t="shared" si="10"/>
        <v>0.52228073432141642</v>
      </c>
      <c r="AG21" s="2">
        <f t="shared" si="11"/>
        <v>0.47771926567858358</v>
      </c>
      <c r="AH21" s="2">
        <f t="shared" si="12"/>
        <v>0.31177706692606527</v>
      </c>
      <c r="AI21" s="2">
        <f t="shared" si="13"/>
        <v>0.16283515545872276</v>
      </c>
      <c r="AJ21" s="2">
        <f t="shared" si="14"/>
        <v>6.1411800000000056</v>
      </c>
      <c r="AK21" s="2">
        <v>25</v>
      </c>
      <c r="AL21">
        <f t="shared" si="15"/>
        <v>7.7944266731516318</v>
      </c>
    </row>
    <row r="22" spans="2:40" x14ac:dyDescent="0.35">
      <c r="F22">
        <v>109.63525</v>
      </c>
      <c r="G22" s="45">
        <v>112.12146</v>
      </c>
      <c r="H22" s="2">
        <f t="shared" si="16"/>
        <v>2.4862099999999998</v>
      </c>
      <c r="I22" s="2">
        <f t="shared" si="17"/>
        <v>5.9539199999999965</v>
      </c>
      <c r="J22" s="2">
        <f t="shared" si="18"/>
        <v>0.29457010733247008</v>
      </c>
      <c r="K22" s="2">
        <f t="shared" si="19"/>
        <v>0.70542989266752987</v>
      </c>
      <c r="L22" s="2">
        <f t="shared" si="20"/>
        <v>0.402218638007248</v>
      </c>
      <c r="M22" s="2">
        <f t="shared" si="21"/>
        <v>0.11848158736891498</v>
      </c>
      <c r="N22" s="2">
        <f t="shared" si="22"/>
        <v>8.4401299999999964</v>
      </c>
      <c r="O22" s="2">
        <v>33</v>
      </c>
      <c r="P22">
        <f t="shared" si="23"/>
        <v>13.273215054239184</v>
      </c>
      <c r="AB22">
        <v>105.16378</v>
      </c>
      <c r="AC22" s="45">
        <v>108.29259999999999</v>
      </c>
      <c r="AD22" s="2">
        <f t="shared" si="8"/>
        <v>3.1288199999999904</v>
      </c>
      <c r="AE22" s="2">
        <f t="shared" si="9"/>
        <v>5.6309700000000049</v>
      </c>
      <c r="AF22" s="2">
        <f t="shared" si="10"/>
        <v>0.35717979540605332</v>
      </c>
      <c r="AG22" s="2">
        <f t="shared" si="11"/>
        <v>0.64282020459394662</v>
      </c>
      <c r="AH22" s="2">
        <f t="shared" si="12"/>
        <v>0.31960930957997041</v>
      </c>
      <c r="AI22" s="2">
        <f t="shared" si="13"/>
        <v>0.1141579878056438</v>
      </c>
      <c r="AJ22" s="2">
        <f t="shared" si="14"/>
        <v>8.7597899999999953</v>
      </c>
      <c r="AK22" s="2">
        <v>19</v>
      </c>
      <c r="AL22">
        <f t="shared" si="15"/>
        <v>6.0725768820194377</v>
      </c>
    </row>
    <row r="23" spans="2:40" x14ac:dyDescent="0.35">
      <c r="F23">
        <v>118.07538</v>
      </c>
      <c r="G23" s="49"/>
      <c r="H23" s="2"/>
      <c r="I23" s="2"/>
      <c r="J23" s="2"/>
      <c r="K23" s="2"/>
      <c r="L23" s="2"/>
      <c r="M23" s="2"/>
      <c r="N23" s="2"/>
      <c r="O23" s="2"/>
      <c r="AB23">
        <v>113.92357</v>
      </c>
      <c r="AC23" s="45">
        <v>117.29164</v>
      </c>
      <c r="AD23" s="2">
        <f t="shared" si="8"/>
        <v>3.368070000000003</v>
      </c>
      <c r="AE23" s="2">
        <f t="shared" si="9"/>
        <v>3.3135400000000033</v>
      </c>
      <c r="AF23" s="2">
        <f t="shared" si="10"/>
        <v>0.50408060332764104</v>
      </c>
      <c r="AG23" s="2">
        <f t="shared" si="11"/>
        <v>0.4959193966723589</v>
      </c>
      <c r="AH23" s="2">
        <f t="shared" si="12"/>
        <v>0.29690594316626412</v>
      </c>
      <c r="AI23" s="2">
        <f t="shared" si="13"/>
        <v>0.14966452696281271</v>
      </c>
      <c r="AJ23" s="2">
        <f t="shared" si="14"/>
        <v>6.6816100000000063</v>
      </c>
      <c r="AK23" s="2">
        <v>23</v>
      </c>
      <c r="AL23">
        <f t="shared" si="15"/>
        <v>6.8288366928240745</v>
      </c>
    </row>
    <row r="24" spans="2:40" x14ac:dyDescent="0.35">
      <c r="G24" s="49"/>
      <c r="H24" s="2"/>
      <c r="I24" s="2"/>
      <c r="J24" s="2"/>
      <c r="K24" s="2"/>
      <c r="L24" s="2"/>
      <c r="M24" s="2"/>
      <c r="N24" s="2"/>
      <c r="O24" s="2"/>
      <c r="AB24">
        <v>120.60518</v>
      </c>
      <c r="AC24" s="45">
        <v>124.67238999999999</v>
      </c>
      <c r="AD24" s="2">
        <f t="shared" si="8"/>
        <v>4.0672099999999887</v>
      </c>
      <c r="AE24" s="2">
        <f t="shared" si="9"/>
        <v>1.963390000000004</v>
      </c>
      <c r="AF24" s="2">
        <f t="shared" si="10"/>
        <v>0.67442874672503461</v>
      </c>
      <c r="AG24" s="2">
        <f t="shared" si="11"/>
        <v>0.32557125327496539</v>
      </c>
      <c r="AH24" s="2">
        <f t="shared" si="12"/>
        <v>0.24586878966170983</v>
      </c>
      <c r="AI24" s="2">
        <f t="shared" si="13"/>
        <v>0.16582097967034809</v>
      </c>
      <c r="AJ24" s="2">
        <f t="shared" si="14"/>
        <v>6.0305999999999926</v>
      </c>
      <c r="AK24" s="2">
        <v>31</v>
      </c>
      <c r="AL24">
        <f t="shared" si="15"/>
        <v>7.6219324795130046</v>
      </c>
      <c r="AN24" t="s">
        <v>735</v>
      </c>
    </row>
    <row r="25" spans="2:40" x14ac:dyDescent="0.35">
      <c r="G25" s="49"/>
      <c r="H25" s="2"/>
      <c r="I25" s="2"/>
      <c r="J25" s="2"/>
      <c r="K25" s="2"/>
      <c r="L25" s="2"/>
      <c r="M25" s="2"/>
      <c r="N25" s="2"/>
      <c r="O25" s="2"/>
      <c r="P25" s="2"/>
      <c r="AB25">
        <v>126.63578</v>
      </c>
      <c r="AC25" s="45">
        <v>131.0772</v>
      </c>
      <c r="AD25" s="2">
        <f t="shared" si="8"/>
        <v>4.4414200000000079</v>
      </c>
      <c r="AE25" s="2">
        <f t="shared" si="9"/>
        <v>3.5213200000000029</v>
      </c>
      <c r="AF25" s="2">
        <f t="shared" si="10"/>
        <v>0.55777533863971474</v>
      </c>
      <c r="AG25" s="2">
        <f t="shared" si="11"/>
        <v>0.44222466136028532</v>
      </c>
      <c r="AH25" s="2">
        <f t="shared" si="12"/>
        <v>0.22515321676400751</v>
      </c>
      <c r="AI25" s="2">
        <f t="shared" si="13"/>
        <v>0.12558491172636538</v>
      </c>
      <c r="AJ25" s="2">
        <f t="shared" si="14"/>
        <v>7.9627400000000108</v>
      </c>
      <c r="AK25" s="2">
        <v>30</v>
      </c>
      <c r="AL25">
        <f t="shared" si="15"/>
        <v>6.7545965029202248</v>
      </c>
    </row>
    <row r="26" spans="2:40" ht="16" thickBot="1" x14ac:dyDescent="0.4">
      <c r="G26" s="13"/>
      <c r="H26" s="9" t="s">
        <v>3</v>
      </c>
      <c r="I26" s="9" t="s">
        <v>4</v>
      </c>
      <c r="J26" s="9" t="s">
        <v>5</v>
      </c>
      <c r="K26" s="9" t="s">
        <v>6</v>
      </c>
      <c r="L26" s="9" t="s">
        <v>7</v>
      </c>
      <c r="M26" s="9" t="s">
        <v>8</v>
      </c>
      <c r="N26" s="9" t="s">
        <v>9</v>
      </c>
      <c r="O26" s="9" t="s">
        <v>10</v>
      </c>
      <c r="P26" s="44" t="s">
        <v>139</v>
      </c>
      <c r="AB26">
        <v>134.59852000000001</v>
      </c>
      <c r="AC26" s="45">
        <v>139.51335</v>
      </c>
      <c r="AD26" s="2">
        <f t="shared" si="8"/>
        <v>4.9148299999999949</v>
      </c>
      <c r="AE26" s="2">
        <f t="shared" si="9"/>
        <v>2.8438999999999908</v>
      </c>
      <c r="AF26" s="2">
        <f t="shared" si="10"/>
        <v>0.63345805305765301</v>
      </c>
      <c r="AG26" s="2">
        <f t="shared" si="11"/>
        <v>0.36654194694234699</v>
      </c>
      <c r="AH26" s="2">
        <f t="shared" si="12"/>
        <v>0.2034658370686272</v>
      </c>
      <c r="AI26" s="2">
        <f t="shared" si="13"/>
        <v>0.12888707301323823</v>
      </c>
      <c r="AJ26" s="2">
        <f t="shared" si="14"/>
        <v>7.7587299999999857</v>
      </c>
      <c r="AK26" s="2">
        <v>32</v>
      </c>
      <c r="AL26">
        <f t="shared" si="15"/>
        <v>6.5109067861960703</v>
      </c>
    </row>
    <row r="27" spans="2:40" x14ac:dyDescent="0.35">
      <c r="G27" s="49" t="s">
        <v>77</v>
      </c>
      <c r="H27" s="13">
        <f>AVERAGE(H7:H22)</f>
        <v>2.9071293749999989</v>
      </c>
      <c r="I27" s="13">
        <f t="shared" ref="I27:P27" si="24">AVERAGE(I7:I22)</f>
        <v>4.2440775000000013</v>
      </c>
      <c r="J27" s="13">
        <f t="shared" si="24"/>
        <v>0.40954749317082095</v>
      </c>
      <c r="K27" s="13">
        <f t="shared" si="24"/>
        <v>0.59045250682917905</v>
      </c>
      <c r="L27" s="13">
        <f t="shared" si="24"/>
        <v>0.35213887654978049</v>
      </c>
      <c r="M27" s="13">
        <f t="shared" si="24"/>
        <v>0.14129319211708599</v>
      </c>
      <c r="N27" s="13">
        <f t="shared" si="24"/>
        <v>7.1512068749999997</v>
      </c>
      <c r="O27" s="13">
        <f t="shared" si="24"/>
        <v>37.3125</v>
      </c>
      <c r="P27" s="13">
        <f t="shared" si="24"/>
        <v>12.912750490450383</v>
      </c>
      <c r="AB27">
        <v>142.35724999999999</v>
      </c>
      <c r="AC27" s="45">
        <v>146.55072999999999</v>
      </c>
      <c r="AD27" s="2">
        <f t="shared" si="8"/>
        <v>4.1934799999999939</v>
      </c>
      <c r="AE27" s="2">
        <f t="shared" si="9"/>
        <v>3.7473500000000115</v>
      </c>
      <c r="AF27" s="2">
        <f t="shared" si="10"/>
        <v>0.52809089226189088</v>
      </c>
      <c r="AG27" s="2">
        <f t="shared" si="11"/>
        <v>0.47190910773810912</v>
      </c>
      <c r="AH27" s="2">
        <f t="shared" si="12"/>
        <v>0.23846542728235295</v>
      </c>
      <c r="AI27" s="2">
        <f t="shared" si="13"/>
        <v>0.12593142026715082</v>
      </c>
      <c r="AJ27" s="2">
        <f t="shared" si="14"/>
        <v>7.9408300000000054</v>
      </c>
      <c r="AK27" s="2">
        <v>26</v>
      </c>
      <c r="AL27">
        <f t="shared" si="15"/>
        <v>6.2001011093411771</v>
      </c>
    </row>
    <row r="28" spans="2:40" x14ac:dyDescent="0.35">
      <c r="G28" s="49" t="s">
        <v>94</v>
      </c>
      <c r="H28" s="2">
        <f>_xlfn.STDEV.S(H7:H22)</f>
        <v>0.4693316107042525</v>
      </c>
      <c r="I28" s="2">
        <f t="shared" ref="I28:P28" si="25">_xlfn.STDEV.S(I7:I22)</f>
        <v>0.82511159158423131</v>
      </c>
      <c r="J28" s="2">
        <f t="shared" si="25"/>
        <v>7.1972373793650707E-2</v>
      </c>
      <c r="K28" s="2">
        <f t="shared" si="25"/>
        <v>7.1972373793651734E-2</v>
      </c>
      <c r="L28" s="2">
        <f t="shared" si="25"/>
        <v>5.4088376681846441E-2</v>
      </c>
      <c r="M28" s="2">
        <f t="shared" si="25"/>
        <v>1.4644653171563897E-2</v>
      </c>
      <c r="N28" s="2">
        <f t="shared" si="25"/>
        <v>0.76170658880978837</v>
      </c>
      <c r="O28" s="2">
        <f t="shared" si="25"/>
        <v>4.9761933242188245</v>
      </c>
      <c r="P28" s="2">
        <f t="shared" si="25"/>
        <v>0.88528713379297419</v>
      </c>
      <c r="AB28">
        <v>150.29808</v>
      </c>
      <c r="AC28" s="45">
        <v>153.64205000000001</v>
      </c>
      <c r="AD28" s="2">
        <f t="shared" si="8"/>
        <v>3.343970000000013</v>
      </c>
      <c r="AE28" s="2">
        <f t="shared" si="9"/>
        <v>3.6358499999999765</v>
      </c>
      <c r="AF28" s="2">
        <f t="shared" si="10"/>
        <v>0.47909115134774505</v>
      </c>
      <c r="AG28" s="2">
        <f t="shared" si="11"/>
        <v>0.52090884865225495</v>
      </c>
      <c r="AH28" s="2">
        <f t="shared" si="12"/>
        <v>0.29904574502761572</v>
      </c>
      <c r="AI28" s="2">
        <f t="shared" si="13"/>
        <v>0.14327017029092462</v>
      </c>
      <c r="AJ28" s="2">
        <f t="shared" si="14"/>
        <v>6.9798199999999895</v>
      </c>
      <c r="AK28" s="2">
        <v>27</v>
      </c>
      <c r="AL28">
        <f t="shared" si="15"/>
        <v>8.0742351157456245</v>
      </c>
    </row>
    <row r="29" spans="2:40" x14ac:dyDescent="0.35">
      <c r="G29" s="49" t="s">
        <v>95</v>
      </c>
      <c r="H29" s="2">
        <f>H28/(SQRT(COUNT(H7:H22)))</f>
        <v>0.11733290267606312</v>
      </c>
      <c r="I29" s="2">
        <f t="shared" ref="I29:P29" si="26">I28/(SQRT(COUNT(I7:I22)))</f>
        <v>0.20627789789605783</v>
      </c>
      <c r="J29" s="2">
        <f t="shared" si="26"/>
        <v>1.7993093448412677E-2</v>
      </c>
      <c r="K29" s="2">
        <f t="shared" si="26"/>
        <v>1.7993093448412933E-2</v>
      </c>
      <c r="L29" s="2">
        <f t="shared" si="26"/>
        <v>1.352209417046161E-2</v>
      </c>
      <c r="M29" s="2">
        <f t="shared" si="26"/>
        <v>3.6611632928909743E-3</v>
      </c>
      <c r="N29" s="2">
        <f t="shared" si="26"/>
        <v>0.19042664720244709</v>
      </c>
      <c r="O29" s="2">
        <f t="shared" si="26"/>
        <v>1.2440483310547061</v>
      </c>
      <c r="P29" s="2">
        <f t="shared" si="26"/>
        <v>0.22132178344824355</v>
      </c>
      <c r="AB29">
        <v>157.27789999999999</v>
      </c>
      <c r="AC29" s="45">
        <v>162.37334999999999</v>
      </c>
      <c r="AD29" s="2">
        <f t="shared" si="8"/>
        <v>5.0954499999999996</v>
      </c>
      <c r="AE29" s="2">
        <f t="shared" si="9"/>
        <v>3.7031700000000001</v>
      </c>
      <c r="AF29" s="2">
        <f t="shared" si="10"/>
        <v>0.57911922551491024</v>
      </c>
      <c r="AG29" s="2">
        <f t="shared" si="11"/>
        <v>0.42088077448508976</v>
      </c>
      <c r="AH29" s="2">
        <f t="shared" si="12"/>
        <v>0.19625352029752036</v>
      </c>
      <c r="AI29" s="2">
        <f t="shared" si="13"/>
        <v>0.11365418667927471</v>
      </c>
      <c r="AJ29" s="2">
        <f t="shared" si="14"/>
        <v>8.7986199999999997</v>
      </c>
      <c r="AK29" s="2">
        <v>33</v>
      </c>
      <c r="AL29">
        <f t="shared" si="15"/>
        <v>6.4763661698181716</v>
      </c>
    </row>
    <row r="30" spans="2:40" x14ac:dyDescent="0.35">
      <c r="G30" s="49"/>
      <c r="H30" s="2"/>
      <c r="I30" s="2"/>
      <c r="J30" s="2"/>
      <c r="K30" s="2"/>
      <c r="L30" s="2"/>
      <c r="M30" s="2"/>
      <c r="N30" s="2"/>
      <c r="O30" s="2"/>
      <c r="P30" s="2"/>
      <c r="AB30">
        <v>166.07651999999999</v>
      </c>
      <c r="AC30" s="45">
        <v>170.45614</v>
      </c>
      <c r="AD30" s="2">
        <f t="shared" si="8"/>
        <v>4.3796200000000169</v>
      </c>
      <c r="AE30" s="2">
        <f t="shared" si="9"/>
        <v>2.6725999999999885</v>
      </c>
      <c r="AF30" s="2">
        <f t="shared" si="10"/>
        <v>0.62102713755385019</v>
      </c>
      <c r="AG30" s="2">
        <f t="shared" si="11"/>
        <v>0.37897286244614981</v>
      </c>
      <c r="AH30" s="2">
        <f t="shared" si="12"/>
        <v>0.22833031176220681</v>
      </c>
      <c r="AI30" s="2">
        <f t="shared" si="13"/>
        <v>0.14179931993046149</v>
      </c>
      <c r="AJ30" s="2">
        <f t="shared" si="14"/>
        <v>7.0522200000000055</v>
      </c>
      <c r="AK30" s="2">
        <v>29</v>
      </c>
      <c r="AL30">
        <f t="shared" si="15"/>
        <v>6.6215790411039972</v>
      </c>
    </row>
    <row r="31" spans="2:40" x14ac:dyDescent="0.35">
      <c r="G31" s="49"/>
      <c r="H31" s="2"/>
      <c r="I31" s="2"/>
      <c r="J31" s="2"/>
      <c r="K31" s="2"/>
      <c r="L31" s="2"/>
      <c r="M31" s="2"/>
      <c r="N31" s="2"/>
      <c r="O31" s="2"/>
      <c r="P31" s="2"/>
      <c r="AB31">
        <v>173.12873999999999</v>
      </c>
      <c r="AC31" s="45">
        <v>177.50846999999999</v>
      </c>
      <c r="AD31" s="2">
        <f t="shared" si="8"/>
        <v>4.379729999999995</v>
      </c>
      <c r="AE31" s="2">
        <f t="shared" si="9"/>
        <v>3.49645000000001</v>
      </c>
      <c r="AF31" s="2">
        <f t="shared" si="10"/>
        <v>0.5560728678115523</v>
      </c>
      <c r="AG31" s="2">
        <f t="shared" si="11"/>
        <v>0.44392713218844765</v>
      </c>
      <c r="AH31" s="2">
        <f t="shared" si="12"/>
        <v>0.22832457708580237</v>
      </c>
      <c r="AI31" s="2">
        <f t="shared" si="13"/>
        <v>0.12696510237196196</v>
      </c>
      <c r="AJ31" s="2">
        <f t="shared" si="14"/>
        <v>7.8761800000000051</v>
      </c>
      <c r="AK31" s="2">
        <v>26</v>
      </c>
      <c r="AL31">
        <f t="shared" si="15"/>
        <v>5.936439004230861</v>
      </c>
    </row>
    <row r="32" spans="2:40" x14ac:dyDescent="0.35">
      <c r="AB32">
        <v>181.00492</v>
      </c>
      <c r="AC32" s="45">
        <v>188.88311999999999</v>
      </c>
      <c r="AD32" s="2">
        <f t="shared" si="8"/>
        <v>7.8781999999999925</v>
      </c>
      <c r="AE32" s="2">
        <f t="shared" si="9"/>
        <v>0.93632999999999811</v>
      </c>
      <c r="AF32" s="2">
        <f t="shared" si="10"/>
        <v>0.89377425682367651</v>
      </c>
      <c r="AG32" s="2">
        <f t="shared" si="11"/>
        <v>0.10622574317632354</v>
      </c>
      <c r="AH32" s="2">
        <f t="shared" si="12"/>
        <v>0.12693254804396956</v>
      </c>
      <c r="AI32" s="2">
        <f t="shared" si="13"/>
        <v>0.1134490437947345</v>
      </c>
      <c r="AJ32" s="2">
        <f t="shared" si="14"/>
        <v>8.8145299999999907</v>
      </c>
      <c r="AK32" s="2">
        <v>48</v>
      </c>
      <c r="AL32">
        <f t="shared" si="15"/>
        <v>6.0927623061105383</v>
      </c>
    </row>
    <row r="33" spans="4:38" x14ac:dyDescent="0.35">
      <c r="G33" s="49"/>
      <c r="H33" s="2"/>
      <c r="I33" s="2"/>
      <c r="J33" s="2"/>
      <c r="K33" s="2"/>
      <c r="L33" s="2"/>
      <c r="M33" s="2"/>
      <c r="N33" s="2"/>
      <c r="O33" s="2"/>
      <c r="P33" s="2"/>
      <c r="AB33">
        <v>189.81944999999999</v>
      </c>
      <c r="AC33" s="45">
        <v>192.96018000000001</v>
      </c>
      <c r="AD33" s="2">
        <f t="shared" si="8"/>
        <v>3.1407300000000191</v>
      </c>
      <c r="AE33" s="2">
        <f t="shared" si="9"/>
        <v>4.8142399999999839</v>
      </c>
      <c r="AF33" s="2">
        <f t="shared" si="10"/>
        <v>0.3948135568078846</v>
      </c>
      <c r="AG33" s="2">
        <f t="shared" si="11"/>
        <v>0.60518644319211534</v>
      </c>
      <c r="AH33" s="2">
        <f t="shared" si="12"/>
        <v>0.31839731527383569</v>
      </c>
      <c r="AI33" s="2">
        <f t="shared" si="13"/>
        <v>0.12570757652134448</v>
      </c>
      <c r="AJ33" s="2">
        <f t="shared" si="14"/>
        <v>7.954970000000003</v>
      </c>
      <c r="AK33" s="2">
        <v>23</v>
      </c>
      <c r="AL33">
        <f t="shared" si="15"/>
        <v>7.3231382512982206</v>
      </c>
    </row>
    <row r="34" spans="4:38" x14ac:dyDescent="0.35">
      <c r="AB34">
        <v>197.77441999999999</v>
      </c>
      <c r="AC34" s="45">
        <v>202.79569000000001</v>
      </c>
      <c r="AD34" s="2">
        <f t="shared" si="8"/>
        <v>5.0212700000000154</v>
      </c>
      <c r="AE34" s="2">
        <f t="shared" si="9"/>
        <v>2.038960000000003</v>
      </c>
      <c r="AF34" s="2">
        <f t="shared" si="10"/>
        <v>0.71120487576183811</v>
      </c>
      <c r="AG34" s="2">
        <f t="shared" si="11"/>
        <v>0.28879512423816189</v>
      </c>
      <c r="AH34" s="2">
        <f t="shared" si="12"/>
        <v>0.19915280397190291</v>
      </c>
      <c r="AI34" s="2">
        <f t="shared" si="13"/>
        <v>0.14163844520645891</v>
      </c>
      <c r="AJ34" s="2">
        <f t="shared" si="14"/>
        <v>7.0602300000000184</v>
      </c>
      <c r="AK34" s="2">
        <v>38</v>
      </c>
      <c r="AL34">
        <f t="shared" si="15"/>
        <v>7.5678065509323105</v>
      </c>
    </row>
    <row r="35" spans="4:38" x14ac:dyDescent="0.35">
      <c r="AB35">
        <v>204.83465000000001</v>
      </c>
      <c r="AC35" s="45">
        <v>209.84096</v>
      </c>
      <c r="AD35" s="2">
        <f t="shared" si="8"/>
        <v>5.0063099999999849</v>
      </c>
      <c r="AE35" s="2">
        <f t="shared" si="9"/>
        <v>2.9086700000000008</v>
      </c>
      <c r="AF35" s="2">
        <f t="shared" si="10"/>
        <v>0.63251075808151047</v>
      </c>
      <c r="AG35" s="2">
        <f t="shared" si="11"/>
        <v>0.36748924191848947</v>
      </c>
      <c r="AH35" s="2">
        <f t="shared" si="12"/>
        <v>0.19974791812732393</v>
      </c>
      <c r="AI35" s="2">
        <f t="shared" si="13"/>
        <v>0.12634270711991716</v>
      </c>
      <c r="AJ35" s="2">
        <f t="shared" si="14"/>
        <v>7.9149799999999857</v>
      </c>
      <c r="AK35" s="2">
        <v>31</v>
      </c>
      <c r="AL35">
        <f t="shared" si="15"/>
        <v>6.1921854619470418</v>
      </c>
    </row>
    <row r="36" spans="4:38" ht="18.5" x14ac:dyDescent="0.45">
      <c r="F36" s="1" t="s">
        <v>405</v>
      </c>
      <c r="G36" s="3"/>
      <c r="H36" s="3"/>
      <c r="I36" s="3"/>
      <c r="J36" s="3"/>
      <c r="K36" s="3"/>
      <c r="L36" s="3"/>
      <c r="M36" s="3"/>
      <c r="N36" s="3"/>
      <c r="O36" s="3"/>
      <c r="AB36">
        <v>212.74963</v>
      </c>
      <c r="AC36" s="45">
        <v>216.80710999999999</v>
      </c>
      <c r="AD36" s="2">
        <f t="shared" si="8"/>
        <v>4.0574799999999982</v>
      </c>
      <c r="AE36" s="2">
        <f t="shared" si="9"/>
        <v>2.9251500000000021</v>
      </c>
      <c r="AF36" s="2">
        <f t="shared" si="10"/>
        <v>0.58108191326190817</v>
      </c>
      <c r="AG36" s="2">
        <f t="shared" si="11"/>
        <v>0.41891808673809183</v>
      </c>
      <c r="AH36" s="2">
        <f t="shared" si="12"/>
        <v>0.24645839289411173</v>
      </c>
      <c r="AI36" s="2">
        <f t="shared" si="13"/>
        <v>0.14321251448236552</v>
      </c>
      <c r="AJ36" s="2">
        <f t="shared" si="14"/>
        <v>6.9826300000000003</v>
      </c>
      <c r="AK36" s="2">
        <v>27</v>
      </c>
      <c r="AL36">
        <f t="shared" si="15"/>
        <v>6.6543766081410167</v>
      </c>
    </row>
    <row r="37" spans="4:38" ht="16" thickBot="1" x14ac:dyDescent="0.4">
      <c r="D37" s="204" t="s">
        <v>406</v>
      </c>
      <c r="F37" s="9" t="s">
        <v>1</v>
      </c>
      <c r="G37" s="9" t="s">
        <v>2</v>
      </c>
      <c r="H37" s="9" t="s">
        <v>3</v>
      </c>
      <c r="I37" s="9" t="s">
        <v>4</v>
      </c>
      <c r="J37" s="9" t="s">
        <v>5</v>
      </c>
      <c r="K37" s="9" t="s">
        <v>6</v>
      </c>
      <c r="L37" s="9" t="s">
        <v>7</v>
      </c>
      <c r="M37" s="9" t="s">
        <v>8</v>
      </c>
      <c r="N37" s="9" t="s">
        <v>9</v>
      </c>
      <c r="O37" s="9" t="s">
        <v>10</v>
      </c>
      <c r="P37" s="44" t="s">
        <v>139</v>
      </c>
      <c r="R37" s="44" t="s">
        <v>138</v>
      </c>
      <c r="AB37">
        <v>219.73226</v>
      </c>
      <c r="AC37" s="45">
        <v>225.64646999999999</v>
      </c>
      <c r="AD37" s="2">
        <f t="shared" si="8"/>
        <v>5.9142099999999971</v>
      </c>
      <c r="AE37" s="2">
        <f t="shared" si="9"/>
        <v>3.8058699999999988</v>
      </c>
      <c r="AF37" s="2">
        <f t="shared" si="10"/>
        <v>0.60845281108797455</v>
      </c>
      <c r="AG37" s="2">
        <f t="shared" si="11"/>
        <v>0.39154718891202545</v>
      </c>
      <c r="AH37" s="2">
        <f t="shared" si="12"/>
        <v>0.16908429020951243</v>
      </c>
      <c r="AI37" s="2">
        <f t="shared" si="13"/>
        <v>0.10287981168879273</v>
      </c>
      <c r="AJ37" s="2">
        <f t="shared" si="14"/>
        <v>9.7200799999999958</v>
      </c>
      <c r="AK37" s="2">
        <v>44</v>
      </c>
      <c r="AL37">
        <f t="shared" si="15"/>
        <v>7.4397087692185471</v>
      </c>
    </row>
    <row r="38" spans="4:38" x14ac:dyDescent="0.35">
      <c r="D38" s="293">
        <v>4</v>
      </c>
      <c r="F38" s="13">
        <v>29.234079999999999</v>
      </c>
      <c r="G38" s="2">
        <v>33.944330000000001</v>
      </c>
      <c r="H38" s="2">
        <f t="shared" ref="H38:H65" si="27">G38-F38</f>
        <v>4.710250000000002</v>
      </c>
      <c r="I38" s="2">
        <f t="shared" ref="I38:I64" si="28">F39-G38</f>
        <v>2.8678299999999979</v>
      </c>
      <c r="J38" s="2">
        <f t="shared" ref="J38:J64" si="29">H38/N38</f>
        <v>0.62156245381415898</v>
      </c>
      <c r="K38" s="2">
        <f t="shared" ref="K38:K64" si="30">I38/N38</f>
        <v>0.37843754618584097</v>
      </c>
      <c r="L38" s="2">
        <f t="shared" ref="L38:L64" si="31">1/H38</f>
        <v>0.21230295631866664</v>
      </c>
      <c r="M38" s="2">
        <f t="shared" ref="M38:M64" si="32">1/N38</f>
        <v>0.13195954648143066</v>
      </c>
      <c r="N38" s="2">
        <f t="shared" ref="N38:N64" si="33">H38+I38</f>
        <v>7.5780799999999999</v>
      </c>
      <c r="O38" s="2">
        <v>31</v>
      </c>
      <c r="P38">
        <f t="shared" ref="P38:P64" si="34">O38/H38</f>
        <v>6.5813916458786661</v>
      </c>
      <c r="R38" t="s">
        <v>737</v>
      </c>
      <c r="AB38">
        <v>229.45233999999999</v>
      </c>
      <c r="AC38" s="45">
        <v>232.87044</v>
      </c>
      <c r="AD38" s="2">
        <f t="shared" si="8"/>
        <v>3.4181000000000097</v>
      </c>
      <c r="AE38" s="2">
        <f t="shared" si="9"/>
        <v>4.3799999999999955</v>
      </c>
      <c r="AF38" s="2">
        <f t="shared" si="10"/>
        <v>0.43832472012413376</v>
      </c>
      <c r="AG38" s="2">
        <f t="shared" si="11"/>
        <v>0.5616752798758663</v>
      </c>
      <c r="AH38" s="2">
        <f t="shared" si="12"/>
        <v>0.29256019425996815</v>
      </c>
      <c r="AI38" s="2">
        <f t="shared" si="13"/>
        <v>0.12823636526846274</v>
      </c>
      <c r="AJ38" s="2">
        <f t="shared" si="14"/>
        <v>7.7981000000000051</v>
      </c>
      <c r="AK38" s="2">
        <v>28</v>
      </c>
      <c r="AL38">
        <f t="shared" si="15"/>
        <v>8.1916854392791087</v>
      </c>
    </row>
    <row r="39" spans="4:38" x14ac:dyDescent="0.35">
      <c r="D39" s="293">
        <v>4</v>
      </c>
      <c r="F39" s="13">
        <v>36.812159999999999</v>
      </c>
      <c r="G39" s="2">
        <v>41.2102</v>
      </c>
      <c r="H39" s="2">
        <f t="shared" si="27"/>
        <v>4.3980400000000017</v>
      </c>
      <c r="I39" s="2">
        <f t="shared" si="28"/>
        <v>3.0672799999999967</v>
      </c>
      <c r="J39" s="2">
        <f t="shared" si="29"/>
        <v>0.58912946799333488</v>
      </c>
      <c r="K39" s="2">
        <f t="shared" si="30"/>
        <v>0.41087053200666512</v>
      </c>
      <c r="L39" s="2">
        <f t="shared" si="31"/>
        <v>0.2273740120599175</v>
      </c>
      <c r="M39" s="2">
        <f t="shared" si="32"/>
        <v>0.13395273076036932</v>
      </c>
      <c r="N39" s="2">
        <f t="shared" si="33"/>
        <v>7.4653199999999984</v>
      </c>
      <c r="O39" s="2">
        <v>28</v>
      </c>
      <c r="P39">
        <f t="shared" si="34"/>
        <v>6.3664723376776902</v>
      </c>
      <c r="AB39">
        <v>237.25044</v>
      </c>
      <c r="AC39" s="45">
        <v>239.83878999999999</v>
      </c>
      <c r="AD39" s="2">
        <f t="shared" si="8"/>
        <v>2.5883499999999913</v>
      </c>
      <c r="AE39" s="2"/>
      <c r="AF39" s="2"/>
      <c r="AG39" s="2"/>
      <c r="AH39" s="2"/>
      <c r="AI39" s="2"/>
      <c r="AJ39" s="2"/>
      <c r="AK39" s="2"/>
    </row>
    <row r="40" spans="4:38" x14ac:dyDescent="0.35">
      <c r="D40" s="293">
        <v>4</v>
      </c>
      <c r="F40" s="13">
        <v>44.277479999999997</v>
      </c>
      <c r="G40" s="2">
        <v>48.828110000000002</v>
      </c>
      <c r="H40" s="2">
        <f t="shared" si="27"/>
        <v>4.5506300000000053</v>
      </c>
      <c r="I40" s="2">
        <f t="shared" si="28"/>
        <v>4.060139999999997</v>
      </c>
      <c r="J40" s="2">
        <f t="shared" si="29"/>
        <v>0.52848119273886118</v>
      </c>
      <c r="K40" s="2">
        <f t="shared" si="30"/>
        <v>0.47151880726113876</v>
      </c>
      <c r="L40" s="2">
        <f t="shared" si="31"/>
        <v>0.21974979288581994</v>
      </c>
      <c r="M40" s="2">
        <f t="shared" si="32"/>
        <v>0.11613363264841585</v>
      </c>
      <c r="N40" s="2">
        <f t="shared" si="33"/>
        <v>8.6107700000000023</v>
      </c>
      <c r="O40" s="2">
        <v>30</v>
      </c>
      <c r="P40">
        <f t="shared" si="34"/>
        <v>6.5924937865745985</v>
      </c>
      <c r="AC40" s="45"/>
      <c r="AD40" s="2"/>
      <c r="AE40" s="2"/>
      <c r="AF40" s="2"/>
      <c r="AG40" s="2"/>
      <c r="AH40" s="2"/>
      <c r="AI40" s="2"/>
      <c r="AJ40" s="2"/>
      <c r="AK40" s="2"/>
    </row>
    <row r="41" spans="4:38" x14ac:dyDescent="0.35">
      <c r="D41" s="293">
        <v>4</v>
      </c>
      <c r="F41" s="13">
        <v>52.888249999999999</v>
      </c>
      <c r="G41" s="2">
        <v>57.657200000000003</v>
      </c>
      <c r="H41" s="2">
        <f t="shared" si="27"/>
        <v>4.7689500000000038</v>
      </c>
      <c r="I41" s="2">
        <f t="shared" si="28"/>
        <v>2.8476299999999952</v>
      </c>
      <c r="J41" s="2">
        <f t="shared" si="29"/>
        <v>0.62612747453581585</v>
      </c>
      <c r="K41" s="2">
        <f t="shared" si="30"/>
        <v>0.37387252546418415</v>
      </c>
      <c r="L41" s="2">
        <f t="shared" si="31"/>
        <v>0.20968976399417047</v>
      </c>
      <c r="M41" s="2">
        <f t="shared" si="32"/>
        <v>0.1312925223656812</v>
      </c>
      <c r="N41" s="2">
        <f t="shared" si="33"/>
        <v>7.616579999999999</v>
      </c>
      <c r="O41" s="2">
        <v>33</v>
      </c>
      <c r="P41">
        <f t="shared" si="34"/>
        <v>6.9197622118076252</v>
      </c>
      <c r="AC41" s="49"/>
      <c r="AD41" s="2"/>
      <c r="AE41" s="2"/>
      <c r="AF41" s="2"/>
      <c r="AG41" s="2"/>
      <c r="AH41" s="2"/>
      <c r="AI41" s="2"/>
      <c r="AJ41" s="2"/>
      <c r="AK41" s="2"/>
    </row>
    <row r="42" spans="4:38" x14ac:dyDescent="0.35">
      <c r="D42" s="293">
        <v>4</v>
      </c>
      <c r="F42" s="13">
        <v>60.504829999999998</v>
      </c>
      <c r="G42" s="2">
        <v>64.958290000000005</v>
      </c>
      <c r="H42" s="2">
        <f t="shared" si="27"/>
        <v>4.4534600000000069</v>
      </c>
      <c r="I42" s="2">
        <f t="shared" si="28"/>
        <v>2.8687199999999962</v>
      </c>
      <c r="J42" s="2">
        <f t="shared" si="29"/>
        <v>0.60821503978323466</v>
      </c>
      <c r="K42" s="2">
        <f t="shared" si="30"/>
        <v>0.39178496021676534</v>
      </c>
      <c r="L42" s="2">
        <f t="shared" si="31"/>
        <v>0.22454451145850607</v>
      </c>
      <c r="M42" s="2">
        <f t="shared" si="32"/>
        <v>0.13657134896984227</v>
      </c>
      <c r="N42" s="2">
        <f t="shared" si="33"/>
        <v>7.322180000000003</v>
      </c>
      <c r="O42" s="2">
        <v>29</v>
      </c>
      <c r="P42">
        <f t="shared" si="34"/>
        <v>6.5117908322966764</v>
      </c>
      <c r="AC42" s="49"/>
      <c r="AD42" s="2"/>
      <c r="AE42" s="2"/>
      <c r="AF42" s="2"/>
      <c r="AG42" s="2"/>
      <c r="AH42" s="2"/>
      <c r="AI42" s="2"/>
      <c r="AJ42" s="2"/>
      <c r="AK42" s="2"/>
      <c r="AL42" s="2"/>
    </row>
    <row r="43" spans="4:38" ht="16" thickBot="1" x14ac:dyDescent="0.4">
      <c r="D43" s="293">
        <v>4</v>
      </c>
      <c r="F43" s="13">
        <v>67.827010000000001</v>
      </c>
      <c r="G43" s="2">
        <v>71.106740000000002</v>
      </c>
      <c r="H43" s="2">
        <f t="shared" si="27"/>
        <v>3.2797300000000007</v>
      </c>
      <c r="I43" s="2">
        <f t="shared" si="28"/>
        <v>5.1998899999999963</v>
      </c>
      <c r="J43" s="2">
        <f t="shared" si="29"/>
        <v>0.38677794523811232</v>
      </c>
      <c r="K43" s="2">
        <f t="shared" si="30"/>
        <v>0.61322205476188774</v>
      </c>
      <c r="L43" s="2">
        <f t="shared" si="31"/>
        <v>0.30490314751519171</v>
      </c>
      <c r="M43" s="2">
        <f t="shared" si="32"/>
        <v>0.11792981289255891</v>
      </c>
      <c r="N43" s="2">
        <f t="shared" si="33"/>
        <v>8.479619999999997</v>
      </c>
      <c r="O43" s="2">
        <v>22</v>
      </c>
      <c r="P43">
        <f t="shared" si="34"/>
        <v>6.7078692453342184</v>
      </c>
      <c r="AC43" s="13"/>
      <c r="AD43" s="9" t="s">
        <v>3</v>
      </c>
      <c r="AE43" s="9" t="s">
        <v>4</v>
      </c>
      <c r="AF43" s="9" t="s">
        <v>5</v>
      </c>
      <c r="AG43" s="9" t="s">
        <v>6</v>
      </c>
      <c r="AH43" s="9" t="s">
        <v>7</v>
      </c>
      <c r="AI43" s="9" t="s">
        <v>8</v>
      </c>
      <c r="AJ43" s="9" t="s">
        <v>9</v>
      </c>
      <c r="AK43" s="9" t="s">
        <v>10</v>
      </c>
      <c r="AL43" s="44" t="s">
        <v>139</v>
      </c>
    </row>
    <row r="44" spans="4:38" x14ac:dyDescent="0.35">
      <c r="D44" s="293">
        <v>4</v>
      </c>
      <c r="F44" s="13">
        <v>76.306629999999998</v>
      </c>
      <c r="G44" s="2">
        <v>81.857209999999995</v>
      </c>
      <c r="H44" s="2">
        <f t="shared" si="27"/>
        <v>5.5505799999999965</v>
      </c>
      <c r="I44" s="2">
        <f t="shared" si="28"/>
        <v>2.0749200000000059</v>
      </c>
      <c r="J44" s="2">
        <f t="shared" si="29"/>
        <v>0.72789718706969964</v>
      </c>
      <c r="K44" s="2">
        <f t="shared" si="30"/>
        <v>0.27210281293030036</v>
      </c>
      <c r="L44" s="2">
        <f t="shared" si="31"/>
        <v>0.18016135250730567</v>
      </c>
      <c r="M44" s="2">
        <f t="shared" si="32"/>
        <v>0.13113894170874038</v>
      </c>
      <c r="N44" s="2">
        <f t="shared" si="33"/>
        <v>7.6255000000000024</v>
      </c>
      <c r="O44" s="2">
        <v>37</v>
      </c>
      <c r="P44">
        <f t="shared" si="34"/>
        <v>6.6659700427703097</v>
      </c>
      <c r="AC44" s="49" t="s">
        <v>77</v>
      </c>
      <c r="AD44" s="13">
        <f>AVERAGE(AD7:AD38)</f>
        <v>3.6606850000000004</v>
      </c>
      <c r="AE44" s="13">
        <f t="shared" ref="AE44:AL44" si="35">AVERAGE(AE7:AE38)</f>
        <v>3.7000024999999996</v>
      </c>
      <c r="AF44" s="13">
        <f t="shared" si="35"/>
        <v>0.49521018018294088</v>
      </c>
      <c r="AG44" s="13">
        <f t="shared" si="35"/>
        <v>0.50478981981705917</v>
      </c>
      <c r="AH44" s="13">
        <f t="shared" si="35"/>
        <v>0.30192841444652996</v>
      </c>
      <c r="AI44" s="13">
        <f t="shared" si="35"/>
        <v>0.138093670002047</v>
      </c>
      <c r="AJ44" s="13">
        <f t="shared" si="35"/>
        <v>7.3606875</v>
      </c>
      <c r="AK44" s="13">
        <f t="shared" si="35"/>
        <v>25.15625</v>
      </c>
      <c r="AL44" s="13">
        <f t="shared" si="35"/>
        <v>6.9472525354261432</v>
      </c>
    </row>
    <row r="45" spans="4:38" x14ac:dyDescent="0.35">
      <c r="D45" s="293">
        <v>4</v>
      </c>
      <c r="F45" s="13">
        <v>83.932130000000001</v>
      </c>
      <c r="G45" s="2">
        <v>87.380179999999996</v>
      </c>
      <c r="H45" s="2">
        <f t="shared" si="27"/>
        <v>3.448049999999995</v>
      </c>
      <c r="I45" s="2">
        <f t="shared" si="28"/>
        <v>3.0123999999999995</v>
      </c>
      <c r="J45" s="2">
        <f t="shared" si="29"/>
        <v>0.53371669156173296</v>
      </c>
      <c r="K45" s="2">
        <f t="shared" si="30"/>
        <v>0.46628330843826699</v>
      </c>
      <c r="L45" s="2">
        <f t="shared" si="31"/>
        <v>0.29001899624425442</v>
      </c>
      <c r="M45" s="2">
        <f t="shared" si="32"/>
        <v>0.15478797916553813</v>
      </c>
      <c r="N45" s="2">
        <f t="shared" si="33"/>
        <v>6.4604499999999945</v>
      </c>
      <c r="O45" s="2">
        <v>26</v>
      </c>
      <c r="P45">
        <f t="shared" si="34"/>
        <v>7.5404939023506152</v>
      </c>
      <c r="AC45" s="49" t="s">
        <v>94</v>
      </c>
      <c r="AD45" s="2">
        <f>_xlfn.STDEV.S(AD7:AD38)</f>
        <v>1.2597092025517427</v>
      </c>
      <c r="AE45" s="2">
        <f t="shared" ref="AE45:AL45" si="36">_xlfn.STDEV.S(AE7:AE38)</f>
        <v>1.1319127060180743</v>
      </c>
      <c r="AF45" s="2">
        <f t="shared" si="36"/>
        <v>0.13959374396906607</v>
      </c>
      <c r="AG45" s="2">
        <f t="shared" si="36"/>
        <v>0.13959374396906649</v>
      </c>
      <c r="AH45" s="2">
        <f t="shared" si="36"/>
        <v>9.3845282130750107E-2</v>
      </c>
      <c r="AI45" s="2">
        <f t="shared" si="36"/>
        <v>1.7920852535236072E-2</v>
      </c>
      <c r="AJ45" s="2">
        <f t="shared" si="36"/>
        <v>0.95831224870905385</v>
      </c>
      <c r="AK45" s="2">
        <f t="shared" si="36"/>
        <v>8.0526868887988101</v>
      </c>
      <c r="AL45" s="2">
        <f t="shared" si="36"/>
        <v>0.71516106118350464</v>
      </c>
    </row>
    <row r="46" spans="4:38" x14ac:dyDescent="0.35">
      <c r="D46" s="293">
        <v>4</v>
      </c>
      <c r="F46" s="13">
        <v>90.392579999999995</v>
      </c>
      <c r="G46" s="2">
        <v>94.777510000000007</v>
      </c>
      <c r="H46" s="2">
        <f t="shared" si="27"/>
        <v>4.3849300000000113</v>
      </c>
      <c r="I46" s="2">
        <f t="shared" si="28"/>
        <v>3.0691799999999887</v>
      </c>
      <c r="J46" s="2">
        <f t="shared" si="29"/>
        <v>0.5882566798719111</v>
      </c>
      <c r="K46" s="2">
        <f t="shared" si="30"/>
        <v>0.4117433201280889</v>
      </c>
      <c r="L46" s="2">
        <f t="shared" si="31"/>
        <v>0.22805381157737922</v>
      </c>
      <c r="M46" s="2">
        <f t="shared" si="32"/>
        <v>0.1341541780306435</v>
      </c>
      <c r="N46" s="2">
        <f t="shared" si="33"/>
        <v>7.45411</v>
      </c>
      <c r="O46" s="2">
        <v>26</v>
      </c>
      <c r="P46">
        <f t="shared" si="34"/>
        <v>5.9293991010118594</v>
      </c>
      <c r="AC46" s="49" t="s">
        <v>95</v>
      </c>
      <c r="AD46" s="2">
        <f>AD45/(SQRT(COUNT(AD7:AD38)))</f>
        <v>0.22268722986185882</v>
      </c>
      <c r="AE46" s="2">
        <f t="shared" ref="AE46:AL46" si="37">AE45/(SQRT(COUNT(AE7:AE38)))</f>
        <v>0.20009578753414881</v>
      </c>
      <c r="AF46" s="2">
        <f t="shared" si="37"/>
        <v>2.4676920742936332E-2</v>
      </c>
      <c r="AG46" s="2">
        <f t="shared" si="37"/>
        <v>2.4676920742936408E-2</v>
      </c>
      <c r="AH46" s="2">
        <f t="shared" si="37"/>
        <v>1.6589658844254531E-2</v>
      </c>
      <c r="AI46" s="2">
        <f t="shared" si="37"/>
        <v>3.1679890880773895E-3</v>
      </c>
      <c r="AJ46" s="2">
        <f t="shared" si="37"/>
        <v>0.1694072723890753</v>
      </c>
      <c r="AK46" s="2">
        <f t="shared" si="37"/>
        <v>1.4235273764604099</v>
      </c>
      <c r="AL46" s="2">
        <f t="shared" si="37"/>
        <v>0.12642380900085587</v>
      </c>
    </row>
    <row r="47" spans="4:38" x14ac:dyDescent="0.35">
      <c r="D47" s="293">
        <v>4</v>
      </c>
      <c r="F47" s="13">
        <v>97.846689999999995</v>
      </c>
      <c r="G47" s="2">
        <v>104.41197</v>
      </c>
      <c r="H47" s="2">
        <f t="shared" si="27"/>
        <v>6.5652800000000013</v>
      </c>
      <c r="I47" s="2">
        <f t="shared" si="28"/>
        <v>3.0416600000000074</v>
      </c>
      <c r="J47" s="2">
        <f t="shared" si="29"/>
        <v>0.68338929981867225</v>
      </c>
      <c r="K47" s="2">
        <f t="shared" si="30"/>
        <v>0.31661070018132775</v>
      </c>
      <c r="L47" s="2">
        <f t="shared" si="31"/>
        <v>0.15231642824068431</v>
      </c>
      <c r="M47" s="2">
        <f t="shared" si="32"/>
        <v>0.10409141724628228</v>
      </c>
      <c r="N47" s="2">
        <f t="shared" si="33"/>
        <v>9.6069400000000087</v>
      </c>
      <c r="O47" s="2">
        <v>41</v>
      </c>
      <c r="P47">
        <f t="shared" si="34"/>
        <v>6.2449735578680565</v>
      </c>
    </row>
    <row r="48" spans="4:38" x14ac:dyDescent="0.35">
      <c r="D48" s="293">
        <v>4</v>
      </c>
      <c r="F48" s="13">
        <v>107.45363</v>
      </c>
      <c r="G48" s="2">
        <v>110.87474</v>
      </c>
      <c r="H48" s="2">
        <f t="shared" si="27"/>
        <v>3.4211099999999988</v>
      </c>
      <c r="I48" s="2">
        <f t="shared" si="28"/>
        <v>4.0974599999999981</v>
      </c>
      <c r="J48" s="2">
        <f t="shared" si="29"/>
        <v>0.45502136709507263</v>
      </c>
      <c r="K48" s="2">
        <f t="shared" si="30"/>
        <v>0.54497863290492743</v>
      </c>
      <c r="L48" s="2">
        <f t="shared" si="31"/>
        <v>0.29230279061474213</v>
      </c>
      <c r="M48" s="2">
        <f t="shared" si="32"/>
        <v>0.13300401539122472</v>
      </c>
      <c r="N48" s="2">
        <f t="shared" si="33"/>
        <v>7.5185699999999969</v>
      </c>
      <c r="O48" s="2">
        <v>24</v>
      </c>
      <c r="P48">
        <f t="shared" si="34"/>
        <v>7.0152669747538106</v>
      </c>
    </row>
    <row r="49" spans="4:40" x14ac:dyDescent="0.35">
      <c r="D49" s="293">
        <v>4</v>
      </c>
      <c r="F49" s="13">
        <v>114.9722</v>
      </c>
      <c r="G49" s="2">
        <v>119.98699000000001</v>
      </c>
      <c r="H49" s="2">
        <f t="shared" si="27"/>
        <v>5.014790000000005</v>
      </c>
      <c r="I49" s="2">
        <f t="shared" si="28"/>
        <v>3.4141199999999969</v>
      </c>
      <c r="J49" s="2">
        <f t="shared" si="29"/>
        <v>0.59495118585914475</v>
      </c>
      <c r="K49" s="2">
        <f t="shared" si="30"/>
        <v>0.40504881414085525</v>
      </c>
      <c r="L49" s="2">
        <f t="shared" si="31"/>
        <v>0.19941014479170593</v>
      </c>
      <c r="M49" s="2">
        <f t="shared" si="32"/>
        <v>0.1186393021161692</v>
      </c>
      <c r="N49" s="2">
        <f t="shared" si="33"/>
        <v>8.4289100000000019</v>
      </c>
      <c r="O49" s="2">
        <v>32</v>
      </c>
      <c r="P49">
        <f t="shared" si="34"/>
        <v>6.3811246333345899</v>
      </c>
    </row>
    <row r="50" spans="4:40" x14ac:dyDescent="0.35">
      <c r="D50" s="293">
        <v>4</v>
      </c>
      <c r="F50" s="13">
        <v>123.40111</v>
      </c>
      <c r="G50" s="2">
        <v>126.7462</v>
      </c>
      <c r="H50" s="2">
        <f t="shared" si="27"/>
        <v>3.345089999999999</v>
      </c>
      <c r="I50" s="2">
        <f t="shared" si="28"/>
        <v>5.1869699999999881</v>
      </c>
      <c r="J50" s="2">
        <f t="shared" si="29"/>
        <v>0.39206123726274827</v>
      </c>
      <c r="K50" s="2">
        <f t="shared" si="30"/>
        <v>0.60793876273725167</v>
      </c>
      <c r="L50" s="2">
        <f t="shared" si="31"/>
        <v>0.29894561880248371</v>
      </c>
      <c r="M50" s="2">
        <f t="shared" si="32"/>
        <v>0.11720498918197968</v>
      </c>
      <c r="N50" s="2">
        <f t="shared" si="33"/>
        <v>8.5320599999999871</v>
      </c>
      <c r="O50" s="2">
        <v>24</v>
      </c>
      <c r="P50">
        <f t="shared" si="34"/>
        <v>7.1746948512596092</v>
      </c>
      <c r="R50" t="s">
        <v>738</v>
      </c>
    </row>
    <row r="51" spans="4:40" ht="18.5" x14ac:dyDescent="0.45">
      <c r="D51" s="293">
        <v>4</v>
      </c>
      <c r="F51" s="13">
        <v>131.93316999999999</v>
      </c>
      <c r="G51" s="2">
        <v>136.35284999999999</v>
      </c>
      <c r="H51" s="2">
        <f t="shared" si="27"/>
        <v>4.4196799999999996</v>
      </c>
      <c r="I51" s="2">
        <f t="shared" si="28"/>
        <v>1.9903900000000192</v>
      </c>
      <c r="J51" s="2">
        <f t="shared" si="29"/>
        <v>0.68949013037298912</v>
      </c>
      <c r="K51" s="2">
        <f t="shared" si="30"/>
        <v>0.31050986962701083</v>
      </c>
      <c r="L51" s="2">
        <f t="shared" si="31"/>
        <v>0.22626072475835357</v>
      </c>
      <c r="M51" s="2">
        <f t="shared" si="32"/>
        <v>0.1560045366119242</v>
      </c>
      <c r="N51" s="2">
        <f t="shared" si="33"/>
        <v>6.4100700000000188</v>
      </c>
      <c r="O51" s="2">
        <v>28</v>
      </c>
      <c r="P51">
        <f t="shared" si="34"/>
        <v>6.3353002932338995</v>
      </c>
      <c r="AB51" s="1" t="s">
        <v>741</v>
      </c>
      <c r="AC51" s="3"/>
      <c r="AD51" s="3"/>
      <c r="AE51" s="3"/>
      <c r="AF51" s="3"/>
      <c r="AG51" s="3"/>
      <c r="AH51" s="3"/>
      <c r="AI51" s="3"/>
      <c r="AJ51" s="3"/>
      <c r="AK51" s="3"/>
    </row>
    <row r="52" spans="4:40" ht="16" thickBot="1" x14ac:dyDescent="0.4">
      <c r="D52" s="293">
        <v>4</v>
      </c>
      <c r="F52" s="13">
        <v>138.34324000000001</v>
      </c>
      <c r="G52" s="2">
        <v>141.81317000000001</v>
      </c>
      <c r="H52" s="2">
        <f t="shared" si="27"/>
        <v>3.4699300000000051</v>
      </c>
      <c r="I52" s="2">
        <f t="shared" si="28"/>
        <v>4.0944399999999916</v>
      </c>
      <c r="J52" s="2">
        <f t="shared" si="29"/>
        <v>0.45872028999110387</v>
      </c>
      <c r="K52" s="2">
        <f t="shared" si="30"/>
        <v>0.54127971000889608</v>
      </c>
      <c r="L52" s="2">
        <f t="shared" si="31"/>
        <v>0.28819025167654638</v>
      </c>
      <c r="M52" s="2">
        <f t="shared" si="32"/>
        <v>0.13219871582167456</v>
      </c>
      <c r="N52" s="2">
        <f t="shared" si="33"/>
        <v>7.5643699999999967</v>
      </c>
      <c r="O52" s="2">
        <v>22</v>
      </c>
      <c r="P52">
        <f t="shared" si="34"/>
        <v>6.3401855368840199</v>
      </c>
      <c r="Z52" s="204" t="s">
        <v>406</v>
      </c>
      <c r="AB52" s="9" t="s">
        <v>1</v>
      </c>
      <c r="AC52" s="9" t="s">
        <v>2</v>
      </c>
      <c r="AD52" s="9" t="s">
        <v>3</v>
      </c>
      <c r="AE52" s="9" t="s">
        <v>4</v>
      </c>
      <c r="AF52" s="9" t="s">
        <v>5</v>
      </c>
      <c r="AG52" s="9" t="s">
        <v>6</v>
      </c>
      <c r="AH52" s="9" t="s">
        <v>7</v>
      </c>
      <c r="AI52" s="9" t="s">
        <v>8</v>
      </c>
      <c r="AJ52" s="9" t="s">
        <v>9</v>
      </c>
      <c r="AK52" s="9" t="s">
        <v>10</v>
      </c>
      <c r="AL52" s="44" t="s">
        <v>139</v>
      </c>
      <c r="AN52" s="44" t="s">
        <v>138</v>
      </c>
    </row>
    <row r="53" spans="4:40" x14ac:dyDescent="0.35">
      <c r="D53" s="293">
        <v>4</v>
      </c>
      <c r="F53" s="13">
        <v>145.90761000000001</v>
      </c>
      <c r="G53" s="2">
        <v>148.43634</v>
      </c>
      <c r="H53" s="2">
        <f t="shared" si="27"/>
        <v>2.5287299999999959</v>
      </c>
      <c r="I53" s="2">
        <f t="shared" si="28"/>
        <v>5.9682400000000086</v>
      </c>
      <c r="J53" s="2">
        <f t="shared" si="29"/>
        <v>0.29760373403695606</v>
      </c>
      <c r="K53" s="2">
        <f t="shared" si="30"/>
        <v>0.70239626596304394</v>
      </c>
      <c r="L53" s="2">
        <f t="shared" si="31"/>
        <v>0.39545542624163182</v>
      </c>
      <c r="M53" s="2">
        <f t="shared" si="32"/>
        <v>0.11768901149468569</v>
      </c>
      <c r="N53" s="2">
        <f t="shared" si="33"/>
        <v>8.4969700000000046</v>
      </c>
      <c r="O53" s="2">
        <v>19</v>
      </c>
      <c r="P53">
        <f t="shared" si="34"/>
        <v>7.5136530985910044</v>
      </c>
      <c r="Z53" s="293">
        <v>-2</v>
      </c>
      <c r="AB53" s="13">
        <v>3.006E-2</v>
      </c>
      <c r="AC53" s="2">
        <v>2.24831</v>
      </c>
      <c r="AD53" s="2">
        <f t="shared" ref="AD53:AD64" si="38">AC53-AB53</f>
        <v>2.2182499999999998</v>
      </c>
      <c r="AE53" s="2">
        <f t="shared" ref="AE53:AE64" si="39">AB54-AC53</f>
        <v>4.4208100000000004</v>
      </c>
      <c r="AF53" s="2">
        <f t="shared" ref="AF53:AF64" si="40">AD53/AJ53</f>
        <v>0.33412109545628443</v>
      </c>
      <c r="AG53" s="2">
        <f t="shared" ref="AG53:AG64" si="41">AE53/AJ53</f>
        <v>0.66587890454371557</v>
      </c>
      <c r="AH53" s="2">
        <f t="shared" ref="AH53:AH64" si="42">1/AD53</f>
        <v>0.45080581539501863</v>
      </c>
      <c r="AI53" s="2">
        <f t="shared" ref="AI53:AI82" si="43">1/AJ53</f>
        <v>0.15062373287784714</v>
      </c>
      <c r="AJ53" s="2">
        <f t="shared" ref="AJ53:AJ64" si="44">AD53+AE53</f>
        <v>6.6390600000000006</v>
      </c>
      <c r="AK53" s="2">
        <v>17</v>
      </c>
      <c r="AL53">
        <f t="shared" ref="AL53:AL75" si="45">AK53/AD53</f>
        <v>7.663698861715317</v>
      </c>
      <c r="AN53" t="s">
        <v>742</v>
      </c>
    </row>
    <row r="54" spans="4:40" x14ac:dyDescent="0.35">
      <c r="D54" s="293">
        <v>4</v>
      </c>
      <c r="F54" s="13">
        <v>154.40458000000001</v>
      </c>
      <c r="G54" s="2">
        <v>158.02054999999999</v>
      </c>
      <c r="H54" s="2">
        <f t="shared" si="27"/>
        <v>3.6159699999999759</v>
      </c>
      <c r="I54" s="2">
        <f t="shared" si="28"/>
        <v>3.932200000000023</v>
      </c>
      <c r="J54" s="2">
        <f t="shared" si="29"/>
        <v>0.47905253856232388</v>
      </c>
      <c r="K54" s="2">
        <f t="shared" si="30"/>
        <v>0.52094746143767612</v>
      </c>
      <c r="L54" s="2">
        <f t="shared" si="31"/>
        <v>0.27655096696045783</v>
      </c>
      <c r="M54" s="2">
        <f t="shared" si="32"/>
        <v>0.13248244276427268</v>
      </c>
      <c r="N54" s="2">
        <f t="shared" si="33"/>
        <v>7.5481699999999989</v>
      </c>
      <c r="O54" s="2">
        <v>26</v>
      </c>
      <c r="P54">
        <f t="shared" si="34"/>
        <v>7.1903251409719031</v>
      </c>
      <c r="Z54" s="293">
        <v>-2</v>
      </c>
      <c r="AB54" s="13">
        <v>6.6691200000000004</v>
      </c>
      <c r="AC54" s="2">
        <v>9.8023299999999995</v>
      </c>
      <c r="AD54" s="2">
        <f t="shared" si="38"/>
        <v>3.1332099999999992</v>
      </c>
      <c r="AE54" s="2">
        <f t="shared" si="39"/>
        <v>3.7209099999999999</v>
      </c>
      <c r="AF54" s="2">
        <f t="shared" si="40"/>
        <v>0.45712797558256923</v>
      </c>
      <c r="AG54" s="2">
        <f t="shared" si="41"/>
        <v>0.54287202441743077</v>
      </c>
      <c r="AH54" s="2">
        <f t="shared" si="42"/>
        <v>0.31916149891006357</v>
      </c>
      <c r="AI54" s="2">
        <f t="shared" si="43"/>
        <v>0.14589764988065573</v>
      </c>
      <c r="AJ54" s="2">
        <f t="shared" si="44"/>
        <v>6.8541199999999991</v>
      </c>
      <c r="AK54" s="2">
        <v>24</v>
      </c>
      <c r="AL54">
        <f t="shared" si="45"/>
        <v>7.6598759738415252</v>
      </c>
    </row>
    <row r="55" spans="4:40" x14ac:dyDescent="0.35">
      <c r="D55" s="293">
        <v>4</v>
      </c>
      <c r="F55" s="13">
        <v>161.95275000000001</v>
      </c>
      <c r="G55" s="2">
        <v>165.29333</v>
      </c>
      <c r="H55" s="2">
        <f t="shared" si="27"/>
        <v>3.3405799999999886</v>
      </c>
      <c r="I55" s="2">
        <f t="shared" si="28"/>
        <v>3.190320000000014</v>
      </c>
      <c r="J55" s="2">
        <f t="shared" si="29"/>
        <v>0.5115037743649401</v>
      </c>
      <c r="K55" s="2">
        <f t="shared" si="30"/>
        <v>0.4884962256350599</v>
      </c>
      <c r="L55" s="2">
        <f t="shared" si="31"/>
        <v>0.2993492148070106</v>
      </c>
      <c r="M55" s="2">
        <f t="shared" si="32"/>
        <v>0.15311825322696712</v>
      </c>
      <c r="N55" s="2">
        <f t="shared" si="33"/>
        <v>6.5309000000000026</v>
      </c>
      <c r="O55" s="2">
        <v>21</v>
      </c>
      <c r="P55">
        <f t="shared" si="34"/>
        <v>6.2863335109472223</v>
      </c>
      <c r="Z55" s="293">
        <v>-2</v>
      </c>
      <c r="AB55" s="13">
        <v>13.523239999999999</v>
      </c>
      <c r="AC55" s="2">
        <v>16.492059999999999</v>
      </c>
      <c r="AD55" s="2">
        <f t="shared" si="38"/>
        <v>2.9688199999999991</v>
      </c>
      <c r="AE55" s="2">
        <f t="shared" si="39"/>
        <v>3.8909800000000025</v>
      </c>
      <c r="AF55" s="2">
        <f t="shared" si="40"/>
        <v>0.43278521239686263</v>
      </c>
      <c r="AG55" s="2">
        <f t="shared" si="41"/>
        <v>0.56721478760313737</v>
      </c>
      <c r="AH55" s="2">
        <f t="shared" si="42"/>
        <v>0.33683416306815511</v>
      </c>
      <c r="AI55" s="2">
        <f t="shared" si="43"/>
        <v>0.14577684480597097</v>
      </c>
      <c r="AJ55" s="2">
        <f t="shared" si="44"/>
        <v>6.8598000000000017</v>
      </c>
      <c r="AK55" s="2">
        <v>24</v>
      </c>
      <c r="AL55">
        <f t="shared" si="45"/>
        <v>8.0840199136357231</v>
      </c>
    </row>
    <row r="56" spans="4:40" x14ac:dyDescent="0.35">
      <c r="D56" s="293">
        <v>4</v>
      </c>
      <c r="F56" s="13">
        <v>168.48365000000001</v>
      </c>
      <c r="G56" s="2">
        <v>172.00045</v>
      </c>
      <c r="H56" s="2">
        <f t="shared" si="27"/>
        <v>3.5167999999999893</v>
      </c>
      <c r="I56" s="2">
        <f t="shared" si="28"/>
        <v>6.2181799999999896</v>
      </c>
      <c r="J56" s="2">
        <f t="shared" si="29"/>
        <v>0.36125395224232582</v>
      </c>
      <c r="K56" s="2">
        <f t="shared" si="30"/>
        <v>0.63874604775767418</v>
      </c>
      <c r="L56" s="2">
        <f t="shared" si="31"/>
        <v>0.2843494085532311</v>
      </c>
      <c r="M56" s="2">
        <f t="shared" si="32"/>
        <v>0.10272234765762253</v>
      </c>
      <c r="N56" s="2">
        <f t="shared" si="33"/>
        <v>9.7349799999999789</v>
      </c>
      <c r="O56" s="2">
        <v>24</v>
      </c>
      <c r="P56">
        <f t="shared" si="34"/>
        <v>6.8243858052775455</v>
      </c>
      <c r="Z56" s="293">
        <v>-2</v>
      </c>
      <c r="AB56" s="13">
        <v>20.383040000000001</v>
      </c>
      <c r="AC56" s="2">
        <v>22.550339999999998</v>
      </c>
      <c r="AD56" s="2">
        <f t="shared" si="38"/>
        <v>2.1672999999999973</v>
      </c>
      <c r="AE56" s="2">
        <f t="shared" si="39"/>
        <v>5.4824600000000032</v>
      </c>
      <c r="AF56" s="2">
        <f t="shared" si="40"/>
        <v>0.28331607789002494</v>
      </c>
      <c r="AG56" s="2">
        <f t="shared" si="41"/>
        <v>0.71668392210997511</v>
      </c>
      <c r="AH56" s="2">
        <f t="shared" si="42"/>
        <v>0.46140358971992856</v>
      </c>
      <c r="AI56" s="2">
        <f t="shared" si="43"/>
        <v>0.13072305536382839</v>
      </c>
      <c r="AJ56" s="2">
        <f t="shared" si="44"/>
        <v>7.6497600000000006</v>
      </c>
      <c r="AK56" s="2">
        <v>20</v>
      </c>
      <c r="AL56">
        <f t="shared" si="45"/>
        <v>9.2280717943985717</v>
      </c>
    </row>
    <row r="57" spans="4:40" x14ac:dyDescent="0.35">
      <c r="D57" s="293">
        <v>4</v>
      </c>
      <c r="F57" s="13">
        <v>178.21862999999999</v>
      </c>
      <c r="G57" s="2">
        <v>182.63807</v>
      </c>
      <c r="H57" s="2">
        <f t="shared" si="27"/>
        <v>4.4194400000000087</v>
      </c>
      <c r="I57" s="2">
        <f t="shared" si="28"/>
        <v>3.1693799999999896</v>
      </c>
      <c r="J57" s="2">
        <f t="shared" si="29"/>
        <v>0.58236194823437759</v>
      </c>
      <c r="K57" s="2">
        <f t="shared" si="30"/>
        <v>0.41763805176562235</v>
      </c>
      <c r="L57" s="2">
        <f t="shared" si="31"/>
        <v>0.22627301196531643</v>
      </c>
      <c r="M57" s="2">
        <f t="shared" si="32"/>
        <v>0.1317727920809823</v>
      </c>
      <c r="N57" s="2">
        <f t="shared" si="33"/>
        <v>7.5888199999999983</v>
      </c>
      <c r="O57" s="2">
        <v>29</v>
      </c>
      <c r="P57">
        <f t="shared" si="34"/>
        <v>6.5619173469941767</v>
      </c>
      <c r="Z57" s="293">
        <v>-2</v>
      </c>
      <c r="AB57" s="13">
        <v>28.032800000000002</v>
      </c>
      <c r="AC57" s="2">
        <v>32.044980000000002</v>
      </c>
      <c r="AD57" s="2">
        <f t="shared" si="38"/>
        <v>4.0121800000000007</v>
      </c>
      <c r="AE57" s="2">
        <f t="shared" si="39"/>
        <v>2.9058199999999985</v>
      </c>
      <c r="AF57" s="2">
        <f t="shared" si="40"/>
        <v>0.57996241688349248</v>
      </c>
      <c r="AG57" s="2">
        <f t="shared" si="41"/>
        <v>0.42003758311650752</v>
      </c>
      <c r="AH57" s="2">
        <f t="shared" si="42"/>
        <v>0.24924106096934828</v>
      </c>
      <c r="AI57" s="2">
        <f t="shared" si="43"/>
        <v>0.14455044810638915</v>
      </c>
      <c r="AJ57" s="2">
        <f t="shared" si="44"/>
        <v>6.9179999999999993</v>
      </c>
      <c r="AK57" s="2">
        <v>32</v>
      </c>
      <c r="AL57">
        <f t="shared" si="45"/>
        <v>7.975713951019145</v>
      </c>
    </row>
    <row r="58" spans="4:40" x14ac:dyDescent="0.35">
      <c r="D58" s="293">
        <v>4</v>
      </c>
      <c r="F58" s="13">
        <v>185.80744999999999</v>
      </c>
      <c r="G58" s="2">
        <v>189.33466999999999</v>
      </c>
      <c r="H58" s="2">
        <f t="shared" si="27"/>
        <v>3.5272199999999998</v>
      </c>
      <c r="I58" s="2">
        <f t="shared" si="28"/>
        <v>2.9705800000000124</v>
      </c>
      <c r="J58" s="2">
        <f t="shared" si="29"/>
        <v>0.54283295884760896</v>
      </c>
      <c r="K58" s="2">
        <f t="shared" si="30"/>
        <v>0.4571670411523911</v>
      </c>
      <c r="L58" s="2">
        <f t="shared" si="31"/>
        <v>0.28350939266617903</v>
      </c>
      <c r="M58" s="2">
        <f t="shared" si="32"/>
        <v>0.15389824248207057</v>
      </c>
      <c r="N58" s="2">
        <f t="shared" si="33"/>
        <v>6.4978000000000122</v>
      </c>
      <c r="O58" s="2">
        <v>25</v>
      </c>
      <c r="P58">
        <f t="shared" si="34"/>
        <v>7.0877348166544758</v>
      </c>
      <c r="Z58" s="293">
        <v>-2</v>
      </c>
      <c r="AB58" s="13">
        <v>34.950800000000001</v>
      </c>
      <c r="AC58" s="2">
        <v>37.892000000000003</v>
      </c>
      <c r="AD58" s="2">
        <f t="shared" si="38"/>
        <v>2.941200000000002</v>
      </c>
      <c r="AE58" s="2">
        <f t="shared" si="39"/>
        <v>3.8702799999999939</v>
      </c>
      <c r="AF58" s="2">
        <f t="shared" si="40"/>
        <v>0.43180043103701454</v>
      </c>
      <c r="AG58" s="2">
        <f t="shared" si="41"/>
        <v>0.56819956896298551</v>
      </c>
      <c r="AH58" s="2">
        <f t="shared" si="42"/>
        <v>0.33999728002175961</v>
      </c>
      <c r="AI58" s="2">
        <f t="shared" si="43"/>
        <v>0.14681097206480831</v>
      </c>
      <c r="AJ58" s="2">
        <f t="shared" si="44"/>
        <v>6.811479999999996</v>
      </c>
      <c r="AK58" s="2">
        <v>23</v>
      </c>
      <c r="AL58">
        <f t="shared" si="45"/>
        <v>7.8199374405004702</v>
      </c>
    </row>
    <row r="59" spans="4:40" x14ac:dyDescent="0.35">
      <c r="D59" s="293">
        <v>4</v>
      </c>
      <c r="F59" s="13">
        <v>192.30525</v>
      </c>
      <c r="G59" s="2">
        <v>195.58353</v>
      </c>
      <c r="H59" s="2">
        <f t="shared" si="27"/>
        <v>3.2782799999999952</v>
      </c>
      <c r="I59" s="2">
        <f t="shared" si="28"/>
        <v>4.1391199999999913</v>
      </c>
      <c r="J59" s="2">
        <f t="shared" si="29"/>
        <v>0.441971580338124</v>
      </c>
      <c r="K59" s="2">
        <f t="shared" si="30"/>
        <v>0.558028419661876</v>
      </c>
      <c r="L59" s="2">
        <f t="shared" si="31"/>
        <v>0.30503800773576434</v>
      </c>
      <c r="M59" s="2">
        <f t="shared" si="32"/>
        <v>0.13481813034216866</v>
      </c>
      <c r="N59" s="2">
        <f t="shared" si="33"/>
        <v>7.4173999999999864</v>
      </c>
      <c r="O59" s="2">
        <v>20</v>
      </c>
      <c r="P59">
        <f t="shared" si="34"/>
        <v>6.1007601547152861</v>
      </c>
      <c r="Z59" s="293">
        <v>-2</v>
      </c>
      <c r="AB59" s="13">
        <v>41.762279999999997</v>
      </c>
      <c r="AC59" s="2">
        <v>44.100459999999998</v>
      </c>
      <c r="AD59" s="2">
        <f t="shared" si="38"/>
        <v>2.3381800000000013</v>
      </c>
      <c r="AE59" s="2">
        <f t="shared" si="39"/>
        <v>5.5113899999999987</v>
      </c>
      <c r="AF59" s="2">
        <f t="shared" si="40"/>
        <v>0.2978736414860943</v>
      </c>
      <c r="AG59" s="2">
        <f t="shared" si="41"/>
        <v>0.7021263585139057</v>
      </c>
      <c r="AH59" s="2">
        <f t="shared" si="42"/>
        <v>0.42768306973800113</v>
      </c>
      <c r="AI59" s="2">
        <f t="shared" si="43"/>
        <v>0.12739551338480962</v>
      </c>
      <c r="AJ59" s="2">
        <f t="shared" si="44"/>
        <v>7.8495699999999999</v>
      </c>
      <c r="AK59" s="2">
        <v>19</v>
      </c>
      <c r="AL59">
        <f t="shared" si="45"/>
        <v>8.1259783250220217</v>
      </c>
    </row>
    <row r="60" spans="4:40" x14ac:dyDescent="0.35">
      <c r="D60" s="293">
        <v>4</v>
      </c>
      <c r="F60" s="13">
        <v>199.72264999999999</v>
      </c>
      <c r="G60" s="2">
        <v>204.15964</v>
      </c>
      <c r="H60" s="2">
        <f t="shared" si="27"/>
        <v>4.4369900000000086</v>
      </c>
      <c r="I60" s="2">
        <f t="shared" si="28"/>
        <v>2.039510000000007</v>
      </c>
      <c r="J60" s="2">
        <f t="shared" si="29"/>
        <v>0.68509071257623688</v>
      </c>
      <c r="K60" s="2">
        <f t="shared" si="30"/>
        <v>0.31490928742376317</v>
      </c>
      <c r="L60" s="2">
        <f t="shared" si="31"/>
        <v>0.22537801527612145</v>
      </c>
      <c r="M60" s="2">
        <f t="shared" si="32"/>
        <v>0.15440438508453602</v>
      </c>
      <c r="N60" s="2">
        <f t="shared" si="33"/>
        <v>6.4765000000000157</v>
      </c>
      <c r="O60" s="2">
        <v>26</v>
      </c>
      <c r="P60">
        <f t="shared" si="34"/>
        <v>5.8598283971791574</v>
      </c>
      <c r="Z60" s="293">
        <v>-2</v>
      </c>
      <c r="AB60" s="13">
        <v>49.611849999999997</v>
      </c>
      <c r="AC60" s="2">
        <v>51.96801</v>
      </c>
      <c r="AD60" s="2">
        <f t="shared" si="38"/>
        <v>2.3561600000000027</v>
      </c>
      <c r="AE60" s="2">
        <f t="shared" si="39"/>
        <v>5.9623600000000039</v>
      </c>
      <c r="AF60" s="2">
        <f t="shared" si="40"/>
        <v>0.28324269220967202</v>
      </c>
      <c r="AG60" s="2">
        <f t="shared" si="41"/>
        <v>0.71675730779032798</v>
      </c>
      <c r="AH60" s="2">
        <f t="shared" si="42"/>
        <v>0.42441939426864</v>
      </c>
      <c r="AI60" s="2">
        <f t="shared" si="43"/>
        <v>0.12021369185864783</v>
      </c>
      <c r="AJ60" s="2">
        <f t="shared" si="44"/>
        <v>8.3185200000000066</v>
      </c>
      <c r="AK60" s="2">
        <v>25</v>
      </c>
      <c r="AL60">
        <f t="shared" si="45"/>
        <v>10.610484856716001</v>
      </c>
    </row>
    <row r="61" spans="4:40" x14ac:dyDescent="0.35">
      <c r="D61" s="293">
        <v>4</v>
      </c>
      <c r="F61" s="13">
        <v>206.19915</v>
      </c>
      <c r="G61" s="2">
        <v>210.65133</v>
      </c>
      <c r="H61" s="2">
        <f t="shared" si="27"/>
        <v>4.4521799999999985</v>
      </c>
      <c r="I61" s="2">
        <f t="shared" si="28"/>
        <v>2.9220599999999877</v>
      </c>
      <c r="J61" s="2">
        <f t="shared" si="29"/>
        <v>0.60374764043481188</v>
      </c>
      <c r="K61" s="2">
        <f t="shared" si="30"/>
        <v>0.39625235956518817</v>
      </c>
      <c r="L61" s="2">
        <f t="shared" si="31"/>
        <v>0.22460906791729005</v>
      </c>
      <c r="M61" s="2">
        <f t="shared" si="32"/>
        <v>0.13560719477532626</v>
      </c>
      <c r="N61" s="2">
        <f t="shared" si="33"/>
        <v>7.3742399999999861</v>
      </c>
      <c r="O61" s="2">
        <v>27</v>
      </c>
      <c r="P61">
        <f t="shared" si="34"/>
        <v>6.0644448337668306</v>
      </c>
      <c r="Z61" s="293">
        <v>-2</v>
      </c>
      <c r="AB61" s="13">
        <v>57.930370000000003</v>
      </c>
      <c r="AC61" s="2">
        <v>61.895780000000002</v>
      </c>
      <c r="AD61" s="2">
        <f t="shared" si="38"/>
        <v>3.9654099999999985</v>
      </c>
      <c r="AE61" s="2">
        <f t="shared" si="39"/>
        <v>3.7139099999999985</v>
      </c>
      <c r="AF61" s="2">
        <f t="shared" si="40"/>
        <v>0.51637514779954474</v>
      </c>
      <c r="AG61" s="2">
        <f t="shared" si="41"/>
        <v>0.48362485220045526</v>
      </c>
      <c r="AH61" s="2">
        <f t="shared" si="42"/>
        <v>0.25218073288764603</v>
      </c>
      <c r="AI61" s="2">
        <f t="shared" si="43"/>
        <v>0.13021986321705573</v>
      </c>
      <c r="AJ61" s="2">
        <f t="shared" si="44"/>
        <v>7.679319999999997</v>
      </c>
      <c r="AK61" s="2">
        <v>38</v>
      </c>
      <c r="AL61">
        <f t="shared" si="45"/>
        <v>9.5828678497305493</v>
      </c>
    </row>
    <row r="62" spans="4:40" x14ac:dyDescent="0.35">
      <c r="D62" s="293">
        <v>4</v>
      </c>
      <c r="F62" s="13">
        <v>213.57338999999999</v>
      </c>
      <c r="G62" s="2">
        <v>217.25467</v>
      </c>
      <c r="H62" s="2">
        <f t="shared" si="27"/>
        <v>3.6812800000000152</v>
      </c>
      <c r="I62" s="2">
        <f t="shared" si="28"/>
        <v>4.9498499999999979</v>
      </c>
      <c r="J62" s="2">
        <f t="shared" si="29"/>
        <v>0.42651193991980302</v>
      </c>
      <c r="K62" s="2">
        <f t="shared" si="30"/>
        <v>0.57348806008019693</v>
      </c>
      <c r="L62" s="2">
        <f t="shared" si="31"/>
        <v>0.27164464534074995</v>
      </c>
      <c r="M62" s="2">
        <f t="shared" si="32"/>
        <v>0.11585968465311014</v>
      </c>
      <c r="N62" s="2">
        <f t="shared" si="33"/>
        <v>8.6311300000000131</v>
      </c>
      <c r="O62" s="2">
        <v>28</v>
      </c>
      <c r="P62">
        <f t="shared" si="34"/>
        <v>7.6060500695409976</v>
      </c>
      <c r="Z62" s="293">
        <v>-2</v>
      </c>
      <c r="AB62" s="13">
        <v>65.609690000000001</v>
      </c>
      <c r="AC62" s="2">
        <v>68.741309999999999</v>
      </c>
      <c r="AD62" s="2">
        <f t="shared" si="38"/>
        <v>3.1316199999999981</v>
      </c>
      <c r="AE62" s="2">
        <f t="shared" si="39"/>
        <v>3.7416400000000039</v>
      </c>
      <c r="AF62" s="2">
        <f t="shared" si="40"/>
        <v>0.45562367784719293</v>
      </c>
      <c r="AG62" s="2">
        <f t="shared" si="41"/>
        <v>0.54437632215280707</v>
      </c>
      <c r="AH62" s="2">
        <f t="shared" si="42"/>
        <v>0.31932354500226739</v>
      </c>
      <c r="AI62" s="2">
        <f t="shared" si="43"/>
        <v>0.14549136799713669</v>
      </c>
      <c r="AJ62" s="2">
        <f t="shared" si="44"/>
        <v>6.8732600000000019</v>
      </c>
      <c r="AK62" s="2">
        <v>34</v>
      </c>
      <c r="AL62">
        <f t="shared" si="45"/>
        <v>10.857000530077091</v>
      </c>
    </row>
    <row r="63" spans="4:40" x14ac:dyDescent="0.35">
      <c r="D63" s="293">
        <v>4</v>
      </c>
      <c r="F63" s="13">
        <v>222.20452</v>
      </c>
      <c r="G63" s="2">
        <v>226.6259</v>
      </c>
      <c r="H63" s="2">
        <f t="shared" si="27"/>
        <v>4.4213799999999992</v>
      </c>
      <c r="I63" s="2">
        <f t="shared" si="28"/>
        <v>2.0606099999999969</v>
      </c>
      <c r="J63" s="2">
        <f t="shared" si="29"/>
        <v>0.68210225563445825</v>
      </c>
      <c r="K63" s="2">
        <f t="shared" si="30"/>
        <v>0.3178977443655418</v>
      </c>
      <c r="L63" s="2">
        <f t="shared" si="31"/>
        <v>0.22617372856438492</v>
      </c>
      <c r="M63" s="2">
        <f t="shared" si="32"/>
        <v>0.15427361041902266</v>
      </c>
      <c r="N63" s="2">
        <f t="shared" si="33"/>
        <v>6.4819899999999961</v>
      </c>
      <c r="O63" s="2">
        <v>30</v>
      </c>
      <c r="P63">
        <f t="shared" si="34"/>
        <v>6.7852118569315474</v>
      </c>
      <c r="Z63" s="293">
        <v>-2</v>
      </c>
      <c r="AB63" s="13">
        <v>72.482950000000002</v>
      </c>
      <c r="AC63" s="2">
        <v>75.62509</v>
      </c>
      <c r="AD63" s="2">
        <f t="shared" si="38"/>
        <v>3.1421399999999977</v>
      </c>
      <c r="AE63" s="2">
        <f t="shared" si="39"/>
        <v>4.5120299999999958</v>
      </c>
      <c r="AF63" s="2">
        <f t="shared" si="40"/>
        <v>0.41051348480632133</v>
      </c>
      <c r="AG63" s="2">
        <f t="shared" si="41"/>
        <v>0.58948651519367867</v>
      </c>
      <c r="AH63" s="2">
        <f t="shared" si="42"/>
        <v>0.31825443805813897</v>
      </c>
      <c r="AI63" s="2">
        <f t="shared" si="43"/>
        <v>0.13064773842232416</v>
      </c>
      <c r="AJ63" s="2">
        <f t="shared" si="44"/>
        <v>7.6541699999999935</v>
      </c>
      <c r="AK63" s="2">
        <v>32</v>
      </c>
      <c r="AL63">
        <f t="shared" si="45"/>
        <v>10.184142017860447</v>
      </c>
    </row>
    <row r="64" spans="4:40" x14ac:dyDescent="0.35">
      <c r="D64" s="293">
        <v>4</v>
      </c>
      <c r="F64" s="13">
        <v>228.68651</v>
      </c>
      <c r="G64" s="2">
        <v>232.14944</v>
      </c>
      <c r="H64" s="2">
        <f t="shared" si="27"/>
        <v>3.4629300000000001</v>
      </c>
      <c r="I64" s="2">
        <f t="shared" si="28"/>
        <v>2.9502500000000111</v>
      </c>
      <c r="J64" s="2">
        <f t="shared" si="29"/>
        <v>0.53997081011292281</v>
      </c>
      <c r="K64" s="2">
        <f t="shared" si="30"/>
        <v>0.46002918988707725</v>
      </c>
      <c r="L64" s="2">
        <f t="shared" si="31"/>
        <v>0.28877280222239549</v>
      </c>
      <c r="M64" s="2">
        <f t="shared" si="32"/>
        <v>0.15592888395460572</v>
      </c>
      <c r="N64" s="2">
        <f t="shared" si="33"/>
        <v>6.4131800000000112</v>
      </c>
      <c r="O64" s="2">
        <v>26</v>
      </c>
      <c r="P64">
        <f t="shared" si="34"/>
        <v>7.5080928577822821</v>
      </c>
      <c r="Z64" s="293">
        <v>-2</v>
      </c>
      <c r="AB64" s="13">
        <v>80.137119999999996</v>
      </c>
      <c r="AC64" s="2">
        <v>83.173720000000003</v>
      </c>
      <c r="AD64" s="2">
        <f t="shared" si="38"/>
        <v>3.0366000000000071</v>
      </c>
      <c r="AE64" s="2">
        <f t="shared" si="39"/>
        <v>3.6301100000000019</v>
      </c>
      <c r="AF64" s="2">
        <f t="shared" si="40"/>
        <v>0.45548703933424478</v>
      </c>
      <c r="AG64" s="2">
        <f t="shared" si="41"/>
        <v>0.54451296066575527</v>
      </c>
      <c r="AH64" s="2">
        <f t="shared" si="42"/>
        <v>0.32931568201277667</v>
      </c>
      <c r="AI64" s="2">
        <f t="shared" si="43"/>
        <v>0.14999902500633724</v>
      </c>
      <c r="AJ64" s="2">
        <f t="shared" si="44"/>
        <v>6.666710000000009</v>
      </c>
      <c r="AK64" s="2">
        <v>33</v>
      </c>
      <c r="AL64">
        <f t="shared" si="45"/>
        <v>10.86741750642163</v>
      </c>
    </row>
    <row r="65" spans="4:40" x14ac:dyDescent="0.35">
      <c r="D65" s="293">
        <v>4</v>
      </c>
      <c r="F65" s="13">
        <v>235.09969000000001</v>
      </c>
      <c r="G65" s="2">
        <v>239.59343999999999</v>
      </c>
      <c r="H65" s="2">
        <f t="shared" si="27"/>
        <v>4.4937499999999773</v>
      </c>
      <c r="I65" s="2"/>
      <c r="J65" s="2"/>
      <c r="K65" s="2"/>
      <c r="L65" s="2"/>
      <c r="M65" s="2"/>
      <c r="N65" s="2"/>
      <c r="O65" s="2"/>
      <c r="Z65" s="293">
        <v>-2</v>
      </c>
      <c r="AB65" s="13">
        <v>86.803830000000005</v>
      </c>
      <c r="AC65" s="2">
        <v>89.870930000000001</v>
      </c>
      <c r="AD65" s="2">
        <f t="shared" ref="AD65:AD83" si="46">AC65-AB65</f>
        <v>3.0670999999999964</v>
      </c>
      <c r="AE65" s="2">
        <f t="shared" ref="AE65:AE82" si="47">AB66-AC65</f>
        <v>4.5867800000000045</v>
      </c>
      <c r="AF65" s="2">
        <f t="shared" ref="AF65:AF82" si="48">AD65/AJ65</f>
        <v>0.40072486111619154</v>
      </c>
      <c r="AG65" s="2">
        <f t="shared" ref="AG65:AG82" si="49">AE65/AJ65</f>
        <v>0.59927513888380846</v>
      </c>
      <c r="AH65" s="2">
        <f t="shared" ref="AH65:AH82" si="50">1/AD65</f>
        <v>0.32604088552704547</v>
      </c>
      <c r="AI65" s="2">
        <f t="shared" si="43"/>
        <v>0.13065268857102541</v>
      </c>
      <c r="AJ65" s="2">
        <f t="shared" ref="AJ65:AJ82" si="51">AD65+AE65</f>
        <v>7.6538800000000009</v>
      </c>
      <c r="AK65" s="2">
        <v>33</v>
      </c>
      <c r="AL65">
        <f t="shared" si="45"/>
        <v>10.759349222392501</v>
      </c>
    </row>
    <row r="66" spans="4:40" x14ac:dyDescent="0.35">
      <c r="D66" s="293"/>
      <c r="F66" s="13"/>
      <c r="G66" s="2"/>
      <c r="H66" s="2"/>
      <c r="I66" s="2"/>
      <c r="J66" s="2"/>
      <c r="K66" s="2"/>
      <c r="L66" s="2"/>
      <c r="M66" s="2"/>
      <c r="N66" s="2"/>
      <c r="O66" s="2"/>
      <c r="Z66" s="293">
        <v>-2</v>
      </c>
      <c r="AB66" s="13">
        <v>94.457710000000006</v>
      </c>
      <c r="AC66" s="2">
        <v>99.27131</v>
      </c>
      <c r="AD66" s="2">
        <f t="shared" si="46"/>
        <v>4.8135999999999939</v>
      </c>
      <c r="AE66" s="2">
        <f t="shared" si="47"/>
        <v>3.6008000000000067</v>
      </c>
      <c r="AF66" s="2">
        <f t="shared" si="48"/>
        <v>0.57206693287697208</v>
      </c>
      <c r="AG66" s="2">
        <f t="shared" si="49"/>
        <v>0.42793306712302798</v>
      </c>
      <c r="AH66" s="2">
        <f t="shared" si="50"/>
        <v>0.20774472328402885</v>
      </c>
      <c r="AI66" s="2">
        <f t="shared" si="43"/>
        <v>0.11884388667046966</v>
      </c>
      <c r="AJ66" s="2">
        <f t="shared" si="51"/>
        <v>8.4144000000000005</v>
      </c>
      <c r="AK66" s="2">
        <v>45</v>
      </c>
      <c r="AL66">
        <f t="shared" si="45"/>
        <v>9.3485125477812989</v>
      </c>
    </row>
    <row r="67" spans="4:40" x14ac:dyDescent="0.35">
      <c r="D67" s="293"/>
      <c r="F67" s="13"/>
      <c r="G67" s="2"/>
      <c r="H67" s="2"/>
      <c r="I67" s="2"/>
      <c r="J67" s="2"/>
      <c r="K67" s="2"/>
      <c r="L67" s="2"/>
      <c r="M67" s="2"/>
      <c r="N67" s="2"/>
      <c r="O67" s="2"/>
      <c r="Z67" s="293">
        <v>-2</v>
      </c>
      <c r="AB67" s="13">
        <v>102.87211000000001</v>
      </c>
      <c r="AC67" s="2">
        <v>106.06963</v>
      </c>
      <c r="AD67" s="2">
        <f t="shared" si="46"/>
        <v>3.1975199999999973</v>
      </c>
      <c r="AE67" s="2">
        <f t="shared" si="47"/>
        <v>5.294479999999993</v>
      </c>
      <c r="AF67" s="2">
        <f t="shared" si="48"/>
        <v>0.37653320772491766</v>
      </c>
      <c r="AG67" s="2">
        <f t="shared" si="49"/>
        <v>0.62346679227508228</v>
      </c>
      <c r="AH67" s="2">
        <f t="shared" si="50"/>
        <v>0.31274237534088944</v>
      </c>
      <c r="AI67" s="2">
        <f t="shared" si="43"/>
        <v>0.1177578897786153</v>
      </c>
      <c r="AJ67" s="2">
        <f t="shared" si="51"/>
        <v>8.4919999999999902</v>
      </c>
      <c r="AK67" s="2">
        <v>33</v>
      </c>
      <c r="AL67">
        <f t="shared" si="45"/>
        <v>10.320498386249351</v>
      </c>
    </row>
    <row r="68" spans="4:40" x14ac:dyDescent="0.35">
      <c r="D68" s="293"/>
      <c r="F68" s="13"/>
      <c r="G68" s="2"/>
      <c r="H68" s="2"/>
      <c r="I68" s="2"/>
      <c r="J68" s="2"/>
      <c r="K68" s="2"/>
      <c r="L68" s="2"/>
      <c r="M68" s="2"/>
      <c r="N68" s="2"/>
      <c r="O68" s="2"/>
      <c r="Z68" s="293">
        <v>-2</v>
      </c>
      <c r="AB68" s="13">
        <v>111.36411</v>
      </c>
      <c r="AC68" s="2">
        <v>115.49182999999999</v>
      </c>
      <c r="AD68" s="2">
        <f t="shared" si="46"/>
        <v>4.1277199999999965</v>
      </c>
      <c r="AE68" s="2">
        <f t="shared" si="47"/>
        <v>3.4691100000000006</v>
      </c>
      <c r="AF68" s="2">
        <f t="shared" si="48"/>
        <v>0.54334768581105519</v>
      </c>
      <c r="AG68" s="2">
        <f t="shared" si="49"/>
        <v>0.45665231418894486</v>
      </c>
      <c r="AH68" s="2">
        <f t="shared" si="50"/>
        <v>0.2422644946847172</v>
      </c>
      <c r="AI68" s="2">
        <f t="shared" si="43"/>
        <v>0.13163385254112575</v>
      </c>
      <c r="AJ68" s="2">
        <f t="shared" si="51"/>
        <v>7.5968299999999971</v>
      </c>
      <c r="AK68" s="2">
        <v>43</v>
      </c>
      <c r="AL68">
        <f t="shared" si="45"/>
        <v>10.417373271442839</v>
      </c>
    </row>
    <row r="69" spans="4:40" x14ac:dyDescent="0.35">
      <c r="F69" s="13"/>
      <c r="H69" s="2"/>
      <c r="I69" s="2"/>
      <c r="J69" s="2"/>
      <c r="K69" s="2"/>
      <c r="L69" s="2"/>
      <c r="M69" s="2"/>
      <c r="N69" s="2"/>
      <c r="O69" s="2"/>
      <c r="Z69" s="293">
        <v>-3</v>
      </c>
      <c r="AB69" s="13">
        <v>118.96093999999999</v>
      </c>
      <c r="AC69" s="2">
        <v>121.61227</v>
      </c>
      <c r="AD69" s="2">
        <f t="shared" si="46"/>
        <v>2.6513300000000015</v>
      </c>
      <c r="AE69" s="2">
        <f t="shared" si="47"/>
        <v>4.6815200000000061</v>
      </c>
      <c r="AF69" s="2">
        <f t="shared" si="48"/>
        <v>0.36156883067293055</v>
      </c>
      <c r="AG69" s="2">
        <f t="shared" si="49"/>
        <v>0.63843116932706945</v>
      </c>
      <c r="AH69" s="2">
        <f t="shared" si="50"/>
        <v>0.37716919432888379</v>
      </c>
      <c r="AI69" s="2">
        <f t="shared" si="43"/>
        <v>0.13637262455934582</v>
      </c>
      <c r="AJ69" s="2">
        <f t="shared" si="51"/>
        <v>7.3328500000000076</v>
      </c>
      <c r="AK69" s="2">
        <v>13</v>
      </c>
      <c r="AL69">
        <f t="shared" si="45"/>
        <v>4.9031995262754888</v>
      </c>
      <c r="AN69" t="s">
        <v>743</v>
      </c>
    </row>
    <row r="70" spans="4:40" ht="16" thickBot="1" x14ac:dyDescent="0.4">
      <c r="F70" s="13"/>
      <c r="G70" s="13"/>
      <c r="H70" s="9" t="s">
        <v>3</v>
      </c>
      <c r="I70" s="9" t="s">
        <v>4</v>
      </c>
      <c r="J70" s="9" t="s">
        <v>5</v>
      </c>
      <c r="K70" s="9" t="s">
        <v>6</v>
      </c>
      <c r="L70" s="9" t="s">
        <v>7</v>
      </c>
      <c r="M70" s="9" t="s">
        <v>8</v>
      </c>
      <c r="N70" s="9" t="s">
        <v>9</v>
      </c>
      <c r="O70" s="9" t="s">
        <v>10</v>
      </c>
      <c r="P70" s="44" t="s">
        <v>139</v>
      </c>
      <c r="Z70" s="293">
        <v>-3</v>
      </c>
      <c r="AB70" s="13">
        <v>126.29379</v>
      </c>
      <c r="AC70" s="2">
        <v>130.13884999999999</v>
      </c>
      <c r="AD70" s="2">
        <f t="shared" si="46"/>
        <v>3.8450599999999895</v>
      </c>
      <c r="AE70" s="2">
        <f t="shared" si="47"/>
        <v>3.7494200000000149</v>
      </c>
      <c r="AF70" s="2">
        <f t="shared" si="48"/>
        <v>0.50629667864027394</v>
      </c>
      <c r="AG70" s="2">
        <f t="shared" si="49"/>
        <v>0.49370332135972611</v>
      </c>
      <c r="AH70" s="2">
        <f t="shared" si="50"/>
        <v>0.26007396503565683</v>
      </c>
      <c r="AI70" s="2">
        <f t="shared" si="43"/>
        <v>0.1316745846983598</v>
      </c>
      <c r="AJ70" s="2">
        <f t="shared" si="51"/>
        <v>7.5944800000000043</v>
      </c>
      <c r="AK70" s="2">
        <v>11</v>
      </c>
      <c r="AL70">
        <f t="shared" si="45"/>
        <v>2.8608136153922255</v>
      </c>
    </row>
    <row r="71" spans="4:40" x14ac:dyDescent="0.35">
      <c r="E71" s="104" t="s">
        <v>447</v>
      </c>
      <c r="F71" s="13"/>
      <c r="G71" s="49" t="s">
        <v>77</v>
      </c>
      <c r="H71" s="13">
        <f>AVERAGE(H38:H64)</f>
        <v>4.0911955555555561</v>
      </c>
      <c r="I71" s="13">
        <f t="shared" ref="I71:P71" si="52">AVERAGE(I38:I64)</f>
        <v>3.5334566666666669</v>
      </c>
      <c r="J71" s="13">
        <f t="shared" si="52"/>
        <v>0.54214079586338826</v>
      </c>
      <c r="K71" s="13">
        <f t="shared" si="52"/>
        <v>0.4578592041366118</v>
      </c>
      <c r="L71" s="13">
        <f t="shared" si="52"/>
        <v>0.25412325895171339</v>
      </c>
      <c r="M71" s="13">
        <f t="shared" si="52"/>
        <v>0.13302365364177207</v>
      </c>
      <c r="N71" s="13">
        <f t="shared" si="52"/>
        <v>7.6246522222222222</v>
      </c>
      <c r="O71" s="13">
        <f t="shared" si="52"/>
        <v>27.185185185185187</v>
      </c>
      <c r="P71" s="13">
        <f t="shared" si="52"/>
        <v>6.6924417349032854</v>
      </c>
      <c r="Z71" s="293">
        <v>-3</v>
      </c>
      <c r="AB71" s="13">
        <v>133.88827000000001</v>
      </c>
      <c r="AC71" s="2">
        <v>136.84368000000001</v>
      </c>
      <c r="AD71" s="2">
        <f t="shared" si="46"/>
        <v>2.9554100000000005</v>
      </c>
      <c r="AE71" s="2">
        <f t="shared" si="47"/>
        <v>4.6588199999999915</v>
      </c>
      <c r="AF71" s="2">
        <f t="shared" si="48"/>
        <v>0.38814299016446885</v>
      </c>
      <c r="AG71" s="2">
        <f t="shared" si="49"/>
        <v>0.61185700983553115</v>
      </c>
      <c r="AH71" s="2">
        <f t="shared" si="50"/>
        <v>0.33836252838015701</v>
      </c>
      <c r="AI71" s="2">
        <f t="shared" si="43"/>
        <v>0.1313330435250841</v>
      </c>
      <c r="AJ71" s="2">
        <f t="shared" si="51"/>
        <v>7.6142299999999921</v>
      </c>
      <c r="AK71" s="2">
        <v>36</v>
      </c>
      <c r="AL71">
        <f t="shared" si="45"/>
        <v>12.181051021685652</v>
      </c>
    </row>
    <row r="72" spans="4:40" x14ac:dyDescent="0.35">
      <c r="E72" s="104"/>
      <c r="F72" s="13"/>
      <c r="G72" s="49" t="s">
        <v>94</v>
      </c>
      <c r="H72" s="2">
        <f>_xlfn.STDEV.S(H38:H64)</f>
        <v>0.84602499826829869</v>
      </c>
      <c r="I72" s="2">
        <f t="shared" ref="I72:P72" si="53">_xlfn.STDEV.S(I38:I64)</f>
        <v>1.1535159736648615</v>
      </c>
      <c r="J72" s="2">
        <f t="shared" si="53"/>
        <v>0.11245006391865385</v>
      </c>
      <c r="K72" s="2">
        <f t="shared" si="53"/>
        <v>0.11245006391865385</v>
      </c>
      <c r="L72" s="2">
        <f t="shared" si="53"/>
        <v>5.0736308029843219E-2</v>
      </c>
      <c r="M72" s="2">
        <f t="shared" si="53"/>
        <v>1.5889969295001801E-2</v>
      </c>
      <c r="N72" s="2">
        <f t="shared" si="53"/>
        <v>0.94043034350209498</v>
      </c>
      <c r="O72" s="2">
        <f t="shared" si="53"/>
        <v>4.9461487507339914</v>
      </c>
      <c r="P72" s="2">
        <f t="shared" si="53"/>
        <v>0.5047849854849823</v>
      </c>
      <c r="Z72" s="293">
        <v>-3</v>
      </c>
      <c r="AB72" s="13">
        <v>141.5025</v>
      </c>
      <c r="AC72" s="2">
        <v>144.33760000000001</v>
      </c>
      <c r="AD72" s="2">
        <f t="shared" si="46"/>
        <v>2.8351000000000113</v>
      </c>
      <c r="AE72" s="2">
        <f t="shared" si="47"/>
        <v>5.6320900000000051</v>
      </c>
      <c r="AF72" s="2">
        <f t="shared" si="48"/>
        <v>0.334833634298983</v>
      </c>
      <c r="AG72" s="2">
        <f t="shared" si="49"/>
        <v>0.66516636570101706</v>
      </c>
      <c r="AH72" s="2">
        <f t="shared" si="50"/>
        <v>0.35272124440054886</v>
      </c>
      <c r="AI72" s="2">
        <f t="shared" si="43"/>
        <v>0.11810293615709558</v>
      </c>
      <c r="AJ72" s="2">
        <f t="shared" si="51"/>
        <v>8.4671900000000164</v>
      </c>
      <c r="AK72" s="2">
        <v>26</v>
      </c>
      <c r="AL72">
        <f t="shared" si="45"/>
        <v>9.1707523544142706</v>
      </c>
    </row>
    <row r="73" spans="4:40" x14ac:dyDescent="0.35">
      <c r="E73" s="104"/>
      <c r="F73" s="13"/>
      <c r="G73" s="49" t="s">
        <v>95</v>
      </c>
      <c r="H73" s="2">
        <f>H72/(SQRT(COUNT(H38:H64)))</f>
        <v>0.16281758683045164</v>
      </c>
      <c r="I73" s="2">
        <f t="shared" ref="I73:P73" si="54">I72/(SQRT(COUNT(I38:I64)))</f>
        <v>0.22199425263664702</v>
      </c>
      <c r="J73" s="2">
        <f t="shared" si="54"/>
        <v>2.1641024891275142E-2</v>
      </c>
      <c r="K73" s="2">
        <f t="shared" si="54"/>
        <v>2.1641024891275142E-2</v>
      </c>
      <c r="L73" s="2">
        <f t="shared" si="54"/>
        <v>9.764207032905918E-3</v>
      </c>
      <c r="M73" s="2">
        <f t="shared" si="54"/>
        <v>3.0580260166280593E-3</v>
      </c>
      <c r="N73" s="2">
        <f t="shared" si="54"/>
        <v>0.18098590399167558</v>
      </c>
      <c r="O73" s="2">
        <f t="shared" si="54"/>
        <v>0.95188677089606699</v>
      </c>
      <c r="P73" s="2">
        <f t="shared" si="54"/>
        <v>9.7145915750878623E-2</v>
      </c>
      <c r="Z73" s="293">
        <v>-3</v>
      </c>
      <c r="AB73" s="13">
        <v>149.96969000000001</v>
      </c>
      <c r="AC73" s="2">
        <v>153.98515</v>
      </c>
      <c r="AD73" s="2">
        <f t="shared" si="46"/>
        <v>4.0154599999999903</v>
      </c>
      <c r="AE73" s="2">
        <f t="shared" si="47"/>
        <v>4.5411599999999908</v>
      </c>
      <c r="AF73" s="2">
        <f t="shared" si="48"/>
        <v>0.46928109463783585</v>
      </c>
      <c r="AG73" s="2">
        <f t="shared" si="49"/>
        <v>0.53071890536216415</v>
      </c>
      <c r="AH73" s="2">
        <f t="shared" si="50"/>
        <v>0.24903747017776354</v>
      </c>
      <c r="AI73" s="2">
        <f t="shared" si="43"/>
        <v>0.11686857661085828</v>
      </c>
      <c r="AJ73" s="2">
        <f t="shared" si="51"/>
        <v>8.556619999999981</v>
      </c>
      <c r="AK73" s="2">
        <v>26</v>
      </c>
      <c r="AL73">
        <f t="shared" si="45"/>
        <v>6.4749742246218522</v>
      </c>
    </row>
    <row r="74" spans="4:40" x14ac:dyDescent="0.35">
      <c r="E74" s="104"/>
      <c r="Z74" s="293">
        <v>-3</v>
      </c>
      <c r="AB74" s="13">
        <v>158.52631</v>
      </c>
      <c r="AC74" s="2">
        <v>161.74135999999999</v>
      </c>
      <c r="AD74" s="2">
        <f t="shared" si="46"/>
        <v>3.2150499999999909</v>
      </c>
      <c r="AE74" s="2">
        <f t="shared" si="47"/>
        <v>5.3780500000000018</v>
      </c>
      <c r="AF74" s="2">
        <f t="shared" si="48"/>
        <v>0.37414320792263484</v>
      </c>
      <c r="AG74" s="2">
        <f t="shared" si="49"/>
        <v>0.62585679207736511</v>
      </c>
      <c r="AH74" s="2">
        <f t="shared" si="50"/>
        <v>0.31103715338797305</v>
      </c>
      <c r="AI74" s="2">
        <f t="shared" si="43"/>
        <v>0.11637243835170089</v>
      </c>
      <c r="AJ74" s="2">
        <f t="shared" si="51"/>
        <v>8.5930999999999926</v>
      </c>
      <c r="AK74" s="2">
        <v>37</v>
      </c>
      <c r="AL74">
        <f t="shared" si="45"/>
        <v>11.508374675355004</v>
      </c>
    </row>
    <row r="75" spans="4:40" x14ac:dyDescent="0.35">
      <c r="E75" s="3"/>
      <c r="F75" s="2"/>
      <c r="G75" s="2"/>
      <c r="H75" s="2"/>
      <c r="I75" s="2"/>
      <c r="J75" s="2"/>
      <c r="K75" s="2"/>
      <c r="L75" s="2"/>
      <c r="M75" s="2"/>
      <c r="N75" s="2"/>
      <c r="O75" s="2"/>
      <c r="P75" s="2"/>
      <c r="Q75" s="2"/>
      <c r="R75" s="2"/>
      <c r="S75" s="2"/>
      <c r="Z75" s="293">
        <v>-3</v>
      </c>
      <c r="AB75" s="13">
        <v>167.11940999999999</v>
      </c>
      <c r="AC75" s="2">
        <v>170.16439</v>
      </c>
      <c r="AD75" s="2">
        <f t="shared" si="46"/>
        <v>3.0449800000000096</v>
      </c>
      <c r="AE75" s="2">
        <f t="shared" si="47"/>
        <v>6.4013199999999983</v>
      </c>
      <c r="AF75" s="2">
        <f t="shared" si="48"/>
        <v>0.32234631548860476</v>
      </c>
      <c r="AG75" s="2">
        <f t="shared" si="49"/>
        <v>0.67765368451139529</v>
      </c>
      <c r="AH75" s="2">
        <f t="shared" si="50"/>
        <v>0.32840938199922393</v>
      </c>
      <c r="AI75" s="2">
        <f t="shared" si="43"/>
        <v>0.10586155425933955</v>
      </c>
      <c r="AJ75" s="2">
        <f t="shared" si="51"/>
        <v>9.4463000000000079</v>
      </c>
      <c r="AK75" s="2">
        <v>29</v>
      </c>
      <c r="AL75">
        <f t="shared" si="45"/>
        <v>9.5238720779774937</v>
      </c>
    </row>
    <row r="76" spans="4:40" ht="15.5" x14ac:dyDescent="0.35">
      <c r="E76" s="3"/>
      <c r="F76" s="2"/>
      <c r="G76" s="13"/>
      <c r="H76" s="5"/>
      <c r="I76" s="5"/>
      <c r="J76" s="5"/>
      <c r="K76" s="5"/>
      <c r="L76" s="5"/>
      <c r="M76" s="5"/>
      <c r="N76" s="5"/>
      <c r="O76" s="5"/>
      <c r="P76" s="14"/>
      <c r="Q76" s="2"/>
      <c r="R76" s="2"/>
      <c r="S76" s="2"/>
      <c r="Z76" s="293">
        <v>-3</v>
      </c>
      <c r="AB76" s="13">
        <v>176.56571</v>
      </c>
      <c r="AC76" s="2">
        <v>179.59791000000001</v>
      </c>
      <c r="AD76" s="2">
        <f t="shared" si="46"/>
        <v>3.0322000000000173</v>
      </c>
      <c r="AE76" s="2">
        <f t="shared" si="47"/>
        <v>5.4101699999999937</v>
      </c>
      <c r="AF76" s="2">
        <f t="shared" si="48"/>
        <v>0.35916454739605269</v>
      </c>
      <c r="AG76" s="2">
        <f t="shared" si="49"/>
        <v>0.64083545260394725</v>
      </c>
      <c r="AH76" s="2">
        <f t="shared" si="50"/>
        <v>0.329793549238175</v>
      </c>
      <c r="AI76" s="2">
        <f t="shared" si="43"/>
        <v>0.11845015084626695</v>
      </c>
      <c r="AJ76" s="2">
        <f t="shared" si="51"/>
        <v>8.442370000000011</v>
      </c>
      <c r="AK76" s="2">
        <v>32</v>
      </c>
      <c r="AL76">
        <f t="shared" ref="AL76:AL82" si="55">AK76/AD76</f>
        <v>10.5533935756216</v>
      </c>
    </row>
    <row r="77" spans="4:40" x14ac:dyDescent="0.35">
      <c r="E77" s="3"/>
      <c r="F77" s="2"/>
      <c r="G77" s="49"/>
      <c r="H77" s="13"/>
      <c r="I77" s="13"/>
      <c r="J77" s="13"/>
      <c r="K77" s="13"/>
      <c r="L77" s="13"/>
      <c r="M77" s="13"/>
      <c r="N77" s="13"/>
      <c r="O77" s="13"/>
      <c r="P77" s="13"/>
      <c r="Q77" s="2"/>
      <c r="R77" s="2"/>
      <c r="S77" s="2"/>
      <c r="Z77" s="293">
        <v>-3</v>
      </c>
      <c r="AB77" s="13">
        <v>185.00808000000001</v>
      </c>
      <c r="AC77" s="2">
        <v>187.94872000000001</v>
      </c>
      <c r="AD77" s="2">
        <f t="shared" si="46"/>
        <v>2.9406400000000019</v>
      </c>
      <c r="AE77" s="2">
        <f t="shared" si="47"/>
        <v>4.4985099999999818</v>
      </c>
      <c r="AF77" s="2">
        <f t="shared" si="48"/>
        <v>0.39529247293037623</v>
      </c>
      <c r="AG77" s="2">
        <f t="shared" si="49"/>
        <v>0.60470752706962372</v>
      </c>
      <c r="AH77" s="2">
        <f t="shared" si="50"/>
        <v>0.34006202731378182</v>
      </c>
      <c r="AI77" s="2">
        <f t="shared" si="43"/>
        <v>0.13442395972658197</v>
      </c>
      <c r="AJ77" s="2">
        <f t="shared" si="51"/>
        <v>7.4391499999999837</v>
      </c>
      <c r="AK77" s="2">
        <v>32</v>
      </c>
      <c r="AL77">
        <f t="shared" si="55"/>
        <v>10.881984874041018</v>
      </c>
    </row>
    <row r="78" spans="4:40" x14ac:dyDescent="0.35">
      <c r="E78" s="2"/>
      <c r="F78" s="2"/>
      <c r="G78" s="49"/>
      <c r="H78" s="2"/>
      <c r="I78" s="2"/>
      <c r="J78" s="2"/>
      <c r="K78" s="2"/>
      <c r="L78" s="2"/>
      <c r="M78" s="2"/>
      <c r="N78" s="2"/>
      <c r="O78" s="2"/>
      <c r="P78" s="2"/>
      <c r="Q78" s="2"/>
      <c r="R78" s="2"/>
      <c r="S78" s="2"/>
      <c r="Z78" s="293">
        <v>-3</v>
      </c>
      <c r="AB78" s="13">
        <v>192.44722999999999</v>
      </c>
      <c r="AC78" s="2">
        <v>195.47646</v>
      </c>
      <c r="AD78" s="2">
        <f t="shared" si="46"/>
        <v>3.0292300000000125</v>
      </c>
      <c r="AE78" s="2">
        <f t="shared" si="47"/>
        <v>4.5089499999999987</v>
      </c>
      <c r="AF78" s="2">
        <f t="shared" si="48"/>
        <v>0.40185164058167994</v>
      </c>
      <c r="AG78" s="2">
        <f t="shared" si="49"/>
        <v>0.59814835941832012</v>
      </c>
      <c r="AH78" s="2">
        <f t="shared" si="50"/>
        <v>0.33011689439230296</v>
      </c>
      <c r="AI78" s="2">
        <f t="shared" si="43"/>
        <v>0.13265801559527612</v>
      </c>
      <c r="AJ78" s="2">
        <f t="shared" si="51"/>
        <v>7.5381800000000112</v>
      </c>
      <c r="AK78" s="2">
        <v>28</v>
      </c>
      <c r="AL78">
        <f t="shared" si="55"/>
        <v>9.243273042984482</v>
      </c>
    </row>
    <row r="79" spans="4:40" x14ac:dyDescent="0.35">
      <c r="E79" s="2"/>
      <c r="F79" s="2"/>
      <c r="G79" s="49"/>
      <c r="H79" s="2"/>
      <c r="I79" s="2"/>
      <c r="J79" s="2"/>
      <c r="K79" s="2"/>
      <c r="L79" s="2"/>
      <c r="M79" s="2"/>
      <c r="N79" s="2"/>
      <c r="O79" s="2"/>
      <c r="P79" s="2"/>
      <c r="Q79" s="2"/>
      <c r="R79" s="2"/>
      <c r="S79" s="2"/>
      <c r="Z79" s="293">
        <v>-3</v>
      </c>
      <c r="AB79" s="13">
        <v>199.98541</v>
      </c>
      <c r="AC79" s="2">
        <v>203.84674000000001</v>
      </c>
      <c r="AD79" s="2">
        <f t="shared" si="46"/>
        <v>3.8613300000000095</v>
      </c>
      <c r="AE79" s="2">
        <f t="shared" si="47"/>
        <v>4.5393399999999815</v>
      </c>
      <c r="AF79" s="2">
        <f t="shared" si="48"/>
        <v>0.45964548065809196</v>
      </c>
      <c r="AG79" s="2">
        <f t="shared" si="49"/>
        <v>0.54035451934190804</v>
      </c>
      <c r="AH79" s="2">
        <f t="shared" si="50"/>
        <v>0.25897812411785515</v>
      </c>
      <c r="AI79" s="2">
        <f t="shared" si="43"/>
        <v>0.11903812434008253</v>
      </c>
      <c r="AJ79" s="2">
        <f t="shared" si="51"/>
        <v>8.400669999999991</v>
      </c>
      <c r="AK79" s="2">
        <v>29</v>
      </c>
      <c r="AL79">
        <f t="shared" si="55"/>
        <v>7.5103655994177991</v>
      </c>
    </row>
    <row r="80" spans="4:40" x14ac:dyDescent="0.35">
      <c r="E80" s="2"/>
      <c r="F80" s="2"/>
      <c r="G80" s="2"/>
      <c r="H80" s="2"/>
      <c r="I80" s="2"/>
      <c r="J80" s="2"/>
      <c r="K80" s="2"/>
      <c r="L80" s="2"/>
      <c r="M80" s="2"/>
      <c r="N80" s="2"/>
      <c r="O80" s="2"/>
      <c r="P80" s="2"/>
      <c r="Q80" s="2"/>
      <c r="R80" s="2"/>
      <c r="S80" s="2"/>
      <c r="Z80" s="293">
        <v>-3</v>
      </c>
      <c r="AB80" s="13">
        <v>208.38607999999999</v>
      </c>
      <c r="AC80" s="2">
        <v>211.56084999999999</v>
      </c>
      <c r="AD80" s="2">
        <f t="shared" si="46"/>
        <v>3.1747699999999952</v>
      </c>
      <c r="AE80" s="2">
        <f t="shared" si="47"/>
        <v>5.0364900000000148</v>
      </c>
      <c r="AF80" s="2">
        <f t="shared" si="48"/>
        <v>0.38663615571787902</v>
      </c>
      <c r="AG80" s="2">
        <f t="shared" si="49"/>
        <v>0.61336384428212098</v>
      </c>
      <c r="AH80" s="2">
        <f t="shared" si="50"/>
        <v>0.31498344761982805</v>
      </c>
      <c r="AI80" s="2">
        <f t="shared" si="43"/>
        <v>0.12178398930249423</v>
      </c>
      <c r="AJ80" s="2">
        <f t="shared" si="51"/>
        <v>8.21126000000001</v>
      </c>
      <c r="AK80" s="2">
        <v>35</v>
      </c>
      <c r="AL80">
        <f t="shared" si="55"/>
        <v>11.024420666693981</v>
      </c>
    </row>
    <row r="81" spans="4:38" x14ac:dyDescent="0.35">
      <c r="E81" s="2"/>
      <c r="F81" s="2"/>
      <c r="G81" s="2"/>
      <c r="H81" s="2"/>
      <c r="I81" s="2"/>
      <c r="J81" s="2"/>
      <c r="K81" s="2"/>
      <c r="L81" s="2"/>
      <c r="M81" s="2"/>
      <c r="N81" s="2"/>
      <c r="O81" s="2"/>
      <c r="P81" s="2"/>
      <c r="Q81" s="2"/>
      <c r="R81" s="2"/>
      <c r="S81" s="2"/>
      <c r="Z81" s="293">
        <v>-3</v>
      </c>
      <c r="AB81" s="13">
        <v>216.59734</v>
      </c>
      <c r="AC81" s="2">
        <v>219.68985000000001</v>
      </c>
      <c r="AD81" s="2">
        <f t="shared" si="46"/>
        <v>3.0925100000000043</v>
      </c>
      <c r="AE81" s="2">
        <f t="shared" si="47"/>
        <v>4.3751599999999939</v>
      </c>
      <c r="AF81" s="2">
        <f t="shared" si="48"/>
        <v>0.41411979908057067</v>
      </c>
      <c r="AG81" s="2">
        <f t="shared" si="49"/>
        <v>0.58588020091942938</v>
      </c>
      <c r="AH81" s="2">
        <f t="shared" si="50"/>
        <v>0.32336192930661456</v>
      </c>
      <c r="AI81" s="2">
        <f t="shared" si="43"/>
        <v>0.1339105771947609</v>
      </c>
      <c r="AJ81" s="2">
        <f t="shared" si="51"/>
        <v>7.4676699999999983</v>
      </c>
      <c r="AK81" s="2">
        <v>35</v>
      </c>
      <c r="AL81">
        <f t="shared" si="55"/>
        <v>11.31766752573151</v>
      </c>
    </row>
    <row r="82" spans="4:38" x14ac:dyDescent="0.35">
      <c r="E82" s="2"/>
      <c r="F82" s="2"/>
      <c r="G82" s="2"/>
      <c r="H82" s="2"/>
      <c r="I82" s="2"/>
      <c r="J82" s="2"/>
      <c r="K82" s="2"/>
      <c r="L82" s="2"/>
      <c r="M82" s="2"/>
      <c r="N82" s="2"/>
      <c r="O82" s="2"/>
      <c r="P82" s="2"/>
      <c r="Q82" s="2"/>
      <c r="R82" s="2"/>
      <c r="S82" s="2"/>
      <c r="Z82" s="293">
        <v>-3</v>
      </c>
      <c r="AB82" s="13">
        <v>224.06501</v>
      </c>
      <c r="AC82" s="2">
        <v>227.14457999999999</v>
      </c>
      <c r="AD82" s="2">
        <f t="shared" si="46"/>
        <v>3.0795699999999897</v>
      </c>
      <c r="AE82" s="2">
        <f t="shared" si="47"/>
        <v>4.1738100000000031</v>
      </c>
      <c r="AF82" s="2">
        <f t="shared" si="48"/>
        <v>0.42457033824230811</v>
      </c>
      <c r="AG82" s="2">
        <f t="shared" si="49"/>
        <v>0.57542966175769195</v>
      </c>
      <c r="AH82" s="2">
        <f t="shared" si="50"/>
        <v>0.3247206590530507</v>
      </c>
      <c r="AI82" s="2">
        <f t="shared" si="43"/>
        <v>0.13786676004841894</v>
      </c>
      <c r="AJ82" s="2">
        <f t="shared" si="51"/>
        <v>7.2533799999999928</v>
      </c>
      <c r="AK82" s="2">
        <v>28</v>
      </c>
      <c r="AL82">
        <f t="shared" si="55"/>
        <v>9.0921784534854204</v>
      </c>
    </row>
    <row r="83" spans="4:38" x14ac:dyDescent="0.35">
      <c r="Z83" s="293">
        <v>-3</v>
      </c>
      <c r="AB83" s="13">
        <v>231.31838999999999</v>
      </c>
      <c r="AC83" s="2">
        <v>234.14796999999999</v>
      </c>
      <c r="AD83" s="2">
        <f t="shared" si="46"/>
        <v>2.8295799999999929</v>
      </c>
      <c r="AE83" s="2"/>
      <c r="AF83" s="2"/>
      <c r="AG83" s="2"/>
      <c r="AH83" s="2"/>
      <c r="AI83" s="2"/>
      <c r="AJ83" s="2"/>
      <c r="AK83" s="2"/>
    </row>
    <row r="84" spans="4:38" ht="18.5" x14ac:dyDescent="0.45">
      <c r="F84" s="1" t="s">
        <v>733</v>
      </c>
      <c r="G84" s="3"/>
      <c r="H84" s="3"/>
      <c r="I84" s="3"/>
      <c r="J84" s="3"/>
      <c r="K84" s="3"/>
      <c r="L84" s="3"/>
      <c r="M84" s="3"/>
      <c r="N84" s="3"/>
      <c r="O84" s="3"/>
      <c r="Z84" s="293"/>
      <c r="AB84" s="13"/>
      <c r="AC84" s="2"/>
      <c r="AD84" s="2"/>
      <c r="AE84" s="2"/>
      <c r="AF84" s="2"/>
      <c r="AG84" s="2"/>
      <c r="AH84" s="2"/>
      <c r="AI84" s="2"/>
      <c r="AJ84" s="2"/>
      <c r="AK84" s="2"/>
    </row>
    <row r="85" spans="4:38" ht="16" thickBot="1" x14ac:dyDescent="0.4">
      <c r="D85" s="204" t="s">
        <v>406</v>
      </c>
      <c r="F85" s="9" t="s">
        <v>1</v>
      </c>
      <c r="G85" s="9" t="s">
        <v>2</v>
      </c>
      <c r="H85" s="9" t="s">
        <v>3</v>
      </c>
      <c r="I85" s="9" t="s">
        <v>4</v>
      </c>
      <c r="J85" s="9" t="s">
        <v>5</v>
      </c>
      <c r="K85" s="9" t="s">
        <v>6</v>
      </c>
      <c r="L85" s="9" t="s">
        <v>7</v>
      </c>
      <c r="M85" s="9" t="s">
        <v>8</v>
      </c>
      <c r="N85" s="9" t="s">
        <v>9</v>
      </c>
      <c r="O85" s="9" t="s">
        <v>10</v>
      </c>
      <c r="P85" s="44" t="s">
        <v>139</v>
      </c>
      <c r="R85" s="44" t="s">
        <v>138</v>
      </c>
      <c r="Z85" s="293"/>
      <c r="AB85" s="13"/>
      <c r="AC85" s="2"/>
      <c r="AD85" s="2"/>
      <c r="AE85" s="2"/>
      <c r="AF85" s="2"/>
      <c r="AG85" s="2"/>
      <c r="AH85" s="2"/>
      <c r="AI85" s="2"/>
      <c r="AJ85" s="2"/>
      <c r="AK85" s="2"/>
    </row>
    <row r="86" spans="4:38" x14ac:dyDescent="0.35">
      <c r="D86" s="177">
        <v>4</v>
      </c>
      <c r="E86" s="157"/>
      <c r="F86" s="132">
        <v>0.81176000000000004</v>
      </c>
      <c r="G86" s="132">
        <v>4.5886899999999997</v>
      </c>
      <c r="H86" s="132">
        <f>G86-F86</f>
        <v>3.7769299999999997</v>
      </c>
      <c r="I86" s="132">
        <f t="shared" ref="I86:I101" si="56">F87-G86</f>
        <v>0.6898200000000001</v>
      </c>
      <c r="J86" s="132">
        <f>H86/N86</f>
        <v>0.84556556780657077</v>
      </c>
      <c r="K86" s="132">
        <f>I86/N86</f>
        <v>0.15443443219342928</v>
      </c>
      <c r="L86" s="132">
        <f>1/H86</f>
        <v>0.26476529880087796</v>
      </c>
      <c r="M86" s="132">
        <f>1/N86</f>
        <v>0.22387642021604079</v>
      </c>
      <c r="N86" s="132">
        <f>H86+I86</f>
        <v>4.4667499999999993</v>
      </c>
      <c r="O86" s="132">
        <v>26</v>
      </c>
      <c r="P86" s="157">
        <f>O86/H86</f>
        <v>6.8838977688228278</v>
      </c>
      <c r="R86" t="s">
        <v>739</v>
      </c>
      <c r="Z86" s="293"/>
      <c r="AB86" s="13"/>
      <c r="AC86" s="2"/>
      <c r="AD86" s="2"/>
      <c r="AE86" s="2"/>
      <c r="AF86" s="2"/>
      <c r="AG86" s="2"/>
      <c r="AH86" s="2"/>
      <c r="AI86" s="2"/>
      <c r="AJ86" s="2"/>
      <c r="AK86" s="2"/>
    </row>
    <row r="87" spans="4:38" ht="16" thickBot="1" x14ac:dyDescent="0.4">
      <c r="D87" s="172">
        <v>0</v>
      </c>
      <c r="E87" s="85"/>
      <c r="F87" s="13">
        <v>5.2785099999999998</v>
      </c>
      <c r="G87" s="13">
        <v>7.93283</v>
      </c>
      <c r="H87" s="13">
        <f t="shared" ref="H87:H101" si="57">G87-F87</f>
        <v>2.6543200000000002</v>
      </c>
      <c r="I87" s="13">
        <f t="shared" si="56"/>
        <v>3.8315799999999998</v>
      </c>
      <c r="J87" s="13">
        <f t="shared" ref="J87:J101" si="58">H87/N87</f>
        <v>0.40924466920550739</v>
      </c>
      <c r="K87" s="13">
        <f t="shared" ref="K87:K101" si="59">I87/N87</f>
        <v>0.59075533079449261</v>
      </c>
      <c r="L87" s="13">
        <f t="shared" ref="L87:L101" si="60">1/H87</f>
        <v>0.37674432623044696</v>
      </c>
      <c r="M87" s="13">
        <f t="shared" ref="M87:M101" si="61">1/N87</f>
        <v>0.15418060716323101</v>
      </c>
      <c r="N87" s="13">
        <f t="shared" ref="N87:N101" si="62">H87+I87</f>
        <v>6.4859</v>
      </c>
      <c r="O87" s="13">
        <v>19</v>
      </c>
      <c r="P87" s="85">
        <f t="shared" ref="P87:P101" si="63">O87/H87</f>
        <v>7.1581421983784921</v>
      </c>
      <c r="Z87" s="293"/>
      <c r="AA87" s="104" t="s">
        <v>426</v>
      </c>
      <c r="AB87" s="13"/>
      <c r="AC87" s="13"/>
      <c r="AD87" s="9" t="s">
        <v>3</v>
      </c>
      <c r="AE87" s="9" t="s">
        <v>4</v>
      </c>
      <c r="AF87" s="9" t="s">
        <v>5</v>
      </c>
      <c r="AG87" s="9" t="s">
        <v>6</v>
      </c>
      <c r="AH87" s="9" t="s">
        <v>7</v>
      </c>
      <c r="AI87" s="9" t="s">
        <v>8</v>
      </c>
      <c r="AJ87" s="9" t="s">
        <v>9</v>
      </c>
      <c r="AK87" s="9" t="s">
        <v>10</v>
      </c>
      <c r="AL87" s="44" t="s">
        <v>139</v>
      </c>
    </row>
    <row r="88" spans="4:38" x14ac:dyDescent="0.35">
      <c r="D88" s="177">
        <v>4</v>
      </c>
      <c r="E88" s="157"/>
      <c r="F88" s="132">
        <v>11.76441</v>
      </c>
      <c r="G88" s="132">
        <v>14.495609999999999</v>
      </c>
      <c r="H88" s="132">
        <f t="shared" si="57"/>
        <v>2.7311999999999994</v>
      </c>
      <c r="I88" s="132">
        <f t="shared" si="56"/>
        <v>6.0125799999999998</v>
      </c>
      <c r="J88" s="132">
        <f t="shared" si="58"/>
        <v>0.31235918561537457</v>
      </c>
      <c r="K88" s="132">
        <f t="shared" si="59"/>
        <v>0.68764081438462543</v>
      </c>
      <c r="L88" s="132">
        <f t="shared" si="60"/>
        <v>0.36613942589338028</v>
      </c>
      <c r="M88" s="132">
        <f t="shared" si="61"/>
        <v>0.11436701289373705</v>
      </c>
      <c r="N88" s="132">
        <f t="shared" si="62"/>
        <v>8.7437799999999992</v>
      </c>
      <c r="O88" s="132">
        <v>18</v>
      </c>
      <c r="P88" s="157">
        <f t="shared" si="63"/>
        <v>6.5905096660808447</v>
      </c>
      <c r="Z88" s="293"/>
      <c r="AB88" s="13"/>
      <c r="AC88" s="49" t="s">
        <v>77</v>
      </c>
      <c r="AD88" s="13">
        <f>AVERAGE(AD53:AD68)</f>
        <v>3.1635631249999991</v>
      </c>
      <c r="AE88" s="13">
        <f t="shared" ref="AE88:AL88" si="64">AVERAGE(AE53:AE68)</f>
        <v>4.2696168750000005</v>
      </c>
      <c r="AF88" s="13">
        <f t="shared" si="64"/>
        <v>0.42693134876615341</v>
      </c>
      <c r="AG88" s="13">
        <f t="shared" si="64"/>
        <v>0.57306865123384654</v>
      </c>
      <c r="AH88" s="13">
        <f t="shared" si="64"/>
        <v>0.33233829680552651</v>
      </c>
      <c r="AI88" s="13">
        <f t="shared" si="64"/>
        <v>0.13545238878419041</v>
      </c>
      <c r="AJ88" s="13">
        <f t="shared" si="64"/>
        <v>7.4331800000000001</v>
      </c>
      <c r="AK88" s="13">
        <f t="shared" si="64"/>
        <v>29.6875</v>
      </c>
      <c r="AL88" s="13">
        <f t="shared" si="64"/>
        <v>9.3440589030502803</v>
      </c>
    </row>
    <row r="89" spans="4:38" x14ac:dyDescent="0.35">
      <c r="D89" s="172">
        <v>0</v>
      </c>
      <c r="E89" s="85"/>
      <c r="F89" s="13">
        <v>20.508189999999999</v>
      </c>
      <c r="G89" s="13">
        <v>21.99324</v>
      </c>
      <c r="H89" s="13">
        <f t="shared" si="57"/>
        <v>1.4850500000000011</v>
      </c>
      <c r="I89" s="13">
        <f t="shared" si="56"/>
        <v>5.0853099999999998</v>
      </c>
      <c r="J89" s="13">
        <f t="shared" si="58"/>
        <v>0.2260226228091004</v>
      </c>
      <c r="K89" s="13">
        <f t="shared" si="59"/>
        <v>0.77397737719089965</v>
      </c>
      <c r="L89" s="13">
        <f t="shared" si="60"/>
        <v>0.6733780007407153</v>
      </c>
      <c r="M89" s="13">
        <f t="shared" si="61"/>
        <v>0.15219866186936482</v>
      </c>
      <c r="N89" s="13">
        <f t="shared" si="62"/>
        <v>6.5703600000000009</v>
      </c>
      <c r="O89" s="13">
        <v>10</v>
      </c>
      <c r="P89" s="85">
        <f t="shared" si="63"/>
        <v>6.7337800074071534</v>
      </c>
      <c r="Z89" s="293"/>
      <c r="AA89" s="104"/>
      <c r="AB89" s="13"/>
      <c r="AC89" s="49" t="s">
        <v>94</v>
      </c>
      <c r="AD89" s="2">
        <f>_xlfn.STDEV.S(AD53:AD68)</f>
        <v>0.74614529936841489</v>
      </c>
      <c r="AE89" s="2">
        <f t="shared" ref="AE89:AL89" si="65">_xlfn.STDEV.S(AE53:AE68)</f>
        <v>0.8816443569355209</v>
      </c>
      <c r="AF89" s="2">
        <f t="shared" si="65"/>
        <v>9.6153350199007406E-2</v>
      </c>
      <c r="AG89" s="2">
        <f t="shared" si="65"/>
        <v>9.6153350199007406E-2</v>
      </c>
      <c r="AH89" s="2">
        <f t="shared" si="65"/>
        <v>7.5842918583303373E-2</v>
      </c>
      <c r="AI89" s="2">
        <f t="shared" si="65"/>
        <v>1.145007443094972E-2</v>
      </c>
      <c r="AJ89" s="2">
        <f t="shared" si="65"/>
        <v>0.63877632439949728</v>
      </c>
      <c r="AK89" s="2">
        <f t="shared" si="65"/>
        <v>8.3404136588061384</v>
      </c>
      <c r="AL89" s="2">
        <f t="shared" si="65"/>
        <v>1.2655694338280155</v>
      </c>
    </row>
    <row r="90" spans="4:38" x14ac:dyDescent="0.35">
      <c r="D90" s="177">
        <v>4</v>
      </c>
      <c r="E90" s="157"/>
      <c r="F90" s="132">
        <v>27.07855</v>
      </c>
      <c r="G90" s="132">
        <v>30.855</v>
      </c>
      <c r="H90" s="132">
        <f t="shared" si="57"/>
        <v>3.7764500000000005</v>
      </c>
      <c r="I90" s="132">
        <f t="shared" si="56"/>
        <v>1.7152300000000018</v>
      </c>
      <c r="J90" s="132">
        <f t="shared" si="58"/>
        <v>0.68766752614864646</v>
      </c>
      <c r="K90" s="132">
        <f t="shared" si="59"/>
        <v>0.31233247385135354</v>
      </c>
      <c r="L90" s="132">
        <f t="shared" si="60"/>
        <v>0.26479895139615245</v>
      </c>
      <c r="M90" s="132">
        <f t="shared" si="61"/>
        <v>0.18209363983334784</v>
      </c>
      <c r="N90" s="132">
        <f t="shared" si="62"/>
        <v>5.4916800000000023</v>
      </c>
      <c r="O90" s="132">
        <v>19</v>
      </c>
      <c r="P90" s="157">
        <f t="shared" si="63"/>
        <v>5.0311800765268959</v>
      </c>
      <c r="Z90" s="293"/>
      <c r="AA90" s="104"/>
      <c r="AB90" s="13"/>
      <c r="AC90" s="49" t="s">
        <v>95</v>
      </c>
      <c r="AD90" s="2">
        <f>AD89/(SQRT(COUNT(AD53:AD68)))</f>
        <v>0.18653632484210372</v>
      </c>
      <c r="AE90" s="2">
        <f t="shared" ref="AE90:AL90" si="66">AE89/(SQRT(COUNT(AE53:AE68)))</f>
        <v>0.22041108923388023</v>
      </c>
      <c r="AF90" s="2">
        <f t="shared" si="66"/>
        <v>2.4038337549751852E-2</v>
      </c>
      <c r="AG90" s="2">
        <f t="shared" si="66"/>
        <v>2.4038337549751852E-2</v>
      </c>
      <c r="AH90" s="2">
        <f t="shared" si="66"/>
        <v>1.8960729645825843E-2</v>
      </c>
      <c r="AI90" s="2">
        <f t="shared" si="66"/>
        <v>2.8625186077374299E-3</v>
      </c>
      <c r="AJ90" s="2">
        <f t="shared" si="66"/>
        <v>0.15969408109987432</v>
      </c>
      <c r="AK90" s="2">
        <f t="shared" si="66"/>
        <v>2.0851034147015346</v>
      </c>
      <c r="AL90" s="2">
        <f t="shared" si="66"/>
        <v>0.31639235845700386</v>
      </c>
    </row>
    <row r="91" spans="4:38" x14ac:dyDescent="0.35">
      <c r="D91" s="172">
        <v>0</v>
      </c>
      <c r="F91" s="13">
        <v>32.570230000000002</v>
      </c>
      <c r="G91" s="2">
        <v>35.215490000000003</v>
      </c>
      <c r="H91" s="2">
        <f t="shared" si="57"/>
        <v>2.6452600000000004</v>
      </c>
      <c r="I91" s="2">
        <f t="shared" si="56"/>
        <v>4.9366500000000002</v>
      </c>
      <c r="J91" s="2">
        <f t="shared" si="58"/>
        <v>0.34889097865841195</v>
      </c>
      <c r="K91" s="2">
        <f t="shared" si="59"/>
        <v>0.65110902134158799</v>
      </c>
      <c r="L91" s="2">
        <f t="shared" si="60"/>
        <v>0.37803467334023871</v>
      </c>
      <c r="M91" s="2">
        <f t="shared" si="61"/>
        <v>0.13189288714848896</v>
      </c>
      <c r="N91" s="2">
        <f t="shared" si="62"/>
        <v>7.5819100000000006</v>
      </c>
      <c r="O91" s="2">
        <v>21</v>
      </c>
      <c r="P91">
        <f t="shared" si="63"/>
        <v>7.9387281401450132</v>
      </c>
      <c r="Z91" s="293"/>
      <c r="AA91" s="104"/>
    </row>
    <row r="92" spans="4:38" x14ac:dyDescent="0.35">
      <c r="D92" s="177">
        <v>4</v>
      </c>
      <c r="E92" s="157"/>
      <c r="F92" s="132">
        <v>40.152140000000003</v>
      </c>
      <c r="G92" s="132">
        <v>43.663359999999997</v>
      </c>
      <c r="H92" s="132">
        <f t="shared" si="57"/>
        <v>3.5112199999999945</v>
      </c>
      <c r="I92" s="132">
        <f t="shared" si="56"/>
        <v>2.9344200000000029</v>
      </c>
      <c r="J92" s="132">
        <f t="shared" si="58"/>
        <v>0.54474342346144</v>
      </c>
      <c r="K92" s="132">
        <f t="shared" si="59"/>
        <v>0.45525657653856005</v>
      </c>
      <c r="L92" s="132">
        <f t="shared" si="60"/>
        <v>0.284801294137081</v>
      </c>
      <c r="M92" s="132">
        <f t="shared" si="61"/>
        <v>0.15514363197448203</v>
      </c>
      <c r="N92" s="132">
        <f t="shared" si="62"/>
        <v>6.4456399999999974</v>
      </c>
      <c r="O92" s="132">
        <v>21</v>
      </c>
      <c r="P92" s="157">
        <f t="shared" si="63"/>
        <v>5.9808271768787016</v>
      </c>
      <c r="Z92" s="293"/>
    </row>
    <row r="93" spans="4:38" x14ac:dyDescent="0.35">
      <c r="D93" s="172">
        <v>0</v>
      </c>
      <c r="F93" s="13">
        <v>46.59778</v>
      </c>
      <c r="G93" s="2">
        <v>48.13015</v>
      </c>
      <c r="H93" s="2">
        <f t="shared" si="57"/>
        <v>1.5323700000000002</v>
      </c>
      <c r="I93" s="2">
        <f t="shared" si="56"/>
        <v>4.8588499999999968</v>
      </c>
      <c r="J93" s="2">
        <f t="shared" si="58"/>
        <v>0.23976173563106903</v>
      </c>
      <c r="K93" s="2">
        <f t="shared" si="59"/>
        <v>0.76023826436893094</v>
      </c>
      <c r="L93" s="2">
        <f t="shared" si="60"/>
        <v>0.6525839059757107</v>
      </c>
      <c r="M93" s="2">
        <f t="shared" si="61"/>
        <v>0.15646464994163875</v>
      </c>
      <c r="N93" s="2">
        <f t="shared" si="62"/>
        <v>6.391219999999997</v>
      </c>
      <c r="O93" s="2">
        <v>10</v>
      </c>
      <c r="P93">
        <f t="shared" si="63"/>
        <v>6.5258390597571072</v>
      </c>
      <c r="Z93" s="293"/>
    </row>
    <row r="94" spans="4:38" ht="16" thickBot="1" x14ac:dyDescent="0.4">
      <c r="D94" s="177">
        <v>4</v>
      </c>
      <c r="E94" s="157"/>
      <c r="F94" s="132">
        <v>52.988999999999997</v>
      </c>
      <c r="G94" s="132">
        <v>56.454999999999998</v>
      </c>
      <c r="H94" s="132">
        <f t="shared" si="57"/>
        <v>3.4660000000000011</v>
      </c>
      <c r="I94" s="132">
        <f t="shared" si="56"/>
        <v>4.2200200000000052</v>
      </c>
      <c r="J94" s="132">
        <f t="shared" si="58"/>
        <v>0.45094860539004561</v>
      </c>
      <c r="K94" s="132">
        <f t="shared" si="59"/>
        <v>0.54905139460995445</v>
      </c>
      <c r="L94" s="132">
        <f t="shared" si="60"/>
        <v>0.28851702250432765</v>
      </c>
      <c r="M94" s="132">
        <f t="shared" si="61"/>
        <v>0.13010634892961495</v>
      </c>
      <c r="N94" s="132">
        <f t="shared" si="62"/>
        <v>7.6860200000000063</v>
      </c>
      <c r="O94" s="132">
        <v>23</v>
      </c>
      <c r="P94" s="157">
        <f t="shared" si="63"/>
        <v>6.6358915175995365</v>
      </c>
      <c r="Z94" s="293"/>
      <c r="AA94" s="104" t="s">
        <v>473</v>
      </c>
      <c r="AB94" s="13"/>
      <c r="AC94" s="13"/>
      <c r="AD94" s="9" t="s">
        <v>3</v>
      </c>
      <c r="AE94" s="9" t="s">
        <v>4</v>
      </c>
      <c r="AF94" s="9" t="s">
        <v>5</v>
      </c>
      <c r="AG94" s="9" t="s">
        <v>6</v>
      </c>
      <c r="AH94" s="9" t="s">
        <v>7</v>
      </c>
      <c r="AI94" s="9" t="s">
        <v>8</v>
      </c>
      <c r="AJ94" s="9" t="s">
        <v>9</v>
      </c>
      <c r="AK94" s="9" t="s">
        <v>10</v>
      </c>
      <c r="AL94" s="44" t="s">
        <v>139</v>
      </c>
    </row>
    <row r="95" spans="4:38" x14ac:dyDescent="0.35">
      <c r="D95" s="172">
        <v>0</v>
      </c>
      <c r="F95" s="13">
        <v>60.675020000000004</v>
      </c>
      <c r="G95" s="2">
        <v>63.264069999999997</v>
      </c>
      <c r="H95" s="2">
        <f t="shared" si="57"/>
        <v>2.5890499999999932</v>
      </c>
      <c r="I95" s="2">
        <f t="shared" si="56"/>
        <v>5.039980000000007</v>
      </c>
      <c r="J95" s="2">
        <f t="shared" si="58"/>
        <v>0.3393681765571761</v>
      </c>
      <c r="K95" s="2">
        <f t="shared" si="59"/>
        <v>0.6606318234428239</v>
      </c>
      <c r="L95" s="2">
        <f t="shared" si="60"/>
        <v>0.38624205789768551</v>
      </c>
      <c r="M95" s="2">
        <f t="shared" si="61"/>
        <v>0.13107826289842875</v>
      </c>
      <c r="N95" s="2">
        <f t="shared" si="62"/>
        <v>7.6290300000000002</v>
      </c>
      <c r="O95" s="2">
        <v>19</v>
      </c>
      <c r="P95">
        <f t="shared" si="63"/>
        <v>7.3385991000560242</v>
      </c>
      <c r="Z95" s="293"/>
      <c r="AB95" s="13"/>
      <c r="AC95" s="49" t="s">
        <v>77</v>
      </c>
      <c r="AD95" s="13">
        <f>AVERAGE(AD69:AD82)</f>
        <v>3.1980457142857159</v>
      </c>
      <c r="AE95" s="13">
        <f t="shared" ref="AE95:AL95" si="67">AVERAGE(AE69:AE82)</f>
        <v>4.8274864285714267</v>
      </c>
      <c r="AF95" s="13">
        <f t="shared" si="67"/>
        <v>0.39984951331662077</v>
      </c>
      <c r="AG95" s="13">
        <f t="shared" si="67"/>
        <v>0.60015048668337923</v>
      </c>
      <c r="AH95" s="13">
        <f t="shared" si="67"/>
        <v>0.31705911205370108</v>
      </c>
      <c r="AI95" s="13">
        <f t="shared" si="67"/>
        <v>0.12533695251540466</v>
      </c>
      <c r="AJ95" s="13">
        <f t="shared" si="67"/>
        <v>8.0255321428571431</v>
      </c>
      <c r="AK95" s="13">
        <f t="shared" si="67"/>
        <v>28.357142857142858</v>
      </c>
      <c r="AL95" s="13">
        <f t="shared" si="67"/>
        <v>9.0175943738355571</v>
      </c>
    </row>
    <row r="96" spans="4:38" x14ac:dyDescent="0.35">
      <c r="D96" s="177">
        <v>4</v>
      </c>
      <c r="E96" s="157"/>
      <c r="F96" s="132">
        <v>68.304050000000004</v>
      </c>
      <c r="G96" s="132">
        <v>70.915859999999995</v>
      </c>
      <c r="H96" s="132">
        <f t="shared" si="57"/>
        <v>2.6118099999999913</v>
      </c>
      <c r="I96" s="132">
        <f t="shared" si="56"/>
        <v>1.7881100000000032</v>
      </c>
      <c r="J96" s="132">
        <f t="shared" si="58"/>
        <v>0.59360397461771908</v>
      </c>
      <c r="K96" s="132">
        <f t="shared" si="59"/>
        <v>0.40639602538228092</v>
      </c>
      <c r="L96" s="132">
        <f t="shared" si="60"/>
        <v>0.38287624291200484</v>
      </c>
      <c r="M96" s="132">
        <f t="shared" si="61"/>
        <v>0.22727685957926536</v>
      </c>
      <c r="N96" s="132">
        <f t="shared" si="62"/>
        <v>4.3999199999999945</v>
      </c>
      <c r="O96" s="132">
        <v>19</v>
      </c>
      <c r="P96" s="157">
        <f t="shared" si="63"/>
        <v>7.2746486153280916</v>
      </c>
      <c r="Z96" s="293"/>
      <c r="AA96" s="104"/>
      <c r="AB96" s="13"/>
      <c r="AC96" s="49" t="s">
        <v>94</v>
      </c>
      <c r="AD96" s="2">
        <f>_xlfn.STDEV.S(AD69:AD82)</f>
        <v>0.410247106129838</v>
      </c>
      <c r="AE96" s="2">
        <f t="shared" ref="AE96:AL96" si="68">_xlfn.STDEV.S(AE69:AE82)</f>
        <v>0.68101947866197821</v>
      </c>
      <c r="AF96" s="2">
        <f t="shared" si="68"/>
        <v>5.1808652029106041E-2</v>
      </c>
      <c r="AG96" s="2">
        <f t="shared" si="68"/>
        <v>5.1808652029106068E-2</v>
      </c>
      <c r="AH96" s="2">
        <f t="shared" si="68"/>
        <v>3.6915838388117878E-2</v>
      </c>
      <c r="AI96" s="2">
        <f t="shared" si="68"/>
        <v>9.7979761801084541E-3</v>
      </c>
      <c r="AJ96" s="2">
        <f t="shared" si="68"/>
        <v>0.64987435373993896</v>
      </c>
      <c r="AK96" s="2">
        <f t="shared" si="68"/>
        <v>7.8309754069449014</v>
      </c>
      <c r="AL96" s="2">
        <f t="shared" si="68"/>
        <v>2.7071256694234411</v>
      </c>
    </row>
    <row r="97" spans="4:38" x14ac:dyDescent="0.35">
      <c r="D97" s="172">
        <v>0</v>
      </c>
      <c r="F97" s="13">
        <v>72.703969999999998</v>
      </c>
      <c r="G97" s="2">
        <v>75.334559999999996</v>
      </c>
      <c r="H97" s="2">
        <f t="shared" si="57"/>
        <v>2.630589999999998</v>
      </c>
      <c r="I97" s="2">
        <f t="shared" si="56"/>
        <v>6.9796500000000066</v>
      </c>
      <c r="J97" s="2">
        <f t="shared" si="58"/>
        <v>0.27372781533031398</v>
      </c>
      <c r="K97" s="2">
        <f t="shared" si="59"/>
        <v>0.72627218466968602</v>
      </c>
      <c r="L97" s="2">
        <f t="shared" si="60"/>
        <v>0.38014285768591866</v>
      </c>
      <c r="M97" s="2">
        <f t="shared" si="61"/>
        <v>0.10405567394778897</v>
      </c>
      <c r="N97" s="2">
        <f t="shared" si="62"/>
        <v>9.6102400000000046</v>
      </c>
      <c r="O97" s="2">
        <v>20</v>
      </c>
      <c r="P97">
        <f t="shared" si="63"/>
        <v>7.6028571537183733</v>
      </c>
      <c r="Z97" s="293"/>
      <c r="AA97" s="104"/>
      <c r="AB97" s="13"/>
      <c r="AC97" s="49" t="s">
        <v>95</v>
      </c>
      <c r="AD97" s="2">
        <f>AD96/(SQRT(COUNT(AD69:AD82)))</f>
        <v>0.10964315107523867</v>
      </c>
      <c r="AE97" s="2">
        <f t="shared" ref="AE97:AL97" si="69">AE96/(SQRT(COUNT(AE69:AE82)))</f>
        <v>0.18201011163375211</v>
      </c>
      <c r="AF97" s="2">
        <f t="shared" si="69"/>
        <v>1.3846444683107527E-2</v>
      </c>
      <c r="AG97" s="2">
        <f t="shared" si="69"/>
        <v>1.3846444683107533E-2</v>
      </c>
      <c r="AH97" s="2">
        <f t="shared" si="69"/>
        <v>9.8661728138467342E-3</v>
      </c>
      <c r="AI97" s="2">
        <f t="shared" si="69"/>
        <v>2.6186192821241374E-3</v>
      </c>
      <c r="AJ97" s="2">
        <f t="shared" si="69"/>
        <v>0.17368622686757029</v>
      </c>
      <c r="AK97" s="2">
        <f t="shared" si="69"/>
        <v>2.0929162126457475</v>
      </c>
      <c r="AL97" s="2">
        <f t="shared" si="69"/>
        <v>0.7235097684231121</v>
      </c>
    </row>
    <row r="98" spans="4:38" x14ac:dyDescent="0.35">
      <c r="D98" s="177">
        <v>4</v>
      </c>
      <c r="E98" s="157"/>
      <c r="F98" s="132">
        <v>82.314210000000003</v>
      </c>
      <c r="G98" s="132">
        <v>84.889759999999995</v>
      </c>
      <c r="H98" s="132">
        <f t="shared" si="57"/>
        <v>2.5755499999999927</v>
      </c>
      <c r="I98" s="132">
        <f t="shared" si="56"/>
        <v>2.8413900000000041</v>
      </c>
      <c r="J98" s="132">
        <f t="shared" si="58"/>
        <v>0.47546216129401364</v>
      </c>
      <c r="K98" s="132">
        <f t="shared" si="59"/>
        <v>0.52453783870598636</v>
      </c>
      <c r="L98" s="132">
        <f t="shared" si="60"/>
        <v>0.38826658383646323</v>
      </c>
      <c r="M98" s="132">
        <f t="shared" si="61"/>
        <v>0.18460606910912813</v>
      </c>
      <c r="N98" s="132">
        <f t="shared" si="62"/>
        <v>5.4169399999999968</v>
      </c>
      <c r="O98" s="132">
        <v>18</v>
      </c>
      <c r="P98" s="157">
        <f t="shared" si="63"/>
        <v>6.9887985090563376</v>
      </c>
      <c r="Z98" s="293"/>
      <c r="AB98" s="13"/>
      <c r="AC98" s="2"/>
      <c r="AD98" s="2"/>
      <c r="AE98" s="2"/>
      <c r="AF98" s="2"/>
      <c r="AG98" s="2"/>
      <c r="AH98" s="2"/>
      <c r="AI98" s="2"/>
      <c r="AJ98" s="2"/>
      <c r="AK98" s="2"/>
    </row>
    <row r="99" spans="4:38" x14ac:dyDescent="0.35">
      <c r="D99" s="172">
        <v>0</v>
      </c>
      <c r="F99" s="13">
        <v>87.73115</v>
      </c>
      <c r="G99" s="2">
        <v>90.127719999999997</v>
      </c>
      <c r="H99" s="2">
        <f t="shared" si="57"/>
        <v>2.396569999999997</v>
      </c>
      <c r="I99" s="2">
        <f t="shared" si="56"/>
        <v>12.920560000000009</v>
      </c>
      <c r="J99" s="2">
        <f t="shared" si="58"/>
        <v>0.1564633844590988</v>
      </c>
      <c r="K99" s="2">
        <f t="shared" si="59"/>
        <v>0.8435366155409012</v>
      </c>
      <c r="L99" s="2">
        <f t="shared" si="60"/>
        <v>0.41726300504471026</v>
      </c>
      <c r="M99" s="2">
        <f t="shared" si="61"/>
        <v>6.5286381978869379E-2</v>
      </c>
      <c r="N99" s="2">
        <f t="shared" si="62"/>
        <v>15.317130000000006</v>
      </c>
      <c r="O99" s="2">
        <v>16</v>
      </c>
      <c r="P99">
        <f t="shared" si="63"/>
        <v>6.6762080807153641</v>
      </c>
      <c r="AB99" s="13"/>
      <c r="AD99" s="2"/>
      <c r="AE99" s="2"/>
      <c r="AF99" s="2"/>
      <c r="AG99" s="2"/>
      <c r="AH99" s="2"/>
      <c r="AI99" s="2"/>
      <c r="AJ99" s="2"/>
      <c r="AK99" s="2"/>
    </row>
    <row r="100" spans="4:38" x14ac:dyDescent="0.35">
      <c r="D100" s="177">
        <v>4</v>
      </c>
      <c r="E100" s="157"/>
      <c r="F100" s="132">
        <v>103.04828000000001</v>
      </c>
      <c r="G100" s="132">
        <v>106.7595</v>
      </c>
      <c r="H100" s="132">
        <f t="shared" si="57"/>
        <v>3.7112199999999973</v>
      </c>
      <c r="I100" s="132">
        <f t="shared" si="56"/>
        <v>3.9626599999999996</v>
      </c>
      <c r="J100" s="132">
        <f t="shared" si="58"/>
        <v>0.48361715325233112</v>
      </c>
      <c r="K100" s="132">
        <f t="shared" si="59"/>
        <v>0.51638284674766888</v>
      </c>
      <c r="L100" s="132">
        <f t="shared" si="60"/>
        <v>0.26945317173328465</v>
      </c>
      <c r="M100" s="132">
        <f t="shared" si="61"/>
        <v>0.13031217584846264</v>
      </c>
      <c r="N100" s="132">
        <f t="shared" si="62"/>
        <v>7.6738799999999969</v>
      </c>
      <c r="O100" s="132">
        <v>21</v>
      </c>
      <c r="P100" s="157">
        <f t="shared" si="63"/>
        <v>5.6585166063989778</v>
      </c>
    </row>
    <row r="101" spans="4:38" x14ac:dyDescent="0.35">
      <c r="D101" s="172">
        <v>0</v>
      </c>
      <c r="F101" s="13">
        <v>110.72216</v>
      </c>
      <c r="G101" s="13">
        <v>113.35997999999999</v>
      </c>
      <c r="H101" s="2">
        <f t="shared" si="57"/>
        <v>2.6378199999999907</v>
      </c>
      <c r="I101" s="2">
        <f t="shared" si="56"/>
        <v>2.8919900000000069</v>
      </c>
      <c r="J101" s="2">
        <f t="shared" si="58"/>
        <v>0.47701819773192783</v>
      </c>
      <c r="K101" s="2">
        <f t="shared" si="59"/>
        <v>0.52298180226807212</v>
      </c>
      <c r="L101" s="2">
        <f t="shared" si="60"/>
        <v>0.37910092424805464</v>
      </c>
      <c r="M101" s="2">
        <f t="shared" si="61"/>
        <v>0.18083803964331513</v>
      </c>
      <c r="N101" s="2">
        <f t="shared" si="62"/>
        <v>5.5298099999999977</v>
      </c>
      <c r="O101" s="2">
        <v>20</v>
      </c>
      <c r="P101">
        <f t="shared" si="63"/>
        <v>7.5820184849610932</v>
      </c>
    </row>
    <row r="102" spans="4:38" x14ac:dyDescent="0.35">
      <c r="D102" s="172">
        <v>0</v>
      </c>
      <c r="F102" s="13">
        <v>116.25197</v>
      </c>
      <c r="G102" s="13">
        <v>118.68286000000001</v>
      </c>
      <c r="H102" s="2">
        <f t="shared" ref="H102:H121" si="70">G102-F102</f>
        <v>2.4308900000000051</v>
      </c>
      <c r="I102" s="2">
        <f t="shared" ref="I102:I120" si="71">F103-G102</f>
        <v>5.8207400000000007</v>
      </c>
      <c r="J102" s="2">
        <f t="shared" ref="J102:J120" si="72">H102/N102</f>
        <v>0.29459512847764663</v>
      </c>
      <c r="K102" s="2">
        <f t="shared" ref="K102:K120" si="73">I102/N102</f>
        <v>0.70540487152235332</v>
      </c>
      <c r="L102" s="2">
        <f t="shared" ref="L102:L120" si="74">1/H102</f>
        <v>0.4113719666459601</v>
      </c>
      <c r="M102" s="2">
        <f t="shared" ref="M102:M120" si="75">1/N102</f>
        <v>0.12118817736616878</v>
      </c>
      <c r="N102" s="2">
        <f t="shared" ref="N102:N120" si="76">H102+I102</f>
        <v>8.2516300000000058</v>
      </c>
      <c r="O102" s="2">
        <v>21</v>
      </c>
      <c r="P102">
        <f>O102/H102</f>
        <v>8.6388112995651625</v>
      </c>
    </row>
    <row r="103" spans="4:38" x14ac:dyDescent="0.35">
      <c r="D103" s="177">
        <v>4</v>
      </c>
      <c r="E103" s="157"/>
      <c r="F103" s="132">
        <v>124.50360000000001</v>
      </c>
      <c r="G103" s="132">
        <v>128.00239999999999</v>
      </c>
      <c r="H103" s="132">
        <f t="shared" si="70"/>
        <v>3.4987999999999886</v>
      </c>
      <c r="I103" s="132">
        <f t="shared" si="71"/>
        <v>3.870900000000006</v>
      </c>
      <c r="J103" s="132">
        <f t="shared" si="72"/>
        <v>0.47475473899887255</v>
      </c>
      <c r="K103" s="132">
        <f t="shared" si="73"/>
        <v>0.52524526100112745</v>
      </c>
      <c r="L103" s="132">
        <f t="shared" si="74"/>
        <v>0.28581227849548507</v>
      </c>
      <c r="M103" s="132">
        <f t="shared" si="75"/>
        <v>0.13569073367979712</v>
      </c>
      <c r="N103" s="132">
        <f t="shared" si="76"/>
        <v>7.3696999999999946</v>
      </c>
      <c r="O103" s="132"/>
      <c r="P103" s="157"/>
      <c r="R103" t="s">
        <v>740</v>
      </c>
    </row>
    <row r="104" spans="4:38" x14ac:dyDescent="0.35">
      <c r="D104" s="172">
        <v>0</v>
      </c>
      <c r="F104" s="13">
        <v>131.8733</v>
      </c>
      <c r="G104" s="13">
        <v>134.5532</v>
      </c>
      <c r="H104" s="2">
        <f t="shared" si="70"/>
        <v>2.6799000000000035</v>
      </c>
      <c r="I104" s="2">
        <f t="shared" si="71"/>
        <v>4.8386999999999887</v>
      </c>
      <c r="J104" s="2">
        <f t="shared" si="72"/>
        <v>0.3564360386242128</v>
      </c>
      <c r="K104" s="2">
        <f t="shared" si="73"/>
        <v>0.6435639613757872</v>
      </c>
      <c r="L104" s="2">
        <f t="shared" si="74"/>
        <v>0.37314825180043981</v>
      </c>
      <c r="M104" s="2">
        <f t="shared" si="75"/>
        <v>0.13300348469129905</v>
      </c>
      <c r="N104" s="2">
        <f t="shared" si="76"/>
        <v>7.5185999999999922</v>
      </c>
      <c r="O104" s="2"/>
    </row>
    <row r="105" spans="4:38" x14ac:dyDescent="0.35">
      <c r="D105" s="177">
        <v>4</v>
      </c>
      <c r="E105" s="157"/>
      <c r="F105" s="132">
        <v>139.39189999999999</v>
      </c>
      <c r="G105" s="132">
        <v>141.96019999999999</v>
      </c>
      <c r="H105" s="132">
        <f t="shared" si="70"/>
        <v>2.5682999999999936</v>
      </c>
      <c r="I105" s="132">
        <f t="shared" si="71"/>
        <v>1.8238000000000056</v>
      </c>
      <c r="J105" s="132">
        <f t="shared" si="72"/>
        <v>0.58475444548165889</v>
      </c>
      <c r="K105" s="132">
        <f t="shared" si="73"/>
        <v>0.41524555451834111</v>
      </c>
      <c r="L105" s="132">
        <f t="shared" si="74"/>
        <v>0.38936261340186212</v>
      </c>
      <c r="M105" s="132">
        <f t="shared" si="75"/>
        <v>0.22768151909109541</v>
      </c>
      <c r="N105" s="132">
        <f t="shared" si="76"/>
        <v>4.3920999999999992</v>
      </c>
      <c r="O105" s="132"/>
      <c r="P105" s="157"/>
    </row>
    <row r="106" spans="4:38" x14ac:dyDescent="0.35">
      <c r="D106" s="177">
        <v>4</v>
      </c>
      <c r="E106" s="157"/>
      <c r="F106" s="132">
        <v>143.78399999999999</v>
      </c>
      <c r="G106" s="132">
        <v>146.2406</v>
      </c>
      <c r="H106" s="132">
        <f t="shared" si="70"/>
        <v>2.4566000000000088</v>
      </c>
      <c r="I106" s="132">
        <f t="shared" si="71"/>
        <v>2.9031999999999982</v>
      </c>
      <c r="J106" s="132">
        <f t="shared" si="72"/>
        <v>0.45833799768648187</v>
      </c>
      <c r="K106" s="132">
        <f t="shared" si="73"/>
        <v>0.54166200231351813</v>
      </c>
      <c r="L106" s="132">
        <f t="shared" si="74"/>
        <v>0.40706667752177661</v>
      </c>
      <c r="M106" s="132">
        <f t="shared" si="75"/>
        <v>0.18657412590021991</v>
      </c>
      <c r="N106" s="132">
        <f t="shared" si="76"/>
        <v>5.359800000000007</v>
      </c>
      <c r="O106" s="132"/>
      <c r="P106" s="157"/>
    </row>
    <row r="107" spans="4:38" x14ac:dyDescent="0.35">
      <c r="D107" s="172">
        <v>0</v>
      </c>
      <c r="F107" s="13">
        <v>149.1438</v>
      </c>
      <c r="G107" s="13">
        <v>151.8237</v>
      </c>
      <c r="H107" s="2">
        <f t="shared" si="70"/>
        <v>2.6799000000000035</v>
      </c>
      <c r="I107" s="2">
        <f t="shared" si="71"/>
        <v>4.9502999999999986</v>
      </c>
      <c r="J107" s="2">
        <f t="shared" si="72"/>
        <v>0.35122277266650975</v>
      </c>
      <c r="K107" s="2">
        <f t="shared" si="73"/>
        <v>0.64877722733349019</v>
      </c>
      <c r="L107" s="2">
        <f t="shared" si="74"/>
        <v>0.37314825180043981</v>
      </c>
      <c r="M107" s="2">
        <f t="shared" si="75"/>
        <v>0.13105816361301142</v>
      </c>
      <c r="N107" s="2">
        <f t="shared" si="76"/>
        <v>7.6302000000000021</v>
      </c>
      <c r="O107" s="2"/>
    </row>
    <row r="108" spans="4:38" x14ac:dyDescent="0.35">
      <c r="D108" s="177">
        <v>4</v>
      </c>
      <c r="E108" s="157"/>
      <c r="F108" s="132">
        <v>156.774</v>
      </c>
      <c r="G108" s="132">
        <v>159.4539</v>
      </c>
      <c r="H108" s="132">
        <f t="shared" si="70"/>
        <v>2.6799000000000035</v>
      </c>
      <c r="I108" s="132">
        <f t="shared" si="71"/>
        <v>2.6791000000000054</v>
      </c>
      <c r="J108" s="132">
        <f t="shared" si="72"/>
        <v>0.50007464079119224</v>
      </c>
      <c r="K108" s="132">
        <f t="shared" si="73"/>
        <v>0.49992535920880776</v>
      </c>
      <c r="L108" s="132">
        <f t="shared" si="74"/>
        <v>0.37314825180043981</v>
      </c>
      <c r="M108" s="132">
        <f t="shared" si="75"/>
        <v>0.18660197798096628</v>
      </c>
      <c r="N108" s="132">
        <f t="shared" si="76"/>
        <v>5.3590000000000089</v>
      </c>
      <c r="O108" s="132"/>
      <c r="P108" s="157"/>
    </row>
    <row r="109" spans="4:38" x14ac:dyDescent="0.35">
      <c r="D109" s="172">
        <v>0</v>
      </c>
      <c r="F109" s="13">
        <v>162.13300000000001</v>
      </c>
      <c r="G109" s="13">
        <v>163.69900000000001</v>
      </c>
      <c r="H109" s="2">
        <f t="shared" si="70"/>
        <v>1.5660000000000025</v>
      </c>
      <c r="I109" s="2">
        <f t="shared" si="71"/>
        <v>4.9484999999999957</v>
      </c>
      <c r="J109" s="2">
        <f t="shared" si="72"/>
        <v>0.24038682938061293</v>
      </c>
      <c r="K109" s="2">
        <f t="shared" si="73"/>
        <v>0.75961317061938705</v>
      </c>
      <c r="L109" s="2">
        <f t="shared" si="74"/>
        <v>0.63856960408684449</v>
      </c>
      <c r="M109" s="2">
        <f t="shared" si="75"/>
        <v>0.15350372246526983</v>
      </c>
      <c r="N109" s="2">
        <f t="shared" si="76"/>
        <v>6.5144999999999982</v>
      </c>
      <c r="O109" s="2"/>
    </row>
    <row r="110" spans="4:38" x14ac:dyDescent="0.35">
      <c r="D110" s="172">
        <v>0</v>
      </c>
      <c r="F110" s="13">
        <v>168.64750000000001</v>
      </c>
      <c r="G110" s="13">
        <v>171.02960000000002</v>
      </c>
      <c r="H110" s="2">
        <f t="shared" si="70"/>
        <v>2.3821000000000083</v>
      </c>
      <c r="I110" s="2">
        <f t="shared" si="71"/>
        <v>5.3225999999999942</v>
      </c>
      <c r="J110" s="2">
        <f t="shared" si="72"/>
        <v>0.30917491920516149</v>
      </c>
      <c r="K110" s="2">
        <f t="shared" si="73"/>
        <v>0.69082508079483851</v>
      </c>
      <c r="L110" s="2">
        <f t="shared" si="74"/>
        <v>0.4197976575290695</v>
      </c>
      <c r="M110" s="2">
        <f t="shared" si="75"/>
        <v>0.12979090684906611</v>
      </c>
      <c r="N110" s="2">
        <f t="shared" si="76"/>
        <v>7.7047000000000025</v>
      </c>
      <c r="O110" s="2"/>
    </row>
    <row r="111" spans="4:38" x14ac:dyDescent="0.35">
      <c r="D111" s="177">
        <v>4</v>
      </c>
      <c r="E111" s="157"/>
      <c r="F111" s="132">
        <v>176.35220000000001</v>
      </c>
      <c r="G111" s="132">
        <v>180.14869999999999</v>
      </c>
      <c r="H111" s="132">
        <f t="shared" si="70"/>
        <v>3.7964999999999804</v>
      </c>
      <c r="I111" s="132">
        <f t="shared" si="71"/>
        <v>1.6377000000000237</v>
      </c>
      <c r="J111" s="132">
        <f t="shared" si="72"/>
        <v>0.69863089323175032</v>
      </c>
      <c r="K111" s="132">
        <f t="shared" si="73"/>
        <v>0.30136910676824968</v>
      </c>
      <c r="L111" s="132">
        <f t="shared" si="74"/>
        <v>0.26340050046095226</v>
      </c>
      <c r="M111" s="132">
        <f t="shared" si="75"/>
        <v>0.18401972691472512</v>
      </c>
      <c r="N111" s="132">
        <f t="shared" si="76"/>
        <v>5.4342000000000041</v>
      </c>
      <c r="O111" s="132"/>
      <c r="P111" s="157"/>
    </row>
    <row r="112" spans="4:38" x14ac:dyDescent="0.35">
      <c r="D112" s="172">
        <v>0</v>
      </c>
      <c r="F112" s="13">
        <v>181.78640000000001</v>
      </c>
      <c r="G112" s="13">
        <v>183.34969999999998</v>
      </c>
      <c r="H112" s="2">
        <f t="shared" si="70"/>
        <v>1.5632999999999697</v>
      </c>
      <c r="I112" s="2">
        <f t="shared" si="71"/>
        <v>3.9082000000000221</v>
      </c>
      <c r="J112" s="2">
        <f t="shared" si="72"/>
        <v>0.28571689664625277</v>
      </c>
      <c r="K112" s="2">
        <f t="shared" si="73"/>
        <v>0.71428310335374723</v>
      </c>
      <c r="L112" s="2">
        <f t="shared" si="74"/>
        <v>0.63967248768631702</v>
      </c>
      <c r="M112" s="2">
        <f t="shared" si="75"/>
        <v>0.18276523805172284</v>
      </c>
      <c r="N112" s="2">
        <f t="shared" si="76"/>
        <v>5.4714999999999918</v>
      </c>
      <c r="O112" s="2"/>
    </row>
    <row r="113" spans="4:16" x14ac:dyDescent="0.35">
      <c r="D113" s="177">
        <v>4</v>
      </c>
      <c r="E113" s="157"/>
      <c r="F113" s="132">
        <v>187.25790000000001</v>
      </c>
      <c r="G113" s="132">
        <v>189.8261</v>
      </c>
      <c r="H113" s="132">
        <f t="shared" si="70"/>
        <v>2.5681999999999903</v>
      </c>
      <c r="I113" s="132">
        <f t="shared" si="71"/>
        <v>3.0520999999999958</v>
      </c>
      <c r="J113" s="132">
        <f t="shared" si="72"/>
        <v>0.45695069658203241</v>
      </c>
      <c r="K113" s="132">
        <f t="shared" si="73"/>
        <v>0.54304930341796764</v>
      </c>
      <c r="L113" s="132">
        <f t="shared" si="74"/>
        <v>0.3893777743166435</v>
      </c>
      <c r="M113" s="132">
        <f t="shared" si="75"/>
        <v>0.17792644520755163</v>
      </c>
      <c r="N113" s="132">
        <f t="shared" si="76"/>
        <v>5.6202999999999861</v>
      </c>
      <c r="O113" s="132"/>
      <c r="P113" s="157"/>
    </row>
    <row r="114" spans="4:16" x14ac:dyDescent="0.35">
      <c r="D114" s="172">
        <v>0</v>
      </c>
      <c r="F114" s="13">
        <v>192.87819999999999</v>
      </c>
      <c r="G114" s="13">
        <v>195.2603</v>
      </c>
      <c r="H114" s="2">
        <f t="shared" si="70"/>
        <v>2.3821000000000083</v>
      </c>
      <c r="I114" s="2">
        <f t="shared" si="71"/>
        <v>6.2530999999999892</v>
      </c>
      <c r="J114" s="2">
        <f t="shared" si="72"/>
        <v>0.27585927367055874</v>
      </c>
      <c r="K114" s="2">
        <f t="shared" si="73"/>
        <v>0.72414072632944126</v>
      </c>
      <c r="L114" s="2">
        <f t="shared" si="74"/>
        <v>0.4197976575290695</v>
      </c>
      <c r="M114" s="2">
        <f t="shared" si="75"/>
        <v>0.11580507689457109</v>
      </c>
      <c r="N114" s="2">
        <f t="shared" si="76"/>
        <v>8.6351999999999975</v>
      </c>
      <c r="O114" s="2"/>
    </row>
    <row r="115" spans="4:16" x14ac:dyDescent="0.35">
      <c r="D115" s="177">
        <v>4</v>
      </c>
      <c r="E115" s="157"/>
      <c r="F115" s="132">
        <v>201.51339999999999</v>
      </c>
      <c r="G115" s="132">
        <v>204.1309</v>
      </c>
      <c r="H115" s="132">
        <f t="shared" si="70"/>
        <v>2.6175000000000068</v>
      </c>
      <c r="I115" s="132">
        <f t="shared" si="71"/>
        <v>4.0452999999999975</v>
      </c>
      <c r="J115" s="132">
        <f t="shared" si="72"/>
        <v>0.39285285465570108</v>
      </c>
      <c r="K115" s="132">
        <f t="shared" si="73"/>
        <v>0.60714714534429892</v>
      </c>
      <c r="L115" s="132">
        <f t="shared" si="74"/>
        <v>0.38204393505253004</v>
      </c>
      <c r="M115" s="132">
        <f t="shared" si="75"/>
        <v>0.1500870504892837</v>
      </c>
      <c r="N115" s="132">
        <f t="shared" si="76"/>
        <v>6.6628000000000043</v>
      </c>
      <c r="O115" s="132"/>
      <c r="P115" s="157"/>
    </row>
    <row r="116" spans="4:16" x14ac:dyDescent="0.35">
      <c r="D116" s="172">
        <v>0</v>
      </c>
      <c r="F116" s="13">
        <v>208.17619999999999</v>
      </c>
      <c r="G116" s="13">
        <v>210.6328</v>
      </c>
      <c r="H116" s="2">
        <f t="shared" si="70"/>
        <v>2.4566000000000088</v>
      </c>
      <c r="I116" s="2">
        <f t="shared" si="71"/>
        <v>5.0619999999999834</v>
      </c>
      <c r="J116" s="2">
        <f t="shared" si="72"/>
        <v>0.32673636049264643</v>
      </c>
      <c r="K116" s="2">
        <f t="shared" si="73"/>
        <v>0.67326363950735357</v>
      </c>
      <c r="L116" s="2">
        <f t="shared" si="74"/>
        <v>0.40706667752177661</v>
      </c>
      <c r="M116" s="2">
        <f t="shared" si="75"/>
        <v>0.13300348469129905</v>
      </c>
      <c r="N116" s="2">
        <f t="shared" si="76"/>
        <v>7.5185999999999922</v>
      </c>
      <c r="O116" s="2"/>
    </row>
    <row r="117" spans="4:16" x14ac:dyDescent="0.35">
      <c r="D117" s="177">
        <v>4</v>
      </c>
      <c r="E117" s="157"/>
      <c r="F117" s="132">
        <v>215.69479999999999</v>
      </c>
      <c r="G117" s="132">
        <v>217.33249999999998</v>
      </c>
      <c r="H117" s="132">
        <f t="shared" si="70"/>
        <v>1.6376999999999953</v>
      </c>
      <c r="I117" s="132">
        <f t="shared" si="71"/>
        <v>2.7544000000000324</v>
      </c>
      <c r="J117" s="132">
        <f t="shared" si="72"/>
        <v>0.37287402381548346</v>
      </c>
      <c r="K117" s="132">
        <f t="shared" si="73"/>
        <v>0.62712597618451649</v>
      </c>
      <c r="L117" s="132">
        <f t="shared" si="74"/>
        <v>0.61061244428161621</v>
      </c>
      <c r="M117" s="132">
        <f t="shared" si="75"/>
        <v>0.22768151909109394</v>
      </c>
      <c r="N117" s="132">
        <f t="shared" si="76"/>
        <v>4.3921000000000276</v>
      </c>
      <c r="O117" s="132"/>
      <c r="P117" s="157"/>
    </row>
    <row r="118" spans="4:16" x14ac:dyDescent="0.35">
      <c r="D118" s="172">
        <v>0</v>
      </c>
      <c r="F118" s="13">
        <v>220.08690000000001</v>
      </c>
      <c r="G118" s="13">
        <v>220.57069999999999</v>
      </c>
      <c r="H118" s="2">
        <f t="shared" si="70"/>
        <v>0.48379999999997381</v>
      </c>
      <c r="I118" s="2">
        <f t="shared" si="71"/>
        <v>3.8337999999999965</v>
      </c>
      <c r="J118" s="2">
        <f t="shared" si="72"/>
        <v>0.11205299240318166</v>
      </c>
      <c r="K118" s="2">
        <f t="shared" si="73"/>
        <v>0.88794700759681833</v>
      </c>
      <c r="L118" s="2">
        <f t="shared" si="74"/>
        <v>2.0669698222407074</v>
      </c>
      <c r="M118" s="2">
        <f t="shared" si="75"/>
        <v>0.23161015378914371</v>
      </c>
      <c r="N118" s="2">
        <f t="shared" si="76"/>
        <v>4.3175999999999704</v>
      </c>
      <c r="O118" s="2"/>
    </row>
    <row r="119" spans="4:16" x14ac:dyDescent="0.35">
      <c r="D119" s="177">
        <v>4</v>
      </c>
      <c r="E119" s="157"/>
      <c r="F119" s="132">
        <v>224.40449999999998</v>
      </c>
      <c r="G119" s="132">
        <v>227.00990000000002</v>
      </c>
      <c r="H119" s="132">
        <f t="shared" si="70"/>
        <v>2.6054000000000315</v>
      </c>
      <c r="I119" s="132">
        <f t="shared" si="71"/>
        <v>3.014899999999983</v>
      </c>
      <c r="J119" s="132">
        <f t="shared" si="72"/>
        <v>0.46356956034375829</v>
      </c>
      <c r="K119" s="132">
        <f t="shared" si="73"/>
        <v>0.53643043965624171</v>
      </c>
      <c r="L119" s="132">
        <f t="shared" si="74"/>
        <v>0.38381822368925611</v>
      </c>
      <c r="M119" s="132">
        <f t="shared" si="75"/>
        <v>0.17792644520755074</v>
      </c>
      <c r="N119" s="132">
        <f t="shared" si="76"/>
        <v>5.6203000000000145</v>
      </c>
      <c r="O119" s="132"/>
      <c r="P119" s="157"/>
    </row>
    <row r="120" spans="4:16" x14ac:dyDescent="0.35">
      <c r="D120" s="172">
        <v>0</v>
      </c>
      <c r="F120" s="13">
        <v>230.0248</v>
      </c>
      <c r="G120" s="13">
        <v>231.32760000000002</v>
      </c>
      <c r="H120" s="2">
        <f t="shared" si="70"/>
        <v>1.3028000000000191</v>
      </c>
      <c r="I120" s="2">
        <f t="shared" si="71"/>
        <v>4.0942000000000007</v>
      </c>
      <c r="J120" s="2">
        <f t="shared" si="72"/>
        <v>0.24139336668519812</v>
      </c>
      <c r="K120" s="2">
        <f t="shared" si="73"/>
        <v>0.75860663331480183</v>
      </c>
      <c r="L120" s="2">
        <f t="shared" si="74"/>
        <v>0.76757752533004708</v>
      </c>
      <c r="M120" s="2">
        <f t="shared" si="75"/>
        <v>0.18528812303131301</v>
      </c>
      <c r="N120" s="2">
        <f t="shared" si="76"/>
        <v>5.3970000000000198</v>
      </c>
      <c r="O120" s="2"/>
    </row>
    <row r="121" spans="4:16" x14ac:dyDescent="0.35">
      <c r="D121" s="172">
        <v>0</v>
      </c>
      <c r="F121" s="13">
        <v>235.42180000000002</v>
      </c>
      <c r="G121" s="13">
        <v>237.91559999999998</v>
      </c>
      <c r="H121" s="2">
        <f t="shared" si="70"/>
        <v>2.4937999999999647</v>
      </c>
      <c r="I121" s="2"/>
      <c r="J121" s="2"/>
      <c r="K121" s="2"/>
      <c r="L121" s="2"/>
      <c r="M121" s="2"/>
      <c r="N121" s="2"/>
      <c r="O121" s="2"/>
    </row>
    <row r="122" spans="4:16" x14ac:dyDescent="0.35">
      <c r="F122" s="13"/>
      <c r="G122" s="13"/>
      <c r="H122" s="2"/>
      <c r="I122" s="2"/>
      <c r="J122" s="2"/>
      <c r="K122" s="2"/>
      <c r="L122" s="2"/>
      <c r="M122" s="2"/>
      <c r="N122" s="2"/>
      <c r="O122" s="2"/>
    </row>
    <row r="123" spans="4:16" x14ac:dyDescent="0.35">
      <c r="F123" s="13"/>
    </row>
    <row r="124" spans="4:16" ht="16" thickBot="1" x14ac:dyDescent="0.4">
      <c r="F124" s="13"/>
      <c r="G124" s="13"/>
      <c r="H124" s="9" t="s">
        <v>3</v>
      </c>
      <c r="I124" s="9" t="s">
        <v>4</v>
      </c>
      <c r="J124" s="9" t="s">
        <v>5</v>
      </c>
      <c r="K124" s="9" t="s">
        <v>6</v>
      </c>
      <c r="L124" s="9" t="s">
        <v>7</v>
      </c>
      <c r="M124" s="9" t="s">
        <v>8</v>
      </c>
      <c r="N124" s="9" t="s">
        <v>9</v>
      </c>
      <c r="O124" s="9" t="s">
        <v>10</v>
      </c>
      <c r="P124" s="44" t="s">
        <v>139</v>
      </c>
    </row>
    <row r="125" spans="4:16" x14ac:dyDescent="0.35">
      <c r="E125" s="104" t="s">
        <v>447</v>
      </c>
      <c r="F125" s="13"/>
      <c r="G125" s="49" t="s">
        <v>77</v>
      </c>
      <c r="H125" s="13">
        <f>AVERAGE(H86,H88,H90,H92,H94,H96,H98,H100,H103,H105,H106,H108,H111,H113,H115,H117,H119)</f>
        <v>2.9758399999999985</v>
      </c>
      <c r="I125" s="13">
        <f t="shared" ref="I125:P125" si="77">AVERAGE(I86,I88,I90,I92,I94,I96,I98,I100,I103,I105,I106,I108,I111,I113,I115,I117,I119)</f>
        <v>2.9379782352941213</v>
      </c>
      <c r="J125" s="13">
        <f t="shared" si="77"/>
        <v>0.51745690877488659</v>
      </c>
      <c r="K125" s="13">
        <f t="shared" si="77"/>
        <v>0.48254309122511346</v>
      </c>
      <c r="L125" s="13">
        <f t="shared" si="77"/>
        <v>0.35260357001377263</v>
      </c>
      <c r="M125" s="13">
        <f t="shared" si="77"/>
        <v>0.17658657070272721</v>
      </c>
      <c r="N125" s="13">
        <f t="shared" si="77"/>
        <v>5.9138182352941202</v>
      </c>
      <c r="O125" s="13">
        <f t="shared" si="77"/>
        <v>20.625</v>
      </c>
      <c r="P125" s="13">
        <f t="shared" si="77"/>
        <v>6.3805337420865262</v>
      </c>
    </row>
    <row r="126" spans="4:16" x14ac:dyDescent="0.35">
      <c r="E126" s="104"/>
      <c r="F126" s="13"/>
      <c r="G126" s="49" t="s">
        <v>94</v>
      </c>
      <c r="H126" s="2">
        <f>_xlfn.STDEV.S(H86,H88,H90,H92,H94,H96,H98,H100,H103,H105,H106,H108,H111,H113,H115,H117,H119)</f>
        <v>0.63224127206312142</v>
      </c>
      <c r="I126" s="2">
        <f t="shared" ref="I126:P126" si="78">_xlfn.STDEV.S(I86,I88,I90,I92,I94,I96,I98,I100,I103,I105,I106,I108,I111,I113,I115,I117,I119)</f>
        <v>1.2544206264807809</v>
      </c>
      <c r="J126" s="2">
        <f t="shared" si="78"/>
        <v>0.13194124130095011</v>
      </c>
      <c r="K126" s="2">
        <f t="shared" si="78"/>
        <v>0.13194124130094989</v>
      </c>
      <c r="L126" s="2">
        <f t="shared" si="78"/>
        <v>8.6723251306582441E-2</v>
      </c>
      <c r="M126" s="2">
        <f t="shared" si="78"/>
        <v>3.6561816308414617E-2</v>
      </c>
      <c r="N126" s="2">
        <f t="shared" si="78"/>
        <v>1.315055481625369</v>
      </c>
      <c r="O126" s="2">
        <f t="shared" si="78"/>
        <v>2.7742437837054932</v>
      </c>
      <c r="P126" s="2">
        <f t="shared" si="78"/>
        <v>0.75912822708768402</v>
      </c>
    </row>
    <row r="127" spans="4:16" x14ac:dyDescent="0.35">
      <c r="E127" s="104"/>
      <c r="F127" s="13"/>
      <c r="G127" s="49" t="s">
        <v>95</v>
      </c>
      <c r="H127" s="2">
        <f>H126/(SQRT(COUNT(H86,H88,H90,H92,H94,H96,H98,H100,H103,H105,H106,H108,H111,H113,H115,H117,H119)))</f>
        <v>0.1533410320935954</v>
      </c>
      <c r="I127" s="2">
        <f t="shared" ref="I127:P127" si="79">I126/(SQRT(COUNT(I86,I88,I90,I92,I94,I96,I98,I100,I103,I105,I106,I108,I111,I113,I115,I117,I119)))</f>
        <v>0.30424169070198459</v>
      </c>
      <c r="J127" s="2">
        <f t="shared" si="79"/>
        <v>3.2000451426995563E-2</v>
      </c>
      <c r="K127" s="2">
        <f t="shared" si="79"/>
        <v>3.2000451426995515E-2</v>
      </c>
      <c r="L127" s="2">
        <f t="shared" si="79"/>
        <v>2.1033477960824953E-2</v>
      </c>
      <c r="M127" s="2">
        <f t="shared" si="79"/>
        <v>8.8675429708249317E-3</v>
      </c>
      <c r="N127" s="2">
        <f t="shared" si="79"/>
        <v>0.31894780319346477</v>
      </c>
      <c r="O127" s="2">
        <f t="shared" si="79"/>
        <v>0.98084329606138987</v>
      </c>
      <c r="P127" s="2">
        <f t="shared" si="79"/>
        <v>0.26839235858191135</v>
      </c>
    </row>
    <row r="128" spans="4:16" x14ac:dyDescent="0.35">
      <c r="E128" s="104"/>
    </row>
    <row r="129" spans="3:23" x14ac:dyDescent="0.35">
      <c r="E129" s="104"/>
    </row>
    <row r="130" spans="3:23" ht="16" thickBot="1" x14ac:dyDescent="0.4">
      <c r="E130" s="104"/>
      <c r="G130" s="13"/>
      <c r="H130" s="9" t="s">
        <v>3</v>
      </c>
      <c r="I130" s="9" t="s">
        <v>4</v>
      </c>
      <c r="J130" s="9" t="s">
        <v>5</v>
      </c>
      <c r="K130" s="9" t="s">
        <v>6</v>
      </c>
      <c r="L130" s="9" t="s">
        <v>7</v>
      </c>
      <c r="M130" s="9" t="s">
        <v>8</v>
      </c>
      <c r="N130" s="9" t="s">
        <v>9</v>
      </c>
      <c r="O130" s="9" t="s">
        <v>10</v>
      </c>
      <c r="P130" s="44" t="s">
        <v>139</v>
      </c>
    </row>
    <row r="131" spans="3:23" x14ac:dyDescent="0.35">
      <c r="E131" s="104" t="s">
        <v>410</v>
      </c>
      <c r="G131" s="49" t="s">
        <v>77</v>
      </c>
      <c r="H131" s="13">
        <f>AVERAGE(H87,H89,H91,H93,H95,H97,H99,H101:H102,H104,H107,H109:H110,H112,H114,H116,H118,H120)</f>
        <v>2.13880111111111</v>
      </c>
      <c r="I131" s="13">
        <f t="shared" ref="I131:P131" si="80">AVERAGE(I87,I89,I91,I93,I95,I97,I99,I101:I102,I104,I107,I109:I110,I112,I114,I116,I118,I120)</f>
        <v>5.3098172222222217</v>
      </c>
      <c r="J131" s="13">
        <f t="shared" si="80"/>
        <v>0.29244845325747704</v>
      </c>
      <c r="K131" s="13">
        <f t="shared" si="80"/>
        <v>0.70755154674252296</v>
      </c>
      <c r="L131" s="13">
        <f t="shared" si="80"/>
        <v>0.56447831407411952</v>
      </c>
      <c r="M131" s="13">
        <f t="shared" si="80"/>
        <v>0.1440562053352217</v>
      </c>
      <c r="N131" s="13">
        <f t="shared" si="80"/>
        <v>7.4486183333333322</v>
      </c>
      <c r="O131" s="13">
        <f t="shared" si="80"/>
        <v>17.333333333333332</v>
      </c>
      <c r="P131" s="13">
        <f t="shared" si="80"/>
        <v>7.3549981694115321</v>
      </c>
    </row>
    <row r="132" spans="3:23" x14ac:dyDescent="0.35">
      <c r="G132" s="49" t="s">
        <v>94</v>
      </c>
      <c r="H132" s="2">
        <f>_xlfn.STDEV.S(H87,H89,H91,H93,H95,H97,H99,H101:H102,H104,H107,H109:H110,H112,H114,H116,H118,H120)</f>
        <v>0.64465953200018578</v>
      </c>
      <c r="I132" s="2">
        <f t="shared" ref="I132:P132" si="81">_xlfn.STDEV.S(I87,I89,I91,I93,I95,I97,I99,I101:I102,I104,I107,I109:I110,I112,I114,I116,I118,I120)</f>
        <v>2.1216489161853955</v>
      </c>
      <c r="J132" s="2">
        <f t="shared" si="81"/>
        <v>8.6198879093379741E-2</v>
      </c>
      <c r="K132" s="2">
        <f t="shared" si="81"/>
        <v>8.6198879093380129E-2</v>
      </c>
      <c r="L132" s="2">
        <f t="shared" si="81"/>
        <v>0.39738741784889753</v>
      </c>
      <c r="M132" s="2">
        <f t="shared" si="81"/>
        <v>3.6532042827983432E-2</v>
      </c>
      <c r="N132" s="2">
        <f t="shared" si="81"/>
        <v>2.3525907620479907</v>
      </c>
      <c r="O132" s="2">
        <f t="shared" si="81"/>
        <v>4.4158804331639239</v>
      </c>
      <c r="P132" s="2">
        <f t="shared" si="81"/>
        <v>0.67777975339591978</v>
      </c>
    </row>
    <row r="133" spans="3:23" x14ac:dyDescent="0.35">
      <c r="G133" s="49" t="s">
        <v>95</v>
      </c>
      <c r="H133" s="2">
        <f>H132/(SQRT(COUNT(H87,H89,H91,H93,H95,H97,H99,H101:H102,H104,H107,H109:H110,H112,H114,H116,H118,H120)))</f>
        <v>0.15194770887795919</v>
      </c>
      <c r="I133" s="2">
        <f t="shared" ref="I133:P133" si="82">I132/(SQRT(COUNT(I87,I89,I91,I93,I95,I97,I99,I101:I102,I104,I107,I109:I110,I112,I114,I116,I118,I120)))</f>
        <v>0.50007744531059406</v>
      </c>
      <c r="J133" s="2">
        <f t="shared" si="82"/>
        <v>2.0317270645869381E-2</v>
      </c>
      <c r="K133" s="2">
        <f t="shared" si="82"/>
        <v>2.0317270645869471E-2</v>
      </c>
      <c r="L133" s="2">
        <f t="shared" si="82"/>
        <v>9.366511263972252E-2</v>
      </c>
      <c r="M133" s="2">
        <f t="shared" si="82"/>
        <v>8.6106850714214884E-3</v>
      </c>
      <c r="N133" s="2">
        <f t="shared" si="82"/>
        <v>0.55451096040032055</v>
      </c>
      <c r="O133" s="2">
        <f t="shared" si="82"/>
        <v>1.4719601443879746</v>
      </c>
      <c r="P133" s="2">
        <f t="shared" si="82"/>
        <v>0.22592658446530658</v>
      </c>
    </row>
    <row r="138" spans="3:23" ht="18.5" x14ac:dyDescent="0.45">
      <c r="C138" s="2"/>
      <c r="D138" s="2"/>
      <c r="E138" s="2"/>
      <c r="F138" s="1"/>
      <c r="G138" s="3"/>
      <c r="H138" s="3"/>
      <c r="I138" s="3"/>
      <c r="J138" s="3"/>
      <c r="K138" s="3"/>
      <c r="L138" s="3"/>
      <c r="M138" s="3"/>
      <c r="N138" s="3"/>
      <c r="O138" s="3"/>
      <c r="P138" s="2"/>
      <c r="Q138" s="2"/>
      <c r="R138" s="2"/>
      <c r="S138" s="2"/>
      <c r="T138" s="2"/>
      <c r="U138" s="2"/>
      <c r="V138" s="2"/>
      <c r="W138" s="2"/>
    </row>
    <row r="139" spans="3:23" ht="15.5" x14ac:dyDescent="0.35">
      <c r="C139" s="2"/>
      <c r="D139" s="199"/>
      <c r="E139" s="2"/>
      <c r="F139" s="5"/>
      <c r="G139" s="5"/>
      <c r="H139" s="5"/>
      <c r="I139" s="5"/>
      <c r="J139" s="5"/>
      <c r="K139" s="5"/>
      <c r="L139" s="5"/>
      <c r="M139" s="5"/>
      <c r="N139" s="5"/>
      <c r="O139" s="5"/>
      <c r="P139" s="14"/>
      <c r="Q139" s="2"/>
      <c r="R139" s="14"/>
      <c r="S139" s="2"/>
      <c r="T139" s="2"/>
      <c r="U139" s="2"/>
      <c r="V139" s="2"/>
      <c r="W139" s="2"/>
    </row>
    <row r="140" spans="3:23" x14ac:dyDescent="0.35">
      <c r="C140" s="2"/>
      <c r="D140" s="292"/>
      <c r="E140" s="2"/>
      <c r="F140" s="2"/>
      <c r="G140" s="2"/>
      <c r="H140" s="2"/>
      <c r="I140" s="2"/>
      <c r="J140" s="2"/>
      <c r="K140" s="2"/>
      <c r="L140" s="2"/>
      <c r="M140" s="2"/>
      <c r="N140" s="2"/>
      <c r="O140" s="2"/>
      <c r="P140" s="2"/>
      <c r="Q140" s="2"/>
      <c r="R140" s="2"/>
      <c r="S140" s="2"/>
      <c r="T140" s="2"/>
      <c r="U140" s="2"/>
      <c r="V140" s="2"/>
      <c r="W140" s="2"/>
    </row>
    <row r="141" spans="3:23" x14ac:dyDescent="0.35">
      <c r="C141" s="2"/>
      <c r="D141" s="292"/>
      <c r="E141" s="2"/>
      <c r="F141" s="2"/>
      <c r="G141" s="2"/>
      <c r="H141" s="2"/>
      <c r="I141" s="2"/>
      <c r="J141" s="2"/>
      <c r="K141" s="2"/>
      <c r="L141" s="2"/>
      <c r="M141" s="2"/>
      <c r="N141" s="2"/>
      <c r="O141" s="2"/>
      <c r="P141" s="2"/>
      <c r="Q141" s="2"/>
      <c r="R141" s="2"/>
      <c r="S141" s="2"/>
      <c r="T141" s="2"/>
      <c r="U141" s="2"/>
      <c r="V141" s="2"/>
      <c r="W141" s="2"/>
    </row>
    <row r="142" spans="3:23" x14ac:dyDescent="0.35">
      <c r="C142" s="2"/>
      <c r="D142" s="292"/>
      <c r="E142" s="2"/>
      <c r="F142" s="13"/>
      <c r="G142" s="2"/>
      <c r="H142" s="2"/>
      <c r="I142" s="2"/>
      <c r="J142" s="2"/>
      <c r="K142" s="2"/>
      <c r="L142" s="2"/>
      <c r="M142" s="2"/>
      <c r="N142" s="2"/>
      <c r="O142" s="2"/>
      <c r="P142" s="2"/>
      <c r="Q142" s="2"/>
      <c r="R142" s="2"/>
      <c r="S142" s="2"/>
      <c r="T142" s="2"/>
      <c r="U142" s="2"/>
      <c r="V142" s="2"/>
      <c r="W142" s="2"/>
    </row>
    <row r="143" spans="3:23" x14ac:dyDescent="0.35">
      <c r="C143" s="2"/>
      <c r="D143" s="292"/>
      <c r="E143" s="2"/>
      <c r="F143" s="13"/>
      <c r="G143" s="2"/>
      <c r="H143" s="2"/>
      <c r="I143" s="2"/>
      <c r="J143" s="2"/>
      <c r="K143" s="2"/>
      <c r="L143" s="2"/>
      <c r="M143" s="2"/>
      <c r="N143" s="2"/>
      <c r="O143" s="2"/>
      <c r="P143" s="2"/>
      <c r="Q143" s="2"/>
      <c r="R143" s="2"/>
      <c r="S143" s="2"/>
      <c r="T143" s="2"/>
      <c r="U143" s="2"/>
      <c r="V143" s="2"/>
      <c r="W143" s="2"/>
    </row>
    <row r="144" spans="3:23" x14ac:dyDescent="0.35">
      <c r="C144" s="2"/>
      <c r="D144" s="292"/>
      <c r="E144" s="2"/>
      <c r="F144" s="13"/>
      <c r="G144" s="2"/>
      <c r="H144" s="2"/>
      <c r="I144" s="2"/>
      <c r="J144" s="2"/>
      <c r="K144" s="2"/>
      <c r="L144" s="2"/>
      <c r="M144" s="2"/>
      <c r="N144" s="2"/>
      <c r="O144" s="2"/>
      <c r="P144" s="2"/>
      <c r="Q144" s="2"/>
      <c r="R144" s="2"/>
      <c r="S144" s="2"/>
      <c r="T144" s="2"/>
      <c r="U144" s="2"/>
      <c r="V144" s="2"/>
      <c r="W144" s="2"/>
    </row>
    <row r="145" spans="3:23" x14ac:dyDescent="0.35">
      <c r="C145" s="2"/>
      <c r="D145" s="292"/>
      <c r="E145" s="2"/>
      <c r="F145" s="13"/>
      <c r="G145" s="2"/>
      <c r="H145" s="2"/>
      <c r="I145" s="2"/>
      <c r="J145" s="2"/>
      <c r="K145" s="2"/>
      <c r="L145" s="2"/>
      <c r="M145" s="2"/>
      <c r="N145" s="2"/>
      <c r="O145" s="2"/>
      <c r="P145" s="2"/>
      <c r="Q145" s="2"/>
      <c r="R145" s="2"/>
      <c r="S145" s="2"/>
      <c r="T145" s="2"/>
      <c r="U145" s="2"/>
      <c r="V145" s="2"/>
      <c r="W145" s="2"/>
    </row>
    <row r="146" spans="3:23" x14ac:dyDescent="0.35">
      <c r="C146" s="2"/>
      <c r="D146" s="292"/>
      <c r="E146" s="2"/>
      <c r="F146" s="13"/>
      <c r="G146" s="2"/>
      <c r="H146" s="2"/>
      <c r="I146" s="2"/>
      <c r="J146" s="2"/>
      <c r="K146" s="2"/>
      <c r="L146" s="2"/>
      <c r="M146" s="2"/>
      <c r="N146" s="2"/>
      <c r="O146" s="2"/>
      <c r="P146" s="2"/>
      <c r="Q146" s="2"/>
      <c r="R146" s="2"/>
      <c r="S146" s="2"/>
      <c r="T146" s="2"/>
      <c r="U146" s="2"/>
      <c r="V146" s="2"/>
      <c r="W146" s="2"/>
    </row>
    <row r="147" spans="3:23" x14ac:dyDescent="0.35">
      <c r="C147" s="2"/>
      <c r="D147" s="292"/>
      <c r="E147" s="2"/>
      <c r="F147" s="13"/>
      <c r="G147" s="2"/>
      <c r="H147" s="2"/>
      <c r="I147" s="2"/>
      <c r="J147" s="2"/>
      <c r="K147" s="2"/>
      <c r="L147" s="2"/>
      <c r="M147" s="2"/>
      <c r="N147" s="2"/>
      <c r="O147" s="2"/>
      <c r="P147" s="2"/>
      <c r="Q147" s="2"/>
      <c r="R147" s="2"/>
      <c r="S147" s="2"/>
      <c r="T147" s="2"/>
      <c r="U147" s="2"/>
      <c r="V147" s="2"/>
      <c r="W147" s="2"/>
    </row>
    <row r="148" spans="3:23" x14ac:dyDescent="0.35">
      <c r="C148" s="2"/>
      <c r="D148" s="292"/>
      <c r="E148" s="2"/>
      <c r="F148" s="13"/>
      <c r="G148" s="2"/>
      <c r="H148" s="2"/>
      <c r="I148" s="2"/>
      <c r="J148" s="2"/>
      <c r="K148" s="2"/>
      <c r="L148" s="2"/>
      <c r="M148" s="2"/>
      <c r="N148" s="2"/>
      <c r="O148" s="2"/>
      <c r="P148" s="2"/>
      <c r="Q148" s="2"/>
      <c r="R148" s="2"/>
      <c r="S148" s="2"/>
      <c r="T148" s="2"/>
      <c r="U148" s="2"/>
      <c r="V148" s="2"/>
      <c r="W148" s="2"/>
    </row>
    <row r="149" spans="3:23" x14ac:dyDescent="0.35">
      <c r="C149" s="2"/>
      <c r="D149" s="292"/>
      <c r="E149" s="2"/>
      <c r="F149" s="13"/>
      <c r="G149" s="2"/>
      <c r="H149" s="2"/>
      <c r="I149" s="2"/>
      <c r="J149" s="2"/>
      <c r="K149" s="2"/>
      <c r="L149" s="2"/>
      <c r="M149" s="2"/>
      <c r="N149" s="2"/>
      <c r="O149" s="2"/>
      <c r="P149" s="2"/>
      <c r="Q149" s="2"/>
      <c r="R149" s="2"/>
      <c r="S149" s="2"/>
      <c r="T149" s="2"/>
      <c r="U149" s="2"/>
      <c r="V149" s="2"/>
      <c r="W149" s="2"/>
    </row>
    <row r="150" spans="3:23" x14ac:dyDescent="0.35">
      <c r="C150" s="2"/>
      <c r="D150" s="292"/>
      <c r="E150" s="2"/>
      <c r="F150" s="13"/>
      <c r="G150" s="2"/>
      <c r="H150" s="2"/>
      <c r="I150" s="2"/>
      <c r="J150" s="2"/>
      <c r="K150" s="2"/>
      <c r="L150" s="2"/>
      <c r="M150" s="2"/>
      <c r="N150" s="2"/>
      <c r="O150" s="2"/>
      <c r="P150" s="2"/>
      <c r="Q150" s="2"/>
      <c r="R150" s="2"/>
      <c r="S150" s="2"/>
      <c r="T150" s="2"/>
      <c r="U150" s="2"/>
      <c r="V150" s="2"/>
      <c r="W150" s="2"/>
    </row>
    <row r="151" spans="3:23" x14ac:dyDescent="0.35">
      <c r="C151" s="2"/>
      <c r="D151" s="292"/>
      <c r="E151" s="2"/>
      <c r="F151" s="13"/>
      <c r="G151" s="2"/>
      <c r="H151" s="2"/>
      <c r="I151" s="2"/>
      <c r="J151" s="2"/>
      <c r="K151" s="2"/>
      <c r="L151" s="2"/>
      <c r="M151" s="2"/>
      <c r="N151" s="2"/>
      <c r="O151" s="2"/>
      <c r="P151" s="2"/>
      <c r="Q151" s="2"/>
      <c r="R151" s="2"/>
      <c r="S151" s="2"/>
      <c r="T151" s="2"/>
      <c r="U151" s="2"/>
      <c r="V151" s="2"/>
      <c r="W151" s="2"/>
    </row>
    <row r="152" spans="3:23" x14ac:dyDescent="0.35">
      <c r="C152" s="2"/>
      <c r="D152" s="292"/>
      <c r="E152" s="2"/>
      <c r="F152" s="13"/>
      <c r="G152" s="2"/>
      <c r="H152" s="2"/>
      <c r="I152" s="2"/>
      <c r="J152" s="2"/>
      <c r="K152" s="2"/>
      <c r="L152" s="2"/>
      <c r="M152" s="2"/>
      <c r="N152" s="2"/>
      <c r="O152" s="2"/>
      <c r="P152" s="2"/>
      <c r="Q152" s="2"/>
      <c r="R152" s="2"/>
      <c r="S152" s="2"/>
      <c r="T152" s="2"/>
      <c r="U152" s="2"/>
      <c r="V152" s="2"/>
      <c r="W152" s="2"/>
    </row>
    <row r="153" spans="3:23" x14ac:dyDescent="0.35">
      <c r="C153" s="2"/>
      <c r="D153" s="292"/>
      <c r="E153" s="2"/>
      <c r="F153" s="13"/>
      <c r="G153" s="2"/>
      <c r="H153" s="2"/>
      <c r="I153" s="2"/>
      <c r="J153" s="2"/>
      <c r="K153" s="2"/>
      <c r="L153" s="2"/>
      <c r="M153" s="2"/>
      <c r="N153" s="2"/>
      <c r="O153" s="2"/>
      <c r="P153" s="2"/>
      <c r="Q153" s="2"/>
      <c r="R153" s="2"/>
      <c r="S153" s="2"/>
      <c r="T153" s="2"/>
      <c r="U153" s="2"/>
      <c r="V153" s="2"/>
      <c r="W153" s="2"/>
    </row>
    <row r="154" spans="3:23" x14ac:dyDescent="0.35">
      <c r="C154" s="2"/>
      <c r="D154" s="292"/>
      <c r="E154" s="2"/>
      <c r="F154" s="13"/>
      <c r="G154" s="2"/>
      <c r="H154" s="2"/>
      <c r="I154" s="2"/>
      <c r="J154" s="2"/>
      <c r="K154" s="2"/>
      <c r="L154" s="2"/>
      <c r="M154" s="2"/>
      <c r="N154" s="2"/>
      <c r="O154" s="2"/>
      <c r="P154" s="2"/>
      <c r="Q154" s="2"/>
      <c r="R154" s="2"/>
      <c r="S154" s="2"/>
      <c r="T154" s="2"/>
      <c r="U154" s="2"/>
      <c r="V154" s="2"/>
      <c r="W154" s="2"/>
    </row>
    <row r="155" spans="3:23" x14ac:dyDescent="0.35">
      <c r="C155" s="2"/>
      <c r="D155" s="292"/>
      <c r="E155" s="2"/>
      <c r="F155" s="13"/>
      <c r="G155" s="13"/>
      <c r="H155" s="2"/>
      <c r="I155" s="2"/>
      <c r="J155" s="2"/>
      <c r="K155" s="2"/>
      <c r="L155" s="2"/>
      <c r="M155" s="2"/>
      <c r="N155" s="2"/>
      <c r="O155" s="2"/>
      <c r="P155" s="2"/>
      <c r="Q155" s="2"/>
      <c r="R155" s="2"/>
      <c r="S155" s="2"/>
      <c r="T155" s="2"/>
      <c r="U155" s="2"/>
      <c r="V155" s="2"/>
      <c r="W155" s="2"/>
    </row>
    <row r="156" spans="3:23" x14ac:dyDescent="0.35">
      <c r="C156" s="2"/>
      <c r="D156" s="2"/>
      <c r="E156" s="2"/>
      <c r="F156" s="13"/>
      <c r="G156" s="13"/>
      <c r="H156" s="2"/>
      <c r="I156" s="2"/>
      <c r="J156" s="2"/>
      <c r="K156" s="2"/>
      <c r="L156" s="2"/>
      <c r="M156" s="2"/>
      <c r="N156" s="2"/>
      <c r="O156" s="2"/>
      <c r="P156" s="2"/>
      <c r="Q156" s="2"/>
      <c r="R156" s="2"/>
      <c r="S156" s="2"/>
      <c r="T156" s="2"/>
      <c r="U156" s="2"/>
      <c r="V156" s="2"/>
      <c r="W156" s="2"/>
    </row>
    <row r="157" spans="3:23" x14ac:dyDescent="0.35">
      <c r="C157" s="2"/>
      <c r="D157" s="2"/>
      <c r="E157" s="2"/>
      <c r="F157" s="13"/>
      <c r="G157" s="2"/>
      <c r="H157" s="2"/>
      <c r="I157" s="2"/>
      <c r="J157" s="2"/>
      <c r="K157" s="2"/>
      <c r="L157" s="2"/>
      <c r="M157" s="2"/>
      <c r="N157" s="2"/>
      <c r="O157" s="2"/>
      <c r="P157" s="2"/>
      <c r="Q157" s="2"/>
      <c r="R157" s="2"/>
      <c r="S157" s="2"/>
      <c r="T157" s="2"/>
      <c r="U157" s="2"/>
      <c r="V157" s="2"/>
      <c r="W157" s="2"/>
    </row>
    <row r="158" spans="3:23" ht="15.5" x14ac:dyDescent="0.35">
      <c r="C158" s="2"/>
      <c r="D158" s="2"/>
      <c r="E158" s="2"/>
      <c r="F158" s="13"/>
      <c r="G158" s="13"/>
      <c r="H158" s="5"/>
      <c r="I158" s="5"/>
      <c r="J158" s="5"/>
      <c r="K158" s="5"/>
      <c r="L158" s="5"/>
      <c r="M158" s="5"/>
      <c r="N158" s="5"/>
      <c r="O158" s="5"/>
      <c r="P158" s="14"/>
      <c r="Q158" s="2"/>
      <c r="R158" s="2"/>
      <c r="S158" s="2"/>
      <c r="T158" s="2"/>
      <c r="U158" s="2"/>
      <c r="V158" s="2"/>
      <c r="W158" s="2"/>
    </row>
    <row r="159" spans="3:23" x14ac:dyDescent="0.35">
      <c r="C159" s="2"/>
      <c r="D159" s="2"/>
      <c r="E159" s="3"/>
      <c r="F159" s="13"/>
      <c r="G159" s="49"/>
      <c r="H159" s="13"/>
      <c r="I159" s="13"/>
      <c r="J159" s="13"/>
      <c r="K159" s="13"/>
      <c r="L159" s="13"/>
      <c r="M159" s="13"/>
      <c r="N159" s="13"/>
      <c r="O159" s="13"/>
      <c r="P159" s="13"/>
      <c r="Q159" s="2"/>
      <c r="R159" s="2"/>
      <c r="S159" s="2"/>
      <c r="T159" s="2"/>
      <c r="U159" s="2"/>
      <c r="V159" s="2"/>
      <c r="W159" s="2"/>
    </row>
    <row r="160" spans="3:23" x14ac:dyDescent="0.35">
      <c r="C160" s="2"/>
      <c r="D160" s="2"/>
      <c r="E160" s="3"/>
      <c r="F160" s="13"/>
      <c r="G160" s="49"/>
      <c r="H160" s="2"/>
      <c r="I160" s="2"/>
      <c r="J160" s="2"/>
      <c r="K160" s="2"/>
      <c r="L160" s="2"/>
      <c r="M160" s="2"/>
      <c r="N160" s="2"/>
      <c r="O160" s="2"/>
      <c r="P160" s="2"/>
      <c r="Q160" s="2"/>
      <c r="R160" s="2"/>
      <c r="S160" s="2"/>
      <c r="T160" s="2"/>
      <c r="U160" s="2"/>
      <c r="V160" s="2"/>
      <c r="W160" s="2"/>
    </row>
    <row r="161" spans="1:44" x14ac:dyDescent="0.35">
      <c r="C161" s="2"/>
      <c r="D161" s="2"/>
      <c r="E161" s="3"/>
      <c r="F161" s="13"/>
      <c r="G161" s="49"/>
      <c r="H161" s="2"/>
      <c r="I161" s="2"/>
      <c r="J161" s="2"/>
      <c r="K161" s="2"/>
      <c r="L161" s="2"/>
      <c r="M161" s="2"/>
      <c r="N161" s="2"/>
      <c r="O161" s="2"/>
      <c r="P161" s="2"/>
      <c r="Q161" s="2"/>
      <c r="R161" s="2"/>
      <c r="S161" s="2"/>
      <c r="T161" s="2"/>
      <c r="U161" s="2"/>
      <c r="V161" s="2"/>
      <c r="W161" s="2"/>
    </row>
    <row r="162" spans="1:44" x14ac:dyDescent="0.35">
      <c r="C162" s="2"/>
      <c r="D162" s="2"/>
      <c r="E162" s="3"/>
      <c r="F162" s="2"/>
      <c r="G162" s="2"/>
      <c r="H162" s="2"/>
      <c r="I162" s="2"/>
      <c r="J162" s="2"/>
      <c r="K162" s="2"/>
      <c r="L162" s="2"/>
      <c r="M162" s="2"/>
      <c r="N162" s="2"/>
      <c r="O162" s="2"/>
      <c r="P162" s="2"/>
      <c r="Q162" s="2"/>
      <c r="R162" s="2"/>
      <c r="S162" s="2"/>
      <c r="T162" s="2"/>
      <c r="U162" s="2"/>
      <c r="V162" s="2"/>
      <c r="W162" s="2"/>
    </row>
    <row r="163" spans="1:44" x14ac:dyDescent="0.35">
      <c r="C163" s="2"/>
      <c r="D163" s="2"/>
      <c r="E163" s="3"/>
      <c r="F163" s="2"/>
      <c r="G163" s="2"/>
      <c r="H163" s="2"/>
      <c r="I163" s="2"/>
      <c r="J163" s="2"/>
      <c r="K163" s="2"/>
      <c r="L163" s="2"/>
      <c r="M163" s="2"/>
      <c r="N163" s="2"/>
      <c r="O163" s="2"/>
      <c r="P163" s="2"/>
      <c r="Q163" s="2"/>
      <c r="R163" s="2"/>
      <c r="S163" s="2"/>
      <c r="T163" s="2"/>
      <c r="U163" s="2"/>
      <c r="V163" s="2"/>
      <c r="W163" s="2"/>
    </row>
    <row r="164" spans="1:44" ht="15.5" x14ac:dyDescent="0.35">
      <c r="C164" s="2"/>
      <c r="D164" s="2"/>
      <c r="E164" s="3"/>
      <c r="F164" s="2"/>
      <c r="G164" s="13"/>
      <c r="H164" s="5"/>
      <c r="I164" s="5"/>
      <c r="J164" s="5"/>
      <c r="K164" s="5"/>
      <c r="L164" s="5"/>
      <c r="M164" s="5"/>
      <c r="N164" s="5"/>
      <c r="O164" s="5"/>
      <c r="P164" s="14"/>
      <c r="Q164" s="2"/>
      <c r="R164" s="2"/>
      <c r="S164" s="2"/>
      <c r="T164" s="2"/>
      <c r="U164" s="2"/>
      <c r="V164" s="2"/>
      <c r="W164" s="2"/>
    </row>
    <row r="165" spans="1:44" x14ac:dyDescent="0.35">
      <c r="A165" s="2"/>
      <c r="B165" s="2"/>
      <c r="C165" s="2"/>
      <c r="D165" s="2"/>
      <c r="E165" s="3"/>
      <c r="F165" s="2"/>
      <c r="G165" s="49"/>
      <c r="H165" s="13"/>
      <c r="I165" s="13"/>
      <c r="J165" s="13"/>
      <c r="K165" s="13"/>
      <c r="L165" s="13"/>
      <c r="M165" s="13"/>
      <c r="N165" s="13"/>
      <c r="O165" s="13"/>
      <c r="P165" s="13"/>
      <c r="Q165" s="2"/>
      <c r="R165" s="2"/>
      <c r="S165" s="2"/>
      <c r="T165" s="2"/>
      <c r="U165" s="2"/>
      <c r="V165" s="2"/>
      <c r="W165" s="2"/>
    </row>
    <row r="166" spans="1:44" x14ac:dyDescent="0.35">
      <c r="A166" s="2"/>
      <c r="B166" s="2"/>
      <c r="C166" s="2"/>
      <c r="D166" s="2"/>
      <c r="E166" s="2"/>
      <c r="F166" s="2"/>
      <c r="G166" s="49"/>
      <c r="H166" s="2"/>
      <c r="I166" s="2"/>
      <c r="J166" s="2"/>
      <c r="K166" s="2"/>
      <c r="L166" s="2"/>
      <c r="M166" s="2"/>
      <c r="N166" s="2"/>
      <c r="O166" s="2"/>
      <c r="P166" s="2"/>
      <c r="Q166" s="2"/>
      <c r="R166" s="2"/>
      <c r="S166" s="2"/>
      <c r="T166" s="2"/>
      <c r="U166" s="2"/>
      <c r="V166" s="2"/>
      <c r="W166" s="2"/>
    </row>
    <row r="167" spans="1:44" x14ac:dyDescent="0.35">
      <c r="A167" s="2"/>
      <c r="B167" s="2"/>
      <c r="C167" s="2"/>
      <c r="D167" s="2"/>
      <c r="E167" s="2"/>
      <c r="F167" s="2"/>
      <c r="G167" s="49"/>
      <c r="H167" s="2"/>
      <c r="I167" s="2"/>
      <c r="J167" s="2"/>
      <c r="K167" s="2"/>
      <c r="L167" s="2"/>
      <c r="M167" s="2"/>
      <c r="N167" s="2"/>
      <c r="O167" s="2"/>
      <c r="P167" s="2"/>
      <c r="Q167" s="2"/>
      <c r="R167" s="2"/>
      <c r="S167" s="2"/>
      <c r="T167" s="2"/>
      <c r="U167" s="2"/>
      <c r="V167" s="2"/>
      <c r="W167" s="2"/>
    </row>
    <row r="168" spans="1:44" ht="15.5" x14ac:dyDescent="0.35">
      <c r="A168" s="2"/>
      <c r="B168" s="2"/>
      <c r="C168" s="2"/>
      <c r="D168" s="2"/>
      <c r="E168" s="2"/>
      <c r="F168" s="2"/>
      <c r="G168" s="2"/>
      <c r="H168" s="2"/>
      <c r="I168" s="2"/>
      <c r="J168" s="2"/>
      <c r="K168" s="2"/>
      <c r="L168" s="2"/>
      <c r="M168" s="2"/>
      <c r="N168" s="2"/>
      <c r="O168" s="2"/>
      <c r="P168" s="2"/>
      <c r="Q168" s="2"/>
      <c r="R168" s="14"/>
      <c r="S168" s="2"/>
      <c r="T168" s="2"/>
      <c r="U168" s="2"/>
      <c r="V168" s="2"/>
      <c r="W168" s="2"/>
    </row>
    <row r="169" spans="1:44" x14ac:dyDescent="0.35">
      <c r="A169" s="2"/>
      <c r="B169" s="2"/>
      <c r="C169" s="2"/>
      <c r="D169" s="2"/>
      <c r="E169" s="2"/>
      <c r="F169" s="2"/>
      <c r="G169" s="2"/>
      <c r="H169" s="2"/>
      <c r="I169" s="2"/>
      <c r="J169" s="2"/>
      <c r="K169" s="2"/>
      <c r="L169" s="2"/>
      <c r="M169" s="2"/>
      <c r="N169" s="2"/>
      <c r="O169" s="2"/>
      <c r="P169" s="2"/>
      <c r="Q169" s="2"/>
      <c r="R169" s="2"/>
      <c r="S169" s="2"/>
      <c r="T169" s="2"/>
      <c r="U169" s="2"/>
      <c r="V169" s="2"/>
      <c r="W169" s="2"/>
    </row>
    <row r="170" spans="1:44" x14ac:dyDescent="0.35">
      <c r="A170" s="2"/>
      <c r="B170" s="2"/>
      <c r="C170" s="2"/>
      <c r="D170" s="2"/>
      <c r="E170" s="2"/>
      <c r="F170" s="2"/>
      <c r="G170" s="2"/>
      <c r="H170" s="2"/>
      <c r="I170" s="2"/>
      <c r="J170" s="2"/>
      <c r="K170" s="2"/>
      <c r="L170" s="2"/>
      <c r="M170" s="2"/>
      <c r="N170" s="2"/>
      <c r="O170" s="2"/>
      <c r="P170" s="2"/>
      <c r="Q170" s="2"/>
      <c r="R170" s="2"/>
      <c r="S170" s="2"/>
      <c r="T170" s="2"/>
      <c r="U170" s="2"/>
      <c r="V170" s="2"/>
      <c r="W170" s="2"/>
    </row>
    <row r="171" spans="1:44" s="2" customFormat="1" x14ac:dyDescent="0.35">
      <c r="Y171"/>
      <c r="Z171"/>
      <c r="AA171"/>
      <c r="AB171"/>
      <c r="AC171"/>
      <c r="AD171"/>
      <c r="AE171"/>
      <c r="AF171"/>
      <c r="AG171"/>
      <c r="AH171"/>
      <c r="AI171"/>
      <c r="AJ171"/>
      <c r="AK171"/>
      <c r="AL171"/>
      <c r="AM171"/>
      <c r="AN171"/>
      <c r="AO171"/>
      <c r="AP171"/>
      <c r="AQ171"/>
      <c r="AR171"/>
    </row>
    <row r="172" spans="1:44" s="2" customFormat="1" ht="18.5" x14ac:dyDescent="0.45">
      <c r="F172" s="1"/>
      <c r="G172" s="3"/>
      <c r="H172" s="3"/>
      <c r="I172" s="3"/>
      <c r="J172" s="3"/>
      <c r="K172" s="3"/>
      <c r="L172" s="3"/>
      <c r="M172" s="3"/>
      <c r="N172" s="3"/>
      <c r="O172" s="3"/>
      <c r="Y172"/>
      <c r="Z172"/>
      <c r="AA172"/>
      <c r="AB172"/>
      <c r="AC172"/>
      <c r="AD172"/>
      <c r="AE172"/>
      <c r="AF172"/>
      <c r="AG172"/>
      <c r="AH172"/>
      <c r="AI172"/>
      <c r="AJ172"/>
      <c r="AK172"/>
      <c r="AL172"/>
      <c r="AM172"/>
      <c r="AN172"/>
      <c r="AO172"/>
      <c r="AP172"/>
      <c r="AQ172"/>
      <c r="AR172"/>
    </row>
    <row r="173" spans="1:44" s="2" customFormat="1" ht="18.5" x14ac:dyDescent="0.45">
      <c r="F173" s="1"/>
      <c r="G173" s="3"/>
      <c r="H173" s="3"/>
      <c r="I173" s="3"/>
      <c r="J173" s="3"/>
      <c r="K173" s="3"/>
      <c r="L173" s="3"/>
      <c r="M173" s="3"/>
      <c r="N173" s="3"/>
      <c r="O173" s="3"/>
      <c r="Y173"/>
      <c r="Z173"/>
      <c r="AA173"/>
      <c r="AB173"/>
      <c r="AC173"/>
      <c r="AD173"/>
      <c r="AE173"/>
      <c r="AF173"/>
      <c r="AG173"/>
      <c r="AH173"/>
      <c r="AI173"/>
      <c r="AJ173"/>
      <c r="AK173"/>
      <c r="AL173"/>
      <c r="AM173"/>
      <c r="AN173"/>
      <c r="AO173"/>
      <c r="AP173"/>
      <c r="AQ173"/>
      <c r="AR173"/>
    </row>
    <row r="174" spans="1:44" s="2" customFormat="1" ht="15.5" x14ac:dyDescent="0.35">
      <c r="D174" s="199"/>
      <c r="F174" s="5"/>
      <c r="G174" s="5"/>
      <c r="H174" s="5"/>
      <c r="I174" s="5"/>
      <c r="J174" s="5"/>
      <c r="K174" s="5"/>
      <c r="L174" s="5"/>
      <c r="M174" s="5"/>
      <c r="N174" s="5"/>
      <c r="O174" s="5"/>
      <c r="P174" s="14"/>
      <c r="Y174"/>
      <c r="Z174"/>
      <c r="AA174"/>
      <c r="AB174"/>
      <c r="AC174"/>
      <c r="AD174"/>
      <c r="AE174"/>
      <c r="AF174"/>
      <c r="AG174"/>
      <c r="AH174"/>
      <c r="AI174"/>
      <c r="AJ174"/>
      <c r="AK174"/>
      <c r="AL174"/>
      <c r="AM174"/>
      <c r="AN174"/>
      <c r="AO174"/>
      <c r="AP174"/>
      <c r="AQ174"/>
      <c r="AR174"/>
    </row>
    <row r="175" spans="1:44" s="2" customFormat="1" x14ac:dyDescent="0.35">
      <c r="D175" s="292"/>
      <c r="Y175"/>
      <c r="Z175"/>
      <c r="AA175"/>
      <c r="AB175"/>
      <c r="AC175"/>
      <c r="AD175"/>
      <c r="AE175"/>
      <c r="AF175"/>
      <c r="AG175"/>
      <c r="AH175"/>
      <c r="AI175"/>
      <c r="AJ175"/>
      <c r="AK175"/>
      <c r="AL175"/>
      <c r="AM175"/>
      <c r="AN175"/>
      <c r="AO175"/>
      <c r="AP175"/>
      <c r="AQ175"/>
      <c r="AR175"/>
    </row>
    <row r="176" spans="1:44" s="2" customFormat="1" x14ac:dyDescent="0.35">
      <c r="D176" s="292"/>
      <c r="F176" s="13"/>
      <c r="Y176"/>
      <c r="Z176"/>
      <c r="AA176"/>
      <c r="AB176"/>
      <c r="AC176"/>
      <c r="AD176"/>
      <c r="AE176"/>
      <c r="AF176"/>
      <c r="AG176"/>
      <c r="AH176"/>
      <c r="AI176"/>
      <c r="AJ176"/>
      <c r="AK176"/>
      <c r="AL176"/>
      <c r="AM176"/>
      <c r="AN176"/>
      <c r="AO176"/>
      <c r="AP176"/>
      <c r="AQ176"/>
      <c r="AR176"/>
    </row>
    <row r="177" spans="4:44" s="2" customFormat="1" x14ac:dyDescent="0.35">
      <c r="D177" s="292"/>
      <c r="F177" s="13"/>
      <c r="Y177"/>
      <c r="Z177"/>
      <c r="AA177"/>
      <c r="AB177"/>
      <c r="AC177"/>
      <c r="AD177"/>
      <c r="AE177"/>
      <c r="AF177"/>
      <c r="AG177"/>
      <c r="AH177"/>
      <c r="AI177"/>
      <c r="AJ177"/>
      <c r="AK177"/>
      <c r="AL177"/>
      <c r="AM177"/>
      <c r="AN177"/>
      <c r="AO177"/>
      <c r="AP177"/>
      <c r="AQ177"/>
      <c r="AR177"/>
    </row>
    <row r="178" spans="4:44" s="2" customFormat="1" x14ac:dyDescent="0.35">
      <c r="D178" s="292"/>
      <c r="F178" s="13"/>
      <c r="Y178"/>
      <c r="Z178"/>
      <c r="AA178"/>
      <c r="AB178"/>
      <c r="AC178"/>
      <c r="AD178"/>
      <c r="AE178"/>
      <c r="AF178"/>
      <c r="AG178"/>
      <c r="AH178"/>
      <c r="AI178"/>
      <c r="AJ178"/>
      <c r="AK178"/>
      <c r="AL178"/>
      <c r="AM178"/>
      <c r="AN178"/>
      <c r="AO178"/>
      <c r="AP178"/>
      <c r="AQ178"/>
      <c r="AR178"/>
    </row>
    <row r="179" spans="4:44" s="2" customFormat="1" x14ac:dyDescent="0.35">
      <c r="D179" s="292"/>
      <c r="F179" s="13"/>
      <c r="Y179"/>
      <c r="Z179"/>
      <c r="AA179"/>
      <c r="AB179"/>
      <c r="AC179"/>
      <c r="AD179"/>
      <c r="AE179"/>
      <c r="AF179"/>
      <c r="AG179"/>
      <c r="AH179"/>
      <c r="AI179"/>
      <c r="AJ179"/>
      <c r="AK179"/>
      <c r="AL179"/>
      <c r="AM179"/>
      <c r="AN179"/>
      <c r="AO179"/>
      <c r="AP179"/>
      <c r="AQ179"/>
      <c r="AR179"/>
    </row>
    <row r="180" spans="4:44" s="2" customFormat="1" x14ac:dyDescent="0.35">
      <c r="D180" s="292"/>
      <c r="F180" s="13"/>
      <c r="Y180"/>
      <c r="Z180"/>
      <c r="AA180"/>
      <c r="AB180"/>
      <c r="AC180"/>
      <c r="AD180"/>
      <c r="AE180"/>
      <c r="AF180"/>
      <c r="AG180"/>
      <c r="AH180"/>
      <c r="AI180"/>
      <c r="AJ180"/>
      <c r="AK180"/>
      <c r="AL180"/>
      <c r="AM180"/>
      <c r="AN180"/>
      <c r="AO180"/>
      <c r="AP180"/>
      <c r="AQ180"/>
      <c r="AR180"/>
    </row>
    <row r="181" spans="4:44" s="2" customFormat="1" x14ac:dyDescent="0.35">
      <c r="D181" s="292"/>
      <c r="F181" s="13"/>
      <c r="Y181"/>
      <c r="Z181"/>
      <c r="AA181"/>
      <c r="AB181"/>
      <c r="AC181"/>
      <c r="AD181"/>
      <c r="AE181"/>
      <c r="AF181"/>
      <c r="AG181"/>
      <c r="AH181"/>
      <c r="AI181"/>
      <c r="AJ181"/>
      <c r="AK181"/>
      <c r="AL181"/>
      <c r="AM181"/>
      <c r="AN181"/>
      <c r="AO181"/>
      <c r="AP181"/>
      <c r="AQ181"/>
      <c r="AR181"/>
    </row>
    <row r="182" spans="4:44" s="2" customFormat="1" x14ac:dyDescent="0.35">
      <c r="D182" s="292"/>
      <c r="F182" s="13"/>
      <c r="Y182"/>
      <c r="Z182"/>
      <c r="AA182"/>
      <c r="AB182"/>
      <c r="AC182"/>
      <c r="AD182"/>
      <c r="AE182"/>
      <c r="AF182"/>
      <c r="AG182"/>
      <c r="AH182"/>
      <c r="AI182"/>
      <c r="AJ182"/>
      <c r="AK182"/>
      <c r="AL182"/>
      <c r="AM182"/>
      <c r="AN182"/>
      <c r="AO182"/>
      <c r="AP182"/>
      <c r="AQ182"/>
      <c r="AR182"/>
    </row>
    <row r="183" spans="4:44" s="2" customFormat="1" x14ac:dyDescent="0.35">
      <c r="D183" s="292"/>
      <c r="F183" s="13"/>
      <c r="Y183"/>
      <c r="Z183"/>
      <c r="AA183"/>
      <c r="AB183"/>
      <c r="AC183"/>
      <c r="AD183"/>
      <c r="AE183"/>
      <c r="AF183"/>
      <c r="AG183"/>
      <c r="AH183"/>
      <c r="AI183"/>
      <c r="AJ183"/>
      <c r="AK183"/>
      <c r="AL183"/>
      <c r="AM183"/>
      <c r="AN183"/>
      <c r="AO183"/>
      <c r="AP183"/>
      <c r="AQ183"/>
      <c r="AR183"/>
    </row>
    <row r="184" spans="4:44" s="2" customFormat="1" x14ac:dyDescent="0.35">
      <c r="D184" s="292"/>
      <c r="F184" s="13"/>
      <c r="Y184"/>
      <c r="Z184"/>
      <c r="AA184"/>
      <c r="AB184"/>
      <c r="AC184"/>
      <c r="AD184"/>
      <c r="AE184"/>
      <c r="AF184"/>
      <c r="AG184"/>
      <c r="AH184"/>
      <c r="AI184"/>
      <c r="AJ184"/>
      <c r="AK184"/>
      <c r="AL184"/>
      <c r="AM184"/>
      <c r="AN184"/>
      <c r="AO184"/>
      <c r="AP184"/>
      <c r="AQ184"/>
      <c r="AR184"/>
    </row>
    <row r="185" spans="4:44" s="2" customFormat="1" x14ac:dyDescent="0.35">
      <c r="D185" s="292"/>
      <c r="F185" s="13"/>
      <c r="Y185"/>
      <c r="Z185"/>
      <c r="AA185"/>
      <c r="AB185"/>
      <c r="AC185"/>
      <c r="AD185"/>
      <c r="AE185"/>
      <c r="AF185"/>
      <c r="AG185"/>
      <c r="AH185"/>
      <c r="AI185"/>
      <c r="AJ185"/>
      <c r="AK185"/>
      <c r="AL185"/>
      <c r="AM185"/>
      <c r="AN185"/>
      <c r="AQ185"/>
      <c r="AR185"/>
    </row>
    <row r="186" spans="4:44" s="2" customFormat="1" x14ac:dyDescent="0.35">
      <c r="D186" s="292"/>
      <c r="F186" s="13"/>
      <c r="Z186"/>
      <c r="AA186"/>
      <c r="AB186"/>
      <c r="AC186"/>
      <c r="AD186"/>
      <c r="AE186"/>
      <c r="AF186"/>
      <c r="AG186"/>
      <c r="AH186"/>
      <c r="AI186"/>
      <c r="AJ186"/>
      <c r="AK186"/>
      <c r="AL186"/>
      <c r="AM186"/>
      <c r="AN186"/>
      <c r="AQ186"/>
      <c r="AR186"/>
    </row>
    <row r="187" spans="4:44" s="2" customFormat="1" x14ac:dyDescent="0.35">
      <c r="D187" s="292"/>
      <c r="F187" s="13"/>
      <c r="Z187"/>
      <c r="AA187"/>
      <c r="AB187"/>
      <c r="AC187"/>
      <c r="AD187"/>
      <c r="AE187"/>
      <c r="AF187"/>
      <c r="AG187"/>
      <c r="AH187"/>
      <c r="AI187"/>
      <c r="AJ187"/>
      <c r="AK187"/>
      <c r="AL187"/>
      <c r="AM187"/>
      <c r="AN187"/>
      <c r="AQ187"/>
      <c r="AR187"/>
    </row>
    <row r="188" spans="4:44" s="2" customFormat="1" x14ac:dyDescent="0.35">
      <c r="D188" s="292"/>
      <c r="F188" s="13"/>
      <c r="Z188"/>
      <c r="AA188"/>
      <c r="AB188"/>
      <c r="AC188"/>
      <c r="AD188"/>
      <c r="AE188"/>
      <c r="AF188"/>
      <c r="AG188"/>
      <c r="AH188"/>
      <c r="AI188"/>
      <c r="AJ188"/>
      <c r="AK188"/>
      <c r="AL188"/>
      <c r="AM188"/>
      <c r="AN188"/>
      <c r="AQ188"/>
      <c r="AR188"/>
    </row>
    <row r="189" spans="4:44" s="2" customFormat="1" x14ac:dyDescent="0.35">
      <c r="D189" s="292"/>
      <c r="F189" s="13"/>
      <c r="Z189"/>
      <c r="AA189"/>
      <c r="AB189"/>
      <c r="AC189"/>
      <c r="AD189"/>
      <c r="AE189"/>
      <c r="AF189"/>
      <c r="AG189"/>
      <c r="AH189"/>
      <c r="AI189"/>
      <c r="AJ189"/>
      <c r="AK189"/>
      <c r="AL189"/>
      <c r="AM189"/>
      <c r="AN189"/>
    </row>
    <row r="190" spans="4:44" s="2" customFormat="1" x14ac:dyDescent="0.35">
      <c r="D190" s="292"/>
      <c r="F190" s="13"/>
      <c r="G190" s="13"/>
      <c r="Z190"/>
      <c r="AA190"/>
      <c r="AB190"/>
      <c r="AC190"/>
      <c r="AD190"/>
      <c r="AE190"/>
      <c r="AF190"/>
      <c r="AG190"/>
      <c r="AH190"/>
      <c r="AI190"/>
      <c r="AJ190"/>
      <c r="AK190"/>
      <c r="AL190"/>
      <c r="AM190"/>
      <c r="AN190"/>
    </row>
    <row r="191" spans="4:44" s="2" customFormat="1" x14ac:dyDescent="0.35">
      <c r="D191" s="292"/>
      <c r="F191" s="13"/>
      <c r="G191" s="13"/>
      <c r="Z191"/>
      <c r="AA191"/>
      <c r="AB191"/>
      <c r="AC191"/>
      <c r="AD191"/>
      <c r="AE191"/>
      <c r="AF191"/>
      <c r="AG191"/>
      <c r="AH191"/>
      <c r="AI191"/>
      <c r="AJ191"/>
      <c r="AK191"/>
      <c r="AL191"/>
      <c r="AM191"/>
      <c r="AN191"/>
    </row>
    <row r="192" spans="4:44" s="2" customFormat="1" x14ac:dyDescent="0.35">
      <c r="F192" s="13"/>
      <c r="G192" s="13"/>
      <c r="Z192"/>
      <c r="AA192"/>
      <c r="AB192"/>
      <c r="AC192"/>
      <c r="AD192"/>
      <c r="AE192"/>
      <c r="AF192"/>
      <c r="AG192"/>
      <c r="AH192"/>
      <c r="AI192"/>
      <c r="AJ192"/>
      <c r="AK192"/>
      <c r="AL192"/>
      <c r="AM192"/>
      <c r="AN192"/>
    </row>
    <row r="193" spans="5:40" s="2" customFormat="1" x14ac:dyDescent="0.35">
      <c r="F193" s="13"/>
      <c r="Z193"/>
      <c r="AA193"/>
      <c r="AB193"/>
      <c r="AC193"/>
      <c r="AD193"/>
      <c r="AE193"/>
      <c r="AF193"/>
      <c r="AG193"/>
      <c r="AH193"/>
      <c r="AI193"/>
      <c r="AJ193"/>
      <c r="AK193"/>
      <c r="AL193"/>
      <c r="AM193"/>
      <c r="AN193"/>
    </row>
    <row r="194" spans="5:40" s="2" customFormat="1" ht="15.5" x14ac:dyDescent="0.35">
      <c r="F194" s="13"/>
      <c r="G194" s="13"/>
      <c r="H194" s="5"/>
      <c r="I194" s="5"/>
      <c r="J194" s="5"/>
      <c r="K194" s="5"/>
      <c r="L194" s="5"/>
      <c r="M194" s="5"/>
      <c r="N194" s="5"/>
      <c r="O194" s="5"/>
      <c r="P194" s="14"/>
      <c r="Z194"/>
      <c r="AA194"/>
      <c r="AB194"/>
      <c r="AC194"/>
      <c r="AD194"/>
      <c r="AE194"/>
      <c r="AF194"/>
      <c r="AG194"/>
      <c r="AH194"/>
      <c r="AI194"/>
      <c r="AJ194"/>
      <c r="AK194"/>
      <c r="AL194"/>
      <c r="AM194"/>
      <c r="AN194"/>
    </row>
    <row r="195" spans="5:40" s="2" customFormat="1" x14ac:dyDescent="0.35">
      <c r="E195" s="3"/>
      <c r="F195" s="13"/>
      <c r="G195" s="49"/>
      <c r="H195" s="13"/>
      <c r="I195" s="13"/>
      <c r="J195" s="13"/>
      <c r="K195" s="13"/>
      <c r="L195" s="13"/>
      <c r="M195" s="13"/>
      <c r="N195" s="13"/>
      <c r="O195" s="13"/>
      <c r="P195" s="13"/>
      <c r="Z195"/>
      <c r="AA195"/>
      <c r="AB195"/>
      <c r="AC195"/>
      <c r="AD195"/>
      <c r="AE195"/>
      <c r="AF195"/>
      <c r="AG195"/>
      <c r="AH195"/>
      <c r="AI195"/>
      <c r="AJ195"/>
      <c r="AK195"/>
      <c r="AL195"/>
      <c r="AM195"/>
      <c r="AN195"/>
    </row>
    <row r="196" spans="5:40" s="2" customFormat="1" x14ac:dyDescent="0.35">
      <c r="E196" s="3"/>
      <c r="F196" s="13"/>
      <c r="G196" s="49"/>
      <c r="Z196"/>
      <c r="AA196"/>
      <c r="AB196"/>
      <c r="AC196"/>
      <c r="AD196"/>
      <c r="AE196"/>
      <c r="AF196"/>
      <c r="AG196"/>
      <c r="AH196"/>
      <c r="AI196"/>
      <c r="AJ196"/>
      <c r="AK196"/>
      <c r="AL196"/>
      <c r="AM196"/>
      <c r="AN196"/>
    </row>
    <row r="197" spans="5:40" s="2" customFormat="1" x14ac:dyDescent="0.35">
      <c r="E197" s="3"/>
      <c r="F197" s="13"/>
      <c r="G197" s="49"/>
      <c r="Z197"/>
      <c r="AA197"/>
      <c r="AB197"/>
      <c r="AC197"/>
      <c r="AD197"/>
      <c r="AE197"/>
      <c r="AF197"/>
      <c r="AG197"/>
      <c r="AH197"/>
      <c r="AI197"/>
      <c r="AJ197"/>
      <c r="AK197"/>
      <c r="AL197"/>
      <c r="AM197"/>
      <c r="AN197"/>
    </row>
    <row r="198" spans="5:40" s="2" customFormat="1" x14ac:dyDescent="0.35">
      <c r="E198" s="3"/>
      <c r="Z198"/>
      <c r="AA198"/>
      <c r="AB198"/>
      <c r="AC198"/>
      <c r="AD198"/>
      <c r="AE198"/>
      <c r="AF198"/>
      <c r="AG198"/>
      <c r="AH198"/>
      <c r="AI198"/>
      <c r="AJ198"/>
      <c r="AK198"/>
      <c r="AL198"/>
      <c r="AM198"/>
      <c r="AN198"/>
    </row>
    <row r="199" spans="5:40" s="2" customFormat="1" x14ac:dyDescent="0.35">
      <c r="E199" s="3"/>
      <c r="Z199"/>
      <c r="AA199"/>
      <c r="AB199"/>
      <c r="AC199"/>
      <c r="AD199"/>
      <c r="AE199"/>
      <c r="AF199"/>
      <c r="AG199"/>
      <c r="AH199"/>
      <c r="AI199"/>
      <c r="AJ199"/>
      <c r="AK199"/>
      <c r="AL199"/>
      <c r="AM199"/>
      <c r="AN199"/>
    </row>
    <row r="200" spans="5:40" s="2" customFormat="1" ht="15.5" x14ac:dyDescent="0.35">
      <c r="E200" s="3"/>
      <c r="G200" s="13"/>
      <c r="H200" s="5"/>
      <c r="I200" s="5"/>
      <c r="J200" s="5"/>
      <c r="K200" s="5"/>
      <c r="L200" s="5"/>
      <c r="M200" s="5"/>
      <c r="N200" s="5"/>
      <c r="O200" s="5"/>
      <c r="P200" s="14"/>
      <c r="Z200"/>
      <c r="AA200"/>
      <c r="AB200"/>
      <c r="AC200"/>
      <c r="AD200"/>
      <c r="AE200"/>
      <c r="AF200"/>
      <c r="AG200"/>
      <c r="AH200"/>
      <c r="AI200"/>
      <c r="AJ200"/>
      <c r="AK200"/>
      <c r="AL200"/>
      <c r="AM200"/>
    </row>
    <row r="201" spans="5:40" s="2" customFormat="1" x14ac:dyDescent="0.35">
      <c r="E201" s="3"/>
      <c r="G201" s="49"/>
      <c r="H201" s="13"/>
      <c r="I201" s="13"/>
      <c r="J201" s="13"/>
      <c r="K201" s="13"/>
      <c r="L201" s="13"/>
      <c r="M201" s="13"/>
      <c r="N201" s="13"/>
      <c r="O201" s="13"/>
      <c r="P201" s="13"/>
      <c r="Z201"/>
      <c r="AA201"/>
      <c r="AB201"/>
      <c r="AC201"/>
      <c r="AD201"/>
      <c r="AE201"/>
      <c r="AF201"/>
      <c r="AG201"/>
      <c r="AH201"/>
      <c r="AI201"/>
      <c r="AJ201"/>
      <c r="AK201"/>
      <c r="AL201"/>
      <c r="AM201"/>
    </row>
    <row r="202" spans="5:40" s="2" customFormat="1" x14ac:dyDescent="0.35">
      <c r="G202" s="49"/>
      <c r="Z202"/>
      <c r="AA202"/>
      <c r="AB202"/>
      <c r="AC202"/>
      <c r="AD202"/>
      <c r="AE202"/>
      <c r="AF202"/>
      <c r="AG202"/>
      <c r="AH202"/>
      <c r="AI202"/>
      <c r="AJ202"/>
      <c r="AK202"/>
      <c r="AL202"/>
      <c r="AM202"/>
    </row>
    <row r="203" spans="5:40" s="2" customFormat="1" ht="15.5" x14ac:dyDescent="0.35">
      <c r="G203" s="49"/>
      <c r="R203" s="14"/>
    </row>
    <row r="204" spans="5:40" s="2" customFormat="1" x14ac:dyDescent="0.35"/>
    <row r="205" spans="5:40" s="2" customFormat="1" x14ac:dyDescent="0.35"/>
    <row r="206" spans="5:40" s="2" customFormat="1" x14ac:dyDescent="0.35"/>
    <row r="207" spans="5:40" s="2" customFormat="1" x14ac:dyDescent="0.35"/>
    <row r="208" spans="5:40" s="2" customFormat="1" ht="18.5" x14ac:dyDescent="0.45">
      <c r="F208" s="1"/>
      <c r="G208" s="3"/>
      <c r="H208" s="3"/>
      <c r="I208" s="3"/>
      <c r="J208" s="3"/>
      <c r="K208" s="3"/>
      <c r="L208" s="3"/>
      <c r="M208" s="3"/>
      <c r="N208" s="3"/>
      <c r="O208" s="3"/>
    </row>
    <row r="209" spans="4:16" s="2" customFormat="1" ht="15.5" x14ac:dyDescent="0.35">
      <c r="D209" s="199"/>
      <c r="F209" s="5"/>
      <c r="G209" s="5"/>
      <c r="H209" s="5"/>
      <c r="I209" s="5"/>
      <c r="J209" s="5"/>
      <c r="K209" s="5"/>
      <c r="L209" s="5"/>
      <c r="M209" s="5"/>
      <c r="N209" s="5"/>
      <c r="O209" s="5"/>
      <c r="P209" s="14"/>
    </row>
    <row r="210" spans="4:16" s="2" customFormat="1" x14ac:dyDescent="0.35">
      <c r="D210" s="292"/>
    </row>
    <row r="211" spans="4:16" s="2" customFormat="1" x14ac:dyDescent="0.35">
      <c r="D211" s="292"/>
      <c r="F211" s="13"/>
    </row>
    <row r="212" spans="4:16" s="2" customFormat="1" x14ac:dyDescent="0.35">
      <c r="D212" s="292"/>
      <c r="F212" s="13"/>
    </row>
    <row r="213" spans="4:16" s="2" customFormat="1" x14ac:dyDescent="0.35">
      <c r="D213" s="292"/>
      <c r="F213" s="13"/>
    </row>
    <row r="214" spans="4:16" s="2" customFormat="1" x14ac:dyDescent="0.35">
      <c r="D214" s="292"/>
      <c r="F214" s="13"/>
    </row>
    <row r="215" spans="4:16" s="2" customFormat="1" x14ac:dyDescent="0.35">
      <c r="D215" s="292"/>
      <c r="F215" s="13"/>
    </row>
    <row r="216" spans="4:16" s="2" customFormat="1" x14ac:dyDescent="0.35">
      <c r="D216" s="292"/>
      <c r="F216" s="13"/>
    </row>
    <row r="217" spans="4:16" s="2" customFormat="1" x14ac:dyDescent="0.35">
      <c r="D217" s="292"/>
      <c r="F217" s="13"/>
    </row>
    <row r="218" spans="4:16" s="2" customFormat="1" x14ac:dyDescent="0.35">
      <c r="D218" s="292"/>
      <c r="F218" s="13"/>
    </row>
    <row r="219" spans="4:16" s="2" customFormat="1" x14ac:dyDescent="0.35">
      <c r="F219" s="13"/>
      <c r="G219" s="13"/>
    </row>
    <row r="220" spans="4:16" s="2" customFormat="1" x14ac:dyDescent="0.35">
      <c r="F220" s="13"/>
    </row>
    <row r="221" spans="4:16" s="2" customFormat="1" ht="15.5" x14ac:dyDescent="0.35">
      <c r="F221" s="13"/>
      <c r="G221" s="13"/>
      <c r="H221" s="5"/>
      <c r="I221" s="5"/>
      <c r="J221" s="5"/>
      <c r="K221" s="5"/>
      <c r="L221" s="5"/>
      <c r="M221" s="5"/>
      <c r="N221" s="5"/>
      <c r="O221" s="5"/>
      <c r="P221" s="14"/>
    </row>
    <row r="222" spans="4:16" s="2" customFormat="1" x14ac:dyDescent="0.35">
      <c r="E222" s="3"/>
      <c r="F222" s="13"/>
      <c r="G222" s="49"/>
      <c r="H222" s="13"/>
      <c r="I222" s="13"/>
      <c r="J222" s="13"/>
      <c r="K222" s="13"/>
      <c r="L222" s="13"/>
      <c r="M222" s="13"/>
      <c r="N222" s="13"/>
      <c r="O222" s="13"/>
      <c r="P222" s="13"/>
    </row>
    <row r="223" spans="4:16" s="2" customFormat="1" x14ac:dyDescent="0.35">
      <c r="E223" s="3"/>
      <c r="F223" s="13"/>
      <c r="G223" s="49"/>
    </row>
    <row r="224" spans="4:16" s="2" customFormat="1" x14ac:dyDescent="0.35">
      <c r="E224" s="3"/>
      <c r="F224" s="13"/>
      <c r="G224" s="49"/>
    </row>
    <row r="225" spans="3:44" s="2" customFormat="1" x14ac:dyDescent="0.35">
      <c r="E225" s="3"/>
    </row>
    <row r="226" spans="3:44" s="2" customFormat="1" x14ac:dyDescent="0.35">
      <c r="E226" s="3"/>
    </row>
    <row r="227" spans="3:44" s="2" customFormat="1" ht="15.5" x14ac:dyDescent="0.35">
      <c r="E227" s="3"/>
      <c r="G227" s="13"/>
      <c r="H227" s="5"/>
      <c r="I227" s="5"/>
      <c r="J227" s="5"/>
      <c r="K227" s="5"/>
      <c r="L227" s="5"/>
      <c r="M227" s="5"/>
      <c r="N227" s="5"/>
      <c r="O227" s="5"/>
      <c r="P227" s="14"/>
    </row>
    <row r="228" spans="3:44" s="2" customFormat="1" x14ac:dyDescent="0.35">
      <c r="E228" s="3"/>
      <c r="G228" s="49"/>
      <c r="H228" s="13"/>
      <c r="I228" s="13"/>
      <c r="J228" s="13"/>
      <c r="K228" s="13"/>
      <c r="L228" s="13"/>
      <c r="M228" s="13"/>
      <c r="N228" s="13"/>
      <c r="O228" s="13"/>
      <c r="P228" s="13"/>
    </row>
    <row r="229" spans="3:44" x14ac:dyDescent="0.35">
      <c r="C229" s="2"/>
      <c r="D229" s="2"/>
      <c r="E229" s="2"/>
      <c r="F229" s="2"/>
      <c r="G229" s="49"/>
      <c r="H229" s="2"/>
      <c r="I229" s="2"/>
      <c r="J229" s="2"/>
      <c r="K229" s="2"/>
      <c r="L229" s="2"/>
      <c r="M229" s="2"/>
      <c r="N229" s="2"/>
      <c r="O229" s="2"/>
      <c r="P229" s="2"/>
      <c r="Q229" s="2"/>
      <c r="Y229" s="2"/>
      <c r="Z229" s="2"/>
      <c r="AA229" s="2"/>
      <c r="AB229" s="2"/>
      <c r="AC229" s="2"/>
      <c r="AD229" s="2"/>
      <c r="AE229" s="2"/>
      <c r="AF229" s="2"/>
      <c r="AG229" s="2"/>
      <c r="AH229" s="2"/>
      <c r="AI229" s="2"/>
      <c r="AJ229" s="2"/>
      <c r="AK229" s="2"/>
      <c r="AL229" s="2"/>
      <c r="AM229" s="2"/>
      <c r="AN229" s="2"/>
      <c r="AO229" s="2"/>
      <c r="AP229" s="2"/>
      <c r="AQ229" s="2"/>
      <c r="AR229" s="2"/>
    </row>
    <row r="230" spans="3:44" x14ac:dyDescent="0.35">
      <c r="C230" s="2"/>
      <c r="D230" s="2"/>
      <c r="E230" s="2"/>
      <c r="F230" s="2"/>
      <c r="G230" s="49"/>
      <c r="H230" s="2"/>
      <c r="I230" s="2"/>
      <c r="J230" s="2"/>
      <c r="K230" s="2"/>
      <c r="L230" s="2"/>
      <c r="M230" s="2"/>
      <c r="N230" s="2"/>
      <c r="O230" s="2"/>
      <c r="P230" s="2"/>
      <c r="Q230" s="2"/>
      <c r="Y230" s="2"/>
      <c r="Z230" s="2"/>
      <c r="AA230" s="2"/>
      <c r="AB230" s="2"/>
      <c r="AC230" s="2"/>
      <c r="AD230" s="2"/>
      <c r="AE230" s="2"/>
      <c r="AF230" s="2"/>
      <c r="AG230" s="2"/>
      <c r="AH230" s="2"/>
      <c r="AI230" s="2"/>
      <c r="AJ230" s="2"/>
      <c r="AK230" s="2"/>
      <c r="AL230" s="2"/>
      <c r="AM230" s="2"/>
      <c r="AN230" s="2"/>
      <c r="AO230" s="2"/>
      <c r="AP230" s="2"/>
      <c r="AQ230" s="2"/>
      <c r="AR230" s="2"/>
    </row>
    <row r="231" spans="3:44" x14ac:dyDescent="0.35">
      <c r="C231" s="2"/>
      <c r="D231" s="2"/>
      <c r="E231" s="2"/>
      <c r="F231" s="2"/>
      <c r="G231" s="2"/>
      <c r="H231" s="2"/>
      <c r="I231" s="2"/>
      <c r="J231" s="2"/>
      <c r="K231" s="2"/>
      <c r="L231" s="2"/>
      <c r="M231" s="2"/>
      <c r="N231" s="2"/>
      <c r="O231" s="2"/>
      <c r="P231" s="2"/>
      <c r="Q231" s="2"/>
      <c r="Y231" s="2"/>
      <c r="Z231" s="2"/>
      <c r="AA231" s="2"/>
      <c r="AB231" s="2"/>
      <c r="AC231" s="2"/>
      <c r="AD231" s="2"/>
      <c r="AE231" s="2"/>
      <c r="AF231" s="2"/>
      <c r="AG231" s="2"/>
      <c r="AH231" s="2"/>
      <c r="AI231" s="2"/>
      <c r="AJ231" s="2"/>
      <c r="AK231" s="2"/>
      <c r="AL231" s="2"/>
      <c r="AM231" s="2"/>
      <c r="AN231" s="2"/>
      <c r="AO231" s="2"/>
      <c r="AP231" s="2"/>
      <c r="AQ231" s="2"/>
      <c r="AR231" s="2"/>
    </row>
    <row r="232" spans="3:44" x14ac:dyDescent="0.35">
      <c r="C232" s="2"/>
      <c r="D232" s="2"/>
      <c r="E232" s="2"/>
      <c r="F232" s="2"/>
      <c r="G232" s="2"/>
      <c r="H232" s="2"/>
      <c r="I232" s="2"/>
      <c r="J232" s="2"/>
      <c r="K232" s="2"/>
      <c r="L232" s="2"/>
      <c r="M232" s="2"/>
      <c r="N232" s="2"/>
      <c r="O232" s="2"/>
      <c r="P232" s="2"/>
      <c r="Q232" s="2"/>
      <c r="Y232" s="2"/>
      <c r="Z232" s="2"/>
      <c r="AA232" s="2"/>
      <c r="AB232" s="2"/>
      <c r="AC232" s="2"/>
      <c r="AD232" s="2"/>
      <c r="AE232" s="2"/>
      <c r="AF232" s="2"/>
      <c r="AG232" s="2"/>
      <c r="AH232" s="2"/>
      <c r="AI232" s="2"/>
      <c r="AJ232" s="2"/>
      <c r="AK232" s="2"/>
      <c r="AL232" s="2"/>
      <c r="AM232" s="2"/>
      <c r="AN232" s="2"/>
      <c r="AO232" s="2"/>
      <c r="AP232" s="2"/>
      <c r="AQ232" s="2"/>
      <c r="AR232" s="2"/>
    </row>
    <row r="233" spans="3:44" x14ac:dyDescent="0.35">
      <c r="C233" s="2"/>
      <c r="D233" s="2"/>
      <c r="E233" s="2"/>
      <c r="F233" s="2"/>
      <c r="G233" s="2"/>
      <c r="H233" s="2"/>
      <c r="I233" s="2"/>
      <c r="J233" s="2"/>
      <c r="K233" s="2"/>
      <c r="L233" s="2"/>
      <c r="M233" s="2"/>
      <c r="N233" s="2"/>
      <c r="O233" s="2"/>
      <c r="P233" s="2"/>
      <c r="Q233" s="2"/>
      <c r="Y233" s="2"/>
      <c r="Z233" s="2"/>
      <c r="AA233" s="2"/>
      <c r="AB233" s="2"/>
      <c r="AC233" s="2"/>
      <c r="AD233" s="2"/>
      <c r="AE233" s="2"/>
      <c r="AF233" s="2"/>
      <c r="AG233" s="2"/>
      <c r="AH233" s="2"/>
      <c r="AI233" s="2"/>
      <c r="AJ233" s="2"/>
      <c r="AK233" s="2"/>
      <c r="AL233" s="2"/>
      <c r="AM233" s="2"/>
      <c r="AN233" s="2"/>
      <c r="AO233" s="2"/>
      <c r="AP233" s="2"/>
      <c r="AQ233" s="2"/>
      <c r="AR233" s="2"/>
    </row>
    <row r="234" spans="3:44" x14ac:dyDescent="0.35">
      <c r="Y234" s="2"/>
      <c r="Z234" s="2"/>
      <c r="AA234" s="2"/>
      <c r="AB234" s="2"/>
      <c r="AC234" s="2"/>
      <c r="AD234" s="2"/>
      <c r="AE234" s="2"/>
      <c r="AF234" s="2"/>
      <c r="AG234" s="2"/>
      <c r="AH234" s="2"/>
      <c r="AI234" s="2"/>
      <c r="AJ234" s="2"/>
      <c r="AK234" s="2"/>
      <c r="AL234" s="2"/>
      <c r="AM234" s="2"/>
      <c r="AN234" s="2"/>
      <c r="AO234" s="2"/>
      <c r="AP234" s="2"/>
      <c r="AQ234" s="2"/>
      <c r="AR234" s="2"/>
    </row>
    <row r="235" spans="3:44" x14ac:dyDescent="0.35">
      <c r="Y235" s="2"/>
      <c r="Z235" s="2"/>
      <c r="AA235" s="2"/>
      <c r="AB235" s="2"/>
      <c r="AC235" s="2"/>
      <c r="AD235" s="2"/>
      <c r="AE235" s="2"/>
      <c r="AF235" s="2"/>
      <c r="AG235" s="2"/>
      <c r="AH235" s="2"/>
      <c r="AI235" s="2"/>
      <c r="AJ235" s="2"/>
      <c r="AK235" s="2"/>
      <c r="AL235" s="2"/>
      <c r="AM235" s="2"/>
      <c r="AN235" s="2"/>
      <c r="AO235" s="2"/>
      <c r="AP235" s="2"/>
      <c r="AQ235" s="2"/>
      <c r="AR235" s="2"/>
    </row>
    <row r="236" spans="3:44" x14ac:dyDescent="0.35">
      <c r="Y236" s="2"/>
      <c r="Z236" s="2"/>
      <c r="AA236" s="2"/>
      <c r="AB236" s="2"/>
      <c r="AC236" s="2"/>
      <c r="AD236" s="2"/>
      <c r="AE236" s="2"/>
      <c r="AF236" s="2"/>
      <c r="AG236" s="2"/>
      <c r="AH236" s="2"/>
      <c r="AI236" s="2"/>
      <c r="AJ236" s="2"/>
      <c r="AK236" s="2"/>
      <c r="AL236" s="2"/>
      <c r="AM236" s="2"/>
      <c r="AN236" s="2"/>
      <c r="AO236" s="2"/>
      <c r="AP236" s="2"/>
      <c r="AQ236" s="2"/>
      <c r="AR236" s="2"/>
    </row>
    <row r="237" spans="3:44" x14ac:dyDescent="0.35">
      <c r="Y237" s="2"/>
      <c r="Z237" s="2"/>
      <c r="AA237" s="2"/>
      <c r="AB237" s="2"/>
      <c r="AC237" s="2"/>
      <c r="AD237" s="2"/>
      <c r="AE237" s="2"/>
      <c r="AF237" s="2"/>
      <c r="AG237" s="2"/>
      <c r="AH237" s="2"/>
      <c r="AI237" s="2"/>
      <c r="AJ237" s="2"/>
      <c r="AK237" s="2"/>
      <c r="AL237" s="2"/>
      <c r="AM237" s="2"/>
      <c r="AN237" s="2"/>
      <c r="AO237" s="2"/>
      <c r="AP237" s="2"/>
      <c r="AQ237" s="2"/>
      <c r="AR237" s="2"/>
    </row>
    <row r="238" spans="3:44" x14ac:dyDescent="0.35">
      <c r="Y238" s="2"/>
      <c r="Z238" s="2"/>
      <c r="AA238" s="2"/>
      <c r="AB238" s="2"/>
      <c r="AC238" s="2"/>
      <c r="AD238" s="2"/>
      <c r="AE238" s="2"/>
      <c r="AF238" s="2"/>
      <c r="AG238" s="2"/>
      <c r="AH238" s="2"/>
      <c r="AI238" s="2"/>
      <c r="AJ238" s="2"/>
      <c r="AK238" s="2"/>
      <c r="AL238" s="2"/>
      <c r="AM238" s="2"/>
      <c r="AN238" s="2"/>
      <c r="AO238" s="2"/>
      <c r="AP238" s="2"/>
      <c r="AQ238" s="2"/>
      <c r="AR238" s="2"/>
    </row>
    <row r="239" spans="3:44" x14ac:dyDescent="0.35">
      <c r="Y239" s="2"/>
      <c r="Z239" s="2"/>
      <c r="AA239" s="2"/>
      <c r="AB239" s="2"/>
      <c r="AC239" s="2"/>
      <c r="AD239" s="2"/>
      <c r="AE239" s="2"/>
      <c r="AF239" s="2"/>
      <c r="AG239" s="2"/>
      <c r="AH239" s="2"/>
      <c r="AI239" s="2"/>
      <c r="AJ239" s="2"/>
      <c r="AK239" s="2"/>
      <c r="AL239" s="2"/>
      <c r="AM239" s="2"/>
      <c r="AN239" s="2"/>
      <c r="AO239" s="2"/>
      <c r="AP239" s="2"/>
      <c r="AQ239" s="2"/>
      <c r="AR239" s="2"/>
    </row>
    <row r="240" spans="3:44" x14ac:dyDescent="0.35">
      <c r="Y240" s="2"/>
      <c r="Z240" s="2"/>
      <c r="AA240" s="2"/>
      <c r="AB240" s="2"/>
      <c r="AC240" s="2"/>
      <c r="AD240" s="2"/>
      <c r="AE240" s="2"/>
      <c r="AF240" s="2"/>
      <c r="AG240" s="2"/>
      <c r="AH240" s="2"/>
      <c r="AI240" s="2"/>
      <c r="AJ240" s="2"/>
      <c r="AK240" s="2"/>
      <c r="AL240" s="2"/>
      <c r="AM240" s="2"/>
      <c r="AN240" s="2"/>
      <c r="AO240" s="2"/>
      <c r="AP240" s="2"/>
      <c r="AQ240" s="2"/>
      <c r="AR240" s="2"/>
    </row>
    <row r="241" spans="25:44" x14ac:dyDescent="0.35">
      <c r="Y241" s="2"/>
      <c r="Z241" s="2"/>
      <c r="AA241" s="2"/>
      <c r="AB241" s="2"/>
      <c r="AC241" s="2"/>
      <c r="AD241" s="2"/>
      <c r="AE241" s="2"/>
      <c r="AF241" s="2"/>
      <c r="AG241" s="2"/>
      <c r="AH241" s="2"/>
      <c r="AI241" s="2"/>
      <c r="AJ241" s="2"/>
      <c r="AK241" s="2"/>
      <c r="AL241" s="2"/>
      <c r="AM241" s="2"/>
      <c r="AN241" s="2"/>
      <c r="AO241" s="2"/>
      <c r="AP241" s="2"/>
      <c r="AQ241" s="2"/>
      <c r="AR241" s="2"/>
    </row>
    <row r="242" spans="25:44" x14ac:dyDescent="0.35">
      <c r="Y242" s="2"/>
      <c r="Z242" s="2"/>
      <c r="AA242" s="2"/>
      <c r="AB242" s="2"/>
      <c r="AC242" s="2"/>
      <c r="AD242" s="2"/>
      <c r="AE242" s="2"/>
      <c r="AF242" s="2"/>
      <c r="AG242" s="2"/>
      <c r="AH242" s="2"/>
      <c r="AI242" s="2"/>
      <c r="AJ242" s="2"/>
      <c r="AK242" s="2"/>
      <c r="AL242" s="2"/>
      <c r="AM242" s="2"/>
      <c r="AN242" s="2"/>
      <c r="AO242" s="2"/>
      <c r="AP242" s="2"/>
      <c r="AQ242" s="2"/>
      <c r="AR242" s="2"/>
    </row>
    <row r="243" spans="25:44" x14ac:dyDescent="0.35">
      <c r="Y243" s="2"/>
      <c r="Z243" s="2"/>
      <c r="AA243" s="2"/>
      <c r="AB243" s="2"/>
      <c r="AC243" s="2"/>
      <c r="AD243" s="2"/>
      <c r="AE243" s="2"/>
      <c r="AF243" s="2"/>
      <c r="AG243" s="2"/>
      <c r="AH243" s="2"/>
      <c r="AI243" s="2"/>
      <c r="AJ243" s="2"/>
      <c r="AK243" s="2"/>
      <c r="AL243" s="2"/>
      <c r="AM243" s="2"/>
      <c r="AN243" s="2"/>
      <c r="AQ243" s="2"/>
      <c r="AR243" s="2"/>
    </row>
    <row r="244" spans="25:44" x14ac:dyDescent="0.35">
      <c r="Z244" s="2"/>
      <c r="AA244" s="2"/>
      <c r="AB244" s="2"/>
      <c r="AC244" s="2"/>
      <c r="AD244" s="2"/>
      <c r="AE244" s="2"/>
      <c r="AF244" s="2"/>
      <c r="AG244" s="2"/>
      <c r="AH244" s="2"/>
      <c r="AI244" s="2"/>
      <c r="AJ244" s="2"/>
      <c r="AK244" s="2"/>
      <c r="AL244" s="2"/>
      <c r="AM244" s="2"/>
      <c r="AN244" s="2"/>
      <c r="AQ244" s="2"/>
      <c r="AR244" s="2"/>
    </row>
    <row r="245" spans="25:44" x14ac:dyDescent="0.35">
      <c r="Z245" s="2"/>
      <c r="AA245" s="2"/>
      <c r="AB245" s="2"/>
      <c r="AC245" s="2"/>
      <c r="AD245" s="2"/>
      <c r="AE245" s="2"/>
      <c r="AF245" s="2"/>
      <c r="AG245" s="2"/>
      <c r="AH245" s="2"/>
      <c r="AI245" s="2"/>
      <c r="AJ245" s="2"/>
      <c r="AK245" s="2"/>
      <c r="AL245" s="2"/>
      <c r="AM245" s="2"/>
      <c r="AN245" s="2"/>
      <c r="AQ245" s="2"/>
      <c r="AR245" s="2"/>
    </row>
    <row r="246" spans="25:44" x14ac:dyDescent="0.35">
      <c r="Z246" s="2"/>
      <c r="AA246" s="2"/>
      <c r="AB246" s="2"/>
      <c r="AC246" s="2"/>
      <c r="AD246" s="2"/>
      <c r="AE246" s="2"/>
      <c r="AF246" s="2"/>
      <c r="AG246" s="2"/>
      <c r="AH246" s="2"/>
      <c r="AI246" s="2"/>
      <c r="AJ246" s="2"/>
      <c r="AK246" s="2"/>
      <c r="AL246" s="2"/>
      <c r="AM246" s="2"/>
      <c r="AN246" s="2"/>
      <c r="AQ246" s="2"/>
      <c r="AR246" s="2"/>
    </row>
    <row r="247" spans="25:44" x14ac:dyDescent="0.35">
      <c r="Z247" s="2"/>
      <c r="AA247" s="2"/>
      <c r="AB247" s="2"/>
      <c r="AC247" s="2"/>
      <c r="AD247" s="2"/>
      <c r="AE247" s="2"/>
      <c r="AF247" s="2"/>
      <c r="AG247" s="2"/>
      <c r="AH247" s="2"/>
      <c r="AI247" s="2"/>
      <c r="AJ247" s="2"/>
      <c r="AK247" s="2"/>
      <c r="AL247" s="2"/>
      <c r="AM247" s="2"/>
      <c r="AN247" s="2"/>
    </row>
    <row r="248" spans="25:44" x14ac:dyDescent="0.35">
      <c r="Z248" s="2"/>
      <c r="AA248" s="2"/>
      <c r="AB248" s="2"/>
      <c r="AC248" s="2"/>
      <c r="AD248" s="2"/>
      <c r="AE248" s="2"/>
      <c r="AF248" s="2"/>
      <c r="AG248" s="2"/>
      <c r="AH248" s="2"/>
      <c r="AI248" s="2"/>
      <c r="AJ248" s="2"/>
      <c r="AK248" s="2"/>
      <c r="AL248" s="2"/>
      <c r="AM248" s="2"/>
      <c r="AN248" s="2"/>
    </row>
    <row r="249" spans="25:44" x14ac:dyDescent="0.35">
      <c r="Z249" s="2"/>
      <c r="AA249" s="2"/>
      <c r="AB249" s="2"/>
      <c r="AC249" s="2"/>
      <c r="AD249" s="2"/>
      <c r="AE249" s="2"/>
      <c r="AF249" s="2"/>
      <c r="AG249" s="2"/>
      <c r="AH249" s="2"/>
      <c r="AI249" s="2"/>
      <c r="AJ249" s="2"/>
      <c r="AK249" s="2"/>
      <c r="AL249" s="2"/>
      <c r="AM249" s="2"/>
      <c r="AN249" s="2"/>
    </row>
    <row r="250" spans="25:44" x14ac:dyDescent="0.35">
      <c r="Z250" s="2"/>
      <c r="AA250" s="2"/>
      <c r="AB250" s="2"/>
      <c r="AC250" s="2"/>
      <c r="AD250" s="2"/>
      <c r="AE250" s="2"/>
      <c r="AF250" s="2"/>
      <c r="AG250" s="2"/>
      <c r="AH250" s="2"/>
      <c r="AI250" s="2"/>
      <c r="AJ250" s="2"/>
      <c r="AK250" s="2"/>
      <c r="AL250" s="2"/>
      <c r="AM250" s="2"/>
      <c r="AN250" s="2"/>
    </row>
    <row r="251" spans="25:44" x14ac:dyDescent="0.35">
      <c r="Z251" s="2"/>
      <c r="AA251" s="2"/>
      <c r="AB251" s="2"/>
      <c r="AC251" s="2"/>
      <c r="AD251" s="2"/>
      <c r="AE251" s="2"/>
      <c r="AF251" s="2"/>
      <c r="AG251" s="2"/>
      <c r="AH251" s="2"/>
      <c r="AI251" s="2"/>
      <c r="AJ251" s="2"/>
      <c r="AK251" s="2"/>
      <c r="AL251" s="2"/>
      <c r="AM251" s="2"/>
      <c r="AN251" s="2"/>
    </row>
    <row r="252" spans="25:44" x14ac:dyDescent="0.35">
      <c r="Z252" s="2"/>
      <c r="AA252" s="2"/>
      <c r="AB252" s="2"/>
      <c r="AC252" s="2"/>
      <c r="AD252" s="2"/>
      <c r="AE252" s="2"/>
      <c r="AF252" s="2"/>
      <c r="AG252" s="2"/>
      <c r="AH252" s="2"/>
      <c r="AI252" s="2"/>
      <c r="AJ252" s="2"/>
      <c r="AK252" s="2"/>
      <c r="AL252" s="2"/>
      <c r="AM252" s="2"/>
      <c r="AN252" s="2"/>
    </row>
    <row r="253" spans="25:44" x14ac:dyDescent="0.35">
      <c r="Z253" s="2"/>
      <c r="AA253" s="2"/>
      <c r="AB253" s="2"/>
      <c r="AC253" s="2"/>
      <c r="AD253" s="2"/>
      <c r="AE253" s="2"/>
      <c r="AF253" s="2"/>
      <c r="AG253" s="2"/>
      <c r="AH253" s="2"/>
      <c r="AI253" s="2"/>
      <c r="AJ253" s="2"/>
      <c r="AK253" s="2"/>
      <c r="AL253" s="2"/>
      <c r="AM253" s="2"/>
      <c r="AN253" s="2"/>
    </row>
    <row r="254" spans="25:44" x14ac:dyDescent="0.35">
      <c r="Z254" s="2"/>
      <c r="AA254" s="2"/>
      <c r="AB254" s="2"/>
      <c r="AC254" s="2"/>
      <c r="AD254" s="2"/>
      <c r="AE254" s="2"/>
      <c r="AF254" s="2"/>
      <c r="AG254" s="2"/>
      <c r="AH254" s="2"/>
      <c r="AI254" s="2"/>
      <c r="AJ254" s="2"/>
      <c r="AK254" s="2"/>
      <c r="AL254" s="2"/>
      <c r="AM254" s="2"/>
      <c r="AN254" s="2"/>
    </row>
    <row r="255" spans="25:44" x14ac:dyDescent="0.35">
      <c r="Z255" s="2"/>
      <c r="AA255" s="2"/>
      <c r="AB255" s="2"/>
      <c r="AC255" s="2"/>
      <c r="AD255" s="2"/>
      <c r="AE255" s="2"/>
      <c r="AF255" s="2"/>
      <c r="AG255" s="2"/>
      <c r="AH255" s="2"/>
      <c r="AI255" s="2"/>
      <c r="AJ255" s="2"/>
      <c r="AK255" s="2"/>
      <c r="AL255" s="2"/>
      <c r="AM255" s="2"/>
      <c r="AN255" s="2"/>
    </row>
    <row r="256" spans="25:44" x14ac:dyDescent="0.35">
      <c r="Z256" s="2"/>
      <c r="AA256" s="2"/>
      <c r="AB256" s="2"/>
      <c r="AC256" s="2"/>
      <c r="AD256" s="2"/>
      <c r="AE256" s="2"/>
      <c r="AF256" s="2"/>
      <c r="AG256" s="2"/>
      <c r="AH256" s="2"/>
      <c r="AI256" s="2"/>
      <c r="AJ256" s="2"/>
      <c r="AK256" s="2"/>
      <c r="AL256" s="2"/>
      <c r="AM256" s="2"/>
      <c r="AN256" s="2"/>
    </row>
    <row r="257" spans="26:40" x14ac:dyDescent="0.35">
      <c r="Z257" s="2"/>
      <c r="AA257" s="2"/>
      <c r="AB257" s="2"/>
      <c r="AC257" s="2"/>
      <c r="AD257" s="2"/>
      <c r="AE257" s="2"/>
      <c r="AF257" s="2"/>
      <c r="AG257" s="2"/>
      <c r="AH257" s="2"/>
      <c r="AI257" s="2"/>
      <c r="AJ257" s="2"/>
      <c r="AK257" s="2"/>
      <c r="AL257" s="2"/>
      <c r="AM257" s="2"/>
      <c r="AN257" s="2"/>
    </row>
    <row r="258" spans="26:40" x14ac:dyDescent="0.35">
      <c r="Z258" s="2"/>
      <c r="AA258" s="2"/>
      <c r="AB258" s="2"/>
      <c r="AC258" s="2"/>
      <c r="AD258" s="2"/>
      <c r="AE258" s="2"/>
      <c r="AF258" s="2"/>
      <c r="AG258" s="2"/>
      <c r="AH258" s="2"/>
      <c r="AI258" s="2"/>
      <c r="AJ258" s="2"/>
      <c r="AK258" s="2"/>
      <c r="AL258" s="2"/>
      <c r="AM258" s="2"/>
    </row>
    <row r="259" spans="26:40" x14ac:dyDescent="0.35">
      <c r="Z259" s="2"/>
      <c r="AA259" s="2"/>
      <c r="AB259" s="2"/>
      <c r="AC259" s="2"/>
      <c r="AD259" s="2"/>
      <c r="AE259" s="2"/>
      <c r="AF259" s="2"/>
      <c r="AG259" s="2"/>
      <c r="AH259" s="2"/>
      <c r="AI259" s="2"/>
      <c r="AJ259" s="2"/>
      <c r="AK259" s="2"/>
      <c r="AL259" s="2"/>
      <c r="AM259" s="2"/>
    </row>
    <row r="260" spans="26:40" x14ac:dyDescent="0.35">
      <c r="Z260" s="2"/>
      <c r="AA260" s="2"/>
      <c r="AB260" s="2"/>
      <c r="AC260" s="2"/>
      <c r="AD260" s="2"/>
      <c r="AE260" s="2"/>
      <c r="AF260" s="2"/>
      <c r="AG260" s="2"/>
      <c r="AH260" s="2"/>
      <c r="AI260" s="2"/>
      <c r="AJ260" s="2"/>
      <c r="AK260" s="2"/>
      <c r="AL260" s="2"/>
      <c r="AM260" s="2"/>
    </row>
  </sheetData>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S246"/>
  <sheetViews>
    <sheetView topLeftCell="K1" workbookViewId="0">
      <selection activeCell="AE33" sqref="AE33"/>
    </sheetView>
  </sheetViews>
  <sheetFormatPr defaultRowHeight="14.5" x14ac:dyDescent="0.35"/>
  <sheetData>
    <row r="4" spans="2:40" ht="18.5" x14ac:dyDescent="0.45">
      <c r="B4" s="2"/>
      <c r="C4" s="1" t="s">
        <v>744</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29.47373</v>
      </c>
      <c r="G7" s="2">
        <v>33.942410000000002</v>
      </c>
      <c r="H7" s="2">
        <f>G7-F7</f>
        <v>4.4686800000000027</v>
      </c>
      <c r="I7" s="2">
        <f>F8-G7</f>
        <v>16.043229999999994</v>
      </c>
      <c r="J7" s="2">
        <f>H7/N7</f>
        <v>0.21785782016399269</v>
      </c>
      <c r="K7" s="2">
        <f>I7/N7</f>
        <v>0.78214217983600731</v>
      </c>
      <c r="L7" s="2">
        <f>1/H7</f>
        <v>0.22377972913701571</v>
      </c>
      <c r="M7" s="2">
        <f>1/N7</f>
        <v>4.8752163986678969E-2</v>
      </c>
      <c r="N7" s="2">
        <f>H7+I7</f>
        <v>20.511909999999997</v>
      </c>
      <c r="O7" s="2">
        <v>20</v>
      </c>
      <c r="P7">
        <f>O7/H7</f>
        <v>4.4755945827403147</v>
      </c>
      <c r="R7" t="s">
        <v>757</v>
      </c>
      <c r="AA7" s="2"/>
      <c r="AB7" s="2">
        <v>5.2599200000000002</v>
      </c>
      <c r="AC7" s="2">
        <v>5.8744699999999996</v>
      </c>
      <c r="AD7" s="2">
        <f t="shared" ref="AD7:AD28" si="0">AC7-AB7</f>
        <v>0.61454999999999949</v>
      </c>
      <c r="AE7" s="2">
        <f t="shared" ref="AE7:AE27" si="1">AB8-AC7</f>
        <v>7.2022500000000003</v>
      </c>
      <c r="AF7" s="2">
        <f>AD7/AJ7</f>
        <v>7.8619128031931163E-2</v>
      </c>
      <c r="AG7" s="2">
        <f>AE7/AJ7</f>
        <v>0.92138087196806884</v>
      </c>
      <c r="AH7" s="2">
        <f>1/AD7</f>
        <v>1.6272068993572546</v>
      </c>
      <c r="AI7" s="2">
        <f>1/AJ7</f>
        <v>0.12792958755500972</v>
      </c>
      <c r="AJ7" s="2">
        <f>AD7+AE7</f>
        <v>7.8167999999999997</v>
      </c>
      <c r="AK7" s="2">
        <v>15</v>
      </c>
      <c r="AL7">
        <f>AK7/AD7</f>
        <v>24.408103490358819</v>
      </c>
      <c r="AN7" t="s">
        <v>766</v>
      </c>
    </row>
    <row r="8" spans="2:40" x14ac:dyDescent="0.35">
      <c r="B8" s="2"/>
      <c r="C8" s="2"/>
      <c r="D8" s="2"/>
      <c r="E8" s="2"/>
      <c r="F8" s="13">
        <v>49.985639999999997</v>
      </c>
      <c r="G8" s="2">
        <v>53.627189999999999</v>
      </c>
      <c r="H8" s="2">
        <f>G8-F8</f>
        <v>3.6415500000000023</v>
      </c>
      <c r="I8" s="2">
        <f>F9-G8</f>
        <v>19.465440000000001</v>
      </c>
      <c r="J8" s="2">
        <f>H8/N8</f>
        <v>0.15759516925397907</v>
      </c>
      <c r="K8" s="2">
        <f>I8/N8</f>
        <v>0.84240483074602091</v>
      </c>
      <c r="L8" s="2">
        <f>1/H8</f>
        <v>0.27460833985528121</v>
      </c>
      <c r="M8" s="2">
        <f>1/N8</f>
        <v>4.3276947798047249E-2</v>
      </c>
      <c r="N8" s="2">
        <f>H8+I8</f>
        <v>23.106990000000003</v>
      </c>
      <c r="O8" s="2">
        <v>18</v>
      </c>
      <c r="P8">
        <f>O8/H8</f>
        <v>4.9429501173950623</v>
      </c>
      <c r="AA8" s="2"/>
      <c r="AB8" s="13">
        <v>13.07672</v>
      </c>
      <c r="AC8" s="2">
        <v>15.300739999999999</v>
      </c>
      <c r="AD8" s="2">
        <f t="shared" si="0"/>
        <v>2.2240199999999994</v>
      </c>
      <c r="AE8" s="2">
        <f t="shared" si="1"/>
        <v>6.2704900000000006</v>
      </c>
      <c r="AF8" s="2">
        <f t="shared" ref="AF8:AF27" si="2">AD8/AJ8</f>
        <v>0.26181851572368497</v>
      </c>
      <c r="AG8" s="2">
        <f t="shared" ref="AG8:AG27" si="3">AE8/AJ8</f>
        <v>0.73818148427631503</v>
      </c>
      <c r="AH8" s="2">
        <f t="shared" ref="AH8:AH27" si="4">1/AD8</f>
        <v>0.44963624427837889</v>
      </c>
      <c r="AI8" s="2">
        <f t="shared" ref="AI8:AI27" si="5">1/AJ8</f>
        <v>0.11772309409253741</v>
      </c>
      <c r="AJ8" s="2">
        <f t="shared" ref="AJ8:AJ27" si="6">AD8+AE8</f>
        <v>8.49451</v>
      </c>
      <c r="AK8" s="2">
        <v>27</v>
      </c>
      <c r="AL8">
        <f t="shared" ref="AL8:AL27" si="7">AK8/AD8</f>
        <v>12.140178595516231</v>
      </c>
    </row>
    <row r="9" spans="2:40" x14ac:dyDescent="0.35">
      <c r="B9" s="2"/>
      <c r="C9" s="2"/>
      <c r="D9" s="2"/>
      <c r="E9" s="2"/>
      <c r="F9" s="13">
        <v>73.09263</v>
      </c>
      <c r="G9" s="2">
        <v>77.167630000000003</v>
      </c>
      <c r="H9" s="2">
        <f>G9-F9</f>
        <v>4.0750000000000028</v>
      </c>
      <c r="I9" s="2">
        <f>F10-G9</f>
        <v>18.68486</v>
      </c>
      <c r="J9" s="2">
        <f>H9/N9</f>
        <v>0.17904328058256958</v>
      </c>
      <c r="K9" s="2">
        <f>I9/N9</f>
        <v>0.82095671941743042</v>
      </c>
      <c r="L9" s="2">
        <f>1/H9</f>
        <v>0.2453987730061348</v>
      </c>
      <c r="M9" s="2">
        <f>1/N9</f>
        <v>4.3937001369955694E-2</v>
      </c>
      <c r="N9" s="2">
        <f>H9+I9</f>
        <v>22.759860000000003</v>
      </c>
      <c r="O9" s="2">
        <v>20</v>
      </c>
      <c r="P9">
        <f>O9/H9</f>
        <v>4.9079754601226959</v>
      </c>
      <c r="AA9" s="2"/>
      <c r="AB9" s="13">
        <v>21.57123</v>
      </c>
      <c r="AC9" s="2">
        <v>22.972899999999999</v>
      </c>
      <c r="AD9" s="2">
        <f t="shared" si="0"/>
        <v>1.4016699999999993</v>
      </c>
      <c r="AE9" s="2">
        <f t="shared" si="1"/>
        <v>8.9698200000000021</v>
      </c>
      <c r="AF9" s="2">
        <f t="shared" si="2"/>
        <v>0.13514644472491408</v>
      </c>
      <c r="AG9" s="2">
        <f t="shared" si="3"/>
        <v>0.86485355527508589</v>
      </c>
      <c r="AH9" s="2">
        <f t="shared" si="4"/>
        <v>0.71343468862143056</v>
      </c>
      <c r="AI9" s="2">
        <f t="shared" si="5"/>
        <v>9.6418161710612446E-2</v>
      </c>
      <c r="AJ9" s="2">
        <f t="shared" si="6"/>
        <v>10.371490000000001</v>
      </c>
      <c r="AK9" s="2">
        <v>19</v>
      </c>
      <c r="AL9">
        <f t="shared" si="7"/>
        <v>13.555259083807179</v>
      </c>
    </row>
    <row r="10" spans="2:40" x14ac:dyDescent="0.35">
      <c r="B10" s="2"/>
      <c r="C10" s="2"/>
      <c r="D10" s="2"/>
      <c r="E10" s="2"/>
      <c r="F10" s="13">
        <v>95.852490000000003</v>
      </c>
      <c r="G10" s="13">
        <v>99.621830000000003</v>
      </c>
      <c r="H10" s="2">
        <f>G10-F10</f>
        <v>3.7693399999999997</v>
      </c>
      <c r="I10" s="2">
        <f>F11-G10</f>
        <v>17.61614999999999</v>
      </c>
      <c r="J10" s="2">
        <f>H10/N10</f>
        <v>0.17625689193934774</v>
      </c>
      <c r="K10" s="2">
        <f>I10/N10</f>
        <v>0.82374310806065232</v>
      </c>
      <c r="L10" s="2">
        <f>1/H10</f>
        <v>0.2652984342086413</v>
      </c>
      <c r="M10" s="2">
        <f>1/N10</f>
        <v>4.6760677449990649E-2</v>
      </c>
      <c r="N10" s="2">
        <f>H10+I10</f>
        <v>21.38548999999999</v>
      </c>
      <c r="O10" s="2">
        <v>18</v>
      </c>
      <c r="P10">
        <f>O10/H10</f>
        <v>4.7753718157555438</v>
      </c>
      <c r="AA10" s="2"/>
      <c r="AB10" s="13">
        <v>31.942720000000001</v>
      </c>
      <c r="AC10" s="13">
        <v>35.98357</v>
      </c>
      <c r="AD10" s="2">
        <f t="shared" si="0"/>
        <v>4.0408499999999989</v>
      </c>
      <c r="AE10" s="2">
        <f t="shared" si="1"/>
        <v>5.5537300000000016</v>
      </c>
      <c r="AF10" s="2">
        <f t="shared" si="2"/>
        <v>0.42115965472172817</v>
      </c>
      <c r="AG10" s="2">
        <f t="shared" si="3"/>
        <v>0.57884034527827177</v>
      </c>
      <c r="AH10" s="2">
        <f t="shared" si="4"/>
        <v>0.24747268520237084</v>
      </c>
      <c r="AI10" s="2">
        <f t="shared" si="5"/>
        <v>0.10422551065288944</v>
      </c>
      <c r="AJ10" s="2">
        <f t="shared" si="6"/>
        <v>9.5945800000000006</v>
      </c>
      <c r="AK10" s="2">
        <v>32</v>
      </c>
      <c r="AL10">
        <f t="shared" si="7"/>
        <v>7.9191259264758669</v>
      </c>
    </row>
    <row r="11" spans="2:40" x14ac:dyDescent="0.35">
      <c r="B11" s="2"/>
      <c r="C11" s="2"/>
      <c r="D11" s="2"/>
      <c r="E11" s="2"/>
      <c r="F11" s="13">
        <v>117.23797999999999</v>
      </c>
      <c r="G11" s="13">
        <v>119.84397</v>
      </c>
      <c r="H11" s="2">
        <f>G11-F11</f>
        <v>2.6059900000000056</v>
      </c>
      <c r="I11" s="2"/>
      <c r="J11" s="2"/>
      <c r="K11" s="2"/>
      <c r="L11" s="2"/>
      <c r="M11" s="2"/>
      <c r="N11" s="2"/>
      <c r="O11" s="2"/>
      <c r="AA11" s="2"/>
      <c r="AB11" s="13">
        <v>41.537300000000002</v>
      </c>
      <c r="AC11" s="13">
        <v>44.181339999999999</v>
      </c>
      <c r="AD11" s="2">
        <f t="shared" si="0"/>
        <v>2.6440399999999968</v>
      </c>
      <c r="AE11" s="2">
        <f>AB12-AC11</f>
        <v>6.9289899999999989</v>
      </c>
      <c r="AF11" s="2">
        <f t="shared" si="2"/>
        <v>0.27619677364429007</v>
      </c>
      <c r="AG11" s="2">
        <f t="shared" si="3"/>
        <v>0.72380322635570993</v>
      </c>
      <c r="AH11" s="2">
        <f t="shared" si="4"/>
        <v>0.37820910424955795</v>
      </c>
      <c r="AI11" s="2">
        <f t="shared" si="5"/>
        <v>0.10446013435662485</v>
      </c>
      <c r="AJ11" s="2">
        <f t="shared" si="6"/>
        <v>9.5730299999999957</v>
      </c>
      <c r="AK11" s="2">
        <v>21</v>
      </c>
      <c r="AL11">
        <f t="shared" si="7"/>
        <v>7.9423911892407171</v>
      </c>
    </row>
    <row r="12" spans="2:40" x14ac:dyDescent="0.35">
      <c r="B12" s="2"/>
      <c r="C12" s="2"/>
      <c r="E12" s="2"/>
      <c r="F12" s="13"/>
      <c r="G12" s="13"/>
      <c r="H12" s="2"/>
      <c r="I12" s="2"/>
      <c r="J12" s="2"/>
      <c r="K12" s="2"/>
      <c r="L12" s="2"/>
      <c r="M12" s="2"/>
      <c r="N12" s="2"/>
      <c r="O12" s="2"/>
      <c r="AA12" s="2"/>
      <c r="AB12" s="13">
        <v>51.110329999999998</v>
      </c>
      <c r="AC12" s="13">
        <v>53.103659999999998</v>
      </c>
      <c r="AD12" s="2">
        <f t="shared" si="0"/>
        <v>1.9933300000000003</v>
      </c>
      <c r="AE12" s="2">
        <f t="shared" si="1"/>
        <v>6.3828300000000056</v>
      </c>
      <c r="AF12" s="2">
        <f t="shared" si="2"/>
        <v>0.23797659070504848</v>
      </c>
      <c r="AG12" s="2">
        <f t="shared" si="3"/>
        <v>0.76202340929495149</v>
      </c>
      <c r="AH12" s="2">
        <f t="shared" si="4"/>
        <v>0.50167307972086905</v>
      </c>
      <c r="AI12" s="2">
        <f t="shared" si="5"/>
        <v>0.1193864491604744</v>
      </c>
      <c r="AJ12" s="2">
        <f t="shared" si="6"/>
        <v>8.3761600000000058</v>
      </c>
      <c r="AK12" s="2">
        <v>24</v>
      </c>
      <c r="AL12">
        <f t="shared" si="7"/>
        <v>12.040153913300857</v>
      </c>
    </row>
    <row r="13" spans="2:40" x14ac:dyDescent="0.35">
      <c r="B13" s="2"/>
      <c r="C13" s="2"/>
      <c r="E13" s="2"/>
      <c r="F13" s="13"/>
      <c r="G13" s="13"/>
      <c r="H13" s="2"/>
      <c r="I13" s="2"/>
      <c r="J13" s="2"/>
      <c r="K13" s="2"/>
      <c r="L13" s="2"/>
      <c r="M13" s="2"/>
      <c r="N13" s="2"/>
      <c r="O13" s="2"/>
      <c r="AA13" s="2"/>
      <c r="AB13" s="13">
        <v>59.486490000000003</v>
      </c>
      <c r="AC13" s="13">
        <v>60.774389999999997</v>
      </c>
      <c r="AD13" s="2">
        <f t="shared" si="0"/>
        <v>1.2878999999999934</v>
      </c>
      <c r="AE13" s="2">
        <f t="shared" si="1"/>
        <v>6.8017800000000079</v>
      </c>
      <c r="AF13" s="2">
        <f t="shared" si="2"/>
        <v>0.15920283620612843</v>
      </c>
      <c r="AG13" s="2">
        <f t="shared" si="3"/>
        <v>0.84079716379387159</v>
      </c>
      <c r="AH13" s="2">
        <f t="shared" si="4"/>
        <v>0.77645779951860017</v>
      </c>
      <c r="AI13" s="2">
        <f t="shared" si="5"/>
        <v>0.12361428387773062</v>
      </c>
      <c r="AJ13" s="2">
        <f t="shared" si="6"/>
        <v>8.0896800000000013</v>
      </c>
      <c r="AK13" s="2">
        <v>20</v>
      </c>
      <c r="AL13">
        <f t="shared" si="7"/>
        <v>15.529155990372002</v>
      </c>
    </row>
    <row r="14" spans="2:40" x14ac:dyDescent="0.35">
      <c r="B14" s="2"/>
      <c r="C14" s="2"/>
      <c r="G14" s="49"/>
      <c r="H14" s="2"/>
      <c r="I14" s="2"/>
      <c r="J14" s="2"/>
      <c r="K14" s="2"/>
      <c r="L14" s="2"/>
      <c r="M14" s="2"/>
      <c r="N14" s="2"/>
      <c r="O14" s="2"/>
      <c r="P14" s="2"/>
      <c r="AA14" s="2"/>
      <c r="AB14" s="13">
        <v>67.576170000000005</v>
      </c>
      <c r="AC14" s="13">
        <v>68.562330000000003</v>
      </c>
      <c r="AD14" s="2">
        <f t="shared" si="0"/>
        <v>0.98615999999999815</v>
      </c>
      <c r="AE14" s="2">
        <f t="shared" si="1"/>
        <v>8.4418100000000038</v>
      </c>
      <c r="AF14" s="2">
        <f t="shared" si="2"/>
        <v>0.10459939944654023</v>
      </c>
      <c r="AG14" s="2">
        <f t="shared" si="3"/>
        <v>0.89540060055345971</v>
      </c>
      <c r="AH14" s="2">
        <f t="shared" si="4"/>
        <v>1.0140342337957349</v>
      </c>
      <c r="AI14" s="2">
        <f t="shared" si="5"/>
        <v>0.10606737187326644</v>
      </c>
      <c r="AJ14" s="2">
        <f t="shared" si="6"/>
        <v>9.427970000000002</v>
      </c>
      <c r="AK14" s="2">
        <v>18</v>
      </c>
      <c r="AL14">
        <f t="shared" si="7"/>
        <v>18.252616208323229</v>
      </c>
    </row>
    <row r="15" spans="2:40" ht="16" thickBot="1" x14ac:dyDescent="0.4">
      <c r="B15" s="2"/>
      <c r="C15" s="2"/>
      <c r="G15" s="13"/>
      <c r="H15" s="9" t="s">
        <v>3</v>
      </c>
      <c r="I15" s="9" t="s">
        <v>4</v>
      </c>
      <c r="J15" s="9" t="s">
        <v>5</v>
      </c>
      <c r="K15" s="9" t="s">
        <v>6</v>
      </c>
      <c r="L15" s="9" t="s">
        <v>7</v>
      </c>
      <c r="M15" s="9" t="s">
        <v>8</v>
      </c>
      <c r="N15" s="9" t="s">
        <v>9</v>
      </c>
      <c r="O15" s="9" t="s">
        <v>10</v>
      </c>
      <c r="P15" s="44" t="s">
        <v>139</v>
      </c>
      <c r="AA15" s="2"/>
      <c r="AB15" s="13">
        <v>77.004140000000007</v>
      </c>
      <c r="AC15" s="13">
        <v>80.014420000000001</v>
      </c>
      <c r="AD15" s="2">
        <f t="shared" si="0"/>
        <v>3.0102799999999945</v>
      </c>
      <c r="AE15" s="2">
        <f t="shared" si="1"/>
        <v>8.6187999999999931</v>
      </c>
      <c r="AF15" s="2">
        <f t="shared" si="2"/>
        <v>0.25885796640834852</v>
      </c>
      <c r="AG15" s="2">
        <f t="shared" si="3"/>
        <v>0.74114203359165143</v>
      </c>
      <c r="AH15" s="2">
        <f t="shared" si="4"/>
        <v>0.33219501175970401</v>
      </c>
      <c r="AI15" s="2">
        <f t="shared" si="5"/>
        <v>8.5991325195114404E-2</v>
      </c>
      <c r="AJ15" s="2">
        <f t="shared" si="6"/>
        <v>11.629079999999988</v>
      </c>
      <c r="AK15" s="2">
        <v>28</v>
      </c>
      <c r="AL15">
        <f t="shared" si="7"/>
        <v>9.3014603292717126</v>
      </c>
    </row>
    <row r="16" spans="2:40" x14ac:dyDescent="0.35">
      <c r="B16" s="2"/>
      <c r="C16" s="2"/>
      <c r="G16" s="49" t="s">
        <v>77</v>
      </c>
      <c r="H16" s="13">
        <f>AVERAGE(H7:H10)</f>
        <v>3.9886425000000019</v>
      </c>
      <c r="I16" s="13">
        <f t="shared" ref="I16:P16" si="8">AVERAGE(I7:I10)</f>
        <v>17.952419999999996</v>
      </c>
      <c r="J16" s="13">
        <f t="shared" si="8"/>
        <v>0.18268829048497226</v>
      </c>
      <c r="K16" s="13">
        <f t="shared" si="8"/>
        <v>0.81731170951502774</v>
      </c>
      <c r="L16" s="13">
        <f t="shared" si="8"/>
        <v>0.25227131905176825</v>
      </c>
      <c r="M16" s="13">
        <f t="shared" si="8"/>
        <v>4.5681697651168147E-2</v>
      </c>
      <c r="N16" s="13">
        <f t="shared" si="8"/>
        <v>21.941062499999997</v>
      </c>
      <c r="O16" s="13">
        <f t="shared" si="8"/>
        <v>19</v>
      </c>
      <c r="P16" s="13">
        <f t="shared" si="8"/>
        <v>4.7754729940034046</v>
      </c>
      <c r="AA16" s="2"/>
      <c r="AB16" s="13">
        <v>88.633219999999994</v>
      </c>
      <c r="AC16" s="13">
        <v>90.918670000000006</v>
      </c>
      <c r="AD16" s="2">
        <f t="shared" si="0"/>
        <v>2.2854500000000115</v>
      </c>
      <c r="AE16" s="2">
        <f t="shared" si="1"/>
        <v>5.5635799999999875</v>
      </c>
      <c r="AF16" s="2">
        <f t="shared" si="2"/>
        <v>0.29117610711132608</v>
      </c>
      <c r="AG16" s="2">
        <f t="shared" si="3"/>
        <v>0.70882389288867387</v>
      </c>
      <c r="AH16" s="2">
        <f t="shared" si="4"/>
        <v>0.4375505917871732</v>
      </c>
      <c r="AI16" s="2">
        <f t="shared" si="5"/>
        <v>0.12740427798084605</v>
      </c>
      <c r="AJ16" s="2">
        <f t="shared" si="6"/>
        <v>7.8490299999999991</v>
      </c>
      <c r="AK16" s="2">
        <v>20</v>
      </c>
      <c r="AL16">
        <f t="shared" si="7"/>
        <v>8.7510118357434639</v>
      </c>
    </row>
    <row r="17" spans="2:40" x14ac:dyDescent="0.35">
      <c r="B17" s="2"/>
      <c r="C17" s="2"/>
      <c r="G17" s="49" t="s">
        <v>94</v>
      </c>
      <c r="H17" s="2">
        <f>_xlfn.STDEV.S(H7:H10)</f>
        <v>0.36808532039687103</v>
      </c>
      <c r="I17" s="2">
        <f t="shared" ref="I17:P17" si="9">_xlfn.STDEV.S(I7:I10)</f>
        <v>1.4814161966397821</v>
      </c>
      <c r="J17" s="2">
        <f t="shared" si="9"/>
        <v>2.5306188540869613E-2</v>
      </c>
      <c r="K17" s="2">
        <f t="shared" si="9"/>
        <v>2.5306188540869433E-2</v>
      </c>
      <c r="L17" s="2">
        <f t="shared" si="9"/>
        <v>2.2565835627534992E-2</v>
      </c>
      <c r="M17" s="2">
        <f t="shared" si="9"/>
        <v>2.5441925957975903E-3</v>
      </c>
      <c r="N17" s="2">
        <f t="shared" si="9"/>
        <v>1.2084361729490218</v>
      </c>
      <c r="O17" s="2">
        <f t="shared" si="9"/>
        <v>1.1547005383792515</v>
      </c>
      <c r="P17" s="2">
        <f t="shared" si="9"/>
        <v>0.21255004286516557</v>
      </c>
      <c r="AA17" s="2"/>
      <c r="AB17" s="13">
        <v>96.482249999999993</v>
      </c>
      <c r="AC17" s="13">
        <v>100.42717</v>
      </c>
      <c r="AD17" s="2">
        <f t="shared" si="0"/>
        <v>3.9449200000000104</v>
      </c>
      <c r="AE17" s="2">
        <f t="shared" si="1"/>
        <v>7.5164699999999982</v>
      </c>
      <c r="AF17" s="2">
        <f t="shared" si="2"/>
        <v>0.34419210933403432</v>
      </c>
      <c r="AG17" s="2">
        <f t="shared" si="3"/>
        <v>0.65580789066596568</v>
      </c>
      <c r="AH17" s="2">
        <f t="shared" si="4"/>
        <v>0.25349056508116702</v>
      </c>
      <c r="AI17" s="2">
        <f t="shared" si="5"/>
        <v>8.7249452291563168E-2</v>
      </c>
      <c r="AJ17" s="2">
        <f t="shared" si="6"/>
        <v>11.461390000000009</v>
      </c>
      <c r="AK17" s="2">
        <v>27</v>
      </c>
      <c r="AL17">
        <f t="shared" si="7"/>
        <v>6.8442452571915089</v>
      </c>
    </row>
    <row r="18" spans="2:40" x14ac:dyDescent="0.35">
      <c r="B18" s="2"/>
      <c r="C18" s="2"/>
      <c r="G18" s="49" t="s">
        <v>95</v>
      </c>
      <c r="H18" s="2">
        <f t="shared" ref="H18:P18" si="10">H17/(SQRT(COUNT(H7:H10)))</f>
        <v>0.18404266019843551</v>
      </c>
      <c r="I18" s="2">
        <f t="shared" si="10"/>
        <v>0.74070809831989104</v>
      </c>
      <c r="J18" s="2">
        <f t="shared" si="10"/>
        <v>1.2653094270434807E-2</v>
      </c>
      <c r="K18" s="2">
        <f t="shared" si="10"/>
        <v>1.2653094270434716E-2</v>
      </c>
      <c r="L18" s="2">
        <f t="shared" si="10"/>
        <v>1.1282917813767496E-2</v>
      </c>
      <c r="M18" s="2">
        <f t="shared" si="10"/>
        <v>1.2720962978987952E-3</v>
      </c>
      <c r="N18" s="2">
        <f t="shared" si="10"/>
        <v>0.60421808647451092</v>
      </c>
      <c r="O18" s="2">
        <f t="shared" si="10"/>
        <v>0.57735026918962573</v>
      </c>
      <c r="P18" s="2">
        <f t="shared" si="10"/>
        <v>0.10627502143258279</v>
      </c>
      <c r="AA18" s="2"/>
      <c r="AB18" s="13">
        <v>107.94364</v>
      </c>
      <c r="AC18" s="13">
        <v>110.63675000000001</v>
      </c>
      <c r="AD18" s="2">
        <f t="shared" si="0"/>
        <v>2.6931100000000043</v>
      </c>
      <c r="AE18" s="2">
        <f t="shared" si="1"/>
        <v>7.5448899999999952</v>
      </c>
      <c r="AF18" s="2">
        <f t="shared" si="2"/>
        <v>0.26305040046884198</v>
      </c>
      <c r="AG18" s="2">
        <f t="shared" si="3"/>
        <v>0.73694959953115802</v>
      </c>
      <c r="AH18" s="2">
        <f t="shared" si="4"/>
        <v>0.37131791868880154</v>
      </c>
      <c r="AI18" s="2">
        <f t="shared" si="5"/>
        <v>9.7675327212346161E-2</v>
      </c>
      <c r="AJ18" s="2">
        <f t="shared" si="6"/>
        <v>10.238</v>
      </c>
      <c r="AK18" s="2">
        <v>22</v>
      </c>
      <c r="AL18">
        <f t="shared" si="7"/>
        <v>8.1689942111536347</v>
      </c>
    </row>
    <row r="19" spans="2:40" x14ac:dyDescent="0.35">
      <c r="B19" s="2"/>
      <c r="C19" s="2"/>
      <c r="G19" s="49"/>
      <c r="H19" s="2"/>
      <c r="I19" s="2"/>
      <c r="J19" s="2"/>
      <c r="K19" s="2"/>
      <c r="L19" s="2"/>
      <c r="M19" s="2"/>
      <c r="N19" s="2"/>
      <c r="O19" s="2"/>
      <c r="P19" s="2"/>
      <c r="AA19" s="2"/>
      <c r="AB19" s="13">
        <v>118.18164</v>
      </c>
      <c r="AC19" s="13">
        <v>123.25236</v>
      </c>
      <c r="AD19" s="2">
        <f t="shared" si="0"/>
        <v>5.0707199999999943</v>
      </c>
      <c r="AE19" s="2">
        <f t="shared" si="1"/>
        <v>10.303730000000016</v>
      </c>
      <c r="AF19" s="2">
        <f t="shared" si="2"/>
        <v>0.32981472507959575</v>
      </c>
      <c r="AG19" s="2">
        <f t="shared" si="3"/>
        <v>0.67018527492040425</v>
      </c>
      <c r="AH19" s="2">
        <f t="shared" si="4"/>
        <v>0.19721065253060732</v>
      </c>
      <c r="AI19" s="2">
        <f t="shared" si="5"/>
        <v>6.5042977147149933E-2</v>
      </c>
      <c r="AJ19" s="2">
        <f t="shared" si="6"/>
        <v>15.37445000000001</v>
      </c>
      <c r="AK19" s="2">
        <v>15</v>
      </c>
      <c r="AL19">
        <f t="shared" si="7"/>
        <v>2.9581597879591097</v>
      </c>
      <c r="AN19" t="s">
        <v>767</v>
      </c>
    </row>
    <row r="20" spans="2:40" x14ac:dyDescent="0.35">
      <c r="B20" s="2"/>
      <c r="C20" s="2"/>
      <c r="G20" s="49"/>
      <c r="H20" s="2"/>
      <c r="I20" s="2"/>
      <c r="J20" s="2"/>
      <c r="K20" s="2"/>
      <c r="L20" s="2"/>
      <c r="M20" s="2"/>
      <c r="N20" s="2"/>
      <c r="O20" s="2"/>
      <c r="P20" s="2"/>
      <c r="AA20" s="2"/>
      <c r="AB20" s="13">
        <v>133.55609000000001</v>
      </c>
      <c r="AC20" s="13">
        <v>136.36742000000001</v>
      </c>
      <c r="AD20" s="2">
        <f t="shared" si="0"/>
        <v>2.8113299999999981</v>
      </c>
      <c r="AE20" s="2">
        <f t="shared" si="1"/>
        <v>7.4369399999999928</v>
      </c>
      <c r="AF20" s="2">
        <f t="shared" si="2"/>
        <v>0.27432239782909706</v>
      </c>
      <c r="AG20" s="2">
        <f t="shared" si="3"/>
        <v>0.72567760217090294</v>
      </c>
      <c r="AH20" s="2">
        <f t="shared" si="4"/>
        <v>0.35570352822329671</v>
      </c>
      <c r="AI20" s="2">
        <f t="shared" si="5"/>
        <v>9.7577444778484651E-2</v>
      </c>
      <c r="AJ20" s="2">
        <f t="shared" si="6"/>
        <v>10.248269999999991</v>
      </c>
      <c r="AK20" s="2">
        <v>15</v>
      </c>
      <c r="AL20">
        <f t="shared" si="7"/>
        <v>5.3355529233494501</v>
      </c>
    </row>
    <row r="21" spans="2:40" x14ac:dyDescent="0.35">
      <c r="B21" s="2"/>
      <c r="C21" s="2"/>
      <c r="AA21" s="2"/>
      <c r="AB21">
        <v>143.80436</v>
      </c>
      <c r="AC21" s="45">
        <v>146.53858</v>
      </c>
      <c r="AD21" s="2">
        <f t="shared" si="0"/>
        <v>2.7342199999999934</v>
      </c>
      <c r="AE21" s="2">
        <f t="shared" si="1"/>
        <v>8.4984000000000037</v>
      </c>
      <c r="AF21" s="2">
        <f t="shared" si="2"/>
        <v>0.2434178312806802</v>
      </c>
      <c r="AG21" s="2">
        <f t="shared" si="3"/>
        <v>0.75658216871931983</v>
      </c>
      <c r="AH21" s="2">
        <f t="shared" si="4"/>
        <v>0.36573501766500222</v>
      </c>
      <c r="AI21" s="2">
        <f t="shared" si="5"/>
        <v>8.9026424823416106E-2</v>
      </c>
      <c r="AJ21" s="2">
        <f t="shared" si="6"/>
        <v>11.232619999999997</v>
      </c>
      <c r="AK21" s="2">
        <v>15</v>
      </c>
      <c r="AL21">
        <f t="shared" si="7"/>
        <v>5.4860252649750336</v>
      </c>
    </row>
    <row r="22" spans="2:40" x14ac:dyDescent="0.35">
      <c r="G22" s="49"/>
      <c r="H22" s="2"/>
      <c r="I22" s="2"/>
      <c r="J22" s="2"/>
      <c r="K22" s="2"/>
      <c r="L22" s="2"/>
      <c r="M22" s="2"/>
      <c r="N22" s="2"/>
      <c r="O22" s="2"/>
      <c r="P22" s="2"/>
      <c r="AB22">
        <v>155.03698</v>
      </c>
      <c r="AC22" s="45">
        <v>157.61883</v>
      </c>
      <c r="AD22" s="2">
        <f t="shared" si="0"/>
        <v>2.5818500000000029</v>
      </c>
      <c r="AE22" s="2">
        <f t="shared" si="1"/>
        <v>8.4271600000000149</v>
      </c>
      <c r="AF22" s="2">
        <f t="shared" si="2"/>
        <v>0.23452154190067942</v>
      </c>
      <c r="AG22" s="2">
        <f t="shared" si="3"/>
        <v>0.76547845809932058</v>
      </c>
      <c r="AH22" s="2">
        <f t="shared" si="4"/>
        <v>0.38731917036233665</v>
      </c>
      <c r="AI22" s="2">
        <f t="shared" si="5"/>
        <v>9.0834689041067118E-2</v>
      </c>
      <c r="AJ22" s="2">
        <f t="shared" si="6"/>
        <v>11.009010000000018</v>
      </c>
      <c r="AK22" s="2">
        <v>13</v>
      </c>
      <c r="AL22">
        <f t="shared" si="7"/>
        <v>5.0351492147103762</v>
      </c>
    </row>
    <row r="23" spans="2:40" x14ac:dyDescent="0.35">
      <c r="AB23">
        <v>166.04599000000002</v>
      </c>
      <c r="AC23" s="45">
        <v>168.61232999999999</v>
      </c>
      <c r="AD23" s="2">
        <f t="shared" si="0"/>
        <v>2.5663399999999683</v>
      </c>
      <c r="AE23" s="2">
        <f>AB24-AC23</f>
        <v>8.6634500000000116</v>
      </c>
      <c r="AF23" s="2">
        <f t="shared" si="2"/>
        <v>0.22852965193471764</v>
      </c>
      <c r="AG23" s="2">
        <f t="shared" si="3"/>
        <v>0.77147034806528236</v>
      </c>
      <c r="AH23" s="2">
        <f t="shared" si="4"/>
        <v>0.38965998269910157</v>
      </c>
      <c r="AI23" s="2">
        <f t="shared" si="5"/>
        <v>8.904886021911379E-2</v>
      </c>
      <c r="AJ23" s="2">
        <f t="shared" si="6"/>
        <v>11.22978999999998</v>
      </c>
      <c r="AK23" s="2">
        <v>16</v>
      </c>
      <c r="AL23">
        <f t="shared" si="7"/>
        <v>6.2345597231856251</v>
      </c>
    </row>
    <row r="24" spans="2:40" x14ac:dyDescent="0.35">
      <c r="AB24">
        <v>177.27578</v>
      </c>
      <c r="AC24" s="45">
        <v>181.08622</v>
      </c>
      <c r="AD24" s="2">
        <f t="shared" si="0"/>
        <v>3.8104399999999998</v>
      </c>
      <c r="AE24" s="2">
        <f t="shared" si="1"/>
        <v>10.788660000000021</v>
      </c>
      <c r="AF24" s="2">
        <f t="shared" si="2"/>
        <v>0.26100513045324675</v>
      </c>
      <c r="AG24" s="2">
        <f t="shared" si="3"/>
        <v>0.73899486954675331</v>
      </c>
      <c r="AH24" s="2">
        <f t="shared" si="4"/>
        <v>0.262436883929415</v>
      </c>
      <c r="AI24" s="2">
        <f t="shared" si="5"/>
        <v>6.8497373125740529E-2</v>
      </c>
      <c r="AJ24" s="2">
        <f t="shared" si="6"/>
        <v>14.599100000000021</v>
      </c>
      <c r="AK24" s="2">
        <v>16</v>
      </c>
      <c r="AL24">
        <f t="shared" si="7"/>
        <v>4.19899014287064</v>
      </c>
    </row>
    <row r="25" spans="2:40" ht="18.5" x14ac:dyDescent="0.45">
      <c r="F25" s="1" t="s">
        <v>405</v>
      </c>
      <c r="G25" s="3"/>
      <c r="H25" s="3"/>
      <c r="I25" s="3"/>
      <c r="J25" s="3"/>
      <c r="K25" s="3"/>
      <c r="L25" s="3"/>
      <c r="M25" s="3"/>
      <c r="N25" s="3"/>
      <c r="O25" s="3"/>
      <c r="AB25">
        <v>191.87488000000002</v>
      </c>
      <c r="AC25" s="45">
        <v>196.02605</v>
      </c>
      <c r="AD25" s="2">
        <f t="shared" si="0"/>
        <v>4.1511699999999792</v>
      </c>
      <c r="AE25" s="2">
        <f t="shared" si="1"/>
        <v>9.6058600000000069</v>
      </c>
      <c r="AF25" s="2">
        <f t="shared" si="2"/>
        <v>0.30174899669477956</v>
      </c>
      <c r="AG25" s="2">
        <f t="shared" si="3"/>
        <v>0.69825100330522039</v>
      </c>
      <c r="AH25" s="2">
        <f t="shared" si="4"/>
        <v>0.24089594018072136</v>
      </c>
      <c r="AI25" s="2">
        <f t="shared" si="5"/>
        <v>7.2690108257378303E-2</v>
      </c>
      <c r="AJ25" s="2">
        <f t="shared" si="6"/>
        <v>13.757029999999986</v>
      </c>
      <c r="AK25" s="2">
        <v>22</v>
      </c>
      <c r="AL25">
        <f t="shared" si="7"/>
        <v>5.2997106839758699</v>
      </c>
    </row>
    <row r="26" spans="2:40" ht="16" thickBot="1" x14ac:dyDescent="0.4">
      <c r="D26" s="204" t="s">
        <v>406</v>
      </c>
      <c r="F26" s="9" t="s">
        <v>1</v>
      </c>
      <c r="G26" s="9" t="s">
        <v>2</v>
      </c>
      <c r="H26" s="9" t="s">
        <v>3</v>
      </c>
      <c r="I26" s="9" t="s">
        <v>4</v>
      </c>
      <c r="J26" s="9" t="s">
        <v>5</v>
      </c>
      <c r="K26" s="9" t="s">
        <v>6</v>
      </c>
      <c r="L26" s="9" t="s">
        <v>7</v>
      </c>
      <c r="M26" s="9" t="s">
        <v>8</v>
      </c>
      <c r="N26" s="9" t="s">
        <v>9</v>
      </c>
      <c r="O26" s="9" t="s">
        <v>10</v>
      </c>
      <c r="P26" s="44" t="s">
        <v>139</v>
      </c>
      <c r="R26" s="44" t="s">
        <v>138</v>
      </c>
      <c r="AB26">
        <v>205.63191</v>
      </c>
      <c r="AC26" s="45">
        <v>209.62148000000002</v>
      </c>
      <c r="AD26" s="2">
        <f t="shared" si="0"/>
        <v>3.9895700000000147</v>
      </c>
      <c r="AE26" s="2">
        <f t="shared" si="1"/>
        <v>8.4048999999999978</v>
      </c>
      <c r="AF26" s="2">
        <f t="shared" si="2"/>
        <v>0.32188306559296287</v>
      </c>
      <c r="AG26" s="2">
        <f t="shared" si="3"/>
        <v>0.67811693440703713</v>
      </c>
      <c r="AH26" s="2">
        <f t="shared" si="4"/>
        <v>0.25065357920778336</v>
      </c>
      <c r="AI26" s="2">
        <f t="shared" si="5"/>
        <v>8.0681142477249848E-2</v>
      </c>
      <c r="AJ26" s="2">
        <f t="shared" si="6"/>
        <v>12.394470000000013</v>
      </c>
      <c r="AK26" s="2">
        <v>21</v>
      </c>
      <c r="AL26">
        <f t="shared" si="7"/>
        <v>5.2637251633634508</v>
      </c>
    </row>
    <row r="27" spans="2:40" x14ac:dyDescent="0.35">
      <c r="D27" s="293">
        <v>4</v>
      </c>
      <c r="F27" s="13">
        <v>10.871130000000001</v>
      </c>
      <c r="G27" s="2">
        <v>17.625540000000001</v>
      </c>
      <c r="H27" s="2">
        <f t="shared" ref="H27:H40" si="11">G27-F27</f>
        <v>6.75441</v>
      </c>
      <c r="I27" s="2">
        <f t="shared" ref="I27:I39" si="12">F28-G27</f>
        <v>9.7142799999999987</v>
      </c>
      <c r="J27" s="2">
        <f t="shared" ref="J27:J39" si="13">H27/N27</f>
        <v>0.41013644679692196</v>
      </c>
      <c r="K27" s="2">
        <f t="shared" ref="K27:K39" si="14">I27/N27</f>
        <v>0.58986355320307804</v>
      </c>
      <c r="L27" s="2">
        <f t="shared" ref="L27:L39" si="15">1/H27</f>
        <v>0.14805142121961801</v>
      </c>
      <c r="M27" s="2">
        <f t="shared" ref="M27:M39" si="16">1/N27</f>
        <v>6.0721283842248536E-2</v>
      </c>
      <c r="N27" s="2">
        <f t="shared" ref="N27:N39" si="17">H27+I27</f>
        <v>16.468689999999999</v>
      </c>
      <c r="O27" s="2">
        <v>46</v>
      </c>
      <c r="P27">
        <f t="shared" ref="P27:P39" si="18">O27/H27</f>
        <v>6.8103653761024274</v>
      </c>
      <c r="R27" t="s">
        <v>758</v>
      </c>
      <c r="AB27">
        <v>218.02638000000002</v>
      </c>
      <c r="AC27" s="45">
        <v>221.12089</v>
      </c>
      <c r="AD27" s="2">
        <f t="shared" si="0"/>
        <v>3.0945099999999854</v>
      </c>
      <c r="AE27" s="2">
        <f t="shared" si="1"/>
        <v>11.873899999999992</v>
      </c>
      <c r="AF27" s="2">
        <f t="shared" si="2"/>
        <v>0.20673605279384985</v>
      </c>
      <c r="AG27" s="2">
        <f t="shared" si="3"/>
        <v>0.79326394720615012</v>
      </c>
      <c r="AH27" s="2">
        <f t="shared" si="4"/>
        <v>0.32315293859124861</v>
      </c>
      <c r="AI27" s="2">
        <f t="shared" si="5"/>
        <v>6.6807362973088091E-2</v>
      </c>
      <c r="AJ27" s="2">
        <f t="shared" si="6"/>
        <v>14.968409999999977</v>
      </c>
      <c r="AK27" s="2">
        <v>18</v>
      </c>
      <c r="AL27">
        <f t="shared" si="7"/>
        <v>5.8167528946424749</v>
      </c>
    </row>
    <row r="28" spans="2:40" x14ac:dyDescent="0.35">
      <c r="D28" s="293">
        <v>4</v>
      </c>
      <c r="F28" s="13">
        <v>27.33982</v>
      </c>
      <c r="G28" s="2">
        <v>33.17492</v>
      </c>
      <c r="H28" s="2">
        <f t="shared" si="11"/>
        <v>5.8351000000000006</v>
      </c>
      <c r="I28" s="2">
        <f t="shared" si="12"/>
        <v>12.402760000000001</v>
      </c>
      <c r="J28" s="2">
        <f t="shared" si="13"/>
        <v>0.31994433557445884</v>
      </c>
      <c r="K28" s="2">
        <f t="shared" si="14"/>
        <v>0.68005566442554111</v>
      </c>
      <c r="L28" s="2">
        <f t="shared" si="15"/>
        <v>0.17137666878031224</v>
      </c>
      <c r="M28" s="2">
        <f t="shared" si="16"/>
        <v>5.4830994425881102E-2</v>
      </c>
      <c r="N28" s="2">
        <f t="shared" si="17"/>
        <v>18.237860000000001</v>
      </c>
      <c r="O28" s="2">
        <v>36</v>
      </c>
      <c r="P28">
        <f t="shared" si="18"/>
        <v>6.1695600760912406</v>
      </c>
      <c r="AB28">
        <v>232.99478999999999</v>
      </c>
      <c r="AC28" s="45">
        <v>235.82078000000001</v>
      </c>
      <c r="AD28" s="2">
        <f t="shared" si="0"/>
        <v>2.8259900000000187</v>
      </c>
      <c r="AE28" s="2"/>
      <c r="AF28" s="2"/>
      <c r="AG28" s="2"/>
      <c r="AH28" s="2"/>
      <c r="AI28" s="2"/>
      <c r="AJ28" s="2"/>
      <c r="AK28" s="2"/>
    </row>
    <row r="29" spans="2:40" x14ac:dyDescent="0.35">
      <c r="D29" s="293">
        <v>4</v>
      </c>
      <c r="F29" s="13">
        <v>45.577680000000001</v>
      </c>
      <c r="G29" s="2">
        <v>52.325049999999997</v>
      </c>
      <c r="H29" s="2">
        <f t="shared" si="11"/>
        <v>6.7473699999999965</v>
      </c>
      <c r="I29" s="2">
        <f t="shared" si="12"/>
        <v>14.496630000000003</v>
      </c>
      <c r="J29" s="2">
        <f t="shared" si="13"/>
        <v>0.31761297307475034</v>
      </c>
      <c r="K29" s="2">
        <f t="shared" si="14"/>
        <v>0.68238702692524966</v>
      </c>
      <c r="L29" s="2">
        <f t="shared" si="15"/>
        <v>0.14820589355556321</v>
      </c>
      <c r="M29" s="2">
        <f t="shared" si="16"/>
        <v>4.7072114479382414E-2</v>
      </c>
      <c r="N29" s="2">
        <f t="shared" si="17"/>
        <v>21.244</v>
      </c>
      <c r="O29" s="2">
        <v>44</v>
      </c>
      <c r="P29">
        <f t="shared" si="18"/>
        <v>6.5210593164447808</v>
      </c>
      <c r="AC29" s="45"/>
      <c r="AD29" s="2"/>
      <c r="AE29" s="2"/>
      <c r="AF29" s="2"/>
      <c r="AG29" s="2"/>
      <c r="AH29" s="2"/>
      <c r="AI29" s="2"/>
      <c r="AJ29" s="2"/>
      <c r="AK29" s="2"/>
    </row>
    <row r="30" spans="2:40" x14ac:dyDescent="0.35">
      <c r="D30" s="293">
        <v>4</v>
      </c>
      <c r="F30" s="13">
        <v>66.821680000000001</v>
      </c>
      <c r="G30" s="2">
        <v>72.133089999999996</v>
      </c>
      <c r="H30" s="2">
        <f t="shared" si="11"/>
        <v>5.3114099999999951</v>
      </c>
      <c r="I30" s="2">
        <f t="shared" si="12"/>
        <v>12.185320000000004</v>
      </c>
      <c r="J30" s="2">
        <f t="shared" si="13"/>
        <v>0.30356586630758975</v>
      </c>
      <c r="K30" s="2">
        <f t="shared" si="14"/>
        <v>0.69643413369241025</v>
      </c>
      <c r="L30" s="2">
        <f t="shared" si="15"/>
        <v>0.1882739234967741</v>
      </c>
      <c r="M30" s="2">
        <f t="shared" si="16"/>
        <v>5.715353668942711E-2</v>
      </c>
      <c r="N30" s="2">
        <f t="shared" si="17"/>
        <v>17.496729999999999</v>
      </c>
      <c r="O30" s="2">
        <v>32</v>
      </c>
      <c r="P30">
        <f t="shared" si="18"/>
        <v>6.0247655518967713</v>
      </c>
      <c r="AC30" s="45"/>
      <c r="AD30" s="2"/>
      <c r="AE30" s="2"/>
      <c r="AF30" s="2"/>
      <c r="AG30" s="2"/>
      <c r="AH30" s="2"/>
      <c r="AI30" s="2"/>
      <c r="AJ30" s="2"/>
      <c r="AK30" s="2"/>
    </row>
    <row r="31" spans="2:40" ht="16" thickBot="1" x14ac:dyDescent="0.4">
      <c r="D31" s="293">
        <v>4</v>
      </c>
      <c r="F31" s="13">
        <v>84.31841</v>
      </c>
      <c r="G31" s="2">
        <v>90.942009999999996</v>
      </c>
      <c r="H31" s="2">
        <f t="shared" si="11"/>
        <v>6.6235999999999962</v>
      </c>
      <c r="I31" s="2">
        <f t="shared" si="12"/>
        <v>13.099000000000004</v>
      </c>
      <c r="J31" s="2">
        <f t="shared" si="13"/>
        <v>0.33583807408759475</v>
      </c>
      <c r="K31" s="2">
        <f t="shared" si="14"/>
        <v>0.6641619259124053</v>
      </c>
      <c r="L31" s="2">
        <f t="shared" si="15"/>
        <v>0.15097530044084798</v>
      </c>
      <c r="M31" s="2">
        <f t="shared" si="16"/>
        <v>5.0703254134850377E-2</v>
      </c>
      <c r="N31" s="2">
        <f t="shared" si="17"/>
        <v>19.7226</v>
      </c>
      <c r="O31" s="2">
        <v>48</v>
      </c>
      <c r="P31">
        <f t="shared" si="18"/>
        <v>7.2468144211607024</v>
      </c>
      <c r="AC31" s="13"/>
      <c r="AD31" s="9" t="s">
        <v>3</v>
      </c>
      <c r="AE31" s="9" t="s">
        <v>4</v>
      </c>
      <c r="AF31" s="9" t="s">
        <v>5</v>
      </c>
      <c r="AG31" s="9" t="s">
        <v>6</v>
      </c>
      <c r="AH31" s="9" t="s">
        <v>7</v>
      </c>
      <c r="AI31" s="9" t="s">
        <v>8</v>
      </c>
      <c r="AJ31" s="9" t="s">
        <v>9</v>
      </c>
      <c r="AK31" s="9" t="s">
        <v>10</v>
      </c>
      <c r="AL31" s="44" t="s">
        <v>139</v>
      </c>
    </row>
    <row r="32" spans="2:40" x14ac:dyDescent="0.35">
      <c r="D32" s="293">
        <v>4</v>
      </c>
      <c r="F32" s="13">
        <v>104.04101</v>
      </c>
      <c r="G32" s="2">
        <v>111.69319</v>
      </c>
      <c r="H32" s="2">
        <f t="shared" si="11"/>
        <v>7.6521800000000013</v>
      </c>
      <c r="I32" s="2">
        <f t="shared" si="12"/>
        <v>14.696770000000001</v>
      </c>
      <c r="J32" s="2">
        <f t="shared" si="13"/>
        <v>0.34239550403933966</v>
      </c>
      <c r="K32" s="2">
        <f t="shared" si="14"/>
        <v>0.65760449596066028</v>
      </c>
      <c r="L32" s="2">
        <f t="shared" si="15"/>
        <v>0.13068171423045458</v>
      </c>
      <c r="M32" s="2">
        <f t="shared" si="16"/>
        <v>4.4744831412661439E-2</v>
      </c>
      <c r="N32" s="2">
        <f t="shared" si="17"/>
        <v>22.348950000000002</v>
      </c>
      <c r="O32" s="2">
        <v>52</v>
      </c>
      <c r="P32">
        <f t="shared" si="18"/>
        <v>6.7954491399836376</v>
      </c>
      <c r="AC32" s="49" t="s">
        <v>77</v>
      </c>
      <c r="AD32" s="13">
        <f>AVERAGE(AD7:AD27)</f>
        <v>2.7588776190476163</v>
      </c>
      <c r="AE32" s="13">
        <f>AVERAGE(AE7:AE27)</f>
        <v>8.0856400000000033</v>
      </c>
      <c r="AF32" s="13">
        <f t="shared" ref="AF32:AL32" si="19">AVERAGE(AF7:AF27)</f>
        <v>0.24923692000411549</v>
      </c>
      <c r="AG32" s="13">
        <f t="shared" si="19"/>
        <v>0.75076307999588443</v>
      </c>
      <c r="AH32" s="13">
        <f t="shared" si="19"/>
        <v>0.47025935787859785</v>
      </c>
      <c r="AI32" s="13">
        <f t="shared" si="19"/>
        <v>9.6111969466747785E-2</v>
      </c>
      <c r="AJ32" s="13">
        <f t="shared" si="19"/>
        <v>10.844517619047618</v>
      </c>
      <c r="AK32" s="13">
        <f t="shared" si="19"/>
        <v>20.19047619047619</v>
      </c>
      <c r="AL32" s="13">
        <f t="shared" si="19"/>
        <v>9.0705391347517725</v>
      </c>
    </row>
    <row r="33" spans="4:40" x14ac:dyDescent="0.35">
      <c r="D33" s="293">
        <v>6</v>
      </c>
      <c r="F33" s="13">
        <v>126.38996</v>
      </c>
      <c r="G33" s="2">
        <v>131.86633</v>
      </c>
      <c r="H33" s="2">
        <f t="shared" si="11"/>
        <v>5.4763700000000028</v>
      </c>
      <c r="I33" s="2">
        <f t="shared" si="12"/>
        <v>9.5076999999999998</v>
      </c>
      <c r="J33" s="2">
        <f t="shared" si="13"/>
        <v>0.36547947253316365</v>
      </c>
      <c r="K33" s="2">
        <f t="shared" si="14"/>
        <v>0.63452052746683629</v>
      </c>
      <c r="L33" s="2">
        <f t="shared" si="15"/>
        <v>0.18260270945900287</v>
      </c>
      <c r="M33" s="2">
        <f t="shared" si="16"/>
        <v>6.6737541936202904E-2</v>
      </c>
      <c r="N33" s="2">
        <f t="shared" si="17"/>
        <v>14.984070000000003</v>
      </c>
      <c r="O33" s="2">
        <v>40</v>
      </c>
      <c r="P33">
        <f t="shared" si="18"/>
        <v>7.3041083783601142</v>
      </c>
      <c r="R33" t="s">
        <v>759</v>
      </c>
      <c r="AC33" s="49" t="s">
        <v>94</v>
      </c>
      <c r="AD33" s="2">
        <f>_xlfn.STDEV.S(AD7:AD27)</f>
        <v>1.1415228895335596</v>
      </c>
      <c r="AE33" s="2">
        <f t="shared" ref="AE33:AL33" si="20">_xlfn.STDEV.S(AE7:AE27)</f>
        <v>1.6518669545244902</v>
      </c>
      <c r="AF33" s="2">
        <f t="shared" si="20"/>
        <v>8.0796776658869418E-2</v>
      </c>
      <c r="AG33" s="2">
        <f t="shared" si="20"/>
        <v>8.0796776658869973E-2</v>
      </c>
      <c r="AH33" s="2">
        <f t="shared" si="20"/>
        <v>0.33175168024702101</v>
      </c>
      <c r="AI33" s="2">
        <f t="shared" si="20"/>
        <v>1.9593649076771937E-2</v>
      </c>
      <c r="AJ33" s="2">
        <f t="shared" si="20"/>
        <v>2.3163351277738338</v>
      </c>
      <c r="AK33" s="2">
        <f t="shared" si="20"/>
        <v>5.1050861659628008</v>
      </c>
      <c r="AL33" s="2">
        <f t="shared" si="20"/>
        <v>5.2898937192935511</v>
      </c>
    </row>
    <row r="34" spans="4:40" x14ac:dyDescent="0.35">
      <c r="D34" s="293">
        <v>6</v>
      </c>
      <c r="F34" s="13">
        <v>141.37403</v>
      </c>
      <c r="G34" s="2">
        <v>147.76572999999999</v>
      </c>
      <c r="H34" s="2">
        <f t="shared" si="11"/>
        <v>6.3916999999999859</v>
      </c>
      <c r="I34" s="2">
        <f t="shared" si="12"/>
        <v>13.32041000000001</v>
      </c>
      <c r="J34" s="2">
        <f t="shared" si="13"/>
        <v>0.32425245191914959</v>
      </c>
      <c r="K34" s="2">
        <f t="shared" si="14"/>
        <v>0.67574754808085047</v>
      </c>
      <c r="L34" s="2">
        <f t="shared" si="15"/>
        <v>0.15645289985449914</v>
      </c>
      <c r="M34" s="2">
        <f t="shared" si="16"/>
        <v>5.0730236387682509E-2</v>
      </c>
      <c r="N34" s="2">
        <f t="shared" si="17"/>
        <v>19.712109999999996</v>
      </c>
      <c r="O34" s="2">
        <v>43</v>
      </c>
      <c r="P34">
        <f t="shared" si="18"/>
        <v>6.7274746937434635</v>
      </c>
      <c r="AC34" s="49" t="s">
        <v>95</v>
      </c>
      <c r="AD34" s="2">
        <f>AD33/(SQRT(COUNT(AD7:AD27)))</f>
        <v>0.24910071661010719</v>
      </c>
      <c r="AE34" s="2">
        <f t="shared" ref="AE34:AL34" si="21">AE33/(SQRT(COUNT(AE7:AE27)))</f>
        <v>0.36046692176688822</v>
      </c>
      <c r="AF34" s="2">
        <f t="shared" si="21"/>
        <v>1.7631302140367157E-2</v>
      </c>
      <c r="AG34" s="2">
        <f t="shared" si="21"/>
        <v>1.7631302140367278E-2</v>
      </c>
      <c r="AH34" s="2">
        <f t="shared" si="21"/>
        <v>7.2394151745750479E-2</v>
      </c>
      <c r="AI34" s="2">
        <f t="shared" si="21"/>
        <v>4.2756847635575723E-3</v>
      </c>
      <c r="AJ34" s="2">
        <f t="shared" si="21"/>
        <v>0.50546576466232385</v>
      </c>
      <c r="AK34" s="2">
        <f t="shared" si="21"/>
        <v>1.1140211326093536</v>
      </c>
      <c r="AL34" s="2">
        <f t="shared" si="21"/>
        <v>1.1543494469968656</v>
      </c>
    </row>
    <row r="35" spans="4:40" x14ac:dyDescent="0.35">
      <c r="D35" s="293">
        <v>6</v>
      </c>
      <c r="F35" s="13">
        <v>161.08614</v>
      </c>
      <c r="G35" s="2">
        <v>167.88969</v>
      </c>
      <c r="H35" s="2">
        <f t="shared" si="11"/>
        <v>6.8035500000000013</v>
      </c>
      <c r="I35" s="2">
        <f t="shared" si="12"/>
        <v>8.7496299999999962</v>
      </c>
      <c r="J35" s="2">
        <f t="shared" si="13"/>
        <v>0.43743787444111121</v>
      </c>
      <c r="K35" s="2">
        <f t="shared" si="14"/>
        <v>0.56256212555888874</v>
      </c>
      <c r="L35" s="2">
        <f t="shared" si="15"/>
        <v>0.14698209023230516</v>
      </c>
      <c r="M35" s="2">
        <f t="shared" si="16"/>
        <v>6.4295533132131183E-2</v>
      </c>
      <c r="N35" s="2">
        <f t="shared" si="17"/>
        <v>15.553179999999998</v>
      </c>
      <c r="O35" s="2">
        <v>47</v>
      </c>
      <c r="P35">
        <f t="shared" si="18"/>
        <v>6.9081582409183424</v>
      </c>
      <c r="AC35" s="45"/>
      <c r="AD35" s="2"/>
      <c r="AE35" s="2"/>
      <c r="AF35" s="2"/>
      <c r="AG35" s="2"/>
      <c r="AH35" s="2"/>
      <c r="AI35" s="2"/>
      <c r="AJ35" s="2"/>
      <c r="AK35" s="2"/>
    </row>
    <row r="36" spans="4:40" x14ac:dyDescent="0.35">
      <c r="D36" s="293">
        <v>6</v>
      </c>
      <c r="F36" s="13">
        <v>176.63932</v>
      </c>
      <c r="G36" s="2">
        <v>181.79543999999999</v>
      </c>
      <c r="H36" s="2">
        <f t="shared" si="11"/>
        <v>5.1561199999999872</v>
      </c>
      <c r="I36" s="2">
        <f t="shared" si="12"/>
        <v>9.7432699999999954</v>
      </c>
      <c r="J36" s="2">
        <f t="shared" si="13"/>
        <v>0.34606248980662924</v>
      </c>
      <c r="K36" s="2">
        <f t="shared" si="14"/>
        <v>0.65393751019337076</v>
      </c>
      <c r="L36" s="2">
        <f t="shared" si="15"/>
        <v>0.19394428368618311</v>
      </c>
      <c r="M36" s="2">
        <f t="shared" si="16"/>
        <v>6.7116841696203744E-2</v>
      </c>
      <c r="N36" s="2">
        <f t="shared" si="17"/>
        <v>14.899389999999983</v>
      </c>
      <c r="O36" s="2">
        <v>36</v>
      </c>
      <c r="P36">
        <f t="shared" si="18"/>
        <v>6.9819942127025918</v>
      </c>
      <c r="AC36" s="45"/>
      <c r="AD36" s="2"/>
      <c r="AE36" s="2"/>
      <c r="AF36" s="2"/>
      <c r="AG36" s="2"/>
      <c r="AH36" s="2"/>
      <c r="AI36" s="2"/>
      <c r="AJ36" s="2"/>
      <c r="AK36" s="2"/>
    </row>
    <row r="37" spans="4:40" x14ac:dyDescent="0.35">
      <c r="D37" s="293">
        <v>6</v>
      </c>
      <c r="F37" s="13">
        <v>191.53870999999998</v>
      </c>
      <c r="G37" s="2">
        <v>197.51949000000002</v>
      </c>
      <c r="H37" s="2">
        <f t="shared" si="11"/>
        <v>5.9807800000000384</v>
      </c>
      <c r="I37" s="2">
        <f t="shared" si="12"/>
        <v>7.7294199999999762</v>
      </c>
      <c r="J37" s="2">
        <f t="shared" si="13"/>
        <v>0.43622850140771341</v>
      </c>
      <c r="K37" s="2">
        <f t="shared" si="14"/>
        <v>0.56377149859228659</v>
      </c>
      <c r="L37" s="2">
        <f t="shared" si="15"/>
        <v>0.16720227127565193</v>
      </c>
      <c r="M37" s="2">
        <f t="shared" si="16"/>
        <v>7.2938396230543601E-2</v>
      </c>
      <c r="N37" s="2">
        <f t="shared" si="17"/>
        <v>13.710200000000015</v>
      </c>
      <c r="O37" s="2">
        <v>40</v>
      </c>
      <c r="P37">
        <f t="shared" si="18"/>
        <v>6.688090851026077</v>
      </c>
      <c r="AC37" s="45"/>
      <c r="AD37" s="2"/>
      <c r="AE37" s="2"/>
      <c r="AF37" s="2"/>
      <c r="AG37" s="2"/>
      <c r="AH37" s="2"/>
      <c r="AI37" s="2"/>
      <c r="AJ37" s="2"/>
      <c r="AK37" s="2"/>
    </row>
    <row r="38" spans="4:40" x14ac:dyDescent="0.35">
      <c r="D38" s="293">
        <v>6</v>
      </c>
      <c r="F38" s="13">
        <v>205.24891</v>
      </c>
      <c r="G38" s="2">
        <v>206.39694</v>
      </c>
      <c r="H38" s="2">
        <f t="shared" si="11"/>
        <v>1.1480300000000057</v>
      </c>
      <c r="I38" s="2">
        <f t="shared" si="12"/>
        <v>7.8543099999999981</v>
      </c>
      <c r="J38" s="2">
        <f t="shared" si="13"/>
        <v>0.12752573219851784</v>
      </c>
      <c r="K38" s="2">
        <f t="shared" si="14"/>
        <v>0.87247426780148218</v>
      </c>
      <c r="L38" s="2">
        <f t="shared" si="15"/>
        <v>0.87105737654938897</v>
      </c>
      <c r="M38" s="2">
        <f t="shared" si="16"/>
        <v>0.1110822297313809</v>
      </c>
      <c r="N38" s="2">
        <f t="shared" si="17"/>
        <v>9.0023400000000038</v>
      </c>
      <c r="O38" s="2">
        <v>9</v>
      </c>
      <c r="P38">
        <f t="shared" si="18"/>
        <v>7.8395163889445012</v>
      </c>
    </row>
    <row r="39" spans="4:40" x14ac:dyDescent="0.35">
      <c r="D39" s="300">
        <v>6</v>
      </c>
      <c r="F39" s="13">
        <v>214.25125</v>
      </c>
      <c r="G39" s="2">
        <v>221.15359000000001</v>
      </c>
      <c r="H39" s="2">
        <f t="shared" si="11"/>
        <v>6.9023400000000095</v>
      </c>
      <c r="I39" s="2">
        <f t="shared" si="12"/>
        <v>10.9923</v>
      </c>
      <c r="J39" s="2">
        <f t="shared" si="13"/>
        <v>0.38572108743176758</v>
      </c>
      <c r="K39" s="2">
        <f t="shared" si="14"/>
        <v>0.61427891256823242</v>
      </c>
      <c r="L39" s="2">
        <f t="shared" si="15"/>
        <v>0.14487840355589535</v>
      </c>
      <c r="M39" s="2">
        <f t="shared" si="16"/>
        <v>5.5882655364958414E-2</v>
      </c>
      <c r="N39" s="2">
        <f t="shared" si="17"/>
        <v>17.89464000000001</v>
      </c>
      <c r="O39" s="2">
        <v>50</v>
      </c>
      <c r="P39">
        <f t="shared" si="18"/>
        <v>7.2439201777947666</v>
      </c>
    </row>
    <row r="40" spans="4:40" x14ac:dyDescent="0.35">
      <c r="D40" s="300">
        <v>6</v>
      </c>
      <c r="F40" s="13">
        <v>232.14589000000001</v>
      </c>
      <c r="G40" s="2">
        <v>237.43824999999998</v>
      </c>
      <c r="H40" s="2">
        <f t="shared" si="11"/>
        <v>5.2923599999999738</v>
      </c>
      <c r="I40" s="2"/>
      <c r="J40" s="2"/>
      <c r="K40" s="2"/>
      <c r="L40" s="2"/>
      <c r="M40" s="2"/>
      <c r="N40" s="2"/>
      <c r="O40" s="2"/>
    </row>
    <row r="41" spans="4:40" x14ac:dyDescent="0.35">
      <c r="F41" s="13"/>
      <c r="H41" s="2"/>
      <c r="I41" s="2"/>
      <c r="J41" s="2"/>
      <c r="K41" s="2"/>
      <c r="L41" s="2"/>
      <c r="M41" s="2"/>
      <c r="N41" s="2"/>
      <c r="O41" s="2"/>
    </row>
    <row r="42" spans="4:40" ht="19" thickBot="1" x14ac:dyDescent="0.5">
      <c r="E42" s="104" t="s">
        <v>447</v>
      </c>
      <c r="F42" s="13"/>
      <c r="G42" s="13"/>
      <c r="H42" s="9" t="s">
        <v>3</v>
      </c>
      <c r="I42" s="9" t="s">
        <v>4</v>
      </c>
      <c r="J42" s="9" t="s">
        <v>5</v>
      </c>
      <c r="K42" s="9" t="s">
        <v>6</v>
      </c>
      <c r="L42" s="9" t="s">
        <v>7</v>
      </c>
      <c r="M42" s="9" t="s">
        <v>8</v>
      </c>
      <c r="N42" s="9" t="s">
        <v>9</v>
      </c>
      <c r="O42" s="9" t="s">
        <v>10</v>
      </c>
      <c r="P42" s="44" t="s">
        <v>139</v>
      </c>
      <c r="AB42" s="1" t="s">
        <v>741</v>
      </c>
      <c r="AC42" s="3"/>
      <c r="AD42" s="3"/>
      <c r="AE42" s="3"/>
      <c r="AF42" s="3"/>
      <c r="AG42" s="3"/>
      <c r="AH42" s="3"/>
      <c r="AI42" s="3"/>
      <c r="AJ42" s="3"/>
      <c r="AK42" s="3"/>
    </row>
    <row r="43" spans="4:40" ht="16" thickBot="1" x14ac:dyDescent="0.4">
      <c r="F43" s="13"/>
      <c r="G43" s="49" t="s">
        <v>77</v>
      </c>
      <c r="H43" s="13">
        <f t="shared" ref="H43:P43" si="22">AVERAGE(H27:H32)</f>
        <v>6.4873449999999977</v>
      </c>
      <c r="I43" s="13">
        <f t="shared" si="22"/>
        <v>12.765793333333335</v>
      </c>
      <c r="J43" s="13">
        <f t="shared" si="22"/>
        <v>0.33824886664677595</v>
      </c>
      <c r="K43" s="13">
        <f t="shared" si="22"/>
        <v>0.66175113335322411</v>
      </c>
      <c r="L43" s="13">
        <f t="shared" si="22"/>
        <v>0.15626082028726168</v>
      </c>
      <c r="M43" s="13">
        <f t="shared" si="22"/>
        <v>5.2537669164075158E-2</v>
      </c>
      <c r="N43" s="13">
        <f t="shared" si="22"/>
        <v>19.253138333333336</v>
      </c>
      <c r="O43" s="13">
        <f t="shared" si="22"/>
        <v>43</v>
      </c>
      <c r="P43" s="13">
        <f t="shared" si="22"/>
        <v>6.594668980279927</v>
      </c>
      <c r="Z43" s="204" t="s">
        <v>406</v>
      </c>
      <c r="AB43" s="9" t="s">
        <v>1</v>
      </c>
      <c r="AC43" s="9" t="s">
        <v>2</v>
      </c>
      <c r="AD43" s="9" t="s">
        <v>3</v>
      </c>
      <c r="AE43" s="9" t="s">
        <v>4</v>
      </c>
      <c r="AF43" s="9" t="s">
        <v>5</v>
      </c>
      <c r="AG43" s="9" t="s">
        <v>6</v>
      </c>
      <c r="AH43" s="9" t="s">
        <v>7</v>
      </c>
      <c r="AI43" s="9" t="s">
        <v>8</v>
      </c>
      <c r="AJ43" s="9" t="s">
        <v>9</v>
      </c>
      <c r="AK43" s="9" t="s">
        <v>10</v>
      </c>
      <c r="AL43" s="44" t="s">
        <v>139</v>
      </c>
      <c r="AN43" s="44" t="s">
        <v>138</v>
      </c>
    </row>
    <row r="44" spans="4:40" x14ac:dyDescent="0.35">
      <c r="E44" s="104"/>
      <c r="F44" s="13"/>
      <c r="G44" s="49" t="s">
        <v>94</v>
      </c>
      <c r="H44" s="2">
        <f t="shared" ref="H44:P44" si="23">_xlfn.STDEV.S(H27:H32)</f>
        <v>0.81517965889122512</v>
      </c>
      <c r="I44" s="2">
        <f t="shared" si="23"/>
        <v>1.8229629317094469</v>
      </c>
      <c r="J44" s="2">
        <f t="shared" si="23"/>
        <v>3.782760149968184E-2</v>
      </c>
      <c r="K44" s="2">
        <f t="shared" si="23"/>
        <v>3.782760149968236E-2</v>
      </c>
      <c r="L44" s="2">
        <f t="shared" si="23"/>
        <v>2.0336327678245204E-2</v>
      </c>
      <c r="M44" s="2">
        <f t="shared" si="23"/>
        <v>6.1237702389871258E-3</v>
      </c>
      <c r="N44" s="2">
        <f t="shared" si="23"/>
        <v>2.264371310376597</v>
      </c>
      <c r="O44" s="2">
        <f t="shared" si="23"/>
        <v>7.5630681604756154</v>
      </c>
      <c r="P44" s="2">
        <f t="shared" si="23"/>
        <v>0.45233995279575934</v>
      </c>
      <c r="Z44" s="177">
        <v>-2</v>
      </c>
      <c r="AA44" s="157"/>
      <c r="AB44" s="132">
        <v>8.9932400000000001</v>
      </c>
      <c r="AC44" s="132">
        <v>11.91794</v>
      </c>
      <c r="AD44" s="132">
        <f t="shared" ref="AD44:AD58" si="24">AC44-AB44</f>
        <v>2.9246999999999996</v>
      </c>
      <c r="AE44" s="132">
        <f t="shared" ref="AE44:AE57" si="25">AB45-AC44</f>
        <v>13.799909999999999</v>
      </c>
      <c r="AF44" s="132">
        <f t="shared" ref="AF44:AF57" si="26">AD44/AJ44</f>
        <v>0.17487403293709092</v>
      </c>
      <c r="AG44" s="132">
        <f t="shared" ref="AG44:AG57" si="27">AE44/AJ44</f>
        <v>0.82512596706290908</v>
      </c>
      <c r="AH44" s="132">
        <f t="shared" ref="AH44:AH57" si="28">1/AD44</f>
        <v>0.34191541012753451</v>
      </c>
      <c r="AI44" s="132">
        <f t="shared" ref="AI44:AI57" si="29">1/AJ44</f>
        <v>5.9792126692341414E-2</v>
      </c>
      <c r="AJ44" s="132">
        <f t="shared" ref="AJ44:AJ57" si="30">AD44+AE44</f>
        <v>16.724609999999998</v>
      </c>
      <c r="AK44" s="132">
        <v>16</v>
      </c>
      <c r="AL44" s="157">
        <f t="shared" ref="AL44:AL57" si="31">AK44/AD44</f>
        <v>5.4706465620405522</v>
      </c>
      <c r="AN44" t="s">
        <v>771</v>
      </c>
    </row>
    <row r="45" spans="4:40" x14ac:dyDescent="0.35">
      <c r="E45" s="104"/>
      <c r="F45" s="13"/>
      <c r="G45" s="49" t="s">
        <v>95</v>
      </c>
      <c r="H45" s="2">
        <f t="shared" ref="H45:P45" si="32">H44/(SQRT(COUNT(H27:H32)))</f>
        <v>0.33279570216325766</v>
      </c>
      <c r="I45" s="2">
        <f t="shared" si="32"/>
        <v>0.74422150044937363</v>
      </c>
      <c r="J45" s="2">
        <f t="shared" si="32"/>
        <v>1.5443053644593373E-2</v>
      </c>
      <c r="K45" s="2">
        <f t="shared" si="32"/>
        <v>1.5443053644593585E-2</v>
      </c>
      <c r="L45" s="2">
        <f t="shared" si="32"/>
        <v>8.3022710089565455E-3</v>
      </c>
      <c r="M45" s="2">
        <f t="shared" si="32"/>
        <v>2.5000187312599763E-3</v>
      </c>
      <c r="N45" s="2">
        <f t="shared" si="32"/>
        <v>0.92442571643666316</v>
      </c>
      <c r="O45" s="2">
        <f t="shared" si="32"/>
        <v>3.0876096471758436</v>
      </c>
      <c r="P45" s="2">
        <f t="shared" si="32"/>
        <v>0.18466701243737327</v>
      </c>
      <c r="Z45" s="293">
        <v>-2</v>
      </c>
      <c r="AB45" s="13">
        <v>25.717849999999999</v>
      </c>
      <c r="AC45" s="2">
        <v>29.885950000000001</v>
      </c>
      <c r="AD45" s="2">
        <f t="shared" si="24"/>
        <v>4.1681000000000026</v>
      </c>
      <c r="AE45" s="2">
        <f t="shared" si="25"/>
        <v>21.260979999999996</v>
      </c>
      <c r="AF45" s="2">
        <f t="shared" si="26"/>
        <v>0.16391076672848576</v>
      </c>
      <c r="AG45" s="2">
        <f t="shared" si="27"/>
        <v>0.83608923327151419</v>
      </c>
      <c r="AH45" s="2">
        <f t="shared" si="28"/>
        <v>0.23991746839087338</v>
      </c>
      <c r="AI45" s="2">
        <f t="shared" si="29"/>
        <v>3.9325056195505304E-2</v>
      </c>
      <c r="AJ45" s="2">
        <f t="shared" si="30"/>
        <v>25.429079999999999</v>
      </c>
      <c r="AK45" s="2">
        <v>22</v>
      </c>
      <c r="AL45">
        <f t="shared" si="31"/>
        <v>5.2781843045992147</v>
      </c>
    </row>
    <row r="46" spans="4:40" x14ac:dyDescent="0.35">
      <c r="E46" s="104"/>
      <c r="Z46" s="293">
        <v>-2</v>
      </c>
      <c r="AB46" s="13">
        <v>51.146929999999998</v>
      </c>
      <c r="AC46" s="2">
        <v>55.334919999999997</v>
      </c>
      <c r="AD46" s="2">
        <f t="shared" si="24"/>
        <v>4.1879899999999992</v>
      </c>
      <c r="AE46" s="2">
        <f t="shared" si="25"/>
        <v>18.817570000000003</v>
      </c>
      <c r="AF46" s="2">
        <f t="shared" si="26"/>
        <v>0.18204251493986665</v>
      </c>
      <c r="AG46" s="2">
        <f t="shared" si="27"/>
        <v>0.81795748506013333</v>
      </c>
      <c r="AH46" s="2">
        <f t="shared" si="28"/>
        <v>0.23877802955594454</v>
      </c>
      <c r="AI46" s="2">
        <f t="shared" si="29"/>
        <v>4.3467753012749959E-2</v>
      </c>
      <c r="AJ46" s="2">
        <f t="shared" si="30"/>
        <v>23.005560000000003</v>
      </c>
      <c r="AK46" s="2">
        <v>24</v>
      </c>
      <c r="AL46">
        <f t="shared" si="31"/>
        <v>5.7306727093426693</v>
      </c>
    </row>
    <row r="47" spans="4:40" ht="16" thickBot="1" x14ac:dyDescent="0.4">
      <c r="E47" s="104" t="s">
        <v>409</v>
      </c>
      <c r="F47" s="13"/>
      <c r="G47" s="13"/>
      <c r="H47" s="9" t="s">
        <v>3</v>
      </c>
      <c r="I47" s="9" t="s">
        <v>4</v>
      </c>
      <c r="J47" s="9" t="s">
        <v>5</v>
      </c>
      <c r="K47" s="9" t="s">
        <v>6</v>
      </c>
      <c r="L47" s="9" t="s">
        <v>7</v>
      </c>
      <c r="M47" s="9" t="s">
        <v>8</v>
      </c>
      <c r="N47" s="9" t="s">
        <v>9</v>
      </c>
      <c r="O47" s="9" t="s">
        <v>10</v>
      </c>
      <c r="P47" s="44" t="s">
        <v>139</v>
      </c>
      <c r="Q47" s="2"/>
      <c r="R47" s="2"/>
      <c r="S47" s="2"/>
      <c r="Z47" s="177">
        <v>-2</v>
      </c>
      <c r="AA47" s="157"/>
      <c r="AB47" s="132">
        <v>74.15249</v>
      </c>
      <c r="AC47" s="132">
        <v>78.283140000000003</v>
      </c>
      <c r="AD47" s="132">
        <f t="shared" si="24"/>
        <v>4.1306500000000028</v>
      </c>
      <c r="AE47" s="132">
        <f t="shared" si="25"/>
        <v>29.913629999999998</v>
      </c>
      <c r="AF47" s="132">
        <f t="shared" si="26"/>
        <v>0.1213316892000654</v>
      </c>
      <c r="AG47" s="132">
        <f t="shared" si="27"/>
        <v>0.87866831079993457</v>
      </c>
      <c r="AH47" s="132">
        <f t="shared" si="28"/>
        <v>0.2420926488567173</v>
      </c>
      <c r="AI47" s="132">
        <f t="shared" si="29"/>
        <v>2.9373510028703795E-2</v>
      </c>
      <c r="AJ47" s="132">
        <f t="shared" si="30"/>
        <v>34.044280000000001</v>
      </c>
      <c r="AK47" s="132">
        <v>21</v>
      </c>
      <c r="AL47" s="157">
        <f t="shared" si="31"/>
        <v>5.0839456259910634</v>
      </c>
    </row>
    <row r="48" spans="4:40" x14ac:dyDescent="0.35">
      <c r="F48" s="13"/>
      <c r="G48" s="49" t="s">
        <v>77</v>
      </c>
      <c r="H48" s="13">
        <f>AVERAGE(H33:H40)</f>
        <v>5.3939062500000006</v>
      </c>
      <c r="I48" s="13">
        <f t="shared" ref="I48:P48" si="33">AVERAGE(I33:I40)</f>
        <v>9.6995771428571391</v>
      </c>
      <c r="J48" s="13">
        <f t="shared" si="33"/>
        <v>0.34610108710543602</v>
      </c>
      <c r="K48" s="13">
        <f t="shared" si="33"/>
        <v>0.65389891289456392</v>
      </c>
      <c r="L48" s="13">
        <f t="shared" si="33"/>
        <v>0.26616000494470377</v>
      </c>
      <c r="M48" s="13">
        <f t="shared" si="33"/>
        <v>6.982620492558618E-2</v>
      </c>
      <c r="N48" s="13">
        <f t="shared" si="33"/>
        <v>15.107990000000001</v>
      </c>
      <c r="O48" s="13">
        <f t="shared" si="33"/>
        <v>37.857142857142854</v>
      </c>
      <c r="P48" s="13">
        <f t="shared" si="33"/>
        <v>7.0990375633556937</v>
      </c>
      <c r="Q48" s="2"/>
      <c r="R48" s="2"/>
      <c r="S48" s="2"/>
      <c r="Z48" s="293">
        <v>-2</v>
      </c>
      <c r="AB48" s="13">
        <v>108.19677</v>
      </c>
      <c r="AC48" s="2">
        <v>110.63206</v>
      </c>
      <c r="AD48" s="2">
        <f t="shared" si="24"/>
        <v>2.4352899999999948</v>
      </c>
      <c r="AE48" s="2">
        <f t="shared" si="25"/>
        <v>10.558360000000008</v>
      </c>
      <c r="AF48" s="2">
        <f t="shared" si="26"/>
        <v>0.18742154821778287</v>
      </c>
      <c r="AG48" s="2">
        <f t="shared" si="27"/>
        <v>0.8125784517822171</v>
      </c>
      <c r="AH48" s="2">
        <f t="shared" si="28"/>
        <v>0.41062871362342968</v>
      </c>
      <c r="AI48" s="2">
        <f t="shared" si="29"/>
        <v>7.6960669249979782E-2</v>
      </c>
      <c r="AJ48" s="2">
        <f t="shared" si="30"/>
        <v>12.993650000000002</v>
      </c>
      <c r="AK48" s="2">
        <v>15</v>
      </c>
      <c r="AL48">
        <f t="shared" si="31"/>
        <v>6.1594307043514451</v>
      </c>
    </row>
    <row r="49" spans="4:45" x14ac:dyDescent="0.35">
      <c r="E49" s="104"/>
      <c r="F49" s="13"/>
      <c r="G49" s="49" t="s">
        <v>94</v>
      </c>
      <c r="H49" s="2">
        <f t="shared" ref="H49:P49" si="34">_xlfn.STDEV.S(H33:H40)</f>
        <v>1.8401708145863422</v>
      </c>
      <c r="I49" s="2">
        <f t="shared" si="34"/>
        <v>1.958282344247249</v>
      </c>
      <c r="J49" s="2">
        <f t="shared" si="34"/>
        <v>0.10540649560882639</v>
      </c>
      <c r="K49" s="2">
        <f t="shared" si="34"/>
        <v>0.10540649560882631</v>
      </c>
      <c r="L49" s="2">
        <f t="shared" si="34"/>
        <v>0.26734454871035102</v>
      </c>
      <c r="M49" s="2">
        <f t="shared" si="34"/>
        <v>1.9656605017580122E-2</v>
      </c>
      <c r="N49" s="2">
        <f t="shared" si="34"/>
        <v>3.377700950498729</v>
      </c>
      <c r="O49" s="2">
        <f t="shared" si="34"/>
        <v>13.557637102737477</v>
      </c>
      <c r="P49" s="2">
        <f t="shared" si="34"/>
        <v>0.40175119381567104</v>
      </c>
      <c r="Q49" s="2"/>
      <c r="R49" s="2"/>
      <c r="S49" s="2"/>
      <c r="Z49" s="177">
        <v>-2</v>
      </c>
      <c r="AA49" s="157"/>
      <c r="AB49" s="132">
        <v>121.19042</v>
      </c>
      <c r="AC49" s="132">
        <v>124.55005</v>
      </c>
      <c r="AD49" s="132">
        <f t="shared" si="24"/>
        <v>3.3596299999999957</v>
      </c>
      <c r="AE49" s="132">
        <f t="shared" si="25"/>
        <v>23.049250000000001</v>
      </c>
      <c r="AF49" s="132">
        <f t="shared" si="26"/>
        <v>0.12721592131131634</v>
      </c>
      <c r="AG49" s="132">
        <f t="shared" si="27"/>
        <v>0.87278407868868368</v>
      </c>
      <c r="AH49" s="132">
        <f t="shared" si="28"/>
        <v>0.29765182475451202</v>
      </c>
      <c r="AI49" s="132">
        <f t="shared" si="29"/>
        <v>3.7866051116139728E-2</v>
      </c>
      <c r="AJ49" s="132">
        <f t="shared" si="30"/>
        <v>26.408879999999996</v>
      </c>
      <c r="AK49" s="132">
        <v>19</v>
      </c>
      <c r="AL49" s="157">
        <f t="shared" si="31"/>
        <v>5.6553846703357289</v>
      </c>
      <c r="AN49" t="s">
        <v>772</v>
      </c>
    </row>
    <row r="50" spans="4:45" x14ac:dyDescent="0.35">
      <c r="E50" s="104"/>
      <c r="F50" s="13"/>
      <c r="G50" s="49" t="s">
        <v>95</v>
      </c>
      <c r="H50" s="2">
        <f t="shared" ref="H50:P50" si="35">H49/(SQRT(COUNT(H33:H40)))</f>
        <v>0.65059863076778779</v>
      </c>
      <c r="I50" s="2">
        <f t="shared" si="35"/>
        <v>0.74016115424668549</v>
      </c>
      <c r="J50" s="2">
        <f t="shared" si="35"/>
        <v>3.9839910564539491E-2</v>
      </c>
      <c r="K50" s="2">
        <f t="shared" si="35"/>
        <v>3.9839910564539456E-2</v>
      </c>
      <c r="L50" s="2">
        <f t="shared" si="35"/>
        <v>0.1010467414651975</v>
      </c>
      <c r="M50" s="2">
        <f t="shared" si="35"/>
        <v>7.4294983566202018E-3</v>
      </c>
      <c r="N50" s="2">
        <f t="shared" si="35"/>
        <v>1.276650959738018</v>
      </c>
      <c r="O50" s="2">
        <f t="shared" si="35"/>
        <v>5.1243051627865164</v>
      </c>
      <c r="P50" s="2">
        <f t="shared" si="35"/>
        <v>0.151847678251368</v>
      </c>
      <c r="Q50" s="2"/>
      <c r="R50" s="2"/>
      <c r="S50" s="2"/>
      <c r="Z50" s="293">
        <v>-2</v>
      </c>
      <c r="AB50">
        <v>147.5993</v>
      </c>
      <c r="AC50">
        <v>151.70785000000001</v>
      </c>
      <c r="AD50" s="2">
        <f t="shared" si="24"/>
        <v>4.1085500000000081</v>
      </c>
      <c r="AE50" s="2">
        <f t="shared" si="25"/>
        <v>10.629660000000001</v>
      </c>
      <c r="AF50" s="2">
        <f t="shared" si="26"/>
        <v>0.27876858858708115</v>
      </c>
      <c r="AG50" s="2">
        <f t="shared" si="27"/>
        <v>0.7212314114129188</v>
      </c>
      <c r="AH50" s="2">
        <f t="shared" si="28"/>
        <v>0.24339487167005344</v>
      </c>
      <c r="AI50" s="2">
        <f t="shared" si="29"/>
        <v>6.7850844844794547E-2</v>
      </c>
      <c r="AJ50" s="2">
        <f t="shared" si="30"/>
        <v>14.738210000000009</v>
      </c>
      <c r="AK50" s="2">
        <v>21</v>
      </c>
      <c r="AL50">
        <f t="shared" si="31"/>
        <v>5.1112923050711219</v>
      </c>
    </row>
    <row r="51" spans="4:45" x14ac:dyDescent="0.35">
      <c r="E51" s="2"/>
      <c r="F51" s="2"/>
      <c r="G51" s="49"/>
      <c r="H51" s="2"/>
      <c r="I51" s="2"/>
      <c r="J51" s="2"/>
      <c r="K51" s="2"/>
      <c r="L51" s="2"/>
      <c r="M51" s="2"/>
      <c r="N51" s="2"/>
      <c r="O51" s="2"/>
      <c r="P51" s="2"/>
      <c r="Q51" s="2"/>
      <c r="R51" s="2"/>
      <c r="S51" s="2"/>
      <c r="Z51" s="177">
        <v>-2</v>
      </c>
      <c r="AA51" s="157"/>
      <c r="AB51" s="157">
        <v>162.33751000000001</v>
      </c>
      <c r="AC51" s="157">
        <v>165.11418</v>
      </c>
      <c r="AD51" s="132">
        <f t="shared" si="24"/>
        <v>2.7766699999999958</v>
      </c>
      <c r="AE51" s="132">
        <f t="shared" si="25"/>
        <v>43.598309999999998</v>
      </c>
      <c r="AF51" s="132">
        <f t="shared" si="26"/>
        <v>5.9874311536091143E-2</v>
      </c>
      <c r="AG51" s="132">
        <f t="shared" si="27"/>
        <v>0.94012568846390887</v>
      </c>
      <c r="AH51" s="132">
        <f t="shared" si="28"/>
        <v>0.36014362527776134</v>
      </c>
      <c r="AI51" s="132">
        <f t="shared" si="29"/>
        <v>2.1563351617617951E-2</v>
      </c>
      <c r="AJ51" s="132">
        <f t="shared" si="30"/>
        <v>46.374979999999994</v>
      </c>
      <c r="AK51" s="132">
        <v>15</v>
      </c>
      <c r="AL51" s="157">
        <f t="shared" si="31"/>
        <v>5.4021543791664195</v>
      </c>
    </row>
    <row r="52" spans="4:45" x14ac:dyDescent="0.35">
      <c r="E52" s="2"/>
      <c r="F52" s="2"/>
      <c r="G52" s="2"/>
      <c r="H52" s="2"/>
      <c r="I52" s="2"/>
      <c r="J52" s="2"/>
      <c r="K52" s="2"/>
      <c r="L52" s="2"/>
      <c r="M52" s="2"/>
      <c r="N52" s="2"/>
      <c r="O52" s="2"/>
      <c r="P52" s="2"/>
      <c r="Q52" s="2"/>
      <c r="R52" s="2"/>
      <c r="S52" s="2"/>
      <c r="Z52" s="293">
        <v>-2</v>
      </c>
      <c r="AB52">
        <v>208.71249</v>
      </c>
      <c r="AC52">
        <v>211.21375</v>
      </c>
      <c r="AD52" s="2">
        <f t="shared" si="24"/>
        <v>2.501260000000002</v>
      </c>
      <c r="AE52" s="2">
        <f t="shared" si="25"/>
        <v>10.57238000000001</v>
      </c>
      <c r="AF52" s="2">
        <f t="shared" si="26"/>
        <v>0.19132085631851573</v>
      </c>
      <c r="AG52" s="2">
        <f t="shared" si="27"/>
        <v>0.8086791436814843</v>
      </c>
      <c r="AH52" s="2">
        <f t="shared" si="28"/>
        <v>0.39979850155521585</v>
      </c>
      <c r="AI52" s="2">
        <f t="shared" si="29"/>
        <v>7.6489791672403329E-2</v>
      </c>
      <c r="AJ52" s="2">
        <f t="shared" si="30"/>
        <v>13.073640000000012</v>
      </c>
      <c r="AK52" s="2">
        <v>16</v>
      </c>
      <c r="AL52">
        <f t="shared" si="31"/>
        <v>6.3967760248834535</v>
      </c>
    </row>
    <row r="53" spans="4:45" x14ac:dyDescent="0.35">
      <c r="E53" s="2"/>
      <c r="F53" s="2"/>
      <c r="G53" s="2"/>
      <c r="H53" s="2"/>
      <c r="I53" s="2"/>
      <c r="J53" s="2"/>
      <c r="K53" s="2"/>
      <c r="L53" s="2"/>
      <c r="M53" s="2"/>
      <c r="N53" s="2"/>
      <c r="O53" s="2"/>
      <c r="P53" s="2"/>
      <c r="Q53" s="2"/>
      <c r="R53" s="2"/>
      <c r="S53" s="2"/>
      <c r="Z53" s="293">
        <v>-2</v>
      </c>
      <c r="AB53">
        <v>221.78613000000001</v>
      </c>
      <c r="AC53">
        <v>226.68857</v>
      </c>
      <c r="AD53" s="2">
        <f t="shared" si="24"/>
        <v>4.9024399999999844</v>
      </c>
      <c r="AE53" s="2">
        <f t="shared" si="25"/>
        <v>18.922519999999992</v>
      </c>
      <c r="AF53" s="2">
        <f t="shared" si="26"/>
        <v>0.20576907579278159</v>
      </c>
      <c r="AG53" s="2">
        <f t="shared" si="27"/>
        <v>0.79423092420721841</v>
      </c>
      <c r="AH53" s="2">
        <f t="shared" si="28"/>
        <v>0.20398005890944165</v>
      </c>
      <c r="AI53" s="2">
        <f t="shared" si="29"/>
        <v>4.1972788201952951E-2</v>
      </c>
      <c r="AJ53" s="2">
        <f t="shared" si="30"/>
        <v>23.824959999999976</v>
      </c>
      <c r="AK53" s="2">
        <v>23</v>
      </c>
      <c r="AL53">
        <f t="shared" si="31"/>
        <v>4.6915413549171578</v>
      </c>
    </row>
    <row r="54" spans="4:45" x14ac:dyDescent="0.35">
      <c r="E54" s="2"/>
      <c r="F54" s="2"/>
      <c r="G54" s="2"/>
      <c r="H54" s="2"/>
      <c r="I54" s="2"/>
      <c r="J54" s="2"/>
      <c r="K54" s="2"/>
      <c r="L54" s="2"/>
      <c r="M54" s="2"/>
      <c r="N54" s="2"/>
      <c r="O54" s="2"/>
      <c r="P54" s="2"/>
      <c r="Q54" s="2"/>
      <c r="R54" s="2"/>
      <c r="S54" s="2"/>
      <c r="Z54" s="177">
        <v>-2</v>
      </c>
      <c r="AA54" s="157"/>
      <c r="AB54" s="157">
        <v>245.61108999999999</v>
      </c>
      <c r="AC54" s="157">
        <v>249.34528</v>
      </c>
      <c r="AD54" s="132">
        <f t="shared" si="24"/>
        <v>3.7341900000000123</v>
      </c>
      <c r="AE54" s="132">
        <f t="shared" si="25"/>
        <v>15.459540000000004</v>
      </c>
      <c r="AF54" s="132">
        <f t="shared" si="26"/>
        <v>0.19455259608215855</v>
      </c>
      <c r="AG54" s="132">
        <f t="shared" si="27"/>
        <v>0.80544740391784142</v>
      </c>
      <c r="AH54" s="132">
        <f t="shared" si="28"/>
        <v>0.2677956933096593</v>
      </c>
      <c r="AI54" s="132">
        <f t="shared" si="29"/>
        <v>5.2100347353015761E-2</v>
      </c>
      <c r="AJ54" s="132">
        <f t="shared" si="30"/>
        <v>19.193730000000016</v>
      </c>
      <c r="AK54" s="132">
        <v>28</v>
      </c>
      <c r="AL54" s="157">
        <f t="shared" si="31"/>
        <v>7.4982794126704606</v>
      </c>
      <c r="AN54" t="s">
        <v>773</v>
      </c>
      <c r="AP54">
        <v>5.6110899999999999</v>
      </c>
      <c r="AQ54">
        <v>9.3452800000000007</v>
      </c>
      <c r="AR54">
        <f t="shared" ref="AR54:AS58" si="36">240+AP54</f>
        <v>245.61108999999999</v>
      </c>
      <c r="AS54">
        <f t="shared" si="36"/>
        <v>249.34528</v>
      </c>
    </row>
    <row r="55" spans="4:45" x14ac:dyDescent="0.35">
      <c r="Z55" s="293">
        <v>-2</v>
      </c>
      <c r="AB55">
        <v>264.80482000000001</v>
      </c>
      <c r="AC55">
        <v>268.68117000000001</v>
      </c>
      <c r="AD55" s="2">
        <f t="shared" si="24"/>
        <v>3.8763500000000022</v>
      </c>
      <c r="AE55" s="2">
        <f t="shared" si="25"/>
        <v>17.68471999999997</v>
      </c>
      <c r="AF55" s="2">
        <f t="shared" si="26"/>
        <v>0.17978467673450377</v>
      </c>
      <c r="AG55" s="2">
        <f t="shared" si="27"/>
        <v>0.82021532326549629</v>
      </c>
      <c r="AH55" s="2">
        <f t="shared" si="28"/>
        <v>0.25797464109278045</v>
      </c>
      <c r="AI55" s="2">
        <f t="shared" si="29"/>
        <v>4.6379887454565165E-2</v>
      </c>
      <c r="AJ55" s="2">
        <f t="shared" si="30"/>
        <v>21.561069999999972</v>
      </c>
      <c r="AK55" s="2">
        <v>31</v>
      </c>
      <c r="AL55">
        <f t="shared" si="31"/>
        <v>7.9972138738761931</v>
      </c>
      <c r="AP55">
        <v>24.804819999999999</v>
      </c>
      <c r="AQ55">
        <v>28.681170000000002</v>
      </c>
      <c r="AR55">
        <f t="shared" si="36"/>
        <v>264.80482000000001</v>
      </c>
      <c r="AS55">
        <f t="shared" si="36"/>
        <v>268.68117000000001</v>
      </c>
    </row>
    <row r="56" spans="4:45" ht="18.5" x14ac:dyDescent="0.45">
      <c r="F56" s="1" t="s">
        <v>733</v>
      </c>
      <c r="G56" s="3"/>
      <c r="H56" s="3"/>
      <c r="I56" s="3"/>
      <c r="J56" s="3"/>
      <c r="K56" s="3"/>
      <c r="L56" s="3"/>
      <c r="M56" s="3"/>
      <c r="N56" s="3"/>
      <c r="O56" s="3"/>
      <c r="Z56" s="177">
        <v>-2</v>
      </c>
      <c r="AA56" s="157"/>
      <c r="AB56" s="157">
        <v>286.36588999999998</v>
      </c>
      <c r="AC56" s="157">
        <v>289.89366000000001</v>
      </c>
      <c r="AD56" s="132">
        <f t="shared" si="24"/>
        <v>3.5277700000000323</v>
      </c>
      <c r="AE56" s="132">
        <f t="shared" si="25"/>
        <v>26.287519999999972</v>
      </c>
      <c r="AF56" s="132">
        <f t="shared" si="26"/>
        <v>0.11832083471266024</v>
      </c>
      <c r="AG56" s="132">
        <f t="shared" si="27"/>
        <v>0.88167916528733981</v>
      </c>
      <c r="AH56" s="132">
        <f t="shared" si="28"/>
        <v>0.28346519189175906</v>
      </c>
      <c r="AI56" s="132">
        <f t="shared" si="29"/>
        <v>3.3539838116617343E-2</v>
      </c>
      <c r="AJ56" s="132">
        <f t="shared" si="30"/>
        <v>29.815290000000005</v>
      </c>
      <c r="AK56" s="132">
        <v>23</v>
      </c>
      <c r="AL56" s="157">
        <f t="shared" si="31"/>
        <v>6.519699413510458</v>
      </c>
      <c r="AP56">
        <v>46.36589</v>
      </c>
      <c r="AQ56">
        <v>49.893659999999997</v>
      </c>
      <c r="AR56">
        <f t="shared" si="36"/>
        <v>286.36588999999998</v>
      </c>
      <c r="AS56">
        <f t="shared" si="36"/>
        <v>289.89366000000001</v>
      </c>
    </row>
    <row r="57" spans="4:45" ht="16" thickBot="1" x14ac:dyDescent="0.4">
      <c r="D57" s="204" t="s">
        <v>406</v>
      </c>
      <c r="F57" s="9" t="s">
        <v>1</v>
      </c>
      <c r="G57" s="9" t="s">
        <v>2</v>
      </c>
      <c r="H57" s="9" t="s">
        <v>3</v>
      </c>
      <c r="I57" s="9" t="s">
        <v>4</v>
      </c>
      <c r="J57" s="9" t="s">
        <v>5</v>
      </c>
      <c r="K57" s="9" t="s">
        <v>6</v>
      </c>
      <c r="L57" s="9" t="s">
        <v>7</v>
      </c>
      <c r="M57" s="9" t="s">
        <v>8</v>
      </c>
      <c r="N57" s="9" t="s">
        <v>9</v>
      </c>
      <c r="O57" s="9" t="s">
        <v>10</v>
      </c>
      <c r="P57" s="44" t="s">
        <v>139</v>
      </c>
      <c r="R57" s="44" t="s">
        <v>138</v>
      </c>
      <c r="Z57" s="293">
        <v>-2</v>
      </c>
      <c r="AB57" s="13">
        <v>316.18117999999998</v>
      </c>
      <c r="AC57" s="2">
        <v>320.28825999999998</v>
      </c>
      <c r="AD57" s="2">
        <f t="shared" si="24"/>
        <v>4.1070799999999963</v>
      </c>
      <c r="AE57" s="2">
        <f t="shared" si="25"/>
        <v>9.8135900000000333</v>
      </c>
      <c r="AF57" s="2">
        <f t="shared" si="26"/>
        <v>0.29503464991268291</v>
      </c>
      <c r="AG57" s="2">
        <f t="shared" si="27"/>
        <v>0.70496535008731709</v>
      </c>
      <c r="AH57" s="2">
        <f t="shared" si="28"/>
        <v>0.24348198720258699</v>
      </c>
      <c r="AI57" s="2">
        <f t="shared" si="29"/>
        <v>7.1835622854359585E-2</v>
      </c>
      <c r="AJ57" s="2">
        <f t="shared" si="30"/>
        <v>13.92067000000003</v>
      </c>
      <c r="AK57" s="2">
        <v>29</v>
      </c>
      <c r="AL57">
        <f t="shared" si="31"/>
        <v>7.0609776288750226</v>
      </c>
      <c r="AP57">
        <v>76.181179999999998</v>
      </c>
      <c r="AQ57">
        <v>80.288259999999994</v>
      </c>
      <c r="AR57">
        <f t="shared" si="36"/>
        <v>316.18117999999998</v>
      </c>
      <c r="AS57">
        <f t="shared" si="36"/>
        <v>320.28825999999998</v>
      </c>
    </row>
    <row r="58" spans="4:45" x14ac:dyDescent="0.35">
      <c r="D58" s="177">
        <v>6</v>
      </c>
      <c r="E58" s="157"/>
      <c r="F58" s="132">
        <v>15.664099999999999</v>
      </c>
      <c r="G58" s="132">
        <v>18.44293</v>
      </c>
      <c r="H58" s="132">
        <f>G58-F58</f>
        <v>2.778830000000001</v>
      </c>
      <c r="I58" s="132">
        <f>F59-G58</f>
        <v>21.72167</v>
      </c>
      <c r="J58" s="132">
        <f>H58/N58</f>
        <v>0.11341931797310262</v>
      </c>
      <c r="K58" s="132">
        <f>I58/N58</f>
        <v>0.88658068202689733</v>
      </c>
      <c r="L58" s="132">
        <f>1/H58</f>
        <v>0.35986368363663829</v>
      </c>
      <c r="M58" s="132">
        <f>1/N58</f>
        <v>4.0815493561355887E-2</v>
      </c>
      <c r="N58" s="132">
        <f>H58+I58</f>
        <v>24.500500000000002</v>
      </c>
      <c r="O58" s="132">
        <v>18</v>
      </c>
      <c r="P58" s="157">
        <f>O58/H58</f>
        <v>6.47754630545949</v>
      </c>
      <c r="Q58" s="85"/>
      <c r="R58" t="s">
        <v>760</v>
      </c>
      <c r="Z58" s="297">
        <v>-2</v>
      </c>
      <c r="AB58" s="13">
        <v>330.10185000000001</v>
      </c>
      <c r="AC58" s="2">
        <v>333.29755999999998</v>
      </c>
      <c r="AD58" s="2">
        <f t="shared" si="24"/>
        <v>3.1957099999999627</v>
      </c>
      <c r="AE58" s="2"/>
      <c r="AF58" s="2"/>
      <c r="AG58" s="2"/>
      <c r="AH58" s="2"/>
      <c r="AI58" s="2"/>
      <c r="AJ58" s="2"/>
      <c r="AK58" s="2"/>
      <c r="AP58">
        <v>90.101849999999999</v>
      </c>
      <c r="AQ58">
        <v>93.297560000000004</v>
      </c>
      <c r="AR58">
        <f t="shared" si="36"/>
        <v>330.10185000000001</v>
      </c>
      <c r="AS58">
        <f t="shared" si="36"/>
        <v>333.29755999999998</v>
      </c>
    </row>
    <row r="59" spans="4:45" x14ac:dyDescent="0.35">
      <c r="D59" s="177">
        <v>6</v>
      </c>
      <c r="E59" s="157"/>
      <c r="F59" s="132">
        <v>40.1646</v>
      </c>
      <c r="G59" s="132">
        <v>43.335009999999997</v>
      </c>
      <c r="H59" s="132">
        <f t="shared" ref="H59:H81" si="37">G59-F59</f>
        <v>3.1704099999999968</v>
      </c>
      <c r="I59" s="132">
        <f t="shared" ref="I59:I81" si="38">F60-G59</f>
        <v>13.953940000000003</v>
      </c>
      <c r="J59" s="132">
        <f t="shared" ref="J59:J81" si="39">H59/N59</f>
        <v>0.18514045788599257</v>
      </c>
      <c r="K59" s="132">
        <f t="shared" ref="K59:K81" si="40">I59/N59</f>
        <v>0.81485954211400746</v>
      </c>
      <c r="L59" s="132">
        <f t="shared" ref="L59:L81" si="41">1/H59</f>
        <v>0.31541661803993837</v>
      </c>
      <c r="M59" s="132">
        <f t="shared" ref="M59:M81" si="42">1/N59</f>
        <v>5.8396377088765411E-2</v>
      </c>
      <c r="N59" s="132">
        <f t="shared" ref="N59:N81" si="43">H59+I59</f>
        <v>17.12435</v>
      </c>
      <c r="O59" s="132">
        <v>19</v>
      </c>
      <c r="P59" s="157">
        <f t="shared" ref="P59:P89" si="44">O59/H59</f>
        <v>5.9929157427588287</v>
      </c>
      <c r="Q59" s="85"/>
      <c r="Z59" s="297"/>
      <c r="AB59" s="13"/>
      <c r="AC59" s="2"/>
      <c r="AD59" s="2"/>
      <c r="AE59" s="2"/>
      <c r="AF59" s="2"/>
      <c r="AG59" s="2"/>
      <c r="AH59" s="2"/>
      <c r="AI59" s="2"/>
      <c r="AJ59" s="2"/>
      <c r="AK59" s="2"/>
    </row>
    <row r="60" spans="4:45" x14ac:dyDescent="0.35">
      <c r="D60" s="177">
        <v>6</v>
      </c>
      <c r="E60" s="157"/>
      <c r="F60" s="132">
        <v>57.28895</v>
      </c>
      <c r="G60" s="132">
        <v>60.231070000000003</v>
      </c>
      <c r="H60" s="132">
        <f t="shared" si="37"/>
        <v>2.9421200000000027</v>
      </c>
      <c r="I60" s="132">
        <f t="shared" si="38"/>
        <v>9.6799599999999941</v>
      </c>
      <c r="J60" s="132">
        <f t="shared" si="39"/>
        <v>0.23309311935909163</v>
      </c>
      <c r="K60" s="132">
        <f t="shared" si="40"/>
        <v>0.76690688064090839</v>
      </c>
      <c r="L60" s="132">
        <f t="shared" si="41"/>
        <v>0.33989096297907601</v>
      </c>
      <c r="M60" s="132">
        <f t="shared" si="42"/>
        <v>7.9226244802758361E-2</v>
      </c>
      <c r="N60" s="132">
        <f t="shared" si="43"/>
        <v>12.622079999999997</v>
      </c>
      <c r="O60" s="132">
        <v>20</v>
      </c>
      <c r="P60" s="157">
        <f t="shared" si="44"/>
        <v>6.7978192595815203</v>
      </c>
      <c r="Q60" s="85"/>
      <c r="Z60" s="297"/>
      <c r="AB60" s="13"/>
      <c r="AC60" s="2"/>
      <c r="AD60" s="2"/>
      <c r="AE60" s="2"/>
      <c r="AF60" s="2"/>
      <c r="AG60" s="2"/>
      <c r="AH60" s="2"/>
      <c r="AI60" s="2"/>
      <c r="AJ60" s="2"/>
      <c r="AK60" s="2"/>
    </row>
    <row r="61" spans="4:45" ht="16" thickBot="1" x14ac:dyDescent="0.4">
      <c r="D61" s="177">
        <v>6</v>
      </c>
      <c r="E61" s="157"/>
      <c r="F61" s="132">
        <v>69.911029999999997</v>
      </c>
      <c r="G61" s="132">
        <v>72.839920000000006</v>
      </c>
      <c r="H61" s="132">
        <f t="shared" si="37"/>
        <v>2.9288900000000098</v>
      </c>
      <c r="I61" s="132">
        <f t="shared" si="38"/>
        <v>15.527999999999992</v>
      </c>
      <c r="J61" s="132">
        <f t="shared" si="39"/>
        <v>0.15868816469080163</v>
      </c>
      <c r="K61" s="132">
        <f t="shared" si="40"/>
        <v>0.8413118353091984</v>
      </c>
      <c r="L61" s="132">
        <f t="shared" si="41"/>
        <v>0.34142627411749732</v>
      </c>
      <c r="M61" s="132">
        <f t="shared" si="42"/>
        <v>5.4180308816924191E-2</v>
      </c>
      <c r="N61" s="132">
        <f t="shared" si="43"/>
        <v>18.456890000000001</v>
      </c>
      <c r="O61" s="132">
        <v>17</v>
      </c>
      <c r="P61" s="157">
        <f t="shared" si="44"/>
        <v>5.804246659997454</v>
      </c>
      <c r="Q61" s="85"/>
      <c r="Z61" s="297"/>
      <c r="AA61" s="104" t="s">
        <v>426</v>
      </c>
      <c r="AB61" s="13"/>
      <c r="AC61" s="13"/>
      <c r="AD61" s="9" t="s">
        <v>3</v>
      </c>
      <c r="AE61" s="9" t="s">
        <v>4</v>
      </c>
      <c r="AF61" s="9" t="s">
        <v>5</v>
      </c>
      <c r="AG61" s="9" t="s">
        <v>6</v>
      </c>
      <c r="AH61" s="9" t="s">
        <v>7</v>
      </c>
      <c r="AI61" s="9" t="s">
        <v>8</v>
      </c>
      <c r="AJ61" s="9" t="s">
        <v>9</v>
      </c>
      <c r="AK61" s="9" t="s">
        <v>10</v>
      </c>
      <c r="AL61" s="44" t="s">
        <v>139</v>
      </c>
    </row>
    <row r="62" spans="4:45" x14ac:dyDescent="0.35">
      <c r="D62" s="177">
        <v>6</v>
      </c>
      <c r="E62" s="157"/>
      <c r="F62" s="132">
        <v>88.367919999999998</v>
      </c>
      <c r="G62" s="132">
        <v>92.575249999999997</v>
      </c>
      <c r="H62" s="132">
        <f t="shared" si="37"/>
        <v>4.2073299999999989</v>
      </c>
      <c r="I62" s="132">
        <f t="shared" si="38"/>
        <v>9.664519999999996</v>
      </c>
      <c r="J62" s="132">
        <f t="shared" si="39"/>
        <v>0.30329984825383782</v>
      </c>
      <c r="K62" s="132">
        <f t="shared" si="40"/>
        <v>0.69670015174616218</v>
      </c>
      <c r="L62" s="132">
        <f t="shared" si="41"/>
        <v>0.23768042915578294</v>
      </c>
      <c r="M62" s="132">
        <f t="shared" si="42"/>
        <v>7.2088438095856022E-2</v>
      </c>
      <c r="N62" s="132">
        <f t="shared" si="43"/>
        <v>13.871849999999995</v>
      </c>
      <c r="O62" s="132">
        <v>24</v>
      </c>
      <c r="P62" s="157">
        <f t="shared" si="44"/>
        <v>5.7043302997387908</v>
      </c>
      <c r="Q62" s="85"/>
      <c r="Z62" s="297"/>
      <c r="AB62" s="13"/>
      <c r="AC62" s="49" t="s">
        <v>77</v>
      </c>
      <c r="AD62" s="13">
        <f>AVERAGE(AD44,AD47,AD49,AD51,AD54,AD56)</f>
        <v>3.4089350000000067</v>
      </c>
      <c r="AE62" s="13">
        <f t="shared" ref="AE62:AL62" si="45">AVERAGE(AE44,AE47,AE49,AE51,AE54,AE56)</f>
        <v>25.351359999999996</v>
      </c>
      <c r="AF62" s="13">
        <f t="shared" si="45"/>
        <v>0.13269489762989709</v>
      </c>
      <c r="AG62" s="13">
        <f t="shared" si="45"/>
        <v>0.86730510237010294</v>
      </c>
      <c r="AH62" s="13">
        <f t="shared" si="45"/>
        <v>0.29884406570299055</v>
      </c>
      <c r="AI62" s="13">
        <f t="shared" si="45"/>
        <v>3.9039204154072672E-2</v>
      </c>
      <c r="AJ62" s="13">
        <f t="shared" si="45"/>
        <v>28.760295000000003</v>
      </c>
      <c r="AK62" s="13">
        <f t="shared" si="45"/>
        <v>20.333333333333332</v>
      </c>
      <c r="AL62" s="13">
        <f t="shared" si="45"/>
        <v>5.9383516772857803</v>
      </c>
    </row>
    <row r="63" spans="4:45" x14ac:dyDescent="0.35">
      <c r="D63" s="177">
        <v>6</v>
      </c>
      <c r="E63" s="157"/>
      <c r="F63" s="132">
        <v>102.23976999999999</v>
      </c>
      <c r="G63" s="132">
        <v>105.0505</v>
      </c>
      <c r="H63" s="132">
        <f t="shared" si="37"/>
        <v>2.8107300000000066</v>
      </c>
      <c r="I63" s="132">
        <f t="shared" si="38"/>
        <v>11.900000000000006</v>
      </c>
      <c r="J63" s="132">
        <f t="shared" si="39"/>
        <v>0.19106665678725693</v>
      </c>
      <c r="K63" s="132">
        <f t="shared" si="40"/>
        <v>0.80893334321274302</v>
      </c>
      <c r="L63" s="132">
        <f t="shared" si="41"/>
        <v>0.35577945942868849</v>
      </c>
      <c r="M63" s="132">
        <f t="shared" si="42"/>
        <v>6.7977591866617032E-2</v>
      </c>
      <c r="N63" s="132">
        <f t="shared" si="43"/>
        <v>14.710730000000012</v>
      </c>
      <c r="O63" s="132">
        <v>16</v>
      </c>
      <c r="P63" s="157">
        <f t="shared" si="44"/>
        <v>5.6924713508590159</v>
      </c>
      <c r="Q63" s="85"/>
      <c r="Z63" s="293"/>
      <c r="AA63" s="104"/>
      <c r="AB63" s="13"/>
      <c r="AC63" s="49" t="s">
        <v>94</v>
      </c>
      <c r="AD63" s="2">
        <f>_xlfn.STDEV.S(AD44,AD47,AD49,AD51,AD54,AD56)</f>
        <v>0.50546190003797653</v>
      </c>
      <c r="AE63" s="2">
        <f t="shared" ref="AE63:AL63" si="46">_xlfn.STDEV.S(AE44,AE47,AE49,AE51,AE54,AE56)</f>
        <v>10.874058100525298</v>
      </c>
      <c r="AF63" s="2">
        <f t="shared" si="46"/>
        <v>4.7484834303568819E-2</v>
      </c>
      <c r="AG63" s="2">
        <f t="shared" si="46"/>
        <v>4.7484834303568833E-2</v>
      </c>
      <c r="AH63" s="2">
        <f t="shared" si="46"/>
        <v>4.4800519316441405E-2</v>
      </c>
      <c r="AI63" s="2">
        <f t="shared" si="46"/>
        <v>1.4364732056032996E-2</v>
      </c>
      <c r="AJ63" s="2">
        <f t="shared" si="46"/>
        <v>10.781620206630809</v>
      </c>
      <c r="AK63" s="2">
        <f t="shared" si="46"/>
        <v>4.8027769744874371</v>
      </c>
      <c r="AL63" s="2">
        <f t="shared" si="46"/>
        <v>0.90417646229973569</v>
      </c>
    </row>
    <row r="64" spans="4:45" x14ac:dyDescent="0.35">
      <c r="D64" s="177">
        <v>6</v>
      </c>
      <c r="E64" s="157"/>
      <c r="F64" s="132">
        <v>116.95050000000001</v>
      </c>
      <c r="G64" s="132">
        <v>119.74903</v>
      </c>
      <c r="H64" s="132">
        <f t="shared" si="37"/>
        <v>2.7985299999999995</v>
      </c>
      <c r="I64" s="132">
        <f t="shared" si="38"/>
        <v>23.673609999999996</v>
      </c>
      <c r="J64" s="132">
        <f t="shared" si="39"/>
        <v>0.10571604713483684</v>
      </c>
      <c r="K64" s="132">
        <f t="shared" si="40"/>
        <v>0.89428395286516316</v>
      </c>
      <c r="L64" s="132">
        <f t="shared" si="41"/>
        <v>0.35733045563206406</v>
      </c>
      <c r="M64" s="132">
        <f t="shared" si="42"/>
        <v>3.7775563290312009E-2</v>
      </c>
      <c r="N64" s="132">
        <f t="shared" si="43"/>
        <v>26.472139999999996</v>
      </c>
      <c r="O64" s="132">
        <v>18</v>
      </c>
      <c r="P64" s="157">
        <f t="shared" si="44"/>
        <v>6.4319482013771525</v>
      </c>
      <c r="Q64" s="85"/>
      <c r="Z64" s="293"/>
      <c r="AA64" s="104"/>
      <c r="AB64" s="13"/>
      <c r="AC64" s="49" t="s">
        <v>95</v>
      </c>
      <c r="AD64" s="2">
        <f>AD63/(SQRT(COUNT(AD44,AD47,AD49,AD51,AD54,AD56)))</f>
        <v>0.20635395658511996</v>
      </c>
      <c r="AE64" s="2">
        <f t="shared" ref="AE64:AL64" si="47">AE63/(SQRT(COUNT(AE44,AE47,AE49,AE51,AE54,AE56)))</f>
        <v>4.4393156299441747</v>
      </c>
      <c r="AF64" s="2">
        <f t="shared" si="47"/>
        <v>1.9385602427391773E-2</v>
      </c>
      <c r="AG64" s="2">
        <f t="shared" si="47"/>
        <v>1.9385602427391777E-2</v>
      </c>
      <c r="AH64" s="2">
        <f t="shared" si="47"/>
        <v>1.8289735422830477E-2</v>
      </c>
      <c r="AI64" s="2">
        <f t="shared" si="47"/>
        <v>5.8643773048469234E-3</v>
      </c>
      <c r="AJ64" s="2">
        <f t="shared" si="47"/>
        <v>4.4015780177876698</v>
      </c>
      <c r="AK64" s="2">
        <f t="shared" si="47"/>
        <v>1.9607254893137007</v>
      </c>
      <c r="AL64" s="2">
        <f t="shared" si="47"/>
        <v>0.36912849501153061</v>
      </c>
    </row>
    <row r="65" spans="4:40" x14ac:dyDescent="0.35">
      <c r="D65" s="177">
        <v>6</v>
      </c>
      <c r="E65" s="157"/>
      <c r="F65" s="157">
        <v>143.42264</v>
      </c>
      <c r="G65" s="157">
        <v>147.75163000000001</v>
      </c>
      <c r="H65" s="132">
        <f t="shared" si="37"/>
        <v>4.3289900000000046</v>
      </c>
      <c r="I65" s="132">
        <f t="shared" si="38"/>
        <v>8.6618899999999996</v>
      </c>
      <c r="J65" s="132">
        <f t="shared" si="39"/>
        <v>0.3332330065399729</v>
      </c>
      <c r="K65" s="132">
        <f t="shared" si="40"/>
        <v>0.6667669934600271</v>
      </c>
      <c r="L65" s="132">
        <f t="shared" si="41"/>
        <v>0.23100076461253063</v>
      </c>
      <c r="M65" s="132">
        <f t="shared" si="42"/>
        <v>7.6977079304866164E-2</v>
      </c>
      <c r="N65" s="132">
        <f t="shared" si="43"/>
        <v>12.990880000000004</v>
      </c>
      <c r="O65" s="132">
        <v>25</v>
      </c>
      <c r="P65" s="157">
        <f t="shared" si="44"/>
        <v>5.7750191153132659</v>
      </c>
      <c r="Q65" s="85"/>
      <c r="R65" t="s">
        <v>761</v>
      </c>
      <c r="S65" s="13"/>
      <c r="Z65" s="293"/>
      <c r="AB65" s="13"/>
      <c r="AC65" s="2"/>
      <c r="AD65" s="2"/>
      <c r="AE65" s="2"/>
      <c r="AF65" s="2"/>
      <c r="AG65" s="2"/>
      <c r="AH65" s="2"/>
      <c r="AI65" s="2"/>
      <c r="AJ65" s="2"/>
      <c r="AK65" s="2"/>
    </row>
    <row r="66" spans="4:40" x14ac:dyDescent="0.35">
      <c r="D66" s="172">
        <v>0</v>
      </c>
      <c r="E66" s="85"/>
      <c r="F66">
        <v>156.41352000000001</v>
      </c>
      <c r="G66">
        <v>159.97290000000001</v>
      </c>
      <c r="H66" s="13">
        <f t="shared" si="37"/>
        <v>3.5593800000000044</v>
      </c>
      <c r="I66" s="13">
        <f t="shared" si="38"/>
        <v>18.991879999999981</v>
      </c>
      <c r="J66" s="13">
        <f t="shared" si="39"/>
        <v>0.15783508327250925</v>
      </c>
      <c r="K66" s="13">
        <f t="shared" si="40"/>
        <v>0.84216491672749072</v>
      </c>
      <c r="L66" s="13">
        <f t="shared" si="41"/>
        <v>0.28094780551669074</v>
      </c>
      <c r="M66" s="13">
        <f t="shared" si="42"/>
        <v>4.4343420278955617E-2</v>
      </c>
      <c r="N66" s="13">
        <f t="shared" si="43"/>
        <v>22.551259999999985</v>
      </c>
      <c r="O66" s="13">
        <v>20</v>
      </c>
      <c r="P66" s="85">
        <f t="shared" si="44"/>
        <v>5.6189561103338148</v>
      </c>
      <c r="Q66" s="85"/>
      <c r="S66" s="13"/>
      <c r="Z66" s="293"/>
      <c r="AB66" s="13"/>
      <c r="AC66" s="2"/>
      <c r="AD66" s="2"/>
      <c r="AE66" s="2"/>
      <c r="AF66" s="2"/>
      <c r="AG66" s="2"/>
      <c r="AH66" s="2"/>
      <c r="AI66" s="2"/>
      <c r="AJ66" s="2"/>
      <c r="AK66" s="2"/>
    </row>
    <row r="67" spans="4:40" x14ac:dyDescent="0.35">
      <c r="D67" s="177">
        <v>6</v>
      </c>
      <c r="E67" s="157"/>
      <c r="F67" s="157">
        <v>178.96477999999999</v>
      </c>
      <c r="G67" s="157">
        <v>183.47835000000001</v>
      </c>
      <c r="H67" s="132">
        <f t="shared" si="37"/>
        <v>4.5135700000000156</v>
      </c>
      <c r="I67" s="132">
        <f t="shared" si="38"/>
        <v>10.805519999999973</v>
      </c>
      <c r="J67" s="132">
        <f t="shared" si="39"/>
        <v>0.29463695297827869</v>
      </c>
      <c r="K67" s="132">
        <f t="shared" si="40"/>
        <v>0.70536304702172137</v>
      </c>
      <c r="L67" s="132">
        <f t="shared" si="41"/>
        <v>0.22155411348444723</v>
      </c>
      <c r="M67" s="132">
        <f t="shared" si="42"/>
        <v>6.5278028916861297E-2</v>
      </c>
      <c r="N67" s="132">
        <f t="shared" si="43"/>
        <v>15.319089999999989</v>
      </c>
      <c r="O67" s="132">
        <v>27</v>
      </c>
      <c r="P67" s="157">
        <f t="shared" si="44"/>
        <v>5.9819610640800756</v>
      </c>
      <c r="Q67" s="85"/>
      <c r="S67" s="13"/>
      <c r="Z67" s="293"/>
      <c r="AB67" s="13"/>
      <c r="AC67" s="2"/>
      <c r="AD67" s="2"/>
      <c r="AE67" s="2"/>
      <c r="AF67" s="2"/>
      <c r="AG67" s="2"/>
      <c r="AH67" s="2"/>
      <c r="AI67" s="2"/>
      <c r="AJ67" s="2"/>
      <c r="AK67" s="2"/>
    </row>
    <row r="68" spans="4:40" ht="16" thickBot="1" x14ac:dyDescent="0.4">
      <c r="D68" s="177">
        <v>6</v>
      </c>
      <c r="E68" s="157"/>
      <c r="F68" s="157">
        <v>194.28386999999998</v>
      </c>
      <c r="G68" s="157">
        <v>198.01682</v>
      </c>
      <c r="H68" s="132">
        <f t="shared" si="37"/>
        <v>3.7329500000000166</v>
      </c>
      <c r="I68" s="132">
        <f t="shared" si="38"/>
        <v>11.306010000000015</v>
      </c>
      <c r="J68" s="132">
        <f t="shared" si="39"/>
        <v>0.24821862681994025</v>
      </c>
      <c r="K68" s="132">
        <f t="shared" si="40"/>
        <v>0.75178137318005978</v>
      </c>
      <c r="L68" s="132">
        <f t="shared" si="41"/>
        <v>0.26788464887019531</v>
      </c>
      <c r="M68" s="132">
        <f t="shared" si="42"/>
        <v>6.649395968870174E-2</v>
      </c>
      <c r="N68" s="132">
        <f t="shared" si="43"/>
        <v>15.038960000000031</v>
      </c>
      <c r="O68" s="132">
        <v>20</v>
      </c>
      <c r="P68" s="157">
        <f t="shared" si="44"/>
        <v>5.3576929774039064</v>
      </c>
      <c r="Q68" s="85"/>
      <c r="S68" s="13"/>
      <c r="Z68" s="293"/>
      <c r="AA68" s="104" t="s">
        <v>410</v>
      </c>
      <c r="AB68" s="13"/>
      <c r="AC68" s="13"/>
      <c r="AD68" s="9" t="s">
        <v>3</v>
      </c>
      <c r="AE68" s="9" t="s">
        <v>4</v>
      </c>
      <c r="AF68" s="9" t="s">
        <v>5</v>
      </c>
      <c r="AG68" s="9" t="s">
        <v>6</v>
      </c>
      <c r="AH68" s="9" t="s">
        <v>7</v>
      </c>
      <c r="AI68" s="9" t="s">
        <v>8</v>
      </c>
      <c r="AJ68" s="9" t="s">
        <v>9</v>
      </c>
      <c r="AK68" s="9" t="s">
        <v>10</v>
      </c>
      <c r="AL68" s="44" t="s">
        <v>139</v>
      </c>
    </row>
    <row r="69" spans="4:40" x14ac:dyDescent="0.35">
      <c r="D69" s="172">
        <v>0</v>
      </c>
      <c r="E69" s="85"/>
      <c r="F69">
        <v>209.32283000000001</v>
      </c>
      <c r="G69">
        <v>213.04136</v>
      </c>
      <c r="H69" s="13">
        <f t="shared" si="37"/>
        <v>3.718529999999987</v>
      </c>
      <c r="I69" s="13">
        <f t="shared" si="38"/>
        <v>25.293869999999998</v>
      </c>
      <c r="J69" s="13">
        <f t="shared" si="39"/>
        <v>0.12817036853207556</v>
      </c>
      <c r="K69" s="13">
        <f t="shared" si="40"/>
        <v>0.87182963146792447</v>
      </c>
      <c r="L69" s="13">
        <f t="shared" si="41"/>
        <v>0.26892347244744658</v>
      </c>
      <c r="M69" s="13">
        <f t="shared" si="42"/>
        <v>3.4468020570514693E-2</v>
      </c>
      <c r="N69" s="13">
        <f t="shared" si="43"/>
        <v>29.012399999999985</v>
      </c>
      <c r="O69" s="13">
        <v>21</v>
      </c>
      <c r="P69" s="85">
        <f t="shared" si="44"/>
        <v>5.6473929213963778</v>
      </c>
      <c r="Q69" s="85"/>
      <c r="S69" s="13"/>
      <c r="Z69" s="293"/>
      <c r="AB69" s="13"/>
      <c r="AC69" s="49" t="s">
        <v>77</v>
      </c>
      <c r="AD69" s="13">
        <f>AVERAGE(AD45:AD46,AD48,AD50,AD52:AD53,AD55,AD57)</f>
        <v>3.7858824999999987</v>
      </c>
      <c r="AE69" s="13">
        <f t="shared" ref="AE69:AL69" si="48">AVERAGE(AE45:AE46,AE48,AE50,AE52:AE53,AE55,AE57)</f>
        <v>14.782472500000001</v>
      </c>
      <c r="AF69" s="13">
        <f t="shared" si="48"/>
        <v>0.21050658465396255</v>
      </c>
      <c r="AG69" s="13">
        <f t="shared" si="48"/>
        <v>0.78949341534603745</v>
      </c>
      <c r="AH69" s="13">
        <f t="shared" si="48"/>
        <v>0.2797442840000407</v>
      </c>
      <c r="AI69" s="13">
        <f t="shared" si="48"/>
        <v>5.8035301685788826E-2</v>
      </c>
      <c r="AJ69" s="13">
        <f t="shared" si="48"/>
        <v>18.568355</v>
      </c>
      <c r="AK69" s="13">
        <f t="shared" si="48"/>
        <v>22.625</v>
      </c>
      <c r="AL69" s="13">
        <f t="shared" si="48"/>
        <v>6.0532611132395342</v>
      </c>
    </row>
    <row r="70" spans="4:40" x14ac:dyDescent="0.35">
      <c r="D70" s="177">
        <v>6</v>
      </c>
      <c r="E70" s="157"/>
      <c r="F70" s="157">
        <v>238.33523</v>
      </c>
      <c r="G70" s="157">
        <v>242.19502</v>
      </c>
      <c r="H70" s="132">
        <f t="shared" si="37"/>
        <v>3.8597900000000038</v>
      </c>
      <c r="I70" s="132">
        <f t="shared" si="38"/>
        <v>14.605500000000006</v>
      </c>
      <c r="J70" s="132">
        <f t="shared" si="39"/>
        <v>0.20902948180071917</v>
      </c>
      <c r="K70" s="132">
        <f t="shared" si="40"/>
        <v>0.79097051819928088</v>
      </c>
      <c r="L70" s="132">
        <f t="shared" si="41"/>
        <v>0.25908145261788829</v>
      </c>
      <c r="M70" s="132">
        <f t="shared" si="42"/>
        <v>5.4155661784894768E-2</v>
      </c>
      <c r="N70" s="132">
        <f t="shared" si="43"/>
        <v>18.46529000000001</v>
      </c>
      <c r="O70" s="132">
        <v>13</v>
      </c>
      <c r="P70" s="157">
        <f t="shared" si="44"/>
        <v>3.3680588840325476</v>
      </c>
      <c r="Q70" s="85"/>
      <c r="S70" s="13"/>
      <c r="Z70" s="293"/>
      <c r="AA70" s="104"/>
      <c r="AB70" s="13"/>
      <c r="AC70" s="49" t="s">
        <v>94</v>
      </c>
      <c r="AD70" s="2">
        <f>_xlfn.STDEV.S(AD45:AD46,AD48,AD50,AD52:AD53,AD55,AD57)</f>
        <v>0.86555538704925916</v>
      </c>
      <c r="AE70" s="2">
        <f t="shared" ref="AE70:AL70" si="49">_xlfn.STDEV.S(AE45:AE46,AE48,AE50,AE52:AE53,AE55,AE57)</f>
        <v>4.8005915609544507</v>
      </c>
      <c r="AF70" s="2">
        <f t="shared" si="49"/>
        <v>4.8775519629103523E-2</v>
      </c>
      <c r="AG70" s="2">
        <f t="shared" si="49"/>
        <v>4.8775519629103564E-2</v>
      </c>
      <c r="AH70" s="2">
        <f t="shared" si="49"/>
        <v>7.8974252058160457E-2</v>
      </c>
      <c r="AI70" s="2">
        <f t="shared" si="49"/>
        <v>1.6654777396701043E-2</v>
      </c>
      <c r="AJ70" s="2">
        <f t="shared" si="49"/>
        <v>5.3570619650726927</v>
      </c>
      <c r="AK70" s="2">
        <f t="shared" si="49"/>
        <v>5.5789784011053491</v>
      </c>
      <c r="AL70" s="2">
        <f t="shared" si="49"/>
        <v>1.0934945725555176</v>
      </c>
    </row>
    <row r="71" spans="4:40" x14ac:dyDescent="0.35">
      <c r="D71" s="177">
        <v>6</v>
      </c>
      <c r="E71" s="157"/>
      <c r="F71" s="132">
        <v>256.80052000000001</v>
      </c>
      <c r="G71" s="132">
        <v>260.57283000000001</v>
      </c>
      <c r="H71" s="132">
        <f t="shared" si="37"/>
        <v>3.7723100000000045</v>
      </c>
      <c r="I71" s="132">
        <f t="shared" si="38"/>
        <v>14.367079999999987</v>
      </c>
      <c r="J71" s="132">
        <f t="shared" si="39"/>
        <v>0.20796234051972012</v>
      </c>
      <c r="K71" s="132">
        <f t="shared" si="40"/>
        <v>0.79203765948027982</v>
      </c>
      <c r="L71" s="132">
        <f t="shared" si="41"/>
        <v>0.2650895605080173</v>
      </c>
      <c r="M71" s="132">
        <f t="shared" si="42"/>
        <v>5.5128645450591256E-2</v>
      </c>
      <c r="N71" s="132">
        <f t="shared" si="43"/>
        <v>18.139389999999992</v>
      </c>
      <c r="O71" s="132">
        <v>30</v>
      </c>
      <c r="P71" s="157">
        <f t="shared" si="44"/>
        <v>7.9526868152405195</v>
      </c>
      <c r="Q71" s="85"/>
      <c r="R71" t="s">
        <v>762</v>
      </c>
      <c r="Z71" s="293"/>
      <c r="AA71" s="104"/>
      <c r="AB71" s="13"/>
      <c r="AC71" s="49" t="s">
        <v>95</v>
      </c>
      <c r="AD71" s="2">
        <f>AD70/(SQRT(COUNT(AD45:AD46,AD48,AD50,AD52:AD53,AD55,AD57)))</f>
        <v>0.30602004183753895</v>
      </c>
      <c r="AE71" s="2">
        <f t="shared" ref="AE71:AL71" si="50">AE70/(SQRT(COUNT(AE45:AE46,AE48,AE50,AE52:AE53,AE55,AE57)))</f>
        <v>1.6972654232289026</v>
      </c>
      <c r="AF71" s="2">
        <f t="shared" si="50"/>
        <v>1.7244750342818329E-2</v>
      </c>
      <c r="AG71" s="2">
        <f t="shared" si="50"/>
        <v>1.7244750342818343E-2</v>
      </c>
      <c r="AH71" s="2">
        <f t="shared" si="50"/>
        <v>2.7921614584730456E-2</v>
      </c>
      <c r="AI71" s="2">
        <f t="shared" si="50"/>
        <v>5.8883530181798706E-3</v>
      </c>
      <c r="AJ71" s="2">
        <f t="shared" si="50"/>
        <v>1.8940074213697162</v>
      </c>
      <c r="AK71" s="2">
        <f t="shared" si="50"/>
        <v>1.9724667297574374</v>
      </c>
      <c r="AL71" s="2">
        <f t="shared" si="50"/>
        <v>0.38660871372234584</v>
      </c>
    </row>
    <row r="72" spans="4:40" x14ac:dyDescent="0.35">
      <c r="D72" s="177">
        <v>6</v>
      </c>
      <c r="E72" s="157"/>
      <c r="F72" s="132">
        <v>274.93991</v>
      </c>
      <c r="G72" s="132">
        <v>278.74043999999998</v>
      </c>
      <c r="H72" s="132">
        <f t="shared" si="37"/>
        <v>3.8005299999999806</v>
      </c>
      <c r="I72" s="132">
        <f t="shared" si="38"/>
        <v>11.629800000000046</v>
      </c>
      <c r="J72" s="132">
        <f t="shared" si="39"/>
        <v>0.24630257421584464</v>
      </c>
      <c r="K72" s="132">
        <f t="shared" si="40"/>
        <v>0.75369742578415533</v>
      </c>
      <c r="L72" s="132">
        <f t="shared" si="41"/>
        <v>0.26312119625420799</v>
      </c>
      <c r="M72" s="132">
        <f t="shared" si="42"/>
        <v>6.4807427968163883E-2</v>
      </c>
      <c r="N72" s="132">
        <f t="shared" si="43"/>
        <v>15.430330000000026</v>
      </c>
      <c r="O72" s="132">
        <v>72</v>
      </c>
      <c r="P72" s="157">
        <f t="shared" si="44"/>
        <v>18.944726130302975</v>
      </c>
      <c r="Q72" s="85"/>
      <c r="Z72" s="293"/>
    </row>
    <row r="73" spans="4:40" x14ac:dyDescent="0.35">
      <c r="D73" s="177">
        <v>6</v>
      </c>
      <c r="E73" s="157"/>
      <c r="F73" s="132">
        <v>290.37024000000002</v>
      </c>
      <c r="G73" s="132">
        <v>293.09818999999999</v>
      </c>
      <c r="H73" s="132">
        <f t="shared" si="37"/>
        <v>2.7279499999999643</v>
      </c>
      <c r="I73" s="132">
        <f t="shared" si="38"/>
        <v>13.375749999999982</v>
      </c>
      <c r="J73" s="132">
        <f t="shared" si="39"/>
        <v>0.16939895800343854</v>
      </c>
      <c r="K73" s="132">
        <f t="shared" si="40"/>
        <v>0.83060104199656148</v>
      </c>
      <c r="L73" s="132">
        <f t="shared" si="41"/>
        <v>0.36657563371763158</v>
      </c>
      <c r="M73" s="132">
        <f t="shared" si="42"/>
        <v>6.2097530381216945E-2</v>
      </c>
      <c r="N73" s="132">
        <f t="shared" si="43"/>
        <v>16.103699999999947</v>
      </c>
      <c r="O73" s="132">
        <v>67</v>
      </c>
      <c r="P73" s="157">
        <f t="shared" si="44"/>
        <v>24.560567459081316</v>
      </c>
      <c r="Q73" s="85"/>
      <c r="Z73" s="293"/>
      <c r="AA73" s="104"/>
    </row>
    <row r="74" spans="4:40" x14ac:dyDescent="0.35">
      <c r="D74" s="177">
        <v>6</v>
      </c>
      <c r="E74" s="157"/>
      <c r="F74" s="132">
        <v>306.47393999999997</v>
      </c>
      <c r="G74" s="132">
        <v>309.79919999999998</v>
      </c>
      <c r="H74" s="132">
        <f t="shared" si="37"/>
        <v>3.3252600000000143</v>
      </c>
      <c r="I74" s="132">
        <f t="shared" si="38"/>
        <v>15.761710000000051</v>
      </c>
      <c r="J74" s="132">
        <f t="shared" si="39"/>
        <v>0.17421623233022335</v>
      </c>
      <c r="K74" s="132">
        <f t="shared" si="40"/>
        <v>0.82578376766977668</v>
      </c>
      <c r="L74" s="132">
        <f t="shared" si="41"/>
        <v>0.3007283640978437</v>
      </c>
      <c r="M74" s="132">
        <f t="shared" si="42"/>
        <v>5.239176254795793E-2</v>
      </c>
      <c r="N74" s="132">
        <f t="shared" si="43"/>
        <v>19.086970000000065</v>
      </c>
      <c r="O74" s="132">
        <v>47</v>
      </c>
      <c r="P74" s="157">
        <f t="shared" si="44"/>
        <v>14.134233112598654</v>
      </c>
      <c r="Q74" s="85"/>
      <c r="Z74" s="293"/>
    </row>
    <row r="75" spans="4:40" x14ac:dyDescent="0.35">
      <c r="D75" s="177">
        <v>6</v>
      </c>
      <c r="E75" s="157"/>
      <c r="F75" s="132">
        <v>325.56091000000004</v>
      </c>
      <c r="G75" s="132">
        <v>329.24779999999998</v>
      </c>
      <c r="H75" s="132">
        <f t="shared" si="37"/>
        <v>3.6868899999999485</v>
      </c>
      <c r="I75" s="132">
        <f t="shared" si="38"/>
        <v>15.855720000000019</v>
      </c>
      <c r="J75" s="132">
        <f t="shared" si="39"/>
        <v>0.1886590378664853</v>
      </c>
      <c r="K75" s="132">
        <f t="shared" si="40"/>
        <v>0.8113409621335147</v>
      </c>
      <c r="L75" s="132">
        <f t="shared" si="41"/>
        <v>0.27123130877243801</v>
      </c>
      <c r="M75" s="132">
        <f t="shared" si="42"/>
        <v>5.1170237752275756E-2</v>
      </c>
      <c r="N75" s="132">
        <f t="shared" si="43"/>
        <v>19.542609999999968</v>
      </c>
      <c r="O75" s="132">
        <v>56</v>
      </c>
      <c r="P75" s="157">
        <f t="shared" si="44"/>
        <v>15.188953291256528</v>
      </c>
      <c r="Q75" s="85"/>
      <c r="Z75" s="293"/>
    </row>
    <row r="76" spans="4:40" ht="15.5" x14ac:dyDescent="0.35">
      <c r="D76" s="172">
        <v>6</v>
      </c>
      <c r="E76" s="85"/>
      <c r="F76" s="13">
        <v>345.10352</v>
      </c>
      <c r="G76" s="13">
        <v>348.86680999999999</v>
      </c>
      <c r="H76" s="13">
        <f t="shared" si="37"/>
        <v>3.7632899999999836</v>
      </c>
      <c r="I76" s="13"/>
      <c r="J76" s="13"/>
      <c r="K76" s="13"/>
      <c r="L76" s="13"/>
      <c r="M76" s="13"/>
      <c r="N76" s="13"/>
      <c r="O76" s="13"/>
      <c r="P76" s="85"/>
      <c r="Q76" s="85"/>
      <c r="Z76" s="293"/>
      <c r="AA76" s="104"/>
      <c r="AB76" s="13"/>
      <c r="AC76" s="13"/>
      <c r="AD76" s="5"/>
      <c r="AE76" s="5"/>
      <c r="AF76" s="5"/>
      <c r="AG76" s="5"/>
      <c r="AH76" s="5"/>
      <c r="AI76" s="5"/>
      <c r="AJ76" s="5"/>
      <c r="AK76" s="5"/>
      <c r="AL76" s="14"/>
      <c r="AM76" s="2"/>
      <c r="AN76" s="2"/>
    </row>
    <row r="77" spans="4:40" x14ac:dyDescent="0.35">
      <c r="D77" s="172">
        <v>6</v>
      </c>
      <c r="E77" s="85"/>
      <c r="F77" s="13"/>
      <c r="G77" s="13"/>
      <c r="H77" s="13"/>
      <c r="I77" s="13"/>
      <c r="J77" s="13"/>
      <c r="K77" s="13"/>
      <c r="L77" s="13"/>
      <c r="M77" s="13"/>
      <c r="N77" s="13"/>
      <c r="O77" s="13"/>
      <c r="P77" s="85"/>
      <c r="Q77" s="85"/>
      <c r="Z77" s="293"/>
      <c r="AB77" s="13"/>
      <c r="AC77" s="49"/>
      <c r="AD77" s="13"/>
      <c r="AE77" s="13"/>
      <c r="AF77" s="13"/>
      <c r="AG77" s="13"/>
      <c r="AH77" s="13"/>
      <c r="AI77" s="13"/>
      <c r="AJ77" s="13"/>
      <c r="AK77" s="13"/>
      <c r="AL77" s="13"/>
      <c r="AM77" s="2"/>
      <c r="AN77" s="2"/>
    </row>
    <row r="78" spans="4:40" x14ac:dyDescent="0.35">
      <c r="D78" s="177">
        <v>6</v>
      </c>
      <c r="E78" s="157"/>
      <c r="F78" s="132">
        <v>3.1390000000000001E-2</v>
      </c>
      <c r="G78" s="132">
        <v>3.1358000000000001</v>
      </c>
      <c r="H78" s="132">
        <f t="shared" si="37"/>
        <v>3.1044100000000001</v>
      </c>
      <c r="I78" s="132">
        <f t="shared" si="38"/>
        <v>2.2223399999999995</v>
      </c>
      <c r="J78" s="132">
        <f t="shared" si="39"/>
        <v>0.58279626413854613</v>
      </c>
      <c r="K78" s="132">
        <f t="shared" si="40"/>
        <v>0.41720373586145393</v>
      </c>
      <c r="L78" s="132">
        <f t="shared" si="41"/>
        <v>0.32212240006957843</v>
      </c>
      <c r="M78" s="132">
        <f t="shared" si="42"/>
        <v>0.18773173135589244</v>
      </c>
      <c r="N78" s="132">
        <f t="shared" si="43"/>
        <v>5.3267499999999997</v>
      </c>
      <c r="O78" s="132">
        <v>66</v>
      </c>
      <c r="P78" s="157">
        <f t="shared" si="44"/>
        <v>21.260078404592175</v>
      </c>
      <c r="Q78" s="85"/>
      <c r="R78" t="s">
        <v>763</v>
      </c>
      <c r="Z78" s="293"/>
      <c r="AA78" s="104"/>
      <c r="AB78" s="13"/>
      <c r="AC78" s="49"/>
      <c r="AD78" s="2"/>
      <c r="AE78" s="2"/>
      <c r="AF78" s="2"/>
      <c r="AG78" s="2"/>
      <c r="AH78" s="2"/>
      <c r="AI78" s="2"/>
      <c r="AJ78" s="2"/>
      <c r="AK78" s="2"/>
      <c r="AL78" s="2"/>
      <c r="AM78" s="2"/>
      <c r="AN78" s="2"/>
    </row>
    <row r="79" spans="4:40" x14ac:dyDescent="0.35">
      <c r="D79" s="177">
        <v>6</v>
      </c>
      <c r="E79" s="157"/>
      <c r="F79" s="132">
        <v>5.3581399999999997</v>
      </c>
      <c r="G79" s="132">
        <v>6.6767200000000004</v>
      </c>
      <c r="H79" s="132">
        <f t="shared" si="37"/>
        <v>1.3185800000000008</v>
      </c>
      <c r="I79" s="132">
        <f t="shared" si="38"/>
        <v>7.1315699999999991</v>
      </c>
      <c r="J79" s="132">
        <f t="shared" si="39"/>
        <v>0.15604220043431188</v>
      </c>
      <c r="K79" s="132">
        <f t="shared" si="40"/>
        <v>0.84395779956568795</v>
      </c>
      <c r="L79" s="132">
        <f t="shared" si="41"/>
        <v>0.75839160308817022</v>
      </c>
      <c r="M79" s="132">
        <f t="shared" si="42"/>
        <v>0.11834109453678336</v>
      </c>
      <c r="N79" s="132">
        <f t="shared" si="43"/>
        <v>8.4501500000000007</v>
      </c>
      <c r="O79" s="132">
        <v>16</v>
      </c>
      <c r="P79" s="157">
        <f t="shared" si="44"/>
        <v>12.134265649410723</v>
      </c>
      <c r="Q79" s="85"/>
      <c r="Z79" s="293"/>
      <c r="AA79" s="104"/>
      <c r="AB79" s="13"/>
      <c r="AC79" s="49"/>
      <c r="AD79" s="2"/>
      <c r="AE79" s="2"/>
      <c r="AF79" s="2"/>
      <c r="AG79" s="2"/>
      <c r="AH79" s="2"/>
      <c r="AI79" s="2"/>
      <c r="AJ79" s="2"/>
      <c r="AK79" s="2"/>
      <c r="AL79" s="2"/>
      <c r="AM79" s="2"/>
      <c r="AN79" s="2"/>
    </row>
    <row r="80" spans="4:40" x14ac:dyDescent="0.35">
      <c r="D80" s="177">
        <v>6</v>
      </c>
      <c r="E80" s="157"/>
      <c r="F80" s="132">
        <v>13.80829</v>
      </c>
      <c r="G80" s="132">
        <v>15.10422</v>
      </c>
      <c r="H80" s="132">
        <f t="shared" si="37"/>
        <v>1.2959300000000002</v>
      </c>
      <c r="I80" s="132">
        <f t="shared" si="38"/>
        <v>8.5655300000000008</v>
      </c>
      <c r="J80" s="132">
        <f t="shared" si="39"/>
        <v>0.13141360407079683</v>
      </c>
      <c r="K80" s="132">
        <f t="shared" si="40"/>
        <v>0.86858639592920317</v>
      </c>
      <c r="L80" s="132">
        <f t="shared" si="41"/>
        <v>0.77164661671540891</v>
      </c>
      <c r="M80" s="132">
        <f t="shared" si="42"/>
        <v>0.10140486297160865</v>
      </c>
      <c r="N80" s="132">
        <f t="shared" si="43"/>
        <v>9.861460000000001</v>
      </c>
      <c r="O80" s="132">
        <v>11</v>
      </c>
      <c r="P80" s="157">
        <f t="shared" si="44"/>
        <v>8.4881127838694983</v>
      </c>
      <c r="Q80" s="85"/>
      <c r="Z80" s="293"/>
      <c r="AB80" s="13"/>
      <c r="AC80" s="2"/>
      <c r="AD80" s="2"/>
      <c r="AE80" s="2"/>
      <c r="AF80" s="2"/>
      <c r="AG80" s="2"/>
      <c r="AH80" s="2"/>
      <c r="AI80" s="2"/>
      <c r="AJ80" s="2"/>
      <c r="AK80" s="2"/>
    </row>
    <row r="81" spans="4:40" ht="18.5" x14ac:dyDescent="0.45">
      <c r="D81" s="177">
        <v>6</v>
      </c>
      <c r="E81" s="157"/>
      <c r="F81" s="132">
        <v>23.669750000000001</v>
      </c>
      <c r="G81" s="132">
        <v>25.229849999999999</v>
      </c>
      <c r="H81" s="132">
        <f t="shared" si="37"/>
        <v>1.5600999999999985</v>
      </c>
      <c r="I81" s="132">
        <f t="shared" si="38"/>
        <v>2.9636700000000005</v>
      </c>
      <c r="J81" s="132">
        <f t="shared" si="39"/>
        <v>0.34486722357679522</v>
      </c>
      <c r="K81" s="132">
        <f t="shared" si="40"/>
        <v>0.65513277642320478</v>
      </c>
      <c r="L81" s="132">
        <f t="shared" si="41"/>
        <v>0.6409845522722909</v>
      </c>
      <c r="M81" s="132">
        <f t="shared" si="42"/>
        <v>0.2210545628977601</v>
      </c>
      <c r="N81" s="132">
        <f t="shared" si="43"/>
        <v>4.523769999999999</v>
      </c>
      <c r="O81" s="132">
        <v>17</v>
      </c>
      <c r="P81" s="157">
        <f t="shared" si="44"/>
        <v>10.896737388628944</v>
      </c>
      <c r="Q81" s="85"/>
      <c r="AB81" s="1" t="s">
        <v>741</v>
      </c>
      <c r="AC81" s="3"/>
      <c r="AD81" s="3"/>
      <c r="AE81" s="3"/>
      <c r="AF81" s="3"/>
      <c r="AG81" s="3"/>
      <c r="AH81" s="3"/>
      <c r="AI81" s="3"/>
      <c r="AJ81" s="3"/>
      <c r="AK81" s="3"/>
    </row>
    <row r="82" spans="4:40" ht="16" thickBot="1" x14ac:dyDescent="0.4">
      <c r="D82" s="177">
        <v>6</v>
      </c>
      <c r="E82" s="157"/>
      <c r="F82" s="132">
        <v>28.193519999999999</v>
      </c>
      <c r="G82" s="132">
        <v>29.533359999999998</v>
      </c>
      <c r="H82" s="132">
        <f t="shared" ref="H82:H90" si="51">G82-F82</f>
        <v>1.3398399999999988</v>
      </c>
      <c r="I82" s="132">
        <f t="shared" ref="I82:I89" si="52">F83-G82</f>
        <v>7.5522000000000027</v>
      </c>
      <c r="J82" s="132">
        <f t="shared" ref="J82:J89" si="53">H82/N82</f>
        <v>0.15067858444181523</v>
      </c>
      <c r="K82" s="132">
        <f t="shared" ref="K82:K89" si="54">I82/N82</f>
        <v>0.84932141555818474</v>
      </c>
      <c r="L82" s="132">
        <f t="shared" ref="L82:L89" si="55">1/H82</f>
        <v>0.74635777406257531</v>
      </c>
      <c r="M82" s="132">
        <f t="shared" ref="M82:M89" si="56">1/N82</f>
        <v>0.112460132882893</v>
      </c>
      <c r="N82" s="132">
        <f t="shared" ref="N82:N89" si="57">H82+I82</f>
        <v>8.8920400000000015</v>
      </c>
      <c r="O82" s="132">
        <v>17</v>
      </c>
      <c r="P82" s="157">
        <f t="shared" si="44"/>
        <v>12.68808215906378</v>
      </c>
      <c r="Q82" s="85"/>
      <c r="Z82" s="204" t="s">
        <v>406</v>
      </c>
      <c r="AB82" s="9" t="s">
        <v>1</v>
      </c>
      <c r="AC82" s="9" t="s">
        <v>2</v>
      </c>
      <c r="AD82" s="9" t="s">
        <v>3</v>
      </c>
      <c r="AE82" s="9" t="s">
        <v>4</v>
      </c>
      <c r="AF82" s="9" t="s">
        <v>5</v>
      </c>
      <c r="AG82" s="9" t="s">
        <v>6</v>
      </c>
      <c r="AH82" s="9" t="s">
        <v>7</v>
      </c>
      <c r="AI82" s="9" t="s">
        <v>8</v>
      </c>
      <c r="AJ82" s="9" t="s">
        <v>9</v>
      </c>
      <c r="AK82" s="9" t="s">
        <v>10</v>
      </c>
      <c r="AL82" s="44" t="s">
        <v>139</v>
      </c>
      <c r="AN82" s="44" t="s">
        <v>138</v>
      </c>
    </row>
    <row r="83" spans="4:40" x14ac:dyDescent="0.35">
      <c r="D83" s="177">
        <v>6</v>
      </c>
      <c r="E83" s="157"/>
      <c r="F83" s="132">
        <v>37.085560000000001</v>
      </c>
      <c r="G83" s="132">
        <v>39.98028</v>
      </c>
      <c r="H83" s="132">
        <f t="shared" si="51"/>
        <v>2.8947199999999995</v>
      </c>
      <c r="I83" s="132">
        <f t="shared" si="52"/>
        <v>9.6849199999999982</v>
      </c>
      <c r="J83" s="132">
        <f t="shared" si="53"/>
        <v>0.23011151352502934</v>
      </c>
      <c r="K83" s="132">
        <f t="shared" si="54"/>
        <v>0.76988848647497066</v>
      </c>
      <c r="L83" s="132">
        <f t="shared" si="55"/>
        <v>0.34545655538359504</v>
      </c>
      <c r="M83" s="132">
        <f t="shared" si="56"/>
        <v>7.9493530816462168E-2</v>
      </c>
      <c r="N83" s="132">
        <f t="shared" si="57"/>
        <v>12.579639999999998</v>
      </c>
      <c r="O83" s="132">
        <v>9</v>
      </c>
      <c r="P83" s="157">
        <f t="shared" si="44"/>
        <v>3.109108998452355</v>
      </c>
      <c r="Q83" s="85"/>
      <c r="Z83" s="297">
        <v>-2</v>
      </c>
      <c r="AB83" s="13">
        <v>10.85833</v>
      </c>
      <c r="AC83" s="2">
        <v>13.919169999999999</v>
      </c>
      <c r="AD83" s="2">
        <f t="shared" ref="AD83:AD101" si="58">AC83-AB83</f>
        <v>3.0608399999999989</v>
      </c>
      <c r="AE83" s="2">
        <f t="shared" ref="AE83:AE100" si="59">AB84-AC83</f>
        <v>9.7721600000000013</v>
      </c>
      <c r="AF83" s="2">
        <f t="shared" ref="AF83:AF100" si="60">AD83/AJ83</f>
        <v>0.23851320813527616</v>
      </c>
      <c r="AG83" s="2">
        <f t="shared" ref="AG83:AG100" si="61">AE83/AJ83</f>
        <v>0.7614867918647239</v>
      </c>
      <c r="AH83" s="2">
        <f t="shared" ref="AH83:AH100" si="62">1/AD83</f>
        <v>0.32670770115393172</v>
      </c>
      <c r="AI83" s="2">
        <f t="shared" ref="AI83:AI100" si="63">1/AJ83</f>
        <v>7.792410192472532E-2</v>
      </c>
      <c r="AJ83" s="2">
        <f t="shared" ref="AJ83:AJ100" si="64">AD83+AE83</f>
        <v>12.833</v>
      </c>
      <c r="AK83" s="2">
        <v>15</v>
      </c>
      <c r="AL83">
        <f t="shared" ref="AL83:AL100" si="65">AK83/AD83</f>
        <v>4.9006155173089754</v>
      </c>
      <c r="AN83" t="s">
        <v>768</v>
      </c>
    </row>
    <row r="84" spans="4:40" x14ac:dyDescent="0.35">
      <c r="D84" s="172">
        <v>6</v>
      </c>
      <c r="E84" s="85"/>
      <c r="F84" s="13">
        <v>49.665199999999999</v>
      </c>
      <c r="G84" s="13">
        <v>53.29918</v>
      </c>
      <c r="H84" s="13">
        <f t="shared" si="51"/>
        <v>3.6339800000000011</v>
      </c>
      <c r="I84" s="13">
        <f t="shared" si="52"/>
        <v>22.790039999999998</v>
      </c>
      <c r="J84" s="13">
        <f t="shared" si="53"/>
        <v>0.13752563008959279</v>
      </c>
      <c r="K84" s="13">
        <f t="shared" si="54"/>
        <v>0.86247436991040727</v>
      </c>
      <c r="L84" s="13">
        <f t="shared" si="55"/>
        <v>0.27518038073957468</v>
      </c>
      <c r="M84" s="13">
        <f t="shared" si="56"/>
        <v>3.7844355249504052E-2</v>
      </c>
      <c r="N84" s="13">
        <f t="shared" si="57"/>
        <v>26.424019999999999</v>
      </c>
      <c r="O84" s="13">
        <v>18</v>
      </c>
      <c r="P84" s="85">
        <f t="shared" si="44"/>
        <v>4.9532468533123444</v>
      </c>
      <c r="Q84" s="85"/>
      <c r="Z84" s="297">
        <v>-2</v>
      </c>
      <c r="AB84" s="13">
        <v>23.691330000000001</v>
      </c>
      <c r="AC84" s="2">
        <v>26.550830000000001</v>
      </c>
      <c r="AD84" s="2">
        <f t="shared" si="58"/>
        <v>2.8595000000000006</v>
      </c>
      <c r="AE84" s="2">
        <f t="shared" si="59"/>
        <v>10.793899999999997</v>
      </c>
      <c r="AF84" s="2">
        <f t="shared" si="60"/>
        <v>0.20943501252435298</v>
      </c>
      <c r="AG84" s="2">
        <f t="shared" si="61"/>
        <v>0.79056498747564696</v>
      </c>
      <c r="AH84" s="2">
        <f t="shared" si="62"/>
        <v>0.34971148802238144</v>
      </c>
      <c r="AI84" s="2">
        <f t="shared" si="63"/>
        <v>7.3241829873877576E-2</v>
      </c>
      <c r="AJ84" s="2">
        <f t="shared" si="64"/>
        <v>13.653399999999998</v>
      </c>
      <c r="AK84" s="2">
        <v>15</v>
      </c>
      <c r="AL84">
        <f t="shared" si="65"/>
        <v>5.2456723203357223</v>
      </c>
    </row>
    <row r="85" spans="4:40" x14ac:dyDescent="0.35">
      <c r="D85" s="177">
        <v>6</v>
      </c>
      <c r="E85" s="157"/>
      <c r="F85" s="132">
        <v>76.089219999999997</v>
      </c>
      <c r="G85" s="132">
        <v>78.939310000000006</v>
      </c>
      <c r="H85" s="132">
        <f t="shared" si="51"/>
        <v>2.8500900000000087</v>
      </c>
      <c r="I85" s="132">
        <f t="shared" si="52"/>
        <v>5.1142899999999969</v>
      </c>
      <c r="J85" s="132">
        <f t="shared" si="53"/>
        <v>0.35785459759579613</v>
      </c>
      <c r="K85" s="132">
        <f t="shared" si="54"/>
        <v>0.64214540240420392</v>
      </c>
      <c r="L85" s="132">
        <f t="shared" si="55"/>
        <v>0.35086611299993931</v>
      </c>
      <c r="M85" s="132">
        <f t="shared" si="56"/>
        <v>0.1255590516775944</v>
      </c>
      <c r="N85" s="132">
        <f t="shared" si="57"/>
        <v>7.9643800000000056</v>
      </c>
      <c r="O85" s="132">
        <v>20</v>
      </c>
      <c r="P85" s="157">
        <f t="shared" si="44"/>
        <v>7.0173222599987861</v>
      </c>
      <c r="Q85" s="85"/>
      <c r="Z85" s="297">
        <v>-2</v>
      </c>
      <c r="AB85" s="13">
        <v>37.344729999999998</v>
      </c>
      <c r="AC85" s="2">
        <v>40.163879999999999</v>
      </c>
      <c r="AD85" s="2">
        <f t="shared" si="58"/>
        <v>2.8191500000000005</v>
      </c>
      <c r="AE85" s="2">
        <f t="shared" si="59"/>
        <v>19.259720000000002</v>
      </c>
      <c r="AF85" s="2">
        <f t="shared" si="60"/>
        <v>0.12768542955323348</v>
      </c>
      <c r="AG85" s="2">
        <f t="shared" si="61"/>
        <v>0.87231457044676652</v>
      </c>
      <c r="AH85" s="2">
        <f t="shared" si="62"/>
        <v>0.35471684727666136</v>
      </c>
      <c r="AI85" s="2">
        <f t="shared" si="63"/>
        <v>4.5292173014289221E-2</v>
      </c>
      <c r="AJ85" s="2">
        <f t="shared" si="64"/>
        <v>22.078870000000002</v>
      </c>
      <c r="AK85" s="2">
        <v>14</v>
      </c>
      <c r="AL85">
        <f t="shared" si="65"/>
        <v>4.9660358618732587</v>
      </c>
    </row>
    <row r="86" spans="4:40" x14ac:dyDescent="0.35">
      <c r="D86" s="177">
        <v>6</v>
      </c>
      <c r="E86" s="157"/>
      <c r="F86" s="132">
        <v>84.053600000000003</v>
      </c>
      <c r="G86" s="132">
        <v>85.669169999999994</v>
      </c>
      <c r="H86" s="132">
        <f t="shared" si="51"/>
        <v>1.6155699999999911</v>
      </c>
      <c r="I86" s="132">
        <f t="shared" si="52"/>
        <v>9.8359300000000047</v>
      </c>
      <c r="J86" s="132">
        <f t="shared" si="53"/>
        <v>0.14107933458498814</v>
      </c>
      <c r="K86" s="132">
        <f t="shared" si="54"/>
        <v>0.85892066541501189</v>
      </c>
      <c r="L86" s="132">
        <f t="shared" si="55"/>
        <v>0.61897658411582634</v>
      </c>
      <c r="M86" s="132">
        <f t="shared" si="56"/>
        <v>8.7324804610749721E-2</v>
      </c>
      <c r="N86" s="132">
        <f t="shared" si="57"/>
        <v>11.451499999999996</v>
      </c>
      <c r="O86" s="132">
        <v>16</v>
      </c>
      <c r="P86" s="157">
        <f t="shared" si="44"/>
        <v>9.9036253458532215</v>
      </c>
      <c r="Q86" s="85"/>
      <c r="Z86" s="297">
        <v>-2</v>
      </c>
      <c r="AB86" s="13">
        <v>59.4236</v>
      </c>
      <c r="AC86" s="2">
        <v>62.093290000000003</v>
      </c>
      <c r="AD86" s="2">
        <f t="shared" si="58"/>
        <v>2.6696900000000028</v>
      </c>
      <c r="AE86" s="2">
        <f t="shared" si="59"/>
        <v>21.638749999999995</v>
      </c>
      <c r="AF86" s="2">
        <f t="shared" si="60"/>
        <v>0.10982564080623862</v>
      </c>
      <c r="AG86" s="2">
        <f t="shared" si="61"/>
        <v>0.89017435919376142</v>
      </c>
      <c r="AH86" s="2">
        <f t="shared" si="62"/>
        <v>0.37457532522502573</v>
      </c>
      <c r="AI86" s="2">
        <f t="shared" si="63"/>
        <v>4.1137975123043687E-2</v>
      </c>
      <c r="AJ86" s="2">
        <f t="shared" si="64"/>
        <v>24.308439999999997</v>
      </c>
      <c r="AK86" s="2">
        <v>13</v>
      </c>
      <c r="AL86">
        <f t="shared" si="65"/>
        <v>4.8694792279253347</v>
      </c>
    </row>
    <row r="87" spans="4:40" x14ac:dyDescent="0.35">
      <c r="D87" s="177">
        <v>6</v>
      </c>
      <c r="E87" s="157"/>
      <c r="F87" s="132">
        <v>95.505099999999999</v>
      </c>
      <c r="G87" s="132">
        <v>98.324770000000001</v>
      </c>
      <c r="H87" s="132">
        <f t="shared" si="51"/>
        <v>2.8196700000000021</v>
      </c>
      <c r="I87" s="132">
        <f t="shared" si="52"/>
        <v>4.0264799999999923</v>
      </c>
      <c r="J87" s="132">
        <f t="shared" si="53"/>
        <v>0.41186214149558575</v>
      </c>
      <c r="K87" s="132">
        <f t="shared" si="54"/>
        <v>0.58813785850441425</v>
      </c>
      <c r="L87" s="132">
        <f t="shared" si="55"/>
        <v>0.35465143084119743</v>
      </c>
      <c r="M87" s="132">
        <f t="shared" si="56"/>
        <v>0.14606749779072922</v>
      </c>
      <c r="N87" s="132">
        <f t="shared" si="57"/>
        <v>6.8461499999999944</v>
      </c>
      <c r="O87" s="132">
        <v>12</v>
      </c>
      <c r="P87" s="157">
        <f t="shared" si="44"/>
        <v>4.2558171700943692</v>
      </c>
      <c r="Q87" s="85"/>
      <c r="Z87" s="297">
        <v>-2</v>
      </c>
      <c r="AB87" s="13">
        <v>83.732039999999998</v>
      </c>
      <c r="AC87" s="2">
        <v>86.343689999999995</v>
      </c>
      <c r="AD87" s="2">
        <f t="shared" si="58"/>
        <v>2.6116499999999974</v>
      </c>
      <c r="AE87" s="2">
        <f t="shared" si="59"/>
        <v>17.40843000000001</v>
      </c>
      <c r="AF87" s="2">
        <f t="shared" si="60"/>
        <v>0.13045152666722593</v>
      </c>
      <c r="AG87" s="2">
        <f t="shared" si="61"/>
        <v>0.86954847333277407</v>
      </c>
      <c r="AH87" s="2">
        <f t="shared" si="62"/>
        <v>0.38289969942373636</v>
      </c>
      <c r="AI87" s="2">
        <f t="shared" si="63"/>
        <v>4.9949850350248334E-2</v>
      </c>
      <c r="AJ87" s="2">
        <f t="shared" si="64"/>
        <v>20.020080000000007</v>
      </c>
      <c r="AK87" s="2">
        <v>12</v>
      </c>
      <c r="AL87">
        <f t="shared" si="65"/>
        <v>4.5947963930848363</v>
      </c>
    </row>
    <row r="88" spans="4:40" x14ac:dyDescent="0.35">
      <c r="D88" s="177">
        <v>6</v>
      </c>
      <c r="E88" s="157"/>
      <c r="F88" s="132">
        <v>102.35124999999999</v>
      </c>
      <c r="G88" s="132">
        <v>103.8691</v>
      </c>
      <c r="H88" s="132">
        <f t="shared" si="51"/>
        <v>1.5178500000000099</v>
      </c>
      <c r="I88" s="132">
        <f t="shared" si="52"/>
        <v>3.9178799999999967</v>
      </c>
      <c r="J88" s="132">
        <f t="shared" si="53"/>
        <v>0.27923572362865856</v>
      </c>
      <c r="K88" s="132">
        <f t="shared" si="54"/>
        <v>0.72076427637134144</v>
      </c>
      <c r="L88" s="132">
        <f t="shared" si="55"/>
        <v>0.65882662977237105</v>
      </c>
      <c r="M88" s="132">
        <f t="shared" si="56"/>
        <v>0.18396793071031836</v>
      </c>
      <c r="N88" s="132">
        <f t="shared" si="57"/>
        <v>5.4357300000000066</v>
      </c>
      <c r="O88" s="132">
        <v>17</v>
      </c>
      <c r="P88" s="157">
        <f t="shared" si="44"/>
        <v>11.200052706130309</v>
      </c>
      <c r="Q88" s="85"/>
      <c r="Z88" s="297">
        <v>-2</v>
      </c>
      <c r="AB88" s="13">
        <v>103.75212000000001</v>
      </c>
      <c r="AC88" s="2">
        <v>106.46417</v>
      </c>
      <c r="AD88" s="2">
        <f t="shared" si="58"/>
        <v>2.7120499999999907</v>
      </c>
      <c r="AE88" s="2">
        <f t="shared" si="59"/>
        <v>15.689019999999999</v>
      </c>
      <c r="AF88" s="2">
        <f t="shared" si="60"/>
        <v>0.14738545095475383</v>
      </c>
      <c r="AG88" s="2">
        <f t="shared" si="61"/>
        <v>0.85261454904524614</v>
      </c>
      <c r="AH88" s="2">
        <f t="shared" si="62"/>
        <v>0.36872476539886928</v>
      </c>
      <c r="AI88" s="2">
        <f t="shared" si="63"/>
        <v>5.4344665826498162E-2</v>
      </c>
      <c r="AJ88" s="2">
        <f t="shared" si="64"/>
        <v>18.40106999999999</v>
      </c>
      <c r="AK88" s="2">
        <v>12</v>
      </c>
      <c r="AL88">
        <f t="shared" si="65"/>
        <v>4.4246971847864316</v>
      </c>
    </row>
    <row r="89" spans="4:40" x14ac:dyDescent="0.35">
      <c r="D89" s="177">
        <v>6</v>
      </c>
      <c r="E89" s="157"/>
      <c r="F89" s="132">
        <v>107.78698</v>
      </c>
      <c r="G89" s="132">
        <v>109.33798</v>
      </c>
      <c r="H89" s="132">
        <f t="shared" si="51"/>
        <v>1.5510000000000019</v>
      </c>
      <c r="I89" s="132">
        <f t="shared" si="52"/>
        <v>8.3040900000000022</v>
      </c>
      <c r="J89" s="132">
        <f t="shared" si="53"/>
        <v>0.15738060230804601</v>
      </c>
      <c r="K89" s="132">
        <f t="shared" si="54"/>
        <v>0.84261939769195393</v>
      </c>
      <c r="L89" s="132">
        <f t="shared" si="55"/>
        <v>0.64474532559638864</v>
      </c>
      <c r="M89" s="132">
        <f t="shared" si="56"/>
        <v>0.10147040767765689</v>
      </c>
      <c r="N89" s="132">
        <f t="shared" si="57"/>
        <v>9.8550900000000041</v>
      </c>
      <c r="O89" s="132">
        <v>11</v>
      </c>
      <c r="P89" s="157">
        <f t="shared" si="44"/>
        <v>7.0921985815602753</v>
      </c>
      <c r="Q89" s="85"/>
      <c r="Z89" s="297">
        <v>-2</v>
      </c>
      <c r="AB89">
        <v>122.15319</v>
      </c>
      <c r="AC89">
        <v>124.15432</v>
      </c>
      <c r="AD89" s="2">
        <f t="shared" si="58"/>
        <v>2.0011300000000034</v>
      </c>
      <c r="AE89" s="2">
        <f t="shared" si="59"/>
        <v>12.243039999999993</v>
      </c>
      <c r="AF89" s="2">
        <f t="shared" si="60"/>
        <v>0.14048765214119208</v>
      </c>
      <c r="AG89" s="2">
        <f t="shared" si="61"/>
        <v>0.85951234785880792</v>
      </c>
      <c r="AH89" s="2">
        <f t="shared" si="62"/>
        <v>0.49971765952236902</v>
      </c>
      <c r="AI89" s="2">
        <f t="shared" si="63"/>
        <v>7.020416071978923E-2</v>
      </c>
      <c r="AJ89" s="2">
        <f t="shared" si="64"/>
        <v>14.244169999999997</v>
      </c>
      <c r="AK89" s="2">
        <v>11</v>
      </c>
      <c r="AL89">
        <f t="shared" si="65"/>
        <v>5.4968942547460591</v>
      </c>
      <c r="AN89" t="s">
        <v>769</v>
      </c>
    </row>
    <row r="90" spans="4:40" x14ac:dyDescent="0.35">
      <c r="D90" s="172">
        <v>0</v>
      </c>
      <c r="E90" s="85"/>
      <c r="F90" s="13">
        <v>117.64207</v>
      </c>
      <c r="G90" s="13">
        <v>119.27222</v>
      </c>
      <c r="H90" s="13">
        <f t="shared" si="51"/>
        <v>1.6301500000000004</v>
      </c>
      <c r="I90" s="13"/>
      <c r="J90" s="13"/>
      <c r="K90" s="13"/>
      <c r="L90" s="13"/>
      <c r="M90" s="13"/>
      <c r="N90" s="13"/>
      <c r="O90" s="13"/>
      <c r="P90" s="85"/>
      <c r="Q90" s="85"/>
      <c r="Z90" s="297">
        <v>-2</v>
      </c>
      <c r="AB90">
        <v>136.39735999999999</v>
      </c>
      <c r="AC90">
        <v>139.04683</v>
      </c>
      <c r="AD90" s="2">
        <f t="shared" si="58"/>
        <v>2.649470000000008</v>
      </c>
      <c r="AE90" s="2">
        <f t="shared" si="59"/>
        <v>11.37657999999999</v>
      </c>
      <c r="AF90" s="2">
        <f t="shared" si="60"/>
        <v>0.18889637495945105</v>
      </c>
      <c r="AG90" s="2">
        <f t="shared" si="61"/>
        <v>0.811103625040549</v>
      </c>
      <c r="AH90" s="2">
        <f t="shared" si="62"/>
        <v>0.37743397736150891</v>
      </c>
      <c r="AI90" s="2">
        <f t="shared" si="63"/>
        <v>7.1295910110116545E-2</v>
      </c>
      <c r="AJ90" s="2">
        <f t="shared" si="64"/>
        <v>14.026049999999998</v>
      </c>
      <c r="AK90" s="2">
        <v>14</v>
      </c>
      <c r="AL90">
        <f t="shared" si="65"/>
        <v>5.2840756830611246</v>
      </c>
    </row>
    <row r="91" spans="4:40" x14ac:dyDescent="0.35">
      <c r="D91" s="172"/>
      <c r="E91" s="85"/>
      <c r="F91" s="13"/>
      <c r="G91" s="13"/>
      <c r="H91" s="13"/>
      <c r="I91" s="13"/>
      <c r="J91" s="13"/>
      <c r="K91" s="13"/>
      <c r="L91" s="13"/>
      <c r="M91" s="13"/>
      <c r="N91" s="13"/>
      <c r="O91" s="13"/>
      <c r="P91" s="85"/>
      <c r="Q91" s="85"/>
      <c r="Z91" s="297">
        <v>-2</v>
      </c>
      <c r="AB91">
        <v>150.42340999999999</v>
      </c>
      <c r="AC91">
        <v>153.08413999999999</v>
      </c>
      <c r="AD91" s="2">
        <f t="shared" si="58"/>
        <v>2.6607300000000009</v>
      </c>
      <c r="AE91" s="2">
        <f t="shared" si="59"/>
        <v>10.27704</v>
      </c>
      <c r="AF91" s="2">
        <f t="shared" si="60"/>
        <v>0.20565599790381192</v>
      </c>
      <c r="AG91" s="2">
        <f t="shared" si="61"/>
        <v>0.79434400209618805</v>
      </c>
      <c r="AH91" s="2">
        <f t="shared" si="62"/>
        <v>0.37583670646777373</v>
      </c>
      <c r="AI91" s="2">
        <f t="shared" si="63"/>
        <v>7.7293072917512057E-2</v>
      </c>
      <c r="AJ91" s="2">
        <f t="shared" si="64"/>
        <v>12.93777</v>
      </c>
      <c r="AK91" s="2">
        <v>13</v>
      </c>
      <c r="AL91">
        <f t="shared" si="65"/>
        <v>4.8858771840810586</v>
      </c>
    </row>
    <row r="92" spans="4:40" x14ac:dyDescent="0.35">
      <c r="D92" s="172"/>
      <c r="F92" s="13"/>
      <c r="G92" s="13"/>
      <c r="H92" s="2"/>
      <c r="I92" s="2"/>
      <c r="J92" s="2"/>
      <c r="K92" s="2"/>
      <c r="L92" s="2"/>
      <c r="M92" s="2"/>
      <c r="N92" s="2"/>
      <c r="O92" s="2"/>
      <c r="Z92" s="297">
        <v>-2</v>
      </c>
      <c r="AB92">
        <v>163.36117999999999</v>
      </c>
      <c r="AC92">
        <v>164.93131</v>
      </c>
      <c r="AD92" s="2">
        <f t="shared" si="58"/>
        <v>1.570130000000006</v>
      </c>
      <c r="AE92" s="2">
        <f t="shared" si="59"/>
        <v>12.671819999999997</v>
      </c>
      <c r="AF92" s="2">
        <f t="shared" si="60"/>
        <v>0.11024684119801051</v>
      </c>
      <c r="AG92" s="2">
        <f t="shared" si="61"/>
        <v>0.88975315880198946</v>
      </c>
      <c r="AH92" s="2">
        <f t="shared" si="62"/>
        <v>0.63688993904963043</v>
      </c>
      <c r="AI92" s="2">
        <f t="shared" si="63"/>
        <v>7.0215103971015186E-2</v>
      </c>
      <c r="AJ92" s="2">
        <f t="shared" si="64"/>
        <v>14.241950000000003</v>
      </c>
      <c r="AK92" s="2">
        <v>12</v>
      </c>
      <c r="AL92">
        <f t="shared" si="65"/>
        <v>7.6426792685955647</v>
      </c>
    </row>
    <row r="93" spans="4:40" x14ac:dyDescent="0.35">
      <c r="D93" s="172"/>
      <c r="F93" s="13"/>
      <c r="G93" s="13"/>
      <c r="H93" s="2"/>
      <c r="I93" s="2"/>
      <c r="J93" s="2"/>
      <c r="K93" s="2"/>
      <c r="L93" s="2"/>
      <c r="M93" s="2"/>
      <c r="N93" s="2"/>
      <c r="O93" s="2"/>
      <c r="Z93" s="297">
        <v>-2</v>
      </c>
      <c r="AB93">
        <v>177.60312999999999</v>
      </c>
      <c r="AC93">
        <v>180.22114999999999</v>
      </c>
      <c r="AD93" s="2">
        <f t="shared" si="58"/>
        <v>2.6180200000000013</v>
      </c>
      <c r="AE93" s="2">
        <f t="shared" si="59"/>
        <v>21.860080000000011</v>
      </c>
      <c r="AF93" s="2">
        <f t="shared" si="60"/>
        <v>0.10695356257225846</v>
      </c>
      <c r="AG93" s="2">
        <f t="shared" si="61"/>
        <v>0.89304643742774148</v>
      </c>
      <c r="AH93" s="2">
        <f t="shared" si="62"/>
        <v>0.38196805219211444</v>
      </c>
      <c r="AI93" s="2">
        <f t="shared" si="63"/>
        <v>4.0852843970733001E-2</v>
      </c>
      <c r="AJ93" s="2">
        <f t="shared" si="64"/>
        <v>24.478100000000012</v>
      </c>
      <c r="AK93" s="2">
        <v>15</v>
      </c>
      <c r="AL93">
        <f t="shared" si="65"/>
        <v>5.7295207828817167</v>
      </c>
    </row>
    <row r="94" spans="4:40" x14ac:dyDescent="0.35">
      <c r="F94" s="13"/>
      <c r="G94" s="13"/>
      <c r="H94" s="2"/>
      <c r="I94" s="2"/>
      <c r="J94" s="2"/>
      <c r="K94" s="2"/>
      <c r="L94" s="2"/>
      <c r="M94" s="2"/>
      <c r="N94" s="2"/>
      <c r="O94" s="2"/>
      <c r="Z94" s="297">
        <v>-2</v>
      </c>
      <c r="AB94">
        <v>202.08123000000001</v>
      </c>
      <c r="AC94">
        <v>203.76713999999998</v>
      </c>
      <c r="AD94" s="2">
        <f t="shared" si="58"/>
        <v>1.6859099999999785</v>
      </c>
      <c r="AE94" s="2">
        <f t="shared" si="59"/>
        <v>19.390770000000032</v>
      </c>
      <c r="AF94" s="2">
        <f t="shared" si="60"/>
        <v>7.9989353161882118E-2</v>
      </c>
      <c r="AG94" s="2">
        <f t="shared" si="61"/>
        <v>0.92001064683811784</v>
      </c>
      <c r="AH94" s="2">
        <f t="shared" si="62"/>
        <v>0.59315147309169103</v>
      </c>
      <c r="AI94" s="2">
        <f t="shared" si="63"/>
        <v>4.7445802659621894E-2</v>
      </c>
      <c r="AJ94" s="2">
        <f t="shared" si="64"/>
        <v>21.07668000000001</v>
      </c>
      <c r="AK94" s="2">
        <v>11</v>
      </c>
      <c r="AL94">
        <f t="shared" si="65"/>
        <v>6.524666204008601</v>
      </c>
    </row>
    <row r="95" spans="4:40" x14ac:dyDescent="0.35">
      <c r="F95" s="13"/>
      <c r="Z95" s="297">
        <v>-2</v>
      </c>
      <c r="AB95">
        <v>223.15791000000002</v>
      </c>
      <c r="AC95">
        <v>226.18161000000001</v>
      </c>
      <c r="AD95" s="2">
        <f t="shared" si="58"/>
        <v>3.023699999999991</v>
      </c>
      <c r="AE95" s="2">
        <f t="shared" si="59"/>
        <v>14.479389999999995</v>
      </c>
      <c r="AF95" s="2">
        <f t="shared" si="60"/>
        <v>0.17275235401291963</v>
      </c>
      <c r="AG95" s="2">
        <f t="shared" si="61"/>
        <v>0.82724764598708034</v>
      </c>
      <c r="AH95" s="2">
        <f t="shared" si="62"/>
        <v>0.33072064027516057</v>
      </c>
      <c r="AI95" s="2">
        <f t="shared" si="63"/>
        <v>5.7132769128193983E-2</v>
      </c>
      <c r="AJ95" s="2">
        <f t="shared" si="64"/>
        <v>17.503089999999986</v>
      </c>
      <c r="AK95" s="2">
        <v>13</v>
      </c>
      <c r="AL95">
        <f t="shared" si="65"/>
        <v>4.2993683235770872</v>
      </c>
    </row>
    <row r="96" spans="4:40" ht="16" thickBot="1" x14ac:dyDescent="0.4">
      <c r="F96" s="13"/>
      <c r="G96" s="13"/>
      <c r="H96" s="9" t="s">
        <v>3</v>
      </c>
      <c r="I96" s="9" t="s">
        <v>4</v>
      </c>
      <c r="J96" s="9" t="s">
        <v>5</v>
      </c>
      <c r="K96" s="9" t="s">
        <v>6</v>
      </c>
      <c r="L96" s="9" t="s">
        <v>7</v>
      </c>
      <c r="M96" s="9" t="s">
        <v>8</v>
      </c>
      <c r="N96" s="9" t="s">
        <v>9</v>
      </c>
      <c r="O96" s="9" t="s">
        <v>10</v>
      </c>
      <c r="P96" s="44" t="s">
        <v>139</v>
      </c>
      <c r="Z96" s="297">
        <v>-2</v>
      </c>
      <c r="AB96" s="13">
        <v>240.661</v>
      </c>
      <c r="AC96" s="2">
        <v>244.81988000000001</v>
      </c>
      <c r="AD96" s="2">
        <f t="shared" si="58"/>
        <v>4.1588800000000106</v>
      </c>
      <c r="AE96" s="2">
        <f t="shared" si="59"/>
        <v>16.116089999999986</v>
      </c>
      <c r="AF96" s="2">
        <f t="shared" si="60"/>
        <v>0.20512385468387925</v>
      </c>
      <c r="AG96" s="2">
        <f t="shared" si="61"/>
        <v>0.79487614531612072</v>
      </c>
      <c r="AH96" s="2">
        <f t="shared" si="62"/>
        <v>0.24044935174854706</v>
      </c>
      <c r="AI96" s="2">
        <f t="shared" si="63"/>
        <v>4.9321897886901937E-2</v>
      </c>
      <c r="AJ96" s="2">
        <f t="shared" si="64"/>
        <v>20.274969999999996</v>
      </c>
      <c r="AK96" s="2">
        <v>22</v>
      </c>
      <c r="AL96">
        <f t="shared" si="65"/>
        <v>5.289885738468036</v>
      </c>
      <c r="AN96" t="s">
        <v>770</v>
      </c>
    </row>
    <row r="97" spans="4:38" x14ac:dyDescent="0.35">
      <c r="E97" s="104" t="s">
        <v>409</v>
      </c>
      <c r="F97" s="13"/>
      <c r="G97" s="49" t="s">
        <v>77</v>
      </c>
      <c r="H97" s="13">
        <f>AVERAGE(H58:H65,H67:H68,H70:H75,H78:H83,H85:H89)</f>
        <v>2.8612162962962961</v>
      </c>
      <c r="I97" s="13">
        <f t="shared" ref="I97:P97" si="66">AVERAGE(I58:I65,I67:I68,I70:I75,I78:I83,I85:I89)</f>
        <v>10.807762222222221</v>
      </c>
      <c r="J97" s="13">
        <f t="shared" si="66"/>
        <v>0.23353343010962641</v>
      </c>
      <c r="K97" s="13">
        <f t="shared" si="66"/>
        <v>0.76646656989037376</v>
      </c>
      <c r="L97" s="13">
        <f t="shared" si="66"/>
        <v>0.40617335225341589</v>
      </c>
      <c r="M97" s="13">
        <f t="shared" si="66"/>
        <v>8.9771702194317293E-2</v>
      </c>
      <c r="N97" s="13">
        <f t="shared" si="66"/>
        <v>13.668978518518522</v>
      </c>
      <c r="O97" s="13">
        <f t="shared" si="66"/>
        <v>25.962962962962962</v>
      </c>
      <c r="P97" s="13">
        <f t="shared" si="66"/>
        <v>9.3411325228420914</v>
      </c>
      <c r="Z97" s="297">
        <v>-2</v>
      </c>
      <c r="AB97" s="13">
        <v>260.93597</v>
      </c>
      <c r="AC97" s="2">
        <v>265.24385999999998</v>
      </c>
      <c r="AD97" s="2">
        <f t="shared" si="58"/>
        <v>4.3078899999999862</v>
      </c>
      <c r="AE97" s="2">
        <f t="shared" si="59"/>
        <v>16.121190000000013</v>
      </c>
      <c r="AF97" s="2">
        <f t="shared" si="60"/>
        <v>0.21087048462289965</v>
      </c>
      <c r="AG97" s="2">
        <f t="shared" si="61"/>
        <v>0.78912951537710041</v>
      </c>
      <c r="AH97" s="2">
        <f t="shared" si="62"/>
        <v>0.23213220393278455</v>
      </c>
      <c r="AI97" s="2">
        <f t="shared" si="63"/>
        <v>4.8949830339888041E-2</v>
      </c>
      <c r="AJ97" s="2">
        <f t="shared" si="64"/>
        <v>20.429079999999999</v>
      </c>
      <c r="AK97" s="2">
        <v>29</v>
      </c>
      <c r="AL97">
        <f t="shared" si="65"/>
        <v>6.7318339140507515</v>
      </c>
    </row>
    <row r="98" spans="4:38" x14ac:dyDescent="0.35">
      <c r="E98" s="104"/>
      <c r="F98" s="13"/>
      <c r="G98" s="49" t="s">
        <v>94</v>
      </c>
      <c r="H98" s="2">
        <f>_xlfn.STDEV.S(H58:H65,H67:H68,H70:H75,H78:H83,H85:H89)</f>
        <v>0.9839742476623442</v>
      </c>
      <c r="I98" s="2">
        <f t="shared" ref="I98:P98" si="67">_xlfn.STDEV.S(I58:I65,I67:I68,I70:I75,I78:I83,I85:I89)</f>
        <v>5.2203677437243821</v>
      </c>
      <c r="J98" s="2">
        <f t="shared" si="67"/>
        <v>0.10592337910898589</v>
      </c>
      <c r="K98" s="2">
        <f t="shared" si="67"/>
        <v>0.10592337910898576</v>
      </c>
      <c r="L98" s="2">
        <f t="shared" si="67"/>
        <v>0.1797504776709255</v>
      </c>
      <c r="M98" s="2">
        <f t="shared" si="67"/>
        <v>4.7300159624406334E-2</v>
      </c>
      <c r="N98" s="2">
        <f t="shared" si="67"/>
        <v>5.6315442887649203</v>
      </c>
      <c r="O98" s="2">
        <f t="shared" si="67"/>
        <v>18.369040596113134</v>
      </c>
      <c r="P98" s="2">
        <f t="shared" si="67"/>
        <v>5.4597735996839534</v>
      </c>
      <c r="Z98" s="297">
        <v>-2</v>
      </c>
      <c r="AB98" s="13">
        <v>281.36505</v>
      </c>
      <c r="AC98" s="2">
        <v>286.54997000000003</v>
      </c>
      <c r="AD98" s="2">
        <f t="shared" si="58"/>
        <v>5.1849200000000337</v>
      </c>
      <c r="AE98" s="2">
        <f t="shared" si="59"/>
        <v>17.658230000000003</v>
      </c>
      <c r="AF98" s="2">
        <f t="shared" si="60"/>
        <v>0.22697920383134662</v>
      </c>
      <c r="AG98" s="2">
        <f t="shared" si="61"/>
        <v>0.77302079616865338</v>
      </c>
      <c r="AH98" s="2">
        <f t="shared" si="62"/>
        <v>0.19286700662690909</v>
      </c>
      <c r="AI98" s="2">
        <f t="shared" si="63"/>
        <v>4.3776799609510877E-2</v>
      </c>
      <c r="AJ98" s="2">
        <f t="shared" si="64"/>
        <v>22.843150000000037</v>
      </c>
      <c r="AK98" s="2">
        <v>28</v>
      </c>
      <c r="AL98">
        <f t="shared" si="65"/>
        <v>5.4002761855534542</v>
      </c>
    </row>
    <row r="99" spans="4:38" x14ac:dyDescent="0.35">
      <c r="E99" s="104"/>
      <c r="F99" s="13"/>
      <c r="G99" s="49" t="s">
        <v>95</v>
      </c>
      <c r="H99" s="2">
        <f>H98/(SQRT(COUNT(H58:H65,H67:H68,H70:H75,H78:H83,H85:H89)))</f>
        <v>0.18936593225450463</v>
      </c>
      <c r="I99" s="2">
        <f t="shared" ref="I99:P99" si="68">I98/(SQRT(COUNT(I58:I65,I67:I68,I70:I75,I78:I83,I85:I89)))</f>
        <v>1.0046602407027037</v>
      </c>
      <c r="J99" s="2">
        <f t="shared" si="68"/>
        <v>2.0384963814015927E-2</v>
      </c>
      <c r="K99" s="2">
        <f t="shared" si="68"/>
        <v>2.0384963814015902E-2</v>
      </c>
      <c r="L99" s="2">
        <f t="shared" si="68"/>
        <v>3.4592995556757551E-2</v>
      </c>
      <c r="M99" s="2">
        <f t="shared" si="68"/>
        <v>9.1029199639544207E-3</v>
      </c>
      <c r="N99" s="2">
        <f t="shared" si="68"/>
        <v>1.0837912036905755</v>
      </c>
      <c r="O99" s="2">
        <f t="shared" si="68"/>
        <v>3.5351235109736936</v>
      </c>
      <c r="P99" s="2">
        <f t="shared" si="68"/>
        <v>1.0507339191639808</v>
      </c>
      <c r="Z99" s="297">
        <v>-2</v>
      </c>
      <c r="AB99" s="13">
        <v>304.20820000000003</v>
      </c>
      <c r="AC99" s="2">
        <v>308.35518000000002</v>
      </c>
      <c r="AD99" s="2">
        <f t="shared" si="58"/>
        <v>4.146979999999985</v>
      </c>
      <c r="AE99" s="2">
        <f t="shared" si="59"/>
        <v>10.389099999999985</v>
      </c>
      <c r="AF99" s="2">
        <f t="shared" si="60"/>
        <v>0.2852887435952467</v>
      </c>
      <c r="AG99" s="2">
        <f t="shared" si="61"/>
        <v>0.7147112564047533</v>
      </c>
      <c r="AH99" s="2">
        <f t="shared" si="62"/>
        <v>0.24113933513062605</v>
      </c>
      <c r="AI99" s="2">
        <f t="shared" si="63"/>
        <v>6.8794337950809442E-2</v>
      </c>
      <c r="AJ99" s="2">
        <f t="shared" si="64"/>
        <v>14.53607999999997</v>
      </c>
      <c r="AK99" s="2">
        <v>22</v>
      </c>
      <c r="AL99">
        <f t="shared" si="65"/>
        <v>5.3050653728737727</v>
      </c>
    </row>
    <row r="100" spans="4:38" x14ac:dyDescent="0.35">
      <c r="E100" s="104"/>
      <c r="Z100" s="297">
        <v>-2</v>
      </c>
      <c r="AB100" s="13">
        <v>318.74428</v>
      </c>
      <c r="AC100" s="2">
        <v>321.90731</v>
      </c>
      <c r="AD100" s="2">
        <f t="shared" si="58"/>
        <v>3.163029999999992</v>
      </c>
      <c r="AE100" s="2">
        <f t="shared" si="59"/>
        <v>35.137279999999976</v>
      </c>
      <c r="AF100" s="2">
        <f t="shared" si="60"/>
        <v>8.258497124435793E-2</v>
      </c>
      <c r="AG100" s="2">
        <f t="shared" si="61"/>
        <v>0.91741502875564207</v>
      </c>
      <c r="AH100" s="2">
        <f t="shared" si="62"/>
        <v>0.31615254992839226</v>
      </c>
      <c r="AI100" s="2">
        <f t="shared" si="63"/>
        <v>2.610944924466671E-2</v>
      </c>
      <c r="AJ100" s="2">
        <f t="shared" si="64"/>
        <v>38.300309999999968</v>
      </c>
      <c r="AK100" s="2">
        <v>17</v>
      </c>
      <c r="AL100">
        <f t="shared" si="65"/>
        <v>5.3745933487826685</v>
      </c>
    </row>
    <row r="101" spans="4:38" x14ac:dyDescent="0.35">
      <c r="E101" s="104"/>
      <c r="Z101" s="297">
        <v>-2</v>
      </c>
      <c r="AB101" s="13">
        <v>357.04458999999997</v>
      </c>
      <c r="AC101" s="2">
        <v>359.90733</v>
      </c>
      <c r="AD101" s="2">
        <f t="shared" si="58"/>
        <v>2.8627400000000307</v>
      </c>
      <c r="AE101" s="2"/>
      <c r="AF101" s="2"/>
      <c r="AG101" s="2"/>
      <c r="AH101" s="2"/>
      <c r="AI101" s="2"/>
      <c r="AJ101" s="2"/>
      <c r="AK101" s="2"/>
    </row>
    <row r="102" spans="4:38" ht="16" thickBot="1" x14ac:dyDescent="0.4">
      <c r="E102" s="104"/>
      <c r="G102" s="13"/>
      <c r="H102" s="9" t="s">
        <v>3</v>
      </c>
      <c r="I102" s="9" t="s">
        <v>4</v>
      </c>
      <c r="J102" s="9" t="s">
        <v>5</v>
      </c>
      <c r="K102" s="9" t="s">
        <v>6</v>
      </c>
      <c r="L102" s="9" t="s">
        <v>7</v>
      </c>
      <c r="M102" s="9" t="s">
        <v>8</v>
      </c>
      <c r="N102" s="9" t="s">
        <v>9</v>
      </c>
      <c r="O102" s="9" t="s">
        <v>10</v>
      </c>
      <c r="P102" s="44" t="s">
        <v>139</v>
      </c>
      <c r="Z102" s="297"/>
      <c r="AB102" s="13"/>
      <c r="AC102" s="2"/>
      <c r="AD102" s="2"/>
      <c r="AE102" s="2"/>
      <c r="AF102" s="2"/>
      <c r="AG102" s="2"/>
      <c r="AH102" s="2"/>
      <c r="AI102" s="2"/>
      <c r="AJ102" s="2"/>
      <c r="AK102" s="2"/>
    </row>
    <row r="103" spans="4:38" x14ac:dyDescent="0.35">
      <c r="E103" s="104" t="s">
        <v>410</v>
      </c>
      <c r="G103" s="49" t="s">
        <v>77</v>
      </c>
      <c r="H103" s="13">
        <f>AVERAGE(H66,H69,H84)</f>
        <v>3.6372966666666642</v>
      </c>
      <c r="I103" s="13">
        <f t="shared" ref="I103:P103" si="69">AVERAGE(I66,I69,I84)</f>
        <v>22.35859666666666</v>
      </c>
      <c r="J103" s="13">
        <f t="shared" si="69"/>
        <v>0.1411770272980592</v>
      </c>
      <c r="K103" s="13">
        <f t="shared" si="69"/>
        <v>0.85882297270194086</v>
      </c>
      <c r="L103" s="13">
        <f t="shared" si="69"/>
        <v>0.27501721956790398</v>
      </c>
      <c r="M103" s="13">
        <f t="shared" si="69"/>
        <v>3.8885265366324785E-2</v>
      </c>
      <c r="N103" s="13">
        <f t="shared" si="69"/>
        <v>25.995893333333324</v>
      </c>
      <c r="O103" s="13">
        <f t="shared" si="69"/>
        <v>19.666666666666668</v>
      </c>
      <c r="P103" s="13">
        <f t="shared" si="69"/>
        <v>5.4065319616808454</v>
      </c>
      <c r="Z103" s="297"/>
      <c r="AB103" s="13"/>
      <c r="AC103" s="2"/>
      <c r="AD103" s="2"/>
      <c r="AE103" s="2"/>
      <c r="AF103" s="2"/>
      <c r="AG103" s="2"/>
      <c r="AH103" s="2"/>
      <c r="AI103" s="2"/>
      <c r="AJ103" s="2"/>
      <c r="AK103" s="2"/>
    </row>
    <row r="104" spans="4:38" x14ac:dyDescent="0.35">
      <c r="G104" s="49" t="s">
        <v>94</v>
      </c>
      <c r="H104" s="2">
        <f>_xlfn.STDEV.S(H66,H69,H84)</f>
        <v>7.9626822323460383E-2</v>
      </c>
      <c r="I104" s="2">
        <f t="shared" ref="I104:P104" si="70">_xlfn.STDEV.S(I66,I69,I84)</f>
        <v>3.1730705952488956</v>
      </c>
      <c r="J104" s="2">
        <f t="shared" si="70"/>
        <v>1.5165696533239853E-2</v>
      </c>
      <c r="K104" s="2">
        <f t="shared" si="70"/>
        <v>1.5165696533239886E-2</v>
      </c>
      <c r="L104" s="2">
        <f t="shared" si="70"/>
        <v>6.0138267863304321E-3</v>
      </c>
      <c r="M104" s="2">
        <f t="shared" si="70"/>
        <v>5.0193127272410102E-3</v>
      </c>
      <c r="N104" s="2">
        <f t="shared" si="70"/>
        <v>3.2517767231059009</v>
      </c>
      <c r="O104" s="2">
        <f t="shared" si="70"/>
        <v>1.5275252316519465</v>
      </c>
      <c r="P104" s="2">
        <f t="shared" si="70"/>
        <v>0.39281383015028248</v>
      </c>
      <c r="Z104" s="297"/>
      <c r="AB104" s="13"/>
      <c r="AC104" s="2"/>
      <c r="AD104" s="2"/>
      <c r="AE104" s="2"/>
      <c r="AF104" s="2"/>
      <c r="AG104" s="2"/>
      <c r="AH104" s="2"/>
      <c r="AI104" s="2"/>
      <c r="AJ104" s="2"/>
      <c r="AK104" s="2"/>
    </row>
    <row r="105" spans="4:38" x14ac:dyDescent="0.35">
      <c r="G105" s="49" t="s">
        <v>95</v>
      </c>
      <c r="H105" s="2">
        <f>H104/(SQRT(COUNT(H66,H69,H84)))</f>
        <v>4.5972567303164354E-2</v>
      </c>
      <c r="I105" s="2">
        <f t="shared" ref="I105:P105" si="71">I104/(SQRT(COUNT(I66,I69,I84)))</f>
        <v>1.831973162324636</v>
      </c>
      <c r="J105" s="2">
        <f t="shared" si="71"/>
        <v>8.7559189759142033E-3</v>
      </c>
      <c r="K105" s="2">
        <f t="shared" si="71"/>
        <v>8.7559189759142224E-3</v>
      </c>
      <c r="L105" s="2">
        <f t="shared" si="71"/>
        <v>3.4720845139476573E-3</v>
      </c>
      <c r="M105" s="2">
        <f t="shared" si="71"/>
        <v>2.8979015542195119E-3</v>
      </c>
      <c r="N105" s="2">
        <f t="shared" si="71"/>
        <v>1.8774141664297512</v>
      </c>
      <c r="O105" s="2">
        <f t="shared" si="71"/>
        <v>0.88191710368819687</v>
      </c>
      <c r="P105" s="2">
        <f t="shared" si="71"/>
        <v>0.22679117057867354</v>
      </c>
      <c r="Z105" s="297"/>
      <c r="AB105" s="13"/>
      <c r="AC105" s="2"/>
      <c r="AD105" s="2"/>
      <c r="AE105" s="2"/>
      <c r="AF105" s="2"/>
      <c r="AG105" s="2"/>
      <c r="AH105" s="2"/>
      <c r="AI105" s="2"/>
      <c r="AJ105" s="2"/>
      <c r="AK105" s="2"/>
    </row>
    <row r="106" spans="4:38" x14ac:dyDescent="0.35">
      <c r="Z106" s="297"/>
      <c r="AB106" s="13"/>
      <c r="AC106" s="2"/>
      <c r="AD106" s="2"/>
      <c r="AE106" s="2"/>
      <c r="AF106" s="2"/>
      <c r="AG106" s="2"/>
      <c r="AH106" s="2"/>
      <c r="AI106" s="2"/>
      <c r="AJ106" s="2"/>
      <c r="AK106" s="2"/>
    </row>
    <row r="107" spans="4:38" x14ac:dyDescent="0.35">
      <c r="Z107" s="297"/>
      <c r="AB107" s="13"/>
      <c r="AC107" s="2"/>
      <c r="AD107" s="2"/>
      <c r="AE107" s="2"/>
      <c r="AF107" s="2"/>
      <c r="AG107" s="2"/>
      <c r="AH107" s="2"/>
      <c r="AI107" s="2"/>
      <c r="AJ107" s="2"/>
      <c r="AK107" s="2"/>
    </row>
    <row r="108" spans="4:38" ht="16" thickBot="1" x14ac:dyDescent="0.4">
      <c r="Z108" s="297"/>
      <c r="AA108" s="104" t="s">
        <v>426</v>
      </c>
      <c r="AB108" s="13"/>
      <c r="AC108" s="13"/>
      <c r="AD108" s="9" t="s">
        <v>3</v>
      </c>
      <c r="AE108" s="9" t="s">
        <v>4</v>
      </c>
      <c r="AF108" s="9" t="s">
        <v>5</v>
      </c>
      <c r="AG108" s="9" t="s">
        <v>6</v>
      </c>
      <c r="AH108" s="9" t="s">
        <v>7</v>
      </c>
      <c r="AI108" s="9" t="s">
        <v>8</v>
      </c>
      <c r="AJ108" s="9" t="s">
        <v>9</v>
      </c>
      <c r="AK108" s="9" t="s">
        <v>10</v>
      </c>
      <c r="AL108" s="44" t="s">
        <v>139</v>
      </c>
    </row>
    <row r="109" spans="4:38" x14ac:dyDescent="0.35">
      <c r="Z109" s="297"/>
      <c r="AB109" s="13"/>
      <c r="AC109" s="49" t="s">
        <v>77</v>
      </c>
      <c r="AD109" s="13">
        <f>AVERAGE(AD83:AD100)</f>
        <v>2.9946483333333327</v>
      </c>
      <c r="AE109" s="13">
        <f t="shared" ref="AE109:AL109" si="72">AVERAGE(AE83:AE100)</f>
        <v>16.237921666666665</v>
      </c>
      <c r="AF109" s="13">
        <f t="shared" si="72"/>
        <v>0.16550698125379648</v>
      </c>
      <c r="AG109" s="13">
        <f t="shared" si="72"/>
        <v>0.83449301874620352</v>
      </c>
      <c r="AH109" s="13">
        <f t="shared" si="72"/>
        <v>0.36532192899045068</v>
      </c>
      <c r="AI109" s="13">
        <f t="shared" si="72"/>
        <v>5.6293476367857836E-2</v>
      </c>
      <c r="AJ109" s="13">
        <f t="shared" si="72"/>
        <v>19.232569999999996</v>
      </c>
      <c r="AK109" s="13">
        <f t="shared" si="72"/>
        <v>16</v>
      </c>
      <c r="AL109" s="13">
        <f t="shared" si="72"/>
        <v>5.3870018203330243</v>
      </c>
    </row>
    <row r="110" spans="4:38" ht="18.5" x14ac:dyDescent="0.45">
      <c r="D110" s="2"/>
      <c r="E110" s="2"/>
      <c r="F110" s="1"/>
      <c r="G110" s="3"/>
      <c r="H110" s="3"/>
      <c r="I110" s="3"/>
      <c r="J110" s="3"/>
      <c r="K110" s="3"/>
      <c r="L110" s="3"/>
      <c r="M110" s="3"/>
      <c r="N110" s="3"/>
      <c r="O110" s="3"/>
      <c r="P110" s="2"/>
      <c r="Q110" s="2"/>
      <c r="R110" s="2"/>
      <c r="S110" s="2"/>
      <c r="Z110" s="297"/>
      <c r="AA110" s="104"/>
      <c r="AB110" s="13"/>
      <c r="AC110" s="49" t="s">
        <v>94</v>
      </c>
      <c r="AD110" s="2">
        <f>_xlfn.STDEV.S(AD83:AD100)</f>
        <v>0.93057897327258776</v>
      </c>
      <c r="AE110" s="2">
        <f t="shared" ref="AE110:AL110" si="73">_xlfn.STDEV.S(AE83:AE100)</f>
        <v>6.1229448413817122</v>
      </c>
      <c r="AF110" s="2">
        <f t="shared" si="73"/>
        <v>5.8716951176731758E-2</v>
      </c>
      <c r="AG110" s="2">
        <f t="shared" si="73"/>
        <v>5.8716951176731605E-2</v>
      </c>
      <c r="AH110" s="2">
        <f t="shared" si="73"/>
        <v>0.11596525987802149</v>
      </c>
      <c r="AI110" s="2">
        <f t="shared" si="73"/>
        <v>1.5043482209430619E-2</v>
      </c>
      <c r="AJ110" s="2">
        <f t="shared" si="73"/>
        <v>6.2255617984772185</v>
      </c>
      <c r="AK110" s="2">
        <f t="shared" si="73"/>
        <v>5.5412888710967936</v>
      </c>
      <c r="AL110" s="2">
        <f t="shared" si="73"/>
        <v>0.84145108701046578</v>
      </c>
    </row>
    <row r="111" spans="4:38" ht="18.5" x14ac:dyDescent="0.45">
      <c r="F111" s="1" t="s">
        <v>405</v>
      </c>
      <c r="G111" s="3"/>
      <c r="H111" s="3"/>
      <c r="I111" s="3"/>
      <c r="J111" s="3"/>
      <c r="K111" s="3"/>
      <c r="L111" s="3"/>
      <c r="M111" s="3"/>
      <c r="N111" s="3"/>
      <c r="O111" s="3"/>
      <c r="S111" s="2"/>
      <c r="Z111" s="297"/>
      <c r="AA111" s="104"/>
      <c r="AB111" s="13"/>
      <c r="AC111" s="49" t="s">
        <v>95</v>
      </c>
      <c r="AD111" s="2">
        <f t="shared" ref="AD111:AL111" si="74">AD110/(SQRT(COUNT(AD83:AD100)))</f>
        <v>0.21933956747688726</v>
      </c>
      <c r="AE111" s="2">
        <f t="shared" si="74"/>
        <v>1.4431919393907329</v>
      </c>
      <c r="AF111" s="2">
        <f t="shared" si="74"/>
        <v>1.383971811588882E-2</v>
      </c>
      <c r="AG111" s="2">
        <f t="shared" si="74"/>
        <v>1.3839718115888784E-2</v>
      </c>
      <c r="AH111" s="2">
        <f t="shared" si="74"/>
        <v>2.7333273880603089E-2</v>
      </c>
      <c r="AI111" s="2">
        <f t="shared" si="74"/>
        <v>3.5457827609825261E-3</v>
      </c>
      <c r="AJ111" s="2">
        <f t="shared" si="74"/>
        <v>1.4673789881330535</v>
      </c>
      <c r="AK111" s="2">
        <f t="shared" si="74"/>
        <v>1.3060943124220306</v>
      </c>
      <c r="AL111" s="2">
        <f t="shared" si="74"/>
        <v>0.19833192322063067</v>
      </c>
    </row>
    <row r="112" spans="4:38" ht="16" thickBot="1" x14ac:dyDescent="0.4">
      <c r="D112" s="204" t="s">
        <v>406</v>
      </c>
      <c r="F112" s="9" t="s">
        <v>1</v>
      </c>
      <c r="G112" s="9" t="s">
        <v>2</v>
      </c>
      <c r="H112" s="9" t="s">
        <v>3</v>
      </c>
      <c r="I112" s="9" t="s">
        <v>4</v>
      </c>
      <c r="J112" s="9" t="s">
        <v>5</v>
      </c>
      <c r="K112" s="9" t="s">
        <v>6</v>
      </c>
      <c r="L112" s="9" t="s">
        <v>7</v>
      </c>
      <c r="M112" s="9" t="s">
        <v>8</v>
      </c>
      <c r="N112" s="9" t="s">
        <v>9</v>
      </c>
      <c r="O112" s="9" t="s">
        <v>10</v>
      </c>
      <c r="P112" s="44" t="s">
        <v>139</v>
      </c>
      <c r="R112" s="44" t="s">
        <v>138</v>
      </c>
      <c r="S112" s="2"/>
      <c r="Z112" s="297"/>
      <c r="AA112" s="104"/>
    </row>
    <row r="113" spans="3:40" x14ac:dyDescent="0.35">
      <c r="D113" s="297">
        <v>8</v>
      </c>
      <c r="F113" s="13">
        <v>11.17346</v>
      </c>
      <c r="G113" s="2">
        <v>16.652249999999999</v>
      </c>
      <c r="H113" s="2">
        <f t="shared" ref="H113:H127" si="75">G113-F113</f>
        <v>5.4787899999999983</v>
      </c>
      <c r="I113" s="2">
        <f t="shared" ref="I113:I126" si="76">F114-G113</f>
        <v>9.5654199999999996</v>
      </c>
      <c r="J113" s="2">
        <f t="shared" ref="J113:J126" si="77">H113/N113</f>
        <v>0.36417930885038158</v>
      </c>
      <c r="K113" s="2">
        <f t="shared" ref="K113:K126" si="78">I113/N113</f>
        <v>0.63582069114961837</v>
      </c>
      <c r="L113" s="2">
        <f t="shared" ref="L113:L126" si="79">1/H113</f>
        <v>0.18252205322708123</v>
      </c>
      <c r="M113" s="2">
        <f t="shared" ref="M113:M126" si="80">1/N113</f>
        <v>6.6470755194191003E-2</v>
      </c>
      <c r="N113" s="2">
        <f t="shared" ref="N113:N126" si="81">H113+I113</f>
        <v>15.044209999999998</v>
      </c>
      <c r="O113" s="2">
        <v>37</v>
      </c>
      <c r="P113">
        <f t="shared" ref="P113:P126" si="82">O113/H113</f>
        <v>6.7533159694020055</v>
      </c>
      <c r="R113" t="s">
        <v>764</v>
      </c>
      <c r="S113" s="2"/>
    </row>
    <row r="114" spans="3:40" x14ac:dyDescent="0.35">
      <c r="D114" s="297">
        <v>8</v>
      </c>
      <c r="F114" s="13">
        <v>26.217669999999998</v>
      </c>
      <c r="G114" s="2">
        <v>31.273569999999999</v>
      </c>
      <c r="H114" s="2">
        <f t="shared" si="75"/>
        <v>5.0559000000000012</v>
      </c>
      <c r="I114" s="2">
        <f t="shared" si="76"/>
        <v>11.379860000000001</v>
      </c>
      <c r="J114" s="2">
        <f t="shared" si="77"/>
        <v>0.30761583279385929</v>
      </c>
      <c r="K114" s="2">
        <f t="shared" si="78"/>
        <v>0.69238416720614071</v>
      </c>
      <c r="L114" s="2">
        <f t="shared" si="79"/>
        <v>0.19778872208706655</v>
      </c>
      <c r="M114" s="2">
        <f t="shared" si="80"/>
        <v>6.0842942462046162E-2</v>
      </c>
      <c r="N114" s="2">
        <f t="shared" si="81"/>
        <v>16.435760000000002</v>
      </c>
      <c r="O114" s="2">
        <v>33</v>
      </c>
      <c r="P114">
        <f t="shared" si="82"/>
        <v>6.5270278288731962</v>
      </c>
      <c r="S114" s="2"/>
    </row>
    <row r="115" spans="3:40" x14ac:dyDescent="0.35">
      <c r="D115" s="297">
        <v>8</v>
      </c>
      <c r="F115" s="13">
        <v>42.65343</v>
      </c>
      <c r="G115" s="2">
        <v>46.995069999999998</v>
      </c>
      <c r="H115" s="2">
        <f t="shared" si="75"/>
        <v>4.3416399999999982</v>
      </c>
      <c r="I115" s="2">
        <f t="shared" si="76"/>
        <v>11.366230000000002</v>
      </c>
      <c r="J115" s="2">
        <f t="shared" si="77"/>
        <v>0.27639902800316007</v>
      </c>
      <c r="K115" s="2">
        <f t="shared" si="78"/>
        <v>0.72360097199683993</v>
      </c>
      <c r="L115" s="2">
        <f t="shared" si="79"/>
        <v>0.2303277102661668</v>
      </c>
      <c r="M115" s="2">
        <f t="shared" si="80"/>
        <v>6.3662355239761978E-2</v>
      </c>
      <c r="N115" s="2">
        <f t="shared" si="81"/>
        <v>15.70787</v>
      </c>
      <c r="O115" s="2">
        <v>28</v>
      </c>
      <c r="P115">
        <f t="shared" si="82"/>
        <v>6.4491758874526708</v>
      </c>
      <c r="S115" s="2"/>
    </row>
    <row r="116" spans="3:40" ht="18.5" x14ac:dyDescent="0.45">
      <c r="D116" s="297">
        <v>8</v>
      </c>
      <c r="F116" s="13">
        <v>58.3613</v>
      </c>
      <c r="G116" s="2">
        <v>59.616160000000001</v>
      </c>
      <c r="H116" s="2">
        <f t="shared" si="75"/>
        <v>1.2548600000000008</v>
      </c>
      <c r="I116" s="2">
        <f t="shared" si="76"/>
        <v>12.418370000000003</v>
      </c>
      <c r="J116" s="2">
        <f t="shared" si="77"/>
        <v>9.1774950030095337E-2</v>
      </c>
      <c r="K116" s="2">
        <f t="shared" si="78"/>
        <v>0.90822504996990472</v>
      </c>
      <c r="L116" s="2">
        <f t="shared" si="79"/>
        <v>0.79690164639880101</v>
      </c>
      <c r="M116" s="2">
        <f t="shared" si="80"/>
        <v>7.3135608777150654E-2</v>
      </c>
      <c r="N116" s="2">
        <f t="shared" si="81"/>
        <v>13.673230000000004</v>
      </c>
      <c r="O116" s="2">
        <v>10</v>
      </c>
      <c r="P116">
        <f t="shared" si="82"/>
        <v>7.9690164639880097</v>
      </c>
      <c r="S116" s="2"/>
      <c r="AB116" s="1" t="s">
        <v>741</v>
      </c>
      <c r="AC116" s="3"/>
      <c r="AD116" s="3"/>
      <c r="AE116" s="3"/>
      <c r="AF116" s="3"/>
      <c r="AG116" s="3"/>
      <c r="AH116" s="3"/>
      <c r="AI116" s="3"/>
      <c r="AJ116" s="3"/>
      <c r="AK116" s="3"/>
    </row>
    <row r="117" spans="3:40" ht="16" thickBot="1" x14ac:dyDescent="0.4">
      <c r="D117" s="297">
        <v>8</v>
      </c>
      <c r="F117" s="13">
        <v>72.034530000000004</v>
      </c>
      <c r="G117" s="2">
        <v>78.054839999999999</v>
      </c>
      <c r="H117" s="2">
        <f t="shared" si="75"/>
        <v>6.0203099999999949</v>
      </c>
      <c r="I117" s="2">
        <f t="shared" si="76"/>
        <v>13.915230000000008</v>
      </c>
      <c r="J117" s="2">
        <f t="shared" si="77"/>
        <v>0.30198880993441835</v>
      </c>
      <c r="K117" s="2">
        <f t="shared" si="78"/>
        <v>0.69801119006558165</v>
      </c>
      <c r="L117" s="2">
        <f t="shared" si="79"/>
        <v>0.1661044032616262</v>
      </c>
      <c r="M117" s="2">
        <f t="shared" si="80"/>
        <v>5.0161671065845209E-2</v>
      </c>
      <c r="N117" s="2">
        <f t="shared" si="81"/>
        <v>19.935540000000003</v>
      </c>
      <c r="O117" s="2">
        <v>38</v>
      </c>
      <c r="P117">
        <f t="shared" si="82"/>
        <v>6.3119673239417953</v>
      </c>
      <c r="S117" s="2"/>
      <c r="Z117" s="204" t="s">
        <v>406</v>
      </c>
      <c r="AB117" s="9" t="s">
        <v>1</v>
      </c>
      <c r="AC117" s="9" t="s">
        <v>2</v>
      </c>
      <c r="AD117" s="9" t="s">
        <v>3</v>
      </c>
      <c r="AE117" s="9" t="s">
        <v>4</v>
      </c>
      <c r="AF117" s="9" t="s">
        <v>5</v>
      </c>
      <c r="AG117" s="9" t="s">
        <v>6</v>
      </c>
      <c r="AH117" s="9" t="s">
        <v>7</v>
      </c>
      <c r="AI117" s="9" t="s">
        <v>8</v>
      </c>
      <c r="AJ117" s="9" t="s">
        <v>9</v>
      </c>
      <c r="AK117" s="9" t="s">
        <v>10</v>
      </c>
      <c r="AL117" s="44" t="s">
        <v>139</v>
      </c>
      <c r="AN117" s="44" t="s">
        <v>138</v>
      </c>
    </row>
    <row r="118" spans="3:40" x14ac:dyDescent="0.35">
      <c r="D118" s="297">
        <v>8</v>
      </c>
      <c r="F118" s="13">
        <v>91.970070000000007</v>
      </c>
      <c r="G118" s="2">
        <v>96.442819999999998</v>
      </c>
      <c r="H118" s="2">
        <f t="shared" si="75"/>
        <v>4.4727499999999907</v>
      </c>
      <c r="I118" s="2">
        <f t="shared" si="76"/>
        <v>11.566410000000005</v>
      </c>
      <c r="J118" s="2">
        <f t="shared" si="77"/>
        <v>0.2788643544923794</v>
      </c>
      <c r="K118" s="2">
        <f t="shared" si="78"/>
        <v>0.72113564550762055</v>
      </c>
      <c r="L118" s="2">
        <f t="shared" si="79"/>
        <v>0.22357609971494094</v>
      </c>
      <c r="M118" s="2">
        <f t="shared" si="80"/>
        <v>6.2347404726930858E-2</v>
      </c>
      <c r="N118" s="2">
        <f t="shared" si="81"/>
        <v>16.039159999999995</v>
      </c>
      <c r="O118" s="2">
        <v>30</v>
      </c>
      <c r="P118">
        <f t="shared" si="82"/>
        <v>6.7072829914482286</v>
      </c>
      <c r="S118" s="2"/>
      <c r="Z118" s="297">
        <v>-3</v>
      </c>
      <c r="AB118" s="13">
        <v>25.69914</v>
      </c>
      <c r="AC118" s="2">
        <v>32.248989999999999</v>
      </c>
      <c r="AD118" s="2">
        <f t="shared" ref="AD118:AD123" si="83">AC118-AB118</f>
        <v>6.5498499999999993</v>
      </c>
      <c r="AE118" s="2">
        <f>AB119-AC118</f>
        <v>6.0401700000000034</v>
      </c>
      <c r="AF118" s="2">
        <f>AD118/AJ118</f>
        <v>0.52024142932259032</v>
      </c>
      <c r="AG118" s="2">
        <f>AE118/AJ118</f>
        <v>0.47975857067740973</v>
      </c>
      <c r="AH118" s="2">
        <f>1/AD118</f>
        <v>0.15267525210501007</v>
      </c>
      <c r="AI118" s="2">
        <f>1/AJ118</f>
        <v>7.9427991377297238E-2</v>
      </c>
      <c r="AJ118" s="2">
        <f>AD118+AE118</f>
        <v>12.590020000000003</v>
      </c>
      <c r="AK118" s="2">
        <v>47</v>
      </c>
      <c r="AL118">
        <f>AK118/AD118</f>
        <v>7.1757368489354727</v>
      </c>
      <c r="AN118" t="s">
        <v>774</v>
      </c>
    </row>
    <row r="119" spans="3:40" x14ac:dyDescent="0.35">
      <c r="D119" s="297">
        <v>8</v>
      </c>
      <c r="F119" s="13">
        <v>108.00923</v>
      </c>
      <c r="G119" s="2">
        <v>112.61179</v>
      </c>
      <c r="H119" s="2">
        <f t="shared" si="75"/>
        <v>4.6025599999999969</v>
      </c>
      <c r="I119" s="2"/>
      <c r="J119" s="2"/>
      <c r="K119" s="2"/>
      <c r="L119" s="2"/>
      <c r="M119" s="2"/>
      <c r="N119" s="2"/>
      <c r="O119" s="2"/>
      <c r="S119" s="2"/>
      <c r="Z119" s="297">
        <v>-3</v>
      </c>
      <c r="AB119" s="13">
        <v>38.289160000000003</v>
      </c>
      <c r="AC119" s="2">
        <v>42.840910000000001</v>
      </c>
      <c r="AD119" s="2">
        <f t="shared" si="83"/>
        <v>4.5517499999999984</v>
      </c>
      <c r="AE119" s="2">
        <f>AB120-AC119</f>
        <v>9.433099999999996</v>
      </c>
      <c r="AF119" s="2">
        <f>AD119/AJ119</f>
        <v>0.3254772128410387</v>
      </c>
      <c r="AG119" s="2">
        <f>AE119/AJ119</f>
        <v>0.6745227871589613</v>
      </c>
      <c r="AH119" s="2">
        <f>1/AD119</f>
        <v>0.2196957214258253</v>
      </c>
      <c r="AI119" s="2">
        <f>1/AJ119</f>
        <v>7.1505951082778893E-2</v>
      </c>
      <c r="AJ119" s="2">
        <f>AD119+AE119</f>
        <v>13.984849999999994</v>
      </c>
      <c r="AK119" s="2">
        <v>31</v>
      </c>
      <c r="AL119">
        <f>AK119/AD119</f>
        <v>6.8105673642005842</v>
      </c>
    </row>
    <row r="120" spans="3:40" x14ac:dyDescent="0.35">
      <c r="D120" s="297"/>
      <c r="F120" s="13"/>
      <c r="G120" s="2"/>
      <c r="H120" s="2"/>
      <c r="I120" s="2"/>
      <c r="J120" s="2"/>
      <c r="K120" s="2"/>
      <c r="L120" s="2"/>
      <c r="M120" s="2"/>
      <c r="N120" s="2"/>
      <c r="O120" s="2"/>
      <c r="S120" s="2"/>
      <c r="W120" s="2"/>
      <c r="Z120" s="297">
        <v>-3</v>
      </c>
      <c r="AB120" s="13">
        <v>52.274009999999997</v>
      </c>
      <c r="AC120" s="2">
        <v>57.300519999999999</v>
      </c>
      <c r="AD120" s="2">
        <f t="shared" si="83"/>
        <v>5.0265100000000018</v>
      </c>
      <c r="AE120" s="2">
        <f>AB121-AC120</f>
        <v>20.900349999999996</v>
      </c>
      <c r="AF120" s="2">
        <f>AD120/AJ120</f>
        <v>0.19387268647263889</v>
      </c>
      <c r="AG120" s="2">
        <f>AE120/AJ120</f>
        <v>0.80612731352736111</v>
      </c>
      <c r="AH120" s="2">
        <f>1/AD120</f>
        <v>0.19894519258889362</v>
      </c>
      <c r="AI120" s="2">
        <f>1/AJ120</f>
        <v>3.8570038948025333E-2</v>
      </c>
      <c r="AJ120" s="2">
        <f>AD120+AE120</f>
        <v>25.926859999999998</v>
      </c>
      <c r="AK120" s="2">
        <v>36</v>
      </c>
      <c r="AL120">
        <f>AK120/AD120</f>
        <v>7.1620269332001705</v>
      </c>
    </row>
    <row r="121" spans="3:40" x14ac:dyDescent="0.35">
      <c r="D121" s="297">
        <v>6</v>
      </c>
      <c r="F121" s="13">
        <v>23.088339999999999</v>
      </c>
      <c r="G121" s="2">
        <v>32.128430000000002</v>
      </c>
      <c r="H121" s="2">
        <f t="shared" si="75"/>
        <v>9.0400900000000028</v>
      </c>
      <c r="I121" s="2">
        <f t="shared" si="76"/>
        <v>4.2380799999999965</v>
      </c>
      <c r="J121" s="2">
        <f t="shared" si="77"/>
        <v>0.68082348697147299</v>
      </c>
      <c r="K121" s="2">
        <f t="shared" si="78"/>
        <v>0.31917651302852701</v>
      </c>
      <c r="L121" s="2">
        <f t="shared" si="79"/>
        <v>0.1106183677374893</v>
      </c>
      <c r="M121" s="2">
        <f t="shared" si="80"/>
        <v>7.5311582846130154E-2</v>
      </c>
      <c r="N121" s="2">
        <f t="shared" si="81"/>
        <v>13.278169999999999</v>
      </c>
      <c r="O121" s="2">
        <v>78</v>
      </c>
      <c r="P121">
        <f t="shared" si="82"/>
        <v>8.6282326835241658</v>
      </c>
      <c r="R121" t="s">
        <v>765</v>
      </c>
      <c r="S121" s="2"/>
      <c r="W121" s="2"/>
      <c r="Z121" s="297">
        <v>-3</v>
      </c>
      <c r="AB121" s="13">
        <v>78.200869999999995</v>
      </c>
      <c r="AC121" s="2">
        <v>83.845209999999994</v>
      </c>
      <c r="AD121" s="2">
        <f t="shared" si="83"/>
        <v>5.6443399999999997</v>
      </c>
      <c r="AE121" s="2">
        <f>AB122-AC121</f>
        <v>10.647850000000005</v>
      </c>
      <c r="AF121" s="2">
        <f>AD121/AJ121</f>
        <v>0.34644452341888954</v>
      </c>
      <c r="AG121" s="2">
        <f>AE121/AJ121</f>
        <v>0.65355547658111046</v>
      </c>
      <c r="AH121" s="2">
        <f>1/AD121</f>
        <v>0.17716863264792695</v>
      </c>
      <c r="AI121" s="2">
        <f>1/AJ121</f>
        <v>6.1379102502487369E-2</v>
      </c>
      <c r="AJ121" s="2">
        <f>AD121+AE121</f>
        <v>16.292190000000005</v>
      </c>
      <c r="AK121" s="2">
        <v>40</v>
      </c>
      <c r="AL121">
        <f>AK121/AD121</f>
        <v>7.086745305917078</v>
      </c>
    </row>
    <row r="122" spans="3:40" x14ac:dyDescent="0.35">
      <c r="C122" s="2"/>
      <c r="D122" s="297">
        <v>6</v>
      </c>
      <c r="F122" s="13">
        <v>36.366509999999998</v>
      </c>
      <c r="G122" s="2">
        <v>42.339039999999997</v>
      </c>
      <c r="H122" s="2">
        <f t="shared" si="75"/>
        <v>5.972529999999999</v>
      </c>
      <c r="I122" s="2">
        <f t="shared" si="76"/>
        <v>9.6222600000000043</v>
      </c>
      <c r="J122" s="2">
        <f t="shared" si="77"/>
        <v>0.3829823934788476</v>
      </c>
      <c r="K122" s="2">
        <f t="shared" si="78"/>
        <v>0.61701760652115245</v>
      </c>
      <c r="L122" s="2">
        <f t="shared" si="79"/>
        <v>0.16743323181298381</v>
      </c>
      <c r="M122" s="2">
        <f t="shared" si="80"/>
        <v>6.4123979867635267E-2</v>
      </c>
      <c r="N122" s="2">
        <f t="shared" si="81"/>
        <v>15.594790000000003</v>
      </c>
      <c r="O122" s="2">
        <v>52</v>
      </c>
      <c r="P122">
        <f t="shared" si="82"/>
        <v>8.7065280542751573</v>
      </c>
      <c r="S122" s="2"/>
      <c r="W122" s="2"/>
      <c r="Z122" s="297">
        <v>-3</v>
      </c>
      <c r="AB122" s="13">
        <v>94.49306</v>
      </c>
      <c r="AC122" s="2">
        <v>98.832610000000003</v>
      </c>
      <c r="AD122" s="2">
        <f t="shared" si="83"/>
        <v>4.3395500000000027</v>
      </c>
      <c r="AE122" s="2">
        <f>AB123-AC122</f>
        <v>11.054580000000001</v>
      </c>
      <c r="AF122" s="2">
        <f>AD122/AJ122</f>
        <v>0.28189641116451541</v>
      </c>
      <c r="AG122" s="2">
        <f>AE122/AJ122</f>
        <v>0.71810358883548464</v>
      </c>
      <c r="AH122" s="2">
        <f>1/AD122</f>
        <v>0.23043863995114686</v>
      </c>
      <c r="AI122" s="2">
        <f>1/AJ122</f>
        <v>6.4959825595860221E-2</v>
      </c>
      <c r="AJ122" s="2">
        <f>AD122+AE122</f>
        <v>15.394130000000004</v>
      </c>
      <c r="AK122" s="2">
        <v>28</v>
      </c>
      <c r="AL122">
        <f>AK122/AD122</f>
        <v>6.4522819186321119</v>
      </c>
    </row>
    <row r="123" spans="3:40" x14ac:dyDescent="0.35">
      <c r="C123" s="2"/>
      <c r="D123" s="297">
        <v>6</v>
      </c>
      <c r="F123" s="13">
        <v>51.961300000000001</v>
      </c>
      <c r="G123" s="2">
        <v>57.997750000000003</v>
      </c>
      <c r="H123" s="2">
        <f t="shared" si="75"/>
        <v>6.0364500000000021</v>
      </c>
      <c r="I123" s="2">
        <f t="shared" si="76"/>
        <v>6.5319199999999924</v>
      </c>
      <c r="J123" s="2">
        <f t="shared" si="77"/>
        <v>0.48028901122420847</v>
      </c>
      <c r="K123" s="2">
        <f t="shared" si="78"/>
        <v>0.51971098877579158</v>
      </c>
      <c r="L123" s="2">
        <f t="shared" si="79"/>
        <v>0.16566028046285478</v>
      </c>
      <c r="M123" s="2">
        <f t="shared" si="80"/>
        <v>7.9564812302629573E-2</v>
      </c>
      <c r="N123" s="2">
        <f t="shared" si="81"/>
        <v>12.568369999999994</v>
      </c>
      <c r="O123" s="2">
        <v>41</v>
      </c>
      <c r="P123">
        <f t="shared" si="82"/>
        <v>6.7920714989770454</v>
      </c>
      <c r="S123" s="2"/>
      <c r="W123" s="2"/>
      <c r="Z123" s="297">
        <v>-3</v>
      </c>
      <c r="AB123" s="13">
        <v>109.88719</v>
      </c>
      <c r="AC123" s="2">
        <v>114.88919</v>
      </c>
      <c r="AD123" s="2">
        <f t="shared" si="83"/>
        <v>5.0019999999999953</v>
      </c>
      <c r="AE123" s="2"/>
      <c r="AF123" s="2"/>
      <c r="AG123" s="2"/>
      <c r="AH123" s="2"/>
      <c r="AI123" s="2"/>
      <c r="AJ123" s="2"/>
      <c r="AK123" s="2"/>
    </row>
    <row r="124" spans="3:40" x14ac:dyDescent="0.35">
      <c r="C124" s="2"/>
      <c r="D124" s="297">
        <v>6</v>
      </c>
      <c r="F124" s="13">
        <v>64.529669999999996</v>
      </c>
      <c r="G124" s="2">
        <v>71.146010000000004</v>
      </c>
      <c r="H124" s="2">
        <f t="shared" si="75"/>
        <v>6.6163400000000081</v>
      </c>
      <c r="I124" s="2">
        <f t="shared" si="76"/>
        <v>10.964959999999991</v>
      </c>
      <c r="J124" s="2">
        <f t="shared" si="77"/>
        <v>0.37632825786489105</v>
      </c>
      <c r="K124" s="2">
        <f t="shared" si="78"/>
        <v>0.62367174213510901</v>
      </c>
      <c r="L124" s="2">
        <f t="shared" si="79"/>
        <v>0.15114096313067327</v>
      </c>
      <c r="M124" s="2">
        <f t="shared" si="80"/>
        <v>5.6878615346987994E-2</v>
      </c>
      <c r="N124" s="2">
        <f t="shared" si="81"/>
        <v>17.581299999999999</v>
      </c>
      <c r="O124" s="2">
        <v>49</v>
      </c>
      <c r="P124">
        <f t="shared" si="82"/>
        <v>7.4059071934029905</v>
      </c>
      <c r="S124" s="2"/>
      <c r="W124" s="2"/>
      <c r="Z124" s="297">
        <v>-3</v>
      </c>
      <c r="AD124" s="2"/>
      <c r="AE124" s="2"/>
      <c r="AF124" s="2"/>
      <c r="AG124" s="2"/>
      <c r="AH124" s="2"/>
      <c r="AI124" s="2"/>
      <c r="AJ124" s="2"/>
      <c r="AK124" s="2"/>
    </row>
    <row r="125" spans="3:40" x14ac:dyDescent="0.35">
      <c r="C125" s="2"/>
      <c r="D125" s="297">
        <v>6</v>
      </c>
      <c r="F125" s="13">
        <v>82.110969999999995</v>
      </c>
      <c r="G125" s="2">
        <v>88.243359999999996</v>
      </c>
      <c r="H125" s="2">
        <f t="shared" si="75"/>
        <v>6.1323900000000009</v>
      </c>
      <c r="I125" s="2">
        <f t="shared" si="76"/>
        <v>7.2988300000000095</v>
      </c>
      <c r="J125" s="2">
        <f t="shared" si="77"/>
        <v>0.45657728784131274</v>
      </c>
      <c r="K125" s="2">
        <f t="shared" si="78"/>
        <v>0.54342271215868732</v>
      </c>
      <c r="L125" s="2">
        <f t="shared" si="79"/>
        <v>0.16306855891422428</v>
      </c>
      <c r="M125" s="2">
        <f t="shared" si="80"/>
        <v>7.445340036124784E-2</v>
      </c>
      <c r="N125" s="2">
        <f t="shared" si="81"/>
        <v>13.43122000000001</v>
      </c>
      <c r="O125" s="2">
        <v>45</v>
      </c>
      <c r="P125">
        <f t="shared" si="82"/>
        <v>7.3380851511400929</v>
      </c>
      <c r="S125" s="2"/>
      <c r="W125" s="2"/>
    </row>
    <row r="126" spans="3:40" x14ac:dyDescent="0.35">
      <c r="C126" s="2"/>
      <c r="D126" s="297">
        <v>6</v>
      </c>
      <c r="F126" s="13">
        <v>95.542190000000005</v>
      </c>
      <c r="G126" s="2">
        <v>101.32537000000001</v>
      </c>
      <c r="H126" s="2">
        <f t="shared" si="75"/>
        <v>5.7831800000000015</v>
      </c>
      <c r="I126" s="2">
        <f t="shared" si="76"/>
        <v>10.893559999999994</v>
      </c>
      <c r="J126" s="2">
        <f t="shared" si="77"/>
        <v>0.34678120543943258</v>
      </c>
      <c r="K126" s="2">
        <f t="shared" si="78"/>
        <v>0.65321879456056742</v>
      </c>
      <c r="L126" s="2">
        <f t="shared" si="79"/>
        <v>0.1729152473206782</v>
      </c>
      <c r="M126" s="2">
        <f t="shared" si="80"/>
        <v>5.9963757904722401E-2</v>
      </c>
      <c r="N126" s="2">
        <f t="shared" si="81"/>
        <v>16.676739999999995</v>
      </c>
      <c r="O126" s="2">
        <v>48</v>
      </c>
      <c r="P126">
        <f t="shared" si="82"/>
        <v>8.2999318713925536</v>
      </c>
      <c r="S126" s="2"/>
      <c r="W126" s="2"/>
    </row>
    <row r="127" spans="3:40" x14ac:dyDescent="0.35">
      <c r="C127" s="2"/>
      <c r="D127" s="297">
        <v>6</v>
      </c>
      <c r="F127" s="13">
        <v>112.21893</v>
      </c>
      <c r="G127" s="2">
        <v>118.54089</v>
      </c>
      <c r="H127" s="2">
        <f t="shared" si="75"/>
        <v>6.3219600000000042</v>
      </c>
      <c r="I127" s="2"/>
      <c r="J127" s="2"/>
      <c r="K127" s="2"/>
      <c r="L127" s="2"/>
      <c r="M127" s="2"/>
      <c r="N127" s="2"/>
      <c r="O127" s="2"/>
      <c r="S127" s="2"/>
      <c r="W127" s="2"/>
    </row>
    <row r="128" spans="3:40" ht="16" thickBot="1" x14ac:dyDescent="0.4">
      <c r="C128" s="2"/>
      <c r="F128" s="13"/>
      <c r="H128" s="2"/>
      <c r="I128" s="2"/>
      <c r="J128" s="2"/>
      <c r="K128" s="2"/>
      <c r="L128" s="2"/>
      <c r="M128" s="2"/>
      <c r="N128" s="2"/>
      <c r="O128" s="2"/>
      <c r="S128" s="2"/>
      <c r="W128" s="2"/>
      <c r="AA128" s="104" t="s">
        <v>473</v>
      </c>
      <c r="AB128" s="13"/>
      <c r="AC128" s="13"/>
      <c r="AD128" s="9" t="s">
        <v>3</v>
      </c>
      <c r="AE128" s="9" t="s">
        <v>4</v>
      </c>
      <c r="AF128" s="9" t="s">
        <v>5</v>
      </c>
      <c r="AG128" s="9" t="s">
        <v>6</v>
      </c>
      <c r="AH128" s="9" t="s">
        <v>7</v>
      </c>
      <c r="AI128" s="9" t="s">
        <v>8</v>
      </c>
      <c r="AJ128" s="9" t="s">
        <v>9</v>
      </c>
      <c r="AK128" s="9" t="s">
        <v>10</v>
      </c>
      <c r="AL128" s="44" t="s">
        <v>139</v>
      </c>
    </row>
    <row r="129" spans="3:38" ht="16" thickBot="1" x14ac:dyDescent="0.4">
      <c r="C129" s="2"/>
      <c r="E129" s="104" t="s">
        <v>413</v>
      </c>
      <c r="F129" s="13"/>
      <c r="G129" s="13"/>
      <c r="H129" s="9" t="s">
        <v>3</v>
      </c>
      <c r="I129" s="9" t="s">
        <v>4</v>
      </c>
      <c r="J129" s="9" t="s">
        <v>5</v>
      </c>
      <c r="K129" s="9" t="s">
        <v>6</v>
      </c>
      <c r="L129" s="9" t="s">
        <v>7</v>
      </c>
      <c r="M129" s="9" t="s">
        <v>8</v>
      </c>
      <c r="N129" s="9" t="s">
        <v>9</v>
      </c>
      <c r="O129" s="9" t="s">
        <v>10</v>
      </c>
      <c r="P129" s="44" t="s">
        <v>139</v>
      </c>
      <c r="S129" s="2"/>
      <c r="W129" s="2"/>
      <c r="AB129" s="13"/>
      <c r="AC129" s="49" t="s">
        <v>77</v>
      </c>
      <c r="AD129" s="13">
        <f>AVERAGE(AD118:AD122)</f>
        <v>5.2224000000000004</v>
      </c>
      <c r="AE129" s="13">
        <f t="shared" ref="AE129:AL129" si="84">AVERAGE(AE118:AE122)</f>
        <v>11.615210000000001</v>
      </c>
      <c r="AF129" s="13">
        <f t="shared" si="84"/>
        <v>0.33358645264393461</v>
      </c>
      <c r="AG129" s="13">
        <f t="shared" si="84"/>
        <v>0.66641354735606551</v>
      </c>
      <c r="AH129" s="13">
        <f t="shared" si="84"/>
        <v>0.19578468774376057</v>
      </c>
      <c r="AI129" s="13">
        <f t="shared" si="84"/>
        <v>6.3168581901289808E-2</v>
      </c>
      <c r="AJ129" s="13">
        <f t="shared" si="84"/>
        <v>16.837610000000002</v>
      </c>
      <c r="AK129" s="13">
        <f t="shared" si="84"/>
        <v>36.4</v>
      </c>
      <c r="AL129" s="13">
        <f t="shared" si="84"/>
        <v>6.9374716741770825</v>
      </c>
    </row>
    <row r="130" spans="3:38" x14ac:dyDescent="0.35">
      <c r="C130" s="2"/>
      <c r="F130" s="13"/>
      <c r="G130" s="49" t="s">
        <v>77</v>
      </c>
      <c r="H130" s="13">
        <f t="shared" ref="H130:P130" si="85">AVERAGE(H113:H118)</f>
        <v>4.4373749999999967</v>
      </c>
      <c r="I130" s="13">
        <f t="shared" si="85"/>
        <v>11.701920000000001</v>
      </c>
      <c r="J130" s="13">
        <f t="shared" si="85"/>
        <v>0.2701370473507157</v>
      </c>
      <c r="K130" s="13">
        <f t="shared" si="85"/>
        <v>0.72986295264928425</v>
      </c>
      <c r="L130" s="13">
        <f t="shared" si="85"/>
        <v>0.29953677249261379</v>
      </c>
      <c r="M130" s="13">
        <f t="shared" si="85"/>
        <v>6.2770122910987644E-2</v>
      </c>
      <c r="N130" s="13">
        <f t="shared" si="85"/>
        <v>16.139295000000001</v>
      </c>
      <c r="O130" s="13">
        <f t="shared" si="85"/>
        <v>29.333333333333332</v>
      </c>
      <c r="P130" s="13">
        <f t="shared" si="85"/>
        <v>6.786297744184318</v>
      </c>
      <c r="S130" s="2"/>
      <c r="W130" s="2"/>
      <c r="AA130" s="104"/>
      <c r="AB130" s="13"/>
      <c r="AC130" s="49" t="s">
        <v>94</v>
      </c>
      <c r="AD130" s="2">
        <f>_xlfn.STDEV.S(AD118:AD122)</f>
        <v>0.89550618412158289</v>
      </c>
      <c r="AE130" s="2">
        <f t="shared" ref="AE130:AL130" si="86">_xlfn.STDEV.S(AE118:AE122)</f>
        <v>5.5521750521709938</v>
      </c>
      <c r="AF130" s="2">
        <f t="shared" si="86"/>
        <v>0.1196484088058169</v>
      </c>
      <c r="AG130" s="2">
        <f t="shared" si="86"/>
        <v>0.11964840880581701</v>
      </c>
      <c r="AH130" s="2">
        <f t="shared" si="86"/>
        <v>3.157373779993207E-2</v>
      </c>
      <c r="AI130" s="2">
        <f t="shared" si="86"/>
        <v>1.5373509905781093E-2</v>
      </c>
      <c r="AJ130" s="2">
        <f t="shared" si="86"/>
        <v>5.2719978062163486</v>
      </c>
      <c r="AK130" s="2">
        <f t="shared" si="86"/>
        <v>7.503332592921625</v>
      </c>
      <c r="AL130" s="2">
        <f t="shared" si="86"/>
        <v>0.30862265704530656</v>
      </c>
    </row>
    <row r="131" spans="3:38" x14ac:dyDescent="0.35">
      <c r="C131" s="2"/>
      <c r="E131" s="104"/>
      <c r="F131" s="13"/>
      <c r="G131" s="49" t="s">
        <v>94</v>
      </c>
      <c r="H131" s="2">
        <f t="shared" ref="H131:P131" si="87">_xlfn.STDEV.S(H113:H118)</f>
        <v>1.679977374737528</v>
      </c>
      <c r="I131" s="2">
        <f t="shared" si="87"/>
        <v>1.4290869384610712</v>
      </c>
      <c r="J131" s="2">
        <f t="shared" si="87"/>
        <v>9.2942516792047569E-2</v>
      </c>
      <c r="K131" s="2">
        <f t="shared" si="87"/>
        <v>9.2942516792048513E-2</v>
      </c>
      <c r="L131" s="2">
        <f t="shared" si="87"/>
        <v>0.24485956928146965</v>
      </c>
      <c r="M131" s="2">
        <f t="shared" si="87"/>
        <v>7.5471826285417572E-3</v>
      </c>
      <c r="N131" s="2">
        <f t="shared" si="87"/>
        <v>2.0964832404075961</v>
      </c>
      <c r="O131" s="2">
        <f t="shared" si="87"/>
        <v>10.230672835481867</v>
      </c>
      <c r="P131" s="2">
        <f t="shared" si="87"/>
        <v>0.60199934910777064</v>
      </c>
      <c r="S131" s="2"/>
      <c r="W131" s="2"/>
      <c r="AA131" s="104"/>
      <c r="AB131" s="13"/>
      <c r="AC131" s="49" t="s">
        <v>95</v>
      </c>
      <c r="AD131" s="2">
        <f>AD130/(SQRT(COUNT(AD118:AD122)))</f>
        <v>0.40048254039346043</v>
      </c>
      <c r="AE131" s="2">
        <f t="shared" ref="AE131:AL131" si="88">AE130/(SQRT(COUNT(AE118:AE122)))</f>
        <v>2.4830081679265565</v>
      </c>
      <c r="AF131" s="2">
        <f t="shared" si="88"/>
        <v>5.3508395097898204E-2</v>
      </c>
      <c r="AG131" s="2">
        <f t="shared" si="88"/>
        <v>5.3508395097898252E-2</v>
      </c>
      <c r="AH131" s="2">
        <f t="shared" si="88"/>
        <v>1.4120204804880552E-2</v>
      </c>
      <c r="AI131" s="2">
        <f t="shared" si="88"/>
        <v>6.875242640418582E-3</v>
      </c>
      <c r="AJ131" s="2">
        <f t="shared" si="88"/>
        <v>2.3577090943859038</v>
      </c>
      <c r="AK131" s="2">
        <f t="shared" si="88"/>
        <v>3.355592347112502</v>
      </c>
      <c r="AL131" s="2">
        <f t="shared" si="88"/>
        <v>0.13802024810998195</v>
      </c>
    </row>
    <row r="132" spans="3:38" x14ac:dyDescent="0.35">
      <c r="C132" s="2"/>
      <c r="E132" s="104"/>
      <c r="F132" s="13"/>
      <c r="G132" s="49" t="s">
        <v>95</v>
      </c>
      <c r="H132" s="2">
        <f t="shared" ref="H132:P132" si="89">H131/(SQRT(COUNT(H113:H118)))</f>
        <v>0.68584789125456447</v>
      </c>
      <c r="I132" s="2">
        <f t="shared" si="89"/>
        <v>0.58342229955096814</v>
      </c>
      <c r="J132" s="2">
        <f t="shared" si="89"/>
        <v>3.7943623591762309E-2</v>
      </c>
      <c r="K132" s="2">
        <f t="shared" si="89"/>
        <v>3.794362359176269E-2</v>
      </c>
      <c r="L132" s="2">
        <f t="shared" si="89"/>
        <v>9.9963500562877824E-2</v>
      </c>
      <c r="M132" s="2">
        <f t="shared" si="89"/>
        <v>3.0811244059207369E-3</v>
      </c>
      <c r="N132" s="2">
        <f t="shared" si="89"/>
        <v>0.85588569888254118</v>
      </c>
      <c r="O132" s="2">
        <f t="shared" si="89"/>
        <v>4.176654695380555</v>
      </c>
      <c r="P132" s="2">
        <f t="shared" si="89"/>
        <v>0.24576520513360564</v>
      </c>
      <c r="S132" s="2"/>
      <c r="W132" s="2"/>
    </row>
    <row r="133" spans="3:38" x14ac:dyDescent="0.35">
      <c r="C133" s="2"/>
      <c r="E133" s="104"/>
      <c r="S133" s="2"/>
      <c r="W133" s="2"/>
    </row>
    <row r="134" spans="3:38" ht="16" thickBot="1" x14ac:dyDescent="0.4">
      <c r="C134" s="2"/>
      <c r="E134" s="104" t="s">
        <v>409</v>
      </c>
      <c r="F134" s="13"/>
      <c r="G134" s="13"/>
      <c r="H134" s="9" t="s">
        <v>3</v>
      </c>
      <c r="I134" s="9" t="s">
        <v>4</v>
      </c>
      <c r="J134" s="9" t="s">
        <v>5</v>
      </c>
      <c r="K134" s="9" t="s">
        <v>6</v>
      </c>
      <c r="L134" s="9" t="s">
        <v>7</v>
      </c>
      <c r="M134" s="9" t="s">
        <v>8</v>
      </c>
      <c r="N134" s="9" t="s">
        <v>9</v>
      </c>
      <c r="O134" s="9" t="s">
        <v>10</v>
      </c>
      <c r="P134" s="44" t="s">
        <v>139</v>
      </c>
      <c r="Q134" s="2"/>
      <c r="R134" s="2"/>
      <c r="S134" s="2"/>
      <c r="W134" s="2"/>
    </row>
    <row r="135" spans="3:38" x14ac:dyDescent="0.35">
      <c r="C135" s="2"/>
      <c r="F135" s="13"/>
      <c r="G135" s="49" t="s">
        <v>77</v>
      </c>
      <c r="H135" s="13">
        <f>AVERAGE(H121:H126)</f>
        <v>6.5968300000000015</v>
      </c>
      <c r="I135" s="13">
        <f t="shared" ref="I135:P135" si="90">AVERAGE(I121:I126)</f>
        <v>8.2582683333333318</v>
      </c>
      <c r="J135" s="13">
        <f t="shared" si="90"/>
        <v>0.4539636071366942</v>
      </c>
      <c r="K135" s="13">
        <f t="shared" si="90"/>
        <v>0.54603639286330574</v>
      </c>
      <c r="L135" s="13">
        <f t="shared" si="90"/>
        <v>0.1551394415631506</v>
      </c>
      <c r="M135" s="13">
        <f t="shared" si="90"/>
        <v>6.8382691438225549E-2</v>
      </c>
      <c r="N135" s="13">
        <f t="shared" si="90"/>
        <v>14.855098333333332</v>
      </c>
      <c r="O135" s="13">
        <f t="shared" si="90"/>
        <v>52.166666666666664</v>
      </c>
      <c r="P135" s="13">
        <f t="shared" si="90"/>
        <v>7.8617927421186664</v>
      </c>
      <c r="Q135" s="2"/>
      <c r="R135" s="2"/>
      <c r="S135" s="2"/>
      <c r="W135" s="2"/>
    </row>
    <row r="136" spans="3:38" x14ac:dyDescent="0.35">
      <c r="C136" s="2"/>
      <c r="E136" s="104"/>
      <c r="F136" s="13"/>
      <c r="G136" s="49" t="s">
        <v>94</v>
      </c>
      <c r="H136" s="2">
        <f>_xlfn.STDEV.S(H121:H126)</f>
        <v>1.2289350786921245</v>
      </c>
      <c r="I136" s="2">
        <f t="shared" ref="I136:P136" si="91">_xlfn.STDEV.S(I121:I126)</f>
        <v>2.6905066412288705</v>
      </c>
      <c r="J136" s="2">
        <f t="shared" si="91"/>
        <v>0.12224476323207953</v>
      </c>
      <c r="K136" s="2">
        <f t="shared" si="91"/>
        <v>0.12224476323207953</v>
      </c>
      <c r="L136" s="2">
        <f t="shared" si="91"/>
        <v>2.297298128899182E-2</v>
      </c>
      <c r="M136" s="2">
        <f t="shared" si="91"/>
        <v>9.2872138210848033E-3</v>
      </c>
      <c r="N136" s="2">
        <f t="shared" si="91"/>
        <v>2.0513876570694016</v>
      </c>
      <c r="O136" s="2">
        <f t="shared" si="91"/>
        <v>13.197221929886108</v>
      </c>
      <c r="P136" s="2">
        <f t="shared" si="91"/>
        <v>0.78985804299146034</v>
      </c>
      <c r="Q136" s="2"/>
      <c r="R136" s="2"/>
      <c r="S136" s="2"/>
      <c r="W136" s="2"/>
    </row>
    <row r="137" spans="3:38" x14ac:dyDescent="0.35">
      <c r="C137" s="2"/>
      <c r="E137" s="104"/>
      <c r="F137" s="13"/>
      <c r="G137" s="49" t="s">
        <v>95</v>
      </c>
      <c r="H137" s="2">
        <f>H136/(SQRT(COUNT(H121:H126)))</f>
        <v>0.5017106449671328</v>
      </c>
      <c r="I137" s="2">
        <f t="shared" ref="I137:P137" si="92">I136/(SQRT(COUNT(I121:I126)))</f>
        <v>1.0983947367633564</v>
      </c>
      <c r="J137" s="2">
        <f t="shared" si="92"/>
        <v>4.9906215607656172E-2</v>
      </c>
      <c r="K137" s="2">
        <f t="shared" si="92"/>
        <v>4.9906215607656172E-2</v>
      </c>
      <c r="L137" s="2">
        <f t="shared" si="92"/>
        <v>9.3786803380892236E-3</v>
      </c>
      <c r="M137" s="2">
        <f t="shared" si="92"/>
        <v>3.7914891656302321E-3</v>
      </c>
      <c r="N137" s="2">
        <f t="shared" si="92"/>
        <v>0.83747550407725257</v>
      </c>
      <c r="O137" s="2">
        <f t="shared" si="92"/>
        <v>5.3877432917482073</v>
      </c>
      <c r="P137" s="2">
        <f t="shared" si="92"/>
        <v>0.32245819576039614</v>
      </c>
      <c r="Q137" s="2"/>
      <c r="R137" s="2"/>
      <c r="S137" s="2"/>
      <c r="W137" s="2"/>
    </row>
    <row r="138" spans="3:38" x14ac:dyDescent="0.35">
      <c r="C138" s="2"/>
      <c r="D138" s="2"/>
      <c r="E138" s="3"/>
      <c r="F138" s="2"/>
      <c r="G138" s="49"/>
      <c r="H138" s="13"/>
      <c r="I138" s="13"/>
      <c r="J138" s="13"/>
      <c r="K138" s="13"/>
      <c r="L138" s="13"/>
      <c r="M138" s="13"/>
      <c r="N138" s="13"/>
      <c r="O138" s="13"/>
      <c r="P138" s="13"/>
      <c r="Q138" s="2"/>
      <c r="R138" s="2"/>
      <c r="S138" s="2"/>
      <c r="V138" s="2"/>
      <c r="W138" s="2"/>
    </row>
    <row r="139" spans="3:38" x14ac:dyDescent="0.35">
      <c r="C139" s="2"/>
      <c r="D139" s="2"/>
      <c r="E139" s="2"/>
      <c r="F139" s="2"/>
      <c r="G139" s="49"/>
      <c r="H139" s="2"/>
      <c r="I139" s="2"/>
      <c r="J139" s="2"/>
      <c r="K139" s="2"/>
      <c r="L139" s="2"/>
      <c r="M139" s="2"/>
      <c r="N139" s="2"/>
      <c r="O139" s="2"/>
      <c r="P139" s="2"/>
      <c r="Q139" s="2"/>
      <c r="R139" s="2"/>
      <c r="S139" s="2"/>
      <c r="T139" s="2"/>
      <c r="U139" s="2"/>
      <c r="V139" s="2"/>
      <c r="W139" s="2"/>
    </row>
    <row r="140" spans="3:38" x14ac:dyDescent="0.35">
      <c r="C140" s="2"/>
      <c r="D140" s="2"/>
      <c r="E140" s="2"/>
      <c r="F140" s="2"/>
      <c r="G140" s="49"/>
      <c r="H140" s="2"/>
      <c r="I140" s="2"/>
      <c r="J140" s="2"/>
      <c r="K140" s="2"/>
      <c r="L140" s="2"/>
      <c r="M140" s="2"/>
      <c r="N140" s="2"/>
      <c r="O140" s="2"/>
      <c r="P140" s="2"/>
      <c r="Q140" s="2"/>
      <c r="R140" s="2"/>
      <c r="S140" s="2"/>
      <c r="T140" s="2"/>
      <c r="U140" s="2"/>
      <c r="V140" s="2"/>
      <c r="W140" s="2"/>
    </row>
    <row r="141" spans="3:38" ht="15.5" x14ac:dyDescent="0.35">
      <c r="C141" s="2"/>
      <c r="D141" s="2"/>
      <c r="E141" s="2"/>
      <c r="F141" s="2"/>
      <c r="G141" s="2"/>
      <c r="H141" s="2"/>
      <c r="I141" s="2"/>
      <c r="J141" s="2"/>
      <c r="K141" s="2"/>
      <c r="L141" s="2"/>
      <c r="M141" s="2"/>
      <c r="N141" s="2"/>
      <c r="O141" s="2"/>
      <c r="P141" s="2"/>
      <c r="Q141" s="2"/>
      <c r="R141" s="14"/>
      <c r="S141" s="2"/>
      <c r="T141" s="2"/>
      <c r="U141" s="2"/>
      <c r="V141" s="2"/>
      <c r="W141" s="2"/>
    </row>
    <row r="142" spans="3:38" x14ac:dyDescent="0.35">
      <c r="C142" s="2"/>
      <c r="D142" s="2"/>
      <c r="E142" s="2"/>
      <c r="F142" s="2"/>
      <c r="G142" s="2"/>
      <c r="H142" s="2"/>
      <c r="I142" s="2"/>
      <c r="J142" s="2"/>
      <c r="K142" s="2"/>
      <c r="L142" s="2"/>
      <c r="M142" s="2"/>
      <c r="N142" s="2"/>
      <c r="O142" s="2"/>
      <c r="P142" s="2"/>
      <c r="Q142" s="2"/>
      <c r="R142" s="2"/>
      <c r="S142" s="2"/>
      <c r="T142" s="2"/>
      <c r="U142" s="2"/>
      <c r="V142" s="2"/>
      <c r="W142" s="2"/>
    </row>
    <row r="143" spans="3:38" x14ac:dyDescent="0.35">
      <c r="C143" s="2"/>
      <c r="D143" s="2"/>
      <c r="E143" s="2"/>
      <c r="F143" s="2"/>
      <c r="G143" s="2"/>
      <c r="H143" s="2"/>
      <c r="I143" s="2"/>
      <c r="J143" s="2"/>
      <c r="K143" s="2"/>
      <c r="L143" s="2"/>
      <c r="M143" s="2"/>
      <c r="N143" s="2"/>
      <c r="O143" s="2"/>
      <c r="P143" s="2"/>
      <c r="Q143" s="2"/>
      <c r="R143" s="2"/>
      <c r="S143" s="2"/>
      <c r="T143" s="2"/>
      <c r="U143" s="2"/>
      <c r="V143" s="2"/>
      <c r="W143" s="2"/>
    </row>
    <row r="144" spans="3:38" x14ac:dyDescent="0.35">
      <c r="C144" s="2"/>
      <c r="D144" s="2"/>
      <c r="E144" s="2"/>
      <c r="F144" s="2"/>
      <c r="G144" s="2"/>
      <c r="H144" s="2"/>
      <c r="I144" s="2"/>
      <c r="J144" s="2"/>
      <c r="K144" s="2"/>
      <c r="L144" s="2"/>
      <c r="M144" s="2"/>
      <c r="N144" s="2"/>
      <c r="O144" s="2"/>
      <c r="P144" s="2"/>
      <c r="Q144" s="2"/>
      <c r="R144" s="2"/>
      <c r="S144" s="2"/>
      <c r="T144" s="2"/>
      <c r="U144" s="2"/>
      <c r="V144" s="2"/>
      <c r="W144" s="2"/>
    </row>
    <row r="145" spans="1:24" ht="18.5" x14ac:dyDescent="0.45">
      <c r="C145" s="2"/>
      <c r="D145" s="2"/>
      <c r="E145" s="2"/>
      <c r="F145" s="1"/>
      <c r="G145" s="3"/>
      <c r="H145" s="3"/>
      <c r="I145" s="3"/>
      <c r="J145" s="3"/>
      <c r="K145" s="3"/>
      <c r="L145" s="3"/>
      <c r="M145" s="3"/>
      <c r="N145" s="3"/>
      <c r="O145" s="3"/>
      <c r="P145" s="2"/>
      <c r="Q145" s="2"/>
      <c r="R145" s="2"/>
      <c r="S145" s="2"/>
      <c r="T145" s="2"/>
      <c r="U145" s="2"/>
      <c r="V145" s="2"/>
      <c r="W145" s="2"/>
    </row>
    <row r="146" spans="1:24" ht="18.5" x14ac:dyDescent="0.45">
      <c r="C146" s="2"/>
      <c r="D146" s="2"/>
      <c r="E146" s="2"/>
      <c r="F146" s="1"/>
      <c r="G146" s="3"/>
      <c r="H146" s="3"/>
      <c r="I146" s="3"/>
      <c r="J146" s="3"/>
      <c r="K146" s="3"/>
      <c r="L146" s="3"/>
      <c r="M146" s="3"/>
      <c r="N146" s="3"/>
      <c r="O146" s="3"/>
      <c r="P146" s="2"/>
      <c r="Q146" s="2"/>
      <c r="R146" s="2"/>
      <c r="S146" s="2"/>
      <c r="T146" s="2"/>
      <c r="U146" s="2"/>
      <c r="V146" s="2"/>
      <c r="W146" s="2"/>
    </row>
    <row r="147" spans="1:24" ht="15.5" x14ac:dyDescent="0.35">
      <c r="C147" s="2"/>
      <c r="D147" s="199"/>
      <c r="E147" s="2"/>
      <c r="F147" s="5"/>
      <c r="G147" s="5"/>
      <c r="H147" s="5"/>
      <c r="I147" s="5"/>
      <c r="J147" s="5"/>
      <c r="K147" s="5"/>
      <c r="L147" s="5"/>
      <c r="M147" s="5"/>
      <c r="N147" s="5"/>
      <c r="O147" s="5"/>
      <c r="P147" s="14"/>
      <c r="Q147" s="2"/>
      <c r="R147" s="2"/>
      <c r="S147" s="2"/>
      <c r="T147" s="2"/>
      <c r="U147" s="2"/>
      <c r="V147" s="2"/>
      <c r="W147" s="2"/>
    </row>
    <row r="148" spans="1:24" x14ac:dyDescent="0.35">
      <c r="A148" s="2"/>
      <c r="C148" s="2"/>
      <c r="D148" s="292"/>
      <c r="E148" s="2"/>
      <c r="F148" s="2"/>
      <c r="G148" s="2"/>
      <c r="H148" s="2"/>
      <c r="I148" s="2"/>
      <c r="J148" s="2"/>
      <c r="K148" s="2"/>
      <c r="L148" s="2"/>
      <c r="M148" s="2"/>
      <c r="N148" s="2"/>
      <c r="O148" s="2"/>
      <c r="P148" s="2"/>
      <c r="Q148" s="2"/>
      <c r="R148" s="2"/>
      <c r="S148" s="2"/>
      <c r="T148" s="2"/>
      <c r="U148" s="2"/>
      <c r="V148" s="2"/>
      <c r="W148" s="2"/>
    </row>
    <row r="149" spans="1:24" x14ac:dyDescent="0.35">
      <c r="A149" s="2"/>
      <c r="B149" s="2"/>
      <c r="C149" s="2"/>
      <c r="D149" s="292"/>
      <c r="E149" s="2"/>
      <c r="F149" s="13"/>
      <c r="G149" s="2"/>
      <c r="H149" s="2"/>
      <c r="I149" s="2"/>
      <c r="J149" s="2"/>
      <c r="K149" s="2"/>
      <c r="L149" s="2"/>
      <c r="M149" s="2"/>
      <c r="N149" s="2"/>
      <c r="O149" s="2"/>
      <c r="P149" s="2"/>
      <c r="Q149" s="2"/>
      <c r="R149" s="2"/>
      <c r="S149" s="2"/>
      <c r="T149" s="2"/>
      <c r="U149" s="2"/>
      <c r="V149" s="2"/>
      <c r="W149" s="2"/>
    </row>
    <row r="150" spans="1:24" x14ac:dyDescent="0.35">
      <c r="A150" s="2"/>
      <c r="B150" s="2"/>
      <c r="C150" s="2"/>
      <c r="D150" s="292"/>
      <c r="E150" s="2"/>
      <c r="F150" s="13"/>
      <c r="G150" s="2"/>
      <c r="H150" s="2"/>
      <c r="I150" s="2"/>
      <c r="J150" s="2"/>
      <c r="K150" s="2"/>
      <c r="L150" s="2"/>
      <c r="M150" s="2"/>
      <c r="N150" s="2"/>
      <c r="O150" s="2"/>
      <c r="P150" s="2"/>
      <c r="Q150" s="2"/>
      <c r="R150" s="2"/>
      <c r="S150" s="2"/>
      <c r="T150" s="2"/>
      <c r="U150" s="2"/>
      <c r="V150" s="2"/>
      <c r="W150" s="2"/>
    </row>
    <row r="151" spans="1:24" x14ac:dyDescent="0.35">
      <c r="A151" s="2"/>
      <c r="B151" s="2"/>
      <c r="C151" s="2"/>
      <c r="D151" s="292"/>
      <c r="E151" s="2"/>
      <c r="F151" s="13"/>
      <c r="G151" s="2"/>
      <c r="H151" s="2"/>
      <c r="I151" s="2"/>
      <c r="J151" s="2"/>
      <c r="K151" s="2"/>
      <c r="L151" s="2"/>
      <c r="M151" s="2"/>
      <c r="N151" s="2"/>
      <c r="O151" s="2"/>
      <c r="P151" s="2"/>
      <c r="Q151" s="2"/>
      <c r="R151" s="2"/>
      <c r="S151" s="2"/>
      <c r="T151" s="2"/>
      <c r="U151" s="2"/>
      <c r="V151" s="2"/>
      <c r="W151" s="2"/>
    </row>
    <row r="152" spans="1:24" x14ac:dyDescent="0.35">
      <c r="A152" s="2"/>
      <c r="B152" s="2"/>
      <c r="C152" s="2"/>
      <c r="D152" s="292"/>
      <c r="E152" s="2"/>
      <c r="F152" s="13"/>
      <c r="G152" s="2"/>
      <c r="H152" s="2"/>
      <c r="I152" s="2"/>
      <c r="J152" s="2"/>
      <c r="K152" s="2"/>
      <c r="L152" s="2"/>
      <c r="M152" s="2"/>
      <c r="N152" s="2"/>
      <c r="O152" s="2"/>
      <c r="P152" s="2"/>
      <c r="Q152" s="2"/>
      <c r="R152" s="2"/>
      <c r="S152" s="2"/>
      <c r="T152" s="2"/>
      <c r="U152" s="2"/>
      <c r="V152" s="2"/>
      <c r="W152" s="2"/>
    </row>
    <row r="153" spans="1:24" x14ac:dyDescent="0.35">
      <c r="A153" s="2"/>
      <c r="B153" s="2"/>
      <c r="C153" s="2"/>
      <c r="D153" s="292"/>
      <c r="E153" s="2"/>
      <c r="F153" s="13"/>
      <c r="G153" s="2"/>
      <c r="H153" s="2"/>
      <c r="I153" s="2"/>
      <c r="J153" s="2"/>
      <c r="K153" s="2"/>
      <c r="L153" s="2"/>
      <c r="M153" s="2"/>
      <c r="N153" s="2"/>
      <c r="O153" s="2"/>
      <c r="P153" s="2"/>
      <c r="Q153" s="2"/>
      <c r="R153" s="2"/>
      <c r="S153" s="2"/>
      <c r="T153" s="2"/>
      <c r="U153" s="2"/>
      <c r="V153" s="2"/>
      <c r="W153" s="2"/>
      <c r="X153" s="2"/>
    </row>
    <row r="154" spans="1:24" x14ac:dyDescent="0.35">
      <c r="A154" s="2"/>
      <c r="B154" s="2"/>
      <c r="C154" s="2"/>
      <c r="D154" s="292"/>
      <c r="E154" s="2"/>
      <c r="F154" s="13"/>
      <c r="G154" s="2"/>
      <c r="H154" s="2"/>
      <c r="I154" s="2"/>
      <c r="J154" s="2"/>
      <c r="K154" s="2"/>
      <c r="L154" s="2"/>
      <c r="M154" s="2"/>
      <c r="N154" s="2"/>
      <c r="O154" s="2"/>
      <c r="P154" s="2"/>
      <c r="Q154" s="2"/>
      <c r="R154" s="2"/>
      <c r="S154" s="2"/>
      <c r="T154" s="2"/>
      <c r="U154" s="2"/>
      <c r="V154" s="2"/>
      <c r="W154" s="2"/>
      <c r="X154" s="2"/>
    </row>
    <row r="155" spans="1:24" x14ac:dyDescent="0.35">
      <c r="A155" s="2"/>
      <c r="B155" s="2"/>
      <c r="C155" s="2"/>
      <c r="D155" s="292"/>
      <c r="E155" s="2"/>
      <c r="F155" s="13"/>
      <c r="G155" s="2"/>
      <c r="H155" s="2"/>
      <c r="I155" s="2"/>
      <c r="J155" s="2"/>
      <c r="K155" s="2"/>
      <c r="L155" s="2"/>
      <c r="M155" s="2"/>
      <c r="N155" s="2"/>
      <c r="O155" s="2"/>
      <c r="P155" s="2"/>
      <c r="Q155" s="2"/>
      <c r="R155" s="2"/>
      <c r="S155" s="2"/>
      <c r="T155" s="2"/>
      <c r="U155" s="2"/>
      <c r="V155" s="2"/>
      <c r="W155" s="2"/>
      <c r="X155" s="2"/>
    </row>
    <row r="156" spans="1:24" x14ac:dyDescent="0.35">
      <c r="A156" s="2"/>
      <c r="B156" s="2"/>
      <c r="C156" s="2"/>
      <c r="D156" s="292"/>
      <c r="E156" s="2"/>
      <c r="F156" s="13"/>
      <c r="G156" s="2"/>
      <c r="H156" s="2"/>
      <c r="I156" s="2"/>
      <c r="J156" s="2"/>
      <c r="K156" s="2"/>
      <c r="L156" s="2"/>
      <c r="M156" s="2"/>
      <c r="N156" s="2"/>
      <c r="O156" s="2"/>
      <c r="P156" s="2"/>
      <c r="Q156" s="2"/>
      <c r="R156" s="2"/>
      <c r="S156" s="2"/>
      <c r="T156" s="2"/>
      <c r="U156" s="2"/>
      <c r="V156" s="2"/>
      <c r="W156" s="2"/>
      <c r="X156" s="2"/>
    </row>
    <row r="157" spans="1:24" x14ac:dyDescent="0.35">
      <c r="A157" s="2"/>
      <c r="B157" s="2"/>
      <c r="C157" s="2"/>
      <c r="D157" s="292"/>
      <c r="E157" s="2"/>
      <c r="F157" s="13"/>
      <c r="G157" s="2"/>
      <c r="H157" s="2"/>
      <c r="I157" s="2"/>
      <c r="J157" s="2"/>
      <c r="K157" s="2"/>
      <c r="L157" s="2"/>
      <c r="M157" s="2"/>
      <c r="N157" s="2"/>
      <c r="O157" s="2"/>
      <c r="P157" s="2"/>
      <c r="Q157" s="2"/>
      <c r="R157" s="2"/>
      <c r="S157" s="2"/>
      <c r="T157" s="2"/>
      <c r="U157" s="2"/>
      <c r="V157" s="2"/>
      <c r="W157" s="2"/>
      <c r="X157" s="2"/>
    </row>
    <row r="158" spans="1:24" x14ac:dyDescent="0.35">
      <c r="A158" s="2"/>
      <c r="B158" s="2"/>
      <c r="C158" s="2"/>
      <c r="D158" s="292"/>
      <c r="E158" s="2"/>
      <c r="F158" s="13"/>
      <c r="G158" s="2"/>
      <c r="H158" s="2"/>
      <c r="I158" s="2"/>
      <c r="J158" s="2"/>
      <c r="K158" s="2"/>
      <c r="L158" s="2"/>
      <c r="M158" s="2"/>
      <c r="N158" s="2"/>
      <c r="O158" s="2"/>
      <c r="P158" s="2"/>
      <c r="Q158" s="2"/>
      <c r="R158" s="2"/>
      <c r="S158" s="2"/>
      <c r="T158" s="2"/>
      <c r="U158" s="2"/>
      <c r="V158" s="2"/>
      <c r="W158" s="2"/>
      <c r="X158" s="2"/>
    </row>
    <row r="159" spans="1:24" x14ac:dyDescent="0.35">
      <c r="A159" s="2"/>
      <c r="B159" s="2"/>
      <c r="C159" s="2"/>
      <c r="D159" s="292"/>
      <c r="E159" s="2"/>
      <c r="F159" s="13"/>
      <c r="G159" s="2"/>
      <c r="H159" s="2"/>
      <c r="I159" s="2"/>
      <c r="J159" s="2"/>
      <c r="K159" s="2"/>
      <c r="L159" s="2"/>
      <c r="M159" s="2"/>
      <c r="N159" s="2"/>
      <c r="O159" s="2"/>
      <c r="P159" s="2"/>
      <c r="Q159" s="2"/>
      <c r="R159" s="2"/>
      <c r="S159" s="2"/>
      <c r="T159" s="2"/>
      <c r="U159" s="2"/>
      <c r="V159" s="2"/>
      <c r="W159" s="2"/>
      <c r="X159" s="2"/>
    </row>
    <row r="160" spans="1:24" x14ac:dyDescent="0.35">
      <c r="A160" s="2"/>
      <c r="B160" s="2"/>
      <c r="C160" s="2"/>
      <c r="D160" s="292"/>
      <c r="E160" s="2"/>
      <c r="F160" s="13"/>
      <c r="G160" s="2"/>
      <c r="H160" s="2"/>
      <c r="I160" s="2"/>
      <c r="J160" s="2"/>
      <c r="K160" s="2"/>
      <c r="L160" s="2"/>
      <c r="M160" s="2"/>
      <c r="N160" s="2"/>
      <c r="O160" s="2"/>
      <c r="P160" s="2"/>
      <c r="Q160" s="2"/>
      <c r="R160" s="2"/>
      <c r="S160" s="2"/>
      <c r="T160" s="2"/>
      <c r="U160" s="2"/>
      <c r="V160" s="2"/>
      <c r="W160" s="2"/>
      <c r="X160" s="2"/>
    </row>
    <row r="161" spans="1:44" x14ac:dyDescent="0.35">
      <c r="A161" s="2"/>
      <c r="B161" s="2"/>
      <c r="C161" s="2"/>
      <c r="D161" s="292"/>
      <c r="E161" s="2"/>
      <c r="F161" s="13"/>
      <c r="G161" s="2"/>
      <c r="H161" s="2"/>
      <c r="I161" s="2"/>
      <c r="J161" s="2"/>
      <c r="K161" s="2"/>
      <c r="L161" s="2"/>
      <c r="M161" s="2"/>
      <c r="N161" s="2"/>
      <c r="O161" s="2"/>
      <c r="P161" s="2"/>
      <c r="Q161" s="2"/>
      <c r="R161" s="2"/>
      <c r="S161" s="2"/>
      <c r="T161" s="2"/>
      <c r="U161" s="2"/>
      <c r="V161" s="2"/>
      <c r="W161" s="2"/>
      <c r="X161" s="2"/>
    </row>
    <row r="162" spans="1:44" x14ac:dyDescent="0.35">
      <c r="A162" s="2"/>
      <c r="B162" s="2"/>
      <c r="C162" s="2"/>
      <c r="D162" s="292"/>
      <c r="E162" s="2"/>
      <c r="F162" s="13"/>
      <c r="G162" s="2"/>
      <c r="H162" s="2"/>
      <c r="I162" s="2"/>
      <c r="J162" s="2"/>
      <c r="K162" s="2"/>
      <c r="L162" s="2"/>
      <c r="M162" s="2"/>
      <c r="N162" s="2"/>
      <c r="O162" s="2"/>
      <c r="P162" s="2"/>
      <c r="Q162" s="2"/>
      <c r="R162" s="2"/>
      <c r="S162" s="2"/>
      <c r="T162" s="2"/>
      <c r="U162" s="2"/>
      <c r="V162" s="2"/>
      <c r="W162" s="2"/>
      <c r="X162" s="2"/>
    </row>
    <row r="163" spans="1:44" x14ac:dyDescent="0.35">
      <c r="A163" s="2"/>
      <c r="B163" s="2"/>
      <c r="C163" s="2"/>
      <c r="D163" s="292"/>
      <c r="E163" s="2"/>
      <c r="F163" s="13"/>
      <c r="G163" s="13"/>
      <c r="H163" s="2"/>
      <c r="I163" s="2"/>
      <c r="J163" s="2"/>
      <c r="K163" s="2"/>
      <c r="L163" s="2"/>
      <c r="M163" s="2"/>
      <c r="N163" s="2"/>
      <c r="O163" s="2"/>
      <c r="P163" s="2"/>
      <c r="Q163" s="2"/>
      <c r="R163" s="2"/>
      <c r="S163" s="2"/>
      <c r="T163" s="2"/>
      <c r="U163" s="2"/>
      <c r="V163" s="2"/>
      <c r="W163" s="2"/>
      <c r="X163" s="2"/>
    </row>
    <row r="164" spans="1:44" x14ac:dyDescent="0.35">
      <c r="A164" s="2"/>
      <c r="B164" s="2"/>
      <c r="C164" s="2"/>
      <c r="D164" s="292"/>
      <c r="E164" s="2"/>
      <c r="F164" s="13"/>
      <c r="G164" s="13"/>
      <c r="H164" s="2"/>
      <c r="I164" s="2"/>
      <c r="J164" s="2"/>
      <c r="K164" s="2"/>
      <c r="L164" s="2"/>
      <c r="M164" s="2"/>
      <c r="N164" s="2"/>
      <c r="O164" s="2"/>
      <c r="P164" s="2"/>
      <c r="Q164" s="2"/>
      <c r="R164" s="2"/>
      <c r="S164" s="2"/>
      <c r="T164" s="2"/>
      <c r="U164" s="2"/>
      <c r="V164" s="2"/>
      <c r="W164" s="2"/>
      <c r="X164" s="2"/>
    </row>
    <row r="165" spans="1:44" x14ac:dyDescent="0.35">
      <c r="A165" s="2"/>
      <c r="B165" s="2"/>
      <c r="C165" s="2"/>
      <c r="D165" s="2"/>
      <c r="E165" s="2"/>
      <c r="F165" s="13"/>
      <c r="G165" s="13"/>
      <c r="H165" s="2"/>
      <c r="I165" s="2"/>
      <c r="J165" s="2"/>
      <c r="K165" s="2"/>
      <c r="L165" s="2"/>
      <c r="M165" s="2"/>
      <c r="N165" s="2"/>
      <c r="O165" s="2"/>
      <c r="P165" s="2"/>
      <c r="Q165" s="2"/>
      <c r="R165" s="2"/>
      <c r="S165" s="2"/>
      <c r="T165" s="2"/>
      <c r="U165" s="2"/>
      <c r="V165" s="2"/>
      <c r="W165" s="2"/>
      <c r="X165" s="2"/>
    </row>
    <row r="166" spans="1:44" x14ac:dyDescent="0.35">
      <c r="A166" s="2"/>
      <c r="B166" s="2"/>
      <c r="C166" s="2"/>
      <c r="D166" s="2"/>
      <c r="E166" s="2"/>
      <c r="F166" s="13"/>
      <c r="G166" s="2"/>
      <c r="H166" s="2"/>
      <c r="I166" s="2"/>
      <c r="J166" s="2"/>
      <c r="K166" s="2"/>
      <c r="L166" s="2"/>
      <c r="M166" s="2"/>
      <c r="N166" s="2"/>
      <c r="O166" s="2"/>
      <c r="P166" s="2"/>
      <c r="Q166" s="2"/>
      <c r="R166" s="2"/>
      <c r="S166" s="2"/>
      <c r="T166" s="2"/>
      <c r="U166" s="2"/>
      <c r="V166" s="2"/>
      <c r="W166" s="2"/>
      <c r="X166" s="2"/>
    </row>
    <row r="167" spans="1:44" ht="15.5" x14ac:dyDescent="0.35">
      <c r="A167" s="2"/>
      <c r="B167" s="2"/>
      <c r="C167" s="2"/>
      <c r="D167" s="2"/>
      <c r="E167" s="2"/>
      <c r="F167" s="13"/>
      <c r="G167" s="13"/>
      <c r="H167" s="5"/>
      <c r="I167" s="5"/>
      <c r="J167" s="5"/>
      <c r="K167" s="5"/>
      <c r="L167" s="5"/>
      <c r="M167" s="5"/>
      <c r="N167" s="5"/>
      <c r="O167" s="5"/>
      <c r="P167" s="14"/>
      <c r="Q167" s="2"/>
      <c r="R167" s="2"/>
      <c r="S167" s="2"/>
      <c r="T167" s="2"/>
      <c r="U167" s="2"/>
      <c r="V167" s="2"/>
      <c r="W167" s="2"/>
      <c r="X167" s="2"/>
      <c r="AO167" s="2"/>
    </row>
    <row r="168" spans="1:44" x14ac:dyDescent="0.35">
      <c r="A168" s="2"/>
      <c r="B168" s="2"/>
      <c r="C168" s="2"/>
      <c r="D168" s="2"/>
      <c r="E168" s="3"/>
      <c r="F168" s="13"/>
      <c r="G168" s="49"/>
      <c r="H168" s="13"/>
      <c r="I168" s="13"/>
      <c r="J168" s="13"/>
      <c r="K168" s="13"/>
      <c r="L168" s="13"/>
      <c r="M168" s="13"/>
      <c r="N168" s="13"/>
      <c r="O168" s="13"/>
      <c r="P168" s="13"/>
      <c r="Q168" s="2"/>
      <c r="R168" s="2"/>
      <c r="S168" s="2"/>
      <c r="T168" s="2"/>
      <c r="U168" s="2"/>
      <c r="V168" s="2"/>
      <c r="W168" s="2"/>
      <c r="X168" s="2"/>
      <c r="Y168" s="2"/>
      <c r="AO168" s="2"/>
    </row>
    <row r="169" spans="1:44" x14ac:dyDescent="0.35">
      <c r="A169" s="2"/>
      <c r="B169" s="2"/>
      <c r="C169" s="2"/>
      <c r="D169" s="2"/>
      <c r="E169" s="3"/>
      <c r="F169" s="13"/>
      <c r="G169" s="49"/>
      <c r="H169" s="2"/>
      <c r="I169" s="2"/>
      <c r="J169" s="2"/>
      <c r="K169" s="2"/>
      <c r="L169" s="2"/>
      <c r="M169" s="2"/>
      <c r="N169" s="2"/>
      <c r="O169" s="2"/>
      <c r="P169" s="2"/>
      <c r="Q169" s="2"/>
      <c r="R169" s="2"/>
      <c r="S169" s="2"/>
      <c r="T169" s="2"/>
      <c r="U169" s="2"/>
      <c r="V169" s="2"/>
      <c r="W169" s="2"/>
      <c r="X169" s="2"/>
      <c r="Y169" s="2"/>
      <c r="AO169" s="2"/>
    </row>
    <row r="170" spans="1:44" x14ac:dyDescent="0.35">
      <c r="A170" s="2"/>
      <c r="B170" s="2"/>
      <c r="C170" s="2"/>
      <c r="D170" s="2"/>
      <c r="E170" s="3"/>
      <c r="F170" s="13"/>
      <c r="G170" s="49"/>
      <c r="H170" s="2"/>
      <c r="I170" s="2"/>
      <c r="J170" s="2"/>
      <c r="K170" s="2"/>
      <c r="L170" s="2"/>
      <c r="M170" s="2"/>
      <c r="N170" s="2"/>
      <c r="O170" s="2"/>
      <c r="P170" s="2"/>
      <c r="Q170" s="2"/>
      <c r="R170" s="2"/>
      <c r="S170" s="2"/>
      <c r="T170" s="2"/>
      <c r="U170" s="2"/>
      <c r="V170" s="2"/>
      <c r="W170" s="2"/>
      <c r="X170" s="2"/>
      <c r="Y170" s="2"/>
      <c r="AO170" s="2"/>
    </row>
    <row r="171" spans="1:44" s="2" customFormat="1" x14ac:dyDescent="0.35">
      <c r="E171" s="3"/>
      <c r="Z171"/>
      <c r="AA171"/>
      <c r="AB171"/>
      <c r="AC171"/>
      <c r="AD171"/>
      <c r="AE171"/>
      <c r="AF171"/>
      <c r="AG171"/>
      <c r="AH171"/>
      <c r="AI171"/>
      <c r="AJ171"/>
      <c r="AK171"/>
      <c r="AL171"/>
      <c r="AM171"/>
      <c r="AN171"/>
      <c r="AP171"/>
      <c r="AQ171"/>
      <c r="AR171"/>
    </row>
    <row r="172" spans="1:44" s="2" customFormat="1" x14ac:dyDescent="0.35">
      <c r="E172" s="3"/>
      <c r="Z172"/>
      <c r="AA172"/>
      <c r="AB172"/>
      <c r="AC172"/>
      <c r="AD172"/>
      <c r="AE172"/>
      <c r="AF172"/>
      <c r="AG172"/>
      <c r="AH172"/>
      <c r="AI172"/>
      <c r="AJ172"/>
      <c r="AK172"/>
      <c r="AL172"/>
      <c r="AM172"/>
      <c r="AN172"/>
      <c r="AP172"/>
      <c r="AQ172"/>
      <c r="AR172"/>
    </row>
    <row r="173" spans="1:44" s="2" customFormat="1" ht="15.5" x14ac:dyDescent="0.35">
      <c r="E173" s="3"/>
      <c r="G173" s="13"/>
      <c r="H173" s="5"/>
      <c r="I173" s="5"/>
      <c r="J173" s="5"/>
      <c r="K173" s="5"/>
      <c r="L173" s="5"/>
      <c r="M173" s="5"/>
      <c r="N173" s="5"/>
      <c r="O173" s="5"/>
      <c r="P173" s="14"/>
      <c r="Z173"/>
      <c r="AA173"/>
      <c r="AB173"/>
      <c r="AC173"/>
      <c r="AD173"/>
      <c r="AE173"/>
      <c r="AF173"/>
      <c r="AG173"/>
      <c r="AH173"/>
      <c r="AI173"/>
      <c r="AJ173"/>
      <c r="AK173"/>
      <c r="AL173"/>
      <c r="AM173"/>
      <c r="AN173"/>
      <c r="AP173"/>
      <c r="AQ173"/>
      <c r="AR173"/>
    </row>
    <row r="174" spans="1:44" s="2" customFormat="1" x14ac:dyDescent="0.35">
      <c r="E174" s="3"/>
      <c r="G174" s="49"/>
      <c r="H174" s="13"/>
      <c r="I174" s="13"/>
      <c r="J174" s="13"/>
      <c r="K174" s="13"/>
      <c r="L174" s="13"/>
      <c r="M174" s="13"/>
      <c r="N174" s="13"/>
      <c r="O174" s="13"/>
      <c r="P174" s="13"/>
      <c r="Z174"/>
      <c r="AA174"/>
      <c r="AB174"/>
      <c r="AC174"/>
      <c r="AD174"/>
      <c r="AE174"/>
      <c r="AF174"/>
      <c r="AG174"/>
      <c r="AH174"/>
      <c r="AI174"/>
      <c r="AJ174"/>
      <c r="AK174"/>
      <c r="AL174"/>
      <c r="AM174"/>
      <c r="AN174"/>
      <c r="AP174"/>
      <c r="AQ174"/>
      <c r="AR174"/>
    </row>
    <row r="175" spans="1:44" s="2" customFormat="1" x14ac:dyDescent="0.35">
      <c r="G175" s="49"/>
      <c r="Z175"/>
      <c r="AA175"/>
      <c r="AB175"/>
      <c r="AC175"/>
      <c r="AD175"/>
      <c r="AE175"/>
      <c r="AF175"/>
      <c r="AG175"/>
      <c r="AH175"/>
      <c r="AI175"/>
      <c r="AJ175"/>
      <c r="AK175"/>
      <c r="AL175"/>
      <c r="AM175"/>
      <c r="AN175"/>
      <c r="AP175"/>
      <c r="AQ175"/>
      <c r="AR175"/>
    </row>
    <row r="176" spans="1:44" s="2" customFormat="1" ht="15.5" x14ac:dyDescent="0.35">
      <c r="G176" s="49"/>
      <c r="R176" s="14"/>
      <c r="Z176"/>
      <c r="AA176"/>
      <c r="AB176"/>
      <c r="AC176"/>
      <c r="AD176"/>
      <c r="AE176"/>
      <c r="AF176"/>
      <c r="AG176"/>
      <c r="AH176"/>
      <c r="AI176"/>
      <c r="AJ176"/>
      <c r="AK176"/>
      <c r="AL176"/>
      <c r="AM176"/>
      <c r="AN176"/>
      <c r="AQ176"/>
      <c r="AR176"/>
    </row>
    <row r="177" spans="4:44" s="2" customFormat="1" x14ac:dyDescent="0.35">
      <c r="Z177"/>
      <c r="AA177"/>
      <c r="AB177"/>
      <c r="AC177"/>
      <c r="AD177"/>
      <c r="AE177"/>
      <c r="AF177"/>
      <c r="AG177"/>
      <c r="AH177"/>
      <c r="AI177"/>
      <c r="AJ177"/>
      <c r="AK177"/>
      <c r="AL177"/>
      <c r="AM177"/>
      <c r="AN177"/>
      <c r="AQ177"/>
      <c r="AR177"/>
    </row>
    <row r="178" spans="4:44" s="2" customFormat="1" x14ac:dyDescent="0.35">
      <c r="Z178"/>
      <c r="AA178"/>
      <c r="AB178"/>
      <c r="AC178"/>
      <c r="AD178"/>
      <c r="AE178"/>
      <c r="AF178"/>
      <c r="AG178"/>
      <c r="AH178"/>
      <c r="AI178"/>
      <c r="AJ178"/>
      <c r="AK178"/>
      <c r="AL178"/>
      <c r="AM178"/>
      <c r="AN178"/>
      <c r="AQ178"/>
      <c r="AR178"/>
    </row>
    <row r="179" spans="4:44" s="2" customFormat="1" x14ac:dyDescent="0.35">
      <c r="Z179"/>
      <c r="AA179"/>
      <c r="AB179"/>
      <c r="AC179"/>
      <c r="AD179"/>
      <c r="AE179"/>
      <c r="AF179"/>
      <c r="AG179"/>
      <c r="AH179"/>
      <c r="AI179"/>
      <c r="AJ179"/>
      <c r="AK179"/>
      <c r="AL179"/>
      <c r="AM179"/>
      <c r="AN179"/>
      <c r="AQ179"/>
      <c r="AR179"/>
    </row>
    <row r="180" spans="4:44" s="2" customFormat="1" x14ac:dyDescent="0.35">
      <c r="Z180"/>
      <c r="AA180"/>
      <c r="AB180"/>
      <c r="AC180"/>
      <c r="AD180"/>
      <c r="AE180"/>
      <c r="AF180"/>
      <c r="AG180"/>
      <c r="AH180"/>
      <c r="AI180"/>
      <c r="AJ180"/>
      <c r="AK180"/>
      <c r="AL180"/>
      <c r="AM180"/>
      <c r="AN180"/>
      <c r="AR180"/>
    </row>
    <row r="181" spans="4:44" s="2" customFormat="1" ht="18.5" x14ac:dyDescent="0.45">
      <c r="F181" s="1"/>
      <c r="G181" s="3"/>
      <c r="H181" s="3"/>
      <c r="I181" s="3"/>
      <c r="J181" s="3"/>
      <c r="K181" s="3"/>
      <c r="L181" s="3"/>
      <c r="M181" s="3"/>
      <c r="N181" s="3"/>
      <c r="O181" s="3"/>
      <c r="Z181"/>
      <c r="AA181"/>
      <c r="AB181"/>
      <c r="AC181"/>
      <c r="AD181"/>
      <c r="AE181"/>
      <c r="AF181"/>
      <c r="AG181"/>
      <c r="AH181"/>
      <c r="AI181"/>
      <c r="AJ181"/>
      <c r="AK181"/>
      <c r="AL181"/>
      <c r="AM181"/>
      <c r="AN181"/>
      <c r="AR181"/>
    </row>
    <row r="182" spans="4:44" s="2" customFormat="1" ht="15.5" x14ac:dyDescent="0.35">
      <c r="D182" s="199"/>
      <c r="F182" s="5"/>
      <c r="G182" s="5"/>
      <c r="H182" s="5"/>
      <c r="I182" s="5"/>
      <c r="J182" s="5"/>
      <c r="K182" s="5"/>
      <c r="L182" s="5"/>
      <c r="M182" s="5"/>
      <c r="N182" s="5"/>
      <c r="O182" s="5"/>
      <c r="P182" s="14"/>
      <c r="Z182"/>
      <c r="AA182"/>
      <c r="AB182"/>
      <c r="AC182"/>
      <c r="AD182"/>
      <c r="AE182"/>
      <c r="AF182"/>
      <c r="AG182"/>
      <c r="AH182"/>
      <c r="AI182"/>
      <c r="AJ182"/>
      <c r="AK182"/>
      <c r="AL182"/>
      <c r="AM182"/>
      <c r="AR182"/>
    </row>
    <row r="183" spans="4:44" s="2" customFormat="1" x14ac:dyDescent="0.35">
      <c r="D183" s="292"/>
      <c r="Z183"/>
      <c r="AA183"/>
      <c r="AB183"/>
      <c r="AC183"/>
      <c r="AD183"/>
      <c r="AE183"/>
      <c r="AF183"/>
      <c r="AG183"/>
      <c r="AH183"/>
      <c r="AI183"/>
      <c r="AJ183"/>
      <c r="AK183"/>
      <c r="AL183"/>
      <c r="AM183"/>
      <c r="AR183"/>
    </row>
    <row r="184" spans="4:44" s="2" customFormat="1" x14ac:dyDescent="0.35">
      <c r="D184" s="292"/>
      <c r="F184" s="13"/>
      <c r="Z184"/>
      <c r="AA184"/>
      <c r="AB184"/>
      <c r="AC184"/>
      <c r="AD184"/>
      <c r="AE184"/>
      <c r="AF184"/>
      <c r="AG184"/>
      <c r="AH184"/>
      <c r="AI184"/>
      <c r="AJ184"/>
      <c r="AK184"/>
      <c r="AL184"/>
      <c r="AM184"/>
      <c r="AR184"/>
    </row>
    <row r="185" spans="4:44" s="2" customFormat="1" x14ac:dyDescent="0.35">
      <c r="D185" s="292"/>
      <c r="F185" s="13"/>
      <c r="AR185"/>
    </row>
    <row r="186" spans="4:44" s="2" customFormat="1" x14ac:dyDescent="0.35">
      <c r="D186" s="292"/>
      <c r="F186" s="13"/>
      <c r="AR186"/>
    </row>
    <row r="187" spans="4:44" s="2" customFormat="1" x14ac:dyDescent="0.35">
      <c r="D187" s="292"/>
      <c r="F187" s="13"/>
      <c r="AR187"/>
    </row>
    <row r="188" spans="4:44" s="2" customFormat="1" x14ac:dyDescent="0.35">
      <c r="D188" s="292"/>
      <c r="F188" s="13"/>
      <c r="AR188"/>
    </row>
    <row r="189" spans="4:44" s="2" customFormat="1" x14ac:dyDescent="0.35">
      <c r="D189" s="292"/>
      <c r="F189" s="13"/>
    </row>
    <row r="190" spans="4:44" s="2" customFormat="1" x14ac:dyDescent="0.35">
      <c r="D190" s="292"/>
      <c r="F190" s="13"/>
    </row>
    <row r="191" spans="4:44" s="2" customFormat="1" x14ac:dyDescent="0.35">
      <c r="D191" s="292"/>
      <c r="F191" s="13"/>
    </row>
    <row r="192" spans="4:44" s="2" customFormat="1" x14ac:dyDescent="0.35">
      <c r="F192" s="13"/>
      <c r="G192" s="13"/>
    </row>
    <row r="193" spans="4:19" s="2" customFormat="1" x14ac:dyDescent="0.35">
      <c r="F193" s="13"/>
    </row>
    <row r="194" spans="4:19" s="2" customFormat="1" ht="15.5" x14ac:dyDescent="0.35">
      <c r="F194" s="13"/>
      <c r="G194" s="13"/>
      <c r="H194" s="5"/>
      <c r="I194" s="5"/>
      <c r="J194" s="5"/>
      <c r="K194" s="5"/>
      <c r="L194" s="5"/>
      <c r="M194" s="5"/>
      <c r="N194" s="5"/>
      <c r="O194" s="5"/>
      <c r="P194" s="14"/>
    </row>
    <row r="195" spans="4:19" s="2" customFormat="1" x14ac:dyDescent="0.35">
      <c r="E195" s="3"/>
      <c r="F195" s="13"/>
      <c r="G195" s="49"/>
      <c r="H195" s="13"/>
      <c r="I195" s="13"/>
      <c r="J195" s="13"/>
      <c r="K195" s="13"/>
      <c r="L195" s="13"/>
      <c r="M195" s="13"/>
      <c r="N195" s="13"/>
      <c r="O195" s="13"/>
      <c r="P195" s="13"/>
    </row>
    <row r="196" spans="4:19" s="2" customFormat="1" x14ac:dyDescent="0.35">
      <c r="E196" s="3"/>
      <c r="F196" s="13"/>
      <c r="G196" s="49"/>
    </row>
    <row r="197" spans="4:19" s="2" customFormat="1" x14ac:dyDescent="0.35">
      <c r="E197" s="3"/>
      <c r="F197" s="13"/>
      <c r="G197" s="49"/>
    </row>
    <row r="198" spans="4:19" s="2" customFormat="1" x14ac:dyDescent="0.35">
      <c r="E198" s="3"/>
    </row>
    <row r="199" spans="4:19" s="2" customFormat="1" x14ac:dyDescent="0.35">
      <c r="E199" s="3"/>
    </row>
    <row r="200" spans="4:19" s="2" customFormat="1" ht="15.5" x14ac:dyDescent="0.35">
      <c r="E200" s="3"/>
      <c r="G200" s="13"/>
      <c r="H200" s="5"/>
      <c r="I200" s="5"/>
      <c r="J200" s="5"/>
      <c r="K200" s="5"/>
      <c r="L200" s="5"/>
      <c r="M200" s="5"/>
      <c r="N200" s="5"/>
      <c r="O200" s="5"/>
      <c r="P200" s="14"/>
    </row>
    <row r="201" spans="4:19" s="2" customFormat="1" x14ac:dyDescent="0.35">
      <c r="E201" s="3"/>
      <c r="G201" s="49"/>
      <c r="H201" s="13"/>
      <c r="I201" s="13"/>
      <c r="J201" s="13"/>
      <c r="K201" s="13"/>
      <c r="L201" s="13"/>
      <c r="M201" s="13"/>
      <c r="N201" s="13"/>
      <c r="O201" s="13"/>
      <c r="P201" s="13"/>
    </row>
    <row r="202" spans="4:19" s="2" customFormat="1" x14ac:dyDescent="0.35">
      <c r="G202" s="49"/>
      <c r="R202"/>
      <c r="S202"/>
    </row>
    <row r="203" spans="4:19" s="2" customFormat="1" x14ac:dyDescent="0.35">
      <c r="G203" s="49"/>
      <c r="R203"/>
      <c r="S203"/>
    </row>
    <row r="204" spans="4:19" s="2" customFormat="1" x14ac:dyDescent="0.35">
      <c r="R204"/>
      <c r="S204"/>
    </row>
    <row r="205" spans="4:19" s="2" customFormat="1" x14ac:dyDescent="0.35">
      <c r="R205"/>
      <c r="S205"/>
    </row>
    <row r="206" spans="4:19" s="2" customFormat="1" x14ac:dyDescent="0.35">
      <c r="R206"/>
      <c r="S206"/>
    </row>
    <row r="207" spans="4:19" s="2" customFormat="1" x14ac:dyDescent="0.35">
      <c r="D207"/>
      <c r="E207"/>
      <c r="F207"/>
      <c r="G207"/>
      <c r="H207"/>
      <c r="I207"/>
      <c r="J207"/>
      <c r="K207"/>
      <c r="L207"/>
      <c r="M207"/>
      <c r="N207"/>
      <c r="O207"/>
      <c r="P207"/>
      <c r="Q207"/>
      <c r="R207"/>
      <c r="S207"/>
    </row>
    <row r="208" spans="4:19" s="2" customFormat="1" x14ac:dyDescent="0.35">
      <c r="D208"/>
      <c r="E208"/>
      <c r="F208"/>
      <c r="G208"/>
      <c r="H208"/>
      <c r="I208"/>
      <c r="J208"/>
      <c r="K208"/>
      <c r="L208"/>
      <c r="M208"/>
      <c r="N208"/>
      <c r="O208"/>
      <c r="P208"/>
      <c r="Q208"/>
      <c r="R208"/>
      <c r="S208"/>
    </row>
    <row r="209" spans="1:24" s="2" customFormat="1" x14ac:dyDescent="0.35">
      <c r="D209"/>
      <c r="E209"/>
      <c r="F209"/>
      <c r="G209"/>
      <c r="H209"/>
      <c r="I209"/>
      <c r="J209"/>
      <c r="K209"/>
      <c r="L209"/>
      <c r="M209"/>
      <c r="N209"/>
      <c r="O209"/>
      <c r="P209"/>
      <c r="Q209"/>
      <c r="R209"/>
      <c r="S209"/>
    </row>
    <row r="210" spans="1:24" s="2" customFormat="1" x14ac:dyDescent="0.35">
      <c r="D210"/>
      <c r="E210"/>
      <c r="F210"/>
      <c r="G210"/>
      <c r="H210"/>
      <c r="I210"/>
      <c r="J210"/>
      <c r="K210"/>
      <c r="L210"/>
      <c r="M210"/>
      <c r="N210"/>
      <c r="O210"/>
      <c r="P210"/>
      <c r="Q210"/>
      <c r="R210"/>
      <c r="S210"/>
    </row>
    <row r="211" spans="1:24" s="2" customFormat="1" x14ac:dyDescent="0.35">
      <c r="D211"/>
      <c r="E211"/>
      <c r="F211"/>
      <c r="G211"/>
      <c r="H211"/>
      <c r="I211"/>
      <c r="J211"/>
      <c r="K211"/>
      <c r="L211"/>
      <c r="M211"/>
      <c r="N211"/>
      <c r="O211"/>
      <c r="P211"/>
      <c r="Q211"/>
      <c r="R211"/>
      <c r="S211"/>
      <c r="W211"/>
      <c r="X211"/>
    </row>
    <row r="212" spans="1:24" s="2" customFormat="1" x14ac:dyDescent="0.35">
      <c r="A212"/>
      <c r="D212"/>
      <c r="E212"/>
      <c r="F212"/>
      <c r="G212"/>
      <c r="H212"/>
      <c r="I212"/>
      <c r="J212"/>
      <c r="K212"/>
      <c r="L212"/>
      <c r="M212"/>
      <c r="N212"/>
      <c r="O212"/>
      <c r="P212"/>
      <c r="Q212"/>
      <c r="R212"/>
      <c r="S212"/>
      <c r="W212"/>
      <c r="X212"/>
    </row>
    <row r="213" spans="1:24" s="2" customFormat="1" x14ac:dyDescent="0.35">
      <c r="A213"/>
      <c r="B213"/>
      <c r="D213"/>
      <c r="E213"/>
      <c r="F213"/>
      <c r="G213"/>
      <c r="H213"/>
      <c r="I213"/>
      <c r="J213"/>
      <c r="K213"/>
      <c r="L213"/>
      <c r="M213"/>
      <c r="N213"/>
      <c r="O213"/>
      <c r="P213"/>
      <c r="Q213"/>
      <c r="R213"/>
      <c r="S213"/>
      <c r="W213"/>
      <c r="X213"/>
    </row>
    <row r="214" spans="1:24" s="2" customFormat="1" x14ac:dyDescent="0.35">
      <c r="A214"/>
      <c r="B214"/>
      <c r="D214"/>
      <c r="E214"/>
      <c r="F214"/>
      <c r="G214"/>
      <c r="H214"/>
      <c r="I214"/>
      <c r="J214"/>
      <c r="K214"/>
      <c r="L214"/>
      <c r="M214"/>
      <c r="N214"/>
      <c r="O214"/>
      <c r="P214"/>
      <c r="Q214"/>
      <c r="R214"/>
      <c r="S214"/>
      <c r="W214"/>
      <c r="X214"/>
    </row>
    <row r="215" spans="1:24" s="2" customFormat="1" x14ac:dyDescent="0.35">
      <c r="A215"/>
      <c r="B215"/>
      <c r="D215"/>
      <c r="E215"/>
      <c r="F215"/>
      <c r="G215"/>
      <c r="H215"/>
      <c r="I215"/>
      <c r="J215"/>
      <c r="K215"/>
      <c r="L215"/>
      <c r="M215"/>
      <c r="N215"/>
      <c r="O215"/>
      <c r="P215"/>
      <c r="Q215"/>
      <c r="R215"/>
      <c r="S215"/>
      <c r="W215"/>
      <c r="X215"/>
    </row>
    <row r="216" spans="1:24" s="2" customFormat="1" x14ac:dyDescent="0.35">
      <c r="A216"/>
      <c r="B216"/>
      <c r="D216"/>
      <c r="E216"/>
      <c r="F216"/>
      <c r="G216"/>
      <c r="H216"/>
      <c r="I216"/>
      <c r="J216"/>
      <c r="K216"/>
      <c r="L216"/>
      <c r="M216"/>
      <c r="N216"/>
      <c r="O216"/>
      <c r="P216"/>
      <c r="Q216"/>
      <c r="R216"/>
      <c r="S216"/>
      <c r="W216"/>
      <c r="X216"/>
    </row>
    <row r="217" spans="1:24" s="2" customFormat="1" x14ac:dyDescent="0.35">
      <c r="A217"/>
      <c r="B217"/>
      <c r="D217"/>
      <c r="E217"/>
      <c r="F217"/>
      <c r="G217"/>
      <c r="H217"/>
      <c r="I217"/>
      <c r="J217"/>
      <c r="K217"/>
      <c r="L217"/>
      <c r="M217"/>
      <c r="N217"/>
      <c r="O217"/>
      <c r="P217"/>
      <c r="Q217"/>
      <c r="R217"/>
      <c r="S217"/>
      <c r="W217"/>
      <c r="X217"/>
    </row>
    <row r="218" spans="1:24" s="2" customFormat="1" x14ac:dyDescent="0.35">
      <c r="A218"/>
      <c r="B218"/>
      <c r="C218"/>
      <c r="D218"/>
      <c r="E218"/>
      <c r="F218"/>
      <c r="G218"/>
      <c r="H218"/>
      <c r="I218"/>
      <c r="J218"/>
      <c r="K218"/>
      <c r="L218"/>
      <c r="M218"/>
      <c r="N218"/>
      <c r="O218"/>
      <c r="P218"/>
      <c r="Q218"/>
      <c r="R218"/>
      <c r="S218"/>
      <c r="W218"/>
      <c r="X218"/>
    </row>
    <row r="219" spans="1:24" s="2" customFormat="1" x14ac:dyDescent="0.35">
      <c r="A219"/>
      <c r="B219"/>
      <c r="C219"/>
      <c r="D219"/>
      <c r="E219"/>
      <c r="F219"/>
      <c r="G219"/>
      <c r="H219"/>
      <c r="I219"/>
      <c r="J219"/>
      <c r="K219"/>
      <c r="L219"/>
      <c r="M219"/>
      <c r="N219"/>
      <c r="O219"/>
      <c r="P219"/>
      <c r="Q219"/>
      <c r="R219"/>
      <c r="S219"/>
      <c r="W219"/>
      <c r="X219"/>
    </row>
    <row r="220" spans="1:24" s="2" customFormat="1" x14ac:dyDescent="0.35">
      <c r="A220"/>
      <c r="B220"/>
      <c r="C220"/>
      <c r="D220"/>
      <c r="E220"/>
      <c r="F220"/>
      <c r="G220"/>
      <c r="H220"/>
      <c r="I220"/>
      <c r="J220"/>
      <c r="K220"/>
      <c r="L220"/>
      <c r="M220"/>
      <c r="N220"/>
      <c r="O220"/>
      <c r="P220"/>
      <c r="Q220"/>
      <c r="R220"/>
      <c r="S220"/>
      <c r="W220"/>
      <c r="X220"/>
    </row>
    <row r="221" spans="1:24" s="2" customFormat="1" x14ac:dyDescent="0.35">
      <c r="A221"/>
      <c r="B221"/>
      <c r="C221"/>
      <c r="D221"/>
      <c r="E221"/>
      <c r="F221"/>
      <c r="G221"/>
      <c r="H221"/>
      <c r="I221"/>
      <c r="J221"/>
      <c r="K221"/>
      <c r="L221"/>
      <c r="M221"/>
      <c r="N221"/>
      <c r="O221"/>
      <c r="P221"/>
      <c r="Q221"/>
      <c r="R221"/>
      <c r="S221"/>
      <c r="W221"/>
      <c r="X221"/>
    </row>
    <row r="222" spans="1:24" s="2" customFormat="1" x14ac:dyDescent="0.35">
      <c r="A222"/>
      <c r="B222"/>
      <c r="C222"/>
      <c r="D222"/>
      <c r="E222"/>
      <c r="F222"/>
      <c r="G222"/>
      <c r="H222"/>
      <c r="I222"/>
      <c r="J222"/>
      <c r="K222"/>
      <c r="L222"/>
      <c r="M222"/>
      <c r="N222"/>
      <c r="O222"/>
      <c r="P222"/>
      <c r="Q222"/>
      <c r="R222"/>
      <c r="S222"/>
      <c r="W222"/>
      <c r="X222"/>
    </row>
    <row r="223" spans="1:24" s="2" customFormat="1" x14ac:dyDescent="0.35">
      <c r="A223"/>
      <c r="B223"/>
      <c r="C223"/>
      <c r="D223"/>
      <c r="E223"/>
      <c r="F223"/>
      <c r="G223"/>
      <c r="H223"/>
      <c r="I223"/>
      <c r="J223"/>
      <c r="K223"/>
      <c r="L223"/>
      <c r="M223"/>
      <c r="N223"/>
      <c r="O223"/>
      <c r="P223"/>
      <c r="Q223"/>
      <c r="R223"/>
      <c r="S223"/>
      <c r="W223"/>
      <c r="X223"/>
    </row>
    <row r="224" spans="1:24" s="2" customFormat="1" x14ac:dyDescent="0.35">
      <c r="A224"/>
      <c r="B224"/>
      <c r="C224"/>
      <c r="D224"/>
      <c r="E224"/>
      <c r="F224"/>
      <c r="G224"/>
      <c r="H224"/>
      <c r="I224"/>
      <c r="J224"/>
      <c r="K224"/>
      <c r="L224"/>
      <c r="M224"/>
      <c r="N224"/>
      <c r="O224"/>
      <c r="P224"/>
      <c r="Q224"/>
      <c r="R224"/>
      <c r="S224"/>
      <c r="W224"/>
      <c r="X224"/>
    </row>
    <row r="225" spans="1:44" s="2" customFormat="1" x14ac:dyDescent="0.35">
      <c r="A225"/>
      <c r="B225"/>
      <c r="C225"/>
      <c r="D225"/>
      <c r="E225"/>
      <c r="F225"/>
      <c r="G225"/>
      <c r="H225"/>
      <c r="I225"/>
      <c r="J225"/>
      <c r="K225"/>
      <c r="L225"/>
      <c r="M225"/>
      <c r="N225"/>
      <c r="O225"/>
      <c r="P225"/>
      <c r="Q225"/>
      <c r="R225"/>
      <c r="S225"/>
      <c r="W225"/>
      <c r="X225"/>
      <c r="AO225"/>
    </row>
    <row r="226" spans="1:44" s="2" customFormat="1" x14ac:dyDescent="0.35">
      <c r="A226"/>
      <c r="B226"/>
      <c r="C226"/>
      <c r="D226"/>
      <c r="E226"/>
      <c r="F226"/>
      <c r="G226"/>
      <c r="H226"/>
      <c r="I226"/>
      <c r="J226"/>
      <c r="K226"/>
      <c r="L226"/>
      <c r="M226"/>
      <c r="N226"/>
      <c r="O226"/>
      <c r="P226"/>
      <c r="Q226"/>
      <c r="R226"/>
      <c r="S226"/>
      <c r="W226"/>
      <c r="X226"/>
      <c r="Y226"/>
      <c r="AO226"/>
    </row>
    <row r="227" spans="1:44" s="2" customFormat="1" x14ac:dyDescent="0.35">
      <c r="A227"/>
      <c r="B227"/>
      <c r="C227"/>
      <c r="D227"/>
      <c r="E227"/>
      <c r="F227"/>
      <c r="G227"/>
      <c r="H227"/>
      <c r="I227"/>
      <c r="J227"/>
      <c r="K227"/>
      <c r="L227"/>
      <c r="M227"/>
      <c r="N227"/>
      <c r="O227"/>
      <c r="P227"/>
      <c r="Q227"/>
      <c r="R227"/>
      <c r="S227"/>
      <c r="W227"/>
      <c r="X227"/>
      <c r="Y227"/>
      <c r="AO227"/>
    </row>
    <row r="228" spans="1:44" s="2" customFormat="1" x14ac:dyDescent="0.35">
      <c r="A228"/>
      <c r="B228"/>
      <c r="C228"/>
      <c r="D228"/>
      <c r="E228"/>
      <c r="F228"/>
      <c r="G228"/>
      <c r="H228"/>
      <c r="I228"/>
      <c r="J228"/>
      <c r="K228"/>
      <c r="L228"/>
      <c r="M228"/>
      <c r="N228"/>
      <c r="O228"/>
      <c r="P228"/>
      <c r="Q228"/>
      <c r="R228"/>
      <c r="S228"/>
      <c r="W228"/>
      <c r="X228"/>
      <c r="Y228"/>
      <c r="AO228"/>
    </row>
    <row r="229" spans="1:44" x14ac:dyDescent="0.35">
      <c r="T229" s="2"/>
      <c r="U229" s="2"/>
      <c r="Z229" s="2"/>
      <c r="AA229" s="2"/>
      <c r="AB229" s="2"/>
      <c r="AC229" s="2"/>
      <c r="AD229" s="2"/>
      <c r="AE229" s="2"/>
      <c r="AF229" s="2"/>
      <c r="AG229" s="2"/>
      <c r="AH229" s="2"/>
      <c r="AI229" s="2"/>
      <c r="AJ229" s="2"/>
      <c r="AK229" s="2"/>
      <c r="AL229" s="2"/>
      <c r="AM229" s="2"/>
      <c r="AN229" s="2"/>
      <c r="AP229" s="2"/>
      <c r="AQ229" s="2"/>
      <c r="AR229" s="2"/>
    </row>
    <row r="230" spans="1:44" x14ac:dyDescent="0.35">
      <c r="Z230" s="2"/>
      <c r="AA230" s="2"/>
      <c r="AB230" s="2"/>
      <c r="AC230" s="2"/>
      <c r="AD230" s="2"/>
      <c r="AE230" s="2"/>
      <c r="AF230" s="2"/>
      <c r="AG230" s="2"/>
      <c r="AH230" s="2"/>
      <c r="AI230" s="2"/>
      <c r="AJ230" s="2"/>
      <c r="AK230" s="2"/>
      <c r="AL230" s="2"/>
      <c r="AM230" s="2"/>
      <c r="AN230" s="2"/>
      <c r="AP230" s="2"/>
      <c r="AQ230" s="2"/>
      <c r="AR230" s="2"/>
    </row>
    <row r="231" spans="1:44" x14ac:dyDescent="0.35">
      <c r="Z231" s="2"/>
      <c r="AA231" s="2"/>
      <c r="AB231" s="2"/>
      <c r="AC231" s="2"/>
      <c r="AD231" s="2"/>
      <c r="AE231" s="2"/>
      <c r="AF231" s="2"/>
      <c r="AG231" s="2"/>
      <c r="AH231" s="2"/>
      <c r="AI231" s="2"/>
      <c r="AJ231" s="2"/>
      <c r="AK231" s="2"/>
      <c r="AL231" s="2"/>
      <c r="AM231" s="2"/>
      <c r="AN231" s="2"/>
      <c r="AP231" s="2"/>
      <c r="AQ231" s="2"/>
      <c r="AR231" s="2"/>
    </row>
    <row r="232" spans="1:44" x14ac:dyDescent="0.35">
      <c r="Z232" s="2"/>
      <c r="AA232" s="2"/>
      <c r="AB232" s="2"/>
      <c r="AC232" s="2"/>
      <c r="AD232" s="2"/>
      <c r="AE232" s="2"/>
      <c r="AF232" s="2"/>
      <c r="AG232" s="2"/>
      <c r="AH232" s="2"/>
      <c r="AI232" s="2"/>
      <c r="AJ232" s="2"/>
      <c r="AK232" s="2"/>
      <c r="AL232" s="2"/>
      <c r="AM232" s="2"/>
      <c r="AN232" s="2"/>
      <c r="AP232" s="2"/>
      <c r="AQ232" s="2"/>
      <c r="AR232" s="2"/>
    </row>
    <row r="233" spans="1:44" x14ac:dyDescent="0.35">
      <c r="Z233" s="2"/>
      <c r="AA233" s="2"/>
      <c r="AB233" s="2"/>
      <c r="AC233" s="2"/>
      <c r="AD233" s="2"/>
      <c r="AE233" s="2"/>
      <c r="AF233" s="2"/>
      <c r="AG233" s="2"/>
      <c r="AH233" s="2"/>
      <c r="AI233" s="2"/>
      <c r="AJ233" s="2"/>
      <c r="AK233" s="2"/>
      <c r="AL233" s="2"/>
      <c r="AM233" s="2"/>
      <c r="AN233" s="2"/>
      <c r="AP233" s="2"/>
      <c r="AQ233" s="2"/>
      <c r="AR233" s="2"/>
    </row>
    <row r="234" spans="1:44" x14ac:dyDescent="0.35">
      <c r="Z234" s="2"/>
      <c r="AA234" s="2"/>
      <c r="AB234" s="2"/>
      <c r="AC234" s="2"/>
      <c r="AD234" s="2"/>
      <c r="AE234" s="2"/>
      <c r="AF234" s="2"/>
      <c r="AG234" s="2"/>
      <c r="AH234" s="2"/>
      <c r="AI234" s="2"/>
      <c r="AJ234" s="2"/>
      <c r="AK234" s="2"/>
      <c r="AL234" s="2"/>
      <c r="AM234" s="2"/>
      <c r="AN234" s="2"/>
      <c r="AQ234" s="2"/>
      <c r="AR234" s="2"/>
    </row>
    <row r="235" spans="1:44" x14ac:dyDescent="0.35">
      <c r="Z235" s="2"/>
      <c r="AA235" s="2"/>
      <c r="AB235" s="2"/>
      <c r="AC235" s="2"/>
      <c r="AD235" s="2"/>
      <c r="AE235" s="2"/>
      <c r="AF235" s="2"/>
      <c r="AG235" s="2"/>
      <c r="AH235" s="2"/>
      <c r="AI235" s="2"/>
      <c r="AJ235" s="2"/>
      <c r="AK235" s="2"/>
      <c r="AL235" s="2"/>
      <c r="AM235" s="2"/>
      <c r="AN235" s="2"/>
      <c r="AQ235" s="2"/>
      <c r="AR235" s="2"/>
    </row>
    <row r="236" spans="1:44" x14ac:dyDescent="0.35">
      <c r="Z236" s="2"/>
      <c r="AA236" s="2"/>
      <c r="AB236" s="2"/>
      <c r="AC236" s="2"/>
      <c r="AD236" s="2"/>
      <c r="AE236" s="2"/>
      <c r="AF236" s="2"/>
      <c r="AG236" s="2"/>
      <c r="AH236" s="2"/>
      <c r="AI236" s="2"/>
      <c r="AJ236" s="2"/>
      <c r="AK236" s="2"/>
      <c r="AL236" s="2"/>
      <c r="AM236" s="2"/>
      <c r="AN236" s="2"/>
      <c r="AQ236" s="2"/>
      <c r="AR236" s="2"/>
    </row>
    <row r="237" spans="1:44" x14ac:dyDescent="0.35">
      <c r="Z237" s="2"/>
      <c r="AA237" s="2"/>
      <c r="AB237" s="2"/>
      <c r="AC237" s="2"/>
      <c r="AD237" s="2"/>
      <c r="AE237" s="2"/>
      <c r="AF237" s="2"/>
      <c r="AG237" s="2"/>
      <c r="AH237" s="2"/>
      <c r="AI237" s="2"/>
      <c r="AJ237" s="2"/>
      <c r="AK237" s="2"/>
      <c r="AL237" s="2"/>
      <c r="AM237" s="2"/>
      <c r="AN237" s="2"/>
      <c r="AQ237" s="2"/>
      <c r="AR237" s="2"/>
    </row>
    <row r="238" spans="1:44" x14ac:dyDescent="0.35">
      <c r="Z238" s="2"/>
      <c r="AA238" s="2"/>
      <c r="AB238" s="2"/>
      <c r="AC238" s="2"/>
      <c r="AD238" s="2"/>
      <c r="AE238" s="2"/>
      <c r="AF238" s="2"/>
      <c r="AG238" s="2"/>
      <c r="AH238" s="2"/>
      <c r="AI238" s="2"/>
      <c r="AJ238" s="2"/>
      <c r="AK238" s="2"/>
      <c r="AL238" s="2"/>
      <c r="AM238" s="2"/>
      <c r="AN238" s="2"/>
      <c r="AR238" s="2"/>
    </row>
    <row r="239" spans="1:44" x14ac:dyDescent="0.35">
      <c r="Z239" s="2"/>
      <c r="AA239" s="2"/>
      <c r="AB239" s="2"/>
      <c r="AC239" s="2"/>
      <c r="AD239" s="2"/>
      <c r="AE239" s="2"/>
      <c r="AF239" s="2"/>
      <c r="AG239" s="2"/>
      <c r="AH239" s="2"/>
      <c r="AI239" s="2"/>
      <c r="AJ239" s="2"/>
      <c r="AK239" s="2"/>
      <c r="AL239" s="2"/>
      <c r="AM239" s="2"/>
      <c r="AN239" s="2"/>
      <c r="AR239" s="2"/>
    </row>
    <row r="240" spans="1:44" x14ac:dyDescent="0.35">
      <c r="Z240" s="2"/>
      <c r="AA240" s="2"/>
      <c r="AB240" s="2"/>
      <c r="AC240" s="2"/>
      <c r="AD240" s="2"/>
      <c r="AE240" s="2"/>
      <c r="AF240" s="2"/>
      <c r="AG240" s="2"/>
      <c r="AH240" s="2"/>
      <c r="AI240" s="2"/>
      <c r="AJ240" s="2"/>
      <c r="AK240" s="2"/>
      <c r="AL240" s="2"/>
      <c r="AM240" s="2"/>
      <c r="AR240" s="2"/>
    </row>
    <row r="241" spans="26:44" x14ac:dyDescent="0.35">
      <c r="Z241" s="2"/>
      <c r="AA241" s="2"/>
      <c r="AB241" s="2"/>
      <c r="AC241" s="2"/>
      <c r="AD241" s="2"/>
      <c r="AE241" s="2"/>
      <c r="AF241" s="2"/>
      <c r="AG241" s="2"/>
      <c r="AH241" s="2"/>
      <c r="AI241" s="2"/>
      <c r="AJ241" s="2"/>
      <c r="AK241" s="2"/>
      <c r="AL241" s="2"/>
      <c r="AM241" s="2"/>
      <c r="AR241" s="2"/>
    </row>
    <row r="242" spans="26:44" x14ac:dyDescent="0.35">
      <c r="Z242" s="2"/>
      <c r="AA242" s="2"/>
      <c r="AB242" s="2"/>
      <c r="AC242" s="2"/>
      <c r="AD242" s="2"/>
      <c r="AE242" s="2"/>
      <c r="AF242" s="2"/>
      <c r="AG242" s="2"/>
      <c r="AH242" s="2"/>
      <c r="AI242" s="2"/>
      <c r="AJ242" s="2"/>
      <c r="AK242" s="2"/>
      <c r="AL242" s="2"/>
      <c r="AM242" s="2"/>
      <c r="AR242" s="2"/>
    </row>
    <row r="243" spans="26:44" x14ac:dyDescent="0.35">
      <c r="AR243" s="2"/>
    </row>
    <row r="244" spans="26:44" x14ac:dyDescent="0.35">
      <c r="AR244" s="2"/>
    </row>
    <row r="245" spans="26:44" x14ac:dyDescent="0.35">
      <c r="AR245" s="2"/>
    </row>
    <row r="246" spans="26:44" x14ac:dyDescent="0.35">
      <c r="AR246" s="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78"/>
  <sheetViews>
    <sheetView topLeftCell="A73" workbookViewId="0">
      <selection activeCell="I101" sqref="I101"/>
    </sheetView>
  </sheetViews>
  <sheetFormatPr defaultRowHeight="14.5" x14ac:dyDescent="0.35"/>
  <sheetData>
    <row r="4" spans="2:40" ht="18.5" x14ac:dyDescent="0.45">
      <c r="B4" s="2"/>
      <c r="C4" s="1" t="s">
        <v>775</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2.77407</v>
      </c>
      <c r="G7" s="2">
        <v>4.7298900000000001</v>
      </c>
      <c r="H7" s="2">
        <f t="shared" ref="H7:H17" si="0">G7-F7</f>
        <v>1.9558200000000001</v>
      </c>
      <c r="I7" s="2">
        <f t="shared" ref="I7:I16" si="1">F8-G7</f>
        <v>3.7113500000000004</v>
      </c>
      <c r="J7" s="2">
        <f>H7/N7</f>
        <v>0.3451140516342372</v>
      </c>
      <c r="K7" s="2">
        <f>I7/N7</f>
        <v>0.65488594836576286</v>
      </c>
      <c r="L7" s="2">
        <f>1/H7</f>
        <v>0.5112944954034625</v>
      </c>
      <c r="M7" s="2">
        <f>1/N7</f>
        <v>0.17645491488697179</v>
      </c>
      <c r="N7" s="2">
        <f>H7+I7</f>
        <v>5.6671700000000005</v>
      </c>
      <c r="O7" s="2">
        <v>10</v>
      </c>
      <c r="P7">
        <f>O7/H7</f>
        <v>5.1129449540346243</v>
      </c>
      <c r="R7" t="s">
        <v>776</v>
      </c>
      <c r="AA7" s="2"/>
      <c r="AB7" s="2">
        <v>2.3642599999999998</v>
      </c>
      <c r="AC7" s="2">
        <v>5.4045699999999997</v>
      </c>
      <c r="AD7" s="2">
        <f>AC7-AB7</f>
        <v>3.0403099999999998</v>
      </c>
      <c r="AE7" s="2">
        <f>AB8-AC7</f>
        <v>4.1763000000000012</v>
      </c>
      <c r="AF7" s="2">
        <f>AD7/AJ7</f>
        <v>0.42129337736139261</v>
      </c>
      <c r="AG7" s="2">
        <f>AE7/AJ7</f>
        <v>0.57870662263860739</v>
      </c>
      <c r="AH7" s="2">
        <f>1/AD7</f>
        <v>0.32891382786623735</v>
      </c>
      <c r="AI7" s="2">
        <f>1/AJ7</f>
        <v>0.13856921740263087</v>
      </c>
      <c r="AJ7" s="2">
        <f>AD7+AE7</f>
        <v>7.2166100000000011</v>
      </c>
      <c r="AK7" s="2">
        <v>7</v>
      </c>
      <c r="AL7">
        <f>AK7/AD7</f>
        <v>2.3023967950636615</v>
      </c>
      <c r="AN7" t="s">
        <v>781</v>
      </c>
    </row>
    <row r="8" spans="2:40" x14ac:dyDescent="0.35">
      <c r="B8" s="2"/>
      <c r="C8" s="2"/>
      <c r="D8" s="2"/>
      <c r="E8" s="2"/>
      <c r="F8" s="13">
        <v>8.4412400000000005</v>
      </c>
      <c r="G8" s="2">
        <v>12.701969999999999</v>
      </c>
      <c r="H8" s="2">
        <f t="shared" si="0"/>
        <v>4.2607299999999988</v>
      </c>
      <c r="I8" s="2">
        <f t="shared" si="1"/>
        <v>8.7546099999999996</v>
      </c>
      <c r="J8" s="2">
        <f t="shared" ref="J8:J16" si="2">H8/N8</f>
        <v>0.32736217417293745</v>
      </c>
      <c r="K8" s="2">
        <f t="shared" ref="K8:K16" si="3">I8/N8</f>
        <v>0.67263782582706255</v>
      </c>
      <c r="L8" s="2">
        <f t="shared" ref="L8:L16" si="4">1/H8</f>
        <v>0.23470156522473856</v>
      </c>
      <c r="M8" s="2">
        <f t="shared" ref="M8:M16" si="5">1/N8</f>
        <v>7.6832414673761895E-2</v>
      </c>
      <c r="N8" s="2">
        <f t="shared" ref="N8:N16" si="6">H8+I8</f>
        <v>13.015339999999998</v>
      </c>
      <c r="O8" s="2">
        <v>19</v>
      </c>
      <c r="P8">
        <f t="shared" ref="P8:P16" si="7">O8/H8</f>
        <v>4.4593297392700322</v>
      </c>
      <c r="AA8" s="2"/>
      <c r="AB8" s="13">
        <v>9.5808700000000009</v>
      </c>
      <c r="AC8" s="2">
        <v>11.34938</v>
      </c>
      <c r="AD8" s="2">
        <f t="shared" ref="AD8:AD35" si="8">AC8-AB8</f>
        <v>1.7685099999999991</v>
      </c>
      <c r="AE8" s="2">
        <f t="shared" ref="AE8:AE34" si="9">AB9-AC8</f>
        <v>5.0913399999999989</v>
      </c>
      <c r="AF8" s="2">
        <f t="shared" ref="AF8:AF34" si="10">AD8/AJ8</f>
        <v>0.25780592870106483</v>
      </c>
      <c r="AG8" s="2">
        <f t="shared" ref="AG8:AG34" si="11">AE8/AJ8</f>
        <v>0.74219407129893511</v>
      </c>
      <c r="AH8" s="2">
        <f t="shared" ref="AH8:AH34" si="12">1/AD8</f>
        <v>0.56544774980067991</v>
      </c>
      <c r="AI8" s="2">
        <f t="shared" ref="AI8:AI34" si="13">1/AJ8</f>
        <v>0.14577578226929164</v>
      </c>
      <c r="AJ8" s="2">
        <f t="shared" ref="AJ8:AJ34" si="14">AD8+AE8</f>
        <v>6.859849999999998</v>
      </c>
      <c r="AK8" s="2">
        <v>6</v>
      </c>
      <c r="AL8">
        <f t="shared" ref="AL8:AL34" si="15">AK8/AD8</f>
        <v>3.3926864988040797</v>
      </c>
    </row>
    <row r="9" spans="2:40" x14ac:dyDescent="0.35">
      <c r="B9" s="2"/>
      <c r="C9" s="2"/>
      <c r="D9" s="2"/>
      <c r="E9" s="2"/>
      <c r="F9" s="13">
        <v>21.456579999999999</v>
      </c>
      <c r="G9" s="2">
        <v>24.88458</v>
      </c>
      <c r="H9" s="2">
        <f t="shared" si="0"/>
        <v>3.4280000000000008</v>
      </c>
      <c r="I9" s="2">
        <f t="shared" si="1"/>
        <v>5.156760000000002</v>
      </c>
      <c r="J9" s="2">
        <f t="shared" si="2"/>
        <v>0.39931226964993777</v>
      </c>
      <c r="K9" s="2">
        <f t="shared" si="3"/>
        <v>0.60068773035006229</v>
      </c>
      <c r="L9" s="2">
        <f t="shared" si="4"/>
        <v>0.29171528588098011</v>
      </c>
      <c r="M9" s="2">
        <f t="shared" si="5"/>
        <v>0.1164854928967146</v>
      </c>
      <c r="N9" s="2">
        <f t="shared" si="6"/>
        <v>8.5847600000000028</v>
      </c>
      <c r="O9" s="2">
        <v>17</v>
      </c>
      <c r="P9">
        <f t="shared" si="7"/>
        <v>4.959159859976662</v>
      </c>
      <c r="AA9" s="2" t="s">
        <v>122</v>
      </c>
      <c r="AB9" s="13">
        <v>16.440719999999999</v>
      </c>
      <c r="AC9" s="2">
        <v>18.561119999999999</v>
      </c>
      <c r="AD9" s="2">
        <f t="shared" si="8"/>
        <v>2.1204000000000001</v>
      </c>
      <c r="AE9" s="2">
        <f t="shared" si="9"/>
        <v>7.833280000000002</v>
      </c>
      <c r="AF9" s="2">
        <f t="shared" si="10"/>
        <v>0.21302673985902698</v>
      </c>
      <c r="AG9" s="2">
        <f t="shared" si="11"/>
        <v>0.78697326014097302</v>
      </c>
      <c r="AH9" s="2">
        <f t="shared" si="12"/>
        <v>0.47160913035276364</v>
      </c>
      <c r="AI9" s="2">
        <f t="shared" si="13"/>
        <v>0.10046535552680012</v>
      </c>
      <c r="AJ9" s="2">
        <f t="shared" si="14"/>
        <v>9.9536800000000021</v>
      </c>
      <c r="AK9" s="2">
        <v>5</v>
      </c>
      <c r="AL9">
        <f t="shared" si="15"/>
        <v>2.3580456517638182</v>
      </c>
    </row>
    <row r="10" spans="2:40" x14ac:dyDescent="0.35">
      <c r="B10" s="2"/>
      <c r="C10" s="2"/>
      <c r="D10" s="2"/>
      <c r="E10" s="2"/>
      <c r="F10" s="13">
        <v>30.041340000000002</v>
      </c>
      <c r="G10" s="13">
        <v>33.494909999999997</v>
      </c>
      <c r="H10" s="2">
        <f t="shared" si="0"/>
        <v>3.4535699999999956</v>
      </c>
      <c r="I10" s="2">
        <f t="shared" si="1"/>
        <v>3.7056600000000017</v>
      </c>
      <c r="J10" s="2">
        <f t="shared" si="2"/>
        <v>0.48239405634404775</v>
      </c>
      <c r="K10" s="2">
        <f t="shared" si="3"/>
        <v>0.51760594365595225</v>
      </c>
      <c r="L10" s="2">
        <f t="shared" si="4"/>
        <v>0.28955544552448664</v>
      </c>
      <c r="M10" s="2">
        <f t="shared" si="5"/>
        <v>0.13967982590306505</v>
      </c>
      <c r="N10" s="2">
        <f t="shared" si="6"/>
        <v>7.1592299999999973</v>
      </c>
      <c r="O10" s="2">
        <v>15</v>
      </c>
      <c r="P10">
        <f t="shared" si="7"/>
        <v>4.3433316828672996</v>
      </c>
      <c r="AA10" s="2"/>
      <c r="AB10" s="13">
        <v>26.394400000000001</v>
      </c>
      <c r="AC10" s="13">
        <v>29.06279</v>
      </c>
      <c r="AD10" s="2">
        <f t="shared" si="8"/>
        <v>2.6683899999999987</v>
      </c>
      <c r="AE10" s="2">
        <f t="shared" si="9"/>
        <v>4.2552099999999982</v>
      </c>
      <c r="AF10" s="2">
        <f t="shared" si="10"/>
        <v>0.38540499162285513</v>
      </c>
      <c r="AG10" s="2">
        <f t="shared" si="11"/>
        <v>0.61459500837714487</v>
      </c>
      <c r="AH10" s="2">
        <f t="shared" si="12"/>
        <v>0.37475781276350179</v>
      </c>
      <c r="AI10" s="2">
        <f t="shared" si="13"/>
        <v>0.14443353168871692</v>
      </c>
      <c r="AJ10" s="2">
        <f t="shared" si="14"/>
        <v>6.9235999999999969</v>
      </c>
      <c r="AK10" s="2">
        <v>8</v>
      </c>
      <c r="AL10">
        <f t="shared" si="15"/>
        <v>2.9980625021080143</v>
      </c>
    </row>
    <row r="11" spans="2:40" x14ac:dyDescent="0.35">
      <c r="B11" s="2"/>
      <c r="C11" s="2"/>
      <c r="D11" s="2"/>
      <c r="E11" s="2"/>
      <c r="F11" s="13">
        <v>37.200569999999999</v>
      </c>
      <c r="G11" s="13">
        <v>42.036029999999997</v>
      </c>
      <c r="H11" s="2">
        <f t="shared" si="0"/>
        <v>4.8354599999999976</v>
      </c>
      <c r="I11" s="2">
        <f t="shared" si="1"/>
        <v>8.3260900000000007</v>
      </c>
      <c r="J11" s="2">
        <f t="shared" si="2"/>
        <v>0.3673928982528652</v>
      </c>
      <c r="K11" s="2">
        <f t="shared" si="3"/>
        <v>0.63260710174713475</v>
      </c>
      <c r="L11" s="2">
        <f t="shared" si="4"/>
        <v>0.20680555727893529</v>
      </c>
      <c r="M11" s="2">
        <f t="shared" si="5"/>
        <v>7.5978893063506969E-2</v>
      </c>
      <c r="N11" s="2">
        <f t="shared" si="6"/>
        <v>13.161549999999998</v>
      </c>
      <c r="O11" s="2">
        <v>19</v>
      </c>
      <c r="P11">
        <f t="shared" si="7"/>
        <v>3.9293055882997705</v>
      </c>
      <c r="AA11" s="2"/>
      <c r="AB11" s="13">
        <v>33.317999999999998</v>
      </c>
      <c r="AC11" s="13">
        <v>35.233730000000001</v>
      </c>
      <c r="AD11" s="2">
        <f t="shared" si="8"/>
        <v>1.9157300000000035</v>
      </c>
      <c r="AE11" s="2">
        <f t="shared" si="9"/>
        <v>5.0158699999999996</v>
      </c>
      <c r="AF11" s="2">
        <f t="shared" si="10"/>
        <v>0.27637630561486565</v>
      </c>
      <c r="AG11" s="2">
        <f t="shared" si="11"/>
        <v>0.72362369438513441</v>
      </c>
      <c r="AH11" s="2">
        <f t="shared" si="12"/>
        <v>0.52199422674385121</v>
      </c>
      <c r="AI11" s="2">
        <f t="shared" si="13"/>
        <v>0.14426683593975412</v>
      </c>
      <c r="AJ11" s="2">
        <f t="shared" si="14"/>
        <v>6.9316000000000031</v>
      </c>
      <c r="AK11" s="2">
        <v>8</v>
      </c>
      <c r="AL11">
        <f t="shared" si="15"/>
        <v>4.1759538139508097</v>
      </c>
    </row>
    <row r="12" spans="2:40" x14ac:dyDescent="0.35">
      <c r="B12" s="2"/>
      <c r="C12" s="2"/>
      <c r="D12" s="2"/>
      <c r="E12" s="2"/>
      <c r="F12" s="13">
        <v>50.362119999999997</v>
      </c>
      <c r="G12" s="13">
        <v>54.66001</v>
      </c>
      <c r="H12" s="2">
        <f t="shared" si="0"/>
        <v>4.2978900000000024</v>
      </c>
      <c r="I12" s="2">
        <f t="shared" si="1"/>
        <v>5.7298600000000022</v>
      </c>
      <c r="J12" s="2">
        <f t="shared" si="2"/>
        <v>0.42859963601007212</v>
      </c>
      <c r="K12" s="2">
        <f t="shared" si="3"/>
        <v>0.57140036398992788</v>
      </c>
      <c r="L12" s="2">
        <f t="shared" si="4"/>
        <v>0.23267231129693861</v>
      </c>
      <c r="M12" s="2">
        <f t="shared" si="5"/>
        <v>9.972326793149007E-2</v>
      </c>
      <c r="N12" s="2">
        <f t="shared" si="6"/>
        <v>10.027750000000005</v>
      </c>
      <c r="O12" s="2">
        <v>21</v>
      </c>
      <c r="P12">
        <f t="shared" si="7"/>
        <v>4.8861185372357108</v>
      </c>
      <c r="AA12" s="2" t="s">
        <v>122</v>
      </c>
      <c r="AB12" s="13">
        <v>40.249600000000001</v>
      </c>
      <c r="AC12" s="13">
        <v>42.585610000000003</v>
      </c>
      <c r="AD12" s="2">
        <f t="shared" si="8"/>
        <v>2.3360100000000017</v>
      </c>
      <c r="AE12" s="2">
        <f t="shared" si="9"/>
        <v>8.4183899999999952</v>
      </c>
      <c r="AF12" s="2">
        <f t="shared" si="10"/>
        <v>0.2172143494755637</v>
      </c>
      <c r="AG12" s="2">
        <f t="shared" si="11"/>
        <v>0.78278565052443627</v>
      </c>
      <c r="AH12" s="2">
        <f t="shared" si="12"/>
        <v>0.42808035924503718</v>
      </c>
      <c r="AI12" s="2">
        <f t="shared" si="13"/>
        <v>9.2985196756676367E-2</v>
      </c>
      <c r="AJ12" s="2">
        <f t="shared" si="14"/>
        <v>10.754399999999997</v>
      </c>
      <c r="AK12" s="2">
        <v>6</v>
      </c>
      <c r="AL12">
        <f t="shared" si="15"/>
        <v>2.5684821554702228</v>
      </c>
    </row>
    <row r="13" spans="2:40" x14ac:dyDescent="0.35">
      <c r="B13" s="2"/>
      <c r="C13" s="2"/>
      <c r="D13" s="2"/>
      <c r="E13" s="2"/>
      <c r="F13" s="13">
        <v>60.389870000000002</v>
      </c>
      <c r="G13" s="13">
        <v>62.167769999999997</v>
      </c>
      <c r="H13" s="2">
        <f t="shared" si="0"/>
        <v>1.7778999999999954</v>
      </c>
      <c r="I13" s="2">
        <f t="shared" si="1"/>
        <v>3.8932700000000082</v>
      </c>
      <c r="J13" s="2">
        <f t="shared" si="2"/>
        <v>0.31349792018225414</v>
      </c>
      <c r="K13" s="2">
        <f t="shared" si="3"/>
        <v>0.6865020798177458</v>
      </c>
      <c r="L13" s="2">
        <f t="shared" si="4"/>
        <v>0.56246133078351013</v>
      </c>
      <c r="M13" s="2">
        <f t="shared" si="5"/>
        <v>0.17633045738357331</v>
      </c>
      <c r="N13" s="2">
        <f t="shared" si="6"/>
        <v>5.6711700000000036</v>
      </c>
      <c r="O13" s="2">
        <v>8</v>
      </c>
      <c r="P13">
        <f t="shared" si="7"/>
        <v>4.499690646268081</v>
      </c>
      <c r="AA13" s="2"/>
      <c r="AB13" s="13">
        <v>51.003999999999998</v>
      </c>
      <c r="AC13" s="13">
        <v>53.427379999999999</v>
      </c>
      <c r="AD13" s="2">
        <f t="shared" si="8"/>
        <v>2.4233800000000016</v>
      </c>
      <c r="AE13" s="2">
        <f t="shared" si="9"/>
        <v>4.054549999999999</v>
      </c>
      <c r="AF13" s="2">
        <f t="shared" si="10"/>
        <v>0.37409789855710102</v>
      </c>
      <c r="AG13" s="2">
        <f t="shared" si="11"/>
        <v>0.62590210144289893</v>
      </c>
      <c r="AH13" s="2">
        <f t="shared" si="12"/>
        <v>0.4126467990987791</v>
      </c>
      <c r="AI13" s="2">
        <f t="shared" si="13"/>
        <v>0.15437030038916752</v>
      </c>
      <c r="AJ13" s="2">
        <f t="shared" si="14"/>
        <v>6.4779300000000006</v>
      </c>
      <c r="AK13" s="2">
        <v>7</v>
      </c>
      <c r="AL13">
        <f t="shared" si="15"/>
        <v>2.8885275936914536</v>
      </c>
    </row>
    <row r="14" spans="2:40" x14ac:dyDescent="0.35">
      <c r="B14" s="2"/>
      <c r="C14" s="2"/>
      <c r="D14" s="2"/>
      <c r="E14" s="2"/>
      <c r="F14" s="13">
        <v>66.061040000000006</v>
      </c>
      <c r="G14" s="13">
        <v>69.297420000000002</v>
      </c>
      <c r="H14" s="2">
        <f t="shared" si="0"/>
        <v>3.2363799999999969</v>
      </c>
      <c r="I14" s="2">
        <f t="shared" si="1"/>
        <v>9.8626900000000006</v>
      </c>
      <c r="J14" s="2">
        <f t="shared" si="2"/>
        <v>0.2470694484417594</v>
      </c>
      <c r="K14" s="2">
        <f t="shared" si="3"/>
        <v>0.75293055155824062</v>
      </c>
      <c r="L14" s="2">
        <f t="shared" si="4"/>
        <v>0.3089872017501038</v>
      </c>
      <c r="M14" s="2">
        <f t="shared" si="5"/>
        <v>7.6341297511960782E-2</v>
      </c>
      <c r="N14" s="2">
        <f t="shared" si="6"/>
        <v>13.099069999999998</v>
      </c>
      <c r="O14" s="2">
        <v>16</v>
      </c>
      <c r="P14">
        <f t="shared" si="7"/>
        <v>4.9437952280016608</v>
      </c>
      <c r="AA14" s="2"/>
      <c r="AB14" s="13">
        <v>57.481929999999998</v>
      </c>
      <c r="AC14" s="13">
        <v>59.146140000000003</v>
      </c>
      <c r="AD14" s="2">
        <f t="shared" si="8"/>
        <v>1.6642100000000042</v>
      </c>
      <c r="AE14" s="2">
        <f t="shared" si="9"/>
        <v>5.0876799999999918</v>
      </c>
      <c r="AF14" s="2">
        <f t="shared" si="10"/>
        <v>0.24648061505741431</v>
      </c>
      <c r="AG14" s="2">
        <f t="shared" si="11"/>
        <v>0.75351938494258563</v>
      </c>
      <c r="AH14" s="2">
        <f t="shared" si="12"/>
        <v>0.60088570552994969</v>
      </c>
      <c r="AI14" s="2">
        <f t="shared" si="13"/>
        <v>0.14810667827823032</v>
      </c>
      <c r="AJ14" s="2">
        <f t="shared" si="14"/>
        <v>6.751889999999996</v>
      </c>
      <c r="AK14" s="2">
        <v>7</v>
      </c>
      <c r="AL14">
        <f t="shared" si="15"/>
        <v>4.2061999387096476</v>
      </c>
    </row>
    <row r="15" spans="2:40" x14ac:dyDescent="0.35">
      <c r="B15" s="2"/>
      <c r="C15" s="2"/>
      <c r="D15" s="2"/>
      <c r="E15" s="2"/>
      <c r="F15" s="13">
        <v>79.160110000000003</v>
      </c>
      <c r="G15" s="13">
        <v>82.496499999999997</v>
      </c>
      <c r="H15" s="2">
        <f t="shared" si="0"/>
        <v>3.3363899999999944</v>
      </c>
      <c r="I15" s="2">
        <f t="shared" si="1"/>
        <v>5.0244300000000095</v>
      </c>
      <c r="J15" s="2">
        <f t="shared" si="2"/>
        <v>0.39905057159465135</v>
      </c>
      <c r="K15" s="2">
        <f t="shared" si="3"/>
        <v>0.60094942840534871</v>
      </c>
      <c r="L15" s="2">
        <f t="shared" si="4"/>
        <v>0.29972515203558386</v>
      </c>
      <c r="M15" s="2">
        <f t="shared" si="5"/>
        <v>0.11960549324109353</v>
      </c>
      <c r="N15" s="2">
        <f t="shared" si="6"/>
        <v>8.3608200000000039</v>
      </c>
      <c r="O15" s="2">
        <v>17</v>
      </c>
      <c r="P15">
        <f t="shared" si="7"/>
        <v>5.0953275846049255</v>
      </c>
      <c r="AA15" s="2" t="s">
        <v>122</v>
      </c>
      <c r="AB15" s="13">
        <v>64.233819999999994</v>
      </c>
      <c r="AC15" s="13">
        <v>66.456959999999995</v>
      </c>
      <c r="AD15" s="2">
        <f t="shared" si="8"/>
        <v>2.2231400000000008</v>
      </c>
      <c r="AE15" s="2">
        <f t="shared" si="9"/>
        <v>9.798870000000008</v>
      </c>
      <c r="AF15" s="2">
        <f t="shared" si="10"/>
        <v>0.18492248800325395</v>
      </c>
      <c r="AG15" s="2">
        <f t="shared" si="11"/>
        <v>0.81507751199674605</v>
      </c>
      <c r="AH15" s="2">
        <f t="shared" si="12"/>
        <v>0.44981422672436266</v>
      </c>
      <c r="AI15" s="2">
        <f t="shared" si="13"/>
        <v>8.3180765945128909E-2</v>
      </c>
      <c r="AJ15" s="2">
        <f t="shared" si="14"/>
        <v>12.022010000000009</v>
      </c>
      <c r="AK15" s="2">
        <v>7</v>
      </c>
      <c r="AL15">
        <f t="shared" si="15"/>
        <v>3.1486995870705385</v>
      </c>
    </row>
    <row r="16" spans="2:40" x14ac:dyDescent="0.35">
      <c r="B16" s="2"/>
      <c r="C16" s="2"/>
      <c r="D16" s="2"/>
      <c r="E16" s="2"/>
      <c r="F16" s="13">
        <v>87.520930000000007</v>
      </c>
      <c r="G16" s="13">
        <v>91.957030000000003</v>
      </c>
      <c r="H16" s="2">
        <f t="shared" si="0"/>
        <v>4.4360999999999962</v>
      </c>
      <c r="I16" s="2">
        <f t="shared" si="1"/>
        <v>8.3386500000000012</v>
      </c>
      <c r="J16" s="2">
        <f t="shared" si="2"/>
        <v>0.34725532789291352</v>
      </c>
      <c r="K16" s="2">
        <f t="shared" si="3"/>
        <v>0.65274467210708642</v>
      </c>
      <c r="L16" s="2">
        <f t="shared" si="4"/>
        <v>0.22542323211830231</v>
      </c>
      <c r="M16" s="2">
        <f t="shared" si="5"/>
        <v>7.8279418383921426E-2</v>
      </c>
      <c r="N16" s="2">
        <f t="shared" si="6"/>
        <v>12.774749999999997</v>
      </c>
      <c r="O16" s="2">
        <v>20</v>
      </c>
      <c r="P16">
        <f t="shared" si="7"/>
        <v>4.5084646423660457</v>
      </c>
      <c r="AA16" s="2" t="s">
        <v>122</v>
      </c>
      <c r="AB16" s="13">
        <v>76.255830000000003</v>
      </c>
      <c r="AC16" s="13">
        <v>77.877340000000004</v>
      </c>
      <c r="AD16" s="2">
        <f t="shared" si="8"/>
        <v>1.6215100000000007</v>
      </c>
      <c r="AE16" s="2">
        <f t="shared" si="9"/>
        <v>6.5523799999999994</v>
      </c>
      <c r="AF16" s="2">
        <f t="shared" si="10"/>
        <v>0.1983767826579512</v>
      </c>
      <c r="AG16" s="2">
        <f t="shared" si="11"/>
        <v>0.80162321734204878</v>
      </c>
      <c r="AH16" s="2">
        <f t="shared" si="12"/>
        <v>0.61670911681087359</v>
      </c>
      <c r="AI16" s="2">
        <f t="shared" si="13"/>
        <v>0.1223407704287677</v>
      </c>
      <c r="AJ16" s="2">
        <f t="shared" si="14"/>
        <v>8.1738900000000001</v>
      </c>
      <c r="AK16" s="2">
        <v>7</v>
      </c>
      <c r="AL16">
        <f t="shared" si="15"/>
        <v>4.3169638176761147</v>
      </c>
    </row>
    <row r="17" spans="2:40" x14ac:dyDescent="0.35">
      <c r="B17" s="2"/>
      <c r="C17" s="2"/>
      <c r="D17" s="2"/>
      <c r="E17" s="2"/>
      <c r="F17" s="13">
        <v>100.29568</v>
      </c>
      <c r="G17" s="13">
        <v>101.74073</v>
      </c>
      <c r="H17" s="2">
        <f t="shared" si="0"/>
        <v>1.4450499999999948</v>
      </c>
      <c r="I17" s="2"/>
      <c r="J17" s="2"/>
      <c r="K17" s="2"/>
      <c r="L17" s="2"/>
      <c r="M17" s="2"/>
      <c r="N17" s="2"/>
      <c r="O17" s="2"/>
      <c r="AA17" s="2"/>
      <c r="AB17" s="13">
        <v>84.429720000000003</v>
      </c>
      <c r="AC17" s="13">
        <v>86.754599999999996</v>
      </c>
      <c r="AD17" s="2">
        <f t="shared" si="8"/>
        <v>2.3248799999999932</v>
      </c>
      <c r="AE17" s="2">
        <f t="shared" si="9"/>
        <v>4.2125600000000105</v>
      </c>
      <c r="AF17" s="2">
        <f t="shared" si="10"/>
        <v>0.35562544359871628</v>
      </c>
      <c r="AG17" s="2">
        <f t="shared" si="11"/>
        <v>0.64437455640128372</v>
      </c>
      <c r="AH17" s="2">
        <f t="shared" si="12"/>
        <v>0.43012972712570235</v>
      </c>
      <c r="AI17" s="2">
        <f t="shared" si="13"/>
        <v>0.15296507501407269</v>
      </c>
      <c r="AJ17" s="2">
        <f t="shared" si="14"/>
        <v>6.5374400000000037</v>
      </c>
      <c r="AK17" s="2">
        <v>8</v>
      </c>
      <c r="AL17">
        <f t="shared" si="15"/>
        <v>3.4410378170056188</v>
      </c>
    </row>
    <row r="18" spans="2:40" x14ac:dyDescent="0.35">
      <c r="B18" s="2"/>
      <c r="C18" s="2"/>
      <c r="D18" s="2"/>
      <c r="E18" s="2"/>
      <c r="F18" s="13"/>
      <c r="G18" s="13"/>
      <c r="H18" s="2"/>
      <c r="I18" s="2"/>
      <c r="J18" s="2"/>
      <c r="K18" s="2"/>
      <c r="L18" s="2"/>
      <c r="M18" s="2"/>
      <c r="N18" s="2"/>
      <c r="O18" s="2"/>
      <c r="AA18" s="2" t="s">
        <v>122</v>
      </c>
      <c r="AB18" s="13">
        <v>90.967160000000007</v>
      </c>
      <c r="AC18" s="13">
        <v>92.354939999999999</v>
      </c>
      <c r="AD18" s="2">
        <f t="shared" si="8"/>
        <v>1.3877799999999922</v>
      </c>
      <c r="AE18" s="2">
        <f t="shared" si="9"/>
        <v>9.490949999999998</v>
      </c>
      <c r="AF18" s="2">
        <f t="shared" si="10"/>
        <v>0.12756819959682733</v>
      </c>
      <c r="AG18" s="2">
        <f t="shared" si="11"/>
        <v>0.8724318004031727</v>
      </c>
      <c r="AH18" s="2">
        <f t="shared" si="12"/>
        <v>0.72057530732537256</v>
      </c>
      <c r="AI18" s="2">
        <f t="shared" si="13"/>
        <v>9.1922494629428336E-2</v>
      </c>
      <c r="AJ18" s="2">
        <f t="shared" si="14"/>
        <v>10.87872999999999</v>
      </c>
      <c r="AK18" s="2">
        <v>6</v>
      </c>
      <c r="AL18">
        <f t="shared" si="15"/>
        <v>4.3234518439522356</v>
      </c>
    </row>
    <row r="19" spans="2:40" x14ac:dyDescent="0.35">
      <c r="B19" s="2"/>
      <c r="C19" s="2"/>
      <c r="D19" s="2"/>
      <c r="E19" s="2"/>
      <c r="F19" s="13"/>
      <c r="G19" s="13"/>
      <c r="H19" s="2"/>
      <c r="I19" s="2"/>
      <c r="J19" s="2"/>
      <c r="K19" s="2"/>
      <c r="L19" s="2"/>
      <c r="M19" s="2"/>
      <c r="N19" s="2"/>
      <c r="O19" s="2"/>
      <c r="AA19" s="2"/>
      <c r="AB19" s="13">
        <v>101.84589</v>
      </c>
      <c r="AC19" s="13">
        <v>104.12705</v>
      </c>
      <c r="AD19" s="2">
        <f t="shared" si="8"/>
        <v>2.2811599999999999</v>
      </c>
      <c r="AE19" s="2">
        <f t="shared" si="9"/>
        <v>4.2398600000000073</v>
      </c>
      <c r="AF19" s="2">
        <f t="shared" si="10"/>
        <v>0.34981643975942373</v>
      </c>
      <c r="AG19" s="2">
        <f t="shared" si="11"/>
        <v>0.65018356024057622</v>
      </c>
      <c r="AH19" s="2">
        <f t="shared" si="12"/>
        <v>0.43837345911729125</v>
      </c>
      <c r="AI19" s="2">
        <f t="shared" si="13"/>
        <v>0.15335024275343412</v>
      </c>
      <c r="AJ19" s="2">
        <f t="shared" si="14"/>
        <v>6.5210200000000071</v>
      </c>
      <c r="AK19" s="2">
        <v>7</v>
      </c>
      <c r="AL19">
        <f t="shared" si="15"/>
        <v>3.0686142138210388</v>
      </c>
    </row>
    <row r="20" spans="2:40" x14ac:dyDescent="0.35">
      <c r="B20" s="2"/>
      <c r="C20" s="2"/>
      <c r="D20" s="2"/>
      <c r="E20" s="2"/>
      <c r="F20" s="13"/>
      <c r="G20" s="13"/>
      <c r="H20" s="2"/>
      <c r="I20" s="2"/>
      <c r="J20" s="2"/>
      <c r="K20" s="2"/>
      <c r="L20" s="2"/>
      <c r="M20" s="2"/>
      <c r="N20" s="2"/>
      <c r="O20" s="2"/>
      <c r="AA20" s="2" t="s">
        <v>122</v>
      </c>
      <c r="AB20" s="13">
        <v>108.36691</v>
      </c>
      <c r="AC20" s="13">
        <v>109.82297</v>
      </c>
      <c r="AD20" s="2">
        <f t="shared" si="8"/>
        <v>1.4560599999999937</v>
      </c>
      <c r="AE20" s="2">
        <f t="shared" si="9"/>
        <v>9.356970000000004</v>
      </c>
      <c r="AF20" s="2">
        <f t="shared" si="10"/>
        <v>0.13465790809791464</v>
      </c>
      <c r="AG20" s="2">
        <f t="shared" si="11"/>
        <v>0.86534209190208533</v>
      </c>
      <c r="AH20" s="2">
        <f t="shared" si="12"/>
        <v>0.68678488523824865</v>
      </c>
      <c r="AI20" s="2">
        <f t="shared" si="13"/>
        <v>9.2481015959448951E-2</v>
      </c>
      <c r="AJ20" s="2">
        <f t="shared" si="14"/>
        <v>10.813029999999998</v>
      </c>
      <c r="AK20" s="2">
        <v>6</v>
      </c>
      <c r="AL20">
        <f t="shared" si="15"/>
        <v>4.1207093114294917</v>
      </c>
    </row>
    <row r="21" spans="2:40" x14ac:dyDescent="0.35">
      <c r="B21" s="2"/>
      <c r="C21" s="2"/>
      <c r="G21" s="49"/>
      <c r="H21" s="2"/>
      <c r="I21" s="2"/>
      <c r="J21" s="2"/>
      <c r="K21" s="2"/>
      <c r="L21" s="2"/>
      <c r="M21" s="2"/>
      <c r="N21" s="2"/>
      <c r="O21" s="2"/>
      <c r="P21" s="2"/>
      <c r="AA21" s="2"/>
      <c r="AB21" s="13">
        <v>119.17994</v>
      </c>
      <c r="AC21">
        <v>122.53408</v>
      </c>
      <c r="AD21" s="2">
        <f t="shared" si="8"/>
        <v>3.354140000000001</v>
      </c>
      <c r="AE21" s="2">
        <f t="shared" si="9"/>
        <v>3.8592299999999966</v>
      </c>
      <c r="AF21" s="2">
        <f t="shared" si="10"/>
        <v>0.46498931844616348</v>
      </c>
      <c r="AG21" s="2">
        <f t="shared" si="11"/>
        <v>0.53501068155383658</v>
      </c>
      <c r="AH21" s="2">
        <f t="shared" si="12"/>
        <v>0.29813901626050188</v>
      </c>
      <c r="AI21" s="2">
        <f t="shared" si="13"/>
        <v>0.13863145797318041</v>
      </c>
      <c r="AJ21" s="2">
        <f t="shared" si="14"/>
        <v>7.2133699999999976</v>
      </c>
      <c r="AK21" s="2">
        <v>12</v>
      </c>
      <c r="AL21">
        <f t="shared" si="15"/>
        <v>3.5776681951260221</v>
      </c>
      <c r="AN21" t="s">
        <v>782</v>
      </c>
    </row>
    <row r="22" spans="2:40" ht="16" thickBot="1" x14ac:dyDescent="0.4">
      <c r="C22" s="2"/>
      <c r="G22" s="13"/>
      <c r="H22" s="9" t="s">
        <v>3</v>
      </c>
      <c r="I22" s="9" t="s">
        <v>4</v>
      </c>
      <c r="J22" s="9" t="s">
        <v>5</v>
      </c>
      <c r="K22" s="9" t="s">
        <v>6</v>
      </c>
      <c r="L22" s="9" t="s">
        <v>7</v>
      </c>
      <c r="M22" s="9" t="s">
        <v>8</v>
      </c>
      <c r="N22" s="9" t="s">
        <v>9</v>
      </c>
      <c r="O22" s="9" t="s">
        <v>10</v>
      </c>
      <c r="P22" s="44" t="s">
        <v>139</v>
      </c>
      <c r="AA22" s="2" t="s">
        <v>122</v>
      </c>
      <c r="AB22" s="13">
        <v>126.39331</v>
      </c>
      <c r="AC22">
        <v>128.03349</v>
      </c>
      <c r="AD22" s="2">
        <f t="shared" si="8"/>
        <v>1.6401800000000009</v>
      </c>
      <c r="AE22" s="2">
        <f t="shared" si="9"/>
        <v>9.2844599999999957</v>
      </c>
      <c r="AF22" s="2">
        <f t="shared" si="10"/>
        <v>0.15013583971645761</v>
      </c>
      <c r="AG22" s="2">
        <f t="shared" si="11"/>
        <v>0.84986416028354239</v>
      </c>
      <c r="AH22" s="2">
        <f t="shared" si="12"/>
        <v>0.60968918045580334</v>
      </c>
      <c r="AI22" s="2">
        <f t="shared" si="13"/>
        <v>9.1536197073770878E-2</v>
      </c>
      <c r="AJ22" s="2">
        <f t="shared" si="14"/>
        <v>10.924639999999997</v>
      </c>
      <c r="AK22" s="2">
        <v>8</v>
      </c>
      <c r="AL22">
        <f t="shared" si="15"/>
        <v>4.8775134436464267</v>
      </c>
    </row>
    <row r="23" spans="2:40" x14ac:dyDescent="0.35">
      <c r="C23" s="2"/>
      <c r="G23" s="49" t="s">
        <v>77</v>
      </c>
      <c r="H23" s="13">
        <f t="shared" ref="H23:P23" si="16">AVERAGE(H7:H16)</f>
        <v>3.5018239999999978</v>
      </c>
      <c r="I23" s="13">
        <f t="shared" si="16"/>
        <v>6.2503370000000027</v>
      </c>
      <c r="J23" s="13">
        <f t="shared" si="16"/>
        <v>0.3657048354175676</v>
      </c>
      <c r="K23" s="13">
        <f t="shared" si="16"/>
        <v>0.63429516458243251</v>
      </c>
      <c r="L23" s="13">
        <f t="shared" si="16"/>
        <v>0.31633415772970419</v>
      </c>
      <c r="M23" s="13">
        <f t="shared" si="16"/>
        <v>0.11357114758760596</v>
      </c>
      <c r="N23" s="13">
        <f t="shared" si="16"/>
        <v>9.752161000000001</v>
      </c>
      <c r="O23" s="13">
        <f t="shared" si="16"/>
        <v>16.2</v>
      </c>
      <c r="P23" s="13">
        <f t="shared" si="16"/>
        <v>4.6737468462924801</v>
      </c>
      <c r="AA23" s="2"/>
      <c r="AB23" s="13">
        <v>137.31795</v>
      </c>
      <c r="AC23">
        <v>139.18188000000001</v>
      </c>
      <c r="AD23" s="2">
        <f t="shared" si="8"/>
        <v>1.8639300000000105</v>
      </c>
      <c r="AE23" s="2">
        <f t="shared" si="9"/>
        <v>5.2817000000000007</v>
      </c>
      <c r="AF23" s="2">
        <f t="shared" si="10"/>
        <v>0.26084893844209783</v>
      </c>
      <c r="AG23" s="2">
        <f t="shared" si="11"/>
        <v>0.73915106155790211</v>
      </c>
      <c r="AH23" s="2">
        <f t="shared" si="12"/>
        <v>0.53650083425879425</v>
      </c>
      <c r="AI23" s="2">
        <f t="shared" si="13"/>
        <v>0.13994567308970635</v>
      </c>
      <c r="AJ23" s="2">
        <f t="shared" si="14"/>
        <v>7.1456300000000113</v>
      </c>
      <c r="AK23" s="2">
        <v>9</v>
      </c>
      <c r="AL23">
        <f t="shared" si="15"/>
        <v>4.8285075083291478</v>
      </c>
    </row>
    <row r="24" spans="2:40" x14ac:dyDescent="0.35">
      <c r="C24" s="2"/>
      <c r="G24" s="49" t="s">
        <v>94</v>
      </c>
      <c r="H24" s="2">
        <f t="shared" ref="H24:P24" si="17">_xlfn.STDEV.S(H7:H16)</f>
        <v>1.0181009391476528</v>
      </c>
      <c r="I24" s="2">
        <f t="shared" si="17"/>
        <v>2.3437276803372198</v>
      </c>
      <c r="J24" s="2">
        <f t="shared" si="17"/>
        <v>6.5702036965151978E-2</v>
      </c>
      <c r="K24" s="2">
        <f t="shared" si="17"/>
        <v>6.5702036965152186E-2</v>
      </c>
      <c r="L24" s="2">
        <f t="shared" si="17"/>
        <v>0.12209542675572266</v>
      </c>
      <c r="M24" s="2">
        <f t="shared" si="17"/>
        <v>3.9729519852489834E-2</v>
      </c>
      <c r="N24" s="2">
        <f t="shared" si="17"/>
        <v>3.0920983348149762</v>
      </c>
      <c r="O24" s="2">
        <f t="shared" si="17"/>
        <v>4.2373996218855199</v>
      </c>
      <c r="P24" s="2">
        <f t="shared" si="17"/>
        <v>0.38543902515718848</v>
      </c>
      <c r="AA24" s="2" t="s">
        <v>122</v>
      </c>
      <c r="AB24" s="13">
        <v>144.46358000000001</v>
      </c>
      <c r="AC24">
        <v>146.28734</v>
      </c>
      <c r="AD24" s="2">
        <f t="shared" si="8"/>
        <v>1.8237599999999929</v>
      </c>
      <c r="AE24" s="2">
        <f t="shared" si="9"/>
        <v>9.1556599999999833</v>
      </c>
      <c r="AF24" s="2">
        <f t="shared" si="10"/>
        <v>0.16610713498527216</v>
      </c>
      <c r="AG24" s="2">
        <f t="shared" si="11"/>
        <v>0.83389286501472781</v>
      </c>
      <c r="AH24" s="2">
        <f t="shared" si="12"/>
        <v>0.54831776110891994</v>
      </c>
      <c r="AI24" s="2">
        <f t="shared" si="13"/>
        <v>9.1079492359341582E-2</v>
      </c>
      <c r="AJ24" s="2">
        <f t="shared" si="14"/>
        <v>10.979419999999976</v>
      </c>
      <c r="AK24" s="2">
        <v>9</v>
      </c>
      <c r="AL24">
        <f t="shared" si="15"/>
        <v>4.9348598499802794</v>
      </c>
    </row>
    <row r="25" spans="2:40" x14ac:dyDescent="0.35">
      <c r="C25" s="2"/>
      <c r="G25" s="49" t="s">
        <v>95</v>
      </c>
      <c r="H25" s="2">
        <f t="shared" ref="H25:P25" si="18">H24/(SQRT(COUNT(H7:H16)))</f>
        <v>0.32195178556630688</v>
      </c>
      <c r="I25" s="2">
        <f t="shared" si="18"/>
        <v>0.74115176850486464</v>
      </c>
      <c r="J25" s="2">
        <f t="shared" si="18"/>
        <v>2.0776808372245714E-2</v>
      </c>
      <c r="K25" s="2">
        <f t="shared" si="18"/>
        <v>2.077680837224578E-2</v>
      </c>
      <c r="L25" s="2">
        <f t="shared" si="18"/>
        <v>3.8609964043834634E-2</v>
      </c>
      <c r="M25" s="2">
        <f t="shared" si="18"/>
        <v>1.2563577307874472E-2</v>
      </c>
      <c r="N25" s="2">
        <f t="shared" si="18"/>
        <v>0.97780734872292441</v>
      </c>
      <c r="O25" s="2">
        <f t="shared" si="18"/>
        <v>1.3399834161494517</v>
      </c>
      <c r="P25" s="2">
        <f t="shared" si="18"/>
        <v>0.1218865218611655</v>
      </c>
      <c r="AA25" s="2"/>
      <c r="AB25" s="13">
        <v>155.44299999999998</v>
      </c>
      <c r="AC25">
        <v>158.3784</v>
      </c>
      <c r="AD25" s="2">
        <f t="shared" si="8"/>
        <v>2.9354000000000156</v>
      </c>
      <c r="AE25" s="2">
        <f t="shared" si="9"/>
        <v>2.7832300000000032</v>
      </c>
      <c r="AF25" s="2">
        <f t="shared" si="10"/>
        <v>0.51330476005616832</v>
      </c>
      <c r="AG25" s="2">
        <f t="shared" si="11"/>
        <v>0.48669523994383168</v>
      </c>
      <c r="AH25" s="2">
        <f t="shared" si="12"/>
        <v>0.34066907406145491</v>
      </c>
      <c r="AI25" s="2">
        <f t="shared" si="13"/>
        <v>0.17486705731967214</v>
      </c>
      <c r="AJ25" s="2">
        <f t="shared" si="14"/>
        <v>5.7186300000000188</v>
      </c>
      <c r="AK25" s="2">
        <v>9</v>
      </c>
      <c r="AL25">
        <f t="shared" si="15"/>
        <v>3.0660216665530942</v>
      </c>
    </row>
    <row r="26" spans="2:40" x14ac:dyDescent="0.35">
      <c r="C26" s="2"/>
      <c r="G26" s="49"/>
      <c r="H26" s="2"/>
      <c r="I26" s="2"/>
      <c r="J26" s="2"/>
      <c r="K26" s="2"/>
      <c r="L26" s="2"/>
      <c r="M26" s="2"/>
      <c r="N26" s="2"/>
      <c r="O26" s="2"/>
      <c r="P26" s="2"/>
      <c r="AA26" s="2"/>
      <c r="AB26" s="13">
        <v>161.16163</v>
      </c>
      <c r="AC26">
        <v>164.07712000000001</v>
      </c>
      <c r="AD26" s="2">
        <f t="shared" si="8"/>
        <v>2.9154900000000055</v>
      </c>
      <c r="AE26" s="2">
        <f t="shared" si="9"/>
        <v>3.9196900000000028</v>
      </c>
      <c r="AF26" s="2">
        <f t="shared" si="10"/>
        <v>0.42654180284937659</v>
      </c>
      <c r="AG26" s="2">
        <f t="shared" si="11"/>
        <v>0.57345819715062341</v>
      </c>
      <c r="AH26" s="2">
        <f t="shared" si="12"/>
        <v>0.34299551704859155</v>
      </c>
      <c r="AI26" s="2">
        <f t="shared" si="13"/>
        <v>0.14630192621116031</v>
      </c>
      <c r="AJ26" s="2">
        <f t="shared" si="14"/>
        <v>6.8351800000000082</v>
      </c>
      <c r="AK26" s="2">
        <v>10</v>
      </c>
      <c r="AL26">
        <f t="shared" si="15"/>
        <v>3.4299551704859153</v>
      </c>
    </row>
    <row r="27" spans="2:40" x14ac:dyDescent="0.35">
      <c r="C27" s="2"/>
      <c r="G27" s="49"/>
      <c r="H27" s="2"/>
      <c r="I27" s="2"/>
      <c r="J27" s="2"/>
      <c r="K27" s="2"/>
      <c r="L27" s="2"/>
      <c r="M27" s="2"/>
      <c r="N27" s="2"/>
      <c r="O27" s="2"/>
      <c r="P27" s="2"/>
      <c r="AA27" s="2"/>
      <c r="AB27" s="13">
        <v>167.99681000000001</v>
      </c>
      <c r="AC27">
        <v>169.91327999999999</v>
      </c>
      <c r="AD27" s="2">
        <f t="shared" si="8"/>
        <v>1.9164699999999755</v>
      </c>
      <c r="AE27" s="2">
        <f t="shared" si="9"/>
        <v>5.0433600000000069</v>
      </c>
      <c r="AF27" s="2">
        <f t="shared" si="10"/>
        <v>0.27536161084394017</v>
      </c>
      <c r="AG27" s="2">
        <f t="shared" si="11"/>
        <v>0.72463838915605983</v>
      </c>
      <c r="AH27" s="2">
        <f t="shared" si="12"/>
        <v>0.52179267090015125</v>
      </c>
      <c r="AI27" s="2">
        <f t="shared" si="13"/>
        <v>0.1436816703856276</v>
      </c>
      <c r="AJ27" s="2">
        <f t="shared" si="14"/>
        <v>6.9598299999999824</v>
      </c>
      <c r="AK27" s="2">
        <v>9</v>
      </c>
      <c r="AL27">
        <f t="shared" si="15"/>
        <v>4.696134038101361</v>
      </c>
    </row>
    <row r="28" spans="2:40" x14ac:dyDescent="0.35">
      <c r="C28" s="2"/>
      <c r="AA28" s="2" t="s">
        <v>122</v>
      </c>
      <c r="AB28" s="13">
        <v>174.95663999999999</v>
      </c>
      <c r="AC28">
        <v>175.84174999999999</v>
      </c>
      <c r="AD28" s="2">
        <f t="shared" si="8"/>
        <v>0.8851099999999974</v>
      </c>
      <c r="AE28" s="2">
        <f t="shared" si="9"/>
        <v>8.881149999999991</v>
      </c>
      <c r="AF28" s="2">
        <f t="shared" si="10"/>
        <v>9.0629370915785407E-2</v>
      </c>
      <c r="AG28" s="2">
        <f t="shared" si="11"/>
        <v>0.90937062908421462</v>
      </c>
      <c r="AH28" s="2">
        <f t="shared" si="12"/>
        <v>1.1298030753239743</v>
      </c>
      <c r="AI28" s="2">
        <f t="shared" si="13"/>
        <v>0.10239334197533152</v>
      </c>
      <c r="AJ28" s="2">
        <f t="shared" si="14"/>
        <v>9.7662599999999884</v>
      </c>
      <c r="AK28" s="2">
        <v>5</v>
      </c>
      <c r="AL28">
        <f t="shared" si="15"/>
        <v>5.6490153766198716</v>
      </c>
    </row>
    <row r="29" spans="2:40" x14ac:dyDescent="0.35">
      <c r="G29" s="49"/>
      <c r="H29" s="2"/>
      <c r="I29" s="2"/>
      <c r="J29" s="2"/>
      <c r="K29" s="2"/>
      <c r="L29" s="2"/>
      <c r="M29" s="2"/>
      <c r="N29" s="2"/>
      <c r="O29" s="2"/>
      <c r="P29" s="2"/>
      <c r="AA29" s="2"/>
      <c r="AB29" s="13">
        <v>184.72289999999998</v>
      </c>
      <c r="AC29">
        <v>187.67497</v>
      </c>
      <c r="AD29" s="2">
        <f t="shared" si="8"/>
        <v>2.9520700000000204</v>
      </c>
      <c r="AE29" s="2">
        <f t="shared" si="9"/>
        <v>4.137849999999986</v>
      </c>
      <c r="AF29" s="2">
        <f t="shared" si="10"/>
        <v>0.41637564316663905</v>
      </c>
      <c r="AG29" s="2">
        <f t="shared" si="11"/>
        <v>0.58362435683336089</v>
      </c>
      <c r="AH29" s="2">
        <f t="shared" si="12"/>
        <v>0.33874535495431785</v>
      </c>
      <c r="AI29" s="2">
        <f t="shared" si="13"/>
        <v>0.14104531503881554</v>
      </c>
      <c r="AJ29" s="2">
        <f t="shared" si="14"/>
        <v>7.0899200000000064</v>
      </c>
      <c r="AK29" s="2">
        <v>10</v>
      </c>
      <c r="AL29">
        <f t="shared" si="15"/>
        <v>3.3874535495431783</v>
      </c>
    </row>
    <row r="30" spans="2:40" x14ac:dyDescent="0.35">
      <c r="AA30" s="2" t="s">
        <v>122</v>
      </c>
      <c r="AB30" s="13">
        <v>191.81281999999999</v>
      </c>
      <c r="AC30">
        <v>194.69909999999999</v>
      </c>
      <c r="AD30" s="2">
        <f t="shared" si="8"/>
        <v>2.8862799999999993</v>
      </c>
      <c r="AE30" s="2">
        <f t="shared" si="9"/>
        <v>9.5755599999999959</v>
      </c>
      <c r="AF30" s="2">
        <f t="shared" si="10"/>
        <v>0.2316094573514024</v>
      </c>
      <c r="AG30" s="2">
        <f t="shared" si="11"/>
        <v>0.76839054264859763</v>
      </c>
      <c r="AH30" s="2">
        <f t="shared" si="12"/>
        <v>0.34646673226436808</v>
      </c>
      <c r="AI30" s="2">
        <f t="shared" si="13"/>
        <v>8.0244971850063906E-2</v>
      </c>
      <c r="AJ30" s="2">
        <f t="shared" si="14"/>
        <v>12.461839999999995</v>
      </c>
      <c r="AK30" s="2">
        <v>10</v>
      </c>
      <c r="AL30">
        <f t="shared" si="15"/>
        <v>3.4646673226436806</v>
      </c>
    </row>
    <row r="31" spans="2:40" x14ac:dyDescent="0.35">
      <c r="AA31" s="2"/>
      <c r="AB31" s="13">
        <v>204.27465999999998</v>
      </c>
      <c r="AC31">
        <v>206.13911999999999</v>
      </c>
      <c r="AD31" s="2">
        <f t="shared" si="8"/>
        <v>1.8644600000000082</v>
      </c>
      <c r="AE31" s="2">
        <f t="shared" si="9"/>
        <v>3.8499800000000164</v>
      </c>
      <c r="AF31" s="2">
        <f t="shared" si="10"/>
        <v>0.32627169066435208</v>
      </c>
      <c r="AG31" s="2">
        <f t="shared" si="11"/>
        <v>0.67372830933564787</v>
      </c>
      <c r="AH31" s="2">
        <f t="shared" si="12"/>
        <v>0.53634832605687199</v>
      </c>
      <c r="AI31" s="2">
        <f t="shared" si="13"/>
        <v>0.17499527512757079</v>
      </c>
      <c r="AJ31" s="2">
        <f t="shared" si="14"/>
        <v>5.7144400000000246</v>
      </c>
      <c r="AK31" s="2">
        <v>8</v>
      </c>
      <c r="AL31">
        <f t="shared" si="15"/>
        <v>4.2907866084549759</v>
      </c>
    </row>
    <row r="32" spans="2:40" ht="18.5" x14ac:dyDescent="0.45">
      <c r="F32" s="1" t="s">
        <v>405</v>
      </c>
      <c r="G32" s="3"/>
      <c r="H32" s="3"/>
      <c r="I32" s="3"/>
      <c r="J32" s="3"/>
      <c r="K32" s="3"/>
      <c r="L32" s="3"/>
      <c r="M32" s="3"/>
      <c r="N32" s="3"/>
      <c r="O32" s="3"/>
      <c r="AA32" s="2"/>
      <c r="AB32" s="13">
        <v>209.98910000000001</v>
      </c>
      <c r="AC32">
        <v>211.57503</v>
      </c>
      <c r="AD32" s="2">
        <f t="shared" si="8"/>
        <v>1.5859299999999905</v>
      </c>
      <c r="AE32" s="2">
        <f t="shared" si="9"/>
        <v>5.2761600000000044</v>
      </c>
      <c r="AF32" s="2">
        <f t="shared" si="10"/>
        <v>0.23111471869357464</v>
      </c>
      <c r="AG32" s="2">
        <f t="shared" si="11"/>
        <v>0.76888528130642531</v>
      </c>
      <c r="AH32" s="2">
        <f t="shared" si="12"/>
        <v>0.63054485380817937</v>
      </c>
      <c r="AI32" s="2">
        <f t="shared" si="13"/>
        <v>0.14572819651155855</v>
      </c>
      <c r="AJ32" s="2">
        <f t="shared" si="14"/>
        <v>6.8620899999999949</v>
      </c>
      <c r="AK32" s="2">
        <v>8</v>
      </c>
      <c r="AL32">
        <f t="shared" si="15"/>
        <v>5.044358830465435</v>
      </c>
    </row>
    <row r="33" spans="4:38" ht="16" thickBot="1" x14ac:dyDescent="0.4">
      <c r="D33" s="204" t="s">
        <v>406</v>
      </c>
      <c r="F33" s="9" t="s">
        <v>1</v>
      </c>
      <c r="G33" s="9" t="s">
        <v>2</v>
      </c>
      <c r="H33" s="9" t="s">
        <v>3</v>
      </c>
      <c r="I33" s="9" t="s">
        <v>4</v>
      </c>
      <c r="J33" s="9" t="s">
        <v>5</v>
      </c>
      <c r="K33" s="9" t="s">
        <v>6</v>
      </c>
      <c r="L33" s="9" t="s">
        <v>7</v>
      </c>
      <c r="M33" s="9" t="s">
        <v>8</v>
      </c>
      <c r="N33" s="9" t="s">
        <v>9</v>
      </c>
      <c r="O33" s="9" t="s">
        <v>10</v>
      </c>
      <c r="P33" s="44" t="s">
        <v>139</v>
      </c>
      <c r="R33" s="44" t="s">
        <v>138</v>
      </c>
      <c r="AA33" s="2" t="s">
        <v>122</v>
      </c>
      <c r="AB33" s="13">
        <v>216.85119</v>
      </c>
      <c r="AC33">
        <v>218.46618000000001</v>
      </c>
      <c r="AD33" s="2">
        <f t="shared" si="8"/>
        <v>1.6149900000000059</v>
      </c>
      <c r="AE33" s="2">
        <f t="shared" si="9"/>
        <v>11.061280000000011</v>
      </c>
      <c r="AF33" s="2">
        <f t="shared" si="10"/>
        <v>0.12740261922474069</v>
      </c>
      <c r="AG33" s="2">
        <f t="shared" si="11"/>
        <v>0.87259738077525928</v>
      </c>
      <c r="AH33" s="2">
        <f t="shared" si="12"/>
        <v>0.61919888048842175</v>
      </c>
      <c r="AI33" s="2">
        <f t="shared" si="13"/>
        <v>7.888755919525213E-2</v>
      </c>
      <c r="AJ33" s="2">
        <f t="shared" si="14"/>
        <v>12.676270000000017</v>
      </c>
      <c r="AK33" s="2">
        <v>8</v>
      </c>
      <c r="AL33">
        <f t="shared" si="15"/>
        <v>4.953591043907374</v>
      </c>
    </row>
    <row r="34" spans="4:38" x14ac:dyDescent="0.35">
      <c r="D34" s="297">
        <v>5</v>
      </c>
      <c r="F34" s="13">
        <v>4.0918400000000004</v>
      </c>
      <c r="G34" s="2">
        <v>7.17218</v>
      </c>
      <c r="H34" s="2">
        <f t="shared" ref="H34:H47" si="19">G34-F34</f>
        <v>3.0803399999999996</v>
      </c>
      <c r="I34" s="2">
        <f t="shared" ref="I34:I45" si="20">F35-G34</f>
        <v>11.309010000000001</v>
      </c>
      <c r="J34" s="2">
        <f t="shared" ref="J34:J45" si="21">H34/N34</f>
        <v>0.21407082321300125</v>
      </c>
      <c r="K34" s="2">
        <f t="shared" ref="K34:K45" si="22">I34/N34</f>
        <v>0.7859291767869987</v>
      </c>
      <c r="L34" s="2">
        <f t="shared" ref="L34:L45" si="23">1/H34</f>
        <v>0.32463948784874402</v>
      </c>
      <c r="M34" s="2">
        <f t="shared" ref="M34:M45" si="24">1/N34</f>
        <v>6.9495842411227748E-2</v>
      </c>
      <c r="N34" s="2">
        <f t="shared" ref="N34:N45" si="25">H34+I34</f>
        <v>14.38935</v>
      </c>
      <c r="O34" s="2">
        <v>12</v>
      </c>
      <c r="P34">
        <f t="shared" ref="P34:P45" si="26">O34/H34</f>
        <v>3.8956738541849281</v>
      </c>
      <c r="R34" t="s">
        <v>777</v>
      </c>
      <c r="AA34" s="2"/>
      <c r="AB34" s="13">
        <v>229.52746000000002</v>
      </c>
      <c r="AC34">
        <v>232.46895000000001</v>
      </c>
      <c r="AD34" s="2">
        <f t="shared" si="8"/>
        <v>2.9414899999999875</v>
      </c>
      <c r="AE34" s="2">
        <f t="shared" si="9"/>
        <v>4.0274200000000064</v>
      </c>
      <c r="AF34" s="2">
        <f t="shared" si="10"/>
        <v>0.42208752875270167</v>
      </c>
      <c r="AG34" s="2">
        <f t="shared" si="11"/>
        <v>0.57791247124729839</v>
      </c>
      <c r="AH34" s="2">
        <f t="shared" si="12"/>
        <v>0.33996375986320004</v>
      </c>
      <c r="AI34" s="2">
        <f t="shared" si="13"/>
        <v>0.14349446326613499</v>
      </c>
      <c r="AJ34" s="2">
        <f t="shared" si="14"/>
        <v>6.9689099999999939</v>
      </c>
      <c r="AK34" s="2">
        <v>9</v>
      </c>
      <c r="AL34">
        <f t="shared" si="15"/>
        <v>3.0596738387688003</v>
      </c>
    </row>
    <row r="35" spans="4:38" x14ac:dyDescent="0.35">
      <c r="D35" s="300">
        <v>5</v>
      </c>
      <c r="F35" s="13">
        <v>18.481190000000002</v>
      </c>
      <c r="G35" s="2">
        <v>24.729120000000002</v>
      </c>
      <c r="H35" s="2">
        <f t="shared" si="19"/>
        <v>6.2479300000000002</v>
      </c>
      <c r="I35" s="2">
        <f t="shared" si="20"/>
        <v>2.3070299999999975</v>
      </c>
      <c r="J35" s="2">
        <f t="shared" si="21"/>
        <v>0.73032837090997527</v>
      </c>
      <c r="K35" s="2">
        <f t="shared" si="22"/>
        <v>0.26967162909002473</v>
      </c>
      <c r="L35" s="2">
        <f t="shared" si="23"/>
        <v>0.16005300955676519</v>
      </c>
      <c r="M35" s="2">
        <f t="shared" si="24"/>
        <v>0.11689125372883102</v>
      </c>
      <c r="N35" s="2">
        <f t="shared" si="25"/>
        <v>8.5549599999999977</v>
      </c>
      <c r="O35" s="2">
        <v>32</v>
      </c>
      <c r="P35">
        <f t="shared" si="26"/>
        <v>5.1216963058164859</v>
      </c>
      <c r="AA35" s="2"/>
      <c r="AB35" s="13">
        <v>236.49637000000001</v>
      </c>
      <c r="AC35">
        <v>239.61795000000001</v>
      </c>
      <c r="AD35" s="2">
        <f t="shared" si="8"/>
        <v>3.1215799999999945</v>
      </c>
      <c r="AE35" s="2"/>
      <c r="AF35" s="2"/>
      <c r="AG35" s="2"/>
      <c r="AH35" s="2"/>
      <c r="AI35" s="2"/>
      <c r="AJ35" s="2"/>
      <c r="AK35" s="2"/>
    </row>
    <row r="36" spans="4:38" x14ac:dyDescent="0.35">
      <c r="D36" s="300">
        <v>5</v>
      </c>
      <c r="F36" s="13">
        <v>27.036149999999999</v>
      </c>
      <c r="G36" s="2">
        <v>31.70458</v>
      </c>
      <c r="H36" s="2">
        <f t="shared" si="19"/>
        <v>4.6684300000000007</v>
      </c>
      <c r="I36" s="2">
        <f t="shared" si="20"/>
        <v>3.8915999999999968</v>
      </c>
      <c r="J36" s="2">
        <f t="shared" si="21"/>
        <v>0.54537542508612724</v>
      </c>
      <c r="K36" s="2">
        <f t="shared" si="22"/>
        <v>0.4546245749138727</v>
      </c>
      <c r="L36" s="2">
        <f t="shared" si="23"/>
        <v>0.21420477548126454</v>
      </c>
      <c r="M36" s="2">
        <f t="shared" si="24"/>
        <v>0.11682202048357311</v>
      </c>
      <c r="N36" s="2">
        <f t="shared" si="25"/>
        <v>8.5600299999999976</v>
      </c>
      <c r="O36" s="2">
        <v>19</v>
      </c>
      <c r="P36">
        <f t="shared" si="26"/>
        <v>4.0698907341440265</v>
      </c>
      <c r="AC36" s="45"/>
      <c r="AD36" s="2"/>
      <c r="AE36" s="2"/>
      <c r="AF36" s="2"/>
      <c r="AG36" s="2"/>
      <c r="AH36" s="2"/>
      <c r="AI36" s="2"/>
      <c r="AJ36" s="2"/>
      <c r="AK36" s="2"/>
    </row>
    <row r="37" spans="4:38" x14ac:dyDescent="0.35">
      <c r="D37" s="300">
        <v>5</v>
      </c>
      <c r="F37" s="13">
        <v>35.596179999999997</v>
      </c>
      <c r="G37" s="2">
        <v>43.110709999999997</v>
      </c>
      <c r="H37" s="2">
        <f t="shared" si="19"/>
        <v>7.5145300000000006</v>
      </c>
      <c r="I37" s="2">
        <f t="shared" si="20"/>
        <v>2.5069599999999994</v>
      </c>
      <c r="J37" s="2">
        <f t="shared" si="21"/>
        <v>0.74984159042218279</v>
      </c>
      <c r="K37" s="2">
        <f t="shared" si="22"/>
        <v>0.25015840957781721</v>
      </c>
      <c r="L37" s="2">
        <f t="shared" si="23"/>
        <v>0.13307552168931389</v>
      </c>
      <c r="M37" s="2">
        <f t="shared" si="24"/>
        <v>9.9785560829776812E-2</v>
      </c>
      <c r="N37" s="2">
        <f t="shared" si="25"/>
        <v>10.02149</v>
      </c>
      <c r="O37" s="2">
        <v>33</v>
      </c>
      <c r="P37">
        <f t="shared" si="26"/>
        <v>4.3914922157473582</v>
      </c>
      <c r="AC37" s="49"/>
      <c r="AD37" s="2"/>
      <c r="AE37" s="2"/>
      <c r="AF37" s="2"/>
      <c r="AG37" s="2"/>
      <c r="AH37" s="2"/>
      <c r="AI37" s="2"/>
      <c r="AJ37" s="2"/>
      <c r="AK37" s="2"/>
    </row>
    <row r="38" spans="4:38" x14ac:dyDescent="0.35">
      <c r="D38" s="300">
        <v>5</v>
      </c>
      <c r="F38" s="13">
        <v>45.617669999999997</v>
      </c>
      <c r="G38" s="2">
        <v>50.313969999999998</v>
      </c>
      <c r="H38" s="2">
        <f t="shared" si="19"/>
        <v>4.6963000000000008</v>
      </c>
      <c r="I38" s="2">
        <f t="shared" si="20"/>
        <v>4.0098699999999994</v>
      </c>
      <c r="J38" s="2">
        <f t="shared" si="21"/>
        <v>0.53942204206901545</v>
      </c>
      <c r="K38" s="2">
        <f t="shared" si="22"/>
        <v>0.46057795793098449</v>
      </c>
      <c r="L38" s="2">
        <f t="shared" si="23"/>
        <v>0.21293358601452203</v>
      </c>
      <c r="M38" s="2">
        <f t="shared" si="24"/>
        <v>0.11486106979303183</v>
      </c>
      <c r="N38" s="2">
        <f t="shared" si="25"/>
        <v>8.7061700000000002</v>
      </c>
      <c r="O38" s="2">
        <v>21</v>
      </c>
      <c r="P38">
        <f t="shared" si="26"/>
        <v>4.471605306304963</v>
      </c>
      <c r="AC38" s="49"/>
      <c r="AD38" s="2"/>
      <c r="AE38" s="2"/>
      <c r="AF38" s="2"/>
      <c r="AG38" s="2"/>
      <c r="AH38" s="2"/>
      <c r="AI38" s="2"/>
      <c r="AJ38" s="2"/>
      <c r="AK38" s="2"/>
      <c r="AL38" s="2"/>
    </row>
    <row r="39" spans="4:38" ht="16" thickBot="1" x14ac:dyDescent="0.4">
      <c r="D39" s="300">
        <v>5</v>
      </c>
      <c r="F39" s="13">
        <v>54.323839999999997</v>
      </c>
      <c r="G39" s="2">
        <v>56.15804</v>
      </c>
      <c r="H39" s="2">
        <f t="shared" si="19"/>
        <v>1.8342000000000027</v>
      </c>
      <c r="I39" s="2">
        <f t="shared" si="20"/>
        <v>5.5889999999999986</v>
      </c>
      <c r="J39" s="2">
        <f t="shared" si="21"/>
        <v>0.24709020368574233</v>
      </c>
      <c r="K39" s="2">
        <f t="shared" si="22"/>
        <v>0.7529097963142577</v>
      </c>
      <c r="L39" s="2">
        <f t="shared" si="23"/>
        <v>0.54519681605059345</v>
      </c>
      <c r="M39" s="2">
        <f t="shared" si="24"/>
        <v>0.13471279232675931</v>
      </c>
      <c r="N39" s="2">
        <f t="shared" si="25"/>
        <v>7.4232000000000014</v>
      </c>
      <c r="O39" s="2">
        <v>9</v>
      </c>
      <c r="P39">
        <f t="shared" si="26"/>
        <v>4.9067713444553407</v>
      </c>
      <c r="AC39" s="13"/>
      <c r="AD39" s="9" t="s">
        <v>3</v>
      </c>
      <c r="AE39" s="9" t="s">
        <v>4</v>
      </c>
      <c r="AF39" s="9" t="s">
        <v>5</v>
      </c>
      <c r="AG39" s="9" t="s">
        <v>6</v>
      </c>
      <c r="AH39" s="9" t="s">
        <v>7</v>
      </c>
      <c r="AI39" s="9" t="s">
        <v>8</v>
      </c>
      <c r="AJ39" s="9" t="s">
        <v>9</v>
      </c>
      <c r="AK39" s="9" t="s">
        <v>10</v>
      </c>
      <c r="AL39" s="44" t="s">
        <v>139</v>
      </c>
    </row>
    <row r="40" spans="4:38" x14ac:dyDescent="0.35">
      <c r="D40" s="300">
        <v>5</v>
      </c>
      <c r="F40" s="13">
        <v>61.747039999999998</v>
      </c>
      <c r="G40" s="2">
        <v>66.598879999999994</v>
      </c>
      <c r="H40" s="2">
        <f t="shared" si="19"/>
        <v>4.8518399999999957</v>
      </c>
      <c r="I40" s="2">
        <f t="shared" si="20"/>
        <v>3.9138300000000044</v>
      </c>
      <c r="J40" s="2">
        <f t="shared" si="21"/>
        <v>0.55350475206116545</v>
      </c>
      <c r="K40" s="2">
        <f t="shared" si="22"/>
        <v>0.44649524793883461</v>
      </c>
      <c r="L40" s="2">
        <f t="shared" si="23"/>
        <v>0.20610737369740159</v>
      </c>
      <c r="M40" s="2">
        <f t="shared" si="24"/>
        <v>0.11408141077635822</v>
      </c>
      <c r="N40" s="2">
        <f t="shared" si="25"/>
        <v>8.7656700000000001</v>
      </c>
      <c r="O40" s="2">
        <v>26</v>
      </c>
      <c r="P40">
        <f t="shared" si="26"/>
        <v>5.3587917161324414</v>
      </c>
      <c r="AC40" s="49" t="s">
        <v>77</v>
      </c>
      <c r="AD40" s="13">
        <f>AVERAGE(AD7:AD34)</f>
        <v>2.1575417857142858</v>
      </c>
      <c r="AE40" s="13">
        <f t="shared" ref="AE40:AL40" si="27">AVERAGE(AE7:AE34)</f>
        <v>6.2043192857142859</v>
      </c>
      <c r="AF40" s="13">
        <f t="shared" si="27"/>
        <v>0.28019456793114433</v>
      </c>
      <c r="AG40" s="13">
        <f t="shared" si="27"/>
        <v>0.7198054320688555</v>
      </c>
      <c r="AH40" s="13">
        <f t="shared" si="27"/>
        <v>0.50663919180700734</v>
      </c>
      <c r="AI40" s="13">
        <f t="shared" si="27"/>
        <v>0.12707306644138341</v>
      </c>
      <c r="AJ40" s="13">
        <f t="shared" si="27"/>
        <v>8.3618610714285726</v>
      </c>
      <c r="AK40" s="13">
        <f t="shared" si="27"/>
        <v>7.8214285714285712</v>
      </c>
      <c r="AL40" s="13">
        <f t="shared" si="27"/>
        <v>3.8060727851122258</v>
      </c>
    </row>
    <row r="41" spans="4:38" ht="13.5" customHeight="1" x14ac:dyDescent="0.35">
      <c r="D41" s="300">
        <v>5</v>
      </c>
      <c r="F41" s="13">
        <v>70.512709999999998</v>
      </c>
      <c r="G41" s="2">
        <v>73.910290000000003</v>
      </c>
      <c r="H41" s="2">
        <f t="shared" si="19"/>
        <v>3.3975800000000049</v>
      </c>
      <c r="I41" s="2">
        <f t="shared" si="20"/>
        <v>3.9309399999999926</v>
      </c>
      <c r="J41" s="2">
        <f t="shared" si="21"/>
        <v>0.4636106608155543</v>
      </c>
      <c r="K41" s="2">
        <f t="shared" si="22"/>
        <v>0.53638933918444565</v>
      </c>
      <c r="L41" s="2">
        <f t="shared" si="23"/>
        <v>0.29432713872815314</v>
      </c>
      <c r="M41" s="2">
        <f t="shared" si="24"/>
        <v>0.1364531992817104</v>
      </c>
      <c r="N41" s="2">
        <f t="shared" si="25"/>
        <v>7.3285199999999975</v>
      </c>
      <c r="O41" s="2">
        <v>16</v>
      </c>
      <c r="P41">
        <f t="shared" si="26"/>
        <v>4.7092342196504502</v>
      </c>
      <c r="AC41" s="49" t="s">
        <v>94</v>
      </c>
      <c r="AD41" s="2">
        <f>_xlfn.STDEV.S(AD7:AD34)</f>
        <v>0.61628072157547109</v>
      </c>
      <c r="AE41" s="2">
        <f t="shared" ref="AE41:AL41" si="28">_xlfn.STDEV.S(AE7:AE34)</f>
        <v>2.4791741671116085</v>
      </c>
      <c r="AF41" s="2">
        <f t="shared" si="28"/>
        <v>0.11639612841979192</v>
      </c>
      <c r="AG41" s="2">
        <f t="shared" si="28"/>
        <v>0.11639612841979213</v>
      </c>
      <c r="AH41" s="2">
        <f t="shared" si="28"/>
        <v>0.1712704293774116</v>
      </c>
      <c r="AI41" s="2">
        <f t="shared" si="28"/>
        <v>2.9751604025517853E-2</v>
      </c>
      <c r="AJ41" s="2">
        <f t="shared" si="28"/>
        <v>2.2134831374494084</v>
      </c>
      <c r="AK41" s="2">
        <f t="shared" si="28"/>
        <v>1.6342077348473547</v>
      </c>
      <c r="AL41" s="2">
        <f t="shared" si="28"/>
        <v>0.90103707413864409</v>
      </c>
    </row>
    <row r="42" spans="4:38" x14ac:dyDescent="0.35">
      <c r="D42" s="300">
        <v>5</v>
      </c>
      <c r="F42" s="13">
        <v>77.841229999999996</v>
      </c>
      <c r="G42" s="2">
        <v>81.399119999999996</v>
      </c>
      <c r="H42" s="2">
        <f t="shared" si="19"/>
        <v>3.5578900000000004</v>
      </c>
      <c r="I42" s="2">
        <f t="shared" si="20"/>
        <v>3.7851399999999984</v>
      </c>
      <c r="J42" s="2">
        <f t="shared" si="21"/>
        <v>0.48452614247796905</v>
      </c>
      <c r="K42" s="2">
        <f t="shared" si="22"/>
        <v>0.51547385752203101</v>
      </c>
      <c r="L42" s="2">
        <f t="shared" si="23"/>
        <v>0.28106546295697726</v>
      </c>
      <c r="M42" s="2">
        <f t="shared" si="24"/>
        <v>0.13618356455032871</v>
      </c>
      <c r="N42" s="2">
        <f t="shared" si="25"/>
        <v>7.3430299999999988</v>
      </c>
      <c r="O42" s="2">
        <v>17</v>
      </c>
      <c r="P42">
        <f t="shared" si="26"/>
        <v>4.7781128702686138</v>
      </c>
      <c r="AC42" s="49" t="s">
        <v>95</v>
      </c>
      <c r="AD42" s="2">
        <f>AD41/(SQRT(COUNT(AD7:AD34)))</f>
        <v>0.11646610907800961</v>
      </c>
      <c r="AE42" s="2">
        <f t="shared" ref="AE42:AL42" si="29">AE41/(SQRT(COUNT(AE7:AE34)))</f>
        <v>0.46851987878521445</v>
      </c>
      <c r="AF42" s="2">
        <f t="shared" si="29"/>
        <v>2.1996800669250496E-2</v>
      </c>
      <c r="AG42" s="2">
        <f t="shared" si="29"/>
        <v>2.1996800669250534E-2</v>
      </c>
      <c r="AH42" s="2">
        <f t="shared" si="29"/>
        <v>3.2367068790848719E-2</v>
      </c>
      <c r="AI42" s="2">
        <f t="shared" si="29"/>
        <v>5.6225246683420287E-3</v>
      </c>
      <c r="AJ42" s="2">
        <f t="shared" si="29"/>
        <v>0.41830899378043823</v>
      </c>
      <c r="AK42" s="2">
        <f t="shared" si="29"/>
        <v>0.30883623264459165</v>
      </c>
      <c r="AL42" s="2">
        <f t="shared" si="29"/>
        <v>0.17028000144429431</v>
      </c>
    </row>
    <row r="43" spans="4:38" x14ac:dyDescent="0.35">
      <c r="D43" s="300">
        <v>5</v>
      </c>
      <c r="F43" s="13">
        <v>85.184259999999995</v>
      </c>
      <c r="G43" s="2">
        <v>89.624769999999998</v>
      </c>
      <c r="H43" s="2">
        <f t="shared" si="19"/>
        <v>4.4405100000000033</v>
      </c>
      <c r="I43" s="2">
        <f t="shared" si="20"/>
        <v>2.8016700000000014</v>
      </c>
      <c r="J43" s="2">
        <f t="shared" si="21"/>
        <v>0.61314548934160717</v>
      </c>
      <c r="K43" s="2">
        <f t="shared" si="22"/>
        <v>0.38685451065839288</v>
      </c>
      <c r="L43" s="2">
        <f t="shared" si="23"/>
        <v>0.22519935773143157</v>
      </c>
      <c r="M43" s="2">
        <f t="shared" si="24"/>
        <v>0.13807997039565426</v>
      </c>
      <c r="N43" s="2">
        <f t="shared" si="25"/>
        <v>7.2421800000000047</v>
      </c>
      <c r="O43" s="2">
        <v>18</v>
      </c>
      <c r="P43">
        <f t="shared" si="26"/>
        <v>4.0535884391657682</v>
      </c>
      <c r="AC43" s="49"/>
      <c r="AD43" s="2"/>
      <c r="AE43" s="2"/>
      <c r="AF43" s="2"/>
      <c r="AG43" s="2"/>
      <c r="AH43" s="2"/>
      <c r="AI43" s="2"/>
      <c r="AJ43" s="2"/>
      <c r="AK43" s="2"/>
      <c r="AL43" s="2"/>
    </row>
    <row r="44" spans="4:38" x14ac:dyDescent="0.35">
      <c r="D44" s="300">
        <v>5</v>
      </c>
      <c r="F44" s="13">
        <v>92.426439999999999</v>
      </c>
      <c r="G44" s="2">
        <v>97.198589999999996</v>
      </c>
      <c r="H44" s="2">
        <f t="shared" si="19"/>
        <v>4.7721499999999963</v>
      </c>
      <c r="I44" s="2">
        <f t="shared" si="20"/>
        <v>9.8899899999999974</v>
      </c>
      <c r="J44" s="2">
        <f t="shared" si="21"/>
        <v>0.32547431684597189</v>
      </c>
      <c r="K44" s="2">
        <f t="shared" si="22"/>
        <v>0.67452568315402806</v>
      </c>
      <c r="L44" s="2">
        <f t="shared" si="23"/>
        <v>0.20954915499303264</v>
      </c>
      <c r="M44" s="2">
        <f t="shared" si="24"/>
        <v>6.8202868067007982E-2</v>
      </c>
      <c r="N44" s="2">
        <f t="shared" si="25"/>
        <v>14.662139999999994</v>
      </c>
      <c r="O44" s="2">
        <v>21</v>
      </c>
      <c r="P44">
        <f t="shared" si="26"/>
        <v>4.4005322548536858</v>
      </c>
      <c r="AC44" s="49"/>
      <c r="AD44" s="2"/>
      <c r="AE44" s="2"/>
      <c r="AF44" s="2"/>
      <c r="AG44" s="2"/>
      <c r="AH44" s="2"/>
      <c r="AI44" s="2"/>
      <c r="AJ44" s="2"/>
      <c r="AK44" s="2"/>
      <c r="AL44" s="2"/>
    </row>
    <row r="45" spans="4:38" x14ac:dyDescent="0.35">
      <c r="D45" s="300">
        <v>5</v>
      </c>
      <c r="F45" s="13">
        <v>107.08857999999999</v>
      </c>
      <c r="G45" s="2">
        <v>112.07474999999999</v>
      </c>
      <c r="H45" s="2">
        <f t="shared" si="19"/>
        <v>4.9861700000000013</v>
      </c>
      <c r="I45" s="2">
        <f t="shared" si="20"/>
        <v>3.7362099999999998</v>
      </c>
      <c r="J45" s="2">
        <f t="shared" si="21"/>
        <v>0.57165246182807916</v>
      </c>
      <c r="K45" s="2">
        <f t="shared" si="22"/>
        <v>0.42834753817192089</v>
      </c>
      <c r="L45" s="2">
        <f t="shared" si="23"/>
        <v>0.20055473439533744</v>
      </c>
      <c r="M45" s="2">
        <f t="shared" si="24"/>
        <v>0.11464760764837119</v>
      </c>
      <c r="N45" s="2">
        <f t="shared" si="25"/>
        <v>8.7223800000000011</v>
      </c>
      <c r="O45" s="2">
        <v>29</v>
      </c>
      <c r="P45">
        <f t="shared" si="26"/>
        <v>5.8160872974647857</v>
      </c>
      <c r="AC45" s="49"/>
      <c r="AD45" s="2"/>
      <c r="AE45" s="2"/>
      <c r="AF45" s="2"/>
      <c r="AG45" s="2"/>
      <c r="AH45" s="2"/>
      <c r="AI45" s="2"/>
      <c r="AJ45" s="2"/>
      <c r="AK45" s="2"/>
      <c r="AL45" s="2"/>
    </row>
    <row r="46" spans="4:38" ht="16" thickBot="1" x14ac:dyDescent="0.4">
      <c r="D46" s="300">
        <v>5</v>
      </c>
      <c r="F46" s="13">
        <v>115.81095999999999</v>
      </c>
      <c r="G46" s="2">
        <v>119.42488</v>
      </c>
      <c r="H46" s="2">
        <f t="shared" si="19"/>
        <v>3.6139200000000073</v>
      </c>
      <c r="I46" s="2"/>
      <c r="J46" s="2"/>
      <c r="K46" s="2"/>
      <c r="L46" s="2"/>
      <c r="M46" s="2"/>
      <c r="N46" s="2"/>
      <c r="O46" s="2"/>
      <c r="AA46" t="s">
        <v>122</v>
      </c>
      <c r="AC46" s="13"/>
      <c r="AD46" s="9" t="s">
        <v>3</v>
      </c>
      <c r="AE46" s="9" t="s">
        <v>4</v>
      </c>
      <c r="AF46" s="9" t="s">
        <v>5</v>
      </c>
      <c r="AG46" s="9" t="s">
        <v>6</v>
      </c>
      <c r="AH46" s="9" t="s">
        <v>7</v>
      </c>
      <c r="AI46" s="9" t="s">
        <v>8</v>
      </c>
      <c r="AJ46" s="9" t="s">
        <v>9</v>
      </c>
      <c r="AK46" s="9" t="s">
        <v>10</v>
      </c>
      <c r="AL46" s="44" t="s">
        <v>139</v>
      </c>
    </row>
    <row r="47" spans="4:38" x14ac:dyDescent="0.35">
      <c r="D47" s="297"/>
      <c r="F47" s="13"/>
      <c r="G47" s="2"/>
      <c r="H47" s="2">
        <f t="shared" si="19"/>
        <v>0</v>
      </c>
      <c r="I47" s="2"/>
      <c r="J47" s="2"/>
      <c r="K47" s="2"/>
      <c r="L47" s="2"/>
      <c r="M47" s="2"/>
      <c r="N47" s="2"/>
      <c r="O47" s="2"/>
      <c r="AC47" s="49" t="s">
        <v>77</v>
      </c>
      <c r="AD47" s="13">
        <f>AVERAGE(AD9,AD12,AD15:AD16,AD18,AD20,AD22,AD24,AD28,AD30,AD33)</f>
        <v>1.8177472727272714</v>
      </c>
      <c r="AE47" s="13">
        <f t="shared" ref="AE47:AL47" si="30">AVERAGE(AE9,AE12,AE15:AE16,AE18,AE20,AE22,AE24,AE28,AE30,AE33)</f>
        <v>9.0371772727272699</v>
      </c>
      <c r="AF47" s="13">
        <f t="shared" si="30"/>
        <v>0.16742280817129054</v>
      </c>
      <c r="AG47" s="13">
        <f t="shared" si="30"/>
        <v>0.83257719182870948</v>
      </c>
      <c r="AH47" s="13">
        <f t="shared" si="30"/>
        <v>0.60245896866710413</v>
      </c>
      <c r="AI47" s="13">
        <f t="shared" si="30"/>
        <v>9.3410651063637301E-2</v>
      </c>
      <c r="AJ47" s="13">
        <f t="shared" si="30"/>
        <v>10.854924545454542</v>
      </c>
      <c r="AK47" s="13">
        <f t="shared" si="30"/>
        <v>7</v>
      </c>
      <c r="AL47" s="13">
        <f t="shared" si="30"/>
        <v>4.0650908549236409</v>
      </c>
    </row>
    <row r="48" spans="4:38" x14ac:dyDescent="0.35">
      <c r="F48" s="13"/>
      <c r="H48" s="2"/>
      <c r="I48" s="2"/>
      <c r="J48" s="2"/>
      <c r="K48" s="2"/>
      <c r="L48" s="2"/>
      <c r="M48" s="2"/>
      <c r="N48" s="2"/>
      <c r="O48" s="2"/>
      <c r="AC48" s="49" t="s">
        <v>94</v>
      </c>
      <c r="AD48" s="2">
        <f>_xlfn.STDEV.S(AD9,AD12,AD15:AD16,AD18,AD20,AD22,AD24,AD28,AD30,AD33)</f>
        <v>0.54433336015884559</v>
      </c>
      <c r="AE48" s="2">
        <f t="shared" ref="AE48:AL48" si="31">_xlfn.STDEV.S(AE9,AE12,AE15:AE16,AE18,AE20,AE22,AE24,AE28,AE30,AE33)</f>
        <v>1.156772057547135</v>
      </c>
      <c r="AF48" s="2">
        <f t="shared" si="31"/>
        <v>4.5171424306870434E-2</v>
      </c>
      <c r="AG48" s="2">
        <f t="shared" si="31"/>
        <v>4.5171424306870413E-2</v>
      </c>
      <c r="AH48" s="2">
        <f t="shared" si="31"/>
        <v>0.20951921060602244</v>
      </c>
      <c r="AI48" s="2">
        <f t="shared" si="31"/>
        <v>1.2118262972473159E-2</v>
      </c>
      <c r="AJ48" s="2">
        <f t="shared" si="31"/>
        <v>1.2837340011806506</v>
      </c>
      <c r="AK48" s="2">
        <f t="shared" si="31"/>
        <v>1.61245154965971</v>
      </c>
      <c r="AL48" s="2">
        <f t="shared" si="31"/>
        <v>1.0584037105579738</v>
      </c>
    </row>
    <row r="49" spans="4:40" ht="16" thickBot="1" x14ac:dyDescent="0.4">
      <c r="E49" s="104" t="s">
        <v>779</v>
      </c>
      <c r="F49" s="13"/>
      <c r="G49" s="13"/>
      <c r="H49" s="9" t="s">
        <v>3</v>
      </c>
      <c r="I49" s="9" t="s">
        <v>4</v>
      </c>
      <c r="J49" s="9" t="s">
        <v>5</v>
      </c>
      <c r="K49" s="9" t="s">
        <v>6</v>
      </c>
      <c r="L49" s="9" t="s">
        <v>7</v>
      </c>
      <c r="M49" s="9" t="s">
        <v>8</v>
      </c>
      <c r="N49" s="9" t="s">
        <v>9</v>
      </c>
      <c r="O49" s="9" t="s">
        <v>10</v>
      </c>
      <c r="P49" s="44" t="s">
        <v>139</v>
      </c>
      <c r="AC49" s="49" t="s">
        <v>95</v>
      </c>
      <c r="AD49" s="2">
        <f>AD48/(SQRT(COUNT(AD9,AD12,AD15:AD16,AD18,AD20,AD22,AD24,AD28,AD30,AD33)))</f>
        <v>0.16412268332002561</v>
      </c>
      <c r="AE49" s="2">
        <f t="shared" ref="AE49:AL49" si="32">AE48/(SQRT(COUNT(AE9,AE12,AE15:AE16,AE18,AE20,AE22,AE24,AE28,AE30,AE33)))</f>
        <v>0.34877989844102281</v>
      </c>
      <c r="AF49" s="2">
        <f t="shared" si="32"/>
        <v>1.3619696879257178E-2</v>
      </c>
      <c r="AG49" s="2">
        <f t="shared" si="32"/>
        <v>1.3619696879257173E-2</v>
      </c>
      <c r="AH49" s="2">
        <f t="shared" si="32"/>
        <v>6.3172418904693453E-2</v>
      </c>
      <c r="AI49" s="2">
        <f t="shared" si="32"/>
        <v>3.6537937627773086E-3</v>
      </c>
      <c r="AJ49" s="2">
        <f t="shared" si="32"/>
        <v>0.38706036477617034</v>
      </c>
      <c r="AK49" s="2">
        <f t="shared" si="32"/>
        <v>0.48617243480439776</v>
      </c>
      <c r="AL49" s="2">
        <f t="shared" si="32"/>
        <v>0.31912072587642881</v>
      </c>
    </row>
    <row r="50" spans="4:40" x14ac:dyDescent="0.35">
      <c r="F50" s="13"/>
      <c r="G50" s="49" t="s">
        <v>77</v>
      </c>
      <c r="H50" s="13">
        <f>AVERAGE(H34:H45)</f>
        <v>4.5039891666666669</v>
      </c>
      <c r="I50" s="13">
        <f t="shared" ref="I50:P50" si="33">AVERAGE(I34:I45)</f>
        <v>4.8059374999999989</v>
      </c>
      <c r="J50" s="13">
        <f t="shared" si="33"/>
        <v>0.50317018989636597</v>
      </c>
      <c r="K50" s="13">
        <f t="shared" si="33"/>
        <v>0.49682981010363397</v>
      </c>
      <c r="L50" s="13">
        <f t="shared" si="33"/>
        <v>0.250575534928628</v>
      </c>
      <c r="M50" s="13">
        <f t="shared" si="33"/>
        <v>0.11335143002438587</v>
      </c>
      <c r="N50" s="13">
        <f t="shared" si="33"/>
        <v>9.3099266666666676</v>
      </c>
      <c r="O50" s="13">
        <f t="shared" si="33"/>
        <v>21.083333333333332</v>
      </c>
      <c r="P50" s="13">
        <f t="shared" si="33"/>
        <v>4.6644563798490699</v>
      </c>
      <c r="AC50" s="49"/>
      <c r="AD50" s="2"/>
      <c r="AE50" s="2"/>
      <c r="AF50" s="2"/>
      <c r="AG50" s="2"/>
      <c r="AH50" s="2"/>
      <c r="AI50" s="2"/>
      <c r="AJ50" s="2"/>
      <c r="AK50" s="2"/>
      <c r="AL50" s="2"/>
    </row>
    <row r="51" spans="4:40" x14ac:dyDescent="0.35">
      <c r="E51" s="104"/>
      <c r="F51" s="13"/>
      <c r="G51" s="49" t="s">
        <v>94</v>
      </c>
      <c r="H51" s="2">
        <f>_xlfn.STDEV.S(H34:H45)</f>
        <v>1.4731519825466286</v>
      </c>
      <c r="I51" s="2">
        <f t="shared" ref="I51:P51" si="34">_xlfn.STDEV.S(I34:I45)</f>
        <v>2.8526735545612607</v>
      </c>
      <c r="J51" s="2">
        <f t="shared" si="34"/>
        <v>0.16989430864409491</v>
      </c>
      <c r="K51" s="2">
        <f t="shared" si="34"/>
        <v>0.16989430864409491</v>
      </c>
      <c r="L51" s="2">
        <f t="shared" si="34"/>
        <v>0.10731345260036385</v>
      </c>
      <c r="M51" s="2">
        <f t="shared" si="34"/>
        <v>2.3927184895793142E-2</v>
      </c>
      <c r="N51" s="2">
        <f t="shared" si="34"/>
        <v>2.5711915915682977</v>
      </c>
      <c r="O51" s="2">
        <f t="shared" si="34"/>
        <v>7.5853726861558242</v>
      </c>
      <c r="P51" s="2">
        <f t="shared" si="34"/>
        <v>0.57129155980287838</v>
      </c>
      <c r="AC51" s="49"/>
      <c r="AD51" s="2"/>
      <c r="AE51" s="2"/>
      <c r="AF51" s="2"/>
      <c r="AG51" s="2"/>
      <c r="AH51" s="2"/>
      <c r="AI51" s="2"/>
      <c r="AJ51" s="2"/>
      <c r="AK51" s="2"/>
      <c r="AL51" s="2"/>
    </row>
    <row r="52" spans="4:40" x14ac:dyDescent="0.35">
      <c r="E52" s="104"/>
      <c r="F52" s="13"/>
      <c r="G52" s="49" t="s">
        <v>95</v>
      </c>
      <c r="H52" s="2">
        <f>H51/(SQRT(COUNT(H34:H45)))</f>
        <v>0.42526234684026348</v>
      </c>
      <c r="I52" s="2">
        <f t="shared" ref="I52:P52" si="35">I51/(SQRT(COUNT(I34:I45)))</f>
        <v>0.82349592231803526</v>
      </c>
      <c r="J52" s="2">
        <f t="shared" si="35"/>
        <v>4.9044262414726786E-2</v>
      </c>
      <c r="K52" s="2">
        <f t="shared" si="35"/>
        <v>4.9044262414726786E-2</v>
      </c>
      <c r="L52" s="2">
        <f t="shared" si="35"/>
        <v>3.0978725373244108E-2</v>
      </c>
      <c r="M52" s="2">
        <f t="shared" si="35"/>
        <v>6.9071833202680594E-3</v>
      </c>
      <c r="N52" s="2">
        <f t="shared" si="35"/>
        <v>0.74223907876502948</v>
      </c>
      <c r="O52" s="2">
        <f t="shared" si="35"/>
        <v>2.18970848112785</v>
      </c>
      <c r="P52" s="2">
        <f t="shared" si="35"/>
        <v>0.16491766791897652</v>
      </c>
      <c r="AC52" s="49"/>
      <c r="AD52" s="2"/>
      <c r="AE52" s="2"/>
      <c r="AF52" s="2"/>
      <c r="AG52" s="2"/>
      <c r="AH52" s="2"/>
      <c r="AI52" s="2"/>
      <c r="AJ52" s="2"/>
      <c r="AK52" s="2"/>
      <c r="AL52" s="2"/>
    </row>
    <row r="53" spans="4:40" ht="16" thickBot="1" x14ac:dyDescent="0.4">
      <c r="E53" s="104"/>
      <c r="AA53" t="s">
        <v>82</v>
      </c>
      <c r="AC53" s="13"/>
      <c r="AD53" s="9" t="s">
        <v>3</v>
      </c>
      <c r="AE53" s="9" t="s">
        <v>4</v>
      </c>
      <c r="AF53" s="9" t="s">
        <v>5</v>
      </c>
      <c r="AG53" s="9" t="s">
        <v>6</v>
      </c>
      <c r="AH53" s="9" t="s">
        <v>7</v>
      </c>
      <c r="AI53" s="9" t="s">
        <v>8</v>
      </c>
      <c r="AJ53" s="9" t="s">
        <v>9</v>
      </c>
      <c r="AK53" s="9" t="s">
        <v>10</v>
      </c>
      <c r="AL53" s="44" t="s">
        <v>139</v>
      </c>
    </row>
    <row r="54" spans="4:40" ht="15.5" x14ac:dyDescent="0.35">
      <c r="D54" s="2"/>
      <c r="E54" s="3"/>
      <c r="F54" s="13"/>
      <c r="G54" s="13"/>
      <c r="H54" s="5"/>
      <c r="I54" s="5"/>
      <c r="J54" s="5"/>
      <c r="K54" s="5"/>
      <c r="L54" s="5"/>
      <c r="M54" s="5"/>
      <c r="N54" s="5"/>
      <c r="O54" s="5"/>
      <c r="P54" s="14"/>
      <c r="Q54" s="2"/>
      <c r="R54" s="2"/>
      <c r="S54" s="2"/>
      <c r="AC54" s="49" t="s">
        <v>77</v>
      </c>
      <c r="AD54" s="13">
        <f>AVERAGE(AD7:AD8,AD10:AD11,AD13:AD14,AD17,AD19,AD21,AD23,AD25:AD27,AD29,AD31:AD32,AD34)</f>
        <v>2.3774088235294126</v>
      </c>
      <c r="AE54" s="13">
        <f t="shared" ref="AE54:AL54" si="36">AVERAGE(AE7:AE8,AE10:AE11,AE13:AE14,AE17,AE19,AE21,AE23,AE25:AE27,AE29,AE31:AE32,AE34)</f>
        <v>4.3712935294117665</v>
      </c>
      <c r="AF54" s="13">
        <f t="shared" si="36"/>
        <v>0.35316453012869692</v>
      </c>
      <c r="AG54" s="13">
        <f t="shared" si="36"/>
        <v>0.64683546987130314</v>
      </c>
      <c r="AH54" s="13">
        <f t="shared" si="36"/>
        <v>0.44463815972106202</v>
      </c>
      <c r="AI54" s="13">
        <f t="shared" si="36"/>
        <v>0.14885462933286617</v>
      </c>
      <c r="AJ54" s="13">
        <f t="shared" si="36"/>
        <v>6.7487023529411792</v>
      </c>
      <c r="AK54" s="13">
        <f t="shared" si="36"/>
        <v>8.3529411764705888</v>
      </c>
      <c r="AL54" s="13">
        <f t="shared" si="36"/>
        <v>3.6384728575871921</v>
      </c>
    </row>
    <row r="55" spans="4:40" x14ac:dyDescent="0.35">
      <c r="D55" s="2"/>
      <c r="E55" s="2"/>
      <c r="F55" s="13"/>
      <c r="G55" s="49"/>
      <c r="H55" s="13"/>
      <c r="I55" s="13"/>
      <c r="J55" s="13"/>
      <c r="K55" s="13"/>
      <c r="L55" s="13"/>
      <c r="M55" s="13"/>
      <c r="N55" s="13"/>
      <c r="O55" s="13"/>
      <c r="P55" s="13"/>
      <c r="Q55" s="2"/>
      <c r="R55" s="2"/>
      <c r="S55" s="2"/>
      <c r="AC55" s="49" t="s">
        <v>94</v>
      </c>
      <c r="AD55" s="2">
        <f>_xlfn.STDEV.S(AD7:AD8,AD10:AD11,AD13:AD14,AD17,AD19,AD21,AD23,AD25:AD27,AD29,AD31:AD32,AD34)</f>
        <v>0.57007646501239861</v>
      </c>
      <c r="AE55" s="2">
        <f t="shared" ref="AE55:AL55" si="37">_xlfn.STDEV.S(AE7:AE8,AE10:AE11,AE13:AE14,AE17,AE19,AE21,AE23,AE25:AE27,AE29,AE31:AE32,AE34)</f>
        <v>0.66957825468667964</v>
      </c>
      <c r="AF55" s="2">
        <f t="shared" si="37"/>
        <v>8.4772629779403127E-2</v>
      </c>
      <c r="AG55" s="2">
        <f t="shared" si="37"/>
        <v>8.4772629779402309E-2</v>
      </c>
      <c r="AH55" s="2">
        <f t="shared" si="37"/>
        <v>0.10801539868192093</v>
      </c>
      <c r="AI55" s="2">
        <f t="shared" si="37"/>
        <v>1.0898913271899024E-2</v>
      </c>
      <c r="AJ55" s="2">
        <f t="shared" si="37"/>
        <v>0.44715609185340621</v>
      </c>
      <c r="AK55" s="2">
        <f t="shared" si="37"/>
        <v>1.455213750218</v>
      </c>
      <c r="AL55" s="2">
        <f t="shared" si="37"/>
        <v>0.77066234599848626</v>
      </c>
    </row>
    <row r="56" spans="4:40" x14ac:dyDescent="0.35">
      <c r="D56" s="2"/>
      <c r="E56" s="3"/>
      <c r="F56" s="13"/>
      <c r="G56" s="49"/>
      <c r="H56" s="2"/>
      <c r="I56" s="2"/>
      <c r="J56" s="2"/>
      <c r="K56" s="2"/>
      <c r="L56" s="2"/>
      <c r="M56" s="2"/>
      <c r="N56" s="2"/>
      <c r="O56" s="2"/>
      <c r="P56" s="2"/>
      <c r="Q56" s="2"/>
      <c r="R56" s="2"/>
      <c r="S56" s="2"/>
      <c r="AC56" s="49" t="s">
        <v>95</v>
      </c>
      <c r="AD56" s="2">
        <f>AD55/(SQRT(COUNT(AD7:AD8,AD10:AD11,AD13:AD14,AD17,AD19,AD21,AD23,AD25:AD27,AD29,AD31:AD32,AD34)))</f>
        <v>0.1382638517602853</v>
      </c>
      <c r="AE56" s="2">
        <f t="shared" ref="AE56:AL56" si="38">AE55/(SQRT(COUNT(AE7:AE8,AE10:AE11,AE13:AE14,AE17,AE19,AE21,AE23,AE25:AE27,AE29,AE31:AE32,AE34)))</f>
        <v>0.16239658051117078</v>
      </c>
      <c r="AF56" s="2">
        <f t="shared" si="38"/>
        <v>2.056038274952119E-2</v>
      </c>
      <c r="AG56" s="2">
        <f t="shared" si="38"/>
        <v>2.0560382749520992E-2</v>
      </c>
      <c r="AH56" s="2">
        <f t="shared" si="38"/>
        <v>2.6197582232868392E-2</v>
      </c>
      <c r="AI56" s="2">
        <f t="shared" si="38"/>
        <v>2.6433747426168144E-3</v>
      </c>
      <c r="AJ56" s="2">
        <f t="shared" si="38"/>
        <v>0.1084512822264698</v>
      </c>
      <c r="AK56" s="2">
        <f t="shared" si="38"/>
        <v>0.35294117647058876</v>
      </c>
      <c r="AL56" s="2">
        <f t="shared" si="38"/>
        <v>0.18691307377870958</v>
      </c>
    </row>
    <row r="57" spans="4:40" x14ac:dyDescent="0.35">
      <c r="D57" s="2"/>
      <c r="E57" s="3"/>
      <c r="F57" s="13"/>
      <c r="G57" s="49"/>
      <c r="H57" s="2"/>
      <c r="I57" s="2"/>
      <c r="J57" s="2"/>
      <c r="K57" s="2"/>
      <c r="L57" s="2"/>
      <c r="M57" s="2"/>
      <c r="N57" s="2"/>
      <c r="O57" s="2"/>
      <c r="P57" s="2"/>
      <c r="Q57" s="2"/>
      <c r="R57" s="2"/>
      <c r="S57" s="2"/>
      <c r="AC57" s="49"/>
      <c r="AD57" s="2"/>
      <c r="AE57" s="2"/>
      <c r="AF57" s="2"/>
      <c r="AG57" s="2"/>
      <c r="AH57" s="2"/>
      <c r="AI57" s="2"/>
      <c r="AJ57" s="2"/>
      <c r="AK57" s="2"/>
      <c r="AL57" s="2"/>
    </row>
    <row r="58" spans="4:40" x14ac:dyDescent="0.35">
      <c r="D58" s="2"/>
      <c r="E58" s="2"/>
      <c r="F58" s="2"/>
      <c r="G58" s="49"/>
      <c r="H58" s="2"/>
      <c r="I58" s="2"/>
      <c r="J58" s="2"/>
      <c r="K58" s="2"/>
      <c r="L58" s="2"/>
      <c r="M58" s="2"/>
      <c r="N58" s="2"/>
      <c r="O58" s="2"/>
      <c r="P58" s="2"/>
      <c r="Q58" s="2"/>
      <c r="R58" s="2"/>
      <c r="S58" s="2"/>
      <c r="AC58" s="49"/>
      <c r="AD58" s="2"/>
      <c r="AE58" s="2"/>
      <c r="AF58" s="2"/>
      <c r="AG58" s="2"/>
      <c r="AH58" s="2"/>
      <c r="AI58" s="2"/>
      <c r="AJ58" s="2"/>
      <c r="AK58" s="2"/>
      <c r="AL58" s="2"/>
    </row>
    <row r="59" spans="4:40" x14ac:dyDescent="0.35">
      <c r="D59" s="2"/>
      <c r="E59" s="2"/>
      <c r="F59" s="2"/>
      <c r="G59" s="2"/>
      <c r="H59" s="2"/>
      <c r="I59" s="2"/>
      <c r="J59" s="2"/>
      <c r="K59" s="2"/>
      <c r="L59" s="2"/>
      <c r="M59" s="2"/>
      <c r="N59" s="2"/>
      <c r="O59" s="2"/>
      <c r="P59" s="2"/>
      <c r="Q59" s="2"/>
      <c r="R59" s="2"/>
      <c r="S59" s="2"/>
    </row>
    <row r="60" spans="4:40" x14ac:dyDescent="0.35">
      <c r="D60" s="2"/>
      <c r="E60" s="2"/>
      <c r="F60" s="2"/>
      <c r="G60" s="2"/>
      <c r="H60" s="2"/>
      <c r="I60" s="2"/>
      <c r="J60" s="2"/>
      <c r="K60" s="2"/>
      <c r="L60" s="2"/>
      <c r="M60" s="2"/>
      <c r="N60" s="2"/>
      <c r="O60" s="2"/>
      <c r="P60" s="2"/>
      <c r="Q60" s="2"/>
      <c r="R60" s="2"/>
      <c r="S60" s="2"/>
    </row>
    <row r="61" spans="4:40" ht="18.5" x14ac:dyDescent="0.45">
      <c r="E61" s="2"/>
      <c r="F61" s="2"/>
      <c r="G61" s="2"/>
      <c r="H61" s="2"/>
      <c r="I61" s="2"/>
      <c r="J61" s="2"/>
      <c r="K61" s="2"/>
      <c r="L61" s="2"/>
      <c r="M61" s="2"/>
      <c r="N61" s="2"/>
      <c r="O61" s="2"/>
      <c r="P61" s="2"/>
      <c r="Q61" s="2"/>
      <c r="R61" s="2"/>
      <c r="S61" s="2"/>
      <c r="AB61" s="1" t="s">
        <v>741</v>
      </c>
      <c r="AC61" s="3"/>
      <c r="AD61" s="3"/>
      <c r="AE61" s="3"/>
      <c r="AF61" s="3"/>
      <c r="AG61" s="3"/>
      <c r="AH61" s="3"/>
      <c r="AI61" s="3"/>
      <c r="AJ61" s="3"/>
      <c r="AK61" s="3"/>
    </row>
    <row r="62" spans="4:40" ht="16" thickBot="1" x14ac:dyDescent="0.4">
      <c r="Z62" s="204" t="s">
        <v>406</v>
      </c>
      <c r="AB62" s="9" t="s">
        <v>1</v>
      </c>
      <c r="AC62" s="9" t="s">
        <v>2</v>
      </c>
      <c r="AD62" s="9" t="s">
        <v>3</v>
      </c>
      <c r="AE62" s="9" t="s">
        <v>4</v>
      </c>
      <c r="AF62" s="9" t="s">
        <v>5</v>
      </c>
      <c r="AG62" s="9" t="s">
        <v>6</v>
      </c>
      <c r="AH62" s="9" t="s">
        <v>7</v>
      </c>
      <c r="AI62" s="9" t="s">
        <v>8</v>
      </c>
      <c r="AJ62" s="9" t="s">
        <v>9</v>
      </c>
      <c r="AK62" s="9" t="s">
        <v>10</v>
      </c>
      <c r="AL62" s="44" t="s">
        <v>139</v>
      </c>
      <c r="AN62" s="44" t="s">
        <v>138</v>
      </c>
    </row>
    <row r="63" spans="4:40" ht="18.5" x14ac:dyDescent="0.45">
      <c r="F63" s="1" t="s">
        <v>733</v>
      </c>
      <c r="G63" s="3"/>
      <c r="H63" s="3"/>
      <c r="I63" s="3"/>
      <c r="J63" s="3"/>
      <c r="K63" s="3"/>
      <c r="L63" s="3"/>
      <c r="M63" s="3"/>
      <c r="N63" s="3"/>
      <c r="O63" s="3"/>
      <c r="Z63" s="297">
        <v>-1</v>
      </c>
      <c r="AB63" s="13">
        <v>7.5959399999999997</v>
      </c>
      <c r="AC63" s="2">
        <v>9.3778500000000005</v>
      </c>
      <c r="AD63" s="2">
        <f t="shared" ref="AD63:AD96" si="39">AC63-AB63</f>
        <v>1.7819100000000008</v>
      </c>
      <c r="AE63" s="2">
        <f t="shared" ref="AE63:AE95" si="40">AB64-AC63</f>
        <v>5.28613</v>
      </c>
      <c r="AF63" s="2">
        <f t="shared" ref="AF63:AF95" si="41">AD63/AJ63</f>
        <v>0.25210808088239461</v>
      </c>
      <c r="AG63" s="2">
        <f t="shared" ref="AG63:AG95" si="42">AE63/AJ63</f>
        <v>0.74789191911760533</v>
      </c>
      <c r="AH63" s="2">
        <f t="shared" ref="AH63:AH95" si="43">1/AD63</f>
        <v>0.56119557104455309</v>
      </c>
      <c r="AI63" s="2">
        <f t="shared" ref="AI63:AI95" si="44">1/AJ63</f>
        <v>0.14148193841574183</v>
      </c>
      <c r="AJ63" s="2">
        <f t="shared" ref="AJ63:AJ95" si="45">AD63+AE63</f>
        <v>7.0680400000000008</v>
      </c>
      <c r="AK63" s="2">
        <v>9</v>
      </c>
      <c r="AL63">
        <f t="shared" ref="AL63:AL95" si="46">AK63/AD63</f>
        <v>5.0507601394009773</v>
      </c>
    </row>
    <row r="64" spans="4:40" ht="16" thickBot="1" x14ac:dyDescent="0.4">
      <c r="D64" s="204" t="s">
        <v>406</v>
      </c>
      <c r="F64" s="9" t="s">
        <v>1</v>
      </c>
      <c r="G64" s="9" t="s">
        <v>2</v>
      </c>
      <c r="H64" s="9" t="s">
        <v>3</v>
      </c>
      <c r="I64" s="9" t="s">
        <v>4</v>
      </c>
      <c r="J64" s="9" t="s">
        <v>5</v>
      </c>
      <c r="K64" s="9" t="s">
        <v>6</v>
      </c>
      <c r="L64" s="9" t="s">
        <v>7</v>
      </c>
      <c r="M64" s="9" t="s">
        <v>8</v>
      </c>
      <c r="N64" s="9" t="s">
        <v>9</v>
      </c>
      <c r="O64" s="9" t="s">
        <v>10</v>
      </c>
      <c r="P64" s="44" t="s">
        <v>139</v>
      </c>
      <c r="R64" s="44" t="s">
        <v>138</v>
      </c>
      <c r="Z64" s="298">
        <v>-1</v>
      </c>
      <c r="AB64" s="13">
        <v>14.66398</v>
      </c>
      <c r="AC64" s="2">
        <v>15.97639</v>
      </c>
      <c r="AD64" s="2">
        <f t="shared" si="39"/>
        <v>1.3124099999999999</v>
      </c>
      <c r="AE64" s="2">
        <f t="shared" si="40"/>
        <v>19.727989999999998</v>
      </c>
      <c r="AF64" s="2">
        <f t="shared" si="41"/>
        <v>6.2375715290583826E-2</v>
      </c>
      <c r="AG64" s="2">
        <f t="shared" si="42"/>
        <v>0.93762428470941617</v>
      </c>
      <c r="AH64" s="2">
        <f t="shared" si="43"/>
        <v>0.76195701038547414</v>
      </c>
      <c r="AI64" s="2">
        <f t="shared" si="44"/>
        <v>4.7527613543468759E-2</v>
      </c>
      <c r="AJ64" s="2">
        <f t="shared" si="45"/>
        <v>21.040399999999998</v>
      </c>
      <c r="AK64" s="2">
        <v>7</v>
      </c>
      <c r="AL64">
        <f t="shared" si="46"/>
        <v>5.3336990726983187</v>
      </c>
    </row>
    <row r="65" spans="3:38" x14ac:dyDescent="0.35">
      <c r="D65" s="177">
        <v>5</v>
      </c>
      <c r="E65" s="157"/>
      <c r="F65" s="132">
        <v>0.12892999999999999</v>
      </c>
      <c r="G65" s="132">
        <v>3.4484300000000001</v>
      </c>
      <c r="H65" s="132">
        <f>G65-F65</f>
        <v>3.3195000000000001</v>
      </c>
      <c r="I65" s="132">
        <f t="shared" ref="I65:I95" si="47">F66-G65</f>
        <v>2.1632199999999999</v>
      </c>
      <c r="J65" s="132">
        <f>H65/N65</f>
        <v>0.60544766101497061</v>
      </c>
      <c r="K65" s="132">
        <f>I65/N65</f>
        <v>0.39455233898502928</v>
      </c>
      <c r="L65" s="132">
        <f>1/H65</f>
        <v>0.30125018828136768</v>
      </c>
      <c r="M65" s="132">
        <f>1/N65</f>
        <v>0.18239122187527357</v>
      </c>
      <c r="N65" s="132">
        <f>H65+I65</f>
        <v>5.4827200000000005</v>
      </c>
      <c r="O65" s="132">
        <v>19</v>
      </c>
      <c r="P65" s="157">
        <f>O65/H65</f>
        <v>5.7237535773459856</v>
      </c>
      <c r="Q65" s="85"/>
      <c r="R65" t="s">
        <v>778</v>
      </c>
      <c r="Z65" s="298">
        <v>-1</v>
      </c>
      <c r="AB65" s="13">
        <v>35.70438</v>
      </c>
      <c r="AC65" s="2">
        <v>37.32846</v>
      </c>
      <c r="AD65" s="2">
        <f t="shared" si="39"/>
        <v>1.6240799999999993</v>
      </c>
      <c r="AE65" s="2">
        <f t="shared" si="40"/>
        <v>4.1449700000000007</v>
      </c>
      <c r="AF65" s="2">
        <f t="shared" si="41"/>
        <v>0.2815160208353194</v>
      </c>
      <c r="AG65" s="2">
        <f t="shared" si="42"/>
        <v>0.71848397916468065</v>
      </c>
      <c r="AH65" s="2">
        <f t="shared" si="43"/>
        <v>0.6157332151125563</v>
      </c>
      <c r="AI65" s="2">
        <f t="shared" si="44"/>
        <v>0.17333876461462458</v>
      </c>
      <c r="AJ65" s="2">
        <f t="shared" si="45"/>
        <v>5.76905</v>
      </c>
      <c r="AK65" s="2">
        <v>5</v>
      </c>
      <c r="AL65">
        <f t="shared" si="46"/>
        <v>3.0786660755627815</v>
      </c>
    </row>
    <row r="66" spans="3:38" x14ac:dyDescent="0.35">
      <c r="C66" s="85"/>
      <c r="D66" s="172">
        <v>0</v>
      </c>
      <c r="E66" s="85"/>
      <c r="F66" s="13">
        <v>5.61165</v>
      </c>
      <c r="G66" s="13">
        <v>8.5573899999999998</v>
      </c>
      <c r="H66" s="13">
        <f t="shared" ref="H66:H96" si="48">G66-F66</f>
        <v>2.9457399999999998</v>
      </c>
      <c r="I66" s="13">
        <f t="shared" si="47"/>
        <v>5.3328799999999994</v>
      </c>
      <c r="J66" s="13">
        <f t="shared" ref="J66:J95" si="49">H66/N66</f>
        <v>0.35582500465053352</v>
      </c>
      <c r="K66" s="13">
        <f t="shared" ref="K66:K95" si="50">I66/N66</f>
        <v>0.64417499534946643</v>
      </c>
      <c r="L66" s="13">
        <f t="shared" ref="L66:L95" si="51">1/H66</f>
        <v>0.33947327326919552</v>
      </c>
      <c r="M66" s="13">
        <f t="shared" ref="M66:M95" si="52">1/N66</f>
        <v>0.12079307903974333</v>
      </c>
      <c r="N66" s="13">
        <f t="shared" ref="N66:N95" si="53">H66+I66</f>
        <v>8.2786200000000001</v>
      </c>
      <c r="O66" s="13">
        <v>15</v>
      </c>
      <c r="P66" s="85">
        <f t="shared" ref="P66:P95" si="54">O66/H66</f>
        <v>5.0920990990379327</v>
      </c>
      <c r="Q66" s="85"/>
      <c r="Z66" s="298">
        <v>-1</v>
      </c>
      <c r="AB66" s="13">
        <v>41.47343</v>
      </c>
      <c r="AC66" s="2">
        <v>41.956600000000002</v>
      </c>
      <c r="AD66" s="2">
        <f t="shared" si="39"/>
        <v>0.48317000000000121</v>
      </c>
      <c r="AE66" s="2">
        <f t="shared" si="40"/>
        <v>3.6562599999999961</v>
      </c>
      <c r="AF66" s="2">
        <f t="shared" si="41"/>
        <v>0.11672380013673417</v>
      </c>
      <c r="AG66" s="2">
        <f t="shared" si="42"/>
        <v>0.88327619986326578</v>
      </c>
      <c r="AH66" s="2">
        <f t="shared" si="43"/>
        <v>2.0696649212492444</v>
      </c>
      <c r="AI66" s="2">
        <f t="shared" si="44"/>
        <v>0.24157915461790649</v>
      </c>
      <c r="AJ66" s="2">
        <f t="shared" si="45"/>
        <v>4.1394299999999973</v>
      </c>
      <c r="AK66" s="2">
        <v>4</v>
      </c>
      <c r="AL66">
        <f t="shared" si="46"/>
        <v>8.2786596849969776</v>
      </c>
    </row>
    <row r="67" spans="3:38" x14ac:dyDescent="0.35">
      <c r="C67" s="85"/>
      <c r="D67" s="172">
        <v>0</v>
      </c>
      <c r="E67" s="85"/>
      <c r="F67" s="13">
        <v>13.890269999999999</v>
      </c>
      <c r="G67" s="13">
        <v>16.977350000000001</v>
      </c>
      <c r="H67" s="13">
        <f t="shared" si="48"/>
        <v>3.087080000000002</v>
      </c>
      <c r="I67" s="13">
        <f t="shared" si="47"/>
        <v>3.7139099999999985</v>
      </c>
      <c r="J67" s="13">
        <f t="shared" si="49"/>
        <v>0.45391626807273672</v>
      </c>
      <c r="K67" s="13">
        <f t="shared" si="50"/>
        <v>0.54608373192726323</v>
      </c>
      <c r="L67" s="13">
        <f t="shared" si="51"/>
        <v>0.32393070474364105</v>
      </c>
      <c r="M67" s="13">
        <f t="shared" si="52"/>
        <v>0.1470374166114051</v>
      </c>
      <c r="N67" s="13">
        <f t="shared" si="53"/>
        <v>6.8009900000000005</v>
      </c>
      <c r="O67" s="13">
        <v>13</v>
      </c>
      <c r="P67" s="85">
        <f t="shared" si="54"/>
        <v>4.2110991616673337</v>
      </c>
      <c r="Q67" s="85"/>
      <c r="Z67" s="298">
        <v>-1</v>
      </c>
      <c r="AB67" s="13">
        <v>45.612859999999998</v>
      </c>
      <c r="AC67" s="2">
        <v>46.98245</v>
      </c>
      <c r="AD67" s="2">
        <f t="shared" si="39"/>
        <v>1.3695900000000023</v>
      </c>
      <c r="AE67" s="2">
        <f t="shared" si="40"/>
        <v>4.2612999999999985</v>
      </c>
      <c r="AF67" s="2">
        <f t="shared" si="41"/>
        <v>0.24322797994633213</v>
      </c>
      <c r="AG67" s="2">
        <f t="shared" si="42"/>
        <v>0.75677202005366784</v>
      </c>
      <c r="AH67" s="2">
        <f t="shared" si="43"/>
        <v>0.73014551800173655</v>
      </c>
      <c r="AI67" s="2">
        <f t="shared" si="44"/>
        <v>0.17759181941043065</v>
      </c>
      <c r="AJ67" s="2">
        <f t="shared" si="45"/>
        <v>5.6308900000000008</v>
      </c>
      <c r="AK67" s="2">
        <v>6</v>
      </c>
      <c r="AL67">
        <f t="shared" si="46"/>
        <v>4.3808731080104195</v>
      </c>
    </row>
    <row r="68" spans="3:38" x14ac:dyDescent="0.35">
      <c r="C68" s="85"/>
      <c r="D68" s="172">
        <v>0</v>
      </c>
      <c r="E68" s="85"/>
      <c r="F68" s="13">
        <v>20.69126</v>
      </c>
      <c r="G68" s="13">
        <v>22.114149999999999</v>
      </c>
      <c r="H68" s="13">
        <f t="shared" si="48"/>
        <v>1.4228899999999989</v>
      </c>
      <c r="I68" s="13">
        <f t="shared" si="47"/>
        <v>5.4762200000000014</v>
      </c>
      <c r="J68" s="13">
        <f t="shared" si="49"/>
        <v>0.20624254432818129</v>
      </c>
      <c r="K68" s="13">
        <f t="shared" si="50"/>
        <v>0.79375745567181866</v>
      </c>
      <c r="L68" s="13">
        <f t="shared" si="51"/>
        <v>0.70279501577774861</v>
      </c>
      <c r="M68" s="13">
        <f t="shared" si="52"/>
        <v>0.1449462321951672</v>
      </c>
      <c r="N68" s="13">
        <f t="shared" si="53"/>
        <v>6.8991100000000003</v>
      </c>
      <c r="O68" s="13">
        <v>8</v>
      </c>
      <c r="P68" s="85">
        <f t="shared" si="54"/>
        <v>5.6223601262219889</v>
      </c>
      <c r="Q68" s="85"/>
      <c r="Z68" s="298">
        <v>-1</v>
      </c>
      <c r="AB68" s="13">
        <v>51.243749999999999</v>
      </c>
      <c r="AC68" s="2">
        <v>52.879739999999998</v>
      </c>
      <c r="AD68" s="2">
        <f t="shared" si="39"/>
        <v>1.6359899999999996</v>
      </c>
      <c r="AE68" s="2">
        <f t="shared" si="40"/>
        <v>4.1653300000000044</v>
      </c>
      <c r="AF68" s="2">
        <f t="shared" si="41"/>
        <v>0.28200306137223918</v>
      </c>
      <c r="AG68" s="2">
        <f t="shared" si="42"/>
        <v>0.71799693862776082</v>
      </c>
      <c r="AH68" s="2">
        <f t="shared" si="43"/>
        <v>0.61125068001638161</v>
      </c>
      <c r="AI68" s="2">
        <f t="shared" si="44"/>
        <v>0.1723745630304826</v>
      </c>
      <c r="AJ68" s="2">
        <f t="shared" si="45"/>
        <v>5.801320000000004</v>
      </c>
      <c r="AK68" s="2">
        <v>6</v>
      </c>
      <c r="AL68">
        <f t="shared" si="46"/>
        <v>3.6675040800982899</v>
      </c>
    </row>
    <row r="69" spans="3:38" x14ac:dyDescent="0.35">
      <c r="C69" s="85"/>
      <c r="D69" s="177">
        <v>5</v>
      </c>
      <c r="E69" s="157"/>
      <c r="F69" s="132">
        <v>27.59037</v>
      </c>
      <c r="G69" s="132">
        <v>32.937629999999999</v>
      </c>
      <c r="H69" s="132">
        <f t="shared" si="48"/>
        <v>5.3472599999999986</v>
      </c>
      <c r="I69" s="132">
        <f t="shared" si="47"/>
        <v>1.3341700000000003</v>
      </c>
      <c r="J69" s="132">
        <f t="shared" si="49"/>
        <v>0.80031669867079347</v>
      </c>
      <c r="K69" s="132">
        <f t="shared" si="50"/>
        <v>0.19968330132920656</v>
      </c>
      <c r="L69" s="132">
        <f t="shared" si="51"/>
        <v>0.18701166578771189</v>
      </c>
      <c r="M69" s="132">
        <f t="shared" si="52"/>
        <v>0.14966855897614734</v>
      </c>
      <c r="N69" s="132">
        <f t="shared" si="53"/>
        <v>6.6814299999999989</v>
      </c>
      <c r="O69" s="132">
        <v>23</v>
      </c>
      <c r="P69" s="157">
        <f t="shared" si="54"/>
        <v>4.3012683131173732</v>
      </c>
      <c r="Q69" s="85"/>
      <c r="Z69" s="298">
        <v>-1</v>
      </c>
      <c r="AB69" s="13">
        <v>57.045070000000003</v>
      </c>
      <c r="AC69" s="2">
        <v>57.801580000000001</v>
      </c>
      <c r="AD69" s="2">
        <f t="shared" si="39"/>
        <v>0.75650999999999868</v>
      </c>
      <c r="AE69" s="2">
        <f t="shared" si="40"/>
        <v>18.575519999999997</v>
      </c>
      <c r="AF69" s="2">
        <f t="shared" si="41"/>
        <v>3.9132465654150073E-2</v>
      </c>
      <c r="AG69" s="2">
        <f t="shared" si="42"/>
        <v>0.96086753434584993</v>
      </c>
      <c r="AH69" s="2">
        <f t="shared" si="43"/>
        <v>1.3218595920741323</v>
      </c>
      <c r="AI69" s="2">
        <f t="shared" si="44"/>
        <v>5.1727625086449805E-2</v>
      </c>
      <c r="AJ69" s="2">
        <f t="shared" si="45"/>
        <v>19.332029999999996</v>
      </c>
      <c r="AK69" s="2">
        <v>5</v>
      </c>
      <c r="AL69">
        <f t="shared" si="46"/>
        <v>6.609297960370661</v>
      </c>
    </row>
    <row r="70" spans="3:38" x14ac:dyDescent="0.35">
      <c r="C70" s="85"/>
      <c r="D70" s="172">
        <v>0</v>
      </c>
      <c r="E70" s="85"/>
      <c r="F70" s="13">
        <v>34.271799999999999</v>
      </c>
      <c r="G70" s="13">
        <v>37.251579999999997</v>
      </c>
      <c r="H70" s="13">
        <f t="shared" si="48"/>
        <v>2.9797799999999981</v>
      </c>
      <c r="I70" s="13">
        <f t="shared" si="47"/>
        <v>3.9477600000000024</v>
      </c>
      <c r="J70" s="13">
        <f t="shared" si="49"/>
        <v>0.43013537272971325</v>
      </c>
      <c r="K70" s="13">
        <f t="shared" si="50"/>
        <v>0.56986462727028675</v>
      </c>
      <c r="L70" s="13">
        <f t="shared" si="51"/>
        <v>0.33559524528656498</v>
      </c>
      <c r="M70" s="13">
        <f t="shared" si="52"/>
        <v>0.14435138591765617</v>
      </c>
      <c r="N70" s="13">
        <f t="shared" si="53"/>
        <v>6.9275400000000005</v>
      </c>
      <c r="O70" s="13">
        <v>18</v>
      </c>
      <c r="P70" s="85">
        <f t="shared" si="54"/>
        <v>6.0407144151581695</v>
      </c>
      <c r="Q70" s="85"/>
      <c r="Z70" s="298">
        <v>-1</v>
      </c>
      <c r="AB70" s="13">
        <v>76.377099999999999</v>
      </c>
      <c r="AC70" s="2">
        <v>78.056719999999999</v>
      </c>
      <c r="AD70" s="2">
        <f t="shared" si="39"/>
        <v>1.6796199999999999</v>
      </c>
      <c r="AE70" s="2">
        <f t="shared" si="40"/>
        <v>4.4561999999999955</v>
      </c>
      <c r="AF70" s="2">
        <f t="shared" si="41"/>
        <v>0.27374010319729086</v>
      </c>
      <c r="AG70" s="2">
        <f t="shared" si="42"/>
        <v>0.72625989680270919</v>
      </c>
      <c r="AH70" s="2">
        <f t="shared" si="43"/>
        <v>0.59537276288684349</v>
      </c>
      <c r="AI70" s="2">
        <f t="shared" si="44"/>
        <v>0.16297740155350071</v>
      </c>
      <c r="AJ70" s="2">
        <f t="shared" si="45"/>
        <v>6.1358199999999954</v>
      </c>
      <c r="AK70" s="2">
        <v>6</v>
      </c>
      <c r="AL70">
        <f t="shared" si="46"/>
        <v>3.5722365773210609</v>
      </c>
    </row>
    <row r="71" spans="3:38" x14ac:dyDescent="0.35">
      <c r="C71" s="85"/>
      <c r="D71" s="172">
        <v>0</v>
      </c>
      <c r="E71" s="85"/>
      <c r="F71" s="13">
        <v>41.199339999999999</v>
      </c>
      <c r="G71" s="13">
        <v>45.239490000000004</v>
      </c>
      <c r="H71" s="13">
        <f t="shared" si="48"/>
        <v>4.0401500000000041</v>
      </c>
      <c r="I71" s="13">
        <f t="shared" si="47"/>
        <v>8.3718299999999957</v>
      </c>
      <c r="J71" s="13">
        <f t="shared" si="49"/>
        <v>0.32550406945547805</v>
      </c>
      <c r="K71" s="13">
        <f t="shared" si="50"/>
        <v>0.67449593054452195</v>
      </c>
      <c r="L71" s="13">
        <f t="shared" si="51"/>
        <v>0.24751556254099452</v>
      </c>
      <c r="M71" s="13">
        <f t="shared" si="52"/>
        <v>8.0567322860655599E-2</v>
      </c>
      <c r="N71" s="13">
        <f t="shared" si="53"/>
        <v>12.41198</v>
      </c>
      <c r="O71" s="13">
        <v>14</v>
      </c>
      <c r="P71" s="85">
        <f t="shared" si="54"/>
        <v>3.4652178755739231</v>
      </c>
      <c r="Q71" s="85"/>
      <c r="Z71" s="298">
        <v>-1</v>
      </c>
      <c r="AB71" s="13">
        <v>82.512919999999994</v>
      </c>
      <c r="AC71" s="2">
        <v>84.162419999999997</v>
      </c>
      <c r="AD71" s="2">
        <f t="shared" si="39"/>
        <v>1.6495000000000033</v>
      </c>
      <c r="AE71" s="2">
        <f t="shared" si="40"/>
        <v>4.2086699999999979</v>
      </c>
      <c r="AF71" s="2">
        <f t="shared" si="41"/>
        <v>0.28157257300488087</v>
      </c>
      <c r="AG71" s="2">
        <f t="shared" si="42"/>
        <v>0.71842742699511908</v>
      </c>
      <c r="AH71" s="2">
        <f t="shared" si="43"/>
        <v>0.60624431645953203</v>
      </c>
      <c r="AI71" s="2">
        <f t="shared" si="44"/>
        <v>0.17070177205509568</v>
      </c>
      <c r="AJ71" s="2">
        <f t="shared" si="45"/>
        <v>5.8581700000000012</v>
      </c>
      <c r="AK71" s="2">
        <v>6</v>
      </c>
      <c r="AL71">
        <f t="shared" si="46"/>
        <v>3.637465898757192</v>
      </c>
    </row>
    <row r="72" spans="3:38" x14ac:dyDescent="0.35">
      <c r="C72" s="85"/>
      <c r="D72" s="177">
        <v>5</v>
      </c>
      <c r="E72" s="157"/>
      <c r="F72" s="132">
        <v>53.611319999999999</v>
      </c>
      <c r="G72" s="132">
        <v>58.061729999999997</v>
      </c>
      <c r="H72" s="132">
        <f t="shared" si="48"/>
        <v>4.450409999999998</v>
      </c>
      <c r="I72" s="132">
        <f t="shared" si="47"/>
        <v>1.1131000000000029</v>
      </c>
      <c r="J72" s="132">
        <f t="shared" si="49"/>
        <v>0.79992846242749582</v>
      </c>
      <c r="K72" s="132">
        <f t="shared" si="50"/>
        <v>0.20007153757250418</v>
      </c>
      <c r="L72" s="132">
        <f t="shared" si="51"/>
        <v>0.22469839857451346</v>
      </c>
      <c r="M72" s="132">
        <f t="shared" si="52"/>
        <v>0.17974264448163119</v>
      </c>
      <c r="N72" s="132">
        <f t="shared" si="53"/>
        <v>5.5635100000000008</v>
      </c>
      <c r="O72" s="132">
        <v>21</v>
      </c>
      <c r="P72" s="157">
        <f t="shared" si="54"/>
        <v>4.7186663700647831</v>
      </c>
      <c r="Q72" s="85"/>
      <c r="Z72" s="298">
        <v>-1</v>
      </c>
      <c r="AB72" s="13">
        <v>88.371089999999995</v>
      </c>
      <c r="AC72" s="2">
        <v>89.312280000000001</v>
      </c>
      <c r="AD72" s="2">
        <f t="shared" si="39"/>
        <v>0.94119000000000597</v>
      </c>
      <c r="AE72" s="2">
        <f t="shared" si="40"/>
        <v>5.3115600000000001</v>
      </c>
      <c r="AF72" s="2">
        <f t="shared" si="41"/>
        <v>0.15052416936547999</v>
      </c>
      <c r="AG72" s="2">
        <f t="shared" si="42"/>
        <v>0.84947583063452003</v>
      </c>
      <c r="AH72" s="2">
        <f t="shared" si="43"/>
        <v>1.0624847267820459</v>
      </c>
      <c r="AI72" s="2">
        <f t="shared" si="44"/>
        <v>0.15992963096237639</v>
      </c>
      <c r="AJ72" s="2">
        <f t="shared" si="45"/>
        <v>6.252750000000006</v>
      </c>
      <c r="AK72" s="2">
        <v>6</v>
      </c>
      <c r="AL72">
        <f t="shared" si="46"/>
        <v>6.3749083606922747</v>
      </c>
    </row>
    <row r="73" spans="3:38" x14ac:dyDescent="0.35">
      <c r="C73" s="85"/>
      <c r="D73" s="172">
        <v>0</v>
      </c>
      <c r="E73" s="85"/>
      <c r="F73" s="13">
        <v>59.17483</v>
      </c>
      <c r="G73" s="13">
        <v>60.935029999999998</v>
      </c>
      <c r="H73" s="13">
        <f t="shared" si="48"/>
        <v>1.7601999999999975</v>
      </c>
      <c r="I73" s="13">
        <f t="shared" si="47"/>
        <v>5.184030000000007</v>
      </c>
      <c r="J73" s="13">
        <f t="shared" si="49"/>
        <v>0.25347662735825233</v>
      </c>
      <c r="K73" s="13">
        <f t="shared" si="50"/>
        <v>0.74652337264174773</v>
      </c>
      <c r="L73" s="13">
        <f t="shared" si="51"/>
        <v>0.56811725940234148</v>
      </c>
      <c r="M73" s="13">
        <f t="shared" si="52"/>
        <v>0.14400444685731886</v>
      </c>
      <c r="N73" s="13">
        <f t="shared" si="53"/>
        <v>6.9442300000000046</v>
      </c>
      <c r="O73" s="13">
        <v>11</v>
      </c>
      <c r="P73" s="85">
        <f t="shared" si="54"/>
        <v>6.2492898534257559</v>
      </c>
      <c r="Q73" s="85"/>
      <c r="Z73" s="298">
        <v>-1</v>
      </c>
      <c r="AB73" s="13">
        <v>94.623840000000001</v>
      </c>
      <c r="AC73" s="2">
        <v>95.194810000000004</v>
      </c>
      <c r="AD73" s="2">
        <f t="shared" si="39"/>
        <v>0.57097000000000264</v>
      </c>
      <c r="AE73" s="2">
        <f t="shared" si="40"/>
        <v>16.127110000000002</v>
      </c>
      <c r="AF73" s="2">
        <f t="shared" si="41"/>
        <v>3.4193751616952518E-2</v>
      </c>
      <c r="AG73" s="2">
        <f t="shared" si="42"/>
        <v>0.96580624838304752</v>
      </c>
      <c r="AH73" s="2">
        <f t="shared" si="43"/>
        <v>1.751405502916082</v>
      </c>
      <c r="AI73" s="2">
        <f t="shared" si="44"/>
        <v>5.9887124747276317E-2</v>
      </c>
      <c r="AJ73" s="2">
        <f t="shared" si="45"/>
        <v>16.698080000000004</v>
      </c>
      <c r="AK73" s="2">
        <v>5</v>
      </c>
      <c r="AL73">
        <f t="shared" si="46"/>
        <v>8.7570275145804111</v>
      </c>
    </row>
    <row r="74" spans="3:38" x14ac:dyDescent="0.35">
      <c r="C74" s="85"/>
      <c r="D74" s="177">
        <v>5</v>
      </c>
      <c r="E74" s="157"/>
      <c r="F74" s="132">
        <v>66.119060000000005</v>
      </c>
      <c r="G74" s="132">
        <v>69.014409999999998</v>
      </c>
      <c r="H74" s="132">
        <f t="shared" si="48"/>
        <v>2.8953499999999934</v>
      </c>
      <c r="I74" s="132">
        <f t="shared" si="47"/>
        <v>2.431359999999998</v>
      </c>
      <c r="J74" s="132">
        <f t="shared" si="49"/>
        <v>0.54355315006824068</v>
      </c>
      <c r="K74" s="132">
        <f t="shared" si="50"/>
        <v>0.45644684993175938</v>
      </c>
      <c r="L74" s="132">
        <f t="shared" si="51"/>
        <v>0.34538138739703395</v>
      </c>
      <c r="M74" s="132">
        <f t="shared" si="52"/>
        <v>0.18773314109459716</v>
      </c>
      <c r="N74" s="132">
        <f t="shared" si="53"/>
        <v>5.3267099999999914</v>
      </c>
      <c r="O74" s="132">
        <v>12</v>
      </c>
      <c r="P74" s="157">
        <f t="shared" si="54"/>
        <v>4.1445766487644073</v>
      </c>
      <c r="Q74" s="85"/>
      <c r="Z74" s="298">
        <v>-1</v>
      </c>
      <c r="AB74" s="13">
        <v>111.32192000000001</v>
      </c>
      <c r="AC74" s="2">
        <v>113.15998</v>
      </c>
      <c r="AD74" s="2">
        <f t="shared" si="39"/>
        <v>1.8380599999999987</v>
      </c>
      <c r="AE74" s="2">
        <f t="shared" si="40"/>
        <v>4.2041600000000017</v>
      </c>
      <c r="AF74" s="2">
        <f t="shared" si="41"/>
        <v>0.30420275991274709</v>
      </c>
      <c r="AG74" s="2">
        <f t="shared" si="42"/>
        <v>0.69579724008725297</v>
      </c>
      <c r="AH74" s="2">
        <f t="shared" si="43"/>
        <v>0.54405188078735223</v>
      </c>
      <c r="AI74" s="2">
        <f t="shared" si="44"/>
        <v>0.16550208367123342</v>
      </c>
      <c r="AJ74" s="2">
        <f t="shared" si="45"/>
        <v>6.0422200000000004</v>
      </c>
      <c r="AK74" s="2">
        <v>6</v>
      </c>
      <c r="AL74">
        <f t="shared" si="46"/>
        <v>3.2643112847241138</v>
      </c>
    </row>
    <row r="75" spans="3:38" x14ac:dyDescent="0.35">
      <c r="C75" s="85"/>
      <c r="D75" s="172">
        <v>0</v>
      </c>
      <c r="E75" s="85"/>
      <c r="F75" s="13">
        <v>71.445769999999996</v>
      </c>
      <c r="G75" s="13">
        <v>74.252979999999994</v>
      </c>
      <c r="H75" s="13">
        <f t="shared" si="48"/>
        <v>2.8072099999999978</v>
      </c>
      <c r="I75" s="13">
        <f t="shared" si="47"/>
        <v>5.5206300000000113</v>
      </c>
      <c r="J75" s="13">
        <f t="shared" si="49"/>
        <v>0.33708740801936571</v>
      </c>
      <c r="K75" s="13">
        <f t="shared" si="50"/>
        <v>0.66291259198063424</v>
      </c>
      <c r="L75" s="13">
        <f t="shared" si="51"/>
        <v>0.35622557628392632</v>
      </c>
      <c r="M75" s="13">
        <f t="shared" si="52"/>
        <v>0.12007915617975357</v>
      </c>
      <c r="N75" s="13">
        <f t="shared" si="53"/>
        <v>8.327840000000009</v>
      </c>
      <c r="O75" s="13">
        <v>16</v>
      </c>
      <c r="P75" s="85">
        <f t="shared" si="54"/>
        <v>5.699609220542821</v>
      </c>
      <c r="Q75" s="85"/>
      <c r="Z75" s="298">
        <v>-1</v>
      </c>
      <c r="AB75" s="13">
        <v>117.36414000000001</v>
      </c>
      <c r="AC75" s="2">
        <v>117.79711</v>
      </c>
      <c r="AD75" s="2">
        <f t="shared" si="39"/>
        <v>0.43296999999999741</v>
      </c>
      <c r="AE75" s="2">
        <f t="shared" si="40"/>
        <v>5.3639500000000027</v>
      </c>
      <c r="AF75" s="2">
        <f t="shared" si="41"/>
        <v>7.4689662786444774E-2</v>
      </c>
      <c r="AG75" s="2">
        <f t="shared" si="42"/>
        <v>0.92531033721355527</v>
      </c>
      <c r="AH75" s="2">
        <f t="shared" si="43"/>
        <v>2.3096288426450009</v>
      </c>
      <c r="AI75" s="2">
        <f t="shared" si="44"/>
        <v>0.17250539941900181</v>
      </c>
      <c r="AJ75" s="2">
        <f t="shared" si="45"/>
        <v>5.7969200000000001</v>
      </c>
      <c r="AK75" s="2">
        <v>4</v>
      </c>
      <c r="AL75">
        <f t="shared" si="46"/>
        <v>9.2385153705800036</v>
      </c>
    </row>
    <row r="76" spans="3:38" x14ac:dyDescent="0.35">
      <c r="C76" s="85"/>
      <c r="D76" s="177">
        <v>5</v>
      </c>
      <c r="E76" s="157"/>
      <c r="F76" s="132">
        <v>79.773610000000005</v>
      </c>
      <c r="G76" s="132">
        <v>81.581119999999999</v>
      </c>
      <c r="H76" s="132">
        <f t="shared" si="48"/>
        <v>1.8075099999999935</v>
      </c>
      <c r="I76" s="132">
        <f t="shared" si="47"/>
        <v>3.9421999999999997</v>
      </c>
      <c r="J76" s="132">
        <f t="shared" si="49"/>
        <v>0.31436542016901647</v>
      </c>
      <c r="K76" s="132">
        <f t="shared" si="50"/>
        <v>0.68563457983098353</v>
      </c>
      <c r="L76" s="132">
        <f t="shared" si="51"/>
        <v>0.55324728493895114</v>
      </c>
      <c r="M76" s="132">
        <f t="shared" si="52"/>
        <v>0.17392181518720096</v>
      </c>
      <c r="N76" s="132">
        <f t="shared" si="53"/>
        <v>5.7497099999999932</v>
      </c>
      <c r="O76" s="132">
        <v>9</v>
      </c>
      <c r="P76" s="157">
        <f t="shared" si="54"/>
        <v>4.9792255644505605</v>
      </c>
      <c r="Q76" s="85"/>
      <c r="Z76" s="297">
        <v>-2.5</v>
      </c>
      <c r="AB76" s="13">
        <v>123.16106000000001</v>
      </c>
      <c r="AC76" s="2">
        <v>123.87793000000001</v>
      </c>
      <c r="AD76" s="2">
        <f t="shared" si="39"/>
        <v>0.71687000000000012</v>
      </c>
      <c r="AE76" s="2">
        <f t="shared" si="40"/>
        <v>14.773700000000005</v>
      </c>
      <c r="AF76" s="2">
        <f t="shared" si="41"/>
        <v>4.6277832255365678E-2</v>
      </c>
      <c r="AG76" s="2">
        <f t="shared" si="42"/>
        <v>0.95372216774463436</v>
      </c>
      <c r="AH76" s="2">
        <f t="shared" si="43"/>
        <v>1.3949530598295365</v>
      </c>
      <c r="AI76" s="2">
        <f t="shared" si="44"/>
        <v>6.4555403706900369E-2</v>
      </c>
      <c r="AJ76" s="2">
        <f t="shared" si="45"/>
        <v>15.490570000000005</v>
      </c>
      <c r="AK76" s="2">
        <v>5</v>
      </c>
      <c r="AL76">
        <f t="shared" si="46"/>
        <v>6.9747652991476823</v>
      </c>
    </row>
    <row r="77" spans="3:38" x14ac:dyDescent="0.35">
      <c r="C77" s="85"/>
      <c r="D77" s="172">
        <v>0</v>
      </c>
      <c r="E77" s="85"/>
      <c r="F77" s="13">
        <v>85.523319999999998</v>
      </c>
      <c r="G77" s="13">
        <v>90.00367</v>
      </c>
      <c r="H77" s="13">
        <f t="shared" si="48"/>
        <v>4.4803500000000014</v>
      </c>
      <c r="I77" s="13">
        <f t="shared" si="47"/>
        <v>3.8979700000000008</v>
      </c>
      <c r="J77" s="13">
        <f t="shared" si="49"/>
        <v>0.53475517764897973</v>
      </c>
      <c r="K77" s="13">
        <f t="shared" si="50"/>
        <v>0.46524482235102022</v>
      </c>
      <c r="L77" s="13">
        <f t="shared" si="51"/>
        <v>0.22319684846049967</v>
      </c>
      <c r="M77" s="13">
        <f t="shared" si="52"/>
        <v>0.11935567034918691</v>
      </c>
      <c r="N77" s="13">
        <f t="shared" si="53"/>
        <v>8.3783200000000022</v>
      </c>
      <c r="O77" s="13">
        <v>19</v>
      </c>
      <c r="P77" s="85">
        <f t="shared" si="54"/>
        <v>4.2407401207494937</v>
      </c>
      <c r="Q77" s="85"/>
      <c r="Z77" s="298">
        <v>-2.5</v>
      </c>
      <c r="AB77" s="13">
        <v>138.65163000000001</v>
      </c>
      <c r="AC77" s="2">
        <v>140.31901999999999</v>
      </c>
      <c r="AD77" s="2">
        <f t="shared" si="39"/>
        <v>1.6673899999999833</v>
      </c>
      <c r="AE77" s="2">
        <f t="shared" si="40"/>
        <v>4.4214100000000087</v>
      </c>
      <c r="AF77" s="2">
        <f t="shared" si="41"/>
        <v>0.2738454211010356</v>
      </c>
      <c r="AG77" s="2">
        <f t="shared" si="42"/>
        <v>0.7261545788989644</v>
      </c>
      <c r="AH77" s="2">
        <f t="shared" si="43"/>
        <v>0.5997397129645794</v>
      </c>
      <c r="AI77" s="2">
        <f t="shared" si="44"/>
        <v>0.16423597424779945</v>
      </c>
      <c r="AJ77" s="2">
        <f t="shared" si="45"/>
        <v>6.088799999999992</v>
      </c>
      <c r="AK77" s="2">
        <v>6</v>
      </c>
      <c r="AL77">
        <f t="shared" si="46"/>
        <v>3.5984382777874764</v>
      </c>
    </row>
    <row r="78" spans="3:38" x14ac:dyDescent="0.35">
      <c r="C78" s="85"/>
      <c r="D78" s="177">
        <v>5</v>
      </c>
      <c r="E78" s="157"/>
      <c r="F78" s="132">
        <v>93.90164</v>
      </c>
      <c r="G78" s="132">
        <v>97.025390000000002</v>
      </c>
      <c r="H78" s="132">
        <f t="shared" si="48"/>
        <v>3.1237500000000011</v>
      </c>
      <c r="I78" s="132">
        <f t="shared" si="47"/>
        <v>2.2535999999999916</v>
      </c>
      <c r="J78" s="132">
        <f t="shared" si="49"/>
        <v>0.58090881196128308</v>
      </c>
      <c r="K78" s="132">
        <f t="shared" si="50"/>
        <v>0.41909118803871698</v>
      </c>
      <c r="L78" s="132">
        <f t="shared" si="51"/>
        <v>0.3201280512204881</v>
      </c>
      <c r="M78" s="132">
        <f t="shared" si="52"/>
        <v>0.18596520590997451</v>
      </c>
      <c r="N78" s="132">
        <f t="shared" si="53"/>
        <v>5.3773499999999927</v>
      </c>
      <c r="O78" s="132">
        <v>13</v>
      </c>
      <c r="P78" s="157">
        <f t="shared" si="54"/>
        <v>4.1616646658663452</v>
      </c>
      <c r="Q78" s="85"/>
      <c r="Z78" s="298">
        <v>-2.5</v>
      </c>
      <c r="AB78" s="13">
        <v>144.74043</v>
      </c>
      <c r="AC78" s="2">
        <v>145.47578999999999</v>
      </c>
      <c r="AD78" s="2">
        <f t="shared" si="39"/>
        <v>0.7353599999999858</v>
      </c>
      <c r="AE78" s="2">
        <f t="shared" si="40"/>
        <v>5.4509700000000123</v>
      </c>
      <c r="AF78" s="2">
        <f t="shared" si="41"/>
        <v>0.11886853756588898</v>
      </c>
      <c r="AG78" s="2">
        <f t="shared" si="42"/>
        <v>0.881131462434111</v>
      </c>
      <c r="AH78" s="2">
        <f t="shared" si="43"/>
        <v>1.3598781549173458</v>
      </c>
      <c r="AI78" s="2">
        <f t="shared" si="44"/>
        <v>0.1616467275428243</v>
      </c>
      <c r="AJ78" s="2">
        <f t="shared" si="45"/>
        <v>6.1863299999999981</v>
      </c>
      <c r="AK78" s="2">
        <v>5</v>
      </c>
      <c r="AL78">
        <f t="shared" si="46"/>
        <v>6.7993907745867279</v>
      </c>
    </row>
    <row r="79" spans="3:38" x14ac:dyDescent="0.35">
      <c r="C79" s="85"/>
      <c r="D79" s="172">
        <v>0</v>
      </c>
      <c r="E79" s="85"/>
      <c r="F79" s="85">
        <v>99.278989999999993</v>
      </c>
      <c r="G79" s="85">
        <v>100.95815</v>
      </c>
      <c r="H79" s="13">
        <f t="shared" si="48"/>
        <v>1.6791600000000102</v>
      </c>
      <c r="I79" s="13">
        <f t="shared" si="47"/>
        <v>5.3336699999999979</v>
      </c>
      <c r="J79" s="13">
        <f t="shared" si="49"/>
        <v>0.23944113859882649</v>
      </c>
      <c r="K79" s="13">
        <f t="shared" si="50"/>
        <v>0.76055886140117357</v>
      </c>
      <c r="L79" s="13">
        <f t="shared" si="51"/>
        <v>0.59553586316967644</v>
      </c>
      <c r="M79" s="13">
        <f t="shared" si="52"/>
        <v>0.14259578515378227</v>
      </c>
      <c r="N79" s="13">
        <f t="shared" si="53"/>
        <v>7.0128300000000081</v>
      </c>
      <c r="O79" s="13">
        <v>10</v>
      </c>
      <c r="P79" s="85">
        <f t="shared" si="54"/>
        <v>5.9553586316967646</v>
      </c>
      <c r="Q79" s="85"/>
      <c r="Z79" s="298">
        <v>-2.5</v>
      </c>
      <c r="AB79" s="13">
        <v>150.92676</v>
      </c>
      <c r="AC79" s="2">
        <v>151.73251999999999</v>
      </c>
      <c r="AD79" s="2">
        <f t="shared" si="39"/>
        <v>0.80575999999999226</v>
      </c>
      <c r="AE79" s="2">
        <f t="shared" si="40"/>
        <v>5.3628400000000056</v>
      </c>
      <c r="AF79" s="2">
        <f t="shared" si="41"/>
        <v>0.13062283176085215</v>
      </c>
      <c r="AG79" s="2">
        <f t="shared" si="42"/>
        <v>0.8693771682391479</v>
      </c>
      <c r="AH79" s="2">
        <f t="shared" si="43"/>
        <v>1.2410643367752303</v>
      </c>
      <c r="AI79" s="2">
        <f t="shared" si="44"/>
        <v>0.16211133806698447</v>
      </c>
      <c r="AJ79" s="2">
        <f t="shared" si="45"/>
        <v>6.1685999999999979</v>
      </c>
      <c r="AK79" s="2">
        <v>5</v>
      </c>
      <c r="AL79">
        <f t="shared" si="46"/>
        <v>6.2053216838761518</v>
      </c>
    </row>
    <row r="80" spans="3:38" x14ac:dyDescent="0.35">
      <c r="C80" s="85"/>
      <c r="D80" s="172">
        <v>0</v>
      </c>
      <c r="E80" s="85"/>
      <c r="F80" s="85">
        <v>106.29182</v>
      </c>
      <c r="G80" s="85">
        <v>110.53873</v>
      </c>
      <c r="H80" s="13">
        <f t="shared" si="48"/>
        <v>4.2469099999999997</v>
      </c>
      <c r="I80" s="13">
        <f t="shared" si="47"/>
        <v>9.5300100000000043</v>
      </c>
      <c r="J80" s="13">
        <f t="shared" si="49"/>
        <v>0.30826265957848331</v>
      </c>
      <c r="K80" s="13">
        <f t="shared" si="50"/>
        <v>0.69173734042151669</v>
      </c>
      <c r="L80" s="13">
        <f t="shared" si="51"/>
        <v>0.23546531478180607</v>
      </c>
      <c r="M80" s="13">
        <f t="shared" si="52"/>
        <v>7.25851641731243E-2</v>
      </c>
      <c r="N80" s="13">
        <f t="shared" si="53"/>
        <v>13.776920000000004</v>
      </c>
      <c r="O80" s="13">
        <v>17</v>
      </c>
      <c r="P80" s="85">
        <f t="shared" si="54"/>
        <v>4.0029103512907032</v>
      </c>
      <c r="Q80" s="85"/>
      <c r="Z80" s="298">
        <v>-2.5</v>
      </c>
      <c r="AB80" s="13">
        <v>157.09536</v>
      </c>
      <c r="AC80" s="2">
        <v>157.88750999999999</v>
      </c>
      <c r="AD80" s="2">
        <f t="shared" si="39"/>
        <v>0.79214999999999236</v>
      </c>
      <c r="AE80" s="2">
        <f t="shared" si="40"/>
        <v>5.4472000000000094</v>
      </c>
      <c r="AF80" s="2">
        <f t="shared" si="41"/>
        <v>0.12696034042007456</v>
      </c>
      <c r="AG80" s="2">
        <f t="shared" si="42"/>
        <v>0.87303965957992546</v>
      </c>
      <c r="AH80" s="2">
        <f t="shared" si="43"/>
        <v>1.2623871741463228</v>
      </c>
      <c r="AI80" s="2">
        <f t="shared" si="44"/>
        <v>0.16027310537155309</v>
      </c>
      <c r="AJ80" s="2">
        <f t="shared" si="45"/>
        <v>6.2393500000000017</v>
      </c>
      <c r="AK80" s="2">
        <v>5</v>
      </c>
      <c r="AL80">
        <f t="shared" si="46"/>
        <v>6.311935870731614</v>
      </c>
    </row>
    <row r="81" spans="3:38" x14ac:dyDescent="0.35">
      <c r="C81" s="85"/>
      <c r="D81" s="177">
        <v>5</v>
      </c>
      <c r="E81" s="157"/>
      <c r="F81" s="157">
        <v>120.06874000000001</v>
      </c>
      <c r="G81" s="157">
        <v>122.79201999999999</v>
      </c>
      <c r="H81" s="132">
        <f t="shared" si="48"/>
        <v>2.7232799999999884</v>
      </c>
      <c r="I81" s="132">
        <f t="shared" si="47"/>
        <v>2.5503400000000056</v>
      </c>
      <c r="J81" s="132">
        <f t="shared" si="49"/>
        <v>0.51639670662656612</v>
      </c>
      <c r="K81" s="132">
        <f t="shared" si="50"/>
        <v>0.48360329337343388</v>
      </c>
      <c r="L81" s="132">
        <f t="shared" si="51"/>
        <v>0.36720425369407633</v>
      </c>
      <c r="M81" s="132">
        <f t="shared" si="52"/>
        <v>0.1896230672668871</v>
      </c>
      <c r="N81" s="132">
        <f t="shared" si="53"/>
        <v>5.273619999999994</v>
      </c>
      <c r="O81" s="132">
        <v>12</v>
      </c>
      <c r="P81" s="157">
        <f t="shared" si="54"/>
        <v>4.4064510443289162</v>
      </c>
      <c r="Q81" s="85"/>
      <c r="R81" t="s">
        <v>780</v>
      </c>
      <c r="Z81" s="298">
        <v>-2.5</v>
      </c>
      <c r="AB81" s="13">
        <v>163.33471</v>
      </c>
      <c r="AC81" s="2">
        <v>163.83353</v>
      </c>
      <c r="AD81" s="2">
        <f t="shared" si="39"/>
        <v>0.49881999999999493</v>
      </c>
      <c r="AE81" s="2">
        <f t="shared" si="40"/>
        <v>18.704090000000008</v>
      </c>
      <c r="AF81" s="2">
        <f t="shared" si="41"/>
        <v>2.5976271304713444E-2</v>
      </c>
      <c r="AG81" s="2">
        <f t="shared" si="42"/>
        <v>0.97402372869528653</v>
      </c>
      <c r="AH81" s="2">
        <f t="shared" si="43"/>
        <v>2.0047311655507198</v>
      </c>
      <c r="AI81" s="2">
        <f t="shared" si="44"/>
        <v>5.2075440649359907E-2</v>
      </c>
      <c r="AJ81" s="2">
        <f t="shared" si="45"/>
        <v>19.202910000000003</v>
      </c>
      <c r="AK81" s="2">
        <v>4</v>
      </c>
      <c r="AL81">
        <f t="shared" si="46"/>
        <v>8.0189246622028794</v>
      </c>
    </row>
    <row r="82" spans="3:38" x14ac:dyDescent="0.35">
      <c r="C82" s="85"/>
      <c r="D82" s="172">
        <v>0</v>
      </c>
      <c r="E82" s="85"/>
      <c r="F82" s="85">
        <v>125.34236</v>
      </c>
      <c r="G82" s="85">
        <v>128.21199999999999</v>
      </c>
      <c r="H82" s="13">
        <f t="shared" si="48"/>
        <v>2.8696399999999898</v>
      </c>
      <c r="I82" s="13">
        <f t="shared" si="47"/>
        <v>5.4697800000000143</v>
      </c>
      <c r="J82" s="13">
        <f t="shared" si="49"/>
        <v>0.34410546536809372</v>
      </c>
      <c r="K82" s="13">
        <f t="shared" si="50"/>
        <v>0.65589453463190628</v>
      </c>
      <c r="L82" s="13">
        <f t="shared" si="51"/>
        <v>0.34847576699516442</v>
      </c>
      <c r="M82" s="13">
        <f t="shared" si="52"/>
        <v>0.11991241597137445</v>
      </c>
      <c r="N82" s="13">
        <f t="shared" si="53"/>
        <v>8.3394200000000041</v>
      </c>
      <c r="O82" s="13">
        <v>20</v>
      </c>
      <c r="P82" s="85">
        <f t="shared" si="54"/>
        <v>6.9695153399032881</v>
      </c>
      <c r="Q82" s="85"/>
      <c r="Z82" s="298">
        <v>-2.5</v>
      </c>
      <c r="AB82" s="13">
        <v>182.53762</v>
      </c>
      <c r="AC82" s="2">
        <v>183.50149999999999</v>
      </c>
      <c r="AD82" s="2">
        <f t="shared" si="39"/>
        <v>0.96387999999998897</v>
      </c>
      <c r="AE82" s="2">
        <f t="shared" si="40"/>
        <v>16.427660000000003</v>
      </c>
      <c r="AF82" s="2">
        <f t="shared" si="41"/>
        <v>5.5422349027170074E-2</v>
      </c>
      <c r="AG82" s="2">
        <f t="shared" si="42"/>
        <v>0.94457765097282997</v>
      </c>
      <c r="AH82" s="2">
        <f t="shared" si="43"/>
        <v>1.037473544424629</v>
      </c>
      <c r="AI82" s="2">
        <f t="shared" si="44"/>
        <v>5.7499220885557027E-2</v>
      </c>
      <c r="AJ82" s="2">
        <f t="shared" si="45"/>
        <v>17.391539999999992</v>
      </c>
      <c r="AK82" s="2">
        <v>5</v>
      </c>
      <c r="AL82">
        <f t="shared" si="46"/>
        <v>5.1873677221231453</v>
      </c>
    </row>
    <row r="83" spans="3:38" x14ac:dyDescent="0.35">
      <c r="C83" s="85"/>
      <c r="D83" s="177">
        <v>5</v>
      </c>
      <c r="E83" s="157"/>
      <c r="F83" s="157">
        <v>133.68178</v>
      </c>
      <c r="G83" s="157">
        <v>135.25181000000001</v>
      </c>
      <c r="H83" s="132">
        <f t="shared" si="48"/>
        <v>1.5700300000000027</v>
      </c>
      <c r="I83" s="132">
        <f t="shared" si="47"/>
        <v>8.0774600000000021</v>
      </c>
      <c r="J83" s="132">
        <f t="shared" si="49"/>
        <v>0.16273973852266257</v>
      </c>
      <c r="K83" s="132">
        <f t="shared" si="50"/>
        <v>0.83726026147733745</v>
      </c>
      <c r="L83" s="132">
        <f t="shared" si="51"/>
        <v>0.63693050451265154</v>
      </c>
      <c r="M83" s="132">
        <f t="shared" si="52"/>
        <v>0.10365390376149647</v>
      </c>
      <c r="N83" s="132">
        <f t="shared" si="53"/>
        <v>9.6474900000000048</v>
      </c>
      <c r="O83" s="132">
        <v>7</v>
      </c>
      <c r="P83" s="157">
        <f t="shared" si="54"/>
        <v>4.4585135315885607</v>
      </c>
      <c r="Q83" s="85"/>
      <c r="Z83" s="298">
        <v>-2.5</v>
      </c>
      <c r="AB83" s="13">
        <v>199.92916</v>
      </c>
      <c r="AC83" s="2">
        <v>201.46582999999998</v>
      </c>
      <c r="AD83" s="2">
        <f t="shared" si="39"/>
        <v>1.5366699999999867</v>
      </c>
      <c r="AE83" s="2">
        <f t="shared" si="40"/>
        <v>6.3617700000000355</v>
      </c>
      <c r="AF83" s="2">
        <f t="shared" si="41"/>
        <v>0.19455360805424646</v>
      </c>
      <c r="AG83" s="2">
        <f t="shared" si="42"/>
        <v>0.80544639194575351</v>
      </c>
      <c r="AH83" s="2">
        <f t="shared" si="43"/>
        <v>0.65075780746680079</v>
      </c>
      <c r="AI83" s="2">
        <f t="shared" si="44"/>
        <v>0.12660727941213673</v>
      </c>
      <c r="AJ83" s="2">
        <f t="shared" si="45"/>
        <v>7.8984400000000221</v>
      </c>
      <c r="AK83" s="2">
        <v>6</v>
      </c>
      <c r="AL83">
        <f t="shared" si="46"/>
        <v>3.9045468448008043</v>
      </c>
    </row>
    <row r="84" spans="3:38" x14ac:dyDescent="0.35">
      <c r="C84" s="85"/>
      <c r="D84" s="172">
        <v>0</v>
      </c>
      <c r="E84" s="85"/>
      <c r="F84" s="85">
        <v>143.32927000000001</v>
      </c>
      <c r="G84" s="85">
        <v>146.67770999999999</v>
      </c>
      <c r="H84" s="13">
        <f t="shared" si="48"/>
        <v>3.3484399999999823</v>
      </c>
      <c r="I84" s="13">
        <f t="shared" si="47"/>
        <v>5.0072400000000243</v>
      </c>
      <c r="J84" s="13">
        <f t="shared" si="49"/>
        <v>0.40073818049518167</v>
      </c>
      <c r="K84" s="13">
        <f t="shared" si="50"/>
        <v>0.59926181950481827</v>
      </c>
      <c r="L84" s="13">
        <f t="shared" si="51"/>
        <v>0.29864653390832901</v>
      </c>
      <c r="M84" s="13">
        <f t="shared" si="52"/>
        <v>0.11967906860961636</v>
      </c>
      <c r="N84" s="13">
        <f t="shared" si="53"/>
        <v>8.3556800000000067</v>
      </c>
      <c r="O84" s="13">
        <v>19</v>
      </c>
      <c r="P84" s="85">
        <f t="shared" si="54"/>
        <v>5.6742841442582517</v>
      </c>
      <c r="Q84" s="85"/>
      <c r="Z84" s="298">
        <v>-2.5</v>
      </c>
      <c r="AB84" s="13">
        <v>207.82760000000002</v>
      </c>
      <c r="AC84" s="2">
        <v>208.63416999999998</v>
      </c>
      <c r="AD84" s="2">
        <f t="shared" si="39"/>
        <v>0.80656999999996515</v>
      </c>
      <c r="AE84" s="2">
        <f t="shared" si="40"/>
        <v>12.055370000000011</v>
      </c>
      <c r="AF84" s="2">
        <f t="shared" si="41"/>
        <v>6.2709824489926611E-2</v>
      </c>
      <c r="AG84" s="2">
        <f t="shared" si="42"/>
        <v>0.93729017551007343</v>
      </c>
      <c r="AH84" s="2">
        <f t="shared" si="43"/>
        <v>1.2398179947184289</v>
      </c>
      <c r="AI84" s="2">
        <f t="shared" si="44"/>
        <v>7.7748768848245428E-2</v>
      </c>
      <c r="AJ84" s="2">
        <f t="shared" si="45"/>
        <v>12.861939999999976</v>
      </c>
      <c r="AK84" s="2">
        <v>5</v>
      </c>
      <c r="AL84">
        <f t="shared" si="46"/>
        <v>6.1990899735921445</v>
      </c>
    </row>
    <row r="85" spans="3:38" x14ac:dyDescent="0.35">
      <c r="C85" s="85"/>
      <c r="D85" s="177">
        <v>5</v>
      </c>
      <c r="E85" s="157"/>
      <c r="F85" s="157">
        <v>151.68495000000001</v>
      </c>
      <c r="G85" s="157">
        <v>154.78199000000001</v>
      </c>
      <c r="H85" s="132">
        <f t="shared" si="48"/>
        <v>3.0970399999999927</v>
      </c>
      <c r="I85" s="132">
        <f t="shared" si="47"/>
        <v>2.2454899999999895</v>
      </c>
      <c r="J85" s="132">
        <f t="shared" si="49"/>
        <v>0.57969538776572205</v>
      </c>
      <c r="K85" s="132">
        <f t="shared" si="50"/>
        <v>0.42030461223427795</v>
      </c>
      <c r="L85" s="132">
        <f t="shared" si="51"/>
        <v>0.32288895203161805</v>
      </c>
      <c r="M85" s="132">
        <f t="shared" si="52"/>
        <v>0.18717723625323646</v>
      </c>
      <c r="N85" s="132">
        <f t="shared" si="53"/>
        <v>5.3425299999999822</v>
      </c>
      <c r="O85" s="132">
        <v>14</v>
      </c>
      <c r="P85" s="157">
        <f t="shared" si="54"/>
        <v>4.5204453284426531</v>
      </c>
      <c r="Q85" s="85"/>
      <c r="Z85" s="298">
        <v>-2.5</v>
      </c>
      <c r="AB85" s="13">
        <v>220.68953999999999</v>
      </c>
      <c r="AC85" s="2">
        <v>222.4949</v>
      </c>
      <c r="AD85" s="2">
        <f t="shared" si="39"/>
        <v>1.8053600000000074</v>
      </c>
      <c r="AE85" s="2">
        <f t="shared" si="40"/>
        <v>4.6034600000000125</v>
      </c>
      <c r="AF85" s="2">
        <f t="shared" si="41"/>
        <v>0.28169928317537424</v>
      </c>
      <c r="AG85" s="2">
        <f t="shared" si="42"/>
        <v>0.71830071682462582</v>
      </c>
      <c r="AH85" s="2">
        <f t="shared" si="43"/>
        <v>0.55390614614259537</v>
      </c>
      <c r="AI85" s="2">
        <f t="shared" si="44"/>
        <v>0.15603496431480318</v>
      </c>
      <c r="AJ85" s="2">
        <f t="shared" si="45"/>
        <v>6.4088200000000199</v>
      </c>
      <c r="AK85" s="2">
        <v>6</v>
      </c>
      <c r="AL85">
        <f t="shared" si="46"/>
        <v>3.3234368768555718</v>
      </c>
    </row>
    <row r="86" spans="3:38" x14ac:dyDescent="0.35">
      <c r="C86" s="85"/>
      <c r="D86" s="172">
        <v>0</v>
      </c>
      <c r="E86" s="85"/>
      <c r="F86" s="85">
        <v>157.02748</v>
      </c>
      <c r="G86" s="85">
        <v>159.02964</v>
      </c>
      <c r="H86" s="13">
        <f t="shared" si="48"/>
        <v>2.0021600000000035</v>
      </c>
      <c r="I86" s="13">
        <f t="shared" si="47"/>
        <v>4.991579999999999</v>
      </c>
      <c r="J86" s="13">
        <f t="shared" si="49"/>
        <v>0.28627887224861132</v>
      </c>
      <c r="K86" s="13">
        <f t="shared" si="50"/>
        <v>0.71372112775138874</v>
      </c>
      <c r="L86" s="13">
        <f t="shared" si="51"/>
        <v>0.49946058257082265</v>
      </c>
      <c r="M86" s="13">
        <f t="shared" si="52"/>
        <v>0.14298501231100952</v>
      </c>
      <c r="N86" s="13">
        <f t="shared" si="53"/>
        <v>6.9937400000000025</v>
      </c>
      <c r="O86" s="13">
        <v>12</v>
      </c>
      <c r="P86" s="85">
        <f t="shared" si="54"/>
        <v>5.9935269908498716</v>
      </c>
      <c r="Q86" s="85"/>
      <c r="Z86" s="298">
        <v>-2.5</v>
      </c>
      <c r="AB86" s="13">
        <v>227.09836000000001</v>
      </c>
      <c r="AC86" s="2">
        <v>227.81673000000001</v>
      </c>
      <c r="AD86" s="2">
        <f t="shared" si="39"/>
        <v>0.71836999999999307</v>
      </c>
      <c r="AE86" s="2">
        <f t="shared" si="40"/>
        <v>5.7133999999999787</v>
      </c>
      <c r="AF86" s="2">
        <f t="shared" si="41"/>
        <v>0.1116908720305602</v>
      </c>
      <c r="AG86" s="2">
        <f t="shared" si="42"/>
        <v>0.88830912796943984</v>
      </c>
      <c r="AH86" s="2">
        <f t="shared" si="43"/>
        <v>1.3920403134874921</v>
      </c>
      <c r="AI86" s="2">
        <f t="shared" si="44"/>
        <v>0.15547819651511238</v>
      </c>
      <c r="AJ86" s="2">
        <f t="shared" si="45"/>
        <v>6.4317699999999718</v>
      </c>
      <c r="AK86" s="2">
        <v>5</v>
      </c>
      <c r="AL86">
        <f t="shared" si="46"/>
        <v>6.9602015674374602</v>
      </c>
    </row>
    <row r="87" spans="3:38" x14ac:dyDescent="0.35">
      <c r="C87" s="85"/>
      <c r="D87" s="177">
        <v>5</v>
      </c>
      <c r="E87" s="157"/>
      <c r="F87" s="157">
        <v>164.02122</v>
      </c>
      <c r="G87" s="157">
        <v>167.25247000000002</v>
      </c>
      <c r="H87" s="132">
        <f t="shared" si="48"/>
        <v>3.2312500000000171</v>
      </c>
      <c r="I87" s="132">
        <f t="shared" si="47"/>
        <v>3.6571999999999889</v>
      </c>
      <c r="J87" s="132">
        <f t="shared" si="49"/>
        <v>0.46908230443713961</v>
      </c>
      <c r="K87" s="132">
        <f t="shared" si="50"/>
        <v>0.53091769556286039</v>
      </c>
      <c r="L87" s="132">
        <f t="shared" si="51"/>
        <v>0.30947775628626528</v>
      </c>
      <c r="M87" s="132">
        <f t="shared" si="52"/>
        <v>0.1451705390907968</v>
      </c>
      <c r="N87" s="132">
        <f t="shared" si="53"/>
        <v>6.888450000000006</v>
      </c>
      <c r="O87" s="132">
        <v>15</v>
      </c>
      <c r="P87" s="157">
        <f t="shared" si="54"/>
        <v>4.6421663442939796</v>
      </c>
      <c r="Q87" s="85"/>
      <c r="Z87" s="298">
        <v>-2.5</v>
      </c>
      <c r="AB87" s="13">
        <v>233.53012999999999</v>
      </c>
      <c r="AC87" s="2">
        <v>234.25065000000001</v>
      </c>
      <c r="AD87" s="2">
        <f t="shared" si="39"/>
        <v>0.72052000000002181</v>
      </c>
      <c r="AE87" s="2">
        <f t="shared" si="40"/>
        <v>15.598119999999994</v>
      </c>
      <c r="AF87" s="2">
        <f t="shared" si="41"/>
        <v>4.4153189236359226E-2</v>
      </c>
      <c r="AG87" s="2">
        <f t="shared" si="42"/>
        <v>0.95584681076364075</v>
      </c>
      <c r="AH87" s="2">
        <f t="shared" si="43"/>
        <v>1.3878865263975597</v>
      </c>
      <c r="AI87" s="2">
        <f t="shared" si="44"/>
        <v>6.1279616438624729E-2</v>
      </c>
      <c r="AJ87" s="2">
        <f t="shared" si="45"/>
        <v>16.318640000000016</v>
      </c>
      <c r="AK87" s="2">
        <v>5</v>
      </c>
      <c r="AL87">
        <f t="shared" si="46"/>
        <v>6.939432631987799</v>
      </c>
    </row>
    <row r="88" spans="3:38" x14ac:dyDescent="0.35">
      <c r="C88" s="85"/>
      <c r="D88" s="172">
        <v>0</v>
      </c>
      <c r="E88" s="85"/>
      <c r="F88" s="85">
        <v>170.90967000000001</v>
      </c>
      <c r="G88" s="85">
        <v>173.01985999999999</v>
      </c>
      <c r="H88" s="13">
        <f t="shared" si="48"/>
        <v>2.1101899999999887</v>
      </c>
      <c r="I88" s="13">
        <f t="shared" si="47"/>
        <v>6.4033900000000017</v>
      </c>
      <c r="J88" s="13">
        <f t="shared" si="49"/>
        <v>0.24786165162011645</v>
      </c>
      <c r="K88" s="13">
        <f t="shared" si="50"/>
        <v>0.75213834837988358</v>
      </c>
      <c r="L88" s="13">
        <f t="shared" si="51"/>
        <v>0.47389097664191632</v>
      </c>
      <c r="M88" s="13">
        <f t="shared" si="52"/>
        <v>0.11745940015833541</v>
      </c>
      <c r="N88" s="13">
        <f t="shared" si="53"/>
        <v>8.5135799999999904</v>
      </c>
      <c r="O88" s="13">
        <v>15</v>
      </c>
      <c r="P88" s="85">
        <f t="shared" si="54"/>
        <v>7.1083646496287445</v>
      </c>
      <c r="Q88" s="85"/>
      <c r="Z88" s="297">
        <v>-1</v>
      </c>
      <c r="AB88" s="13">
        <v>249.84877</v>
      </c>
      <c r="AC88" s="2">
        <v>251.66401999999999</v>
      </c>
      <c r="AD88" s="2">
        <f t="shared" si="39"/>
        <v>1.8152499999999918</v>
      </c>
      <c r="AE88" s="2">
        <f t="shared" si="40"/>
        <v>7.5245800000000145</v>
      </c>
      <c r="AF88" s="2">
        <f t="shared" si="41"/>
        <v>0.19435578591901465</v>
      </c>
      <c r="AG88" s="2">
        <f t="shared" si="42"/>
        <v>0.8056442140809853</v>
      </c>
      <c r="AH88" s="2">
        <f t="shared" si="43"/>
        <v>0.55088830739567796</v>
      </c>
      <c r="AI88" s="2">
        <f t="shared" si="44"/>
        <v>0.10706832993748273</v>
      </c>
      <c r="AJ88" s="2">
        <f t="shared" si="45"/>
        <v>9.3398300000000063</v>
      </c>
      <c r="AK88" s="2">
        <v>7</v>
      </c>
      <c r="AL88">
        <f t="shared" si="46"/>
        <v>3.8562181517697462</v>
      </c>
    </row>
    <row r="89" spans="3:38" x14ac:dyDescent="0.35">
      <c r="C89" s="85"/>
      <c r="D89" s="177">
        <v>5</v>
      </c>
      <c r="E89" s="157"/>
      <c r="F89" s="157">
        <v>179.42325</v>
      </c>
      <c r="G89" s="157">
        <v>182.53433999999999</v>
      </c>
      <c r="H89" s="132">
        <f t="shared" si="48"/>
        <v>3.1110899999999901</v>
      </c>
      <c r="I89" s="132">
        <f t="shared" si="47"/>
        <v>2.2706300000000113</v>
      </c>
      <c r="J89" s="132">
        <f t="shared" si="49"/>
        <v>0.57808470154522895</v>
      </c>
      <c r="K89" s="132">
        <f t="shared" si="50"/>
        <v>0.4219152984547711</v>
      </c>
      <c r="L89" s="132">
        <f t="shared" si="51"/>
        <v>0.32143075256582199</v>
      </c>
      <c r="M89" s="132">
        <f t="shared" si="52"/>
        <v>0.18581420066447155</v>
      </c>
      <c r="N89" s="132">
        <f t="shared" si="53"/>
        <v>5.3817200000000014</v>
      </c>
      <c r="O89" s="132">
        <v>15</v>
      </c>
      <c r="P89" s="157">
        <f t="shared" si="54"/>
        <v>4.8214612884873302</v>
      </c>
      <c r="Q89" s="85"/>
      <c r="Z89" s="298">
        <v>-1</v>
      </c>
      <c r="AB89" s="13">
        <v>259.18860000000001</v>
      </c>
      <c r="AC89" s="2">
        <v>260.73660000000001</v>
      </c>
      <c r="AD89" s="2">
        <f t="shared" si="39"/>
        <v>1.5480000000000018</v>
      </c>
      <c r="AE89" s="2">
        <f t="shared" si="40"/>
        <v>10.806280000000015</v>
      </c>
      <c r="AF89" s="2">
        <f t="shared" si="41"/>
        <v>0.1253007055044891</v>
      </c>
      <c r="AG89" s="2">
        <f t="shared" si="42"/>
        <v>0.87469929449551087</v>
      </c>
      <c r="AH89" s="2">
        <f t="shared" si="43"/>
        <v>0.64599483204134289</v>
      </c>
      <c r="AI89" s="2">
        <f t="shared" si="44"/>
        <v>8.0943608207034209E-2</v>
      </c>
      <c r="AJ89" s="2">
        <f t="shared" si="45"/>
        <v>12.354280000000017</v>
      </c>
      <c r="AK89" s="2">
        <v>6</v>
      </c>
      <c r="AL89">
        <f t="shared" si="46"/>
        <v>3.8759689922480574</v>
      </c>
    </row>
    <row r="90" spans="3:38" x14ac:dyDescent="0.35">
      <c r="C90" s="85"/>
      <c r="D90" s="172">
        <v>0</v>
      </c>
      <c r="E90" s="85"/>
      <c r="F90" s="85">
        <v>184.80497</v>
      </c>
      <c r="G90" s="85">
        <v>186.8571</v>
      </c>
      <c r="H90" s="13">
        <f t="shared" si="48"/>
        <v>2.0521300000000053</v>
      </c>
      <c r="I90" s="13">
        <f t="shared" si="47"/>
        <v>4.9910399999999981</v>
      </c>
      <c r="J90" s="13">
        <f t="shared" si="49"/>
        <v>0.29136454181852833</v>
      </c>
      <c r="K90" s="13">
        <f t="shared" si="50"/>
        <v>0.70863545818147167</v>
      </c>
      <c r="L90" s="13">
        <f t="shared" si="51"/>
        <v>0.48729856295653656</v>
      </c>
      <c r="M90" s="13">
        <f t="shared" si="52"/>
        <v>0.14198152252465857</v>
      </c>
      <c r="N90" s="13">
        <f t="shared" si="53"/>
        <v>7.0431700000000035</v>
      </c>
      <c r="O90" s="13">
        <v>13</v>
      </c>
      <c r="P90" s="85">
        <f t="shared" si="54"/>
        <v>6.3348813184349755</v>
      </c>
      <c r="Q90" s="85"/>
      <c r="Z90" s="298">
        <v>-1</v>
      </c>
      <c r="AB90" s="13">
        <v>271.54288000000003</v>
      </c>
      <c r="AC90" s="2">
        <v>273.51150999999999</v>
      </c>
      <c r="AD90" s="2">
        <f t="shared" si="39"/>
        <v>1.9686299999999619</v>
      </c>
      <c r="AE90" s="2">
        <f t="shared" si="40"/>
        <v>5.7427999999999884</v>
      </c>
      <c r="AF90" s="2">
        <f t="shared" si="41"/>
        <v>0.25528728134729545</v>
      </c>
      <c r="AG90" s="2">
        <f t="shared" si="42"/>
        <v>0.7447127186527045</v>
      </c>
      <c r="AH90" s="2">
        <f t="shared" si="43"/>
        <v>0.50796746976324614</v>
      </c>
      <c r="AI90" s="2">
        <f t="shared" si="44"/>
        <v>0.12967763436872362</v>
      </c>
      <c r="AJ90" s="2">
        <f t="shared" si="45"/>
        <v>7.7114299999999503</v>
      </c>
      <c r="AK90" s="2">
        <v>9</v>
      </c>
      <c r="AL90">
        <f t="shared" si="46"/>
        <v>4.5717072278692159</v>
      </c>
    </row>
    <row r="91" spans="3:38" x14ac:dyDescent="0.35">
      <c r="C91" s="85"/>
      <c r="D91" s="177">
        <v>5</v>
      </c>
      <c r="E91" s="157"/>
      <c r="F91" s="157">
        <v>191.84814</v>
      </c>
      <c r="G91" s="157">
        <v>195.07801999999998</v>
      </c>
      <c r="H91" s="132">
        <f t="shared" si="48"/>
        <v>3.2298799999999801</v>
      </c>
      <c r="I91" s="132">
        <f t="shared" si="47"/>
        <v>2.180940000000021</v>
      </c>
      <c r="J91" s="132">
        <f t="shared" si="49"/>
        <v>0.59692985536387821</v>
      </c>
      <c r="K91" s="132">
        <f t="shared" si="50"/>
        <v>0.40307014463612179</v>
      </c>
      <c r="L91" s="132">
        <f t="shared" si="51"/>
        <v>0.30960902572231974</v>
      </c>
      <c r="M91" s="132">
        <f t="shared" si="52"/>
        <v>0.18481487094377558</v>
      </c>
      <c r="N91" s="132">
        <f t="shared" si="53"/>
        <v>5.4108200000000011</v>
      </c>
      <c r="O91" s="132">
        <v>13</v>
      </c>
      <c r="P91" s="157">
        <f t="shared" si="54"/>
        <v>4.0249173343901568</v>
      </c>
      <c r="Q91" s="85"/>
      <c r="Z91" s="298">
        <v>-1</v>
      </c>
      <c r="AB91" s="13">
        <v>279.25430999999998</v>
      </c>
      <c r="AC91" s="2">
        <v>281.15942999999999</v>
      </c>
      <c r="AD91" s="2">
        <f t="shared" si="39"/>
        <v>1.9051200000000108</v>
      </c>
      <c r="AE91" s="2">
        <f t="shared" si="40"/>
        <v>17.818360000000041</v>
      </c>
      <c r="AF91" s="2">
        <f t="shared" si="41"/>
        <v>9.6591473715592069E-2</v>
      </c>
      <c r="AG91" s="2">
        <f t="shared" si="42"/>
        <v>0.90340852628440793</v>
      </c>
      <c r="AH91" s="2">
        <f t="shared" si="43"/>
        <v>0.5249013185521092</v>
      </c>
      <c r="AI91" s="2">
        <f t="shared" si="44"/>
        <v>5.0700991914205677E-2</v>
      </c>
      <c r="AJ91" s="2">
        <f t="shared" si="45"/>
        <v>19.723480000000052</v>
      </c>
      <c r="AK91" s="2">
        <v>8</v>
      </c>
      <c r="AL91">
        <f t="shared" si="46"/>
        <v>4.1992105484168736</v>
      </c>
    </row>
    <row r="92" spans="3:38" x14ac:dyDescent="0.35">
      <c r="C92" s="85"/>
      <c r="D92" s="172">
        <v>0</v>
      </c>
      <c r="E92" s="85"/>
      <c r="F92" s="85">
        <v>197.25896</v>
      </c>
      <c r="G92" s="85">
        <v>199.25798</v>
      </c>
      <c r="H92" s="13">
        <f t="shared" si="48"/>
        <v>1.9990200000000016</v>
      </c>
      <c r="I92" s="13">
        <f t="shared" si="47"/>
        <v>5.0725099999999941</v>
      </c>
      <c r="J92" s="13">
        <f t="shared" si="49"/>
        <v>0.28268564228674742</v>
      </c>
      <c r="K92" s="13">
        <f t="shared" si="50"/>
        <v>0.71731435771325258</v>
      </c>
      <c r="L92" s="13">
        <f t="shared" si="51"/>
        <v>0.50024512010885291</v>
      </c>
      <c r="M92" s="13">
        <f t="shared" si="52"/>
        <v>0.14141211307878218</v>
      </c>
      <c r="N92" s="13">
        <f t="shared" si="53"/>
        <v>7.0715299999999957</v>
      </c>
      <c r="O92" s="13">
        <v>12</v>
      </c>
      <c r="P92" s="85">
        <f t="shared" si="54"/>
        <v>6.002941441306235</v>
      </c>
      <c r="Q92" s="85"/>
      <c r="Z92" s="298">
        <v>-1</v>
      </c>
      <c r="AB92" s="13">
        <v>298.97779000000003</v>
      </c>
      <c r="AC92" s="2">
        <v>300.84854000000001</v>
      </c>
      <c r="AD92" s="2">
        <f t="shared" si="39"/>
        <v>1.8707499999999868</v>
      </c>
      <c r="AE92" s="2">
        <f t="shared" si="40"/>
        <v>13.206719999999962</v>
      </c>
      <c r="AF92" s="2">
        <f t="shared" si="41"/>
        <v>0.12407585622786801</v>
      </c>
      <c r="AG92" s="2">
        <f t="shared" si="42"/>
        <v>0.87592414377213201</v>
      </c>
      <c r="AH92" s="2">
        <f t="shared" si="43"/>
        <v>0.53454496859548684</v>
      </c>
      <c r="AI92" s="2">
        <f t="shared" si="44"/>
        <v>6.6324124670783857E-2</v>
      </c>
      <c r="AJ92" s="2">
        <f t="shared" si="45"/>
        <v>15.077469999999948</v>
      </c>
      <c r="AK92" s="2">
        <v>8</v>
      </c>
      <c r="AL92">
        <f t="shared" si="46"/>
        <v>4.2763597487638947</v>
      </c>
    </row>
    <row r="93" spans="3:38" x14ac:dyDescent="0.35">
      <c r="C93" s="85"/>
      <c r="D93" s="172">
        <v>0</v>
      </c>
      <c r="E93" s="85"/>
      <c r="F93" s="13">
        <v>204.33049</v>
      </c>
      <c r="G93" s="13">
        <v>207.35279</v>
      </c>
      <c r="H93" s="13">
        <f t="shared" si="48"/>
        <v>3.0223000000000013</v>
      </c>
      <c r="I93" s="13">
        <f t="shared" si="47"/>
        <v>8.3340399999999875</v>
      </c>
      <c r="J93" s="13">
        <f t="shared" si="49"/>
        <v>0.26613327885568805</v>
      </c>
      <c r="K93" s="13">
        <f t="shared" si="50"/>
        <v>0.73386672114431195</v>
      </c>
      <c r="L93" s="13">
        <f t="shared" si="51"/>
        <v>0.33087383780564456</v>
      </c>
      <c r="M93" s="13">
        <f t="shared" si="52"/>
        <v>8.8056539342781306E-2</v>
      </c>
      <c r="N93" s="13">
        <f t="shared" si="53"/>
        <v>11.356339999999989</v>
      </c>
      <c r="O93" s="13">
        <v>12</v>
      </c>
      <c r="P93" s="85">
        <f t="shared" si="54"/>
        <v>3.9704860536677349</v>
      </c>
      <c r="Q93" s="85"/>
      <c r="Z93" s="298">
        <v>-1</v>
      </c>
      <c r="AB93" s="13">
        <v>314.05525999999998</v>
      </c>
      <c r="AC93" s="2">
        <v>315.79471999999998</v>
      </c>
      <c r="AD93" s="2">
        <f t="shared" si="39"/>
        <v>1.7394600000000082</v>
      </c>
      <c r="AE93" s="2">
        <f t="shared" si="40"/>
        <v>14.060640000000035</v>
      </c>
      <c r="AF93" s="2">
        <f t="shared" si="41"/>
        <v>0.11009170828032756</v>
      </c>
      <c r="AG93" s="2">
        <f t="shared" si="42"/>
        <v>0.88990829171967245</v>
      </c>
      <c r="AH93" s="2">
        <f t="shared" si="43"/>
        <v>0.57489105814447894</v>
      </c>
      <c r="AI93" s="2">
        <f t="shared" si="44"/>
        <v>6.3290738666210794E-2</v>
      </c>
      <c r="AJ93" s="2">
        <f t="shared" si="45"/>
        <v>15.800100000000043</v>
      </c>
      <c r="AK93" s="2">
        <v>8</v>
      </c>
      <c r="AL93">
        <f t="shared" si="46"/>
        <v>4.5991284651558315</v>
      </c>
    </row>
    <row r="94" spans="3:38" x14ac:dyDescent="0.35">
      <c r="C94" s="85"/>
      <c r="D94" s="177">
        <v>5</v>
      </c>
      <c r="E94" s="157"/>
      <c r="F94" s="132">
        <v>215.68682999999999</v>
      </c>
      <c r="G94" s="132">
        <v>221.38328000000001</v>
      </c>
      <c r="H94" s="132">
        <f t="shared" si="48"/>
        <v>5.6964500000000271</v>
      </c>
      <c r="I94" s="132">
        <f t="shared" si="47"/>
        <v>1.0280799999999886</v>
      </c>
      <c r="J94" s="132">
        <f t="shared" si="49"/>
        <v>0.8471149656555943</v>
      </c>
      <c r="K94" s="132">
        <f t="shared" si="50"/>
        <v>0.15288503434440565</v>
      </c>
      <c r="L94" s="132">
        <f t="shared" si="51"/>
        <v>0.17554792897330709</v>
      </c>
      <c r="M94" s="132">
        <f t="shared" si="52"/>
        <v>0.14870927782313376</v>
      </c>
      <c r="N94" s="132">
        <f t="shared" si="53"/>
        <v>6.7245300000000157</v>
      </c>
      <c r="O94" s="132">
        <v>24</v>
      </c>
      <c r="P94" s="157">
        <f t="shared" si="54"/>
        <v>4.2131502953593705</v>
      </c>
      <c r="Q94" s="85"/>
      <c r="Z94" s="298">
        <v>-1</v>
      </c>
      <c r="AB94" s="13">
        <v>329.85536000000002</v>
      </c>
      <c r="AC94" s="2">
        <v>331.77273000000002</v>
      </c>
      <c r="AD94" s="2">
        <f t="shared" si="39"/>
        <v>1.9173700000000053</v>
      </c>
      <c r="AE94" s="2">
        <f t="shared" si="40"/>
        <v>14.934559999999976</v>
      </c>
      <c r="AF94" s="2">
        <f t="shared" si="41"/>
        <v>0.11377747237260109</v>
      </c>
      <c r="AG94" s="2">
        <f t="shared" si="42"/>
        <v>0.88622252762739895</v>
      </c>
      <c r="AH94" s="2">
        <f t="shared" si="43"/>
        <v>0.52154774508832269</v>
      </c>
      <c r="AI94" s="2">
        <f t="shared" si="44"/>
        <v>5.9340384157779022E-2</v>
      </c>
      <c r="AJ94" s="2">
        <f t="shared" si="45"/>
        <v>16.851929999999982</v>
      </c>
      <c r="AK94" s="2">
        <v>9</v>
      </c>
      <c r="AL94">
        <f t="shared" si="46"/>
        <v>4.6939297057949041</v>
      </c>
    </row>
    <row r="95" spans="3:38" x14ac:dyDescent="0.35">
      <c r="C95" s="85"/>
      <c r="D95" s="172">
        <v>0</v>
      </c>
      <c r="E95" s="85"/>
      <c r="F95" s="13">
        <v>222.41136</v>
      </c>
      <c r="G95" s="13">
        <v>224.43286999999998</v>
      </c>
      <c r="H95" s="13">
        <f t="shared" si="48"/>
        <v>2.0215099999999779</v>
      </c>
      <c r="I95" s="13">
        <f t="shared" si="47"/>
        <v>9.3026300000000219</v>
      </c>
      <c r="J95" s="13">
        <f t="shared" si="49"/>
        <v>0.17851333522898674</v>
      </c>
      <c r="K95" s="13">
        <f t="shared" si="50"/>
        <v>0.82148666477101329</v>
      </c>
      <c r="L95" s="13">
        <f t="shared" si="51"/>
        <v>0.4946797196155403</v>
      </c>
      <c r="M95" s="13">
        <f t="shared" si="52"/>
        <v>8.8306926618710119E-2</v>
      </c>
      <c r="N95" s="13">
        <f t="shared" si="53"/>
        <v>11.32414</v>
      </c>
      <c r="O95" s="13">
        <v>14</v>
      </c>
      <c r="P95" s="85">
        <f t="shared" si="54"/>
        <v>6.9255160746175646</v>
      </c>
      <c r="Q95" s="85"/>
      <c r="Z95" s="298">
        <v>-1</v>
      </c>
      <c r="AB95" s="13">
        <v>346.70729</v>
      </c>
      <c r="AC95" s="2">
        <v>348.26560000000001</v>
      </c>
      <c r="AD95" s="2">
        <f t="shared" si="39"/>
        <v>1.5583100000000059</v>
      </c>
      <c r="AE95" s="2">
        <f t="shared" si="40"/>
        <v>5.4025700000000256</v>
      </c>
      <c r="AF95" s="2">
        <f t="shared" si="41"/>
        <v>0.22386680994357019</v>
      </c>
      <c r="AG95" s="2">
        <f t="shared" si="42"/>
        <v>0.77613319005642978</v>
      </c>
      <c r="AH95" s="2">
        <f t="shared" si="43"/>
        <v>0.64172083860078943</v>
      </c>
      <c r="AI95" s="2">
        <f t="shared" si="44"/>
        <v>0.1436599970118714</v>
      </c>
      <c r="AJ95" s="2">
        <f t="shared" si="45"/>
        <v>6.9608800000000315</v>
      </c>
      <c r="AK95" s="2">
        <v>8</v>
      </c>
      <c r="AL95">
        <f t="shared" si="46"/>
        <v>5.1337667088063155</v>
      </c>
    </row>
    <row r="96" spans="3:38" x14ac:dyDescent="0.35">
      <c r="C96" s="85"/>
      <c r="D96" s="172">
        <v>0</v>
      </c>
      <c r="E96" s="85"/>
      <c r="F96" s="13">
        <v>233.7355</v>
      </c>
      <c r="G96" s="13">
        <v>238.32771</v>
      </c>
      <c r="H96" s="13">
        <f t="shared" si="48"/>
        <v>4.5922099999999944</v>
      </c>
      <c r="I96" s="13"/>
      <c r="J96" s="13"/>
      <c r="K96" s="13"/>
      <c r="L96" s="13"/>
      <c r="M96" s="13"/>
      <c r="N96" s="13"/>
      <c r="O96" s="13"/>
      <c r="P96" s="85"/>
      <c r="Q96" s="85"/>
      <c r="Z96" s="298">
        <v>-1</v>
      </c>
      <c r="AB96" s="13">
        <v>353.66817000000003</v>
      </c>
      <c r="AC96" s="2">
        <v>355.43950999999998</v>
      </c>
      <c r="AD96" s="2">
        <f t="shared" si="39"/>
        <v>1.7713399999999524</v>
      </c>
      <c r="AE96" s="2"/>
      <c r="AF96" s="2"/>
      <c r="AG96" s="2"/>
      <c r="AH96" s="2"/>
      <c r="AI96" s="2"/>
      <c r="AJ96" s="2"/>
      <c r="AK96" s="2"/>
    </row>
    <row r="97" spans="5:39" x14ac:dyDescent="0.35">
      <c r="F97" s="13"/>
      <c r="G97" s="13"/>
      <c r="H97" s="2"/>
      <c r="I97" s="2"/>
      <c r="J97" s="2"/>
      <c r="K97" s="2"/>
      <c r="L97" s="2"/>
      <c r="M97" s="2"/>
      <c r="N97" s="2"/>
      <c r="O97" s="2"/>
      <c r="Z97" s="298"/>
      <c r="AB97" s="13"/>
      <c r="AC97" s="2"/>
      <c r="AD97" s="2"/>
      <c r="AE97" s="2"/>
      <c r="AF97" s="2"/>
      <c r="AG97" s="2"/>
      <c r="AH97" s="2"/>
      <c r="AI97" s="2"/>
      <c r="AJ97" s="2"/>
      <c r="AK97" s="2"/>
    </row>
    <row r="98" spans="5:39" x14ac:dyDescent="0.35">
      <c r="F98" s="13"/>
      <c r="Z98" s="297"/>
      <c r="AB98" s="13"/>
      <c r="AC98" s="2"/>
      <c r="AD98" s="2"/>
      <c r="AE98" s="2"/>
      <c r="AF98" s="2"/>
      <c r="AG98" s="2"/>
      <c r="AH98" s="2"/>
      <c r="AI98" s="2"/>
      <c r="AJ98" s="2"/>
      <c r="AK98" s="2"/>
    </row>
    <row r="99" spans="5:39" ht="16" thickBot="1" x14ac:dyDescent="0.4">
      <c r="F99" s="13"/>
      <c r="G99" s="13"/>
      <c r="H99" s="9" t="s">
        <v>3</v>
      </c>
      <c r="I99" s="9" t="s">
        <v>4</v>
      </c>
      <c r="J99" s="9" t="s">
        <v>5</v>
      </c>
      <c r="K99" s="9" t="s">
        <v>6</v>
      </c>
      <c r="L99" s="9" t="s">
        <v>7</v>
      </c>
      <c r="M99" s="9" t="s">
        <v>8</v>
      </c>
      <c r="N99" s="9" t="s">
        <v>9</v>
      </c>
      <c r="O99" s="9" t="s">
        <v>10</v>
      </c>
      <c r="P99" s="44" t="s">
        <v>139</v>
      </c>
      <c r="Z99" s="297"/>
      <c r="AA99" s="104" t="s">
        <v>470</v>
      </c>
      <c r="AB99" s="13"/>
      <c r="AC99" s="13"/>
      <c r="AD99" s="9" t="s">
        <v>3</v>
      </c>
      <c r="AE99" s="9" t="s">
        <v>4</v>
      </c>
      <c r="AF99" s="9" t="s">
        <v>5</v>
      </c>
      <c r="AG99" s="9" t="s">
        <v>6</v>
      </c>
      <c r="AH99" s="9" t="s">
        <v>7</v>
      </c>
      <c r="AI99" s="9" t="s">
        <v>8</v>
      </c>
      <c r="AJ99" s="9" t="s">
        <v>9</v>
      </c>
      <c r="AK99" s="9" t="s">
        <v>10</v>
      </c>
      <c r="AL99" s="44" t="s">
        <v>139</v>
      </c>
    </row>
    <row r="100" spans="5:39" x14ac:dyDescent="0.35">
      <c r="E100" s="104" t="s">
        <v>779</v>
      </c>
      <c r="F100" s="13"/>
      <c r="G100" s="49" t="s">
        <v>77</v>
      </c>
      <c r="H100" s="13">
        <f>AVERAGE(H65,H69,H72,H74,H76,H78,H81,H83,H85,H87,H89,H91,H94)</f>
        <v>3.3540615384615369</v>
      </c>
      <c r="I100" s="13">
        <f t="shared" ref="I100:P100" si="55">AVERAGE(I65,I69,I72,I74,I76,I78,I81,I83,I85,I87,I89,I91,I94)</f>
        <v>2.711368461538461</v>
      </c>
      <c r="J100" s="13">
        <f t="shared" si="55"/>
        <v>0.56881260494066099</v>
      </c>
      <c r="K100" s="13">
        <f t="shared" si="55"/>
        <v>0.43118739505933917</v>
      </c>
      <c r="L100" s="13">
        <f t="shared" si="55"/>
        <v>0.3365235499989328</v>
      </c>
      <c r="M100" s="13">
        <f t="shared" si="55"/>
        <v>0.1695681294868171</v>
      </c>
      <c r="N100" s="13">
        <f t="shared" si="55"/>
        <v>6.0654299999999983</v>
      </c>
      <c r="O100" s="13">
        <f t="shared" si="55"/>
        <v>15.153846153846153</v>
      </c>
      <c r="P100" s="13">
        <f t="shared" si="55"/>
        <v>4.547404638961571</v>
      </c>
      <c r="Z100" s="297"/>
      <c r="AB100" s="13"/>
      <c r="AC100" s="49" t="s">
        <v>77</v>
      </c>
      <c r="AD100" s="13">
        <f>AVERAGE(AD63:AD75,AD88:AD95)</f>
        <v>1.4475647619047609</v>
      </c>
      <c r="AE100" s="13">
        <f t="shared" ref="AE100:AL100" si="56">AVERAGE(AE63:AE75,AE88:AE95)</f>
        <v>8.9993171428571461</v>
      </c>
      <c r="AF100" s="13">
        <f t="shared" si="56"/>
        <v>0.17330272558630036</v>
      </c>
      <c r="AG100" s="13">
        <f t="shared" si="56"/>
        <v>0.82669727441369967</v>
      </c>
      <c r="AH100" s="13">
        <f t="shared" si="56"/>
        <v>0.85921195612106616</v>
      </c>
      <c r="AI100" s="13">
        <f t="shared" si="56"/>
        <v>0.12372050952674667</v>
      </c>
      <c r="AJ100" s="13">
        <f t="shared" si="56"/>
        <v>10.446881904761906</v>
      </c>
      <c r="AK100" s="13">
        <f t="shared" si="56"/>
        <v>6.5714285714285712</v>
      </c>
      <c r="AL100" s="13">
        <f t="shared" si="56"/>
        <v>5.0690578417437298</v>
      </c>
    </row>
    <row r="101" spans="5:39" x14ac:dyDescent="0.35">
      <c r="E101" s="104"/>
      <c r="F101" s="13"/>
      <c r="G101" s="49" t="s">
        <v>94</v>
      </c>
      <c r="H101" s="2">
        <f>_xlfn.STDEV.S(H65,H69,H72,H74,H76,H78,H81,H83,H85,H87,H89,H91,H94)</f>
        <v>1.1921385703141991</v>
      </c>
      <c r="I101" s="2">
        <f t="shared" ref="I101:P101" si="57">_xlfn.STDEV.S(I65,I69,I72,I74,I76,I78,I81,I83,I85,I87,I89,I91,I94)</f>
        <v>1.8210821138856157</v>
      </c>
      <c r="J101" s="2">
        <f t="shared" si="57"/>
        <v>0.18927811614483667</v>
      </c>
      <c r="K101" s="2">
        <f t="shared" si="57"/>
        <v>0.18927811614483658</v>
      </c>
      <c r="L101" s="2">
        <f t="shared" si="57"/>
        <v>0.12986778046759484</v>
      </c>
      <c r="M101" s="2">
        <f t="shared" si="57"/>
        <v>2.5601806720870077E-2</v>
      </c>
      <c r="N101" s="2">
        <f t="shared" si="57"/>
        <v>1.2274031105685486</v>
      </c>
      <c r="O101" s="2">
        <f t="shared" si="57"/>
        <v>5.1936845278048001</v>
      </c>
      <c r="P101" s="2">
        <f t="shared" si="57"/>
        <v>0.45355518327745975</v>
      </c>
      <c r="Z101" s="297"/>
      <c r="AA101" s="104"/>
      <c r="AB101" s="13"/>
      <c r="AC101" s="49" t="s">
        <v>94</v>
      </c>
      <c r="AD101" s="2">
        <f>_xlfn.STDEV.S(AD63:AD75,AD88:AD95)</f>
        <v>0.50175567054711745</v>
      </c>
      <c r="AE101" s="2">
        <f t="shared" ref="AE101:AL101" si="58">_xlfn.STDEV.S(AE63:AE75,AE88:AE95)</f>
        <v>5.6922445462937938</v>
      </c>
      <c r="AF101" s="2">
        <f t="shared" si="58"/>
        <v>9.0704272292934887E-2</v>
      </c>
      <c r="AG101" s="2">
        <f t="shared" si="58"/>
        <v>9.0704272292933971E-2</v>
      </c>
      <c r="AH101" s="2">
        <f t="shared" si="58"/>
        <v>0.53907940460195025</v>
      </c>
      <c r="AI101" s="2">
        <f t="shared" si="58"/>
        <v>5.7073881350696139E-2</v>
      </c>
      <c r="AJ101" s="2">
        <f t="shared" si="58"/>
        <v>5.6922619599300104</v>
      </c>
      <c r="AK101" s="2">
        <f t="shared" si="58"/>
        <v>1.5675276256394512</v>
      </c>
      <c r="AL101" s="2">
        <f t="shared" si="58"/>
        <v>1.7926822188919347</v>
      </c>
    </row>
    <row r="102" spans="5:39" x14ac:dyDescent="0.35">
      <c r="E102" s="104"/>
      <c r="F102" s="13"/>
      <c r="G102" s="49" t="s">
        <v>95</v>
      </c>
      <c r="H102" s="2">
        <f>H101/(SQRT(COUNT(H65,H69,H72,H74,H76,H78,H81,H83,H85,H87,H89,H91,H94)))</f>
        <v>0.33063974944047519</v>
      </c>
      <c r="I102" s="2">
        <f t="shared" ref="I102:P102" si="59">I101/(SQRT(COUNT(I65,I69,I72,I74,I76,I78,I81,I83,I85,I87,I89,I91,I94)))</f>
        <v>0.50507730295730302</v>
      </c>
      <c r="J102" s="2">
        <f t="shared" si="59"/>
        <v>5.2496304083341307E-2</v>
      </c>
      <c r="K102" s="2">
        <f t="shared" si="59"/>
        <v>5.2496304083341286E-2</v>
      </c>
      <c r="L102" s="2">
        <f t="shared" si="59"/>
        <v>3.601884165435492E-2</v>
      </c>
      <c r="M102" s="2">
        <f t="shared" si="59"/>
        <v>7.1006636058935108E-3</v>
      </c>
      <c r="N102" s="2">
        <f t="shared" si="59"/>
        <v>0.34042037313991524</v>
      </c>
      <c r="O102" s="2">
        <f t="shared" si="59"/>
        <v>1.4404689133526296</v>
      </c>
      <c r="P102" s="2">
        <f t="shared" si="59"/>
        <v>0.12579357458148835</v>
      </c>
      <c r="Z102" s="297"/>
      <c r="AA102" s="104"/>
      <c r="AB102" s="13"/>
      <c r="AC102" s="49" t="s">
        <v>95</v>
      </c>
      <c r="AD102" s="2">
        <f>AD101/(SQRT(COUNT(AD63:AD75,AD88:AD95)))</f>
        <v>0.10949206384073763</v>
      </c>
      <c r="AE102" s="2">
        <f t="shared" ref="AE102:AL102" si="60">AE101/(SQRT(COUNT(AE63:AE75,AE88:AE95)))</f>
        <v>1.2421495955995654</v>
      </c>
      <c r="AF102" s="2">
        <f t="shared" si="60"/>
        <v>1.9793294935155231E-2</v>
      </c>
      <c r="AG102" s="2">
        <f t="shared" si="60"/>
        <v>1.9793294935155033E-2</v>
      </c>
      <c r="AH102" s="2">
        <f t="shared" si="60"/>
        <v>0.11763677034191251</v>
      </c>
      <c r="AI102" s="2">
        <f t="shared" si="60"/>
        <v>1.2454541975928263E-2</v>
      </c>
      <c r="AJ102" s="2">
        <f t="shared" si="60"/>
        <v>1.2421533955665218</v>
      </c>
      <c r="AK102" s="2">
        <f t="shared" si="60"/>
        <v>0.34206257135367552</v>
      </c>
      <c r="AL102" s="2">
        <f t="shared" si="60"/>
        <v>0.39119533167017551</v>
      </c>
    </row>
    <row r="103" spans="5:39" x14ac:dyDescent="0.35">
      <c r="E103" s="104"/>
      <c r="Z103" s="297"/>
      <c r="AA103" s="104"/>
    </row>
    <row r="104" spans="5:39" x14ac:dyDescent="0.35">
      <c r="E104" s="104"/>
      <c r="Z104" s="297"/>
    </row>
    <row r="105" spans="5:39" ht="16" thickBot="1" x14ac:dyDescent="0.4">
      <c r="E105" s="104"/>
      <c r="G105" s="13"/>
      <c r="H105" s="9" t="s">
        <v>3</v>
      </c>
      <c r="I105" s="9" t="s">
        <v>4</v>
      </c>
      <c r="J105" s="9" t="s">
        <v>5</v>
      </c>
      <c r="K105" s="9" t="s">
        <v>6</v>
      </c>
      <c r="L105" s="9" t="s">
        <v>7</v>
      </c>
      <c r="M105" s="9" t="s">
        <v>8</v>
      </c>
      <c r="N105" s="9" t="s">
        <v>9</v>
      </c>
      <c r="O105" s="9" t="s">
        <v>10</v>
      </c>
      <c r="P105" s="44" t="s">
        <v>139</v>
      </c>
      <c r="V105" s="2"/>
      <c r="Z105" s="297"/>
    </row>
    <row r="106" spans="5:39" ht="16" thickBot="1" x14ac:dyDescent="0.4">
      <c r="E106" s="104" t="s">
        <v>410</v>
      </c>
      <c r="G106" s="49" t="s">
        <v>77</v>
      </c>
      <c r="H106" s="13">
        <f>AVERAGE(H66:H68,H70:H71,H73,H75,H77,H79:H80,H82,H84,H86,H88,H90,H92:H93,H95)</f>
        <v>2.7152699999999976</v>
      </c>
      <c r="I106" s="13">
        <f t="shared" ref="I106:P106" si="61">AVERAGE(I66:I68,I70:I71,I73,I75,I77,I79:I80,I82,I84,I86,I88,I90,I92:I93,I95)</f>
        <v>5.8822844444444478</v>
      </c>
      <c r="J106" s="13">
        <f t="shared" si="61"/>
        <v>0.31901817990902798</v>
      </c>
      <c r="K106" s="13">
        <f t="shared" si="61"/>
        <v>0.68098182009097208</v>
      </c>
      <c r="L106" s="13">
        <f t="shared" si="61"/>
        <v>0.40896787579551119</v>
      </c>
      <c r="M106" s="13">
        <f t="shared" si="61"/>
        <v>0.12200603655294784</v>
      </c>
      <c r="N106" s="13">
        <f t="shared" si="61"/>
        <v>8.5975544444444463</v>
      </c>
      <c r="O106" s="13">
        <f t="shared" si="61"/>
        <v>14.333333333333334</v>
      </c>
      <c r="P106" s="13">
        <f t="shared" si="61"/>
        <v>5.5310508260017528</v>
      </c>
      <c r="V106" s="2"/>
      <c r="Z106" s="297"/>
      <c r="AA106" s="104" t="s">
        <v>783</v>
      </c>
      <c r="AB106" s="13"/>
      <c r="AC106" s="13"/>
      <c r="AD106" s="9" t="s">
        <v>3</v>
      </c>
      <c r="AE106" s="9" t="s">
        <v>4</v>
      </c>
      <c r="AF106" s="9" t="s">
        <v>5</v>
      </c>
      <c r="AG106" s="9" t="s">
        <v>6</v>
      </c>
      <c r="AH106" s="9" t="s">
        <v>7</v>
      </c>
      <c r="AI106" s="9" t="s">
        <v>8</v>
      </c>
      <c r="AJ106" s="9" t="s">
        <v>9</v>
      </c>
      <c r="AK106" s="9" t="s">
        <v>10</v>
      </c>
      <c r="AL106" s="44" t="s">
        <v>139</v>
      </c>
    </row>
    <row r="107" spans="5:39" x14ac:dyDescent="0.35">
      <c r="G107" s="49" t="s">
        <v>94</v>
      </c>
      <c r="H107" s="2">
        <f>_xlfn.STDEV.S(H66:H68,H70:H71,H73,H75,H77,H79:H80,H82,H84,H86,H88,H90,H92:H93,H95)</f>
        <v>0.90651767178518072</v>
      </c>
      <c r="I107" s="2">
        <f t="shared" ref="I107:P107" si="62">_xlfn.STDEV.S(I66:I68,I70:I71,I73,I75,I77,I79:I80,I82,I84,I86,I88,I90,I92:I93,I95)</f>
        <v>1.7893841892319253</v>
      </c>
      <c r="J107" s="2">
        <f t="shared" si="62"/>
        <v>9.0858116330062022E-2</v>
      </c>
      <c r="K107" s="2">
        <f t="shared" si="62"/>
        <v>9.0858116330061078E-2</v>
      </c>
      <c r="L107" s="2">
        <f t="shared" si="62"/>
        <v>0.13580348431151806</v>
      </c>
      <c r="M107" s="2">
        <f t="shared" si="62"/>
        <v>2.4574262923452814E-2</v>
      </c>
      <c r="N107" s="2">
        <f t="shared" si="62"/>
        <v>2.1452927237427959</v>
      </c>
      <c r="O107" s="2">
        <f t="shared" si="62"/>
        <v>3.3431228796194872</v>
      </c>
      <c r="P107" s="2">
        <f t="shared" si="62"/>
        <v>1.1176488326674188</v>
      </c>
      <c r="V107" s="2"/>
      <c r="Z107" s="297"/>
      <c r="AB107" s="13"/>
      <c r="AC107" s="49" t="s">
        <v>77</v>
      </c>
      <c r="AD107" s="13">
        <f>AVERAGE(AD76:AD87)</f>
        <v>0.98064333333332598</v>
      </c>
      <c r="AE107" s="13">
        <f t="shared" ref="AE107:AL107" si="63">AVERAGE(AE76:AE87)</f>
        <v>9.5766658333333403</v>
      </c>
      <c r="AF107" s="13">
        <f t="shared" si="63"/>
        <v>0.12273169670179727</v>
      </c>
      <c r="AG107" s="13">
        <f t="shared" si="63"/>
        <v>0.8772683032982026</v>
      </c>
      <c r="AH107" s="13">
        <f t="shared" si="63"/>
        <v>1.1770529947351034</v>
      </c>
      <c r="AI107" s="13">
        <f t="shared" si="63"/>
        <v>0.11662883633332509</v>
      </c>
      <c r="AJ107" s="13">
        <f t="shared" si="63"/>
        <v>10.557309166666666</v>
      </c>
      <c r="AK107" s="13">
        <f t="shared" si="63"/>
        <v>5.166666666666667</v>
      </c>
      <c r="AL107" s="13">
        <f t="shared" si="63"/>
        <v>5.868571015427456</v>
      </c>
    </row>
    <row r="108" spans="5:39" x14ac:dyDescent="0.35">
      <c r="G108" s="49" t="s">
        <v>95</v>
      </c>
      <c r="H108" s="2">
        <f>H107/(SQRT(COUNT(H66:H68,H70:H71,H73,H75,H77,H79:H80,H82,H84,H86,H88,H90,H92:H93,H95)))</f>
        <v>0.21366826432824745</v>
      </c>
      <c r="I108" s="2">
        <f t="shared" ref="I108:P108" si="64">I107/(SQRT(COUNT(I66:I68,I70:I71,I73,I75,I77,I79:I80,I82,I84,I86,I88,I90,I92:I93,I95)))</f>
        <v>0.42176189811796228</v>
      </c>
      <c r="J108" s="2">
        <f t="shared" si="64"/>
        <v>2.1415463394274352E-2</v>
      </c>
      <c r="K108" s="2">
        <f t="shared" si="64"/>
        <v>2.141546339427413E-2</v>
      </c>
      <c r="L108" s="2">
        <f t="shared" si="64"/>
        <v>3.2009188221811785E-2</v>
      </c>
      <c r="M108" s="2">
        <f t="shared" si="64"/>
        <v>5.7922093186115464E-3</v>
      </c>
      <c r="N108" s="2">
        <f t="shared" si="64"/>
        <v>0.50565034419623001</v>
      </c>
      <c r="O108" s="2">
        <f t="shared" si="64"/>
        <v>0.78798161950627921</v>
      </c>
      <c r="P108" s="2">
        <f t="shared" si="64"/>
        <v>0.26343235618812028</v>
      </c>
      <c r="V108" s="2"/>
      <c r="Z108" s="297"/>
      <c r="AA108" s="104"/>
      <c r="AB108" s="13"/>
      <c r="AC108" s="49" t="s">
        <v>94</v>
      </c>
      <c r="AD108" s="2">
        <f>_xlfn.STDEV.S(AD76:AD87)</f>
        <v>0.43232838210057029</v>
      </c>
      <c r="AE108" s="2">
        <f t="shared" ref="AE108:AL108" si="65">_xlfn.STDEV.S(AE76:AE87)</f>
        <v>5.4610774924508965</v>
      </c>
      <c r="AF108" s="2">
        <f t="shared" si="65"/>
        <v>8.6862469375324339E-2</v>
      </c>
      <c r="AG108" s="2">
        <f t="shared" si="65"/>
        <v>8.6862469375324353E-2</v>
      </c>
      <c r="AH108" s="2">
        <f t="shared" si="65"/>
        <v>0.41451148069688393</v>
      </c>
      <c r="AI108" s="2">
        <f t="shared" si="65"/>
        <v>4.8969847700509633E-2</v>
      </c>
      <c r="AJ108" s="2">
        <f t="shared" si="65"/>
        <v>5.2446738103015411</v>
      </c>
      <c r="AK108" s="2">
        <f t="shared" si="65"/>
        <v>0.57735026918962729</v>
      </c>
      <c r="AL108" s="2">
        <f t="shared" si="65"/>
        <v>1.5202980980491256</v>
      </c>
    </row>
    <row r="109" spans="5:39" x14ac:dyDescent="0.35">
      <c r="V109" s="2"/>
      <c r="Z109" s="297"/>
      <c r="AA109" s="104"/>
      <c r="AB109" s="13"/>
      <c r="AC109" s="49" t="s">
        <v>95</v>
      </c>
      <c r="AD109" s="2">
        <f>AD108/(SQRT(COUNT(AD76:AD87)))</f>
        <v>0.12480245389203982</v>
      </c>
      <c r="AE109" s="2">
        <f t="shared" ref="AE109:AL109" si="66">AE108/(SQRT(COUNT(AE76:AE87)))</f>
        <v>1.5764772801659659</v>
      </c>
      <c r="AF109" s="2">
        <f t="shared" si="66"/>
        <v>2.5075035038159568E-2</v>
      </c>
      <c r="AG109" s="2">
        <f t="shared" si="66"/>
        <v>2.5075035038159572E-2</v>
      </c>
      <c r="AH109" s="2">
        <f t="shared" si="66"/>
        <v>0.11965915748126815</v>
      </c>
      <c r="AI109" s="2">
        <f t="shared" si="66"/>
        <v>1.4136377376032107E-2</v>
      </c>
      <c r="AJ109" s="2">
        <f t="shared" si="66"/>
        <v>1.5140069180946876</v>
      </c>
      <c r="AK109" s="2">
        <f t="shared" si="66"/>
        <v>0.1666666666666671</v>
      </c>
      <c r="AL109" s="2">
        <f t="shared" si="66"/>
        <v>0.43887225807856939</v>
      </c>
    </row>
    <row r="110" spans="5:39" x14ac:dyDescent="0.35">
      <c r="V110" s="2"/>
      <c r="Z110" s="297"/>
      <c r="AB110" s="13"/>
      <c r="AC110" s="2"/>
      <c r="AD110" s="2"/>
      <c r="AE110" s="2"/>
      <c r="AF110" s="2"/>
      <c r="AG110" s="2"/>
      <c r="AH110" s="2"/>
      <c r="AI110" s="2"/>
      <c r="AJ110" s="2"/>
      <c r="AK110" s="2"/>
    </row>
    <row r="111" spans="5:39" x14ac:dyDescent="0.35">
      <c r="V111" s="2"/>
      <c r="AB111" s="13"/>
      <c r="AD111" s="2"/>
      <c r="AE111" s="2"/>
      <c r="AF111" s="2"/>
      <c r="AG111" s="2"/>
      <c r="AH111" s="2"/>
      <c r="AI111" s="2"/>
      <c r="AJ111" s="2"/>
      <c r="AK111" s="2"/>
    </row>
    <row r="112" spans="5:39" x14ac:dyDescent="0.35">
      <c r="V112" s="2"/>
      <c r="Y112" s="2"/>
      <c r="Z112" s="2"/>
      <c r="AA112" s="2"/>
      <c r="AB112" s="2"/>
      <c r="AC112" s="2"/>
      <c r="AD112" s="2"/>
      <c r="AE112" s="2"/>
      <c r="AF112" s="2"/>
      <c r="AG112" s="2"/>
      <c r="AH112" s="2"/>
      <c r="AI112" s="2"/>
      <c r="AJ112" s="2"/>
      <c r="AK112" s="2"/>
      <c r="AL112" s="2"/>
      <c r="AM112" s="2"/>
    </row>
    <row r="113" spans="3:39" ht="18.5" x14ac:dyDescent="0.45">
      <c r="D113" s="2"/>
      <c r="E113" s="2"/>
      <c r="F113" s="1"/>
      <c r="G113" s="3"/>
      <c r="H113" s="3"/>
      <c r="I113" s="3"/>
      <c r="J113" s="3"/>
      <c r="K113" s="3"/>
      <c r="L113" s="3"/>
      <c r="M113" s="3"/>
      <c r="N113" s="3"/>
      <c r="O113" s="3"/>
      <c r="P113" s="2"/>
      <c r="Q113" s="2"/>
      <c r="R113" s="2"/>
      <c r="S113" s="2"/>
      <c r="V113" s="2"/>
      <c r="Y113" s="2"/>
      <c r="Z113" s="2"/>
      <c r="AA113" s="3"/>
      <c r="AB113" s="2"/>
      <c r="AC113" s="13"/>
      <c r="AD113" s="5"/>
      <c r="AE113" s="5"/>
      <c r="AF113" s="5"/>
      <c r="AG113" s="5"/>
      <c r="AH113" s="5"/>
      <c r="AI113" s="5"/>
      <c r="AJ113" s="5"/>
      <c r="AK113" s="5"/>
      <c r="AL113" s="14"/>
      <c r="AM113" s="2"/>
    </row>
    <row r="114" spans="3:39" ht="15.5" x14ac:dyDescent="0.35">
      <c r="D114" s="199"/>
      <c r="E114" s="2"/>
      <c r="F114" s="5"/>
      <c r="G114" s="5"/>
      <c r="H114" s="5"/>
      <c r="I114" s="5"/>
      <c r="J114" s="5"/>
      <c r="K114" s="5"/>
      <c r="L114" s="5"/>
      <c r="M114" s="5"/>
      <c r="N114" s="5"/>
      <c r="O114" s="5"/>
      <c r="P114" s="14"/>
      <c r="Q114" s="2"/>
      <c r="R114" s="14"/>
      <c r="S114" s="2"/>
      <c r="V114" s="2"/>
      <c r="Y114" s="2"/>
      <c r="Z114" s="2"/>
      <c r="AA114" s="2"/>
      <c r="AB114" s="2"/>
      <c r="AC114" s="49"/>
      <c r="AD114" s="13"/>
      <c r="AE114" s="13"/>
      <c r="AF114" s="13"/>
      <c r="AG114" s="13"/>
      <c r="AH114" s="13"/>
      <c r="AI114" s="13"/>
      <c r="AJ114" s="13"/>
      <c r="AK114" s="13"/>
      <c r="AL114" s="13"/>
      <c r="AM114" s="2"/>
    </row>
    <row r="115" spans="3:39" x14ac:dyDescent="0.35">
      <c r="D115" s="296"/>
      <c r="E115" s="2"/>
      <c r="F115" s="2"/>
      <c r="G115" s="2"/>
      <c r="H115" s="2"/>
      <c r="I115" s="2"/>
      <c r="J115" s="2"/>
      <c r="K115" s="2"/>
      <c r="L115" s="2"/>
      <c r="M115" s="2"/>
      <c r="N115" s="2"/>
      <c r="O115" s="2"/>
      <c r="P115" s="2"/>
      <c r="Q115" s="2"/>
      <c r="R115" s="2"/>
      <c r="S115" s="2"/>
      <c r="V115" s="2"/>
      <c r="Y115" s="2"/>
      <c r="Z115" s="2"/>
      <c r="AA115" s="2"/>
      <c r="AB115" s="2"/>
      <c r="AC115" s="49"/>
      <c r="AD115" s="2"/>
      <c r="AE115" s="2"/>
      <c r="AF115" s="2"/>
      <c r="AG115" s="2"/>
      <c r="AH115" s="2"/>
      <c r="AI115" s="2"/>
      <c r="AJ115" s="2"/>
      <c r="AK115" s="2"/>
      <c r="AL115" s="2"/>
      <c r="AM115" s="2"/>
    </row>
    <row r="116" spans="3:39" x14ac:dyDescent="0.35">
      <c r="D116" s="296"/>
      <c r="E116" s="2"/>
      <c r="F116" s="2"/>
      <c r="G116" s="2"/>
      <c r="H116" s="2"/>
      <c r="I116" s="2"/>
      <c r="J116" s="2"/>
      <c r="K116" s="2"/>
      <c r="L116" s="2"/>
      <c r="M116" s="2"/>
      <c r="N116" s="2"/>
      <c r="O116" s="2"/>
      <c r="P116" s="2"/>
      <c r="Q116" s="2"/>
      <c r="R116" s="2"/>
      <c r="S116" s="2"/>
      <c r="V116" s="2"/>
      <c r="Y116" s="2"/>
      <c r="Z116" s="2"/>
      <c r="AA116" s="2"/>
      <c r="AB116" s="2"/>
      <c r="AC116" s="49"/>
      <c r="AD116" s="2"/>
      <c r="AE116" s="2"/>
      <c r="AF116" s="2"/>
      <c r="AG116" s="2"/>
      <c r="AH116" s="2"/>
      <c r="AI116" s="2"/>
      <c r="AJ116" s="2"/>
      <c r="AK116" s="2"/>
      <c r="AL116" s="2"/>
      <c r="AM116" s="2"/>
    </row>
    <row r="117" spans="3:39" x14ac:dyDescent="0.35">
      <c r="D117" s="296"/>
      <c r="E117" s="2"/>
      <c r="F117" s="13"/>
      <c r="G117" s="2"/>
      <c r="H117" s="2"/>
      <c r="I117" s="2"/>
      <c r="J117" s="2"/>
      <c r="K117" s="2"/>
      <c r="L117" s="2"/>
      <c r="M117" s="2"/>
      <c r="N117" s="2"/>
      <c r="O117" s="2"/>
      <c r="P117" s="2"/>
      <c r="Q117" s="2"/>
      <c r="R117" s="2"/>
      <c r="S117" s="2"/>
      <c r="V117" s="2"/>
      <c r="Y117" s="2"/>
      <c r="Z117" s="2"/>
      <c r="AA117" s="2"/>
      <c r="AB117" s="2"/>
      <c r="AC117" s="2"/>
      <c r="AD117" s="2"/>
      <c r="AE117" s="2"/>
      <c r="AF117" s="2"/>
      <c r="AG117" s="2"/>
      <c r="AH117" s="2"/>
      <c r="AI117" s="2"/>
      <c r="AJ117" s="2"/>
      <c r="AK117" s="2"/>
      <c r="AL117" s="2"/>
      <c r="AM117" s="2"/>
    </row>
    <row r="118" spans="3:39" x14ac:dyDescent="0.35">
      <c r="D118" s="296"/>
      <c r="E118" s="2"/>
      <c r="F118" s="13"/>
      <c r="G118" s="2"/>
      <c r="H118" s="2"/>
      <c r="I118" s="2"/>
      <c r="J118" s="2"/>
      <c r="K118" s="2"/>
      <c r="L118" s="2"/>
      <c r="M118" s="2"/>
      <c r="N118" s="2"/>
      <c r="O118" s="2"/>
      <c r="P118" s="2"/>
      <c r="Q118" s="2"/>
      <c r="R118" s="2"/>
      <c r="S118" s="2"/>
      <c r="V118" s="2"/>
      <c r="Y118" s="2"/>
      <c r="Z118" s="2"/>
      <c r="AA118" s="2"/>
      <c r="AB118" s="2"/>
      <c r="AC118" s="2"/>
      <c r="AD118" s="2"/>
      <c r="AE118" s="2"/>
      <c r="AF118" s="2"/>
      <c r="AG118" s="2"/>
      <c r="AH118" s="2"/>
      <c r="AI118" s="2"/>
      <c r="AJ118" s="2"/>
      <c r="AK118" s="2"/>
      <c r="AL118" s="2"/>
      <c r="AM118" s="2"/>
    </row>
    <row r="119" spans="3:39" x14ac:dyDescent="0.35">
      <c r="D119" s="296"/>
      <c r="E119" s="2"/>
      <c r="F119" s="13"/>
      <c r="G119" s="2"/>
      <c r="H119" s="2"/>
      <c r="I119" s="2"/>
      <c r="J119" s="2"/>
      <c r="K119" s="2"/>
      <c r="L119" s="2"/>
      <c r="M119" s="2"/>
      <c r="N119" s="2"/>
      <c r="O119" s="2"/>
      <c r="P119" s="2"/>
      <c r="Q119" s="2"/>
      <c r="R119" s="2"/>
      <c r="S119" s="2"/>
      <c r="V119" s="2"/>
      <c r="Y119" s="2"/>
      <c r="Z119" s="2"/>
      <c r="AA119" s="2"/>
      <c r="AB119" s="2"/>
      <c r="AC119" s="2"/>
      <c r="AD119" s="2"/>
      <c r="AE119" s="2"/>
      <c r="AF119" s="2"/>
      <c r="AG119" s="2"/>
      <c r="AH119" s="2"/>
      <c r="AI119" s="2"/>
      <c r="AJ119" s="2"/>
      <c r="AK119" s="2"/>
      <c r="AL119" s="2"/>
      <c r="AM119" s="2"/>
    </row>
    <row r="120" spans="3:39" ht="15.5" x14ac:dyDescent="0.35">
      <c r="D120" s="296"/>
      <c r="E120" s="2"/>
      <c r="F120" s="13"/>
      <c r="G120" s="2"/>
      <c r="H120" s="2"/>
      <c r="I120" s="2"/>
      <c r="J120" s="2"/>
      <c r="K120" s="2"/>
      <c r="L120" s="2"/>
      <c r="M120" s="2"/>
      <c r="N120" s="2"/>
      <c r="O120" s="2"/>
      <c r="P120" s="2"/>
      <c r="Q120" s="2"/>
      <c r="R120" s="2"/>
      <c r="S120" s="2"/>
      <c r="V120" s="2"/>
      <c r="Y120" s="2"/>
      <c r="Z120" s="2"/>
      <c r="AA120" s="3"/>
      <c r="AB120" s="2"/>
      <c r="AC120" s="13"/>
      <c r="AD120" s="5"/>
      <c r="AE120" s="5"/>
      <c r="AF120" s="5"/>
      <c r="AG120" s="5"/>
      <c r="AH120" s="5"/>
      <c r="AI120" s="5"/>
      <c r="AJ120" s="5"/>
      <c r="AK120" s="5"/>
      <c r="AL120" s="14"/>
      <c r="AM120" s="2"/>
    </row>
    <row r="121" spans="3:39" x14ac:dyDescent="0.35">
      <c r="C121" s="2"/>
      <c r="D121" s="296"/>
      <c r="E121" s="2"/>
      <c r="F121" s="13"/>
      <c r="G121" s="2"/>
      <c r="H121" s="2"/>
      <c r="I121" s="2"/>
      <c r="J121" s="2"/>
      <c r="K121" s="2"/>
      <c r="L121" s="2"/>
      <c r="M121" s="2"/>
      <c r="N121" s="2"/>
      <c r="O121" s="2"/>
      <c r="P121" s="2"/>
      <c r="Q121" s="2"/>
      <c r="R121" s="2"/>
      <c r="S121" s="2"/>
      <c r="V121" s="2"/>
      <c r="Y121" s="2"/>
      <c r="Z121" s="2"/>
      <c r="AA121" s="2"/>
      <c r="AB121" s="2"/>
      <c r="AC121" s="49"/>
      <c r="AD121" s="13"/>
      <c r="AE121" s="13"/>
      <c r="AF121" s="13"/>
      <c r="AG121" s="13"/>
      <c r="AH121" s="13"/>
      <c r="AI121" s="13"/>
      <c r="AJ121" s="13"/>
      <c r="AK121" s="13"/>
      <c r="AL121" s="13"/>
      <c r="AM121" s="2"/>
    </row>
    <row r="122" spans="3:39" x14ac:dyDescent="0.35">
      <c r="C122" s="2"/>
      <c r="D122" s="296"/>
      <c r="E122" s="2"/>
      <c r="F122" s="13"/>
      <c r="G122" s="2"/>
      <c r="H122" s="2"/>
      <c r="I122" s="2"/>
      <c r="J122" s="2"/>
      <c r="K122" s="2"/>
      <c r="L122" s="2"/>
      <c r="M122" s="2"/>
      <c r="N122" s="2"/>
      <c r="O122" s="2"/>
      <c r="P122" s="2"/>
      <c r="Q122" s="2"/>
      <c r="R122" s="2"/>
      <c r="S122" s="2"/>
      <c r="V122" s="2"/>
      <c r="Y122" s="2"/>
      <c r="Z122" s="2"/>
      <c r="AA122" s="2"/>
      <c r="AB122" s="2"/>
      <c r="AC122" s="49"/>
      <c r="AD122" s="2"/>
      <c r="AE122" s="2"/>
      <c r="AF122" s="2"/>
      <c r="AG122" s="2"/>
      <c r="AH122" s="2"/>
      <c r="AI122" s="2"/>
      <c r="AJ122" s="2"/>
      <c r="AK122" s="2"/>
      <c r="AL122" s="2"/>
      <c r="AM122" s="2"/>
    </row>
    <row r="123" spans="3:39" x14ac:dyDescent="0.35">
      <c r="C123" s="2"/>
      <c r="D123" s="296"/>
      <c r="E123" s="2"/>
      <c r="F123" s="13"/>
      <c r="G123" s="2"/>
      <c r="H123" s="2"/>
      <c r="I123" s="2"/>
      <c r="J123" s="2"/>
      <c r="K123" s="2"/>
      <c r="L123" s="2"/>
      <c r="M123" s="2"/>
      <c r="N123" s="2"/>
      <c r="O123" s="2"/>
      <c r="P123" s="2"/>
      <c r="Q123" s="2"/>
      <c r="R123" s="2"/>
      <c r="S123" s="2"/>
      <c r="V123" s="2"/>
      <c r="Y123" s="2"/>
      <c r="Z123" s="2"/>
      <c r="AA123" s="2"/>
      <c r="AB123" s="2"/>
      <c r="AC123" s="49"/>
      <c r="AD123" s="2"/>
      <c r="AE123" s="2"/>
      <c r="AF123" s="2"/>
      <c r="AG123" s="2"/>
      <c r="AH123" s="2"/>
      <c r="AI123" s="2"/>
      <c r="AJ123" s="2"/>
      <c r="AK123" s="2"/>
      <c r="AL123" s="2"/>
      <c r="AM123" s="2"/>
    </row>
    <row r="124" spans="3:39" x14ac:dyDescent="0.35">
      <c r="C124" s="2"/>
      <c r="D124" s="296"/>
      <c r="E124" s="2"/>
      <c r="F124" s="13"/>
      <c r="G124" s="2"/>
      <c r="H124" s="2"/>
      <c r="I124" s="2"/>
      <c r="J124" s="2"/>
      <c r="K124" s="2"/>
      <c r="L124" s="2"/>
      <c r="M124" s="2"/>
      <c r="N124" s="2"/>
      <c r="O124" s="2"/>
      <c r="P124" s="2"/>
      <c r="Q124" s="2"/>
      <c r="R124" s="2"/>
      <c r="S124" s="2"/>
      <c r="V124" s="2"/>
      <c r="Y124" s="2"/>
      <c r="Z124" s="2"/>
      <c r="AA124" s="2"/>
      <c r="AB124" s="2"/>
      <c r="AC124" s="2"/>
      <c r="AD124" s="2"/>
      <c r="AE124" s="2"/>
      <c r="AF124" s="2"/>
      <c r="AG124" s="2"/>
      <c r="AH124" s="2"/>
      <c r="AI124" s="2"/>
      <c r="AJ124" s="2"/>
      <c r="AK124" s="2"/>
      <c r="AL124" s="2"/>
      <c r="AM124" s="2"/>
    </row>
    <row r="125" spans="3:39" x14ac:dyDescent="0.35">
      <c r="C125" s="2"/>
      <c r="D125" s="296"/>
      <c r="E125" s="2"/>
      <c r="F125" s="13"/>
      <c r="G125" s="2"/>
      <c r="H125" s="2"/>
      <c r="I125" s="2"/>
      <c r="J125" s="2"/>
      <c r="K125" s="2"/>
      <c r="L125" s="2"/>
      <c r="M125" s="2"/>
      <c r="N125" s="2"/>
      <c r="O125" s="2"/>
      <c r="P125" s="2"/>
      <c r="Q125" s="2"/>
      <c r="R125" s="2"/>
      <c r="S125" s="2"/>
      <c r="V125" s="2"/>
      <c r="Y125" s="2"/>
      <c r="Z125" s="2"/>
      <c r="AA125" s="2"/>
      <c r="AB125" s="2"/>
      <c r="AC125" s="2"/>
      <c r="AD125" s="2"/>
      <c r="AE125" s="2"/>
      <c r="AF125" s="2"/>
      <c r="AG125" s="2"/>
      <c r="AH125" s="2"/>
      <c r="AI125" s="2"/>
      <c r="AJ125" s="2"/>
      <c r="AK125" s="2"/>
      <c r="AL125" s="2"/>
      <c r="AM125" s="2"/>
    </row>
    <row r="126" spans="3:39" x14ac:dyDescent="0.35">
      <c r="C126" s="2"/>
      <c r="D126" s="296"/>
      <c r="E126" s="2"/>
      <c r="F126" s="13"/>
      <c r="G126" s="2"/>
      <c r="H126" s="2"/>
      <c r="I126" s="2"/>
      <c r="J126" s="2"/>
      <c r="K126" s="2"/>
      <c r="L126" s="2"/>
      <c r="M126" s="2"/>
      <c r="N126" s="2"/>
      <c r="O126" s="2"/>
      <c r="P126" s="2"/>
      <c r="Q126" s="2"/>
      <c r="R126" s="2"/>
      <c r="S126" s="2"/>
      <c r="V126" s="2"/>
      <c r="Y126" s="2"/>
      <c r="Z126" s="2"/>
      <c r="AA126" s="2"/>
      <c r="AB126" s="2"/>
      <c r="AC126" s="2"/>
      <c r="AD126" s="2"/>
      <c r="AE126" s="2"/>
      <c r="AF126" s="2"/>
      <c r="AG126" s="2"/>
      <c r="AH126" s="2"/>
      <c r="AI126" s="2"/>
      <c r="AJ126" s="2"/>
      <c r="AK126" s="2"/>
      <c r="AL126" s="2"/>
      <c r="AM126" s="2"/>
    </row>
    <row r="127" spans="3:39" x14ac:dyDescent="0.35">
      <c r="C127" s="2"/>
      <c r="D127" s="296"/>
      <c r="E127" s="2"/>
      <c r="F127" s="13"/>
      <c r="G127" s="2"/>
      <c r="H127" s="2"/>
      <c r="I127" s="2"/>
      <c r="J127" s="2"/>
      <c r="K127" s="2"/>
      <c r="L127" s="2"/>
      <c r="M127" s="2"/>
      <c r="N127" s="2"/>
      <c r="O127" s="2"/>
      <c r="P127" s="2"/>
      <c r="Q127" s="2"/>
      <c r="R127" s="2"/>
      <c r="S127" s="2"/>
      <c r="V127" s="2"/>
      <c r="W127" s="2"/>
    </row>
    <row r="128" spans="3:39" x14ac:dyDescent="0.35">
      <c r="C128" s="2"/>
      <c r="D128" s="296"/>
      <c r="E128" s="2"/>
      <c r="F128" s="13"/>
      <c r="G128" s="2"/>
      <c r="H128" s="2"/>
      <c r="I128" s="2"/>
      <c r="J128" s="2"/>
      <c r="K128" s="2"/>
      <c r="L128" s="2"/>
      <c r="M128" s="2"/>
      <c r="N128" s="2"/>
      <c r="O128" s="2"/>
      <c r="P128" s="2"/>
      <c r="Q128" s="2"/>
      <c r="R128" s="2"/>
      <c r="S128" s="2"/>
      <c r="V128" s="2"/>
      <c r="W128" s="2"/>
    </row>
    <row r="129" spans="2:23" x14ac:dyDescent="0.35">
      <c r="C129" s="2"/>
      <c r="D129" s="296"/>
      <c r="E129" s="2"/>
      <c r="F129" s="13"/>
      <c r="G129" s="2"/>
      <c r="H129" s="2"/>
      <c r="I129" s="2"/>
      <c r="J129" s="2"/>
      <c r="K129" s="2"/>
      <c r="L129" s="2"/>
      <c r="M129" s="2"/>
      <c r="N129" s="2"/>
      <c r="O129" s="2"/>
      <c r="P129" s="2"/>
      <c r="Q129" s="2"/>
      <c r="R129" s="2"/>
      <c r="S129" s="2"/>
      <c r="V129" s="2"/>
      <c r="W129" s="2"/>
    </row>
    <row r="130" spans="2:23" x14ac:dyDescent="0.35">
      <c r="C130" s="2"/>
      <c r="D130" s="296"/>
      <c r="E130" s="2"/>
      <c r="F130" s="13"/>
      <c r="G130" s="13"/>
      <c r="H130" s="2"/>
      <c r="I130" s="2"/>
      <c r="J130" s="2"/>
      <c r="K130" s="2"/>
      <c r="L130" s="2"/>
      <c r="M130" s="2"/>
      <c r="N130" s="2"/>
      <c r="O130" s="2"/>
      <c r="P130" s="2"/>
      <c r="Q130" s="2"/>
      <c r="R130" s="2"/>
      <c r="S130" s="2"/>
      <c r="V130" s="2"/>
      <c r="W130" s="2"/>
    </row>
    <row r="131" spans="2:23" x14ac:dyDescent="0.35">
      <c r="C131" s="2"/>
      <c r="D131" s="2"/>
      <c r="E131" s="2"/>
      <c r="F131" s="13"/>
      <c r="G131" s="13"/>
      <c r="H131" s="2"/>
      <c r="I131" s="2"/>
      <c r="J131" s="2"/>
      <c r="K131" s="2"/>
      <c r="L131" s="2"/>
      <c r="M131" s="2"/>
      <c r="N131" s="2"/>
      <c r="O131" s="2"/>
      <c r="P131" s="2"/>
      <c r="Q131" s="2"/>
      <c r="R131" s="2"/>
      <c r="S131" s="2"/>
      <c r="V131" s="2"/>
      <c r="W131" s="2"/>
    </row>
    <row r="132" spans="2:23" x14ac:dyDescent="0.35">
      <c r="C132" s="2"/>
      <c r="D132" s="2"/>
      <c r="E132" s="2"/>
      <c r="F132" s="13"/>
      <c r="G132" s="2"/>
      <c r="H132" s="2"/>
      <c r="I132" s="2"/>
      <c r="J132" s="2"/>
      <c r="K132" s="2"/>
      <c r="L132" s="2"/>
      <c r="M132" s="2"/>
      <c r="N132" s="2"/>
      <c r="O132" s="2"/>
      <c r="P132" s="2"/>
      <c r="Q132" s="2"/>
      <c r="R132" s="2"/>
      <c r="S132" s="2"/>
      <c r="V132" s="2"/>
      <c r="W132" s="2"/>
    </row>
    <row r="133" spans="2:23" ht="15.5" x14ac:dyDescent="0.35">
      <c r="C133" s="2"/>
      <c r="D133" s="2"/>
      <c r="E133" s="2"/>
      <c r="F133" s="13"/>
      <c r="G133" s="13"/>
      <c r="H133" s="5"/>
      <c r="I133" s="5"/>
      <c r="J133" s="5"/>
      <c r="K133" s="5"/>
      <c r="L133" s="5"/>
      <c r="M133" s="5"/>
      <c r="N133" s="5"/>
      <c r="O133" s="5"/>
      <c r="P133" s="14"/>
      <c r="Q133" s="2"/>
      <c r="R133" s="2"/>
      <c r="S133" s="2"/>
      <c r="V133" s="2"/>
      <c r="W133" s="2"/>
    </row>
    <row r="134" spans="2:23" x14ac:dyDescent="0.35">
      <c r="C134" s="2"/>
      <c r="D134" s="2"/>
      <c r="E134" s="3"/>
      <c r="F134" s="13"/>
      <c r="G134" s="49"/>
      <c r="H134" s="13"/>
      <c r="I134" s="13"/>
      <c r="J134" s="13"/>
      <c r="K134" s="13"/>
      <c r="L134" s="13"/>
      <c r="M134" s="13"/>
      <c r="N134" s="13"/>
      <c r="O134" s="13"/>
      <c r="P134" s="13"/>
      <c r="Q134" s="2"/>
      <c r="R134" s="2"/>
      <c r="S134" s="2"/>
      <c r="T134" s="2"/>
      <c r="U134" s="2"/>
      <c r="V134" s="2"/>
      <c r="W134" s="2"/>
    </row>
    <row r="135" spans="2:23" x14ac:dyDescent="0.35">
      <c r="C135" s="2"/>
      <c r="D135" s="2"/>
      <c r="E135" s="3"/>
      <c r="F135" s="13"/>
      <c r="G135" s="49"/>
      <c r="H135" s="2"/>
      <c r="I135" s="2"/>
      <c r="J135" s="2"/>
      <c r="K135" s="2"/>
      <c r="L135" s="2"/>
      <c r="M135" s="2"/>
      <c r="N135" s="2"/>
      <c r="O135" s="2"/>
      <c r="P135" s="2"/>
      <c r="Q135" s="2"/>
      <c r="R135" s="2"/>
      <c r="S135" s="2"/>
      <c r="T135" s="2"/>
      <c r="U135" s="2"/>
      <c r="V135" s="2"/>
      <c r="W135" s="2"/>
    </row>
    <row r="136" spans="2:23" x14ac:dyDescent="0.35">
      <c r="C136" s="2"/>
      <c r="D136" s="2"/>
      <c r="E136" s="3"/>
      <c r="F136" s="13"/>
      <c r="G136" s="49"/>
      <c r="H136" s="2"/>
      <c r="I136" s="2"/>
      <c r="J136" s="2"/>
      <c r="K136" s="2"/>
      <c r="L136" s="2"/>
      <c r="M136" s="2"/>
      <c r="N136" s="2"/>
      <c r="O136" s="2"/>
      <c r="P136" s="2"/>
      <c r="Q136" s="2"/>
      <c r="R136" s="2"/>
      <c r="S136" s="2"/>
      <c r="T136" s="2"/>
      <c r="U136" s="2"/>
      <c r="V136" s="2"/>
      <c r="W136" s="2"/>
    </row>
    <row r="137" spans="2:23" x14ac:dyDescent="0.35">
      <c r="C137" s="2"/>
      <c r="D137" s="2"/>
      <c r="E137" s="3"/>
      <c r="F137" s="2"/>
      <c r="G137" s="2"/>
      <c r="H137" s="2"/>
      <c r="I137" s="2"/>
      <c r="J137" s="2"/>
      <c r="K137" s="2"/>
      <c r="L137" s="2"/>
      <c r="M137" s="2"/>
      <c r="N137" s="2"/>
      <c r="O137" s="2"/>
      <c r="P137" s="2"/>
      <c r="Q137" s="2"/>
      <c r="R137" s="2"/>
      <c r="S137" s="2"/>
      <c r="T137" s="2"/>
      <c r="U137" s="2"/>
      <c r="V137" s="2"/>
      <c r="W137" s="2"/>
    </row>
    <row r="138" spans="2:23" x14ac:dyDescent="0.35">
      <c r="C138" s="2"/>
      <c r="D138" s="2"/>
      <c r="E138" s="3"/>
      <c r="F138" s="2"/>
      <c r="G138" s="2"/>
      <c r="H138" s="2"/>
      <c r="I138" s="2"/>
      <c r="J138" s="2"/>
      <c r="K138" s="2"/>
      <c r="L138" s="2"/>
      <c r="M138" s="2"/>
      <c r="N138" s="2"/>
      <c r="O138" s="2"/>
      <c r="P138" s="2"/>
      <c r="Q138" s="2"/>
      <c r="R138" s="2"/>
      <c r="S138" s="2"/>
      <c r="T138" s="2"/>
      <c r="U138" s="2"/>
      <c r="V138" s="2"/>
      <c r="W138" s="2"/>
    </row>
    <row r="139" spans="2:23" ht="15.5" x14ac:dyDescent="0.35">
      <c r="C139" s="2"/>
      <c r="D139" s="2"/>
      <c r="E139" s="3"/>
      <c r="F139" s="2"/>
      <c r="G139" s="13"/>
      <c r="H139" s="5"/>
      <c r="I139" s="5"/>
      <c r="J139" s="5"/>
      <c r="K139" s="5"/>
      <c r="L139" s="5"/>
      <c r="M139" s="5"/>
      <c r="N139" s="5"/>
      <c r="O139" s="5"/>
      <c r="P139" s="14"/>
      <c r="Q139" s="2"/>
      <c r="R139" s="2"/>
      <c r="S139" s="2"/>
      <c r="T139" s="2"/>
      <c r="U139" s="2"/>
      <c r="V139" s="2"/>
      <c r="W139" s="2"/>
    </row>
    <row r="140" spans="2:23" x14ac:dyDescent="0.35">
      <c r="C140" s="2"/>
      <c r="D140" s="2"/>
      <c r="E140" s="3"/>
      <c r="F140" s="2"/>
      <c r="G140" s="49"/>
      <c r="H140" s="13"/>
      <c r="I140" s="13"/>
      <c r="J140" s="13"/>
      <c r="K140" s="13"/>
      <c r="L140" s="13"/>
      <c r="M140" s="13"/>
      <c r="N140" s="13"/>
      <c r="O140" s="13"/>
      <c r="P140" s="13"/>
      <c r="Q140" s="2"/>
      <c r="R140" s="2"/>
      <c r="S140" s="2"/>
      <c r="T140" s="2"/>
      <c r="U140" s="2"/>
      <c r="V140" s="2"/>
      <c r="W140" s="2"/>
    </row>
    <row r="141" spans="2:23" x14ac:dyDescent="0.35">
      <c r="B141" s="2"/>
      <c r="C141" s="2"/>
      <c r="D141" s="2"/>
      <c r="E141" s="2"/>
      <c r="F141" s="2"/>
      <c r="G141" s="49"/>
      <c r="H141" s="2"/>
      <c r="I141" s="2"/>
      <c r="J141" s="2"/>
      <c r="K141" s="2"/>
      <c r="L141" s="2"/>
      <c r="M141" s="2"/>
      <c r="N141" s="2"/>
      <c r="O141" s="2"/>
      <c r="P141" s="2"/>
      <c r="Q141" s="2"/>
      <c r="R141" s="2"/>
      <c r="S141" s="2"/>
      <c r="T141" s="2"/>
      <c r="U141" s="2"/>
      <c r="V141" s="2"/>
      <c r="W141" s="2"/>
    </row>
    <row r="142" spans="2:23" x14ac:dyDescent="0.35">
      <c r="B142" s="2"/>
      <c r="C142" s="2"/>
      <c r="D142" s="2"/>
      <c r="E142" s="2"/>
      <c r="F142" s="2"/>
      <c r="G142" s="49"/>
      <c r="H142" s="2"/>
      <c r="I142" s="2"/>
      <c r="J142" s="2"/>
      <c r="K142" s="2"/>
      <c r="L142" s="2"/>
      <c r="M142" s="2"/>
      <c r="N142" s="2"/>
      <c r="O142" s="2"/>
      <c r="P142" s="2"/>
      <c r="Q142" s="2"/>
      <c r="R142" s="2"/>
      <c r="S142" s="2"/>
      <c r="T142" s="2"/>
      <c r="U142" s="2"/>
      <c r="V142" s="2"/>
      <c r="W142" s="2"/>
    </row>
    <row r="143" spans="2:23" ht="15.5" x14ac:dyDescent="0.35">
      <c r="B143" s="2"/>
      <c r="C143" s="2"/>
      <c r="D143" s="2"/>
      <c r="E143" s="2"/>
      <c r="F143" s="2"/>
      <c r="G143" s="2"/>
      <c r="H143" s="2"/>
      <c r="I143" s="2"/>
      <c r="J143" s="2"/>
      <c r="K143" s="2"/>
      <c r="L143" s="2"/>
      <c r="M143" s="2"/>
      <c r="N143" s="2"/>
      <c r="O143" s="2"/>
      <c r="P143" s="2"/>
      <c r="Q143" s="2"/>
      <c r="R143" s="14"/>
      <c r="S143" s="2"/>
      <c r="T143" s="2"/>
      <c r="U143" s="2"/>
      <c r="V143" s="2"/>
      <c r="W143" s="2"/>
    </row>
    <row r="144" spans="2:23" x14ac:dyDescent="0.35">
      <c r="B144" s="2"/>
      <c r="C144" s="2"/>
      <c r="D144" s="2"/>
      <c r="E144" s="2"/>
      <c r="F144" s="2"/>
      <c r="G144" s="2"/>
      <c r="H144" s="2"/>
      <c r="I144" s="2"/>
      <c r="J144" s="2"/>
      <c r="K144" s="2"/>
      <c r="L144" s="2"/>
      <c r="M144" s="2"/>
      <c r="N144" s="2"/>
      <c r="O144" s="2"/>
      <c r="P144" s="2"/>
      <c r="Q144" s="2"/>
      <c r="R144" s="2"/>
      <c r="S144" s="2"/>
      <c r="T144" s="2"/>
      <c r="U144" s="2"/>
      <c r="V144" s="2"/>
      <c r="W144" s="2"/>
    </row>
    <row r="145" spans="1:23" x14ac:dyDescent="0.35">
      <c r="B145" s="2"/>
      <c r="C145" s="2"/>
      <c r="D145" s="2"/>
      <c r="E145" s="2"/>
      <c r="F145" s="2"/>
      <c r="G145" s="2"/>
      <c r="H145" s="2"/>
      <c r="I145" s="2"/>
      <c r="J145" s="2"/>
      <c r="K145" s="2"/>
      <c r="L145" s="2"/>
      <c r="M145" s="2"/>
      <c r="N145" s="2"/>
      <c r="O145" s="2"/>
      <c r="P145" s="2"/>
      <c r="Q145" s="2"/>
      <c r="R145" s="2"/>
      <c r="S145" s="2"/>
      <c r="T145" s="2"/>
      <c r="U145" s="2"/>
      <c r="V145" s="2"/>
      <c r="W145" s="2"/>
    </row>
    <row r="146" spans="1:23" x14ac:dyDescent="0.35">
      <c r="B146" s="2"/>
      <c r="C146" s="2"/>
      <c r="D146" s="2"/>
      <c r="E146" s="2"/>
      <c r="F146" s="2"/>
      <c r="G146" s="2"/>
      <c r="H146" s="2"/>
      <c r="I146" s="2"/>
      <c r="J146" s="2"/>
      <c r="K146" s="2"/>
      <c r="L146" s="2"/>
      <c r="M146" s="2"/>
      <c r="N146" s="2"/>
      <c r="O146" s="2"/>
      <c r="P146" s="2"/>
      <c r="Q146" s="2"/>
      <c r="R146" s="2"/>
      <c r="S146" s="2"/>
      <c r="T146" s="2"/>
      <c r="U146" s="2"/>
      <c r="V146" s="2"/>
      <c r="W146" s="2"/>
    </row>
    <row r="147" spans="1:23" ht="18.5" x14ac:dyDescent="0.45">
      <c r="B147" s="2"/>
      <c r="C147" s="2"/>
      <c r="D147" s="2"/>
      <c r="E147" s="2"/>
      <c r="F147" s="1"/>
      <c r="G147" s="3"/>
      <c r="H147" s="3"/>
      <c r="I147" s="3"/>
      <c r="J147" s="3"/>
      <c r="K147" s="3"/>
      <c r="L147" s="3"/>
      <c r="M147" s="3"/>
      <c r="N147" s="3"/>
      <c r="O147" s="3"/>
      <c r="P147" s="2"/>
      <c r="Q147" s="2"/>
      <c r="R147" s="2"/>
      <c r="S147" s="2"/>
      <c r="T147" s="2"/>
      <c r="U147" s="2"/>
      <c r="V147" s="2"/>
      <c r="W147" s="2"/>
    </row>
    <row r="148" spans="1:23" ht="18.5" x14ac:dyDescent="0.45">
      <c r="A148" s="2"/>
      <c r="B148" s="2"/>
      <c r="C148" s="2"/>
      <c r="D148" s="2"/>
      <c r="E148" s="2"/>
      <c r="F148" s="1"/>
      <c r="G148" s="3"/>
      <c r="H148" s="3"/>
      <c r="I148" s="3"/>
      <c r="J148" s="3"/>
      <c r="K148" s="3"/>
      <c r="L148" s="3"/>
      <c r="M148" s="3"/>
      <c r="N148" s="3"/>
      <c r="O148" s="3"/>
      <c r="P148" s="2"/>
      <c r="Q148" s="2"/>
      <c r="R148" s="2"/>
      <c r="S148" s="2"/>
      <c r="T148" s="2"/>
      <c r="U148" s="2"/>
      <c r="V148" s="2"/>
      <c r="W148" s="2"/>
    </row>
    <row r="149" spans="1:23" ht="15.5" x14ac:dyDescent="0.35">
      <c r="A149" s="2"/>
      <c r="B149" s="2"/>
      <c r="C149" s="2"/>
      <c r="D149" s="199"/>
      <c r="E149" s="2"/>
      <c r="F149" s="5"/>
      <c r="G149" s="5"/>
      <c r="H149" s="5"/>
      <c r="I149" s="5"/>
      <c r="J149" s="5"/>
      <c r="K149" s="5"/>
      <c r="L149" s="5"/>
      <c r="M149" s="5"/>
      <c r="N149" s="5"/>
      <c r="O149" s="5"/>
      <c r="P149" s="14"/>
      <c r="Q149" s="2"/>
      <c r="R149" s="2"/>
      <c r="S149" s="2"/>
      <c r="T149" s="2"/>
      <c r="U149" s="2"/>
      <c r="V149" s="2"/>
      <c r="W149" s="2"/>
    </row>
    <row r="150" spans="1:23" x14ac:dyDescent="0.35">
      <c r="A150" s="2"/>
      <c r="B150" s="2"/>
      <c r="C150" s="2"/>
      <c r="D150" s="296"/>
      <c r="E150" s="2"/>
      <c r="F150" s="2"/>
      <c r="G150" s="2"/>
      <c r="H150" s="2"/>
      <c r="I150" s="2"/>
      <c r="J150" s="2"/>
      <c r="K150" s="2"/>
      <c r="L150" s="2"/>
      <c r="M150" s="2"/>
      <c r="N150" s="2"/>
      <c r="O150" s="2"/>
      <c r="P150" s="2"/>
      <c r="Q150" s="2"/>
      <c r="R150" s="2"/>
      <c r="S150" s="2"/>
      <c r="T150" s="2"/>
      <c r="U150" s="2"/>
      <c r="V150" s="2"/>
      <c r="W150" s="2"/>
    </row>
    <row r="151" spans="1:23" x14ac:dyDescent="0.35">
      <c r="A151" s="2"/>
      <c r="B151" s="2"/>
      <c r="C151" s="2"/>
      <c r="D151" s="296"/>
      <c r="E151" s="2"/>
      <c r="F151" s="13"/>
      <c r="G151" s="2"/>
      <c r="H151" s="2"/>
      <c r="I151" s="2"/>
      <c r="J151" s="2"/>
      <c r="K151" s="2"/>
      <c r="L151" s="2"/>
      <c r="M151" s="2"/>
      <c r="N151" s="2"/>
      <c r="O151" s="2"/>
      <c r="P151" s="2"/>
      <c r="Q151" s="2"/>
      <c r="R151" s="2"/>
      <c r="S151" s="2"/>
      <c r="T151" s="2"/>
      <c r="U151" s="2"/>
      <c r="V151" s="2"/>
      <c r="W151" s="2"/>
    </row>
    <row r="152" spans="1:23" x14ac:dyDescent="0.35">
      <c r="A152" s="2"/>
      <c r="B152" s="2"/>
      <c r="C152" s="2"/>
      <c r="D152" s="296"/>
      <c r="E152" s="2"/>
      <c r="F152" s="13"/>
      <c r="G152" s="2"/>
      <c r="H152" s="2"/>
      <c r="I152" s="2"/>
      <c r="J152" s="2"/>
      <c r="K152" s="2"/>
      <c r="L152" s="2"/>
      <c r="M152" s="2"/>
      <c r="N152" s="2"/>
      <c r="O152" s="2"/>
      <c r="P152" s="2"/>
      <c r="Q152" s="2"/>
      <c r="R152" s="2"/>
      <c r="S152" s="2"/>
      <c r="T152" s="2"/>
      <c r="U152" s="2"/>
      <c r="V152" s="2"/>
      <c r="W152" s="2"/>
    </row>
    <row r="153" spans="1:23" x14ac:dyDescent="0.35">
      <c r="A153" s="2"/>
      <c r="B153" s="2"/>
      <c r="C153" s="2"/>
      <c r="D153" s="296"/>
      <c r="E153" s="2"/>
      <c r="F153" s="13"/>
      <c r="G153" s="2"/>
      <c r="H153" s="2"/>
      <c r="I153" s="2"/>
      <c r="J153" s="2"/>
      <c r="K153" s="2"/>
      <c r="L153" s="2"/>
      <c r="M153" s="2"/>
      <c r="N153" s="2"/>
      <c r="O153" s="2"/>
      <c r="P153" s="2"/>
      <c r="Q153" s="2"/>
      <c r="R153" s="2"/>
      <c r="S153" s="2"/>
      <c r="T153" s="2"/>
      <c r="U153" s="2"/>
      <c r="V153" s="2"/>
      <c r="W153" s="2"/>
    </row>
    <row r="154" spans="1:23" x14ac:dyDescent="0.35">
      <c r="A154" s="2"/>
      <c r="B154" s="2"/>
      <c r="C154" s="2"/>
      <c r="D154" s="296"/>
      <c r="E154" s="2"/>
      <c r="F154" s="13"/>
      <c r="G154" s="2"/>
      <c r="H154" s="2"/>
      <c r="I154" s="2"/>
      <c r="J154" s="2"/>
      <c r="K154" s="2"/>
      <c r="L154" s="2"/>
      <c r="M154" s="2"/>
      <c r="N154" s="2"/>
      <c r="O154" s="2"/>
      <c r="P154" s="2"/>
      <c r="Q154" s="2"/>
      <c r="R154" s="2"/>
      <c r="S154" s="2"/>
      <c r="T154" s="2"/>
      <c r="U154" s="2"/>
      <c r="V154" s="2"/>
      <c r="W154" s="2"/>
    </row>
    <row r="155" spans="1:23" x14ac:dyDescent="0.35">
      <c r="A155" s="2"/>
      <c r="B155" s="2"/>
      <c r="C155" s="2"/>
      <c r="D155" s="296"/>
      <c r="E155" s="2"/>
      <c r="F155" s="13"/>
      <c r="G155" s="2"/>
      <c r="H155" s="2"/>
      <c r="I155" s="2"/>
      <c r="J155" s="2"/>
      <c r="K155" s="2"/>
      <c r="L155" s="2"/>
      <c r="M155" s="2"/>
      <c r="N155" s="2"/>
      <c r="O155" s="2"/>
      <c r="P155" s="2"/>
      <c r="Q155" s="2"/>
      <c r="R155" s="2"/>
      <c r="S155" s="2"/>
      <c r="T155" s="2"/>
      <c r="U155" s="2"/>
      <c r="V155" s="2"/>
      <c r="W155" s="2"/>
    </row>
    <row r="156" spans="1:23" x14ac:dyDescent="0.35">
      <c r="A156" s="2"/>
      <c r="B156" s="2"/>
      <c r="C156" s="2"/>
      <c r="D156" s="296"/>
      <c r="E156" s="2"/>
      <c r="F156" s="13"/>
      <c r="G156" s="2"/>
      <c r="H156" s="2"/>
      <c r="I156" s="2"/>
      <c r="J156" s="2"/>
      <c r="K156" s="2"/>
      <c r="L156" s="2"/>
      <c r="M156" s="2"/>
      <c r="N156" s="2"/>
      <c r="O156" s="2"/>
      <c r="P156" s="2"/>
      <c r="Q156" s="2"/>
      <c r="R156" s="2"/>
      <c r="S156" s="2"/>
      <c r="T156" s="2"/>
      <c r="U156" s="2"/>
      <c r="V156" s="2"/>
      <c r="W156" s="2"/>
    </row>
    <row r="157" spans="1:23" x14ac:dyDescent="0.35">
      <c r="A157" s="2"/>
      <c r="B157" s="2"/>
      <c r="C157" s="2"/>
      <c r="D157" s="296"/>
      <c r="E157" s="2"/>
      <c r="F157" s="13"/>
      <c r="G157" s="2"/>
      <c r="H157" s="2"/>
      <c r="I157" s="2"/>
      <c r="J157" s="2"/>
      <c r="K157" s="2"/>
      <c r="L157" s="2"/>
      <c r="M157" s="2"/>
      <c r="N157" s="2"/>
      <c r="O157" s="2"/>
      <c r="P157" s="2"/>
      <c r="Q157" s="2"/>
      <c r="R157" s="2"/>
      <c r="S157" s="2"/>
      <c r="T157" s="2"/>
      <c r="U157" s="2"/>
      <c r="V157" s="2"/>
      <c r="W157" s="2"/>
    </row>
    <row r="158" spans="1:23" x14ac:dyDescent="0.35">
      <c r="A158" s="2"/>
      <c r="B158" s="2"/>
      <c r="C158" s="2"/>
      <c r="D158" s="296"/>
      <c r="E158" s="2"/>
      <c r="F158" s="13"/>
      <c r="G158" s="2"/>
      <c r="H158" s="2"/>
      <c r="I158" s="2"/>
      <c r="J158" s="2"/>
      <c r="K158" s="2"/>
      <c r="L158" s="2"/>
      <c r="M158" s="2"/>
      <c r="N158" s="2"/>
      <c r="O158" s="2"/>
      <c r="P158" s="2"/>
      <c r="Q158" s="2"/>
      <c r="R158" s="2"/>
      <c r="S158" s="2"/>
      <c r="T158" s="2"/>
      <c r="U158" s="2"/>
      <c r="V158" s="2"/>
      <c r="W158" s="2"/>
    </row>
    <row r="159" spans="1:23" x14ac:dyDescent="0.35">
      <c r="A159" s="2"/>
      <c r="B159" s="2"/>
      <c r="C159" s="2"/>
      <c r="D159" s="296"/>
      <c r="E159" s="2"/>
      <c r="F159" s="13"/>
      <c r="G159" s="2"/>
      <c r="H159" s="2"/>
      <c r="I159" s="2"/>
      <c r="J159" s="2"/>
      <c r="K159" s="2"/>
      <c r="L159" s="2"/>
      <c r="M159" s="2"/>
      <c r="N159" s="2"/>
      <c r="O159" s="2"/>
      <c r="P159" s="2"/>
      <c r="Q159" s="2"/>
      <c r="R159" s="2"/>
      <c r="S159" s="2"/>
      <c r="T159" s="2"/>
      <c r="U159" s="2"/>
      <c r="V159" s="2"/>
      <c r="W159" s="2"/>
    </row>
    <row r="160" spans="1:23" x14ac:dyDescent="0.35">
      <c r="A160" s="2"/>
      <c r="B160" s="2"/>
      <c r="C160" s="2"/>
      <c r="D160" s="296"/>
      <c r="E160" s="2"/>
      <c r="F160" s="13"/>
      <c r="G160" s="2"/>
      <c r="H160" s="2"/>
      <c r="I160" s="2"/>
      <c r="J160" s="2"/>
      <c r="K160" s="2"/>
      <c r="L160" s="2"/>
      <c r="M160" s="2"/>
      <c r="N160" s="2"/>
      <c r="O160" s="2"/>
      <c r="P160" s="2"/>
      <c r="Q160" s="2"/>
      <c r="R160" s="2"/>
      <c r="S160" s="2"/>
      <c r="T160" s="2"/>
      <c r="U160" s="2"/>
      <c r="V160" s="2"/>
      <c r="W160" s="2"/>
    </row>
    <row r="161" spans="1:44" x14ac:dyDescent="0.35">
      <c r="A161" s="2"/>
      <c r="B161" s="2"/>
      <c r="C161" s="2"/>
      <c r="D161" s="296"/>
      <c r="E161" s="2"/>
      <c r="F161" s="13"/>
      <c r="G161" s="2"/>
      <c r="H161" s="2"/>
      <c r="I161" s="2"/>
      <c r="J161" s="2"/>
      <c r="K161" s="2"/>
      <c r="L161" s="2"/>
      <c r="M161" s="2"/>
      <c r="N161" s="2"/>
      <c r="O161" s="2"/>
      <c r="P161" s="2"/>
      <c r="Q161" s="2"/>
      <c r="R161" s="2"/>
      <c r="S161" s="2"/>
      <c r="T161" s="2"/>
      <c r="U161" s="2"/>
      <c r="V161" s="2"/>
      <c r="W161" s="2"/>
    </row>
    <row r="162" spans="1:44" x14ac:dyDescent="0.35">
      <c r="A162" s="2"/>
      <c r="B162" s="2"/>
      <c r="C162" s="2"/>
      <c r="D162" s="296"/>
      <c r="E162" s="2"/>
      <c r="F162" s="13"/>
      <c r="G162" s="2"/>
      <c r="H162" s="2"/>
      <c r="I162" s="2"/>
      <c r="J162" s="2"/>
      <c r="K162" s="2"/>
      <c r="L162" s="2"/>
      <c r="M162" s="2"/>
      <c r="N162" s="2"/>
      <c r="O162" s="2"/>
      <c r="P162" s="2"/>
      <c r="Q162" s="2"/>
      <c r="R162" s="2"/>
      <c r="S162" s="2"/>
      <c r="T162" s="2"/>
      <c r="U162" s="2"/>
      <c r="V162" s="2"/>
      <c r="W162" s="2"/>
    </row>
    <row r="163" spans="1:44" x14ac:dyDescent="0.35">
      <c r="A163" s="2"/>
      <c r="B163" s="2"/>
      <c r="C163" s="2"/>
      <c r="D163" s="296"/>
      <c r="E163" s="2"/>
      <c r="F163" s="13"/>
      <c r="G163" s="2"/>
      <c r="H163" s="2"/>
      <c r="I163" s="2"/>
      <c r="J163" s="2"/>
      <c r="K163" s="2"/>
      <c r="L163" s="2"/>
      <c r="M163" s="2"/>
      <c r="N163" s="2"/>
      <c r="O163" s="2"/>
      <c r="P163" s="2"/>
      <c r="Q163" s="2"/>
      <c r="R163" s="2"/>
      <c r="S163" s="2"/>
      <c r="T163" s="2"/>
      <c r="U163" s="2"/>
      <c r="V163" s="2"/>
      <c r="W163" s="2"/>
    </row>
    <row r="164" spans="1:44" x14ac:dyDescent="0.35">
      <c r="A164" s="2"/>
      <c r="B164" s="2"/>
      <c r="C164" s="2"/>
      <c r="D164" s="296"/>
      <c r="E164" s="2"/>
      <c r="F164" s="13"/>
      <c r="G164" s="2"/>
      <c r="H164" s="2"/>
      <c r="I164" s="2"/>
      <c r="J164" s="2"/>
      <c r="K164" s="2"/>
      <c r="L164" s="2"/>
      <c r="M164" s="2"/>
      <c r="N164" s="2"/>
      <c r="O164" s="2"/>
      <c r="P164" s="2"/>
      <c r="Q164" s="2"/>
      <c r="R164" s="2"/>
      <c r="S164" s="2"/>
      <c r="T164" s="2"/>
      <c r="U164" s="2"/>
      <c r="V164" s="2"/>
      <c r="W164" s="2"/>
    </row>
    <row r="165" spans="1:44" x14ac:dyDescent="0.35">
      <c r="A165" s="2"/>
      <c r="B165" s="2"/>
      <c r="C165" s="2"/>
      <c r="D165" s="296"/>
      <c r="E165" s="2"/>
      <c r="F165" s="13"/>
      <c r="G165" s="13"/>
      <c r="H165" s="2"/>
      <c r="I165" s="2"/>
      <c r="J165" s="2"/>
      <c r="K165" s="2"/>
      <c r="L165" s="2"/>
      <c r="M165" s="2"/>
      <c r="N165" s="2"/>
      <c r="O165" s="2"/>
      <c r="P165" s="2"/>
      <c r="Q165" s="2"/>
      <c r="R165" s="2"/>
      <c r="S165" s="2"/>
      <c r="T165" s="2"/>
      <c r="U165" s="2"/>
      <c r="V165" s="2"/>
      <c r="W165" s="2"/>
    </row>
    <row r="166" spans="1:44" x14ac:dyDescent="0.35">
      <c r="A166" s="2"/>
      <c r="B166" s="2"/>
      <c r="C166" s="2"/>
      <c r="D166" s="296"/>
      <c r="E166" s="2"/>
      <c r="F166" s="13"/>
      <c r="G166" s="13"/>
      <c r="H166" s="2"/>
      <c r="I166" s="2"/>
      <c r="J166" s="2"/>
      <c r="K166" s="2"/>
      <c r="L166" s="2"/>
      <c r="M166" s="2"/>
      <c r="N166" s="2"/>
      <c r="O166" s="2"/>
      <c r="P166" s="2"/>
      <c r="Q166" s="2"/>
      <c r="R166" s="2"/>
      <c r="S166" s="2"/>
      <c r="T166" s="2"/>
      <c r="U166" s="2"/>
      <c r="V166" s="2"/>
      <c r="W166" s="2"/>
    </row>
    <row r="167" spans="1:44" x14ac:dyDescent="0.35">
      <c r="A167" s="2"/>
      <c r="B167" s="2"/>
      <c r="C167" s="2"/>
      <c r="D167" s="2"/>
      <c r="E167" s="2"/>
      <c r="F167" s="13"/>
      <c r="G167" s="13"/>
      <c r="H167" s="2"/>
      <c r="I167" s="2"/>
      <c r="J167" s="2"/>
      <c r="K167" s="2"/>
      <c r="L167" s="2"/>
      <c r="M167" s="2"/>
      <c r="N167" s="2"/>
      <c r="O167" s="2"/>
      <c r="P167" s="2"/>
      <c r="Q167" s="2"/>
      <c r="R167" s="2"/>
      <c r="S167" s="2"/>
      <c r="T167" s="2"/>
      <c r="U167" s="2"/>
      <c r="V167" s="2"/>
      <c r="W167" s="2"/>
    </row>
    <row r="168" spans="1:44" x14ac:dyDescent="0.35">
      <c r="A168" s="2"/>
      <c r="B168" s="2"/>
      <c r="C168" s="2"/>
      <c r="D168" s="2"/>
      <c r="E168" s="2"/>
      <c r="F168" s="13"/>
      <c r="G168" s="2"/>
      <c r="H168" s="2"/>
      <c r="I168" s="2"/>
      <c r="J168" s="2"/>
      <c r="K168" s="2"/>
      <c r="L168" s="2"/>
      <c r="M168" s="2"/>
      <c r="N168" s="2"/>
      <c r="O168" s="2"/>
      <c r="P168" s="2"/>
      <c r="Q168" s="2"/>
      <c r="R168" s="2"/>
      <c r="S168" s="2"/>
      <c r="T168" s="2"/>
      <c r="U168" s="2"/>
      <c r="V168" s="2"/>
      <c r="W168" s="2"/>
    </row>
    <row r="169" spans="1:44" ht="15.5" x14ac:dyDescent="0.35">
      <c r="A169" s="2"/>
      <c r="B169" s="2"/>
      <c r="C169" s="2"/>
      <c r="D169" s="2"/>
      <c r="E169" s="2"/>
      <c r="F169" s="13"/>
      <c r="G169" s="13"/>
      <c r="H169" s="5"/>
      <c r="I169" s="5"/>
      <c r="J169" s="5"/>
      <c r="K169" s="5"/>
      <c r="L169" s="5"/>
      <c r="M169" s="5"/>
      <c r="N169" s="5"/>
      <c r="O169" s="5"/>
      <c r="P169" s="14"/>
      <c r="Q169" s="2"/>
      <c r="R169" s="2"/>
      <c r="S169" s="2"/>
      <c r="T169" s="2"/>
      <c r="U169" s="2"/>
      <c r="V169" s="2"/>
      <c r="W169" s="2"/>
    </row>
    <row r="170" spans="1:44" x14ac:dyDescent="0.35">
      <c r="A170" s="2"/>
      <c r="B170" s="2"/>
      <c r="C170" s="2"/>
      <c r="D170" s="2"/>
      <c r="E170" s="3"/>
      <c r="F170" s="13"/>
      <c r="G170" s="49"/>
      <c r="H170" s="13"/>
      <c r="I170" s="13"/>
      <c r="J170" s="13"/>
      <c r="K170" s="13"/>
      <c r="L170" s="13"/>
      <c r="M170" s="13"/>
      <c r="N170" s="13"/>
      <c r="O170" s="13"/>
      <c r="P170" s="13"/>
      <c r="Q170" s="2"/>
      <c r="R170" s="2"/>
      <c r="S170" s="2"/>
      <c r="T170" s="2"/>
      <c r="U170" s="2"/>
      <c r="V170" s="2"/>
      <c r="W170" s="2"/>
    </row>
    <row r="171" spans="1:44" s="2" customFormat="1" x14ac:dyDescent="0.35">
      <c r="E171" s="3"/>
      <c r="F171" s="13"/>
      <c r="G171" s="49"/>
      <c r="X171"/>
      <c r="Y171"/>
      <c r="Z171"/>
      <c r="AA171"/>
      <c r="AB171"/>
      <c r="AC171"/>
      <c r="AD171"/>
      <c r="AE171"/>
      <c r="AF171"/>
      <c r="AG171"/>
      <c r="AH171"/>
      <c r="AI171"/>
      <c r="AJ171"/>
      <c r="AK171"/>
      <c r="AL171"/>
      <c r="AM171"/>
      <c r="AN171"/>
      <c r="AO171"/>
      <c r="AP171"/>
      <c r="AQ171"/>
      <c r="AR171"/>
    </row>
    <row r="172" spans="1:44" s="2" customFormat="1" x14ac:dyDescent="0.35">
      <c r="E172" s="3"/>
      <c r="F172" s="13"/>
      <c r="G172" s="49"/>
      <c r="X172"/>
      <c r="Y172"/>
      <c r="Z172"/>
      <c r="AA172"/>
      <c r="AB172"/>
      <c r="AC172"/>
      <c r="AD172"/>
      <c r="AE172"/>
      <c r="AF172"/>
      <c r="AG172"/>
      <c r="AH172"/>
      <c r="AI172"/>
      <c r="AJ172"/>
      <c r="AK172"/>
      <c r="AL172"/>
      <c r="AM172"/>
      <c r="AN172"/>
      <c r="AO172"/>
      <c r="AP172"/>
      <c r="AQ172"/>
      <c r="AR172"/>
    </row>
    <row r="173" spans="1:44" s="2" customFormat="1" x14ac:dyDescent="0.35">
      <c r="E173" s="3"/>
      <c r="X173"/>
      <c r="Y173"/>
      <c r="Z173"/>
      <c r="AA173"/>
      <c r="AB173"/>
      <c r="AC173"/>
      <c r="AD173"/>
      <c r="AE173"/>
      <c r="AF173"/>
      <c r="AG173"/>
      <c r="AH173"/>
      <c r="AI173"/>
      <c r="AJ173"/>
      <c r="AK173"/>
      <c r="AL173"/>
      <c r="AM173"/>
      <c r="AN173"/>
      <c r="AO173"/>
      <c r="AP173"/>
      <c r="AQ173"/>
      <c r="AR173"/>
    </row>
    <row r="174" spans="1:44" s="2" customFormat="1" x14ac:dyDescent="0.35">
      <c r="E174" s="3"/>
      <c r="X174"/>
      <c r="Y174"/>
      <c r="Z174"/>
      <c r="AA174"/>
      <c r="AB174"/>
      <c r="AC174"/>
      <c r="AD174"/>
      <c r="AE174"/>
      <c r="AF174"/>
      <c r="AG174"/>
      <c r="AH174"/>
      <c r="AI174"/>
      <c r="AJ174"/>
      <c r="AK174"/>
      <c r="AL174"/>
      <c r="AM174"/>
      <c r="AN174"/>
      <c r="AO174"/>
      <c r="AP174"/>
      <c r="AQ174"/>
      <c r="AR174"/>
    </row>
    <row r="175" spans="1:44" s="2" customFormat="1" ht="15.5" x14ac:dyDescent="0.35">
      <c r="E175" s="3"/>
      <c r="G175" s="13"/>
      <c r="H175" s="5"/>
      <c r="I175" s="5"/>
      <c r="J175" s="5"/>
      <c r="K175" s="5"/>
      <c r="L175" s="5"/>
      <c r="M175" s="5"/>
      <c r="N175" s="5"/>
      <c r="O175" s="5"/>
      <c r="P175" s="14"/>
      <c r="X175"/>
      <c r="Y175"/>
      <c r="Z175"/>
      <c r="AA175"/>
      <c r="AB175"/>
      <c r="AC175"/>
      <c r="AD175"/>
      <c r="AE175"/>
      <c r="AF175"/>
      <c r="AG175"/>
      <c r="AH175"/>
      <c r="AI175"/>
      <c r="AJ175"/>
      <c r="AK175"/>
      <c r="AL175"/>
      <c r="AM175"/>
      <c r="AN175"/>
      <c r="AO175"/>
      <c r="AP175"/>
      <c r="AQ175"/>
      <c r="AR175"/>
    </row>
    <row r="176" spans="1:44" s="2" customFormat="1" x14ac:dyDescent="0.35">
      <c r="E176" s="3"/>
      <c r="G176" s="49"/>
      <c r="H176" s="13"/>
      <c r="I176" s="13"/>
      <c r="J176" s="13"/>
      <c r="K176" s="13"/>
      <c r="L176" s="13"/>
      <c r="M176" s="13"/>
      <c r="N176" s="13"/>
      <c r="O176" s="13"/>
      <c r="P176" s="13"/>
      <c r="X176"/>
      <c r="Y176"/>
      <c r="Z176"/>
      <c r="AA176"/>
      <c r="AB176"/>
      <c r="AC176"/>
      <c r="AD176"/>
      <c r="AE176"/>
      <c r="AF176"/>
      <c r="AG176"/>
      <c r="AH176"/>
      <c r="AI176"/>
      <c r="AJ176"/>
      <c r="AK176"/>
      <c r="AL176"/>
      <c r="AM176"/>
      <c r="AN176"/>
      <c r="AO176"/>
      <c r="AP176"/>
      <c r="AQ176"/>
      <c r="AR176"/>
    </row>
    <row r="177" spans="4:44" s="2" customFormat="1" x14ac:dyDescent="0.35">
      <c r="G177" s="49"/>
      <c r="X177"/>
      <c r="Y177"/>
      <c r="Z177"/>
      <c r="AA177"/>
      <c r="AB177"/>
      <c r="AC177"/>
      <c r="AD177"/>
      <c r="AE177"/>
      <c r="AF177"/>
      <c r="AG177"/>
      <c r="AH177"/>
      <c r="AI177"/>
      <c r="AJ177"/>
      <c r="AK177"/>
      <c r="AL177"/>
      <c r="AM177"/>
      <c r="AN177"/>
      <c r="AO177"/>
      <c r="AP177"/>
      <c r="AQ177"/>
      <c r="AR177"/>
    </row>
    <row r="178" spans="4:44" s="2" customFormat="1" ht="15.5" x14ac:dyDescent="0.35">
      <c r="G178" s="49"/>
      <c r="R178" s="14"/>
      <c r="X178"/>
      <c r="Y178"/>
      <c r="Z178"/>
      <c r="AA178"/>
      <c r="AB178"/>
      <c r="AC178"/>
      <c r="AD178"/>
      <c r="AE178"/>
      <c r="AF178"/>
      <c r="AG178"/>
      <c r="AH178"/>
      <c r="AI178"/>
      <c r="AJ178"/>
      <c r="AK178"/>
      <c r="AL178"/>
      <c r="AM178"/>
      <c r="AN178"/>
      <c r="AO178"/>
      <c r="AP178"/>
      <c r="AQ178"/>
      <c r="AR178"/>
    </row>
    <row r="179" spans="4:44" s="2" customFormat="1" x14ac:dyDescent="0.35">
      <c r="X179"/>
      <c r="Y179"/>
      <c r="Z179"/>
      <c r="AA179"/>
      <c r="AB179"/>
      <c r="AC179"/>
      <c r="AD179"/>
      <c r="AE179"/>
      <c r="AF179"/>
      <c r="AG179"/>
      <c r="AH179"/>
      <c r="AI179"/>
      <c r="AJ179"/>
      <c r="AK179"/>
      <c r="AL179"/>
      <c r="AM179"/>
      <c r="AN179"/>
      <c r="AO179"/>
      <c r="AP179"/>
      <c r="AQ179"/>
      <c r="AR179"/>
    </row>
    <row r="180" spans="4:44" s="2" customFormat="1" x14ac:dyDescent="0.35">
      <c r="X180"/>
      <c r="Y180"/>
      <c r="Z180"/>
      <c r="AA180"/>
      <c r="AB180"/>
      <c r="AC180"/>
      <c r="AD180"/>
      <c r="AE180"/>
      <c r="AF180"/>
      <c r="AG180"/>
      <c r="AH180"/>
      <c r="AI180"/>
      <c r="AJ180"/>
      <c r="AK180"/>
      <c r="AL180"/>
      <c r="AM180"/>
      <c r="AN180"/>
      <c r="AO180"/>
      <c r="AP180"/>
      <c r="AQ180"/>
      <c r="AR180"/>
    </row>
    <row r="181" spans="4:44" s="2" customFormat="1" x14ac:dyDescent="0.35">
      <c r="X181"/>
      <c r="Y181"/>
      <c r="Z181"/>
      <c r="AA181"/>
      <c r="AB181"/>
      <c r="AC181"/>
      <c r="AD181"/>
      <c r="AE181"/>
      <c r="AF181"/>
      <c r="AG181"/>
      <c r="AH181"/>
      <c r="AI181"/>
      <c r="AJ181"/>
      <c r="AK181"/>
      <c r="AL181"/>
      <c r="AM181"/>
      <c r="AN181"/>
      <c r="AO181"/>
      <c r="AP181"/>
      <c r="AQ181"/>
      <c r="AR181"/>
    </row>
    <row r="182" spans="4:44" s="2" customFormat="1" x14ac:dyDescent="0.35">
      <c r="X182"/>
      <c r="Y182"/>
      <c r="Z182"/>
      <c r="AA182"/>
      <c r="AB182"/>
      <c r="AC182"/>
      <c r="AD182"/>
      <c r="AE182"/>
      <c r="AF182"/>
      <c r="AG182"/>
      <c r="AH182"/>
      <c r="AI182"/>
      <c r="AJ182"/>
      <c r="AK182"/>
      <c r="AL182"/>
      <c r="AM182"/>
      <c r="AN182"/>
      <c r="AO182"/>
      <c r="AP182"/>
      <c r="AQ182"/>
      <c r="AR182"/>
    </row>
    <row r="183" spans="4:44" s="2" customFormat="1" ht="18.5" x14ac:dyDescent="0.45">
      <c r="F183" s="1"/>
      <c r="G183" s="3"/>
      <c r="H183" s="3"/>
      <c r="I183" s="3"/>
      <c r="J183" s="3"/>
      <c r="K183" s="3"/>
      <c r="L183" s="3"/>
      <c r="M183" s="3"/>
      <c r="N183" s="3"/>
      <c r="O183" s="3"/>
      <c r="X183"/>
      <c r="Y183"/>
      <c r="Z183"/>
      <c r="AA183"/>
      <c r="AB183"/>
      <c r="AC183"/>
      <c r="AD183"/>
      <c r="AE183"/>
      <c r="AF183"/>
      <c r="AG183"/>
      <c r="AH183"/>
      <c r="AI183"/>
      <c r="AJ183"/>
      <c r="AK183"/>
      <c r="AL183"/>
      <c r="AM183"/>
      <c r="AN183"/>
      <c r="AO183"/>
      <c r="AP183"/>
      <c r="AQ183"/>
      <c r="AR183"/>
    </row>
    <row r="184" spans="4:44" s="2" customFormat="1" ht="15.5" x14ac:dyDescent="0.35">
      <c r="D184" s="199"/>
      <c r="F184" s="5"/>
      <c r="G184" s="5"/>
      <c r="H184" s="5"/>
      <c r="I184" s="5"/>
      <c r="J184" s="5"/>
      <c r="K184" s="5"/>
      <c r="L184" s="5"/>
      <c r="M184" s="5"/>
      <c r="N184" s="5"/>
      <c r="O184" s="5"/>
      <c r="P184" s="14"/>
      <c r="X184"/>
      <c r="Y184"/>
      <c r="Z184"/>
      <c r="AA184"/>
      <c r="AB184"/>
      <c r="AC184"/>
      <c r="AD184"/>
      <c r="AE184"/>
      <c r="AF184"/>
      <c r="AG184"/>
      <c r="AH184"/>
      <c r="AI184"/>
      <c r="AJ184"/>
      <c r="AK184"/>
      <c r="AL184"/>
      <c r="AM184"/>
      <c r="AN184"/>
      <c r="AO184"/>
      <c r="AP184"/>
      <c r="AQ184"/>
      <c r="AR184"/>
    </row>
    <row r="185" spans="4:44" s="2" customFormat="1" x14ac:dyDescent="0.35">
      <c r="D185" s="296"/>
      <c r="X185"/>
      <c r="Y185"/>
      <c r="Z185"/>
      <c r="AA185"/>
      <c r="AB185"/>
      <c r="AC185"/>
      <c r="AD185"/>
      <c r="AE185"/>
      <c r="AF185"/>
      <c r="AG185"/>
      <c r="AH185"/>
      <c r="AI185"/>
      <c r="AJ185"/>
      <c r="AK185"/>
      <c r="AL185"/>
      <c r="AM185"/>
      <c r="AN185"/>
      <c r="AO185"/>
      <c r="AP185"/>
      <c r="AQ185"/>
      <c r="AR185"/>
    </row>
    <row r="186" spans="4:44" s="2" customFormat="1" x14ac:dyDescent="0.35">
      <c r="D186" s="296"/>
      <c r="F186" s="13"/>
      <c r="X186"/>
      <c r="Y186"/>
      <c r="Z186"/>
      <c r="AA186"/>
      <c r="AB186"/>
      <c r="AC186"/>
      <c r="AD186"/>
      <c r="AE186"/>
      <c r="AF186"/>
      <c r="AG186"/>
      <c r="AH186"/>
      <c r="AI186"/>
      <c r="AJ186"/>
      <c r="AK186"/>
      <c r="AL186"/>
      <c r="AM186"/>
      <c r="AN186"/>
      <c r="AO186"/>
      <c r="AP186"/>
      <c r="AQ186"/>
      <c r="AR186"/>
    </row>
    <row r="187" spans="4:44" s="2" customFormat="1" x14ac:dyDescent="0.35">
      <c r="D187" s="296"/>
      <c r="F187" s="13"/>
      <c r="X187"/>
      <c r="Y187"/>
      <c r="Z187"/>
      <c r="AA187"/>
      <c r="AB187"/>
      <c r="AC187"/>
      <c r="AD187"/>
      <c r="AE187"/>
      <c r="AF187"/>
      <c r="AG187"/>
      <c r="AH187"/>
      <c r="AI187"/>
      <c r="AJ187"/>
      <c r="AK187"/>
      <c r="AL187"/>
      <c r="AM187"/>
      <c r="AN187"/>
      <c r="AO187"/>
      <c r="AP187"/>
      <c r="AQ187"/>
      <c r="AR187"/>
    </row>
    <row r="188" spans="4:44" s="2" customFormat="1" x14ac:dyDescent="0.35">
      <c r="D188" s="296"/>
      <c r="F188" s="13"/>
      <c r="X188"/>
      <c r="Y188"/>
      <c r="Z188"/>
      <c r="AA188"/>
      <c r="AB188"/>
      <c r="AC188"/>
      <c r="AD188"/>
      <c r="AE188"/>
      <c r="AF188"/>
      <c r="AG188"/>
      <c r="AH188"/>
      <c r="AI188"/>
      <c r="AJ188"/>
      <c r="AK188"/>
      <c r="AL188"/>
      <c r="AM188"/>
      <c r="AN188"/>
      <c r="AO188"/>
      <c r="AP188"/>
      <c r="AQ188"/>
      <c r="AR188"/>
    </row>
    <row r="189" spans="4:44" s="2" customFormat="1" x14ac:dyDescent="0.35">
      <c r="D189" s="296"/>
      <c r="F189" s="13"/>
      <c r="X189"/>
      <c r="Y189"/>
      <c r="Z189"/>
      <c r="AA189"/>
      <c r="AB189"/>
      <c r="AC189"/>
      <c r="AD189"/>
      <c r="AE189"/>
      <c r="AF189"/>
      <c r="AG189"/>
      <c r="AH189"/>
      <c r="AI189"/>
      <c r="AJ189"/>
      <c r="AK189"/>
      <c r="AL189"/>
      <c r="AM189"/>
      <c r="AN189"/>
      <c r="AO189"/>
      <c r="AP189"/>
      <c r="AQ189"/>
      <c r="AR189"/>
    </row>
    <row r="190" spans="4:44" s="2" customFormat="1" x14ac:dyDescent="0.35">
      <c r="D190" s="296"/>
      <c r="F190" s="13"/>
      <c r="X190"/>
      <c r="Y190"/>
      <c r="Z190"/>
      <c r="AA190"/>
      <c r="AB190"/>
      <c r="AC190"/>
      <c r="AD190"/>
      <c r="AE190"/>
      <c r="AF190"/>
      <c r="AG190"/>
      <c r="AH190"/>
      <c r="AI190"/>
      <c r="AJ190"/>
      <c r="AK190"/>
      <c r="AL190"/>
      <c r="AM190"/>
      <c r="AN190"/>
      <c r="AO190"/>
      <c r="AP190"/>
      <c r="AQ190"/>
      <c r="AR190"/>
    </row>
    <row r="191" spans="4:44" s="2" customFormat="1" x14ac:dyDescent="0.35">
      <c r="D191" s="296"/>
      <c r="F191" s="13"/>
      <c r="X191"/>
      <c r="Y191"/>
      <c r="Z191"/>
      <c r="AA191"/>
      <c r="AB191"/>
      <c r="AC191"/>
      <c r="AD191"/>
      <c r="AE191"/>
      <c r="AF191"/>
      <c r="AG191"/>
      <c r="AH191"/>
      <c r="AI191"/>
      <c r="AJ191"/>
      <c r="AK191"/>
      <c r="AL191"/>
      <c r="AM191"/>
      <c r="AN191"/>
      <c r="AO191"/>
      <c r="AP191"/>
      <c r="AQ191"/>
      <c r="AR191"/>
    </row>
    <row r="192" spans="4:44" s="2" customFormat="1" x14ac:dyDescent="0.35">
      <c r="D192" s="296"/>
      <c r="F192" s="13"/>
      <c r="X192"/>
      <c r="Y192"/>
      <c r="Z192"/>
      <c r="AA192"/>
      <c r="AB192"/>
      <c r="AC192"/>
      <c r="AD192"/>
      <c r="AE192"/>
      <c r="AF192"/>
      <c r="AG192"/>
      <c r="AH192"/>
      <c r="AI192"/>
      <c r="AJ192"/>
      <c r="AK192"/>
      <c r="AL192"/>
      <c r="AM192"/>
      <c r="AN192"/>
      <c r="AO192"/>
      <c r="AP192"/>
      <c r="AR192"/>
    </row>
    <row r="193" spans="2:44" s="2" customFormat="1" x14ac:dyDescent="0.35">
      <c r="D193" s="296"/>
      <c r="F193" s="13"/>
      <c r="X193"/>
      <c r="Y193"/>
      <c r="Z193"/>
      <c r="AA193"/>
      <c r="AB193"/>
      <c r="AC193"/>
      <c r="AD193"/>
      <c r="AE193"/>
      <c r="AF193"/>
      <c r="AG193"/>
      <c r="AH193"/>
      <c r="AI193"/>
      <c r="AJ193"/>
      <c r="AK193"/>
      <c r="AL193"/>
      <c r="AM193"/>
      <c r="AN193"/>
      <c r="AO193"/>
      <c r="AR193"/>
    </row>
    <row r="194" spans="2:44" s="2" customFormat="1" x14ac:dyDescent="0.35">
      <c r="F194" s="13"/>
      <c r="G194" s="13"/>
      <c r="X194"/>
      <c r="Y194"/>
      <c r="Z194"/>
      <c r="AA194"/>
      <c r="AB194"/>
      <c r="AC194"/>
      <c r="AD194"/>
      <c r="AE194"/>
      <c r="AF194"/>
      <c r="AG194"/>
      <c r="AH194"/>
      <c r="AI194"/>
      <c r="AJ194"/>
      <c r="AK194"/>
      <c r="AL194"/>
      <c r="AM194"/>
      <c r="AN194"/>
      <c r="AO194"/>
      <c r="AR194"/>
    </row>
    <row r="195" spans="2:44" s="2" customFormat="1" x14ac:dyDescent="0.35">
      <c r="F195" s="13"/>
      <c r="X195"/>
      <c r="Y195"/>
      <c r="Z195"/>
      <c r="AA195"/>
      <c r="AB195"/>
      <c r="AC195"/>
      <c r="AD195"/>
      <c r="AE195"/>
      <c r="AF195"/>
      <c r="AG195"/>
      <c r="AH195"/>
      <c r="AI195"/>
      <c r="AJ195"/>
      <c r="AK195"/>
      <c r="AL195"/>
      <c r="AM195"/>
      <c r="AN195"/>
      <c r="AR195"/>
    </row>
    <row r="196" spans="2:44" s="2" customFormat="1" ht="15.5" x14ac:dyDescent="0.35">
      <c r="F196" s="13"/>
      <c r="G196" s="13"/>
      <c r="H196" s="5"/>
      <c r="I196" s="5"/>
      <c r="J196" s="5"/>
      <c r="K196" s="5"/>
      <c r="L196" s="5"/>
      <c r="M196" s="5"/>
      <c r="N196" s="5"/>
      <c r="O196" s="5"/>
      <c r="P196" s="14"/>
      <c r="V196"/>
      <c r="Y196"/>
      <c r="Z196"/>
      <c r="AA196"/>
      <c r="AB196"/>
      <c r="AC196"/>
      <c r="AD196"/>
      <c r="AE196"/>
      <c r="AF196"/>
      <c r="AG196"/>
      <c r="AH196"/>
      <c r="AI196"/>
      <c r="AJ196"/>
      <c r="AK196"/>
      <c r="AL196"/>
      <c r="AM196"/>
      <c r="AN196"/>
      <c r="AR196"/>
    </row>
    <row r="197" spans="2:44" s="2" customFormat="1" x14ac:dyDescent="0.35">
      <c r="E197" s="3"/>
      <c r="F197" s="13"/>
      <c r="G197" s="49"/>
      <c r="H197" s="13"/>
      <c r="I197" s="13"/>
      <c r="J197" s="13"/>
      <c r="K197" s="13"/>
      <c r="L197" s="13"/>
      <c r="M197" s="13"/>
      <c r="N197" s="13"/>
      <c r="O197" s="13"/>
      <c r="P197" s="13"/>
      <c r="V197"/>
      <c r="Y197"/>
      <c r="Z197"/>
      <c r="AA197"/>
      <c r="AB197"/>
      <c r="AC197"/>
      <c r="AD197"/>
      <c r="AE197"/>
      <c r="AF197"/>
      <c r="AG197"/>
      <c r="AH197"/>
      <c r="AI197"/>
      <c r="AJ197"/>
      <c r="AK197"/>
      <c r="AL197"/>
      <c r="AM197"/>
      <c r="AN197"/>
      <c r="AR197"/>
    </row>
    <row r="198" spans="2:44" s="2" customFormat="1" x14ac:dyDescent="0.35">
      <c r="E198" s="3"/>
      <c r="F198" s="13"/>
      <c r="G198" s="49"/>
      <c r="V198"/>
      <c r="Z198"/>
      <c r="AA198"/>
      <c r="AB198"/>
      <c r="AC198"/>
      <c r="AD198"/>
      <c r="AE198"/>
      <c r="AF198"/>
      <c r="AG198"/>
      <c r="AH198"/>
      <c r="AI198"/>
      <c r="AJ198"/>
      <c r="AK198"/>
      <c r="AL198"/>
      <c r="AM198"/>
      <c r="AN198"/>
      <c r="AR198"/>
    </row>
    <row r="199" spans="2:44" s="2" customFormat="1" x14ac:dyDescent="0.35">
      <c r="E199" s="3"/>
      <c r="F199" s="13"/>
      <c r="G199" s="49"/>
      <c r="V199"/>
      <c r="Z199"/>
      <c r="AA199"/>
      <c r="AB199"/>
      <c r="AC199"/>
      <c r="AD199"/>
      <c r="AE199"/>
      <c r="AF199"/>
      <c r="AG199"/>
      <c r="AH199"/>
      <c r="AI199"/>
      <c r="AJ199"/>
      <c r="AK199"/>
      <c r="AL199"/>
      <c r="AM199"/>
      <c r="AN199"/>
      <c r="AR199"/>
    </row>
    <row r="200" spans="2:44" s="2" customFormat="1" x14ac:dyDescent="0.35">
      <c r="E200" s="3"/>
      <c r="V200"/>
      <c r="Z200"/>
      <c r="AA200"/>
      <c r="AB200"/>
      <c r="AC200"/>
      <c r="AD200"/>
      <c r="AE200"/>
      <c r="AF200"/>
      <c r="AG200"/>
      <c r="AH200"/>
      <c r="AI200"/>
      <c r="AJ200"/>
      <c r="AK200"/>
      <c r="AL200"/>
      <c r="AM200"/>
      <c r="AN200"/>
      <c r="AR200"/>
    </row>
    <row r="201" spans="2:44" s="2" customFormat="1" x14ac:dyDescent="0.35">
      <c r="E201" s="3"/>
      <c r="V201"/>
      <c r="Z201"/>
      <c r="AA201"/>
      <c r="AB201"/>
      <c r="AC201"/>
      <c r="AD201"/>
      <c r="AE201"/>
      <c r="AF201"/>
      <c r="AG201"/>
      <c r="AH201"/>
      <c r="AI201"/>
      <c r="AJ201"/>
      <c r="AK201"/>
      <c r="AL201"/>
      <c r="AM201"/>
      <c r="AN201"/>
      <c r="AR201"/>
    </row>
    <row r="202" spans="2:44" s="2" customFormat="1" ht="15.5" x14ac:dyDescent="0.35">
      <c r="E202" s="3"/>
      <c r="G202" s="13"/>
      <c r="H202" s="5"/>
      <c r="I202" s="5"/>
      <c r="J202" s="5"/>
      <c r="K202" s="5"/>
      <c r="L202" s="5"/>
      <c r="M202" s="5"/>
      <c r="N202" s="5"/>
      <c r="O202" s="5"/>
      <c r="P202" s="14"/>
      <c r="V202"/>
      <c r="Z202"/>
      <c r="AA202"/>
      <c r="AB202"/>
      <c r="AC202"/>
      <c r="AD202"/>
      <c r="AE202"/>
      <c r="AF202"/>
      <c r="AG202"/>
      <c r="AH202"/>
      <c r="AI202"/>
      <c r="AJ202"/>
      <c r="AK202"/>
      <c r="AL202"/>
      <c r="AM202"/>
      <c r="AN202"/>
      <c r="AR202"/>
    </row>
    <row r="203" spans="2:44" s="2" customFormat="1" x14ac:dyDescent="0.35">
      <c r="E203" s="3"/>
      <c r="G203" s="49"/>
      <c r="H203" s="13"/>
      <c r="I203" s="13"/>
      <c r="J203" s="13"/>
      <c r="K203" s="13"/>
      <c r="L203" s="13"/>
      <c r="M203" s="13"/>
      <c r="N203" s="13"/>
      <c r="O203" s="13"/>
      <c r="P203" s="13"/>
      <c r="V203"/>
      <c r="Z203"/>
      <c r="AA203"/>
      <c r="AB203"/>
      <c r="AC203"/>
      <c r="AD203"/>
      <c r="AE203"/>
      <c r="AF203"/>
      <c r="AG203"/>
      <c r="AH203"/>
      <c r="AI203"/>
      <c r="AJ203"/>
      <c r="AK203"/>
      <c r="AL203"/>
      <c r="AM203"/>
      <c r="AN203"/>
      <c r="AR203"/>
    </row>
    <row r="204" spans="2:44" s="2" customFormat="1" x14ac:dyDescent="0.35">
      <c r="G204" s="49"/>
      <c r="R204"/>
      <c r="S204"/>
      <c r="V204"/>
      <c r="Z204"/>
      <c r="AA204"/>
      <c r="AB204"/>
      <c r="AC204"/>
      <c r="AD204"/>
      <c r="AE204"/>
      <c r="AF204"/>
      <c r="AG204"/>
      <c r="AH204"/>
      <c r="AI204"/>
      <c r="AJ204"/>
      <c r="AK204"/>
      <c r="AL204"/>
      <c r="AM204"/>
      <c r="AN204"/>
      <c r="AR204"/>
    </row>
    <row r="205" spans="2:44" s="2" customFormat="1" x14ac:dyDescent="0.35">
      <c r="B205"/>
      <c r="G205" s="49"/>
      <c r="R205"/>
      <c r="S205"/>
      <c r="V205"/>
      <c r="Z205"/>
      <c r="AA205"/>
      <c r="AB205"/>
      <c r="AC205"/>
      <c r="AD205"/>
      <c r="AE205"/>
      <c r="AF205"/>
      <c r="AG205"/>
      <c r="AH205"/>
      <c r="AI205"/>
      <c r="AJ205"/>
      <c r="AK205"/>
      <c r="AL205"/>
      <c r="AM205"/>
      <c r="AN205"/>
      <c r="AR205"/>
    </row>
    <row r="206" spans="2:44" s="2" customFormat="1" x14ac:dyDescent="0.35">
      <c r="B206"/>
      <c r="R206"/>
      <c r="S206"/>
      <c r="V206"/>
      <c r="Z206"/>
      <c r="AA206"/>
      <c r="AB206"/>
      <c r="AC206"/>
      <c r="AD206"/>
      <c r="AE206"/>
      <c r="AF206"/>
      <c r="AG206"/>
      <c r="AH206"/>
      <c r="AI206"/>
      <c r="AJ206"/>
      <c r="AK206"/>
      <c r="AL206"/>
      <c r="AM206"/>
      <c r="AN206"/>
      <c r="AR206"/>
    </row>
    <row r="207" spans="2:44" s="2" customFormat="1" x14ac:dyDescent="0.35">
      <c r="B207"/>
      <c r="R207"/>
      <c r="S207"/>
      <c r="V207"/>
      <c r="Z207"/>
      <c r="AA207"/>
      <c r="AB207"/>
      <c r="AC207"/>
      <c r="AD207"/>
      <c r="AE207"/>
      <c r="AF207"/>
      <c r="AG207"/>
      <c r="AH207"/>
      <c r="AI207"/>
      <c r="AJ207"/>
      <c r="AK207"/>
      <c r="AL207"/>
      <c r="AM207"/>
      <c r="AN207"/>
      <c r="AR207"/>
    </row>
    <row r="208" spans="2:44" s="2" customFormat="1" x14ac:dyDescent="0.35">
      <c r="B208"/>
      <c r="R208"/>
      <c r="S208"/>
      <c r="V208"/>
      <c r="Z208"/>
      <c r="AA208"/>
      <c r="AB208"/>
      <c r="AC208"/>
      <c r="AD208"/>
      <c r="AE208"/>
      <c r="AF208"/>
      <c r="AG208"/>
      <c r="AH208"/>
      <c r="AI208"/>
      <c r="AJ208"/>
      <c r="AK208"/>
      <c r="AL208"/>
      <c r="AM208"/>
      <c r="AN208"/>
      <c r="AR208"/>
    </row>
    <row r="209" spans="1:44" s="2" customFormat="1" x14ac:dyDescent="0.35">
      <c r="B209"/>
      <c r="D209"/>
      <c r="E209"/>
      <c r="F209"/>
      <c r="G209"/>
      <c r="H209"/>
      <c r="I209"/>
      <c r="J209"/>
      <c r="K209"/>
      <c r="L209"/>
      <c r="M209"/>
      <c r="N209"/>
      <c r="O209"/>
      <c r="P209"/>
      <c r="Q209"/>
      <c r="R209"/>
      <c r="S209"/>
      <c r="V209"/>
      <c r="Z209"/>
      <c r="AA209"/>
      <c r="AB209"/>
      <c r="AC209"/>
      <c r="AD209"/>
      <c r="AE209"/>
      <c r="AF209"/>
      <c r="AG209"/>
      <c r="AH209"/>
      <c r="AI209"/>
      <c r="AJ209"/>
      <c r="AK209"/>
      <c r="AL209"/>
      <c r="AM209"/>
      <c r="AN209"/>
      <c r="AR209"/>
    </row>
    <row r="210" spans="1:44" s="2" customFormat="1" x14ac:dyDescent="0.35">
      <c r="B210"/>
      <c r="D210"/>
      <c r="E210"/>
      <c r="F210"/>
      <c r="G210"/>
      <c r="H210"/>
      <c r="I210"/>
      <c r="J210"/>
      <c r="K210"/>
      <c r="L210"/>
      <c r="M210"/>
      <c r="N210"/>
      <c r="O210"/>
      <c r="P210"/>
      <c r="Q210"/>
      <c r="R210"/>
      <c r="S210"/>
      <c r="V210"/>
      <c r="Z210"/>
      <c r="AA210"/>
      <c r="AB210"/>
      <c r="AC210"/>
      <c r="AD210"/>
      <c r="AE210"/>
      <c r="AF210"/>
      <c r="AG210"/>
      <c r="AH210"/>
      <c r="AI210"/>
      <c r="AJ210"/>
      <c r="AK210"/>
      <c r="AL210"/>
      <c r="AM210"/>
      <c r="AN210"/>
      <c r="AR210"/>
    </row>
    <row r="211" spans="1:44" s="2" customFormat="1" x14ac:dyDescent="0.35">
      <c r="B211"/>
      <c r="D211"/>
      <c r="E211"/>
      <c r="F211"/>
      <c r="G211"/>
      <c r="H211"/>
      <c r="I211"/>
      <c r="J211"/>
      <c r="K211"/>
      <c r="L211"/>
      <c r="M211"/>
      <c r="N211"/>
      <c r="O211"/>
      <c r="P211"/>
      <c r="Q211"/>
      <c r="R211"/>
      <c r="S211"/>
      <c r="V211"/>
      <c r="Z211"/>
      <c r="AA211"/>
      <c r="AB211"/>
      <c r="AC211"/>
      <c r="AD211"/>
      <c r="AE211"/>
      <c r="AF211"/>
      <c r="AG211"/>
      <c r="AH211"/>
      <c r="AI211"/>
      <c r="AJ211"/>
      <c r="AK211"/>
      <c r="AL211"/>
      <c r="AM211"/>
      <c r="AN211"/>
      <c r="AR211"/>
    </row>
    <row r="212" spans="1:44" s="2" customFormat="1" x14ac:dyDescent="0.35">
      <c r="A212"/>
      <c r="B212"/>
      <c r="D212"/>
      <c r="E212"/>
      <c r="F212"/>
      <c r="G212"/>
      <c r="H212"/>
      <c r="I212"/>
      <c r="J212"/>
      <c r="K212"/>
      <c r="L212"/>
      <c r="M212"/>
      <c r="N212"/>
      <c r="O212"/>
      <c r="P212"/>
      <c r="Q212"/>
      <c r="R212"/>
      <c r="S212"/>
      <c r="V212"/>
      <c r="Z212"/>
      <c r="AA212"/>
      <c r="AB212"/>
      <c r="AC212"/>
      <c r="AD212"/>
      <c r="AE212"/>
      <c r="AF212"/>
      <c r="AG212"/>
      <c r="AH212"/>
      <c r="AI212"/>
      <c r="AJ212"/>
      <c r="AK212"/>
      <c r="AL212"/>
      <c r="AM212"/>
      <c r="AR212"/>
    </row>
    <row r="213" spans="1:44" s="2" customFormat="1" x14ac:dyDescent="0.35">
      <c r="A213"/>
      <c r="B213"/>
      <c r="D213"/>
      <c r="E213"/>
      <c r="F213"/>
      <c r="G213"/>
      <c r="H213"/>
      <c r="I213"/>
      <c r="J213"/>
      <c r="K213"/>
      <c r="L213"/>
      <c r="M213"/>
      <c r="N213"/>
      <c r="O213"/>
      <c r="P213"/>
      <c r="Q213"/>
      <c r="R213"/>
      <c r="S213"/>
      <c r="V213"/>
      <c r="Z213"/>
      <c r="AA213"/>
      <c r="AB213"/>
      <c r="AC213"/>
      <c r="AD213"/>
      <c r="AE213"/>
      <c r="AF213"/>
      <c r="AG213"/>
      <c r="AH213"/>
      <c r="AI213"/>
      <c r="AJ213"/>
      <c r="AK213"/>
      <c r="AL213"/>
      <c r="AM213"/>
      <c r="AR213"/>
    </row>
    <row r="214" spans="1:44" s="2" customFormat="1" x14ac:dyDescent="0.35">
      <c r="A214"/>
      <c r="B214"/>
      <c r="D214"/>
      <c r="E214"/>
      <c r="F214"/>
      <c r="G214"/>
      <c r="H214"/>
      <c r="I214"/>
      <c r="J214"/>
      <c r="K214"/>
      <c r="L214"/>
      <c r="M214"/>
      <c r="N214"/>
      <c r="O214"/>
      <c r="P214"/>
      <c r="Q214"/>
      <c r="R214"/>
      <c r="S214"/>
      <c r="V214"/>
      <c r="Z214"/>
      <c r="AA214"/>
      <c r="AB214"/>
      <c r="AC214"/>
      <c r="AD214"/>
      <c r="AE214"/>
      <c r="AF214"/>
      <c r="AG214"/>
      <c r="AH214"/>
      <c r="AI214"/>
      <c r="AJ214"/>
      <c r="AK214"/>
      <c r="AL214"/>
      <c r="AM214"/>
      <c r="AR214"/>
    </row>
    <row r="215" spans="1:44" s="2" customFormat="1" x14ac:dyDescent="0.35">
      <c r="A215"/>
      <c r="B215"/>
      <c r="D215"/>
      <c r="E215"/>
      <c r="F215"/>
      <c r="G215"/>
      <c r="H215"/>
      <c r="I215"/>
      <c r="J215"/>
      <c r="K215"/>
      <c r="L215"/>
      <c r="M215"/>
      <c r="N215"/>
      <c r="O215"/>
      <c r="P215"/>
      <c r="Q215"/>
      <c r="R215"/>
      <c r="S215"/>
      <c r="V215"/>
      <c r="AR215"/>
    </row>
    <row r="216" spans="1:44" s="2" customFormat="1" x14ac:dyDescent="0.35">
      <c r="A216"/>
      <c r="B216"/>
      <c r="D216"/>
      <c r="E216"/>
      <c r="F216"/>
      <c r="G216"/>
      <c r="H216"/>
      <c r="I216"/>
      <c r="J216"/>
      <c r="K216"/>
      <c r="L216"/>
      <c r="M216"/>
      <c r="N216"/>
      <c r="O216"/>
      <c r="P216"/>
      <c r="Q216"/>
      <c r="R216"/>
      <c r="S216"/>
      <c r="V216"/>
      <c r="AR216"/>
    </row>
    <row r="217" spans="1:44" s="2" customFormat="1" x14ac:dyDescent="0.35">
      <c r="A217"/>
      <c r="B217"/>
      <c r="C217"/>
      <c r="D217"/>
      <c r="E217"/>
      <c r="F217"/>
      <c r="G217"/>
      <c r="H217"/>
      <c r="I217"/>
      <c r="J217"/>
      <c r="K217"/>
      <c r="L217"/>
      <c r="M217"/>
      <c r="N217"/>
      <c r="O217"/>
      <c r="P217"/>
      <c r="Q217"/>
      <c r="R217"/>
      <c r="S217"/>
      <c r="V217"/>
      <c r="AR217"/>
    </row>
    <row r="218" spans="1:44" s="2" customFormat="1" x14ac:dyDescent="0.35">
      <c r="A218"/>
      <c r="B218"/>
      <c r="C218"/>
      <c r="D218"/>
      <c r="E218"/>
      <c r="F218"/>
      <c r="G218"/>
      <c r="H218"/>
      <c r="I218"/>
      <c r="J218"/>
      <c r="K218"/>
      <c r="L218"/>
      <c r="M218"/>
      <c r="N218"/>
      <c r="O218"/>
      <c r="P218"/>
      <c r="Q218"/>
      <c r="R218"/>
      <c r="S218"/>
      <c r="V218"/>
      <c r="W218"/>
      <c r="AR218"/>
    </row>
    <row r="219" spans="1:44" s="2" customFormat="1" x14ac:dyDescent="0.35">
      <c r="A219"/>
      <c r="B219"/>
      <c r="C219"/>
      <c r="D219"/>
      <c r="E219"/>
      <c r="F219"/>
      <c r="G219"/>
      <c r="H219"/>
      <c r="I219"/>
      <c r="J219"/>
      <c r="K219"/>
      <c r="L219"/>
      <c r="M219"/>
      <c r="N219"/>
      <c r="O219"/>
      <c r="P219"/>
      <c r="Q219"/>
      <c r="R219"/>
      <c r="S219"/>
      <c r="V219"/>
      <c r="W219"/>
      <c r="AR219"/>
    </row>
    <row r="220" spans="1:44" s="2" customFormat="1" x14ac:dyDescent="0.35">
      <c r="A220"/>
      <c r="B220"/>
      <c r="C220"/>
      <c r="D220"/>
      <c r="E220"/>
      <c r="F220"/>
      <c r="G220"/>
      <c r="H220"/>
      <c r="I220"/>
      <c r="J220"/>
      <c r="K220"/>
      <c r="L220"/>
      <c r="M220"/>
      <c r="N220"/>
      <c r="O220"/>
      <c r="P220"/>
      <c r="Q220"/>
      <c r="R220"/>
      <c r="S220"/>
      <c r="V220"/>
      <c r="W220"/>
      <c r="AR220"/>
    </row>
    <row r="221" spans="1:44" s="2" customFormat="1" x14ac:dyDescent="0.35">
      <c r="A221"/>
      <c r="B221"/>
      <c r="C221"/>
      <c r="D221"/>
      <c r="E221"/>
      <c r="F221"/>
      <c r="G221"/>
      <c r="H221"/>
      <c r="I221"/>
      <c r="J221"/>
      <c r="K221"/>
      <c r="L221"/>
      <c r="M221"/>
      <c r="N221"/>
      <c r="O221"/>
      <c r="P221"/>
      <c r="Q221"/>
      <c r="R221"/>
      <c r="S221"/>
      <c r="V221"/>
      <c r="W221"/>
    </row>
    <row r="222" spans="1:44" s="2" customFormat="1" x14ac:dyDescent="0.35">
      <c r="A222"/>
      <c r="B222"/>
      <c r="C222"/>
      <c r="D222"/>
      <c r="E222"/>
      <c r="F222"/>
      <c r="G222"/>
      <c r="H222"/>
      <c r="I222"/>
      <c r="J222"/>
      <c r="K222"/>
      <c r="L222"/>
      <c r="M222"/>
      <c r="N222"/>
      <c r="O222"/>
      <c r="P222"/>
      <c r="Q222"/>
      <c r="R222"/>
      <c r="S222"/>
      <c r="V222"/>
      <c r="W222"/>
    </row>
    <row r="223" spans="1:44" s="2" customFormat="1" x14ac:dyDescent="0.35">
      <c r="A223"/>
      <c r="B223"/>
      <c r="C223"/>
      <c r="D223"/>
      <c r="E223"/>
      <c r="F223"/>
      <c r="G223"/>
      <c r="H223"/>
      <c r="I223"/>
      <c r="J223"/>
      <c r="K223"/>
      <c r="L223"/>
      <c r="M223"/>
      <c r="N223"/>
      <c r="O223"/>
      <c r="P223"/>
      <c r="Q223"/>
      <c r="R223"/>
      <c r="S223"/>
      <c r="V223"/>
      <c r="W223"/>
    </row>
    <row r="224" spans="1:44" s="2" customFormat="1" x14ac:dyDescent="0.35">
      <c r="A224"/>
      <c r="B224"/>
      <c r="C224"/>
      <c r="D224"/>
      <c r="E224"/>
      <c r="F224"/>
      <c r="G224"/>
      <c r="H224"/>
      <c r="I224"/>
      <c r="J224"/>
      <c r="K224"/>
      <c r="L224"/>
      <c r="M224"/>
      <c r="N224"/>
      <c r="O224"/>
      <c r="P224"/>
      <c r="Q224"/>
      <c r="R224"/>
      <c r="S224"/>
      <c r="V224"/>
      <c r="W224"/>
    </row>
    <row r="225" spans="1:44" s="2" customFormat="1" x14ac:dyDescent="0.35">
      <c r="A225"/>
      <c r="B225"/>
      <c r="C225"/>
      <c r="D225"/>
      <c r="E225"/>
      <c r="F225"/>
      <c r="G225"/>
      <c r="H225"/>
      <c r="I225"/>
      <c r="J225"/>
      <c r="K225"/>
      <c r="L225"/>
      <c r="M225"/>
      <c r="N225"/>
      <c r="O225"/>
      <c r="P225"/>
      <c r="Q225"/>
      <c r="R225"/>
      <c r="S225"/>
      <c r="T225"/>
      <c r="U225"/>
      <c r="V225"/>
      <c r="W225"/>
    </row>
    <row r="226" spans="1:44" s="2" customFormat="1" x14ac:dyDescent="0.35">
      <c r="A226"/>
      <c r="B226"/>
      <c r="C226"/>
      <c r="D226"/>
      <c r="E226"/>
      <c r="F226"/>
      <c r="G226"/>
      <c r="H226"/>
      <c r="I226"/>
      <c r="J226"/>
      <c r="K226"/>
      <c r="L226"/>
      <c r="M226"/>
      <c r="N226"/>
      <c r="O226"/>
      <c r="P226"/>
      <c r="Q226"/>
      <c r="R226"/>
      <c r="S226"/>
      <c r="T226"/>
      <c r="U226"/>
      <c r="V226"/>
      <c r="W226"/>
    </row>
    <row r="227" spans="1:44" s="2" customFormat="1" x14ac:dyDescent="0.35">
      <c r="A227"/>
      <c r="B227"/>
      <c r="C227"/>
      <c r="D227"/>
      <c r="E227"/>
      <c r="F227"/>
      <c r="G227"/>
      <c r="H227"/>
      <c r="I227"/>
      <c r="J227"/>
      <c r="K227"/>
      <c r="L227"/>
      <c r="M227"/>
      <c r="N227"/>
      <c r="O227"/>
      <c r="P227"/>
      <c r="Q227"/>
      <c r="R227"/>
      <c r="S227"/>
      <c r="T227"/>
      <c r="U227"/>
      <c r="V227"/>
      <c r="W227"/>
    </row>
    <row r="228" spans="1:44" s="2" customFormat="1" x14ac:dyDescent="0.35">
      <c r="A228"/>
      <c r="B228"/>
      <c r="C228"/>
      <c r="D228"/>
      <c r="E228"/>
      <c r="F228"/>
      <c r="G228"/>
      <c r="H228"/>
      <c r="I228"/>
      <c r="J228"/>
      <c r="K228"/>
      <c r="L228"/>
      <c r="M228"/>
      <c r="N228"/>
      <c r="O228"/>
      <c r="P228"/>
      <c r="Q228"/>
      <c r="R228"/>
      <c r="S228"/>
      <c r="T228"/>
      <c r="U228"/>
      <c r="V228"/>
      <c r="W228"/>
    </row>
    <row r="229" spans="1:44" x14ac:dyDescent="0.35">
      <c r="X229" s="2"/>
      <c r="Y229" s="2"/>
      <c r="Z229" s="2"/>
      <c r="AA229" s="2"/>
      <c r="AB229" s="2"/>
      <c r="AC229" s="2"/>
      <c r="AD229" s="2"/>
      <c r="AE229" s="2"/>
      <c r="AF229" s="2"/>
      <c r="AG229" s="2"/>
      <c r="AH229" s="2"/>
      <c r="AI229" s="2"/>
      <c r="AJ229" s="2"/>
      <c r="AK229" s="2"/>
      <c r="AL229" s="2"/>
      <c r="AM229" s="2"/>
      <c r="AN229" s="2"/>
      <c r="AO229" s="2"/>
      <c r="AP229" s="2"/>
      <c r="AQ229" s="2"/>
      <c r="AR229" s="2"/>
    </row>
    <row r="230" spans="1:44" x14ac:dyDescent="0.35">
      <c r="X230" s="2"/>
      <c r="Y230" s="2"/>
      <c r="Z230" s="2"/>
      <c r="AA230" s="2"/>
      <c r="AB230" s="2"/>
      <c r="AC230" s="2"/>
      <c r="AD230" s="2"/>
      <c r="AE230" s="2"/>
      <c r="AF230" s="2"/>
      <c r="AG230" s="2"/>
      <c r="AH230" s="2"/>
      <c r="AI230" s="2"/>
      <c r="AJ230" s="2"/>
      <c r="AK230" s="2"/>
      <c r="AL230" s="2"/>
      <c r="AM230" s="2"/>
      <c r="AN230" s="2"/>
      <c r="AO230" s="2"/>
      <c r="AP230" s="2"/>
      <c r="AQ230" s="2"/>
      <c r="AR230" s="2"/>
    </row>
    <row r="231" spans="1:44" x14ac:dyDescent="0.35">
      <c r="X231" s="2"/>
      <c r="Y231" s="2"/>
      <c r="Z231" s="2"/>
      <c r="AA231" s="2"/>
      <c r="AB231" s="2"/>
      <c r="AC231" s="2"/>
      <c r="AD231" s="2"/>
      <c r="AE231" s="2"/>
      <c r="AF231" s="2"/>
      <c r="AG231" s="2"/>
      <c r="AH231" s="2"/>
      <c r="AI231" s="2"/>
      <c r="AJ231" s="2"/>
      <c r="AK231" s="2"/>
      <c r="AL231" s="2"/>
      <c r="AM231" s="2"/>
      <c r="AN231" s="2"/>
      <c r="AO231" s="2"/>
      <c r="AP231" s="2"/>
      <c r="AQ231" s="2"/>
      <c r="AR231" s="2"/>
    </row>
    <row r="232" spans="1:44" x14ac:dyDescent="0.35">
      <c r="X232" s="2"/>
      <c r="Y232" s="2"/>
      <c r="Z232" s="2"/>
      <c r="AA232" s="2"/>
      <c r="AB232" s="2"/>
      <c r="AC232" s="2"/>
      <c r="AD232" s="2"/>
      <c r="AE232" s="2"/>
      <c r="AF232" s="2"/>
      <c r="AG232" s="2"/>
      <c r="AH232" s="2"/>
      <c r="AI232" s="2"/>
      <c r="AJ232" s="2"/>
      <c r="AK232" s="2"/>
      <c r="AL232" s="2"/>
      <c r="AM232" s="2"/>
      <c r="AN232" s="2"/>
      <c r="AO232" s="2"/>
      <c r="AP232" s="2"/>
      <c r="AQ232" s="2"/>
      <c r="AR232" s="2"/>
    </row>
    <row r="233" spans="1:44" x14ac:dyDescent="0.35">
      <c r="X233" s="2"/>
      <c r="Y233" s="2"/>
      <c r="Z233" s="2"/>
      <c r="AA233" s="2"/>
      <c r="AB233" s="2"/>
      <c r="AC233" s="2"/>
      <c r="AD233" s="2"/>
      <c r="AE233" s="2"/>
      <c r="AF233" s="2"/>
      <c r="AG233" s="2"/>
      <c r="AH233" s="2"/>
      <c r="AI233" s="2"/>
      <c r="AJ233" s="2"/>
      <c r="AK233" s="2"/>
      <c r="AL233" s="2"/>
      <c r="AM233" s="2"/>
      <c r="AN233" s="2"/>
      <c r="AO233" s="2"/>
      <c r="AP233" s="2"/>
      <c r="AQ233" s="2"/>
      <c r="AR233" s="2"/>
    </row>
    <row r="234" spans="1:44" x14ac:dyDescent="0.35">
      <c r="X234" s="2"/>
      <c r="Y234" s="2"/>
      <c r="Z234" s="2"/>
      <c r="AA234" s="2"/>
      <c r="AB234" s="2"/>
      <c r="AC234" s="2"/>
      <c r="AD234" s="2"/>
      <c r="AE234" s="2"/>
      <c r="AF234" s="2"/>
      <c r="AG234" s="2"/>
      <c r="AH234" s="2"/>
      <c r="AI234" s="2"/>
      <c r="AJ234" s="2"/>
      <c r="AK234" s="2"/>
      <c r="AL234" s="2"/>
      <c r="AM234" s="2"/>
      <c r="AN234" s="2"/>
      <c r="AO234" s="2"/>
      <c r="AP234" s="2"/>
      <c r="AQ234" s="2"/>
      <c r="AR234" s="2"/>
    </row>
    <row r="235" spans="1:44" x14ac:dyDescent="0.35">
      <c r="X235" s="2"/>
      <c r="Y235" s="2"/>
      <c r="Z235" s="2"/>
      <c r="AA235" s="2"/>
      <c r="AB235" s="2"/>
      <c r="AC235" s="2"/>
      <c r="AD235" s="2"/>
      <c r="AE235" s="2"/>
      <c r="AF235" s="2"/>
      <c r="AG235" s="2"/>
      <c r="AH235" s="2"/>
      <c r="AI235" s="2"/>
      <c r="AJ235" s="2"/>
      <c r="AK235" s="2"/>
      <c r="AL235" s="2"/>
      <c r="AM235" s="2"/>
      <c r="AN235" s="2"/>
      <c r="AO235" s="2"/>
      <c r="AP235" s="2"/>
      <c r="AQ235" s="2"/>
      <c r="AR235" s="2"/>
    </row>
    <row r="236" spans="1:44" x14ac:dyDescent="0.35">
      <c r="X236" s="2"/>
      <c r="Y236" s="2"/>
      <c r="Z236" s="2"/>
      <c r="AA236" s="2"/>
      <c r="AB236" s="2"/>
      <c r="AC236" s="2"/>
      <c r="AD236" s="2"/>
      <c r="AE236" s="2"/>
      <c r="AF236" s="2"/>
      <c r="AG236" s="2"/>
      <c r="AH236" s="2"/>
      <c r="AI236" s="2"/>
      <c r="AJ236" s="2"/>
      <c r="AK236" s="2"/>
      <c r="AL236" s="2"/>
      <c r="AM236" s="2"/>
      <c r="AN236" s="2"/>
      <c r="AO236" s="2"/>
      <c r="AP236" s="2"/>
      <c r="AQ236" s="2"/>
      <c r="AR236" s="2"/>
    </row>
    <row r="237" spans="1:44" x14ac:dyDescent="0.35">
      <c r="X237" s="2"/>
      <c r="Y237" s="2"/>
      <c r="Z237" s="2"/>
      <c r="AA237" s="2"/>
      <c r="AB237" s="2"/>
      <c r="AC237" s="2"/>
      <c r="AD237" s="2"/>
      <c r="AE237" s="2"/>
      <c r="AF237" s="2"/>
      <c r="AG237" s="2"/>
      <c r="AH237" s="2"/>
      <c r="AI237" s="2"/>
      <c r="AJ237" s="2"/>
      <c r="AK237" s="2"/>
      <c r="AL237" s="2"/>
      <c r="AM237" s="2"/>
      <c r="AN237" s="2"/>
      <c r="AO237" s="2"/>
      <c r="AP237" s="2"/>
      <c r="AQ237" s="2"/>
      <c r="AR237" s="2"/>
    </row>
    <row r="238" spans="1:44" x14ac:dyDescent="0.35">
      <c r="X238" s="2"/>
      <c r="Y238" s="2"/>
      <c r="Z238" s="2"/>
      <c r="AA238" s="2"/>
      <c r="AB238" s="2"/>
      <c r="AC238" s="2"/>
      <c r="AD238" s="2"/>
      <c r="AE238" s="2"/>
      <c r="AF238" s="2"/>
      <c r="AG238" s="2"/>
      <c r="AH238" s="2"/>
      <c r="AI238" s="2"/>
      <c r="AJ238" s="2"/>
      <c r="AK238" s="2"/>
      <c r="AL238" s="2"/>
      <c r="AM238" s="2"/>
      <c r="AN238" s="2"/>
      <c r="AO238" s="2"/>
      <c r="AP238" s="2"/>
      <c r="AQ238" s="2"/>
      <c r="AR238" s="2"/>
    </row>
    <row r="239" spans="1:44" x14ac:dyDescent="0.35">
      <c r="X239" s="2"/>
      <c r="Y239" s="2"/>
      <c r="Z239" s="2"/>
      <c r="AA239" s="2"/>
      <c r="AB239" s="2"/>
      <c r="AC239" s="2"/>
      <c r="AD239" s="2"/>
      <c r="AE239" s="2"/>
      <c r="AF239" s="2"/>
      <c r="AG239" s="2"/>
      <c r="AH239" s="2"/>
      <c r="AI239" s="2"/>
      <c r="AJ239" s="2"/>
      <c r="AK239" s="2"/>
      <c r="AL239" s="2"/>
      <c r="AM239" s="2"/>
      <c r="AN239" s="2"/>
      <c r="AO239" s="2"/>
      <c r="AP239" s="2"/>
      <c r="AQ239" s="2"/>
      <c r="AR239" s="2"/>
    </row>
    <row r="240" spans="1:44" x14ac:dyDescent="0.35">
      <c r="X240" s="2"/>
      <c r="Y240" s="2"/>
      <c r="Z240" s="2"/>
      <c r="AA240" s="2"/>
      <c r="AB240" s="2"/>
      <c r="AC240" s="2"/>
      <c r="AD240" s="2"/>
      <c r="AE240" s="2"/>
      <c r="AF240" s="2"/>
      <c r="AG240" s="2"/>
      <c r="AH240" s="2"/>
      <c r="AI240" s="2"/>
      <c r="AJ240" s="2"/>
      <c r="AK240" s="2"/>
      <c r="AL240" s="2"/>
      <c r="AM240" s="2"/>
      <c r="AN240" s="2"/>
      <c r="AO240" s="2"/>
      <c r="AP240" s="2"/>
      <c r="AQ240" s="2"/>
      <c r="AR240" s="2"/>
    </row>
    <row r="241" spans="24:44" x14ac:dyDescent="0.35">
      <c r="X241" s="2"/>
      <c r="Y241" s="2"/>
      <c r="Z241" s="2"/>
      <c r="AA241" s="2"/>
      <c r="AB241" s="2"/>
      <c r="AC241" s="2"/>
      <c r="AD241" s="2"/>
      <c r="AE241" s="2"/>
      <c r="AF241" s="2"/>
      <c r="AG241" s="2"/>
      <c r="AH241" s="2"/>
      <c r="AI241" s="2"/>
      <c r="AJ241" s="2"/>
      <c r="AK241" s="2"/>
      <c r="AL241" s="2"/>
      <c r="AM241" s="2"/>
      <c r="AN241" s="2"/>
      <c r="AO241" s="2"/>
      <c r="AP241" s="2"/>
      <c r="AQ241" s="2"/>
      <c r="AR241" s="2"/>
    </row>
    <row r="242" spans="24:44" x14ac:dyDescent="0.35">
      <c r="X242" s="2"/>
      <c r="Y242" s="2"/>
      <c r="Z242" s="2"/>
      <c r="AA242" s="2"/>
      <c r="AB242" s="2"/>
      <c r="AC242" s="2"/>
      <c r="AD242" s="2"/>
      <c r="AE242" s="2"/>
      <c r="AF242" s="2"/>
      <c r="AG242" s="2"/>
      <c r="AH242" s="2"/>
      <c r="AI242" s="2"/>
      <c r="AJ242" s="2"/>
      <c r="AK242" s="2"/>
      <c r="AL242" s="2"/>
      <c r="AM242" s="2"/>
      <c r="AN242" s="2"/>
      <c r="AO242" s="2"/>
      <c r="AP242" s="2"/>
      <c r="AQ242" s="2"/>
      <c r="AR242" s="2"/>
    </row>
    <row r="243" spans="24:44" x14ac:dyDescent="0.35">
      <c r="X243" s="2"/>
      <c r="Y243" s="2"/>
      <c r="Z243" s="2"/>
      <c r="AA243" s="2"/>
      <c r="AB243" s="2"/>
      <c r="AC243" s="2"/>
      <c r="AD243" s="2"/>
      <c r="AE243" s="2"/>
      <c r="AF243" s="2"/>
      <c r="AG243" s="2"/>
      <c r="AH243" s="2"/>
      <c r="AI243" s="2"/>
      <c r="AJ243" s="2"/>
      <c r="AK243" s="2"/>
      <c r="AL243" s="2"/>
      <c r="AM243" s="2"/>
      <c r="AN243" s="2"/>
      <c r="AO243" s="2"/>
      <c r="AP243" s="2"/>
      <c r="AQ243" s="2"/>
      <c r="AR243" s="2"/>
    </row>
    <row r="244" spans="24:44" x14ac:dyDescent="0.35">
      <c r="X244" s="2"/>
      <c r="Y244" s="2"/>
      <c r="Z244" s="2"/>
      <c r="AA244" s="2"/>
      <c r="AB244" s="2"/>
      <c r="AC244" s="2"/>
      <c r="AD244" s="2"/>
      <c r="AE244" s="2"/>
      <c r="AF244" s="2"/>
      <c r="AG244" s="2"/>
      <c r="AH244" s="2"/>
      <c r="AI244" s="2"/>
      <c r="AJ244" s="2"/>
      <c r="AK244" s="2"/>
      <c r="AL244" s="2"/>
      <c r="AM244" s="2"/>
      <c r="AN244" s="2"/>
      <c r="AO244" s="2"/>
      <c r="AP244" s="2"/>
      <c r="AQ244" s="2"/>
      <c r="AR244" s="2"/>
    </row>
    <row r="245" spans="24:44" x14ac:dyDescent="0.35">
      <c r="X245" s="2"/>
      <c r="Y245" s="2"/>
      <c r="Z245" s="2"/>
      <c r="AA245" s="2"/>
      <c r="AB245" s="2"/>
      <c r="AC245" s="2"/>
      <c r="AD245" s="2"/>
      <c r="AE245" s="2"/>
      <c r="AF245" s="2"/>
      <c r="AG245" s="2"/>
      <c r="AH245" s="2"/>
      <c r="AI245" s="2"/>
      <c r="AJ245" s="2"/>
      <c r="AK245" s="2"/>
      <c r="AL245" s="2"/>
      <c r="AM245" s="2"/>
      <c r="AN245" s="2"/>
      <c r="AO245" s="2"/>
      <c r="AP245" s="2"/>
      <c r="AQ245" s="2"/>
      <c r="AR245" s="2"/>
    </row>
    <row r="246" spans="24:44" x14ac:dyDescent="0.35">
      <c r="X246" s="2"/>
      <c r="Y246" s="2"/>
      <c r="Z246" s="2"/>
      <c r="AA246" s="2"/>
      <c r="AB246" s="2"/>
      <c r="AC246" s="2"/>
      <c r="AD246" s="2"/>
      <c r="AE246" s="2"/>
      <c r="AF246" s="2"/>
      <c r="AG246" s="2"/>
      <c r="AH246" s="2"/>
      <c r="AI246" s="2"/>
      <c r="AJ246" s="2"/>
      <c r="AK246" s="2"/>
      <c r="AL246" s="2"/>
      <c r="AM246" s="2"/>
      <c r="AN246" s="2"/>
      <c r="AO246" s="2"/>
      <c r="AP246" s="2"/>
      <c r="AQ246" s="2"/>
      <c r="AR246" s="2"/>
    </row>
    <row r="247" spans="24:44" x14ac:dyDescent="0.35">
      <c r="X247" s="2"/>
      <c r="Y247" s="2"/>
      <c r="Z247" s="2"/>
      <c r="AA247" s="2"/>
      <c r="AB247" s="2"/>
      <c r="AC247" s="2"/>
      <c r="AD247" s="2"/>
      <c r="AE247" s="2"/>
      <c r="AF247" s="2"/>
      <c r="AG247" s="2"/>
      <c r="AH247" s="2"/>
      <c r="AI247" s="2"/>
      <c r="AJ247" s="2"/>
      <c r="AK247" s="2"/>
      <c r="AL247" s="2"/>
      <c r="AM247" s="2"/>
      <c r="AN247" s="2"/>
      <c r="AO247" s="2"/>
      <c r="AP247" s="2"/>
      <c r="AQ247" s="2"/>
      <c r="AR247" s="2"/>
    </row>
    <row r="248" spans="24:44" x14ac:dyDescent="0.35">
      <c r="X248" s="2"/>
      <c r="Y248" s="2"/>
      <c r="Z248" s="2"/>
      <c r="AA248" s="2"/>
      <c r="AB248" s="2"/>
      <c r="AC248" s="2"/>
      <c r="AD248" s="2"/>
      <c r="AE248" s="2"/>
      <c r="AF248" s="2"/>
      <c r="AG248" s="2"/>
      <c r="AH248" s="2"/>
      <c r="AI248" s="2"/>
      <c r="AJ248" s="2"/>
      <c r="AK248" s="2"/>
      <c r="AL248" s="2"/>
      <c r="AM248" s="2"/>
      <c r="AN248" s="2"/>
      <c r="AO248" s="2"/>
      <c r="AP248" s="2"/>
      <c r="AQ248" s="2"/>
      <c r="AR248" s="2"/>
    </row>
    <row r="249" spans="24:44" x14ac:dyDescent="0.35">
      <c r="X249" s="2"/>
      <c r="Y249" s="2"/>
      <c r="Z249" s="2"/>
      <c r="AA249" s="2"/>
      <c r="AB249" s="2"/>
      <c r="AC249" s="2"/>
      <c r="AD249" s="2"/>
      <c r="AE249" s="2"/>
      <c r="AF249" s="2"/>
      <c r="AG249" s="2"/>
      <c r="AH249" s="2"/>
      <c r="AI249" s="2"/>
      <c r="AJ249" s="2"/>
      <c r="AK249" s="2"/>
      <c r="AL249" s="2"/>
      <c r="AM249" s="2"/>
      <c r="AN249" s="2"/>
      <c r="AO249" s="2"/>
      <c r="AP249" s="2"/>
      <c r="AQ249" s="2"/>
      <c r="AR249" s="2"/>
    </row>
    <row r="250" spans="24:44" x14ac:dyDescent="0.35">
      <c r="X250" s="2"/>
      <c r="Y250" s="2"/>
      <c r="Z250" s="2"/>
      <c r="AA250" s="2"/>
      <c r="AB250" s="2"/>
      <c r="AC250" s="2"/>
      <c r="AD250" s="2"/>
      <c r="AE250" s="2"/>
      <c r="AF250" s="2"/>
      <c r="AG250" s="2"/>
      <c r="AH250" s="2"/>
      <c r="AI250" s="2"/>
      <c r="AJ250" s="2"/>
      <c r="AK250" s="2"/>
      <c r="AL250" s="2"/>
      <c r="AM250" s="2"/>
      <c r="AN250" s="2"/>
      <c r="AO250" s="2"/>
      <c r="AP250" s="2"/>
      <c r="AR250" s="2"/>
    </row>
    <row r="251" spans="24:44" x14ac:dyDescent="0.35">
      <c r="X251" s="2"/>
      <c r="Y251" s="2"/>
      <c r="Z251" s="2"/>
      <c r="AA251" s="2"/>
      <c r="AB251" s="2"/>
      <c r="AC251" s="2"/>
      <c r="AD251" s="2"/>
      <c r="AE251" s="2"/>
      <c r="AF251" s="2"/>
      <c r="AG251" s="2"/>
      <c r="AH251" s="2"/>
      <c r="AI251" s="2"/>
      <c r="AJ251" s="2"/>
      <c r="AK251" s="2"/>
      <c r="AL251" s="2"/>
      <c r="AM251" s="2"/>
      <c r="AN251" s="2"/>
      <c r="AO251" s="2"/>
      <c r="AR251" s="2"/>
    </row>
    <row r="252" spans="24:44" x14ac:dyDescent="0.35">
      <c r="X252" s="2"/>
      <c r="Y252" s="2"/>
      <c r="Z252" s="2"/>
      <c r="AA252" s="2"/>
      <c r="AB252" s="2"/>
      <c r="AC252" s="2"/>
      <c r="AD252" s="2"/>
      <c r="AE252" s="2"/>
      <c r="AF252" s="2"/>
      <c r="AG252" s="2"/>
      <c r="AH252" s="2"/>
      <c r="AI252" s="2"/>
      <c r="AJ252" s="2"/>
      <c r="AK252" s="2"/>
      <c r="AL252" s="2"/>
      <c r="AM252" s="2"/>
      <c r="AN252" s="2"/>
      <c r="AO252" s="2"/>
      <c r="AR252" s="2"/>
    </row>
    <row r="253" spans="24:44" x14ac:dyDescent="0.35">
      <c r="X253" s="2"/>
      <c r="Y253" s="2"/>
      <c r="Z253" s="2"/>
      <c r="AA253" s="2"/>
      <c r="AB253" s="2"/>
      <c r="AC253" s="2"/>
      <c r="AD253" s="2"/>
      <c r="AE253" s="2"/>
      <c r="AF253" s="2"/>
      <c r="AG253" s="2"/>
      <c r="AH253" s="2"/>
      <c r="AI253" s="2"/>
      <c r="AJ253" s="2"/>
      <c r="AK253" s="2"/>
      <c r="AL253" s="2"/>
      <c r="AM253" s="2"/>
      <c r="AN253" s="2"/>
      <c r="AR253" s="2"/>
    </row>
    <row r="254" spans="24:44" x14ac:dyDescent="0.35">
      <c r="Y254" s="2"/>
      <c r="Z254" s="2"/>
      <c r="AA254" s="2"/>
      <c r="AB254" s="2"/>
      <c r="AC254" s="2"/>
      <c r="AD254" s="2"/>
      <c r="AE254" s="2"/>
      <c r="AF254" s="2"/>
      <c r="AG254" s="2"/>
      <c r="AH254" s="2"/>
      <c r="AI254" s="2"/>
      <c r="AJ254" s="2"/>
      <c r="AK254" s="2"/>
      <c r="AL254" s="2"/>
      <c r="AM254" s="2"/>
      <c r="AN254" s="2"/>
      <c r="AR254" s="2"/>
    </row>
    <row r="255" spans="24:44" x14ac:dyDescent="0.35">
      <c r="Y255" s="2"/>
      <c r="Z255" s="2"/>
      <c r="AA255" s="2"/>
      <c r="AB255" s="2"/>
      <c r="AC255" s="2"/>
      <c r="AD255" s="2"/>
      <c r="AE255" s="2"/>
      <c r="AF255" s="2"/>
      <c r="AG255" s="2"/>
      <c r="AH255" s="2"/>
      <c r="AI255" s="2"/>
      <c r="AJ255" s="2"/>
      <c r="AK255" s="2"/>
      <c r="AL255" s="2"/>
      <c r="AM255" s="2"/>
      <c r="AN255" s="2"/>
      <c r="AR255" s="2"/>
    </row>
    <row r="256" spans="24:44" x14ac:dyDescent="0.35">
      <c r="Z256" s="2"/>
      <c r="AA256" s="2"/>
      <c r="AB256" s="2"/>
      <c r="AC256" s="2"/>
      <c r="AD256" s="2"/>
      <c r="AE256" s="2"/>
      <c r="AF256" s="2"/>
      <c r="AG256" s="2"/>
      <c r="AH256" s="2"/>
      <c r="AI256" s="2"/>
      <c r="AJ256" s="2"/>
      <c r="AK256" s="2"/>
      <c r="AL256" s="2"/>
      <c r="AM256" s="2"/>
      <c r="AN256" s="2"/>
      <c r="AR256" s="2"/>
    </row>
    <row r="257" spans="26:44" x14ac:dyDescent="0.35">
      <c r="Z257" s="2"/>
      <c r="AA257" s="2"/>
      <c r="AB257" s="2"/>
      <c r="AC257" s="2"/>
      <c r="AD257" s="2"/>
      <c r="AE257" s="2"/>
      <c r="AF257" s="2"/>
      <c r="AG257" s="2"/>
      <c r="AH257" s="2"/>
      <c r="AI257" s="2"/>
      <c r="AJ257" s="2"/>
      <c r="AK257" s="2"/>
      <c r="AL257" s="2"/>
      <c r="AM257" s="2"/>
      <c r="AN257" s="2"/>
      <c r="AR257" s="2"/>
    </row>
    <row r="258" spans="26:44" x14ac:dyDescent="0.35">
      <c r="Z258" s="2"/>
      <c r="AA258" s="2"/>
      <c r="AB258" s="2"/>
      <c r="AC258" s="2"/>
      <c r="AD258" s="2"/>
      <c r="AE258" s="2"/>
      <c r="AF258" s="2"/>
      <c r="AG258" s="2"/>
      <c r="AH258" s="2"/>
      <c r="AI258" s="2"/>
      <c r="AJ258" s="2"/>
      <c r="AK258" s="2"/>
      <c r="AL258" s="2"/>
      <c r="AM258" s="2"/>
      <c r="AN258" s="2"/>
      <c r="AR258" s="2"/>
    </row>
    <row r="259" spans="26:44" x14ac:dyDescent="0.35">
      <c r="Z259" s="2"/>
      <c r="AA259" s="2"/>
      <c r="AB259" s="2"/>
      <c r="AC259" s="2"/>
      <c r="AD259" s="2"/>
      <c r="AE259" s="2"/>
      <c r="AF259" s="2"/>
      <c r="AG259" s="2"/>
      <c r="AH259" s="2"/>
      <c r="AI259" s="2"/>
      <c r="AJ259" s="2"/>
      <c r="AK259" s="2"/>
      <c r="AL259" s="2"/>
      <c r="AM259" s="2"/>
      <c r="AN259" s="2"/>
      <c r="AR259" s="2"/>
    </row>
    <row r="260" spans="26:44" x14ac:dyDescent="0.35">
      <c r="Z260" s="2"/>
      <c r="AA260" s="2"/>
      <c r="AB260" s="2"/>
      <c r="AC260" s="2"/>
      <c r="AD260" s="2"/>
      <c r="AE260" s="2"/>
      <c r="AF260" s="2"/>
      <c r="AG260" s="2"/>
      <c r="AH260" s="2"/>
      <c r="AI260" s="2"/>
      <c r="AJ260" s="2"/>
      <c r="AK260" s="2"/>
      <c r="AL260" s="2"/>
      <c r="AM260" s="2"/>
      <c r="AN260" s="2"/>
      <c r="AR260" s="2"/>
    </row>
    <row r="261" spans="26:44" x14ac:dyDescent="0.35">
      <c r="Z261" s="2"/>
      <c r="AA261" s="2"/>
      <c r="AB261" s="2"/>
      <c r="AC261" s="2"/>
      <c r="AD261" s="2"/>
      <c r="AE261" s="2"/>
      <c r="AF261" s="2"/>
      <c r="AG261" s="2"/>
      <c r="AH261" s="2"/>
      <c r="AI261" s="2"/>
      <c r="AJ261" s="2"/>
      <c r="AK261" s="2"/>
      <c r="AL261" s="2"/>
      <c r="AM261" s="2"/>
      <c r="AN261" s="2"/>
      <c r="AR261" s="2"/>
    </row>
    <row r="262" spans="26:44" x14ac:dyDescent="0.35">
      <c r="Z262" s="2"/>
      <c r="AA262" s="2"/>
      <c r="AB262" s="2"/>
      <c r="AC262" s="2"/>
      <c r="AD262" s="2"/>
      <c r="AE262" s="2"/>
      <c r="AF262" s="2"/>
      <c r="AG262" s="2"/>
      <c r="AH262" s="2"/>
      <c r="AI262" s="2"/>
      <c r="AJ262" s="2"/>
      <c r="AK262" s="2"/>
      <c r="AL262" s="2"/>
      <c r="AM262" s="2"/>
      <c r="AN262" s="2"/>
      <c r="AR262" s="2"/>
    </row>
    <row r="263" spans="26:44" x14ac:dyDescent="0.35">
      <c r="Z263" s="2"/>
      <c r="AA263" s="2"/>
      <c r="AB263" s="2"/>
      <c r="AC263" s="2"/>
      <c r="AD263" s="2"/>
      <c r="AE263" s="2"/>
      <c r="AF263" s="2"/>
      <c r="AG263" s="2"/>
      <c r="AH263" s="2"/>
      <c r="AI263" s="2"/>
      <c r="AJ263" s="2"/>
      <c r="AK263" s="2"/>
      <c r="AL263" s="2"/>
      <c r="AM263" s="2"/>
      <c r="AN263" s="2"/>
      <c r="AR263" s="2"/>
    </row>
    <row r="264" spans="26:44" x14ac:dyDescent="0.35">
      <c r="Z264" s="2"/>
      <c r="AA264" s="2"/>
      <c r="AB264" s="2"/>
      <c r="AC264" s="2"/>
      <c r="AD264" s="2"/>
      <c r="AE264" s="2"/>
      <c r="AF264" s="2"/>
      <c r="AG264" s="2"/>
      <c r="AH264" s="2"/>
      <c r="AI264" s="2"/>
      <c r="AJ264" s="2"/>
      <c r="AK264" s="2"/>
      <c r="AL264" s="2"/>
      <c r="AM264" s="2"/>
      <c r="AN264" s="2"/>
      <c r="AR264" s="2"/>
    </row>
    <row r="265" spans="26:44" x14ac:dyDescent="0.35">
      <c r="Z265" s="2"/>
      <c r="AA265" s="2"/>
      <c r="AB265" s="2"/>
      <c r="AC265" s="2"/>
      <c r="AD265" s="2"/>
      <c r="AE265" s="2"/>
      <c r="AF265" s="2"/>
      <c r="AG265" s="2"/>
      <c r="AH265" s="2"/>
      <c r="AI265" s="2"/>
      <c r="AJ265" s="2"/>
      <c r="AK265" s="2"/>
      <c r="AL265" s="2"/>
      <c r="AM265" s="2"/>
      <c r="AN265" s="2"/>
      <c r="AR265" s="2"/>
    </row>
    <row r="266" spans="26:44" x14ac:dyDescent="0.35">
      <c r="Z266" s="2"/>
      <c r="AA266" s="2"/>
      <c r="AB266" s="2"/>
      <c r="AC266" s="2"/>
      <c r="AD266" s="2"/>
      <c r="AE266" s="2"/>
      <c r="AF266" s="2"/>
      <c r="AG266" s="2"/>
      <c r="AH266" s="2"/>
      <c r="AI266" s="2"/>
      <c r="AJ266" s="2"/>
      <c r="AK266" s="2"/>
      <c r="AL266" s="2"/>
      <c r="AM266" s="2"/>
      <c r="AN266" s="2"/>
      <c r="AR266" s="2"/>
    </row>
    <row r="267" spans="26:44" x14ac:dyDescent="0.35">
      <c r="Z267" s="2"/>
      <c r="AA267" s="2"/>
      <c r="AB267" s="2"/>
      <c r="AC267" s="2"/>
      <c r="AD267" s="2"/>
      <c r="AE267" s="2"/>
      <c r="AF267" s="2"/>
      <c r="AG267" s="2"/>
      <c r="AH267" s="2"/>
      <c r="AI267" s="2"/>
      <c r="AJ267" s="2"/>
      <c r="AK267" s="2"/>
      <c r="AL267" s="2"/>
      <c r="AM267" s="2"/>
      <c r="AN267" s="2"/>
      <c r="AR267" s="2"/>
    </row>
    <row r="268" spans="26:44" x14ac:dyDescent="0.35">
      <c r="Z268" s="2"/>
      <c r="AA268" s="2"/>
      <c r="AB268" s="2"/>
      <c r="AC268" s="2"/>
      <c r="AD268" s="2"/>
      <c r="AE268" s="2"/>
      <c r="AF268" s="2"/>
      <c r="AG268" s="2"/>
      <c r="AH268" s="2"/>
      <c r="AI268" s="2"/>
      <c r="AJ268" s="2"/>
      <c r="AK268" s="2"/>
      <c r="AL268" s="2"/>
      <c r="AM268" s="2"/>
      <c r="AN268" s="2"/>
      <c r="AR268" s="2"/>
    </row>
    <row r="269" spans="26:44" x14ac:dyDescent="0.35">
      <c r="Z269" s="2"/>
      <c r="AA269" s="2"/>
      <c r="AB269" s="2"/>
      <c r="AC269" s="2"/>
      <c r="AD269" s="2"/>
      <c r="AE269" s="2"/>
      <c r="AF269" s="2"/>
      <c r="AG269" s="2"/>
      <c r="AH269" s="2"/>
      <c r="AI269" s="2"/>
      <c r="AJ269" s="2"/>
      <c r="AK269" s="2"/>
      <c r="AL269" s="2"/>
      <c r="AM269" s="2"/>
      <c r="AN269" s="2"/>
      <c r="AR269" s="2"/>
    </row>
    <row r="270" spans="26:44" x14ac:dyDescent="0.35">
      <c r="Z270" s="2"/>
      <c r="AA270" s="2"/>
      <c r="AB270" s="2"/>
      <c r="AC270" s="2"/>
      <c r="AD270" s="2"/>
      <c r="AE270" s="2"/>
      <c r="AF270" s="2"/>
      <c r="AG270" s="2"/>
      <c r="AH270" s="2"/>
      <c r="AI270" s="2"/>
      <c r="AJ270" s="2"/>
      <c r="AK270" s="2"/>
      <c r="AL270" s="2"/>
      <c r="AM270" s="2"/>
      <c r="AR270" s="2"/>
    </row>
    <row r="271" spans="26:44" x14ac:dyDescent="0.35">
      <c r="Z271" s="2"/>
      <c r="AA271" s="2"/>
      <c r="AB271" s="2"/>
      <c r="AC271" s="2"/>
      <c r="AD271" s="2"/>
      <c r="AE271" s="2"/>
      <c r="AF271" s="2"/>
      <c r="AG271" s="2"/>
      <c r="AH271" s="2"/>
      <c r="AI271" s="2"/>
      <c r="AJ271" s="2"/>
      <c r="AK271" s="2"/>
      <c r="AL271" s="2"/>
      <c r="AM271" s="2"/>
      <c r="AR271" s="2"/>
    </row>
    <row r="272" spans="26:44" x14ac:dyDescent="0.35">
      <c r="Z272" s="2"/>
      <c r="AA272" s="2"/>
      <c r="AB272" s="2"/>
      <c r="AC272" s="2"/>
      <c r="AD272" s="2"/>
      <c r="AE272" s="2"/>
      <c r="AF272" s="2"/>
      <c r="AG272" s="2"/>
      <c r="AH272" s="2"/>
      <c r="AI272" s="2"/>
      <c r="AJ272" s="2"/>
      <c r="AK272" s="2"/>
      <c r="AL272" s="2"/>
      <c r="AM272" s="2"/>
      <c r="AR272" s="2"/>
    </row>
    <row r="273" spans="44:44" x14ac:dyDescent="0.35">
      <c r="AR273" s="2"/>
    </row>
    <row r="274" spans="44:44" x14ac:dyDescent="0.35">
      <c r="AR274" s="2"/>
    </row>
    <row r="275" spans="44:44" x14ac:dyDescent="0.35">
      <c r="AR275" s="2"/>
    </row>
    <row r="276" spans="44:44" x14ac:dyDescent="0.35">
      <c r="AR276" s="2"/>
    </row>
    <row r="277" spans="44:44" x14ac:dyDescent="0.35">
      <c r="AR277" s="2"/>
    </row>
    <row r="278" spans="44:44" x14ac:dyDescent="0.35">
      <c r="AR278" s="2"/>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R276"/>
  <sheetViews>
    <sheetView workbookViewId="0">
      <selection activeCell="C4" sqref="C4:U27"/>
    </sheetView>
  </sheetViews>
  <sheetFormatPr defaultRowHeight="14.5" x14ac:dyDescent="0.35"/>
  <sheetData>
    <row r="4" spans="2:40" ht="18.5" x14ac:dyDescent="0.45">
      <c r="B4" s="2"/>
      <c r="C4" s="1" t="s">
        <v>745</v>
      </c>
      <c r="D4" s="2"/>
      <c r="E4" s="2"/>
      <c r="F4" s="2"/>
      <c r="G4" s="2"/>
      <c r="H4" s="2"/>
      <c r="I4" s="2"/>
      <c r="J4" s="2"/>
      <c r="K4" s="2"/>
      <c r="L4" s="2"/>
      <c r="M4" s="2"/>
      <c r="N4" s="2"/>
      <c r="O4" s="2"/>
    </row>
    <row r="5" spans="2:40" ht="18.5" x14ac:dyDescent="0.45">
      <c r="B5" s="2"/>
      <c r="C5" s="2"/>
      <c r="D5" s="2"/>
      <c r="E5" s="2"/>
      <c r="F5" s="1" t="s">
        <v>0</v>
      </c>
      <c r="G5" s="3"/>
      <c r="H5" s="3"/>
      <c r="I5" s="3"/>
      <c r="J5" s="3"/>
      <c r="K5" s="3"/>
      <c r="L5" s="3"/>
      <c r="M5" s="3"/>
      <c r="N5" s="3"/>
      <c r="O5" s="3"/>
      <c r="AA5" s="2"/>
      <c r="AB5" s="1" t="s">
        <v>52</v>
      </c>
      <c r="AC5" s="3"/>
      <c r="AD5" s="3"/>
      <c r="AE5" s="3"/>
      <c r="AF5" s="3"/>
      <c r="AG5" s="3"/>
      <c r="AH5" s="3"/>
      <c r="AI5" s="3"/>
      <c r="AJ5" s="3"/>
      <c r="AK5" s="3"/>
    </row>
    <row r="6" spans="2:40" ht="16" thickBot="1" x14ac:dyDescent="0.4">
      <c r="B6" s="4"/>
      <c r="C6" s="4"/>
      <c r="D6" s="4"/>
      <c r="E6" s="4"/>
      <c r="F6" s="9" t="s">
        <v>1</v>
      </c>
      <c r="G6" s="9" t="s">
        <v>2</v>
      </c>
      <c r="H6" s="9" t="s">
        <v>3</v>
      </c>
      <c r="I6" s="9" t="s">
        <v>4</v>
      </c>
      <c r="J6" s="9" t="s">
        <v>5</v>
      </c>
      <c r="K6" s="9" t="s">
        <v>6</v>
      </c>
      <c r="L6" s="9" t="s">
        <v>7</v>
      </c>
      <c r="M6" s="9" t="s">
        <v>8</v>
      </c>
      <c r="N6" s="9" t="s">
        <v>9</v>
      </c>
      <c r="O6" s="9" t="s">
        <v>10</v>
      </c>
      <c r="P6" s="44" t="s">
        <v>139</v>
      </c>
      <c r="R6" s="44" t="s">
        <v>138</v>
      </c>
      <c r="AA6" s="4"/>
      <c r="AB6" s="9" t="s">
        <v>1</v>
      </c>
      <c r="AC6" s="9" t="s">
        <v>2</v>
      </c>
      <c r="AD6" s="9" t="s">
        <v>3</v>
      </c>
      <c r="AE6" s="9" t="s">
        <v>4</v>
      </c>
      <c r="AF6" s="9" t="s">
        <v>5</v>
      </c>
      <c r="AG6" s="9" t="s">
        <v>6</v>
      </c>
      <c r="AH6" s="9" t="s">
        <v>7</v>
      </c>
      <c r="AI6" s="9" t="s">
        <v>8</v>
      </c>
      <c r="AJ6" s="9" t="s">
        <v>9</v>
      </c>
      <c r="AK6" s="9" t="s">
        <v>10</v>
      </c>
      <c r="AL6" s="44" t="s">
        <v>139</v>
      </c>
      <c r="AN6" s="44" t="s">
        <v>138</v>
      </c>
    </row>
    <row r="7" spans="2:40" x14ac:dyDescent="0.35">
      <c r="B7" s="2"/>
      <c r="C7" s="2"/>
      <c r="D7" s="2"/>
      <c r="E7" s="2"/>
      <c r="F7" s="2">
        <v>1.5944</v>
      </c>
      <c r="G7" s="2">
        <v>2.9802599999999999</v>
      </c>
      <c r="H7" s="2">
        <f>G7-F7</f>
        <v>1.3858599999999999</v>
      </c>
      <c r="I7" s="2">
        <f>F8-G7</f>
        <v>6.5693900000000003</v>
      </c>
      <c r="J7" s="2">
        <f>H7/N7</f>
        <v>0.17420697023977874</v>
      </c>
      <c r="K7" s="2">
        <f>I7/N7</f>
        <v>0.82579302976022129</v>
      </c>
      <c r="L7" s="2">
        <f>1/H7</f>
        <v>0.72157360772372392</v>
      </c>
      <c r="M7" s="2">
        <f>1/N7</f>
        <v>0.12570315200653656</v>
      </c>
      <c r="N7" s="2">
        <f>H7+I7</f>
        <v>7.9552500000000004</v>
      </c>
      <c r="O7" s="2">
        <v>6</v>
      </c>
      <c r="P7">
        <f>O7/H7</f>
        <v>4.3294416463423442</v>
      </c>
      <c r="R7" t="s">
        <v>746</v>
      </c>
      <c r="AA7" s="2"/>
      <c r="AB7" s="2">
        <v>1.59368</v>
      </c>
      <c r="AC7" s="2">
        <v>4.6045400000000001</v>
      </c>
      <c r="AD7" s="2">
        <f t="shared" ref="AD7:AD20" si="0">AC7-AB7</f>
        <v>3.0108600000000001</v>
      </c>
      <c r="AE7" s="2">
        <f t="shared" ref="AE7:AE19" si="1">AB8-AC7</f>
        <v>6.1343499999999995</v>
      </c>
      <c r="AF7" s="2">
        <f>AD7/AJ7</f>
        <v>0.32922808770930362</v>
      </c>
      <c r="AG7" s="2">
        <f>AE7/AJ7</f>
        <v>0.67077191229069644</v>
      </c>
      <c r="AH7" s="2">
        <f>1/AD7</f>
        <v>0.33213101904439263</v>
      </c>
      <c r="AI7" s="2">
        <f>1/AJ7</f>
        <v>0.10934686026892769</v>
      </c>
      <c r="AJ7" s="2">
        <f>AD7+AE7</f>
        <v>9.1452099999999987</v>
      </c>
      <c r="AK7" s="2">
        <v>13</v>
      </c>
      <c r="AL7">
        <f>AK7/AD7</f>
        <v>4.3177032475771044</v>
      </c>
      <c r="AN7" t="s">
        <v>751</v>
      </c>
    </row>
    <row r="8" spans="2:40" x14ac:dyDescent="0.35">
      <c r="B8" s="2"/>
      <c r="C8" s="2"/>
      <c r="D8" s="2"/>
      <c r="E8" s="2"/>
      <c r="F8" s="13">
        <v>9.5496499999999997</v>
      </c>
      <c r="G8" s="2">
        <v>10.867240000000001</v>
      </c>
      <c r="H8" s="2">
        <f t="shared" ref="H8:H19" si="2">G8-F8</f>
        <v>1.3175900000000009</v>
      </c>
      <c r="I8" s="2">
        <f t="shared" ref="I8:I18" si="3">F9-G8</f>
        <v>6.500960000000001</v>
      </c>
      <c r="J8" s="2">
        <f t="shared" ref="J8:J18" si="4">H8/N8</f>
        <v>0.16852101732418423</v>
      </c>
      <c r="K8" s="2">
        <f t="shared" ref="K8:K18" si="5">I8/N8</f>
        <v>0.83147898267581577</v>
      </c>
      <c r="L8" s="2">
        <f t="shared" ref="L8:L18" si="6">1/H8</f>
        <v>0.75896143716937692</v>
      </c>
      <c r="M8" s="2">
        <f t="shared" ref="M8:M18" si="7">1/N8</f>
        <v>0.12790095350160832</v>
      </c>
      <c r="N8" s="2">
        <f t="shared" ref="N8:N18" si="8">H8+I8</f>
        <v>7.8185500000000019</v>
      </c>
      <c r="O8" s="2">
        <v>6</v>
      </c>
      <c r="P8">
        <f t="shared" ref="P8:P18" si="9">O8/H8</f>
        <v>4.5537686230162615</v>
      </c>
      <c r="AA8" s="2"/>
      <c r="AB8" s="13">
        <v>10.73889</v>
      </c>
      <c r="AC8" s="2">
        <v>13.6191</v>
      </c>
      <c r="AD8" s="2">
        <f t="shared" si="0"/>
        <v>2.8802099999999999</v>
      </c>
      <c r="AE8" s="2">
        <f t="shared" si="1"/>
        <v>6.3063199999999995</v>
      </c>
      <c r="AF8" s="2">
        <f t="shared" ref="AF8:AF19" si="10">AD8/AJ8</f>
        <v>0.31352534634949214</v>
      </c>
      <c r="AG8" s="2">
        <f t="shared" ref="AG8:AG19" si="11">AE8/AJ8</f>
        <v>0.68647465365050786</v>
      </c>
      <c r="AH8" s="2">
        <f t="shared" ref="AH8:AH19" si="12">1/AD8</f>
        <v>0.34719690578117568</v>
      </c>
      <c r="AI8" s="2">
        <f t="shared" ref="AI8:AI19" si="13">1/AJ8</f>
        <v>0.1088550301365151</v>
      </c>
      <c r="AJ8" s="2">
        <f t="shared" ref="AJ8:AJ19" si="14">AD8+AE8</f>
        <v>9.1865299999999994</v>
      </c>
      <c r="AK8" s="2">
        <v>12</v>
      </c>
      <c r="AL8">
        <f t="shared" ref="AL8:AL19" si="15">AK8/AD8</f>
        <v>4.1663628693741082</v>
      </c>
    </row>
    <row r="9" spans="2:40" x14ac:dyDescent="0.35">
      <c r="B9" s="2"/>
      <c r="C9" s="2"/>
      <c r="D9" s="2"/>
      <c r="E9" s="2"/>
      <c r="F9" s="13">
        <v>17.368200000000002</v>
      </c>
      <c r="G9" s="2">
        <v>19.752130000000001</v>
      </c>
      <c r="H9" s="2">
        <f t="shared" si="2"/>
        <v>2.3839299999999994</v>
      </c>
      <c r="I9" s="2">
        <f t="shared" si="3"/>
        <v>5.11008</v>
      </c>
      <c r="J9" s="2">
        <f t="shared" si="4"/>
        <v>0.31811139830344498</v>
      </c>
      <c r="K9" s="2">
        <f t="shared" si="5"/>
        <v>0.68188860169655507</v>
      </c>
      <c r="L9" s="2">
        <f t="shared" si="6"/>
        <v>0.41947540405968303</v>
      </c>
      <c r="M9" s="2">
        <f t="shared" si="7"/>
        <v>0.13343990733932837</v>
      </c>
      <c r="N9" s="2">
        <f t="shared" si="8"/>
        <v>7.4940099999999994</v>
      </c>
      <c r="O9" s="2">
        <v>8</v>
      </c>
      <c r="P9">
        <f t="shared" si="9"/>
        <v>3.3558032324774643</v>
      </c>
      <c r="AA9" s="2"/>
      <c r="AB9" s="13">
        <v>19.925419999999999</v>
      </c>
      <c r="AC9" s="2">
        <v>22.868569999999998</v>
      </c>
      <c r="AD9" s="2">
        <f t="shared" si="0"/>
        <v>2.9431499999999993</v>
      </c>
      <c r="AE9" s="2">
        <f t="shared" si="1"/>
        <v>4.8886100000000035</v>
      </c>
      <c r="AF9" s="2">
        <f t="shared" si="10"/>
        <v>0.37579675577392541</v>
      </c>
      <c r="AG9" s="2">
        <f t="shared" si="11"/>
        <v>0.62420324422607454</v>
      </c>
      <c r="AH9" s="2">
        <f t="shared" si="12"/>
        <v>0.33977201297929099</v>
      </c>
      <c r="AI9" s="2">
        <f t="shared" si="13"/>
        <v>0.12768522018039363</v>
      </c>
      <c r="AJ9" s="2">
        <f t="shared" si="14"/>
        <v>7.8317600000000027</v>
      </c>
      <c r="AK9" s="2">
        <v>14</v>
      </c>
      <c r="AL9">
        <f t="shared" si="15"/>
        <v>4.756808181710074</v>
      </c>
    </row>
    <row r="10" spans="2:40" x14ac:dyDescent="0.35">
      <c r="B10" s="2"/>
      <c r="C10" s="2"/>
      <c r="D10" s="2"/>
      <c r="E10" s="2"/>
      <c r="F10" s="13">
        <v>24.862210000000001</v>
      </c>
      <c r="G10" s="13">
        <v>27.691890000000001</v>
      </c>
      <c r="H10" s="2">
        <f t="shared" si="2"/>
        <v>2.8296799999999998</v>
      </c>
      <c r="I10" s="2">
        <f t="shared" si="3"/>
        <v>5.8059599999999989</v>
      </c>
      <c r="J10" s="2">
        <f t="shared" si="4"/>
        <v>0.32767461357814825</v>
      </c>
      <c r="K10" s="2">
        <f t="shared" si="5"/>
        <v>0.6723253864218518</v>
      </c>
      <c r="L10" s="2">
        <f t="shared" si="6"/>
        <v>0.35339685052726816</v>
      </c>
      <c r="M10" s="2">
        <f t="shared" si="7"/>
        <v>0.1157991764362572</v>
      </c>
      <c r="N10" s="2">
        <f t="shared" si="8"/>
        <v>8.6356399999999987</v>
      </c>
      <c r="O10" s="2">
        <v>10</v>
      </c>
      <c r="P10">
        <f t="shared" si="9"/>
        <v>3.5339685052726812</v>
      </c>
      <c r="AA10" s="2"/>
      <c r="AB10" s="13">
        <v>27.757180000000002</v>
      </c>
      <c r="AC10" s="13">
        <v>30.779160000000001</v>
      </c>
      <c r="AD10" s="2">
        <f t="shared" si="0"/>
        <v>3.0219799999999992</v>
      </c>
      <c r="AE10" s="2">
        <f t="shared" si="1"/>
        <v>4.9159800000000011</v>
      </c>
      <c r="AF10" s="2">
        <f t="shared" si="10"/>
        <v>0.38069982715962275</v>
      </c>
      <c r="AG10" s="2">
        <f t="shared" si="11"/>
        <v>0.61930017284037719</v>
      </c>
      <c r="AH10" s="2">
        <f t="shared" si="12"/>
        <v>0.33090887431419147</v>
      </c>
      <c r="AI10" s="2">
        <f t="shared" si="13"/>
        <v>0.12597695125699801</v>
      </c>
      <c r="AJ10" s="2">
        <f t="shared" si="14"/>
        <v>7.9379600000000003</v>
      </c>
      <c r="AK10" s="2">
        <v>14</v>
      </c>
      <c r="AL10">
        <f t="shared" si="15"/>
        <v>4.6327242403986801</v>
      </c>
    </row>
    <row r="11" spans="2:40" x14ac:dyDescent="0.35">
      <c r="B11" s="2"/>
      <c r="C11" s="2"/>
      <c r="D11" s="2"/>
      <c r="E11" s="2"/>
      <c r="F11" s="13">
        <v>33.49785</v>
      </c>
      <c r="G11" s="13">
        <v>35.927410000000002</v>
      </c>
      <c r="H11" s="2">
        <f t="shared" si="2"/>
        <v>2.4295600000000022</v>
      </c>
      <c r="I11" s="2">
        <f t="shared" si="3"/>
        <v>6.0742599999999953</v>
      </c>
      <c r="J11" s="2">
        <f t="shared" si="4"/>
        <v>0.28570219030976701</v>
      </c>
      <c r="K11" s="2">
        <f t="shared" si="5"/>
        <v>0.71429780969023304</v>
      </c>
      <c r="L11" s="2">
        <f t="shared" si="6"/>
        <v>0.41159716162597304</v>
      </c>
      <c r="M11" s="2">
        <f t="shared" si="7"/>
        <v>0.11759421060182368</v>
      </c>
      <c r="N11" s="2">
        <f t="shared" si="8"/>
        <v>8.5038199999999975</v>
      </c>
      <c r="O11" s="2">
        <v>9</v>
      </c>
      <c r="P11">
        <f t="shared" si="9"/>
        <v>3.7043744546337574</v>
      </c>
      <c r="AA11" s="2"/>
      <c r="AB11" s="13">
        <v>35.695140000000002</v>
      </c>
      <c r="AC11" s="13">
        <v>38.639180000000003</v>
      </c>
      <c r="AD11" s="2">
        <f t="shared" si="0"/>
        <v>2.9440400000000011</v>
      </c>
      <c r="AE11" s="2">
        <f>AB12-AC11</f>
        <v>6.3180099999999939</v>
      </c>
      <c r="AF11" s="2">
        <f t="shared" si="10"/>
        <v>0.31786051684022465</v>
      </c>
      <c r="AG11" s="2">
        <f t="shared" si="11"/>
        <v>0.68213948315977535</v>
      </c>
      <c r="AH11" s="2">
        <f t="shared" si="12"/>
        <v>0.33966929797149481</v>
      </c>
      <c r="AI11" s="2">
        <f t="shared" si="13"/>
        <v>0.10796745860797562</v>
      </c>
      <c r="AJ11" s="2">
        <f t="shared" si="14"/>
        <v>9.262049999999995</v>
      </c>
      <c r="AK11" s="2">
        <v>13</v>
      </c>
      <c r="AL11">
        <f t="shared" si="15"/>
        <v>4.415700873629433</v>
      </c>
    </row>
    <row r="12" spans="2:40" x14ac:dyDescent="0.35">
      <c r="B12" s="2"/>
      <c r="C12" s="2"/>
      <c r="D12" s="2"/>
      <c r="E12" s="2"/>
      <c r="F12" s="13">
        <v>42.001669999999997</v>
      </c>
      <c r="G12" s="13">
        <v>44.524650000000001</v>
      </c>
      <c r="H12" s="2">
        <f t="shared" si="2"/>
        <v>2.522980000000004</v>
      </c>
      <c r="I12" s="2">
        <f t="shared" si="3"/>
        <v>5.8118899999999982</v>
      </c>
      <c r="J12" s="2">
        <f t="shared" si="4"/>
        <v>0.30270178179143808</v>
      </c>
      <c r="K12" s="2">
        <f t="shared" si="5"/>
        <v>0.69729821820856197</v>
      </c>
      <c r="L12" s="2">
        <f t="shared" si="6"/>
        <v>0.39635668931184487</v>
      </c>
      <c r="M12" s="2">
        <f t="shared" si="7"/>
        <v>0.11997787607965088</v>
      </c>
      <c r="N12" s="2">
        <f t="shared" si="8"/>
        <v>8.3348700000000022</v>
      </c>
      <c r="O12" s="2">
        <v>10</v>
      </c>
      <c r="P12">
        <f t="shared" si="9"/>
        <v>3.9635668931184487</v>
      </c>
      <c r="AA12" s="2"/>
      <c r="AB12" s="13">
        <v>44.957189999999997</v>
      </c>
      <c r="AC12" s="13">
        <v>48.047069999999998</v>
      </c>
      <c r="AD12" s="2">
        <f t="shared" si="0"/>
        <v>3.0898800000000008</v>
      </c>
      <c r="AE12" s="2">
        <f t="shared" si="1"/>
        <v>5.003300000000003</v>
      </c>
      <c r="AF12" s="2">
        <f t="shared" si="10"/>
        <v>0.38178812283922997</v>
      </c>
      <c r="AG12" s="2">
        <f t="shared" si="11"/>
        <v>0.61821187716076997</v>
      </c>
      <c r="AH12" s="2">
        <f t="shared" si="12"/>
        <v>0.32363716390280522</v>
      </c>
      <c r="AI12" s="2">
        <f t="shared" si="13"/>
        <v>0.1235608252874642</v>
      </c>
      <c r="AJ12" s="2">
        <f t="shared" si="14"/>
        <v>8.0931800000000038</v>
      </c>
      <c r="AK12" s="2">
        <v>14</v>
      </c>
      <c r="AL12">
        <f t="shared" si="15"/>
        <v>4.530920294639273</v>
      </c>
    </row>
    <row r="13" spans="2:40" x14ac:dyDescent="0.35">
      <c r="B13" s="2"/>
      <c r="C13" s="2"/>
      <c r="D13" s="2"/>
      <c r="E13" s="2"/>
      <c r="F13" s="13">
        <v>50.336539999999999</v>
      </c>
      <c r="G13" s="13">
        <v>53.8842</v>
      </c>
      <c r="H13" s="2">
        <f t="shared" si="2"/>
        <v>3.5476600000000005</v>
      </c>
      <c r="I13" s="2">
        <f t="shared" si="3"/>
        <v>4.6865400000000008</v>
      </c>
      <c r="J13" s="2">
        <f t="shared" si="4"/>
        <v>0.43084452648709043</v>
      </c>
      <c r="K13" s="2">
        <f t="shared" si="5"/>
        <v>0.56915547351290963</v>
      </c>
      <c r="L13" s="2">
        <f t="shared" si="6"/>
        <v>0.28187594076095224</v>
      </c>
      <c r="M13" s="2">
        <f t="shared" si="7"/>
        <v>0.12144470622525562</v>
      </c>
      <c r="N13" s="2">
        <f t="shared" si="8"/>
        <v>8.2342000000000013</v>
      </c>
      <c r="O13" s="2">
        <v>12</v>
      </c>
      <c r="P13">
        <f t="shared" si="9"/>
        <v>3.3825112891314268</v>
      </c>
      <c r="AA13" s="2"/>
      <c r="AB13" s="13">
        <v>53.050370000000001</v>
      </c>
      <c r="AC13" s="13">
        <v>56.000129999999999</v>
      </c>
      <c r="AD13" s="2">
        <f t="shared" si="0"/>
        <v>2.9497599999999977</v>
      </c>
      <c r="AE13" s="2">
        <f t="shared" si="1"/>
        <v>6.2895400000000024</v>
      </c>
      <c r="AF13" s="2">
        <f t="shared" si="10"/>
        <v>0.31926228177459304</v>
      </c>
      <c r="AG13" s="2">
        <f t="shared" si="11"/>
        <v>0.68073771822540696</v>
      </c>
      <c r="AH13" s="2">
        <f t="shared" si="12"/>
        <v>0.33901063137340015</v>
      </c>
      <c r="AI13" s="2">
        <f t="shared" si="13"/>
        <v>0.10823330771811718</v>
      </c>
      <c r="AJ13" s="2">
        <f t="shared" si="14"/>
        <v>9.2393000000000001</v>
      </c>
      <c r="AK13" s="2">
        <v>14</v>
      </c>
      <c r="AL13">
        <f t="shared" si="15"/>
        <v>4.7461488392276019</v>
      </c>
    </row>
    <row r="14" spans="2:40" x14ac:dyDescent="0.35">
      <c r="B14" s="2"/>
      <c r="C14" s="2"/>
      <c r="D14" s="2"/>
      <c r="E14" s="2"/>
      <c r="F14" s="13">
        <v>58.570740000000001</v>
      </c>
      <c r="G14" s="13">
        <v>61.171030000000002</v>
      </c>
      <c r="H14" s="2">
        <f t="shared" si="2"/>
        <v>2.6002900000000011</v>
      </c>
      <c r="I14" s="2">
        <f t="shared" si="3"/>
        <v>6.5073000000000008</v>
      </c>
      <c r="J14" s="2">
        <f t="shared" si="4"/>
        <v>0.28550802133165859</v>
      </c>
      <c r="K14" s="2">
        <f t="shared" si="5"/>
        <v>0.71449197866834135</v>
      </c>
      <c r="L14" s="2">
        <f t="shared" si="6"/>
        <v>0.38457248999150079</v>
      </c>
      <c r="M14" s="2">
        <f t="shared" si="7"/>
        <v>0.10979853067606248</v>
      </c>
      <c r="N14" s="2">
        <f t="shared" si="8"/>
        <v>9.1075900000000019</v>
      </c>
      <c r="O14" s="2">
        <v>10</v>
      </c>
      <c r="P14">
        <f t="shared" si="9"/>
        <v>3.845724899915008</v>
      </c>
      <c r="AA14" s="2"/>
      <c r="AB14" s="13">
        <v>62.289670000000001</v>
      </c>
      <c r="AC14" s="13">
        <v>65.078980000000001</v>
      </c>
      <c r="AD14" s="2">
        <f t="shared" si="0"/>
        <v>2.7893100000000004</v>
      </c>
      <c r="AE14" s="2">
        <f t="shared" si="1"/>
        <v>6.5100999999999942</v>
      </c>
      <c r="AF14" s="2">
        <f t="shared" si="10"/>
        <v>0.29994483520997589</v>
      </c>
      <c r="AG14" s="2">
        <f t="shared" si="11"/>
        <v>0.70005516479002405</v>
      </c>
      <c r="AH14" s="2">
        <f t="shared" si="12"/>
        <v>0.35851160322803843</v>
      </c>
      <c r="AI14" s="2">
        <f t="shared" si="13"/>
        <v>0.10753370375109825</v>
      </c>
      <c r="AJ14" s="2">
        <f t="shared" si="14"/>
        <v>9.2994099999999946</v>
      </c>
      <c r="AK14" s="2">
        <v>13</v>
      </c>
      <c r="AL14">
        <f t="shared" si="15"/>
        <v>4.6606508419644994</v>
      </c>
    </row>
    <row r="15" spans="2:40" x14ac:dyDescent="0.35">
      <c r="B15" s="2"/>
      <c r="C15" s="2"/>
      <c r="D15" s="2"/>
      <c r="E15" s="2"/>
      <c r="F15" s="13">
        <v>67.678330000000003</v>
      </c>
      <c r="G15" s="13">
        <v>72.204989999999995</v>
      </c>
      <c r="H15" s="2">
        <f t="shared" si="2"/>
        <v>4.5266599999999926</v>
      </c>
      <c r="I15" s="2">
        <f t="shared" si="3"/>
        <v>5.6302100000000053</v>
      </c>
      <c r="J15" s="2">
        <f t="shared" si="4"/>
        <v>0.44567470096594652</v>
      </c>
      <c r="K15" s="2">
        <f t="shared" si="5"/>
        <v>0.55432529903405348</v>
      </c>
      <c r="L15" s="2">
        <f t="shared" si="6"/>
        <v>0.22091343286219897</v>
      </c>
      <c r="M15" s="2">
        <f t="shared" si="7"/>
        <v>9.8455528130221237E-2</v>
      </c>
      <c r="N15" s="2">
        <f t="shared" si="8"/>
        <v>10.156869999999998</v>
      </c>
      <c r="O15" s="2">
        <v>17</v>
      </c>
      <c r="P15">
        <f t="shared" si="9"/>
        <v>3.7555283586573829</v>
      </c>
      <c r="AA15" s="2"/>
      <c r="AB15" s="13">
        <v>71.589079999999996</v>
      </c>
      <c r="AC15" s="13">
        <v>74.465909999999994</v>
      </c>
      <c r="AD15" s="2">
        <f t="shared" si="0"/>
        <v>2.8768299999999982</v>
      </c>
      <c r="AE15" s="2">
        <f t="shared" si="1"/>
        <v>6.3875000000000028</v>
      </c>
      <c r="AF15" s="2">
        <f t="shared" si="10"/>
        <v>0.31052758267462383</v>
      </c>
      <c r="AG15" s="2">
        <f t="shared" si="11"/>
        <v>0.68947241732537612</v>
      </c>
      <c r="AH15" s="2">
        <f t="shared" si="12"/>
        <v>0.34760482892628364</v>
      </c>
      <c r="AI15" s="2">
        <f t="shared" si="13"/>
        <v>0.10794088725250503</v>
      </c>
      <c r="AJ15" s="2">
        <f t="shared" si="14"/>
        <v>9.2643300000000011</v>
      </c>
      <c r="AK15" s="2">
        <v>14</v>
      </c>
      <c r="AL15">
        <f t="shared" si="15"/>
        <v>4.8664676049679709</v>
      </c>
    </row>
    <row r="16" spans="2:40" x14ac:dyDescent="0.35">
      <c r="B16" s="2"/>
      <c r="C16" s="2"/>
      <c r="D16" s="2"/>
      <c r="E16" s="2"/>
      <c r="F16" s="13">
        <v>77.8352</v>
      </c>
      <c r="G16" s="13">
        <v>81.426919999999996</v>
      </c>
      <c r="H16" s="2">
        <f t="shared" si="2"/>
        <v>3.5917199999999951</v>
      </c>
      <c r="I16" s="2">
        <f t="shared" si="3"/>
        <v>6.6103000000000094</v>
      </c>
      <c r="J16" s="2">
        <f t="shared" si="4"/>
        <v>0.35205969013979521</v>
      </c>
      <c r="K16" s="2">
        <f t="shared" si="5"/>
        <v>0.64794030986020479</v>
      </c>
      <c r="L16" s="2">
        <f t="shared" si="6"/>
        <v>0.27841813949862498</v>
      </c>
      <c r="M16" s="2">
        <f t="shared" si="7"/>
        <v>9.8019803921184187E-2</v>
      </c>
      <c r="N16" s="2">
        <f t="shared" si="8"/>
        <v>10.202020000000005</v>
      </c>
      <c r="O16" s="2">
        <v>13</v>
      </c>
      <c r="P16">
        <f t="shared" si="9"/>
        <v>3.619435813482125</v>
      </c>
      <c r="AA16" s="2"/>
      <c r="AB16" s="13">
        <v>80.853409999999997</v>
      </c>
      <c r="AC16" s="13">
        <v>83.788240000000002</v>
      </c>
      <c r="AD16" s="2">
        <f t="shared" si="0"/>
        <v>2.9348300000000052</v>
      </c>
      <c r="AE16" s="2">
        <f t="shared" si="1"/>
        <v>5.2849800000000045</v>
      </c>
      <c r="AF16" s="2">
        <f t="shared" si="10"/>
        <v>0.35704353263639937</v>
      </c>
      <c r="AG16" s="2">
        <f t="shared" si="11"/>
        <v>0.64295646736360068</v>
      </c>
      <c r="AH16" s="2">
        <f t="shared" si="12"/>
        <v>0.3407352384976296</v>
      </c>
      <c r="AI16" s="2">
        <f t="shared" si="13"/>
        <v>0.12165731324689973</v>
      </c>
      <c r="AJ16" s="2">
        <f t="shared" si="14"/>
        <v>8.2198100000000096</v>
      </c>
      <c r="AK16" s="2">
        <v>13</v>
      </c>
      <c r="AL16">
        <f t="shared" si="15"/>
        <v>4.4295581004691851</v>
      </c>
    </row>
    <row r="17" spans="2:38" x14ac:dyDescent="0.35">
      <c r="B17" s="2"/>
      <c r="C17" s="2"/>
      <c r="D17" s="2"/>
      <c r="E17" s="2"/>
      <c r="F17" s="13">
        <v>88.037220000000005</v>
      </c>
      <c r="G17" s="13">
        <v>91.651319999999998</v>
      </c>
      <c r="H17" s="2">
        <f t="shared" si="2"/>
        <v>3.6140999999999934</v>
      </c>
      <c r="I17" s="2">
        <f t="shared" si="3"/>
        <v>6.6128000000000071</v>
      </c>
      <c r="J17" s="2">
        <f t="shared" si="4"/>
        <v>0.35339154582522497</v>
      </c>
      <c r="K17" s="2">
        <f t="shared" si="5"/>
        <v>0.64660845417477508</v>
      </c>
      <c r="L17" s="2">
        <f t="shared" si="6"/>
        <v>0.27669405937854563</v>
      </c>
      <c r="M17" s="2">
        <f t="shared" si="7"/>
        <v>9.7781341364440832E-2</v>
      </c>
      <c r="N17" s="2">
        <f t="shared" si="8"/>
        <v>10.226900000000001</v>
      </c>
      <c r="O17" s="2">
        <v>13</v>
      </c>
      <c r="P17">
        <f t="shared" si="9"/>
        <v>3.5970227719210932</v>
      </c>
      <c r="AA17" s="2"/>
      <c r="AB17" s="13">
        <v>89.073220000000006</v>
      </c>
      <c r="AC17" s="13">
        <v>91.950819999999993</v>
      </c>
      <c r="AD17" s="2">
        <f t="shared" si="0"/>
        <v>2.8775999999999868</v>
      </c>
      <c r="AE17" s="2">
        <f t="shared" si="1"/>
        <v>5.3281800000000032</v>
      </c>
      <c r="AF17" s="2">
        <f t="shared" si="10"/>
        <v>0.35067964288586706</v>
      </c>
      <c r="AG17" s="2">
        <f t="shared" si="11"/>
        <v>0.64932035711413294</v>
      </c>
      <c r="AH17" s="2">
        <f t="shared" si="12"/>
        <v>0.34751181540172527</v>
      </c>
      <c r="AI17" s="2">
        <f t="shared" si="13"/>
        <v>0.12186531932369637</v>
      </c>
      <c r="AJ17" s="2">
        <f t="shared" si="14"/>
        <v>8.2057799999999901</v>
      </c>
      <c r="AK17" s="2">
        <v>13</v>
      </c>
      <c r="AL17">
        <f t="shared" si="15"/>
        <v>4.5176536002224283</v>
      </c>
    </row>
    <row r="18" spans="2:38" x14ac:dyDescent="0.35">
      <c r="B18" s="2"/>
      <c r="C18" s="2"/>
      <c r="D18" s="2"/>
      <c r="E18" s="2"/>
      <c r="F18" s="13">
        <v>98.264120000000005</v>
      </c>
      <c r="G18" s="13">
        <v>102.0352</v>
      </c>
      <c r="H18" s="2">
        <f t="shared" si="2"/>
        <v>3.7710799999999978</v>
      </c>
      <c r="I18" s="2">
        <f t="shared" si="3"/>
        <v>6.473479999999995</v>
      </c>
      <c r="J18" s="2">
        <f t="shared" si="4"/>
        <v>0.36810560922089386</v>
      </c>
      <c r="K18" s="2">
        <f t="shared" si="5"/>
        <v>0.63189439077910614</v>
      </c>
      <c r="L18" s="2">
        <f t="shared" si="6"/>
        <v>0.26517602384462824</v>
      </c>
      <c r="M18" s="2">
        <f t="shared" si="7"/>
        <v>9.7612781808101151E-2</v>
      </c>
      <c r="N18" s="2">
        <f t="shared" si="8"/>
        <v>10.244559999999993</v>
      </c>
      <c r="O18" s="2">
        <v>15</v>
      </c>
      <c r="P18">
        <f t="shared" si="9"/>
        <v>3.9776403576694235</v>
      </c>
      <c r="AA18" s="2"/>
      <c r="AB18" s="13">
        <v>97.278999999999996</v>
      </c>
      <c r="AC18" s="13">
        <v>100.33162</v>
      </c>
      <c r="AD18" s="2">
        <f t="shared" si="0"/>
        <v>3.0526200000000046</v>
      </c>
      <c r="AE18" s="2">
        <f t="shared" si="1"/>
        <v>6.3342099999999988</v>
      </c>
      <c r="AF18" s="2">
        <f t="shared" si="10"/>
        <v>0.32520243788371617</v>
      </c>
      <c r="AG18" s="2">
        <f t="shared" si="11"/>
        <v>0.67479756211628383</v>
      </c>
      <c r="AH18" s="2">
        <f t="shared" si="12"/>
        <v>0.32758744946963542</v>
      </c>
      <c r="AI18" s="2">
        <f t="shared" si="13"/>
        <v>0.10653223718763413</v>
      </c>
      <c r="AJ18" s="2">
        <f t="shared" si="14"/>
        <v>9.3868300000000033</v>
      </c>
      <c r="AK18" s="2">
        <v>14</v>
      </c>
      <c r="AL18">
        <f t="shared" si="15"/>
        <v>4.5862242925748964</v>
      </c>
    </row>
    <row r="19" spans="2:38" x14ac:dyDescent="0.35">
      <c r="B19" s="2"/>
      <c r="C19" s="2"/>
      <c r="D19" s="2"/>
      <c r="E19" s="2"/>
      <c r="F19" s="13">
        <v>108.50868</v>
      </c>
      <c r="G19" s="13">
        <v>112.10565</v>
      </c>
      <c r="H19" s="2">
        <f t="shared" si="2"/>
        <v>3.5969699999999989</v>
      </c>
      <c r="I19" s="2"/>
      <c r="J19" s="2"/>
      <c r="K19" s="2"/>
      <c r="L19" s="2"/>
      <c r="M19" s="2"/>
      <c r="N19" s="2"/>
      <c r="O19" s="2"/>
      <c r="AA19" s="2"/>
      <c r="AB19" s="13">
        <v>106.66583</v>
      </c>
      <c r="AC19" s="13">
        <v>109.67008</v>
      </c>
      <c r="AD19" s="2">
        <f t="shared" si="0"/>
        <v>3.004249999999999</v>
      </c>
      <c r="AE19" s="2">
        <f t="shared" si="1"/>
        <v>5.000079999999997</v>
      </c>
      <c r="AF19" s="2">
        <f t="shared" si="10"/>
        <v>0.37532810366389197</v>
      </c>
      <c r="AG19" s="2">
        <f t="shared" si="11"/>
        <v>0.62467189633610798</v>
      </c>
      <c r="AH19" s="2">
        <f t="shared" si="12"/>
        <v>0.33286177914620962</v>
      </c>
      <c r="AI19" s="2">
        <f t="shared" si="13"/>
        <v>0.12493238034913609</v>
      </c>
      <c r="AJ19" s="2">
        <f t="shared" si="14"/>
        <v>8.0043299999999959</v>
      </c>
      <c r="AK19" s="2">
        <v>14</v>
      </c>
      <c r="AL19">
        <f t="shared" si="15"/>
        <v>4.6600649080469347</v>
      </c>
    </row>
    <row r="20" spans="2:38" x14ac:dyDescent="0.35">
      <c r="B20" s="2"/>
      <c r="C20" s="2"/>
      <c r="D20" s="2"/>
      <c r="E20" s="2"/>
      <c r="F20" s="13"/>
      <c r="G20" s="13"/>
      <c r="H20" s="2"/>
      <c r="I20" s="2"/>
      <c r="J20" s="2"/>
      <c r="K20" s="2"/>
      <c r="L20" s="2"/>
      <c r="M20" s="2"/>
      <c r="N20" s="2"/>
      <c r="O20" s="2"/>
      <c r="AA20" s="2"/>
      <c r="AB20" s="13">
        <v>114.67016</v>
      </c>
      <c r="AC20" s="13">
        <v>117.58108</v>
      </c>
      <c r="AD20" s="2">
        <f t="shared" si="0"/>
        <v>2.9109200000000044</v>
      </c>
      <c r="AE20" s="2"/>
      <c r="AF20" s="2"/>
      <c r="AG20" s="2"/>
      <c r="AH20" s="2"/>
      <c r="AI20" s="2"/>
      <c r="AJ20" s="2"/>
      <c r="AK20" s="2"/>
    </row>
    <row r="21" spans="2:38" x14ac:dyDescent="0.35">
      <c r="B21" s="2"/>
      <c r="C21" s="2"/>
      <c r="G21" s="49"/>
      <c r="H21" s="2"/>
      <c r="I21" s="2"/>
      <c r="J21" s="2"/>
      <c r="K21" s="2"/>
      <c r="L21" s="2"/>
      <c r="M21" s="2"/>
      <c r="N21" s="2"/>
      <c r="O21" s="2"/>
      <c r="P21" s="2"/>
      <c r="AA21" s="2"/>
      <c r="AB21" s="13"/>
      <c r="AC21" s="13"/>
      <c r="AD21" s="2"/>
      <c r="AE21" s="2"/>
      <c r="AF21" s="2"/>
      <c r="AG21" s="2"/>
      <c r="AH21" s="2"/>
      <c r="AI21" s="2"/>
      <c r="AJ21" s="2"/>
      <c r="AK21" s="2"/>
    </row>
    <row r="22" spans="2:38" ht="16" thickBot="1" x14ac:dyDescent="0.4">
      <c r="C22" s="2"/>
      <c r="G22" s="13"/>
      <c r="H22" s="9" t="s">
        <v>3</v>
      </c>
      <c r="I22" s="9" t="s">
        <v>4</v>
      </c>
      <c r="J22" s="9" t="s">
        <v>5</v>
      </c>
      <c r="K22" s="9" t="s">
        <v>6</v>
      </c>
      <c r="L22" s="9" t="s">
        <v>7</v>
      </c>
      <c r="M22" s="9" t="s">
        <v>8</v>
      </c>
      <c r="N22" s="9" t="s">
        <v>9</v>
      </c>
      <c r="O22" s="9" t="s">
        <v>10</v>
      </c>
      <c r="P22" s="44" t="s">
        <v>139</v>
      </c>
      <c r="AC22" s="45"/>
      <c r="AD22" s="2"/>
      <c r="AE22" s="2"/>
      <c r="AF22" s="2"/>
      <c r="AG22" s="2"/>
      <c r="AH22" s="2"/>
      <c r="AI22" s="2"/>
      <c r="AJ22" s="2"/>
      <c r="AK22" s="2"/>
    </row>
    <row r="23" spans="2:38" x14ac:dyDescent="0.35">
      <c r="C23" s="2"/>
      <c r="G23" s="49" t="s">
        <v>77</v>
      </c>
      <c r="H23" s="13">
        <f>AVERAGE(H7:H18)</f>
        <v>2.8767591666666656</v>
      </c>
      <c r="I23" s="13">
        <f t="shared" ref="I23:P23" si="16">AVERAGE(I7:I18)</f>
        <v>6.0327641666666674</v>
      </c>
      <c r="J23" s="13">
        <f t="shared" si="16"/>
        <v>0.31770850545978097</v>
      </c>
      <c r="K23" s="13">
        <f t="shared" si="16"/>
        <v>0.68229149454021909</v>
      </c>
      <c r="L23" s="13">
        <f t="shared" si="16"/>
        <v>0.39741760306286</v>
      </c>
      <c r="M23" s="13">
        <f t="shared" si="16"/>
        <v>0.11362733067420587</v>
      </c>
      <c r="N23" s="13">
        <f t="shared" si="16"/>
        <v>8.9095233333333343</v>
      </c>
      <c r="O23" s="13">
        <f t="shared" si="16"/>
        <v>10.75</v>
      </c>
      <c r="P23" s="13">
        <f t="shared" si="16"/>
        <v>3.8015655704697839</v>
      </c>
      <c r="AC23" s="49"/>
      <c r="AD23" s="2"/>
      <c r="AE23" s="2"/>
      <c r="AF23" s="2"/>
      <c r="AG23" s="2"/>
      <c r="AH23" s="2"/>
      <c r="AI23" s="2"/>
      <c r="AJ23" s="2"/>
      <c r="AK23" s="2"/>
    </row>
    <row r="24" spans="2:38" x14ac:dyDescent="0.35">
      <c r="C24" s="2"/>
      <c r="G24" s="49" t="s">
        <v>94</v>
      </c>
      <c r="H24" s="2">
        <f>_xlfn.STDEV.S(H7:H18)</f>
        <v>0.96894501125012833</v>
      </c>
      <c r="I24" s="2">
        <f t="shared" ref="I24:P24" si="17">_xlfn.STDEV.S(I7:I18)</f>
        <v>0.64132259646422307</v>
      </c>
      <c r="J24" s="2">
        <f t="shared" si="17"/>
        <v>8.4961926112158637E-2</v>
      </c>
      <c r="K24" s="2">
        <f t="shared" si="17"/>
        <v>8.4961926112159344E-2</v>
      </c>
      <c r="L24" s="2">
        <f t="shared" si="17"/>
        <v>0.17302367004485955</v>
      </c>
      <c r="M24" s="2">
        <f t="shared" si="17"/>
        <v>1.3003472079002857E-2</v>
      </c>
      <c r="N24" s="2">
        <f t="shared" si="17"/>
        <v>1.0407117174173126</v>
      </c>
      <c r="O24" s="2">
        <f t="shared" si="17"/>
        <v>3.3878123807661966</v>
      </c>
      <c r="P24" s="2">
        <f t="shared" si="17"/>
        <v>0.36132995170784543</v>
      </c>
      <c r="AC24" s="49"/>
      <c r="AD24" s="2"/>
      <c r="AE24" s="2"/>
      <c r="AF24" s="2"/>
      <c r="AG24" s="2"/>
      <c r="AH24" s="2"/>
      <c r="AI24" s="2"/>
      <c r="AJ24" s="2"/>
      <c r="AK24" s="2"/>
      <c r="AL24" s="2"/>
    </row>
    <row r="25" spans="2:38" ht="16" thickBot="1" x14ac:dyDescent="0.4">
      <c r="C25" s="2"/>
      <c r="G25" s="49" t="s">
        <v>95</v>
      </c>
      <c r="H25" s="2">
        <f>H24/(SQRT(COUNT(H7:H18)))</f>
        <v>0.27971033153760327</v>
      </c>
      <c r="I25" s="2">
        <f t="shared" ref="I25:P25" si="18">I24/(SQRT(COUNT(I7:I18)))</f>
        <v>0.18513388685300447</v>
      </c>
      <c r="J25" s="2">
        <f t="shared" si="18"/>
        <v>2.4526395455861941E-2</v>
      </c>
      <c r="K25" s="2">
        <f t="shared" si="18"/>
        <v>2.4526395455862146E-2</v>
      </c>
      <c r="L25" s="2">
        <f t="shared" si="18"/>
        <v>4.9947631238288326E-2</v>
      </c>
      <c r="M25" s="2">
        <f t="shared" si="18"/>
        <v>3.7537790526060411E-3</v>
      </c>
      <c r="N25" s="2">
        <f t="shared" si="18"/>
        <v>0.30042759509984163</v>
      </c>
      <c r="O25" s="2">
        <f t="shared" si="18"/>
        <v>0.9779771949996553</v>
      </c>
      <c r="P25" s="2">
        <f t="shared" si="18"/>
        <v>0.10430697244239953</v>
      </c>
      <c r="AC25" s="13"/>
      <c r="AD25" s="9" t="s">
        <v>3</v>
      </c>
      <c r="AE25" s="9" t="s">
        <v>4</v>
      </c>
      <c r="AF25" s="9" t="s">
        <v>5</v>
      </c>
      <c r="AG25" s="9" t="s">
        <v>6</v>
      </c>
      <c r="AH25" s="9" t="s">
        <v>7</v>
      </c>
      <c r="AI25" s="9" t="s">
        <v>8</v>
      </c>
      <c r="AJ25" s="9" t="s">
        <v>9</v>
      </c>
      <c r="AK25" s="9" t="s">
        <v>10</v>
      </c>
      <c r="AL25" s="44" t="s">
        <v>139</v>
      </c>
    </row>
    <row r="26" spans="2:38" x14ac:dyDescent="0.35">
      <c r="C26" s="2"/>
      <c r="G26" s="49"/>
      <c r="H26" s="2"/>
      <c r="I26" s="2"/>
      <c r="J26" s="2"/>
      <c r="K26" s="2"/>
      <c r="L26" s="2"/>
      <c r="M26" s="2"/>
      <c r="N26" s="2"/>
      <c r="O26" s="2"/>
      <c r="P26" s="2"/>
      <c r="AC26" s="49" t="s">
        <v>77</v>
      </c>
      <c r="AD26" s="13">
        <f>AVERAGE(AD7:AD19)</f>
        <v>2.9519476923076913</v>
      </c>
      <c r="AE26" s="13">
        <f t="shared" ref="AE26:AL26" si="19">AVERAGE(AE7:AE19)</f>
        <v>5.7462430769230775</v>
      </c>
      <c r="AF26" s="13">
        <f t="shared" si="19"/>
        <v>0.34129900564622051</v>
      </c>
      <c r="AG26" s="13">
        <f t="shared" si="19"/>
        <v>0.6587009943537796</v>
      </c>
      <c r="AH26" s="13">
        <f t="shared" si="19"/>
        <v>0.33901066307971328</v>
      </c>
      <c r="AI26" s="13">
        <f t="shared" si="19"/>
        <v>0.11554519188979698</v>
      </c>
      <c r="AJ26" s="13">
        <f t="shared" si="19"/>
        <v>8.6981907692307683</v>
      </c>
      <c r="AK26" s="13">
        <f t="shared" si="19"/>
        <v>13.461538461538462</v>
      </c>
      <c r="AL26" s="13">
        <f t="shared" si="19"/>
        <v>4.5605375303694</v>
      </c>
    </row>
    <row r="27" spans="2:38" x14ac:dyDescent="0.35">
      <c r="C27" s="2"/>
      <c r="G27" s="49"/>
      <c r="H27" s="2"/>
      <c r="I27" s="2"/>
      <c r="J27" s="2"/>
      <c r="K27" s="2"/>
      <c r="L27" s="2"/>
      <c r="M27" s="2"/>
      <c r="N27" s="2"/>
      <c r="O27" s="2"/>
      <c r="P27" s="2"/>
      <c r="AC27" s="49" t="s">
        <v>94</v>
      </c>
      <c r="AD27" s="2">
        <f>_xlfn.STDEV.S(AD7:AD19)</f>
        <v>8.3404758772492565E-2</v>
      </c>
      <c r="AE27" s="2">
        <f t="shared" ref="AE27:AL27" si="20">_xlfn.STDEV.S(AE7:AE19)</f>
        <v>0.66757836208423638</v>
      </c>
      <c r="AF27" s="2">
        <f t="shared" si="20"/>
        <v>2.9922071915936696E-2</v>
      </c>
      <c r="AG27" s="2">
        <f t="shared" si="20"/>
        <v>2.9922071915936706E-2</v>
      </c>
      <c r="AH27" s="2">
        <f t="shared" si="20"/>
        <v>9.6394574130021123E-3</v>
      </c>
      <c r="AI27" s="2">
        <f t="shared" si="20"/>
        <v>8.5789452987513701E-3</v>
      </c>
      <c r="AJ27" s="2">
        <f t="shared" si="20"/>
        <v>0.63591734494955499</v>
      </c>
      <c r="AK27" s="2">
        <f t="shared" si="20"/>
        <v>0.66022529177352485</v>
      </c>
      <c r="AL27" s="2">
        <f t="shared" si="20"/>
        <v>0.19312294758364296</v>
      </c>
    </row>
    <row r="28" spans="2:38" x14ac:dyDescent="0.35">
      <c r="C28" s="2"/>
      <c r="AC28" s="49" t="s">
        <v>95</v>
      </c>
      <c r="AD28" s="2">
        <f>AD27/(SQRT(COUNT(AD7:AD19)))</f>
        <v>2.3132318028609763E-2</v>
      </c>
      <c r="AE28" s="2">
        <f t="shared" ref="AE28:AL28" si="21">AE27/(SQRT(COUNT(AE7:AE19)))</f>
        <v>0.18515292422192151</v>
      </c>
      <c r="AF28" s="2">
        <f t="shared" si="21"/>
        <v>8.2988895816177525E-3</v>
      </c>
      <c r="AG28" s="2">
        <f t="shared" si="21"/>
        <v>8.2988895816177542E-3</v>
      </c>
      <c r="AH28" s="2">
        <f t="shared" si="21"/>
        <v>2.6735044592485057E-3</v>
      </c>
      <c r="AI28" s="2">
        <f t="shared" si="21"/>
        <v>2.3793713203114461E-3</v>
      </c>
      <c r="AJ28" s="2">
        <f t="shared" si="21"/>
        <v>0.17637173801327244</v>
      </c>
      <c r="AK28" s="2">
        <f t="shared" si="21"/>
        <v>0.1831135494498167</v>
      </c>
      <c r="AL28" s="2">
        <f t="shared" si="21"/>
        <v>5.3562668460120692E-2</v>
      </c>
    </row>
    <row r="29" spans="2:38" x14ac:dyDescent="0.35">
      <c r="G29" s="49"/>
      <c r="H29" s="2"/>
      <c r="I29" s="2"/>
      <c r="J29" s="2"/>
      <c r="K29" s="2"/>
      <c r="L29" s="2"/>
      <c r="M29" s="2"/>
      <c r="N29" s="2"/>
      <c r="O29" s="2"/>
      <c r="P29" s="2"/>
    </row>
    <row r="32" spans="2:38" ht="18.5" x14ac:dyDescent="0.45">
      <c r="F32" s="1" t="s">
        <v>405</v>
      </c>
      <c r="G32" s="3"/>
      <c r="H32" s="3"/>
      <c r="I32" s="3"/>
      <c r="J32" s="3"/>
      <c r="K32" s="3"/>
      <c r="L32" s="3"/>
      <c r="M32" s="3"/>
      <c r="N32" s="3"/>
      <c r="O32" s="3"/>
    </row>
    <row r="33" spans="4:40" ht="19" thickBot="1" x14ac:dyDescent="0.5">
      <c r="D33" s="204" t="s">
        <v>406</v>
      </c>
      <c r="F33" s="9" t="s">
        <v>1</v>
      </c>
      <c r="G33" s="9" t="s">
        <v>2</v>
      </c>
      <c r="H33" s="9" t="s">
        <v>3</v>
      </c>
      <c r="I33" s="9" t="s">
        <v>4</v>
      </c>
      <c r="J33" s="9" t="s">
        <v>5</v>
      </c>
      <c r="K33" s="9" t="s">
        <v>6</v>
      </c>
      <c r="L33" s="9" t="s">
        <v>7</v>
      </c>
      <c r="M33" s="9" t="s">
        <v>8</v>
      </c>
      <c r="N33" s="9" t="s">
        <v>9</v>
      </c>
      <c r="O33" s="9" t="s">
        <v>10</v>
      </c>
      <c r="P33" s="44" t="s">
        <v>139</v>
      </c>
      <c r="R33" s="44" t="s">
        <v>138</v>
      </c>
      <c r="AB33" s="1" t="s">
        <v>741</v>
      </c>
      <c r="AC33" s="3"/>
      <c r="AD33" s="3"/>
      <c r="AE33" s="3"/>
      <c r="AF33" s="3"/>
      <c r="AG33" s="3"/>
      <c r="AH33" s="3"/>
      <c r="AI33" s="3"/>
      <c r="AJ33" s="3"/>
      <c r="AK33" s="3"/>
    </row>
    <row r="34" spans="4:40" ht="16" thickBot="1" x14ac:dyDescent="0.4">
      <c r="D34" s="295">
        <v>5</v>
      </c>
      <c r="F34" s="13">
        <v>5.6439999999999997E-2</v>
      </c>
      <c r="G34" s="2">
        <v>3.7332800000000002</v>
      </c>
      <c r="H34" s="2">
        <f>G34-F34</f>
        <v>3.6768400000000003</v>
      </c>
      <c r="I34" s="2">
        <f>F35-G34</f>
        <v>3.0281499999999997</v>
      </c>
      <c r="J34" s="2">
        <f>H34/N34</f>
        <v>0.5483736739353825</v>
      </c>
      <c r="K34" s="2">
        <f>I34/N34</f>
        <v>0.45162632606461744</v>
      </c>
      <c r="L34" s="2">
        <f>1/H34</f>
        <v>0.27197267218589871</v>
      </c>
      <c r="M34" s="2">
        <f>1/N34</f>
        <v>0.14914265345660468</v>
      </c>
      <c r="N34" s="2">
        <f>H34+I34</f>
        <v>6.7049900000000004</v>
      </c>
      <c r="O34" s="2">
        <v>21</v>
      </c>
      <c r="P34">
        <f t="shared" ref="P34:P46" si="22">O34/H34</f>
        <v>5.7114261159038735</v>
      </c>
      <c r="R34" t="s">
        <v>747</v>
      </c>
      <c r="Z34" s="204" t="s">
        <v>406</v>
      </c>
      <c r="AB34" s="9" t="s">
        <v>1</v>
      </c>
      <c r="AC34" s="9" t="s">
        <v>2</v>
      </c>
      <c r="AD34" s="9" t="s">
        <v>3</v>
      </c>
      <c r="AE34" s="9" t="s">
        <v>4</v>
      </c>
      <c r="AF34" s="9" t="s">
        <v>5</v>
      </c>
      <c r="AG34" s="9" t="s">
        <v>6</v>
      </c>
      <c r="AH34" s="9" t="s">
        <v>7</v>
      </c>
      <c r="AI34" s="9" t="s">
        <v>8</v>
      </c>
      <c r="AJ34" s="9" t="s">
        <v>9</v>
      </c>
      <c r="AK34" s="9" t="s">
        <v>10</v>
      </c>
      <c r="AL34" s="44" t="s">
        <v>139</v>
      </c>
      <c r="AN34" s="44" t="s">
        <v>138</v>
      </c>
    </row>
    <row r="35" spans="4:40" x14ac:dyDescent="0.35">
      <c r="D35" s="295">
        <v>5</v>
      </c>
      <c r="F35" s="13">
        <v>6.7614299999999998</v>
      </c>
      <c r="G35" s="2">
        <v>11.2562</v>
      </c>
      <c r="H35" s="2">
        <f t="shared" ref="H35:H47" si="23">G35-F35</f>
        <v>4.4947699999999999</v>
      </c>
      <c r="I35" s="2">
        <f t="shared" ref="I35:I46" si="24">F36-G35</f>
        <v>5.6366699999999987</v>
      </c>
      <c r="J35" s="2">
        <f t="shared" ref="J35:J46" si="25">H35/N35</f>
        <v>0.44364572064780533</v>
      </c>
      <c r="K35" s="2">
        <f t="shared" ref="K35:K46" si="26">I35/N35</f>
        <v>0.55635427935219472</v>
      </c>
      <c r="L35" s="2">
        <f t="shared" ref="L35:L46" si="27">1/H35</f>
        <v>0.22248079434542814</v>
      </c>
      <c r="M35" s="2">
        <f t="shared" ref="M35:M46" si="28">1/N35</f>
        <v>9.8702652337673641E-2</v>
      </c>
      <c r="N35" s="2">
        <f t="shared" ref="N35:N46" si="29">H35+I35</f>
        <v>10.131439999999998</v>
      </c>
      <c r="O35" s="2">
        <v>28</v>
      </c>
      <c r="P35">
        <f t="shared" si="22"/>
        <v>6.229462241671988</v>
      </c>
      <c r="Z35" s="295">
        <v>-2</v>
      </c>
      <c r="AB35" s="13">
        <v>3.8244799999999999</v>
      </c>
      <c r="AC35" s="2">
        <v>6.7017600000000002</v>
      </c>
      <c r="AD35" s="2">
        <f t="shared" ref="AD35:AD54" si="30">AC35-AB35</f>
        <v>2.8772800000000003</v>
      </c>
      <c r="AE35" s="2">
        <f t="shared" ref="AE35:AE54" si="31">AB36-AC35</f>
        <v>5.3145000000000007</v>
      </c>
      <c r="AF35" s="2">
        <f t="shared" ref="AF35:AF54" si="32">AD35/AJ35</f>
        <v>0.35123990146219747</v>
      </c>
      <c r="AG35" s="2">
        <f t="shared" ref="AG35:AG54" si="33">AE35/AJ35</f>
        <v>0.64876009853780248</v>
      </c>
      <c r="AH35" s="2">
        <f t="shared" ref="AH35:AH54" si="34">1/AD35</f>
        <v>0.34755046432742032</v>
      </c>
      <c r="AI35" s="2">
        <f t="shared" ref="AI35:AI54" si="35">1/AJ35</f>
        <v>0.12207359084350408</v>
      </c>
      <c r="AJ35" s="2">
        <f t="shared" ref="AJ35:AJ54" si="36">AD35+AE35</f>
        <v>8.1917800000000014</v>
      </c>
      <c r="AK35" s="2">
        <v>13</v>
      </c>
      <c r="AL35">
        <f t="shared" ref="AL35:AL97" si="37">AK35/AD35</f>
        <v>4.5181560362564639</v>
      </c>
      <c r="AN35" t="s">
        <v>752</v>
      </c>
    </row>
    <row r="36" spans="4:40" x14ac:dyDescent="0.35">
      <c r="D36" s="295">
        <v>5</v>
      </c>
      <c r="F36" s="13">
        <v>16.892869999999998</v>
      </c>
      <c r="G36" s="2">
        <v>21.31711</v>
      </c>
      <c r="H36" s="2">
        <f t="shared" si="23"/>
        <v>4.4242400000000011</v>
      </c>
      <c r="I36" s="2">
        <f t="shared" si="24"/>
        <v>4.7336400000000012</v>
      </c>
      <c r="J36" s="2">
        <f t="shared" si="25"/>
        <v>0.48310744408094447</v>
      </c>
      <c r="K36" s="2">
        <f t="shared" si="26"/>
        <v>0.51689255591905547</v>
      </c>
      <c r="L36" s="2">
        <f t="shared" si="27"/>
        <v>0.22602752111097041</v>
      </c>
      <c r="M36" s="2">
        <f t="shared" si="28"/>
        <v>0.10919557801587264</v>
      </c>
      <c r="N36" s="2">
        <f t="shared" si="29"/>
        <v>9.1578800000000022</v>
      </c>
      <c r="O36" s="2">
        <v>28</v>
      </c>
      <c r="P36">
        <f t="shared" si="22"/>
        <v>6.3287705911071717</v>
      </c>
      <c r="Z36" s="295">
        <v>-2</v>
      </c>
      <c r="AB36" s="13">
        <v>12.016260000000001</v>
      </c>
      <c r="AC36" s="2">
        <v>14.93571</v>
      </c>
      <c r="AD36" s="2">
        <f t="shared" si="30"/>
        <v>2.9194499999999994</v>
      </c>
      <c r="AE36" s="2">
        <f t="shared" si="31"/>
        <v>5.2393299999999989</v>
      </c>
      <c r="AF36" s="2">
        <f t="shared" si="32"/>
        <v>0.35782923427277119</v>
      </c>
      <c r="AG36" s="2">
        <f t="shared" si="33"/>
        <v>0.64217076572722886</v>
      </c>
      <c r="AH36" s="2">
        <f t="shared" si="34"/>
        <v>0.34253027111270967</v>
      </c>
      <c r="AI36" s="2">
        <f t="shared" si="35"/>
        <v>0.12256734462750561</v>
      </c>
      <c r="AJ36" s="2">
        <f t="shared" si="36"/>
        <v>8.1587799999999984</v>
      </c>
      <c r="AK36" s="2">
        <v>13</v>
      </c>
      <c r="AL36">
        <f t="shared" si="37"/>
        <v>4.4528935244652255</v>
      </c>
    </row>
    <row r="37" spans="4:40" x14ac:dyDescent="0.35">
      <c r="D37" s="295">
        <v>5</v>
      </c>
      <c r="F37" s="13">
        <v>26.050750000000001</v>
      </c>
      <c r="G37" s="2">
        <v>31.26782</v>
      </c>
      <c r="H37" s="2">
        <f t="shared" si="23"/>
        <v>5.2170699999999997</v>
      </c>
      <c r="I37" s="2">
        <f t="shared" si="24"/>
        <v>3.8286700000000025</v>
      </c>
      <c r="J37" s="2">
        <f t="shared" si="25"/>
        <v>0.57674330679413721</v>
      </c>
      <c r="K37" s="2">
        <f t="shared" si="26"/>
        <v>0.42325669320586284</v>
      </c>
      <c r="L37" s="2">
        <f t="shared" si="27"/>
        <v>0.19167847086583084</v>
      </c>
      <c r="M37" s="2">
        <f t="shared" si="28"/>
        <v>0.11054927512840296</v>
      </c>
      <c r="N37" s="2">
        <f t="shared" si="29"/>
        <v>9.0457400000000021</v>
      </c>
      <c r="O37" s="2">
        <v>33</v>
      </c>
      <c r="P37">
        <f t="shared" si="22"/>
        <v>6.3253895385724173</v>
      </c>
      <c r="Z37" s="295">
        <v>-2</v>
      </c>
      <c r="AB37" s="13">
        <v>20.175039999999999</v>
      </c>
      <c r="AC37" s="2">
        <v>23.006329999999998</v>
      </c>
      <c r="AD37" s="2">
        <f t="shared" si="30"/>
        <v>2.8312899999999992</v>
      </c>
      <c r="AE37" s="2">
        <f t="shared" si="31"/>
        <v>5.2125900000000023</v>
      </c>
      <c r="AF37" s="2">
        <f t="shared" si="32"/>
        <v>0.35198063621038589</v>
      </c>
      <c r="AG37" s="2">
        <f t="shared" si="33"/>
        <v>0.64801936378961411</v>
      </c>
      <c r="AH37" s="2">
        <f t="shared" si="34"/>
        <v>0.35319589303815585</v>
      </c>
      <c r="AI37" s="2">
        <f t="shared" si="35"/>
        <v>0.1243181151384655</v>
      </c>
      <c r="AJ37" s="2">
        <f t="shared" si="36"/>
        <v>8.0438800000000015</v>
      </c>
      <c r="AK37" s="2">
        <v>13</v>
      </c>
      <c r="AL37">
        <f t="shared" si="37"/>
        <v>4.5915466094960262</v>
      </c>
    </row>
    <row r="38" spans="4:40" x14ac:dyDescent="0.35">
      <c r="D38" s="295">
        <v>5</v>
      </c>
      <c r="F38" s="13">
        <v>35.096490000000003</v>
      </c>
      <c r="G38" s="2">
        <v>38.528509999999997</v>
      </c>
      <c r="H38" s="2">
        <f t="shared" si="23"/>
        <v>3.4320199999999943</v>
      </c>
      <c r="I38" s="2">
        <f t="shared" si="24"/>
        <v>0.60384000000000526</v>
      </c>
      <c r="J38" s="2">
        <f t="shared" si="25"/>
        <v>0.85038133136431759</v>
      </c>
      <c r="K38" s="2">
        <f t="shared" si="26"/>
        <v>0.14961866863568243</v>
      </c>
      <c r="L38" s="2">
        <f t="shared" si="27"/>
        <v>0.29137359339397839</v>
      </c>
      <c r="M38" s="2">
        <f t="shared" si="28"/>
        <v>0.24777866427477666</v>
      </c>
      <c r="N38" s="2">
        <f t="shared" si="29"/>
        <v>4.0358599999999996</v>
      </c>
      <c r="O38" s="2">
        <v>23</v>
      </c>
      <c r="P38">
        <f t="shared" si="22"/>
        <v>6.7015926480615029</v>
      </c>
      <c r="Z38" s="295">
        <v>-2</v>
      </c>
      <c r="AB38" s="13">
        <v>28.218920000000001</v>
      </c>
      <c r="AC38" s="2">
        <v>31.027950000000001</v>
      </c>
      <c r="AD38" s="2">
        <f t="shared" si="30"/>
        <v>2.8090299999999999</v>
      </c>
      <c r="AE38" s="2">
        <f t="shared" si="31"/>
        <v>5.4642000000000017</v>
      </c>
      <c r="AF38" s="2">
        <f t="shared" si="32"/>
        <v>0.33953244379764608</v>
      </c>
      <c r="AG38" s="2">
        <f t="shared" si="33"/>
        <v>0.66046755620235398</v>
      </c>
      <c r="AH38" s="2">
        <f t="shared" si="34"/>
        <v>0.35599477399671775</v>
      </c>
      <c r="AI38" s="2">
        <f t="shared" si="35"/>
        <v>0.12087177559429628</v>
      </c>
      <c r="AJ38" s="2">
        <f t="shared" si="36"/>
        <v>8.2732300000000016</v>
      </c>
      <c r="AK38" s="2">
        <v>12</v>
      </c>
      <c r="AL38">
        <f t="shared" si="37"/>
        <v>4.271937287960613</v>
      </c>
    </row>
    <row r="39" spans="4:40" x14ac:dyDescent="0.35">
      <c r="D39" s="295">
        <v>5</v>
      </c>
      <c r="F39" s="13">
        <v>39.132350000000002</v>
      </c>
      <c r="G39" s="2">
        <v>40.222619999999999</v>
      </c>
      <c r="H39" s="2">
        <f t="shared" si="23"/>
        <v>1.0902699999999967</v>
      </c>
      <c r="I39" s="2">
        <f t="shared" si="24"/>
        <v>4.9647100000000037</v>
      </c>
      <c r="J39" s="2">
        <f t="shared" si="25"/>
        <v>0.18006170127729515</v>
      </c>
      <c r="K39" s="2">
        <f t="shared" si="26"/>
        <v>0.81993829872270485</v>
      </c>
      <c r="L39" s="2">
        <f t="shared" si="27"/>
        <v>0.91720399534060648</v>
      </c>
      <c r="M39" s="2">
        <f t="shared" si="28"/>
        <v>0.16515331181936191</v>
      </c>
      <c r="N39" s="2">
        <f t="shared" si="29"/>
        <v>6.0549800000000005</v>
      </c>
      <c r="O39" s="2">
        <v>5</v>
      </c>
      <c r="P39">
        <f t="shared" si="22"/>
        <v>4.5860199767030325</v>
      </c>
      <c r="Z39" s="295">
        <v>-2</v>
      </c>
      <c r="AB39" s="13">
        <v>36.492150000000002</v>
      </c>
      <c r="AC39" s="2">
        <v>39.502809999999997</v>
      </c>
      <c r="AD39" s="2">
        <f t="shared" si="30"/>
        <v>3.0106599999999943</v>
      </c>
      <c r="AE39" s="2">
        <f t="shared" si="31"/>
        <v>5.2077400000000011</v>
      </c>
      <c r="AF39" s="2">
        <f t="shared" si="32"/>
        <v>0.36633164606249341</v>
      </c>
      <c r="AG39" s="2">
        <f t="shared" si="33"/>
        <v>0.63366835393750653</v>
      </c>
      <c r="AH39" s="2">
        <f t="shared" si="34"/>
        <v>0.33215308271276128</v>
      </c>
      <c r="AI39" s="2">
        <f t="shared" si="35"/>
        <v>0.12167818553489737</v>
      </c>
      <c r="AJ39" s="2">
        <f t="shared" si="36"/>
        <v>8.2183999999999955</v>
      </c>
      <c r="AK39" s="2">
        <v>13</v>
      </c>
      <c r="AL39">
        <f t="shared" si="37"/>
        <v>4.3179900752658966</v>
      </c>
    </row>
    <row r="40" spans="4:40" x14ac:dyDescent="0.35">
      <c r="D40" s="295">
        <v>5</v>
      </c>
      <c r="F40" s="13">
        <v>45.187330000000003</v>
      </c>
      <c r="G40" s="2">
        <v>50.684480000000001</v>
      </c>
      <c r="H40" s="2">
        <f t="shared" si="23"/>
        <v>5.4971499999999978</v>
      </c>
      <c r="I40" s="2">
        <f t="shared" si="24"/>
        <v>3.5954100000000011</v>
      </c>
      <c r="J40" s="2">
        <f t="shared" si="25"/>
        <v>0.60457670886966908</v>
      </c>
      <c r="K40" s="2">
        <f t="shared" si="26"/>
        <v>0.39542329113033092</v>
      </c>
      <c r="L40" s="2">
        <f t="shared" si="27"/>
        <v>0.18191244553996169</v>
      </c>
      <c r="M40" s="2">
        <f t="shared" si="28"/>
        <v>0.10998002762698296</v>
      </c>
      <c r="N40" s="2">
        <f t="shared" si="29"/>
        <v>9.0925599999999989</v>
      </c>
      <c r="O40" s="2">
        <v>35</v>
      </c>
      <c r="P40">
        <f t="shared" si="22"/>
        <v>6.3669355938986589</v>
      </c>
      <c r="Z40" s="295">
        <v>-2</v>
      </c>
      <c r="AB40" s="13">
        <v>44.710549999999998</v>
      </c>
      <c r="AC40" s="2">
        <v>47.626739999999998</v>
      </c>
      <c r="AD40" s="2">
        <f t="shared" si="30"/>
        <v>2.9161900000000003</v>
      </c>
      <c r="AE40" s="2">
        <f t="shared" si="31"/>
        <v>5.3334100000000007</v>
      </c>
      <c r="AF40" s="2">
        <f t="shared" si="32"/>
        <v>0.35349471489526763</v>
      </c>
      <c r="AG40" s="2">
        <f t="shared" si="33"/>
        <v>0.64650528510473237</v>
      </c>
      <c r="AH40" s="2">
        <f t="shared" si="34"/>
        <v>0.34291318466903731</v>
      </c>
      <c r="AI40" s="2">
        <f t="shared" si="35"/>
        <v>0.12121799844840961</v>
      </c>
      <c r="AJ40" s="2">
        <f t="shared" si="36"/>
        <v>8.2496000000000009</v>
      </c>
      <c r="AK40" s="2">
        <v>14</v>
      </c>
      <c r="AL40">
        <f t="shared" si="37"/>
        <v>4.8007845853665225</v>
      </c>
    </row>
    <row r="41" spans="4:40" ht="13.5" customHeight="1" x14ac:dyDescent="0.35">
      <c r="D41" s="295">
        <v>5</v>
      </c>
      <c r="F41" s="13">
        <v>54.279890000000002</v>
      </c>
      <c r="G41" s="2">
        <v>58.498899999999999</v>
      </c>
      <c r="H41" s="2">
        <f t="shared" si="23"/>
        <v>4.2190099999999973</v>
      </c>
      <c r="I41" s="2">
        <f t="shared" si="24"/>
        <v>6.7044700000000077</v>
      </c>
      <c r="J41" s="2">
        <f t="shared" si="25"/>
        <v>0.38623314181927326</v>
      </c>
      <c r="K41" s="2">
        <f t="shared" si="26"/>
        <v>0.61376685818072674</v>
      </c>
      <c r="L41" s="2">
        <f t="shared" si="27"/>
        <v>0.23702242943249735</v>
      </c>
      <c r="M41" s="2">
        <f t="shared" si="28"/>
        <v>9.1545917601350446E-2</v>
      </c>
      <c r="N41" s="2">
        <f t="shared" si="29"/>
        <v>10.923480000000005</v>
      </c>
      <c r="O41" s="2">
        <v>27</v>
      </c>
      <c r="P41">
        <f t="shared" si="22"/>
        <v>6.3996055946774284</v>
      </c>
      <c r="Z41" s="295">
        <v>-2</v>
      </c>
      <c r="AB41" s="13">
        <v>52.960149999999999</v>
      </c>
      <c r="AC41" s="2">
        <v>56.109169999999999</v>
      </c>
      <c r="AD41" s="2">
        <f t="shared" si="30"/>
        <v>3.1490200000000002</v>
      </c>
      <c r="AE41" s="2">
        <f t="shared" si="31"/>
        <v>5.059980000000003</v>
      </c>
      <c r="AF41" s="2">
        <f t="shared" si="32"/>
        <v>0.38360579851382615</v>
      </c>
      <c r="AG41" s="2">
        <f t="shared" si="33"/>
        <v>0.61639420148617385</v>
      </c>
      <c r="AH41" s="2">
        <f t="shared" si="34"/>
        <v>0.31755911362900202</v>
      </c>
      <c r="AI41" s="2">
        <f t="shared" si="35"/>
        <v>0.12181751735899618</v>
      </c>
      <c r="AJ41" s="2">
        <f t="shared" si="36"/>
        <v>8.2090000000000032</v>
      </c>
      <c r="AK41" s="2">
        <v>14</v>
      </c>
      <c r="AL41">
        <f t="shared" si="37"/>
        <v>4.4458275908060285</v>
      </c>
    </row>
    <row r="42" spans="4:40" x14ac:dyDescent="0.35">
      <c r="D42" s="295">
        <v>5</v>
      </c>
      <c r="F42" s="13">
        <v>65.203370000000007</v>
      </c>
      <c r="G42" s="2">
        <v>69.708190000000002</v>
      </c>
      <c r="H42" s="2">
        <f t="shared" si="23"/>
        <v>4.5048199999999952</v>
      </c>
      <c r="I42" s="2">
        <f t="shared" si="24"/>
        <v>3.5726799999999912</v>
      </c>
      <c r="J42" s="2">
        <f t="shared" si="25"/>
        <v>0.55769978334880876</v>
      </c>
      <c r="K42" s="2">
        <f t="shared" si="26"/>
        <v>0.44230021665119124</v>
      </c>
      <c r="L42" s="2">
        <f t="shared" si="27"/>
        <v>0.22198445220896751</v>
      </c>
      <c r="M42" s="2">
        <f t="shared" si="28"/>
        <v>0.12380068090374519</v>
      </c>
      <c r="N42" s="2">
        <f t="shared" si="29"/>
        <v>8.0774999999999864</v>
      </c>
      <c r="O42" s="2">
        <v>29</v>
      </c>
      <c r="P42">
        <f t="shared" si="22"/>
        <v>6.437549114060058</v>
      </c>
      <c r="Z42" s="295">
        <v>-2</v>
      </c>
      <c r="AB42" s="13">
        <v>61.169150000000002</v>
      </c>
      <c r="AC42" s="2">
        <v>64.029449999999997</v>
      </c>
      <c r="AD42" s="2">
        <f t="shared" si="30"/>
        <v>2.8602999999999952</v>
      </c>
      <c r="AE42" s="2">
        <f t="shared" si="31"/>
        <v>5.3814300000000088</v>
      </c>
      <c r="AF42" s="2">
        <f t="shared" si="32"/>
        <v>0.34705092256116055</v>
      </c>
      <c r="AG42" s="2">
        <f t="shared" si="33"/>
        <v>0.65294907743883945</v>
      </c>
      <c r="AH42" s="2">
        <f t="shared" si="34"/>
        <v>0.34961367688704043</v>
      </c>
      <c r="AI42" s="2">
        <f t="shared" si="35"/>
        <v>0.12133374910364687</v>
      </c>
      <c r="AJ42" s="2">
        <f t="shared" si="36"/>
        <v>8.241730000000004</v>
      </c>
      <c r="AK42" s="2">
        <v>13</v>
      </c>
      <c r="AL42">
        <f t="shared" si="37"/>
        <v>4.5449777995315257</v>
      </c>
    </row>
    <row r="43" spans="4:40" x14ac:dyDescent="0.35">
      <c r="D43" s="295">
        <v>5</v>
      </c>
      <c r="F43" s="13">
        <v>73.280869999999993</v>
      </c>
      <c r="G43" s="2">
        <v>78.285399999999996</v>
      </c>
      <c r="H43" s="2">
        <f t="shared" si="23"/>
        <v>5.0045300000000026</v>
      </c>
      <c r="I43" s="2">
        <f t="shared" si="24"/>
        <v>4.9545600000000007</v>
      </c>
      <c r="J43" s="2">
        <f t="shared" si="25"/>
        <v>0.50250876335086847</v>
      </c>
      <c r="K43" s="2">
        <f t="shared" si="26"/>
        <v>0.49749123664913153</v>
      </c>
      <c r="L43" s="2">
        <f t="shared" si="27"/>
        <v>0.19981896401859905</v>
      </c>
      <c r="M43" s="2">
        <f t="shared" si="28"/>
        <v>0.10041078050303789</v>
      </c>
      <c r="N43" s="2">
        <f t="shared" si="29"/>
        <v>9.9590900000000033</v>
      </c>
      <c r="O43" s="2">
        <v>28</v>
      </c>
      <c r="P43">
        <f t="shared" si="22"/>
        <v>5.5949309925207729</v>
      </c>
      <c r="Z43" s="295">
        <v>-2</v>
      </c>
      <c r="AB43" s="13">
        <v>69.410880000000006</v>
      </c>
      <c r="AC43" s="2">
        <v>72.245540000000005</v>
      </c>
      <c r="AD43" s="2">
        <f t="shared" si="30"/>
        <v>2.8346599999999995</v>
      </c>
      <c r="AE43" s="2">
        <f t="shared" si="31"/>
        <v>6.7936799999999948</v>
      </c>
      <c r="AF43" s="2">
        <f t="shared" si="32"/>
        <v>0.29440796648228057</v>
      </c>
      <c r="AG43" s="2">
        <f t="shared" si="33"/>
        <v>0.70559203351771949</v>
      </c>
      <c r="AH43" s="2">
        <f t="shared" si="34"/>
        <v>0.35277599429913997</v>
      </c>
      <c r="AI43" s="2">
        <f t="shared" si="35"/>
        <v>0.10386006310537441</v>
      </c>
      <c r="AJ43" s="2">
        <f t="shared" si="36"/>
        <v>9.6283399999999943</v>
      </c>
      <c r="AK43" s="2">
        <v>12</v>
      </c>
      <c r="AL43">
        <f t="shared" si="37"/>
        <v>4.2333119315896797</v>
      </c>
    </row>
    <row r="44" spans="4:40" x14ac:dyDescent="0.35">
      <c r="D44" s="295">
        <v>5</v>
      </c>
      <c r="F44" s="13">
        <v>83.239959999999996</v>
      </c>
      <c r="G44" s="2">
        <v>87.550870000000003</v>
      </c>
      <c r="H44" s="2">
        <f t="shared" si="23"/>
        <v>4.3109100000000069</v>
      </c>
      <c r="I44" s="2">
        <f t="shared" si="24"/>
        <v>4.7091599999999971</v>
      </c>
      <c r="J44" s="2">
        <f t="shared" si="25"/>
        <v>0.47792422896939879</v>
      </c>
      <c r="K44" s="2">
        <f t="shared" si="26"/>
        <v>0.52207577103060121</v>
      </c>
      <c r="L44" s="2">
        <f t="shared" si="27"/>
        <v>0.23196958414812613</v>
      </c>
      <c r="M44" s="2">
        <f t="shared" si="28"/>
        <v>0.11086388464834525</v>
      </c>
      <c r="N44" s="2">
        <f t="shared" si="29"/>
        <v>9.020070000000004</v>
      </c>
      <c r="O44" s="2">
        <v>28</v>
      </c>
      <c r="P44">
        <f t="shared" si="22"/>
        <v>6.4951483561475314</v>
      </c>
      <c r="Z44" s="295">
        <v>-2</v>
      </c>
      <c r="AB44" s="13">
        <v>79.03922</v>
      </c>
      <c r="AC44" s="2">
        <v>81.953850000000003</v>
      </c>
      <c r="AD44" s="2">
        <f t="shared" si="30"/>
        <v>2.9146300000000025</v>
      </c>
      <c r="AE44" s="2">
        <f t="shared" si="31"/>
        <v>6.7460299999999904</v>
      </c>
      <c r="AF44" s="2">
        <f t="shared" si="32"/>
        <v>0.30170091898483176</v>
      </c>
      <c r="AG44" s="2">
        <f t="shared" si="33"/>
        <v>0.69829908101516824</v>
      </c>
      <c r="AH44" s="2">
        <f t="shared" si="34"/>
        <v>0.34309672239701067</v>
      </c>
      <c r="AI44" s="2">
        <f t="shared" si="35"/>
        <v>0.10351259644786182</v>
      </c>
      <c r="AJ44" s="2">
        <f t="shared" si="36"/>
        <v>9.6606599999999929</v>
      </c>
      <c r="AK44" s="2">
        <v>13</v>
      </c>
      <c r="AL44">
        <f t="shared" si="37"/>
        <v>4.4602573911611385</v>
      </c>
    </row>
    <row r="45" spans="4:40" x14ac:dyDescent="0.35">
      <c r="D45" s="295">
        <v>5</v>
      </c>
      <c r="F45" s="13">
        <v>92.26003</v>
      </c>
      <c r="G45" s="2">
        <v>97.666510000000002</v>
      </c>
      <c r="H45" s="2">
        <f t="shared" si="23"/>
        <v>5.406480000000002</v>
      </c>
      <c r="I45" s="2">
        <f t="shared" si="24"/>
        <v>3.636650000000003</v>
      </c>
      <c r="J45" s="2">
        <f t="shared" si="25"/>
        <v>0.59785494624095847</v>
      </c>
      <c r="K45" s="2">
        <f t="shared" si="26"/>
        <v>0.40214505375904153</v>
      </c>
      <c r="L45" s="2">
        <f t="shared" si="27"/>
        <v>0.18496322931001311</v>
      </c>
      <c r="M45" s="2">
        <f t="shared" si="28"/>
        <v>0.11058118151569196</v>
      </c>
      <c r="N45" s="2">
        <f t="shared" si="29"/>
        <v>9.043130000000005</v>
      </c>
      <c r="O45" s="2">
        <v>34</v>
      </c>
      <c r="P45">
        <f t="shared" si="22"/>
        <v>6.2887497965404453</v>
      </c>
      <c r="Z45" s="295">
        <v>-2</v>
      </c>
      <c r="AB45" s="13">
        <v>88.699879999999993</v>
      </c>
      <c r="AC45" s="2">
        <v>91.758780000000002</v>
      </c>
      <c r="AD45" s="2">
        <f t="shared" si="30"/>
        <v>3.0589000000000084</v>
      </c>
      <c r="AE45" s="2">
        <f t="shared" si="31"/>
        <v>5.4634700000000009</v>
      </c>
      <c r="AF45" s="2">
        <f t="shared" si="32"/>
        <v>0.35892597951039501</v>
      </c>
      <c r="AG45" s="2">
        <f t="shared" si="33"/>
        <v>0.64107402048960505</v>
      </c>
      <c r="AH45" s="2">
        <f t="shared" si="34"/>
        <v>0.32691490405047474</v>
      </c>
      <c r="AI45" s="2">
        <f t="shared" si="35"/>
        <v>0.11733825215286345</v>
      </c>
      <c r="AJ45" s="2">
        <f t="shared" si="36"/>
        <v>8.5223700000000093</v>
      </c>
      <c r="AK45" s="2">
        <v>14</v>
      </c>
      <c r="AL45">
        <f t="shared" si="37"/>
        <v>4.576808656706647</v>
      </c>
    </row>
    <row r="46" spans="4:40" x14ac:dyDescent="0.35">
      <c r="D46" s="295">
        <v>5</v>
      </c>
      <c r="F46" s="13">
        <v>101.30316000000001</v>
      </c>
      <c r="G46" s="2">
        <v>105.77453</v>
      </c>
      <c r="H46" s="2">
        <f t="shared" si="23"/>
        <v>4.4713699999999932</v>
      </c>
      <c r="I46" s="2">
        <f t="shared" si="24"/>
        <v>6.5282499999999999</v>
      </c>
      <c r="J46" s="2">
        <f t="shared" si="25"/>
        <v>0.40650222462230479</v>
      </c>
      <c r="K46" s="2">
        <f t="shared" si="26"/>
        <v>0.59349777537769521</v>
      </c>
      <c r="L46" s="2">
        <f t="shared" si="27"/>
        <v>0.22364510206044266</v>
      </c>
      <c r="M46" s="2">
        <f t="shared" si="28"/>
        <v>9.0912231513452346E-2</v>
      </c>
      <c r="N46" s="2">
        <f t="shared" si="29"/>
        <v>10.999619999999993</v>
      </c>
      <c r="O46" s="2">
        <v>28</v>
      </c>
      <c r="P46">
        <f t="shared" si="22"/>
        <v>6.2620628576923947</v>
      </c>
      <c r="Z46" s="295">
        <v>-2</v>
      </c>
      <c r="AB46" s="13">
        <v>97.222250000000003</v>
      </c>
      <c r="AC46" s="2">
        <v>100.24758</v>
      </c>
      <c r="AD46" s="2">
        <f t="shared" si="30"/>
        <v>3.0253299999999967</v>
      </c>
      <c r="AE46" s="2">
        <f t="shared" si="31"/>
        <v>5.3500700000000023</v>
      </c>
      <c r="AF46" s="2">
        <f t="shared" si="32"/>
        <v>0.36121618071972644</v>
      </c>
      <c r="AG46" s="2">
        <f t="shared" si="33"/>
        <v>0.6387838192802735</v>
      </c>
      <c r="AH46" s="2">
        <f t="shared" si="34"/>
        <v>0.33054245321997966</v>
      </c>
      <c r="AI46" s="2">
        <f t="shared" si="35"/>
        <v>0.11939728251784991</v>
      </c>
      <c r="AJ46" s="2">
        <f t="shared" si="36"/>
        <v>8.3753999999999991</v>
      </c>
      <c r="AK46" s="2">
        <v>13</v>
      </c>
      <c r="AL46">
        <f t="shared" si="37"/>
        <v>4.297051891859736</v>
      </c>
    </row>
    <row r="47" spans="4:40" x14ac:dyDescent="0.35">
      <c r="D47" s="295">
        <v>5</v>
      </c>
      <c r="F47" s="13">
        <v>112.30278</v>
      </c>
      <c r="G47" s="2">
        <v>116.77728999999999</v>
      </c>
      <c r="H47" s="2">
        <f t="shared" si="23"/>
        <v>4.4745099999999951</v>
      </c>
      <c r="I47" s="2"/>
      <c r="J47" s="2"/>
      <c r="K47" s="2"/>
      <c r="L47" s="2"/>
      <c r="M47" s="2"/>
      <c r="N47" s="2"/>
      <c r="O47" s="2"/>
      <c r="Z47" s="295">
        <v>-2</v>
      </c>
      <c r="AB47" s="13">
        <v>105.59765</v>
      </c>
      <c r="AC47" s="2">
        <v>108.48999000000001</v>
      </c>
      <c r="AD47" s="2">
        <f t="shared" si="30"/>
        <v>2.8923400000000044</v>
      </c>
      <c r="AE47" s="2">
        <f t="shared" si="31"/>
        <v>6.9966699999999946</v>
      </c>
      <c r="AF47" s="2">
        <f t="shared" si="32"/>
        <v>0.29248023816337576</v>
      </c>
      <c r="AG47" s="2">
        <f t="shared" si="33"/>
        <v>0.70751976183662424</v>
      </c>
      <c r="AH47" s="2">
        <f t="shared" si="34"/>
        <v>0.34574081885255487</v>
      </c>
      <c r="AI47" s="2">
        <f t="shared" si="35"/>
        <v>0.10112235704079581</v>
      </c>
      <c r="AJ47" s="2">
        <f t="shared" si="36"/>
        <v>9.889009999999999</v>
      </c>
      <c r="AK47" s="2">
        <v>12</v>
      </c>
      <c r="AL47">
        <f t="shared" si="37"/>
        <v>4.1488898262306586</v>
      </c>
    </row>
    <row r="48" spans="4:40" x14ac:dyDescent="0.35">
      <c r="F48" s="13"/>
      <c r="H48" s="2"/>
      <c r="I48" s="2"/>
      <c r="J48" s="2"/>
      <c r="K48" s="2"/>
      <c r="L48" s="2"/>
      <c r="M48" s="2"/>
      <c r="N48" s="2"/>
      <c r="O48" s="2"/>
      <c r="Z48" s="295">
        <v>-2</v>
      </c>
      <c r="AB48" s="13">
        <v>115.48666</v>
      </c>
      <c r="AC48" s="2">
        <v>118.70725</v>
      </c>
      <c r="AD48" s="2">
        <f t="shared" si="30"/>
        <v>3.2205900000000014</v>
      </c>
      <c r="AE48" s="2">
        <f t="shared" si="31"/>
        <v>6.4011299999999949</v>
      </c>
      <c r="AF48" s="2">
        <f t="shared" si="32"/>
        <v>0.33472081914668089</v>
      </c>
      <c r="AG48" s="2">
        <f t="shared" si="33"/>
        <v>0.66527918085331905</v>
      </c>
      <c r="AH48" s="2">
        <f t="shared" si="34"/>
        <v>0.31050211296687863</v>
      </c>
      <c r="AI48" s="2">
        <f t="shared" si="35"/>
        <v>0.10393152159904887</v>
      </c>
      <c r="AJ48" s="2">
        <f t="shared" si="36"/>
        <v>9.6217199999999963</v>
      </c>
      <c r="AK48" s="2">
        <v>15</v>
      </c>
      <c r="AL48">
        <f t="shared" si="37"/>
        <v>4.6575316945031791</v>
      </c>
    </row>
    <row r="49" spans="4:40" ht="16" thickBot="1" x14ac:dyDescent="0.4">
      <c r="E49" s="104" t="s">
        <v>779</v>
      </c>
      <c r="F49" s="13"/>
      <c r="G49" s="13"/>
      <c r="H49" s="9" t="s">
        <v>3</v>
      </c>
      <c r="I49" s="9" t="s">
        <v>4</v>
      </c>
      <c r="J49" s="9" t="s">
        <v>5</v>
      </c>
      <c r="K49" s="9" t="s">
        <v>6</v>
      </c>
      <c r="L49" s="9" t="s">
        <v>7</v>
      </c>
      <c r="M49" s="9" t="s">
        <v>8</v>
      </c>
      <c r="N49" s="9" t="s">
        <v>9</v>
      </c>
      <c r="O49" s="9" t="s">
        <v>10</v>
      </c>
      <c r="P49" s="44" t="s">
        <v>139</v>
      </c>
      <c r="Z49" s="297">
        <v>-3</v>
      </c>
      <c r="AB49" s="13">
        <v>125.10838</v>
      </c>
      <c r="AC49" s="2">
        <v>128.09813</v>
      </c>
      <c r="AD49" s="2">
        <f t="shared" si="30"/>
        <v>2.9897500000000008</v>
      </c>
      <c r="AE49" s="2">
        <f t="shared" si="31"/>
        <v>5.5304999999999893</v>
      </c>
      <c r="AF49" s="2">
        <f t="shared" si="32"/>
        <v>0.35089932807135993</v>
      </c>
      <c r="AG49" s="2">
        <f t="shared" si="33"/>
        <v>0.64910067192864007</v>
      </c>
      <c r="AH49" s="2">
        <f t="shared" si="34"/>
        <v>0.33447612676645194</v>
      </c>
      <c r="AI49" s="2">
        <f t="shared" si="35"/>
        <v>0.11736744813825899</v>
      </c>
      <c r="AJ49" s="2">
        <f t="shared" si="36"/>
        <v>8.5202499999999901</v>
      </c>
      <c r="AK49" s="2">
        <v>12</v>
      </c>
      <c r="AL49">
        <f t="shared" si="37"/>
        <v>4.0137135211974231</v>
      </c>
      <c r="AN49" t="s">
        <v>753</v>
      </c>
    </row>
    <row r="50" spans="4:40" x14ac:dyDescent="0.35">
      <c r="F50" s="13"/>
      <c r="G50" s="49" t="s">
        <v>77</v>
      </c>
      <c r="H50" s="13">
        <f>AVERAGE(H34:H46)</f>
        <v>4.2884215384615381</v>
      </c>
      <c r="I50" s="13">
        <f t="shared" ref="I50:P50" si="38">AVERAGE(I34:I46)</f>
        <v>4.3459123076923083</v>
      </c>
      <c r="J50" s="13">
        <f t="shared" si="38"/>
        <v>0.50889330579393566</v>
      </c>
      <c r="K50" s="13">
        <f t="shared" si="38"/>
        <v>0.4911066942060644</v>
      </c>
      <c r="L50" s="13">
        <f t="shared" si="38"/>
        <v>0.27708101953548619</v>
      </c>
      <c r="M50" s="13">
        <f t="shared" si="38"/>
        <v>0.12450898764194604</v>
      </c>
      <c r="N50" s="13">
        <f t="shared" si="38"/>
        <v>8.6343338461538472</v>
      </c>
      <c r="O50" s="13">
        <f t="shared" si="38"/>
        <v>26.692307692307693</v>
      </c>
      <c r="P50" s="13">
        <f t="shared" si="38"/>
        <v>6.1328956475044061</v>
      </c>
      <c r="Z50" s="297">
        <v>-3</v>
      </c>
      <c r="AB50" s="13">
        <v>133.62862999999999</v>
      </c>
      <c r="AC50" s="2">
        <v>136.76998</v>
      </c>
      <c r="AD50" s="2">
        <f t="shared" si="30"/>
        <v>3.141350000000017</v>
      </c>
      <c r="AE50" s="2">
        <f t="shared" si="31"/>
        <v>6.6557899999999961</v>
      </c>
      <c r="AF50" s="2">
        <f t="shared" si="32"/>
        <v>0.32063949274992626</v>
      </c>
      <c r="AG50" s="2">
        <f t="shared" si="33"/>
        <v>0.67936050725007369</v>
      </c>
      <c r="AH50" s="2">
        <f t="shared" si="34"/>
        <v>0.31833447403186355</v>
      </c>
      <c r="AI50" s="2">
        <f t="shared" si="35"/>
        <v>0.10207060427839132</v>
      </c>
      <c r="AJ50" s="2">
        <f t="shared" si="36"/>
        <v>9.7971400000000131</v>
      </c>
      <c r="AK50" s="2">
        <v>14</v>
      </c>
      <c r="AL50">
        <f t="shared" si="37"/>
        <v>4.4566826364460903</v>
      </c>
    </row>
    <row r="51" spans="4:40" x14ac:dyDescent="0.35">
      <c r="E51" s="104"/>
      <c r="F51" s="13"/>
      <c r="G51" s="49" t="s">
        <v>94</v>
      </c>
      <c r="H51" s="2">
        <f>_xlfn.STDEV.S(H34:H46)</f>
        <v>1.1390257465472129</v>
      </c>
      <c r="I51" s="2">
        <f t="shared" ref="I51:P51" si="39">_xlfn.STDEV.S(I34:I46)</f>
        <v>1.5994381580008741</v>
      </c>
      <c r="J51" s="2">
        <f t="shared" si="39"/>
        <v>0.15324534540261259</v>
      </c>
      <c r="K51" s="2">
        <f t="shared" si="39"/>
        <v>0.15324534540261212</v>
      </c>
      <c r="L51" s="2">
        <f t="shared" si="39"/>
        <v>0.1949170695175215</v>
      </c>
      <c r="M51" s="2">
        <f t="shared" si="39"/>
        <v>4.2756410220242402E-2</v>
      </c>
      <c r="N51" s="2">
        <f t="shared" si="39"/>
        <v>1.9923137193371372</v>
      </c>
      <c r="O51" s="2">
        <f t="shared" si="39"/>
        <v>7.5980766797110704</v>
      </c>
      <c r="P51" s="2">
        <f t="shared" si="39"/>
        <v>0.55218908975779446</v>
      </c>
      <c r="Z51" s="295">
        <v>-3</v>
      </c>
      <c r="AB51" s="13">
        <v>143.42577</v>
      </c>
      <c r="AC51" s="2">
        <v>146.45596</v>
      </c>
      <c r="AD51" s="2">
        <f t="shared" si="30"/>
        <v>3.0301900000000046</v>
      </c>
      <c r="AE51" s="2">
        <f t="shared" si="31"/>
        <v>6.9041599999999903</v>
      </c>
      <c r="AF51" s="2">
        <f t="shared" si="32"/>
        <v>0.30502146592379031</v>
      </c>
      <c r="AG51" s="2">
        <f t="shared" si="33"/>
        <v>0.69497853407620969</v>
      </c>
      <c r="AH51" s="2">
        <f t="shared" si="34"/>
        <v>0.33001230945914234</v>
      </c>
      <c r="AI51" s="2">
        <f t="shared" si="35"/>
        <v>0.10066083840412313</v>
      </c>
      <c r="AJ51" s="2">
        <f t="shared" si="36"/>
        <v>9.9343499999999949</v>
      </c>
      <c r="AK51" s="2">
        <v>13</v>
      </c>
      <c r="AL51">
        <f t="shared" si="37"/>
        <v>4.2901600229688501</v>
      </c>
    </row>
    <row r="52" spans="4:40" x14ac:dyDescent="0.35">
      <c r="E52" s="104"/>
      <c r="F52" s="13"/>
      <c r="G52" s="49" t="s">
        <v>95</v>
      </c>
      <c r="H52" s="2">
        <f>H51/(SQRT(COUNT(H34:H46)))</f>
        <v>0.31590890255766357</v>
      </c>
      <c r="I52" s="2">
        <f t="shared" ref="I52:P52" si="40">I51/(SQRT(COUNT(I34:I46)))</f>
        <v>0.44360433004660194</v>
      </c>
      <c r="J52" s="2">
        <f t="shared" si="40"/>
        <v>4.2502611582716107E-2</v>
      </c>
      <c r="K52" s="2">
        <f t="shared" si="40"/>
        <v>4.2502611582715982E-2</v>
      </c>
      <c r="L52" s="2">
        <f t="shared" si="40"/>
        <v>5.4060268354507904E-2</v>
      </c>
      <c r="M52" s="2">
        <f t="shared" si="40"/>
        <v>1.1858494569527428E-2</v>
      </c>
      <c r="N52" s="2">
        <f t="shared" si="40"/>
        <v>0.55256840552926301</v>
      </c>
      <c r="O52" s="2">
        <f t="shared" si="40"/>
        <v>2.107327312585034</v>
      </c>
      <c r="P52" s="2">
        <f t="shared" si="40"/>
        <v>0.15314969822103963</v>
      </c>
      <c r="Z52" s="295">
        <v>-3</v>
      </c>
      <c r="AB52" s="13">
        <v>153.36011999999999</v>
      </c>
      <c r="AC52" s="2">
        <v>156.51809</v>
      </c>
      <c r="AD52" s="2">
        <f t="shared" si="30"/>
        <v>3.1579700000000059</v>
      </c>
      <c r="AE52" s="2">
        <f t="shared" si="31"/>
        <v>5.4435000000000002</v>
      </c>
      <c r="AF52" s="2">
        <f t="shared" si="32"/>
        <v>0.36714305810518477</v>
      </c>
      <c r="AG52" s="2">
        <f t="shared" si="33"/>
        <v>0.63285694189481523</v>
      </c>
      <c r="AH52" s="2">
        <f t="shared" si="34"/>
        <v>0.31665911962431503</v>
      </c>
      <c r="AI52" s="2">
        <f t="shared" si="35"/>
        <v>0.11625919755576655</v>
      </c>
      <c r="AJ52" s="2">
        <f t="shared" si="36"/>
        <v>8.6014700000000062</v>
      </c>
      <c r="AK52" s="2">
        <v>14</v>
      </c>
      <c r="AL52">
        <f t="shared" si="37"/>
        <v>4.4332276747404107</v>
      </c>
    </row>
    <row r="53" spans="4:40" x14ac:dyDescent="0.35">
      <c r="E53" s="104"/>
      <c r="Z53" s="295">
        <v>-3</v>
      </c>
      <c r="AB53" s="13">
        <v>161.96159</v>
      </c>
      <c r="AC53" s="2">
        <v>164.80222000000001</v>
      </c>
      <c r="AD53" s="2">
        <f t="shared" si="30"/>
        <v>2.8406300000000044</v>
      </c>
      <c r="AE53" s="2">
        <f t="shared" si="31"/>
        <v>5.7132399999999848</v>
      </c>
      <c r="AF53" s="2">
        <f t="shared" si="32"/>
        <v>0.33208711378592476</v>
      </c>
      <c r="AG53" s="2">
        <f t="shared" si="33"/>
        <v>0.6679128862140753</v>
      </c>
      <c r="AH53" s="2">
        <f t="shared" si="34"/>
        <v>0.35203458387751957</v>
      </c>
      <c r="AI53" s="2">
        <f t="shared" si="35"/>
        <v>0.11690614891271452</v>
      </c>
      <c r="AJ53" s="2">
        <f t="shared" si="36"/>
        <v>8.5538699999999892</v>
      </c>
      <c r="AK53" s="2">
        <v>12</v>
      </c>
      <c r="AL53">
        <f t="shared" si="37"/>
        <v>4.2244150065302346</v>
      </c>
    </row>
    <row r="54" spans="4:40" ht="15.5" x14ac:dyDescent="0.35">
      <c r="D54" s="2"/>
      <c r="E54" s="3"/>
      <c r="F54" s="13"/>
      <c r="G54" s="13"/>
      <c r="H54" s="5"/>
      <c r="I54" s="5"/>
      <c r="J54" s="5"/>
      <c r="K54" s="5"/>
      <c r="L54" s="5"/>
      <c r="M54" s="5"/>
      <c r="N54" s="5"/>
      <c r="O54" s="5"/>
      <c r="P54" s="14"/>
      <c r="Q54" s="2"/>
      <c r="R54" s="2"/>
      <c r="S54" s="2"/>
      <c r="Z54" s="295">
        <v>-3</v>
      </c>
      <c r="AB54" s="13">
        <v>170.51545999999999</v>
      </c>
      <c r="AC54" s="2">
        <v>173.45365000000001</v>
      </c>
      <c r="AD54" s="2">
        <f t="shared" si="30"/>
        <v>2.9381900000000201</v>
      </c>
      <c r="AE54" s="2">
        <f t="shared" si="31"/>
        <v>6.9896499999999833</v>
      </c>
      <c r="AF54" s="2">
        <f t="shared" si="32"/>
        <v>0.29595460845461036</v>
      </c>
      <c r="AG54" s="2">
        <f t="shared" si="33"/>
        <v>0.70404539154538959</v>
      </c>
      <c r="AH54" s="2">
        <f t="shared" si="34"/>
        <v>0.34034558690894501</v>
      </c>
      <c r="AI54" s="2">
        <f t="shared" si="35"/>
        <v>0.1007268449128914</v>
      </c>
      <c r="AJ54" s="2">
        <f t="shared" si="36"/>
        <v>9.9278400000000033</v>
      </c>
      <c r="AK54" s="2">
        <v>13</v>
      </c>
      <c r="AL54">
        <f t="shared" si="37"/>
        <v>4.4244926298162852</v>
      </c>
    </row>
    <row r="55" spans="4:40" x14ac:dyDescent="0.35">
      <c r="D55" s="2"/>
      <c r="E55" s="2"/>
      <c r="F55" s="13"/>
      <c r="G55" s="49"/>
      <c r="H55" s="13"/>
      <c r="I55" s="13"/>
      <c r="J55" s="13"/>
      <c r="K55" s="13"/>
      <c r="L55" s="13"/>
      <c r="M55" s="13"/>
      <c r="N55" s="13"/>
      <c r="O55" s="13"/>
      <c r="P55" s="13"/>
      <c r="Q55" s="2"/>
      <c r="R55" s="2"/>
      <c r="S55" s="2"/>
      <c r="Z55" s="295">
        <v>-3</v>
      </c>
      <c r="AB55" s="13">
        <v>180.44329999999999</v>
      </c>
      <c r="AC55" s="2">
        <v>183.26857999999999</v>
      </c>
      <c r="AD55" s="2">
        <f t="shared" ref="AD55:AD79" si="41">AC55-AB55</f>
        <v>2.8252799999999922</v>
      </c>
      <c r="AE55" s="2">
        <f t="shared" ref="AE55:AE79" si="42">AB56-AC55</f>
        <v>7.1002500000000168</v>
      </c>
      <c r="AF55" s="2">
        <f t="shared" ref="AF55:AF79" si="43">AD55/AJ55</f>
        <v>0.28464777195776847</v>
      </c>
      <c r="AG55" s="2">
        <f t="shared" ref="AG55:AG79" si="44">AE55/AJ55</f>
        <v>0.71535222804223153</v>
      </c>
      <c r="AH55" s="2">
        <f t="shared" ref="AH55:AH79" si="45">1/AD55</f>
        <v>0.35394721939064544</v>
      </c>
      <c r="AI55" s="2">
        <f t="shared" ref="AI55:AI79" si="46">1/AJ55</f>
        <v>0.10075028739019469</v>
      </c>
      <c r="AJ55" s="2">
        <f t="shared" ref="AJ55:AJ79" si="47">AD55+AE55</f>
        <v>9.9255300000000091</v>
      </c>
      <c r="AK55" s="2">
        <v>12</v>
      </c>
      <c r="AL55">
        <f t="shared" si="37"/>
        <v>4.2473666326877453</v>
      </c>
    </row>
    <row r="56" spans="4:40" x14ac:dyDescent="0.35">
      <c r="D56" s="2"/>
      <c r="E56" s="3"/>
      <c r="F56" s="13"/>
      <c r="G56" s="49"/>
      <c r="H56" s="2"/>
      <c r="I56" s="2"/>
      <c r="J56" s="2"/>
      <c r="K56" s="2"/>
      <c r="L56" s="2"/>
      <c r="M56" s="2"/>
      <c r="N56" s="2"/>
      <c r="O56" s="2"/>
      <c r="P56" s="2"/>
      <c r="Q56" s="2"/>
      <c r="R56" s="2"/>
      <c r="S56" s="2"/>
      <c r="Z56" s="295">
        <v>-3</v>
      </c>
      <c r="AB56" s="13">
        <v>190.36883</v>
      </c>
      <c r="AC56" s="2">
        <v>192.40003000000002</v>
      </c>
      <c r="AD56" s="2">
        <f t="shared" si="41"/>
        <v>2.0312000000000126</v>
      </c>
      <c r="AE56" s="2">
        <f t="shared" si="42"/>
        <v>6.6941699999999855</v>
      </c>
      <c r="AF56" s="2">
        <f t="shared" si="43"/>
        <v>0.23279242026412783</v>
      </c>
      <c r="AG56" s="2">
        <f t="shared" si="44"/>
        <v>0.76720757973587217</v>
      </c>
      <c r="AH56" s="2">
        <f t="shared" si="45"/>
        <v>0.49231981094918953</v>
      </c>
      <c r="AI56" s="2">
        <f t="shared" si="46"/>
        <v>0.1146083203348397</v>
      </c>
      <c r="AJ56" s="2">
        <f t="shared" si="47"/>
        <v>8.7253699999999981</v>
      </c>
      <c r="AK56" s="2">
        <v>11</v>
      </c>
      <c r="AL56">
        <f t="shared" si="37"/>
        <v>5.4155179204410855</v>
      </c>
    </row>
    <row r="57" spans="4:40" x14ac:dyDescent="0.35">
      <c r="D57" s="2"/>
      <c r="E57" s="3"/>
      <c r="F57" s="13"/>
      <c r="G57" s="49"/>
      <c r="H57" s="2"/>
      <c r="I57" s="2"/>
      <c r="J57" s="2"/>
      <c r="K57" s="2"/>
      <c r="L57" s="2"/>
      <c r="M57" s="2"/>
      <c r="N57" s="2"/>
      <c r="O57" s="2"/>
      <c r="P57" s="2"/>
      <c r="Q57" s="2"/>
      <c r="R57" s="2"/>
      <c r="S57" s="2"/>
      <c r="Z57" s="295">
        <v>-3</v>
      </c>
      <c r="AB57" s="13">
        <v>199.0942</v>
      </c>
      <c r="AC57" s="2">
        <v>202.24716999999998</v>
      </c>
      <c r="AD57" s="2">
        <f t="shared" si="41"/>
        <v>3.1529699999999821</v>
      </c>
      <c r="AE57" s="2">
        <f t="shared" si="42"/>
        <v>6.89679000000001</v>
      </c>
      <c r="AF57" s="2">
        <f t="shared" si="43"/>
        <v>0.31373585040836643</v>
      </c>
      <c r="AG57" s="2">
        <f t="shared" si="44"/>
        <v>0.68626414959163362</v>
      </c>
      <c r="AH57" s="2">
        <f t="shared" si="45"/>
        <v>0.31716127968233304</v>
      </c>
      <c r="AI57" s="2">
        <f t="shared" si="46"/>
        <v>9.950486379774251E-2</v>
      </c>
      <c r="AJ57" s="2">
        <f t="shared" si="47"/>
        <v>10.049759999999992</v>
      </c>
      <c r="AK57" s="2">
        <v>13</v>
      </c>
      <c r="AL57">
        <f t="shared" si="37"/>
        <v>4.12309663587033</v>
      </c>
    </row>
    <row r="58" spans="4:40" x14ac:dyDescent="0.35">
      <c r="D58" s="2"/>
      <c r="E58" s="2"/>
      <c r="F58" s="2"/>
      <c r="G58" s="49"/>
      <c r="H58" s="2"/>
      <c r="I58" s="2"/>
      <c r="J58" s="2"/>
      <c r="K58" s="2"/>
      <c r="L58" s="2"/>
      <c r="M58" s="2"/>
      <c r="N58" s="2"/>
      <c r="O58" s="2"/>
      <c r="P58" s="2"/>
      <c r="Q58" s="2"/>
      <c r="R58" s="2"/>
      <c r="S58" s="2"/>
      <c r="Z58" s="295">
        <v>-3</v>
      </c>
      <c r="AB58" s="13">
        <v>209.14395999999999</v>
      </c>
      <c r="AC58" s="2">
        <v>211.04253</v>
      </c>
      <c r="AD58" s="2">
        <f t="shared" si="41"/>
        <v>1.8985700000000065</v>
      </c>
      <c r="AE58" s="2">
        <f t="shared" si="42"/>
        <v>6.7026099999999929</v>
      </c>
      <c r="AF58" s="2">
        <f t="shared" si="43"/>
        <v>0.22073366677595477</v>
      </c>
      <c r="AG58" s="2">
        <f t="shared" si="44"/>
        <v>0.77926633322404526</v>
      </c>
      <c r="AH58" s="2">
        <f t="shared" si="45"/>
        <v>0.52671220971573163</v>
      </c>
      <c r="AI58" s="2">
        <f t="shared" si="46"/>
        <v>0.11626311738621911</v>
      </c>
      <c r="AJ58" s="2">
        <f t="shared" si="47"/>
        <v>8.6011799999999994</v>
      </c>
      <c r="AK58" s="2">
        <v>10</v>
      </c>
      <c r="AL58">
        <f t="shared" si="37"/>
        <v>5.2671220971573165</v>
      </c>
    </row>
    <row r="59" spans="4:40" x14ac:dyDescent="0.35">
      <c r="D59" s="2"/>
      <c r="E59" s="2"/>
      <c r="F59" s="2"/>
      <c r="G59" s="2"/>
      <c r="H59" s="2"/>
      <c r="I59" s="2"/>
      <c r="J59" s="2"/>
      <c r="K59" s="2"/>
      <c r="L59" s="2"/>
      <c r="M59" s="2"/>
      <c r="N59" s="2"/>
      <c r="O59" s="2"/>
      <c r="P59" s="2"/>
      <c r="Q59" s="2"/>
      <c r="R59" s="2"/>
      <c r="S59" s="2"/>
      <c r="Z59" s="295">
        <v>-3</v>
      </c>
      <c r="AB59" s="13">
        <v>217.74513999999999</v>
      </c>
      <c r="AC59" s="2">
        <v>219.77454</v>
      </c>
      <c r="AD59" s="2">
        <f t="shared" si="41"/>
        <v>2.0294000000000096</v>
      </c>
      <c r="AE59" s="2">
        <f t="shared" si="42"/>
        <v>6.6740199999999845</v>
      </c>
      <c r="AF59" s="2">
        <f t="shared" si="43"/>
        <v>0.23317270682099805</v>
      </c>
      <c r="AG59" s="2">
        <f t="shared" si="44"/>
        <v>0.76682729317900189</v>
      </c>
      <c r="AH59" s="2">
        <f t="shared" si="45"/>
        <v>0.49275647974770637</v>
      </c>
      <c r="AI59" s="2">
        <f t="shared" si="46"/>
        <v>0.114897362186359</v>
      </c>
      <c r="AJ59" s="2">
        <f t="shared" si="47"/>
        <v>8.7034199999999942</v>
      </c>
      <c r="AK59" s="2">
        <v>11</v>
      </c>
      <c r="AL59">
        <f t="shared" si="37"/>
        <v>5.4203212772247698</v>
      </c>
    </row>
    <row r="60" spans="4:40" x14ac:dyDescent="0.35">
      <c r="D60" s="2"/>
      <c r="E60" s="2"/>
      <c r="F60" s="2"/>
      <c r="G60" s="2"/>
      <c r="H60" s="2"/>
      <c r="I60" s="2"/>
      <c r="J60" s="2"/>
      <c r="K60" s="2"/>
      <c r="L60" s="2"/>
      <c r="M60" s="2"/>
      <c r="N60" s="2"/>
      <c r="O60" s="2"/>
      <c r="P60" s="2"/>
      <c r="Q60" s="2"/>
      <c r="R60" s="2"/>
      <c r="S60" s="2"/>
      <c r="Z60" s="295">
        <v>-3</v>
      </c>
      <c r="AB60" s="13">
        <v>226.44855999999999</v>
      </c>
      <c r="AC60" s="2">
        <v>229.61007999999998</v>
      </c>
      <c r="AD60" s="2">
        <f t="shared" si="41"/>
        <v>3.1615199999999959</v>
      </c>
      <c r="AE60" s="2">
        <f t="shared" si="42"/>
        <v>5.568520000000035</v>
      </c>
      <c r="AF60" s="2">
        <f t="shared" si="43"/>
        <v>0.36214267059486377</v>
      </c>
      <c r="AG60" s="2">
        <f t="shared" si="44"/>
        <v>0.63785732940513618</v>
      </c>
      <c r="AH60" s="2">
        <f t="shared" si="45"/>
        <v>0.31630355019104778</v>
      </c>
      <c r="AI60" s="2">
        <f t="shared" si="46"/>
        <v>0.11454701238482258</v>
      </c>
      <c r="AJ60" s="2">
        <f t="shared" si="47"/>
        <v>8.7300400000000309</v>
      </c>
      <c r="AK60" s="2">
        <v>13</v>
      </c>
      <c r="AL60">
        <f t="shared" si="37"/>
        <v>4.1119461524836209</v>
      </c>
    </row>
    <row r="61" spans="4:40" x14ac:dyDescent="0.35">
      <c r="E61" s="2"/>
      <c r="F61" s="2"/>
      <c r="G61" s="2"/>
      <c r="H61" s="2"/>
      <c r="I61" s="2"/>
      <c r="J61" s="2"/>
      <c r="K61" s="2"/>
      <c r="L61" s="2"/>
      <c r="M61" s="2"/>
      <c r="N61" s="2"/>
      <c r="O61" s="2"/>
      <c r="P61" s="2"/>
      <c r="Q61" s="2"/>
      <c r="R61" s="2"/>
      <c r="S61" s="2"/>
      <c r="Z61" s="295">
        <v>-3</v>
      </c>
      <c r="AB61" s="13">
        <v>235.17860000000002</v>
      </c>
      <c r="AC61" s="2">
        <v>238.25548000000001</v>
      </c>
      <c r="AD61" s="2">
        <f t="shared" si="41"/>
        <v>3.0768799999999885</v>
      </c>
      <c r="AE61" s="2">
        <f t="shared" si="42"/>
        <v>6.8333199999999863</v>
      </c>
      <c r="AF61" s="2">
        <f t="shared" si="43"/>
        <v>0.31047607515489056</v>
      </c>
      <c r="AG61" s="2">
        <f t="shared" si="44"/>
        <v>0.68952392484510949</v>
      </c>
      <c r="AH61" s="2">
        <f t="shared" si="45"/>
        <v>0.3250045500637021</v>
      </c>
      <c r="AI61" s="2">
        <f t="shared" si="46"/>
        <v>0.10090613711125937</v>
      </c>
      <c r="AJ61" s="2">
        <f t="shared" si="47"/>
        <v>9.9101999999999748</v>
      </c>
      <c r="AK61" s="2">
        <v>13</v>
      </c>
      <c r="AL61">
        <f t="shared" si="37"/>
        <v>4.2250591508281277</v>
      </c>
    </row>
    <row r="62" spans="4:40" x14ac:dyDescent="0.35">
      <c r="Z62" s="295">
        <v>-6</v>
      </c>
      <c r="AB62" s="13">
        <v>245.08879999999999</v>
      </c>
      <c r="AC62" s="2">
        <v>247.89402999999999</v>
      </c>
      <c r="AD62" s="2">
        <f t="shared" si="41"/>
        <v>2.8052299999999946</v>
      </c>
      <c r="AE62" s="2">
        <f t="shared" si="42"/>
        <v>5.7195300000000202</v>
      </c>
      <c r="AF62" s="2">
        <f t="shared" si="43"/>
        <v>0.32906850163523543</v>
      </c>
      <c r="AG62" s="2">
        <f t="shared" si="44"/>
        <v>0.67093149836476451</v>
      </c>
      <c r="AH62" s="2">
        <f t="shared" si="45"/>
        <v>0.35647700901530427</v>
      </c>
      <c r="AI62" s="2">
        <f t="shared" si="46"/>
        <v>0.11730535522407648</v>
      </c>
      <c r="AJ62" s="2">
        <f t="shared" si="47"/>
        <v>8.5247600000000148</v>
      </c>
      <c r="AK62" s="2">
        <v>12</v>
      </c>
      <c r="AL62">
        <f t="shared" si="37"/>
        <v>4.2777241081836506</v>
      </c>
      <c r="AN62" t="s">
        <v>754</v>
      </c>
    </row>
    <row r="63" spans="4:40" ht="18.5" x14ac:dyDescent="0.45">
      <c r="F63" s="1" t="s">
        <v>733</v>
      </c>
      <c r="G63" s="3"/>
      <c r="H63" s="3"/>
      <c r="I63" s="3"/>
      <c r="J63" s="3"/>
      <c r="K63" s="3"/>
      <c r="L63" s="3"/>
      <c r="M63" s="3"/>
      <c r="N63" s="3"/>
      <c r="O63" s="3"/>
      <c r="Z63" s="297">
        <v>-6</v>
      </c>
      <c r="AB63" s="13">
        <v>253.61356000000001</v>
      </c>
      <c r="AC63" s="2">
        <v>256.49400000000003</v>
      </c>
      <c r="AD63" s="2">
        <f t="shared" si="41"/>
        <v>2.8804400000000214</v>
      </c>
      <c r="AE63" s="2">
        <f t="shared" si="42"/>
        <v>7.2141099999999483</v>
      </c>
      <c r="AF63" s="2">
        <f t="shared" si="43"/>
        <v>0.28534605306824279</v>
      </c>
      <c r="AG63" s="2">
        <f t="shared" si="44"/>
        <v>0.71465394693175721</v>
      </c>
      <c r="AH63" s="2">
        <f t="shared" si="45"/>
        <v>0.34716918248600648</v>
      </c>
      <c r="AI63" s="2">
        <f t="shared" si="46"/>
        <v>9.9063355969310471E-2</v>
      </c>
      <c r="AJ63" s="2">
        <f t="shared" si="47"/>
        <v>10.09454999999997</v>
      </c>
      <c r="AK63" s="2">
        <v>12</v>
      </c>
      <c r="AL63">
        <f t="shared" si="37"/>
        <v>4.1660301898320782</v>
      </c>
    </row>
    <row r="64" spans="4:40" ht="16" thickBot="1" x14ac:dyDescent="0.4">
      <c r="D64" s="204" t="s">
        <v>406</v>
      </c>
      <c r="F64" s="9" t="s">
        <v>1</v>
      </c>
      <c r="G64" s="9" t="s">
        <v>2</v>
      </c>
      <c r="H64" s="9" t="s">
        <v>3</v>
      </c>
      <c r="I64" s="9" t="s">
        <v>4</v>
      </c>
      <c r="J64" s="9" t="s">
        <v>5</v>
      </c>
      <c r="K64" s="9" t="s">
        <v>6</v>
      </c>
      <c r="L64" s="9" t="s">
        <v>7</v>
      </c>
      <c r="M64" s="9" t="s">
        <v>8</v>
      </c>
      <c r="N64" s="9" t="s">
        <v>9</v>
      </c>
      <c r="O64" s="9" t="s">
        <v>10</v>
      </c>
      <c r="P64" s="44" t="s">
        <v>139</v>
      </c>
      <c r="R64" s="44" t="s">
        <v>138</v>
      </c>
      <c r="Z64" s="297">
        <v>-6</v>
      </c>
      <c r="AB64" s="13">
        <v>263.70810999999998</v>
      </c>
      <c r="AC64" s="2">
        <v>266.61808000000002</v>
      </c>
      <c r="AD64" s="2">
        <f t="shared" si="41"/>
        <v>2.9099700000000439</v>
      </c>
      <c r="AE64" s="2">
        <f t="shared" si="42"/>
        <v>5.7553199999999833</v>
      </c>
      <c r="AF64" s="2">
        <f t="shared" si="43"/>
        <v>0.33581911280523036</v>
      </c>
      <c r="AG64" s="2">
        <f t="shared" si="44"/>
        <v>0.66418088719476964</v>
      </c>
      <c r="AH64" s="2">
        <f t="shared" si="45"/>
        <v>0.34364615442770369</v>
      </c>
      <c r="AI64" s="2">
        <f t="shared" si="46"/>
        <v>0.11540294669884064</v>
      </c>
      <c r="AJ64" s="2">
        <f t="shared" si="47"/>
        <v>8.6652900000000272</v>
      </c>
      <c r="AK64" s="2">
        <v>12</v>
      </c>
      <c r="AL64">
        <f t="shared" si="37"/>
        <v>4.1237538531324445</v>
      </c>
    </row>
    <row r="65" spans="4:40" x14ac:dyDescent="0.35">
      <c r="D65" s="172"/>
      <c r="E65" s="85"/>
      <c r="F65" s="13">
        <v>1.0710999999999999</v>
      </c>
      <c r="G65" s="13">
        <v>5.1333799999999998</v>
      </c>
      <c r="H65" s="13">
        <f>G65-F65</f>
        <v>4.0622799999999994</v>
      </c>
      <c r="I65" s="13">
        <f t="shared" ref="I65:I93" si="48">F66-G65</f>
        <v>5.9349300000000005</v>
      </c>
      <c r="J65" s="13">
        <f>H65/N65</f>
        <v>0.40634136924201852</v>
      </c>
      <c r="K65" s="13">
        <f>I65/N65</f>
        <v>0.59365863075798153</v>
      </c>
      <c r="L65" s="13">
        <f>1/H65</f>
        <v>0.24616717705328045</v>
      </c>
      <c r="M65" s="13">
        <f>1/N65</f>
        <v>0.10002790778627238</v>
      </c>
      <c r="N65" s="13">
        <f>H65+I65</f>
        <v>9.997209999999999</v>
      </c>
      <c r="O65" s="13">
        <v>23</v>
      </c>
      <c r="P65" s="85">
        <f>O65/H65</f>
        <v>5.6618450722254501</v>
      </c>
      <c r="Q65" s="85"/>
      <c r="R65" t="s">
        <v>748</v>
      </c>
      <c r="Z65" s="297">
        <v>-6</v>
      </c>
      <c r="AB65" s="13">
        <v>272.3734</v>
      </c>
      <c r="AC65" s="2">
        <v>275.34303</v>
      </c>
      <c r="AD65" s="2">
        <f t="shared" si="41"/>
        <v>2.9696299999999951</v>
      </c>
      <c r="AE65" s="2">
        <f t="shared" si="42"/>
        <v>5.7250900000000229</v>
      </c>
      <c r="AF65" s="2">
        <f t="shared" si="43"/>
        <v>0.34154406352360844</v>
      </c>
      <c r="AG65" s="2">
        <f t="shared" si="44"/>
        <v>0.65845593647639156</v>
      </c>
      <c r="AH65" s="2">
        <f t="shared" si="45"/>
        <v>0.33674228775975512</v>
      </c>
      <c r="AI65" s="2">
        <f t="shared" si="46"/>
        <v>0.11501232932170305</v>
      </c>
      <c r="AJ65" s="2">
        <f t="shared" si="47"/>
        <v>8.694720000000018</v>
      </c>
      <c r="AK65" s="2">
        <v>12</v>
      </c>
      <c r="AL65">
        <f t="shared" si="37"/>
        <v>4.0409074531170619</v>
      </c>
    </row>
    <row r="66" spans="4:40" x14ac:dyDescent="0.35">
      <c r="D66" s="177">
        <v>10</v>
      </c>
      <c r="E66" s="157"/>
      <c r="F66" s="132">
        <v>11.06831</v>
      </c>
      <c r="G66" s="132">
        <v>15.210290000000001</v>
      </c>
      <c r="H66" s="132">
        <f t="shared" ref="H66:H93" si="49">G66-F66</f>
        <v>4.1419800000000002</v>
      </c>
      <c r="I66" s="132">
        <f t="shared" si="48"/>
        <v>3.8348200000000006</v>
      </c>
      <c r="J66" s="132">
        <f t="shared" ref="J66:J93" si="50">H66/N66</f>
        <v>0.51925333467054458</v>
      </c>
      <c r="K66" s="132">
        <f t="shared" ref="K66:K93" si="51">I66/N66</f>
        <v>0.48074666532945542</v>
      </c>
      <c r="L66" s="132">
        <f t="shared" ref="L66:L93" si="52">1/H66</f>
        <v>0.24143042699385317</v>
      </c>
      <c r="M66" s="132">
        <f t="shared" ref="M66:M93" si="53">1/N66</f>
        <v>0.12536355430749171</v>
      </c>
      <c r="N66" s="132">
        <f t="shared" ref="N66:N93" si="54">H66+I66</f>
        <v>7.9768000000000008</v>
      </c>
      <c r="O66" s="132">
        <v>24</v>
      </c>
      <c r="P66" s="157">
        <f t="shared" ref="P66:P101" si="55">O66/H66</f>
        <v>5.7943302478524759</v>
      </c>
      <c r="Q66" s="85"/>
      <c r="Z66" s="297">
        <v>-6</v>
      </c>
      <c r="AB66" s="13">
        <v>281.06812000000002</v>
      </c>
      <c r="AC66" s="2">
        <v>284.25400000000002</v>
      </c>
      <c r="AD66" s="2">
        <f t="shared" si="41"/>
        <v>3.1858799999999974</v>
      </c>
      <c r="AE66" s="2">
        <f t="shared" si="42"/>
        <v>6.9162399999999593</v>
      </c>
      <c r="AF66" s="2">
        <f t="shared" si="43"/>
        <v>0.31536746742268068</v>
      </c>
      <c r="AG66" s="2">
        <f t="shared" si="44"/>
        <v>0.68463253257731926</v>
      </c>
      <c r="AH66" s="2">
        <f t="shared" si="45"/>
        <v>0.31388501764033827</v>
      </c>
      <c r="AI66" s="2">
        <f t="shared" si="46"/>
        <v>9.8989123075156921E-2</v>
      </c>
      <c r="AJ66" s="2">
        <f t="shared" si="47"/>
        <v>10.102119999999957</v>
      </c>
      <c r="AK66" s="2">
        <v>13</v>
      </c>
      <c r="AL66">
        <f t="shared" si="37"/>
        <v>4.0805052293243973</v>
      </c>
    </row>
    <row r="67" spans="4:40" x14ac:dyDescent="0.35">
      <c r="D67" s="172"/>
      <c r="E67" s="85"/>
      <c r="F67" s="13">
        <v>19.045110000000001</v>
      </c>
      <c r="G67" s="13">
        <v>23.347660000000001</v>
      </c>
      <c r="H67" s="13">
        <f t="shared" si="49"/>
        <v>4.3025500000000001</v>
      </c>
      <c r="I67" s="13">
        <f t="shared" si="48"/>
        <v>3.6821699999999993</v>
      </c>
      <c r="J67" s="13">
        <f t="shared" si="50"/>
        <v>0.53884794958370497</v>
      </c>
      <c r="K67" s="13">
        <f t="shared" si="51"/>
        <v>0.46115205041629509</v>
      </c>
      <c r="L67" s="13">
        <f t="shared" si="52"/>
        <v>0.23242030888659052</v>
      </c>
      <c r="M67" s="13">
        <f t="shared" si="53"/>
        <v>0.12523920688515064</v>
      </c>
      <c r="N67" s="13">
        <f t="shared" si="54"/>
        <v>7.9847199999999994</v>
      </c>
      <c r="O67" s="13">
        <v>27</v>
      </c>
      <c r="P67" s="85">
        <f t="shared" si="55"/>
        <v>6.2753483399379437</v>
      </c>
      <c r="Q67" s="85"/>
      <c r="Z67" s="297">
        <v>-6</v>
      </c>
      <c r="AB67" s="13">
        <v>291.17023999999998</v>
      </c>
      <c r="AC67" s="2">
        <v>294.18357000000003</v>
      </c>
      <c r="AD67" s="2">
        <f t="shared" si="41"/>
        <v>3.0133300000000531</v>
      </c>
      <c r="AE67" s="2">
        <f t="shared" si="42"/>
        <v>7.0907299999999509</v>
      </c>
      <c r="AF67" s="2">
        <f t="shared" si="43"/>
        <v>0.29822962254777308</v>
      </c>
      <c r="AG67" s="2">
        <f t="shared" si="44"/>
        <v>0.70177037745222692</v>
      </c>
      <c r="AH67" s="2">
        <f t="shared" si="45"/>
        <v>0.33185877418005411</v>
      </c>
      <c r="AI67" s="2">
        <f t="shared" si="46"/>
        <v>9.8970116962884186E-2</v>
      </c>
      <c r="AJ67" s="2">
        <f t="shared" si="47"/>
        <v>10.104060000000004</v>
      </c>
      <c r="AK67" s="2">
        <v>12</v>
      </c>
      <c r="AL67">
        <f t="shared" si="37"/>
        <v>3.982305290160649</v>
      </c>
    </row>
    <row r="68" spans="4:40" x14ac:dyDescent="0.35">
      <c r="D68" s="172"/>
      <c r="E68" s="85"/>
      <c r="F68" s="13">
        <v>27.02983</v>
      </c>
      <c r="G68" s="13">
        <v>31.200970000000002</v>
      </c>
      <c r="H68" s="13">
        <f t="shared" si="49"/>
        <v>4.1711400000000012</v>
      </c>
      <c r="I68" s="13">
        <f t="shared" si="48"/>
        <v>5.8836300000000001</v>
      </c>
      <c r="J68" s="13">
        <f t="shared" si="50"/>
        <v>0.41484191085425132</v>
      </c>
      <c r="K68" s="13">
        <f t="shared" si="51"/>
        <v>0.58515808914574863</v>
      </c>
      <c r="L68" s="13">
        <f t="shared" si="52"/>
        <v>0.23974261233140093</v>
      </c>
      <c r="M68" s="13">
        <f t="shared" si="53"/>
        <v>9.9455283412748369E-2</v>
      </c>
      <c r="N68" s="13">
        <f t="shared" si="54"/>
        <v>10.054770000000001</v>
      </c>
      <c r="O68" s="13">
        <v>25</v>
      </c>
      <c r="P68" s="85">
        <f t="shared" si="55"/>
        <v>5.9935653082850235</v>
      </c>
      <c r="Q68" s="85"/>
      <c r="Z68" s="297">
        <v>-6</v>
      </c>
      <c r="AB68" s="13">
        <v>301.27429999999998</v>
      </c>
      <c r="AC68" s="2">
        <v>304.28107</v>
      </c>
      <c r="AD68" s="2">
        <f t="shared" si="41"/>
        <v>3.0067700000000173</v>
      </c>
      <c r="AE68" s="2">
        <f t="shared" si="42"/>
        <v>5.7830500000000029</v>
      </c>
      <c r="AF68" s="2">
        <f t="shared" si="43"/>
        <v>0.34207412666016029</v>
      </c>
      <c r="AG68" s="2">
        <f t="shared" si="44"/>
        <v>0.65792587333983965</v>
      </c>
      <c r="AH68" s="2">
        <f t="shared" si="45"/>
        <v>0.33258280480382413</v>
      </c>
      <c r="AI68" s="2">
        <f t="shared" si="46"/>
        <v>0.11376797249545471</v>
      </c>
      <c r="AJ68" s="2">
        <f t="shared" si="47"/>
        <v>8.7898200000000202</v>
      </c>
      <c r="AK68" s="2">
        <v>12</v>
      </c>
      <c r="AL68">
        <f t="shared" si="37"/>
        <v>3.9909936576458893</v>
      </c>
    </row>
    <row r="69" spans="4:40" x14ac:dyDescent="0.35">
      <c r="D69" s="172"/>
      <c r="E69" s="85"/>
      <c r="F69" s="13">
        <v>37.084600000000002</v>
      </c>
      <c r="G69" s="13">
        <v>41.403680000000001</v>
      </c>
      <c r="H69" s="13">
        <f t="shared" si="49"/>
        <v>4.3190799999999996</v>
      </c>
      <c r="I69" s="13">
        <f t="shared" si="48"/>
        <v>3.725209999999997</v>
      </c>
      <c r="J69" s="13">
        <f t="shared" si="50"/>
        <v>0.53691251807182505</v>
      </c>
      <c r="K69" s="13">
        <f t="shared" si="51"/>
        <v>0.46308748192817495</v>
      </c>
      <c r="L69" s="13">
        <f t="shared" si="52"/>
        <v>0.2315307889643165</v>
      </c>
      <c r="M69" s="13">
        <f t="shared" si="53"/>
        <v>0.12431177891398749</v>
      </c>
      <c r="N69" s="13">
        <f t="shared" si="54"/>
        <v>8.0442899999999966</v>
      </c>
      <c r="O69" s="13">
        <v>27</v>
      </c>
      <c r="P69" s="85">
        <f t="shared" si="55"/>
        <v>6.2513313020365455</v>
      </c>
      <c r="Q69" s="85"/>
      <c r="Z69" s="297">
        <v>-6</v>
      </c>
      <c r="AB69" s="13">
        <v>310.06412</v>
      </c>
      <c r="AC69" s="2">
        <v>312.97719999999998</v>
      </c>
      <c r="AD69" s="2">
        <f t="shared" si="41"/>
        <v>2.9130799999999795</v>
      </c>
      <c r="AE69" s="2">
        <f t="shared" si="42"/>
        <v>7.1468700000000354</v>
      </c>
      <c r="AF69" s="2">
        <f t="shared" si="43"/>
        <v>0.28957201576548347</v>
      </c>
      <c r="AG69" s="2">
        <f t="shared" si="44"/>
        <v>0.71042798423451659</v>
      </c>
      <c r="AH69" s="2">
        <f t="shared" si="45"/>
        <v>0.34327927828964777</v>
      </c>
      <c r="AI69" s="2">
        <f t="shared" si="46"/>
        <v>9.9404072584853662E-2</v>
      </c>
      <c r="AJ69" s="2">
        <f t="shared" si="47"/>
        <v>10.059950000000015</v>
      </c>
      <c r="AK69" s="2">
        <v>12</v>
      </c>
      <c r="AL69">
        <f t="shared" si="37"/>
        <v>4.1193513394757728</v>
      </c>
    </row>
    <row r="70" spans="4:40" x14ac:dyDescent="0.35">
      <c r="D70" s="172"/>
      <c r="E70" s="85"/>
      <c r="F70" s="13">
        <v>45.128889999999998</v>
      </c>
      <c r="G70" s="13">
        <v>50.18412</v>
      </c>
      <c r="H70" s="13">
        <f t="shared" si="49"/>
        <v>5.0552300000000017</v>
      </c>
      <c r="I70" s="13">
        <f t="shared" si="48"/>
        <v>5.9475600000000028</v>
      </c>
      <c r="J70" s="13">
        <f t="shared" si="50"/>
        <v>0.45944983045209437</v>
      </c>
      <c r="K70" s="13">
        <f t="shared" si="51"/>
        <v>0.54055016954790558</v>
      </c>
      <c r="L70" s="13">
        <f t="shared" si="52"/>
        <v>0.19781493621457374</v>
      </c>
      <c r="M70" s="13">
        <f t="shared" si="53"/>
        <v>9.0886038904677779E-2</v>
      </c>
      <c r="N70" s="13">
        <f t="shared" si="54"/>
        <v>11.002790000000005</v>
      </c>
      <c r="O70" s="13">
        <v>27</v>
      </c>
      <c r="P70" s="85">
        <f t="shared" si="55"/>
        <v>5.341003277793491</v>
      </c>
      <c r="Q70" s="85"/>
      <c r="Z70" s="297">
        <v>-6</v>
      </c>
      <c r="AB70" s="13">
        <v>320.12407000000002</v>
      </c>
      <c r="AC70" s="2">
        <v>322.19646</v>
      </c>
      <c r="AD70" s="2">
        <f t="shared" si="41"/>
        <v>2.0723899999999844</v>
      </c>
      <c r="AE70" s="2">
        <f t="shared" si="42"/>
        <v>6.5311399999999935</v>
      </c>
      <c r="AF70" s="2">
        <f t="shared" si="43"/>
        <v>0.24087670990860607</v>
      </c>
      <c r="AG70" s="2">
        <f t="shared" si="44"/>
        <v>0.7591232900913939</v>
      </c>
      <c r="AH70" s="2">
        <f t="shared" si="45"/>
        <v>0.48253465805181822</v>
      </c>
      <c r="AI70" s="2">
        <f t="shared" si="46"/>
        <v>0.11623136084839625</v>
      </c>
      <c r="AJ70" s="2">
        <f t="shared" si="47"/>
        <v>8.6035299999999779</v>
      </c>
      <c r="AK70" s="2">
        <v>11</v>
      </c>
      <c r="AL70">
        <f t="shared" si="37"/>
        <v>5.3078812385700003</v>
      </c>
    </row>
    <row r="71" spans="4:40" x14ac:dyDescent="0.35">
      <c r="D71" s="172"/>
      <c r="E71" s="85"/>
      <c r="F71" s="13">
        <v>56.131680000000003</v>
      </c>
      <c r="G71" s="13">
        <v>61.280050000000003</v>
      </c>
      <c r="H71" s="13">
        <f t="shared" si="49"/>
        <v>5.1483699999999999</v>
      </c>
      <c r="I71" s="13">
        <f t="shared" si="48"/>
        <v>2.9728800000000035</v>
      </c>
      <c r="J71" s="13">
        <f t="shared" si="50"/>
        <v>0.6339381252885945</v>
      </c>
      <c r="K71" s="13">
        <f t="shared" si="51"/>
        <v>0.36606187471140555</v>
      </c>
      <c r="L71" s="13">
        <f t="shared" si="52"/>
        <v>0.19423623399250636</v>
      </c>
      <c r="M71" s="13">
        <f t="shared" si="53"/>
        <v>0.12313375404032625</v>
      </c>
      <c r="N71" s="13">
        <f t="shared" si="54"/>
        <v>8.1212500000000034</v>
      </c>
      <c r="O71" s="13">
        <v>30</v>
      </c>
      <c r="P71" s="85">
        <f t="shared" si="55"/>
        <v>5.8270870197751909</v>
      </c>
      <c r="Q71" s="85"/>
      <c r="Z71" s="297">
        <v>-6</v>
      </c>
      <c r="AB71" s="13">
        <v>328.7276</v>
      </c>
      <c r="AC71" s="2">
        <v>331.83701000000002</v>
      </c>
      <c r="AD71" s="2">
        <f t="shared" si="41"/>
        <v>3.1094100000000253</v>
      </c>
      <c r="AE71" s="2">
        <f t="shared" si="42"/>
        <v>5.5169099999999958</v>
      </c>
      <c r="AF71" s="2">
        <f t="shared" si="43"/>
        <v>0.36045613888657246</v>
      </c>
      <c r="AG71" s="2">
        <f t="shared" si="44"/>
        <v>0.63954386111342754</v>
      </c>
      <c r="AH71" s="2">
        <f t="shared" si="45"/>
        <v>0.32160442013114765</v>
      </c>
      <c r="AI71" s="2">
        <f t="shared" si="46"/>
        <v>0.11592428752932857</v>
      </c>
      <c r="AJ71" s="2">
        <f t="shared" si="47"/>
        <v>8.6263200000000211</v>
      </c>
      <c r="AK71" s="2">
        <v>13</v>
      </c>
      <c r="AL71">
        <f t="shared" si="37"/>
        <v>4.1808574617049192</v>
      </c>
    </row>
    <row r="72" spans="4:40" x14ac:dyDescent="0.35">
      <c r="D72" s="177">
        <v>10</v>
      </c>
      <c r="E72" s="157"/>
      <c r="F72" s="132">
        <v>64.252930000000006</v>
      </c>
      <c r="G72" s="132">
        <v>68.370170000000002</v>
      </c>
      <c r="H72" s="132">
        <f t="shared" si="49"/>
        <v>4.1172399999999953</v>
      </c>
      <c r="I72" s="132">
        <f t="shared" si="48"/>
        <v>4.926959999999994</v>
      </c>
      <c r="J72" s="132">
        <f t="shared" si="50"/>
        <v>0.45523539948254133</v>
      </c>
      <c r="K72" s="132">
        <f t="shared" si="51"/>
        <v>0.54476460051745867</v>
      </c>
      <c r="L72" s="132">
        <f t="shared" si="52"/>
        <v>0.2428811533940215</v>
      </c>
      <c r="M72" s="132">
        <f t="shared" si="53"/>
        <v>0.11056809889210778</v>
      </c>
      <c r="N72" s="132">
        <f t="shared" si="54"/>
        <v>9.0441999999999894</v>
      </c>
      <c r="O72" s="132">
        <v>23</v>
      </c>
      <c r="P72" s="157">
        <f t="shared" si="55"/>
        <v>5.5862665280624944</v>
      </c>
      <c r="Q72" s="85"/>
      <c r="Z72" s="297">
        <v>-6</v>
      </c>
      <c r="AB72" s="13">
        <v>337.35392000000002</v>
      </c>
      <c r="AC72" s="2">
        <v>340.27021000000002</v>
      </c>
      <c r="AD72" s="2">
        <f t="shared" si="41"/>
        <v>2.9162900000000036</v>
      </c>
      <c r="AE72" s="2">
        <f t="shared" si="42"/>
        <v>5.769869999999969</v>
      </c>
      <c r="AF72" s="2">
        <f t="shared" si="43"/>
        <v>0.33573984361328973</v>
      </c>
      <c r="AG72" s="2">
        <f t="shared" si="44"/>
        <v>0.66426015638671021</v>
      </c>
      <c r="AH72" s="2">
        <f t="shared" si="45"/>
        <v>0.34290142612703084</v>
      </c>
      <c r="AI72" s="2">
        <f t="shared" si="46"/>
        <v>0.11512567118266336</v>
      </c>
      <c r="AJ72" s="2">
        <f t="shared" si="47"/>
        <v>8.6861599999999726</v>
      </c>
      <c r="AK72" s="2">
        <v>12</v>
      </c>
      <c r="AL72">
        <f t="shared" si="37"/>
        <v>4.1148171135243699</v>
      </c>
    </row>
    <row r="73" spans="4:40" x14ac:dyDescent="0.35">
      <c r="D73" s="172"/>
      <c r="E73" s="85"/>
      <c r="F73" s="13">
        <v>73.297129999999996</v>
      </c>
      <c r="G73" s="13">
        <v>77.454220000000007</v>
      </c>
      <c r="H73" s="13">
        <f t="shared" si="49"/>
        <v>4.1570900000000108</v>
      </c>
      <c r="I73" s="13">
        <f t="shared" si="48"/>
        <v>4.9368399999999895</v>
      </c>
      <c r="J73" s="13">
        <f t="shared" si="50"/>
        <v>0.45712799636680851</v>
      </c>
      <c r="K73" s="13">
        <f t="shared" si="51"/>
        <v>0.54287200363319155</v>
      </c>
      <c r="L73" s="13">
        <f t="shared" si="52"/>
        <v>0.24055288675491687</v>
      </c>
      <c r="M73" s="13">
        <f t="shared" si="53"/>
        <v>0.10996345914252693</v>
      </c>
      <c r="N73" s="13">
        <f t="shared" si="54"/>
        <v>9.0939300000000003</v>
      </c>
      <c r="O73" s="13">
        <v>28</v>
      </c>
      <c r="P73" s="85">
        <f t="shared" si="55"/>
        <v>6.7354808291376722</v>
      </c>
      <c r="Q73" s="85"/>
      <c r="Z73" s="297">
        <v>-6</v>
      </c>
      <c r="AB73" s="13">
        <v>346.04007999999999</v>
      </c>
      <c r="AC73" s="2">
        <v>348.92363</v>
      </c>
      <c r="AD73" s="2">
        <f t="shared" si="41"/>
        <v>2.8835500000000138</v>
      </c>
      <c r="AE73" s="2">
        <f t="shared" si="42"/>
        <v>5.7875000000000227</v>
      </c>
      <c r="AF73" s="2">
        <f t="shared" si="43"/>
        <v>0.33254911458243253</v>
      </c>
      <c r="AG73" s="2">
        <f t="shared" si="44"/>
        <v>0.66745088541756747</v>
      </c>
      <c r="AH73" s="2">
        <f t="shared" si="45"/>
        <v>0.34679474952749051</v>
      </c>
      <c r="AI73" s="2">
        <f t="shared" si="46"/>
        <v>0.11532628689720342</v>
      </c>
      <c r="AJ73" s="2">
        <f t="shared" si="47"/>
        <v>8.6710500000000366</v>
      </c>
      <c r="AK73" s="2">
        <v>12</v>
      </c>
      <c r="AL73">
        <f t="shared" si="37"/>
        <v>4.1615369943298859</v>
      </c>
    </row>
    <row r="74" spans="4:40" x14ac:dyDescent="0.35">
      <c r="D74" s="177">
        <v>10</v>
      </c>
      <c r="E74" s="157"/>
      <c r="F74" s="132">
        <v>82.391059999999996</v>
      </c>
      <c r="G74" s="132">
        <v>86.818510000000003</v>
      </c>
      <c r="H74" s="132">
        <f t="shared" si="49"/>
        <v>4.4274500000000074</v>
      </c>
      <c r="I74" s="132">
        <f t="shared" si="48"/>
        <v>2.5716699999999975</v>
      </c>
      <c r="J74" s="132">
        <f t="shared" si="50"/>
        <v>0.63257238052783837</v>
      </c>
      <c r="K74" s="132">
        <f t="shared" si="51"/>
        <v>0.36742761947216157</v>
      </c>
      <c r="L74" s="132">
        <f t="shared" si="52"/>
        <v>0.22586364611683887</v>
      </c>
      <c r="M74" s="132">
        <f t="shared" si="53"/>
        <v>0.14287510429882605</v>
      </c>
      <c r="N74" s="132">
        <f t="shared" si="54"/>
        <v>6.9991200000000049</v>
      </c>
      <c r="O74" s="132">
        <v>28</v>
      </c>
      <c r="P74" s="157">
        <f t="shared" si="55"/>
        <v>6.3241820912714886</v>
      </c>
      <c r="Q74" s="85"/>
      <c r="Z74" s="297">
        <v>-6</v>
      </c>
      <c r="AB74" s="13">
        <v>354.71113000000003</v>
      </c>
      <c r="AC74" s="2">
        <v>357.78697999999997</v>
      </c>
      <c r="AD74" s="2">
        <f t="shared" si="41"/>
        <v>3.0758499999999458</v>
      </c>
      <c r="AE74" s="2">
        <f t="shared" si="42"/>
        <v>5.4816700000000083</v>
      </c>
      <c r="AF74" s="2">
        <f t="shared" si="43"/>
        <v>0.35943240565023071</v>
      </c>
      <c r="AG74" s="2">
        <f t="shared" si="44"/>
        <v>0.64056759434976929</v>
      </c>
      <c r="AH74" s="2">
        <f t="shared" si="45"/>
        <v>0.32511338329242895</v>
      </c>
      <c r="AI74" s="2">
        <f t="shared" si="46"/>
        <v>0.11685628546588327</v>
      </c>
      <c r="AJ74" s="2">
        <f t="shared" si="47"/>
        <v>8.5575199999999541</v>
      </c>
      <c r="AK74" s="2">
        <v>14</v>
      </c>
      <c r="AL74">
        <f t="shared" si="37"/>
        <v>4.5515873660940054</v>
      </c>
    </row>
    <row r="75" spans="4:40" x14ac:dyDescent="0.35">
      <c r="D75" s="172"/>
      <c r="E75" s="85"/>
      <c r="F75" s="13">
        <v>89.390180000000001</v>
      </c>
      <c r="G75" s="13">
        <v>93.542450000000002</v>
      </c>
      <c r="H75" s="13">
        <f t="shared" si="49"/>
        <v>4.1522700000000015</v>
      </c>
      <c r="I75" s="13">
        <f t="shared" si="48"/>
        <v>4.8864200000000011</v>
      </c>
      <c r="J75" s="13">
        <f t="shared" si="50"/>
        <v>0.45938847332965288</v>
      </c>
      <c r="K75" s="13">
        <f t="shared" si="51"/>
        <v>0.54061152667034706</v>
      </c>
      <c r="L75" s="13">
        <f t="shared" si="52"/>
        <v>0.24083212315191441</v>
      </c>
      <c r="M75" s="13">
        <f t="shared" si="53"/>
        <v>0.11063550138349691</v>
      </c>
      <c r="N75" s="13">
        <f t="shared" si="54"/>
        <v>9.0386900000000026</v>
      </c>
      <c r="O75" s="13">
        <v>22</v>
      </c>
      <c r="P75" s="85">
        <f t="shared" si="55"/>
        <v>5.2983067093421168</v>
      </c>
      <c r="Q75" s="85"/>
      <c r="Z75" s="297">
        <v>-1</v>
      </c>
      <c r="AB75" s="13">
        <v>363.26864999999998</v>
      </c>
      <c r="AC75" s="2">
        <v>366.21897000000001</v>
      </c>
      <c r="AD75" s="2">
        <f t="shared" si="41"/>
        <v>2.9503200000000334</v>
      </c>
      <c r="AE75" s="2">
        <f t="shared" si="42"/>
        <v>5.837789999999984</v>
      </c>
      <c r="AF75" s="2">
        <f t="shared" si="43"/>
        <v>0.33571723612927323</v>
      </c>
      <c r="AG75" s="2">
        <f t="shared" si="44"/>
        <v>0.66428276387072671</v>
      </c>
      <c r="AH75" s="2">
        <f t="shared" si="45"/>
        <v>0.33894628379294067</v>
      </c>
      <c r="AI75" s="2">
        <f t="shared" si="46"/>
        <v>0.11379010959125432</v>
      </c>
      <c r="AJ75" s="2">
        <f t="shared" si="47"/>
        <v>8.7881100000000174</v>
      </c>
      <c r="AK75" s="2">
        <v>12</v>
      </c>
      <c r="AL75">
        <f t="shared" si="37"/>
        <v>4.0673554055152881</v>
      </c>
      <c r="AN75" t="s">
        <v>755</v>
      </c>
    </row>
    <row r="76" spans="4:40" x14ac:dyDescent="0.35">
      <c r="D76" s="172"/>
      <c r="E76" s="85"/>
      <c r="F76" s="13">
        <v>98.428870000000003</v>
      </c>
      <c r="G76" s="13">
        <v>102.76517</v>
      </c>
      <c r="H76" s="13">
        <f t="shared" si="49"/>
        <v>4.3362999999999943</v>
      </c>
      <c r="I76" s="13">
        <f t="shared" si="48"/>
        <v>4.7694699999999983</v>
      </c>
      <c r="J76" s="13">
        <f t="shared" si="50"/>
        <v>0.47621453210436876</v>
      </c>
      <c r="K76" s="13">
        <f t="shared" si="51"/>
        <v>0.5237854678956313</v>
      </c>
      <c r="L76" s="13">
        <f t="shared" si="52"/>
        <v>0.23061135069068131</v>
      </c>
      <c r="M76" s="13">
        <f t="shared" si="53"/>
        <v>0.10982047646711929</v>
      </c>
      <c r="N76" s="13">
        <f t="shared" si="54"/>
        <v>9.1057699999999926</v>
      </c>
      <c r="O76" s="13">
        <v>25</v>
      </c>
      <c r="P76" s="85">
        <f t="shared" si="55"/>
        <v>5.7652837672670323</v>
      </c>
      <c r="Q76" s="85"/>
      <c r="Z76" s="297">
        <v>-1</v>
      </c>
      <c r="AB76" s="13">
        <v>372.05676</v>
      </c>
      <c r="AC76" s="2">
        <v>374.96998000000002</v>
      </c>
      <c r="AD76" s="2">
        <f t="shared" si="41"/>
        <v>2.9132200000000239</v>
      </c>
      <c r="AE76" s="2">
        <f t="shared" si="42"/>
        <v>5.7935099999999693</v>
      </c>
      <c r="AF76" s="2">
        <f t="shared" si="43"/>
        <v>0.33459404391775399</v>
      </c>
      <c r="AG76" s="2">
        <f t="shared" si="44"/>
        <v>0.66540595608224606</v>
      </c>
      <c r="AH76" s="2">
        <f t="shared" si="45"/>
        <v>0.34326278138966221</v>
      </c>
      <c r="AI76" s="2">
        <f t="shared" si="46"/>
        <v>0.11485368215162303</v>
      </c>
      <c r="AJ76" s="2">
        <f t="shared" si="47"/>
        <v>8.7067299999999932</v>
      </c>
      <c r="AK76" s="2">
        <v>12</v>
      </c>
      <c r="AL76">
        <f t="shared" si="37"/>
        <v>4.1191533766759472</v>
      </c>
    </row>
    <row r="77" spans="4:40" x14ac:dyDescent="0.35">
      <c r="D77" s="177">
        <v>10</v>
      </c>
      <c r="E77" s="157"/>
      <c r="F77" s="132">
        <v>107.53464</v>
      </c>
      <c r="G77" s="132">
        <v>112.02902</v>
      </c>
      <c r="H77" s="132">
        <f t="shared" si="49"/>
        <v>4.4943800000000067</v>
      </c>
      <c r="I77" s="132">
        <f t="shared" si="48"/>
        <v>2.4607199999999949</v>
      </c>
      <c r="J77" s="132">
        <f t="shared" si="50"/>
        <v>0.64619919195985764</v>
      </c>
      <c r="K77" s="132">
        <f t="shared" si="51"/>
        <v>0.35380080804014241</v>
      </c>
      <c r="L77" s="132">
        <f t="shared" si="52"/>
        <v>0.22250010012504473</v>
      </c>
      <c r="M77" s="132">
        <f t="shared" si="53"/>
        <v>0.14377938491179132</v>
      </c>
      <c r="N77" s="132">
        <f t="shared" si="54"/>
        <v>6.9551000000000016</v>
      </c>
      <c r="O77" s="132">
        <v>27</v>
      </c>
      <c r="P77" s="157">
        <f t="shared" si="55"/>
        <v>6.0075027033762076</v>
      </c>
      <c r="Q77" s="85"/>
      <c r="Z77" s="297">
        <v>-1</v>
      </c>
      <c r="AB77" s="13">
        <v>380.76348999999999</v>
      </c>
      <c r="AC77" s="2">
        <v>383.83145000000002</v>
      </c>
      <c r="AD77" s="2">
        <f t="shared" si="41"/>
        <v>3.0679600000000278</v>
      </c>
      <c r="AE77" s="2">
        <f t="shared" si="42"/>
        <v>4.2345499999999561</v>
      </c>
      <c r="AF77" s="2">
        <f t="shared" si="43"/>
        <v>0.42012403954257299</v>
      </c>
      <c r="AG77" s="2">
        <f t="shared" si="44"/>
        <v>0.57987596045742706</v>
      </c>
      <c r="AH77" s="2">
        <f t="shared" si="45"/>
        <v>0.32594949086689229</v>
      </c>
      <c r="AI77" s="2">
        <f t="shared" si="46"/>
        <v>0.1369392167898438</v>
      </c>
      <c r="AJ77" s="2">
        <f t="shared" si="47"/>
        <v>7.3025099999999838</v>
      </c>
      <c r="AK77" s="2">
        <v>12</v>
      </c>
      <c r="AL77">
        <f t="shared" si="37"/>
        <v>3.9113938904027079</v>
      </c>
    </row>
    <row r="78" spans="4:40" x14ac:dyDescent="0.35">
      <c r="D78" s="172"/>
      <c r="E78" s="85"/>
      <c r="F78" s="13">
        <v>114.48974</v>
      </c>
      <c r="G78" s="13">
        <v>118.63155999999999</v>
      </c>
      <c r="H78" s="13">
        <f t="shared" si="49"/>
        <v>4.1418199999999956</v>
      </c>
      <c r="I78" s="13">
        <f t="shared" si="48"/>
        <v>5.6802600000000041</v>
      </c>
      <c r="J78" s="13">
        <f t="shared" si="50"/>
        <v>0.42168461262787471</v>
      </c>
      <c r="K78" s="13">
        <f t="shared" si="51"/>
        <v>0.57831538737212529</v>
      </c>
      <c r="L78" s="13">
        <f t="shared" si="52"/>
        <v>0.24143975353829986</v>
      </c>
      <c r="M78" s="13">
        <f t="shared" si="53"/>
        <v>0.10181142894376752</v>
      </c>
      <c r="N78" s="13">
        <f t="shared" si="54"/>
        <v>9.8220799999999997</v>
      </c>
      <c r="O78" s="13">
        <v>19</v>
      </c>
      <c r="P78" s="85">
        <f t="shared" si="55"/>
        <v>4.5873553172276971</v>
      </c>
      <c r="Q78" s="85"/>
      <c r="Z78" s="297">
        <v>-1</v>
      </c>
      <c r="AB78" s="13">
        <v>388.06599999999997</v>
      </c>
      <c r="AC78" s="2">
        <v>391.24977000000001</v>
      </c>
      <c r="AD78" s="2">
        <f t="shared" si="41"/>
        <v>3.1837700000000382</v>
      </c>
      <c r="AE78" s="2">
        <f t="shared" si="42"/>
        <v>5.6509199999999851</v>
      </c>
      <c r="AF78" s="2">
        <f t="shared" si="43"/>
        <v>0.36037144483847533</v>
      </c>
      <c r="AG78" s="2">
        <f t="shared" si="44"/>
        <v>0.63962855516152461</v>
      </c>
      <c r="AH78" s="2">
        <f t="shared" si="45"/>
        <v>0.31409304064049476</v>
      </c>
      <c r="AI78" s="2">
        <f t="shared" si="46"/>
        <v>0.11319016286932505</v>
      </c>
      <c r="AJ78" s="2">
        <f t="shared" si="47"/>
        <v>8.8346900000000232</v>
      </c>
      <c r="AK78" s="2">
        <v>15</v>
      </c>
      <c r="AL78">
        <f t="shared" si="37"/>
        <v>4.711395609607421</v>
      </c>
    </row>
    <row r="79" spans="4:40" x14ac:dyDescent="0.35">
      <c r="D79" s="172"/>
      <c r="E79" s="85"/>
      <c r="F79">
        <v>124.31182</v>
      </c>
      <c r="G79">
        <v>128.72660999999999</v>
      </c>
      <c r="H79" s="13">
        <f t="shared" si="49"/>
        <v>4.4147899999999964</v>
      </c>
      <c r="I79" s="13">
        <f t="shared" si="48"/>
        <v>3.5739599999999996</v>
      </c>
      <c r="J79" s="13">
        <f t="shared" si="50"/>
        <v>0.55262588014395231</v>
      </c>
      <c r="K79" s="13">
        <f t="shared" si="51"/>
        <v>0.44737411985604775</v>
      </c>
      <c r="L79" s="13">
        <f t="shared" si="52"/>
        <v>0.2265113402902518</v>
      </c>
      <c r="M79" s="13">
        <f t="shared" si="53"/>
        <v>0.12517602879048667</v>
      </c>
      <c r="N79" s="13">
        <f t="shared" si="54"/>
        <v>7.988749999999996</v>
      </c>
      <c r="O79" s="13">
        <v>28</v>
      </c>
      <c r="P79" s="85">
        <f t="shared" si="55"/>
        <v>6.342317528127051</v>
      </c>
      <c r="Q79" s="85"/>
      <c r="R79" t="s">
        <v>749</v>
      </c>
      <c r="Z79" s="297">
        <v>-1</v>
      </c>
      <c r="AB79" s="13">
        <v>396.90069</v>
      </c>
      <c r="AC79" s="2">
        <v>399.06732999999997</v>
      </c>
      <c r="AD79" s="2">
        <f t="shared" si="41"/>
        <v>2.1666399999999726</v>
      </c>
      <c r="AE79" s="2">
        <f t="shared" si="42"/>
        <v>15.087790000000041</v>
      </c>
      <c r="AF79" s="2">
        <f t="shared" si="43"/>
        <v>0.1255700709904628</v>
      </c>
      <c r="AG79" s="2">
        <f t="shared" si="44"/>
        <v>0.8744299290095372</v>
      </c>
      <c r="AH79" s="2">
        <f t="shared" si="45"/>
        <v>0.46154414208175454</v>
      </c>
      <c r="AI79" s="2">
        <f t="shared" si="46"/>
        <v>5.7956130686438165E-2</v>
      </c>
      <c r="AJ79" s="2">
        <f t="shared" si="47"/>
        <v>17.254430000000013</v>
      </c>
      <c r="AK79" s="2">
        <v>12</v>
      </c>
      <c r="AL79">
        <f t="shared" si="37"/>
        <v>5.5385297049810545</v>
      </c>
    </row>
    <row r="80" spans="4:40" x14ac:dyDescent="0.35">
      <c r="D80" s="177">
        <v>10</v>
      </c>
      <c r="E80" s="157"/>
      <c r="F80" s="157">
        <v>132.30056999999999</v>
      </c>
      <c r="G80" s="157">
        <v>135.63283000000001</v>
      </c>
      <c r="H80" s="132">
        <f t="shared" si="49"/>
        <v>3.3322600000000193</v>
      </c>
      <c r="I80" s="132">
        <f t="shared" si="48"/>
        <v>4.7133899999999755</v>
      </c>
      <c r="J80" s="132">
        <f t="shared" si="50"/>
        <v>0.41416914730320376</v>
      </c>
      <c r="K80" s="132">
        <f t="shared" si="51"/>
        <v>0.58583085269679624</v>
      </c>
      <c r="L80" s="132">
        <f t="shared" si="52"/>
        <v>0.30009663111521734</v>
      </c>
      <c r="M80" s="132">
        <f t="shared" si="53"/>
        <v>0.12429076581755366</v>
      </c>
      <c r="N80" s="132">
        <f t="shared" si="54"/>
        <v>8.0456499999999949</v>
      </c>
      <c r="O80" s="132">
        <v>20</v>
      </c>
      <c r="P80" s="157">
        <f t="shared" si="55"/>
        <v>6.0019326223043477</v>
      </c>
      <c r="Q80" s="85"/>
      <c r="Z80" s="297">
        <v>-1</v>
      </c>
      <c r="AB80" s="13">
        <v>414.15512000000001</v>
      </c>
      <c r="AC80" s="2">
        <v>416.04023999999998</v>
      </c>
      <c r="AD80" s="2">
        <f t="shared" ref="AD80:AD98" si="56">AC80-AB80</f>
        <v>1.8851199999999722</v>
      </c>
      <c r="AE80" s="2">
        <f t="shared" ref="AE80:AE97" si="57">AB81-AC80</f>
        <v>8.1201900000000364</v>
      </c>
      <c r="AF80" s="2">
        <f t="shared" ref="AF80:AF97" si="58">AD80/AJ80</f>
        <v>0.18841195325281981</v>
      </c>
      <c r="AG80" s="2">
        <f t="shared" ref="AG80:AG97" si="59">AE80/AJ80</f>
        <v>0.81158804674718021</v>
      </c>
      <c r="AH80" s="2">
        <f t="shared" ref="AH80:AH97" si="60">1/AD80</f>
        <v>0.53047020879308204</v>
      </c>
      <c r="AI80" s="2">
        <f t="shared" ref="AI80:AI97" si="61">1/AJ80</f>
        <v>9.9946928181135736E-2</v>
      </c>
      <c r="AJ80" s="2">
        <f t="shared" ref="AJ80:AJ97" si="62">AD80+AE80</f>
        <v>10.005310000000009</v>
      </c>
      <c r="AK80" s="2">
        <v>10</v>
      </c>
      <c r="AL80">
        <f t="shared" si="37"/>
        <v>5.3047020879308198</v>
      </c>
    </row>
    <row r="81" spans="4:40" x14ac:dyDescent="0.35">
      <c r="D81" s="172"/>
      <c r="E81" s="85"/>
      <c r="F81">
        <v>140.34621999999999</v>
      </c>
      <c r="G81">
        <v>144.44310999999999</v>
      </c>
      <c r="H81" s="13">
        <f t="shared" si="49"/>
        <v>4.0968900000000019</v>
      </c>
      <c r="I81" s="13">
        <f t="shared" si="48"/>
        <v>3.9679800000000114</v>
      </c>
      <c r="J81" s="13">
        <f t="shared" si="50"/>
        <v>0.50799206930799812</v>
      </c>
      <c r="K81" s="13">
        <f t="shared" si="51"/>
        <v>0.49200793069200183</v>
      </c>
      <c r="L81" s="13">
        <f t="shared" si="52"/>
        <v>0.24408758839021782</v>
      </c>
      <c r="M81" s="13">
        <f t="shared" si="53"/>
        <v>0.12399455911874567</v>
      </c>
      <c r="N81" s="13">
        <f t="shared" si="54"/>
        <v>8.0648700000000133</v>
      </c>
      <c r="O81" s="13">
        <v>22</v>
      </c>
      <c r="P81" s="85">
        <f t="shared" si="55"/>
        <v>5.3699269445847921</v>
      </c>
      <c r="Q81" s="85"/>
      <c r="Z81" s="297">
        <v>-1</v>
      </c>
      <c r="AB81" s="13">
        <v>424.16043000000002</v>
      </c>
      <c r="AC81" s="2">
        <v>427.12817999999999</v>
      </c>
      <c r="AD81" s="2">
        <f t="shared" si="56"/>
        <v>2.9677499999999668</v>
      </c>
      <c r="AE81" s="2">
        <f t="shared" si="57"/>
        <v>5.7847399999999993</v>
      </c>
      <c r="AF81" s="2">
        <f t="shared" si="58"/>
        <v>0.33907493753205981</v>
      </c>
      <c r="AG81" s="2">
        <f t="shared" si="59"/>
        <v>0.66092506246794014</v>
      </c>
      <c r="AH81" s="2">
        <f t="shared" si="60"/>
        <v>0.33695560609890024</v>
      </c>
      <c r="AI81" s="2">
        <f t="shared" si="61"/>
        <v>0.11425320108906195</v>
      </c>
      <c r="AJ81" s="2">
        <f t="shared" si="62"/>
        <v>8.7524899999999661</v>
      </c>
      <c r="AK81" s="2">
        <v>12</v>
      </c>
      <c r="AL81">
        <f t="shared" si="37"/>
        <v>4.0434672731868027</v>
      </c>
    </row>
    <row r="82" spans="4:40" x14ac:dyDescent="0.35">
      <c r="D82" s="177">
        <v>10</v>
      </c>
      <c r="E82" s="157"/>
      <c r="F82" s="157">
        <v>148.41109</v>
      </c>
      <c r="G82" s="157">
        <v>152.78689</v>
      </c>
      <c r="H82" s="132">
        <f t="shared" si="49"/>
        <v>4.3757999999999981</v>
      </c>
      <c r="I82" s="132">
        <f t="shared" si="48"/>
        <v>2.5413700000000006</v>
      </c>
      <c r="J82" s="132">
        <f t="shared" si="50"/>
        <v>0.63259974816290465</v>
      </c>
      <c r="K82" s="132">
        <f t="shared" si="51"/>
        <v>0.3674002518370954</v>
      </c>
      <c r="L82" s="132">
        <f t="shared" si="52"/>
        <v>0.22852964029434628</v>
      </c>
      <c r="M82" s="132">
        <f t="shared" si="53"/>
        <v>0.14456779289796262</v>
      </c>
      <c r="N82" s="132">
        <f t="shared" si="54"/>
        <v>6.9171699999999987</v>
      </c>
      <c r="O82" s="132">
        <v>27</v>
      </c>
      <c r="P82" s="157">
        <f t="shared" si="55"/>
        <v>6.1703002879473496</v>
      </c>
      <c r="Q82" s="85"/>
      <c r="Z82" s="297">
        <v>-1</v>
      </c>
      <c r="AB82" s="13">
        <v>432.91291999999999</v>
      </c>
      <c r="AC82" s="2">
        <v>434.91397000000001</v>
      </c>
      <c r="AD82" s="2">
        <f t="shared" si="56"/>
        <v>2.0010500000000206</v>
      </c>
      <c r="AE82" s="2">
        <f t="shared" si="57"/>
        <v>8.1623099999999909</v>
      </c>
      <c r="AF82" s="2">
        <f t="shared" si="58"/>
        <v>0.19688862738307197</v>
      </c>
      <c r="AG82" s="2">
        <f t="shared" si="59"/>
        <v>0.803111372616928</v>
      </c>
      <c r="AH82" s="2">
        <f t="shared" si="60"/>
        <v>0.49973763774018126</v>
      </c>
      <c r="AI82" s="2">
        <f t="shared" si="61"/>
        <v>9.8392657546323148E-2</v>
      </c>
      <c r="AJ82" s="2">
        <f t="shared" si="62"/>
        <v>10.163360000000011</v>
      </c>
      <c r="AK82" s="2">
        <v>10</v>
      </c>
      <c r="AL82">
        <f t="shared" si="37"/>
        <v>4.9973763774018121</v>
      </c>
    </row>
    <row r="83" spans="4:40" x14ac:dyDescent="0.35">
      <c r="D83" s="172"/>
      <c r="E83" s="85"/>
      <c r="F83">
        <v>155.32826</v>
      </c>
      <c r="G83">
        <v>158.40377000000001</v>
      </c>
      <c r="H83" s="13">
        <f t="shared" si="49"/>
        <v>3.0755100000000084</v>
      </c>
      <c r="I83" s="13">
        <f t="shared" si="48"/>
        <v>5.8378199999999936</v>
      </c>
      <c r="J83" s="13">
        <f t="shared" si="50"/>
        <v>0.34504612754155939</v>
      </c>
      <c r="K83" s="13">
        <f t="shared" si="51"/>
        <v>0.65495387245844061</v>
      </c>
      <c r="L83" s="13">
        <f t="shared" si="52"/>
        <v>0.32514932482742609</v>
      </c>
      <c r="M83" s="13">
        <f t="shared" si="53"/>
        <v>0.112191515404456</v>
      </c>
      <c r="N83" s="13">
        <f t="shared" si="54"/>
        <v>8.913330000000002</v>
      </c>
      <c r="O83" s="13">
        <v>16</v>
      </c>
      <c r="P83" s="85">
        <f t="shared" si="55"/>
        <v>5.2023891972388174</v>
      </c>
      <c r="Q83" s="85"/>
      <c r="Z83" s="297">
        <v>-1</v>
      </c>
      <c r="AB83" s="13">
        <v>443.07628</v>
      </c>
      <c r="AC83" s="2">
        <v>444.96998000000002</v>
      </c>
      <c r="AD83" s="2">
        <f t="shared" si="56"/>
        <v>1.8937000000000239</v>
      </c>
      <c r="AE83" s="2">
        <f t="shared" si="57"/>
        <v>5.3667599999999993</v>
      </c>
      <c r="AF83" s="2">
        <f t="shared" si="58"/>
        <v>0.26082369436647512</v>
      </c>
      <c r="AG83" s="2">
        <f t="shared" si="59"/>
        <v>0.73917630563352488</v>
      </c>
      <c r="AH83" s="2">
        <f t="shared" si="60"/>
        <v>0.52806674763689465</v>
      </c>
      <c r="AI83" s="2">
        <f t="shared" si="61"/>
        <v>0.13773231999074395</v>
      </c>
      <c r="AJ83" s="2">
        <f t="shared" si="62"/>
        <v>7.2604600000000232</v>
      </c>
      <c r="AK83" s="2">
        <v>9</v>
      </c>
      <c r="AL83">
        <f t="shared" si="37"/>
        <v>4.7526007287320517</v>
      </c>
    </row>
    <row r="84" spans="4:40" x14ac:dyDescent="0.35">
      <c r="D84" s="172"/>
      <c r="E84" s="85"/>
      <c r="F84">
        <v>164.24159</v>
      </c>
      <c r="G84">
        <v>168.71041</v>
      </c>
      <c r="H84" s="13">
        <f t="shared" si="49"/>
        <v>4.4688199999999938</v>
      </c>
      <c r="I84" s="13">
        <f t="shared" si="48"/>
        <v>4.4380600000000072</v>
      </c>
      <c r="J84" s="13">
        <f t="shared" si="50"/>
        <v>0.50172675504778252</v>
      </c>
      <c r="K84" s="13">
        <f t="shared" si="51"/>
        <v>0.49827324495221748</v>
      </c>
      <c r="L84" s="13">
        <f t="shared" si="52"/>
        <v>0.22377271852524858</v>
      </c>
      <c r="M84" s="13">
        <f t="shared" si="53"/>
        <v>0.11227275993389378</v>
      </c>
      <c r="N84" s="13">
        <f t="shared" si="54"/>
        <v>8.906880000000001</v>
      </c>
      <c r="O84" s="13">
        <v>28</v>
      </c>
      <c r="P84" s="85">
        <f t="shared" si="55"/>
        <v>6.2656361187069605</v>
      </c>
      <c r="Q84" s="85"/>
      <c r="Z84" s="297">
        <v>-1</v>
      </c>
      <c r="AB84" s="13">
        <v>450.33674000000002</v>
      </c>
      <c r="AC84" s="2">
        <v>453.36927000000003</v>
      </c>
      <c r="AD84" s="2">
        <f t="shared" si="56"/>
        <v>3.0325300000000084</v>
      </c>
      <c r="AE84" s="2">
        <f t="shared" si="57"/>
        <v>7.0757899999999836</v>
      </c>
      <c r="AF84" s="2">
        <f t="shared" si="58"/>
        <v>0.30000336356585572</v>
      </c>
      <c r="AG84" s="2">
        <f t="shared" si="59"/>
        <v>0.69999663643414423</v>
      </c>
      <c r="AH84" s="2">
        <f t="shared" si="60"/>
        <v>0.32975766109486049</v>
      </c>
      <c r="AI84" s="2">
        <f t="shared" si="61"/>
        <v>9.8928407490067663E-2</v>
      </c>
      <c r="AJ84" s="2">
        <f t="shared" si="62"/>
        <v>10.108319999999992</v>
      </c>
      <c r="AK84" s="2">
        <v>11</v>
      </c>
      <c r="AL84">
        <f t="shared" si="37"/>
        <v>3.6273342720434654</v>
      </c>
    </row>
    <row r="85" spans="4:40" x14ac:dyDescent="0.35">
      <c r="D85" s="172"/>
      <c r="E85" s="85"/>
      <c r="F85">
        <v>173.14847</v>
      </c>
      <c r="G85">
        <v>177.23214999999999</v>
      </c>
      <c r="H85" s="13">
        <f t="shared" si="49"/>
        <v>4.0836799999999869</v>
      </c>
      <c r="I85" s="13">
        <f t="shared" si="48"/>
        <v>5.8750100000000032</v>
      </c>
      <c r="J85" s="13">
        <f t="shared" si="50"/>
        <v>0.41006196598146855</v>
      </c>
      <c r="K85" s="13">
        <f t="shared" si="51"/>
        <v>0.58993803401853151</v>
      </c>
      <c r="L85" s="13">
        <f t="shared" si="52"/>
        <v>0.24487716961172354</v>
      </c>
      <c r="M85" s="13">
        <f t="shared" si="53"/>
        <v>0.10041481359496088</v>
      </c>
      <c r="N85" s="13">
        <f t="shared" si="54"/>
        <v>9.9586899999999901</v>
      </c>
      <c r="O85" s="13">
        <v>23</v>
      </c>
      <c r="P85" s="85">
        <f t="shared" si="55"/>
        <v>5.6321749010696411</v>
      </c>
      <c r="Q85" s="85"/>
      <c r="Z85" s="297">
        <v>-1</v>
      </c>
      <c r="AB85" s="13">
        <v>460.44506000000001</v>
      </c>
      <c r="AC85" s="2">
        <v>462.48509000000001</v>
      </c>
      <c r="AD85" s="2">
        <f t="shared" si="56"/>
        <v>2.0400300000000016</v>
      </c>
      <c r="AE85" s="2">
        <f t="shared" si="57"/>
        <v>8.2692099999999868</v>
      </c>
      <c r="AF85" s="2">
        <f t="shared" si="58"/>
        <v>0.19788364612716397</v>
      </c>
      <c r="AG85" s="2">
        <f t="shared" si="59"/>
        <v>0.80211635387283609</v>
      </c>
      <c r="AH85" s="2">
        <f t="shared" si="60"/>
        <v>0.4901888697715226</v>
      </c>
      <c r="AI85" s="2">
        <f t="shared" si="61"/>
        <v>9.7000360841342434E-2</v>
      </c>
      <c r="AJ85" s="2">
        <f t="shared" si="62"/>
        <v>10.309239999999988</v>
      </c>
      <c r="AK85" s="2">
        <v>10</v>
      </c>
      <c r="AL85">
        <f t="shared" si="37"/>
        <v>4.9018886977152256</v>
      </c>
    </row>
    <row r="86" spans="4:40" x14ac:dyDescent="0.35">
      <c r="D86" s="177">
        <v>10</v>
      </c>
      <c r="E86" s="157"/>
      <c r="F86" s="157">
        <v>183.10715999999999</v>
      </c>
      <c r="G86" s="157">
        <v>188.25407000000001</v>
      </c>
      <c r="H86" s="132">
        <f t="shared" si="49"/>
        <v>5.1469100000000196</v>
      </c>
      <c r="I86" s="132">
        <f t="shared" si="48"/>
        <v>2.8955699999999922</v>
      </c>
      <c r="J86" s="132">
        <f t="shared" si="50"/>
        <v>0.63996553301966708</v>
      </c>
      <c r="K86" s="132">
        <f t="shared" si="51"/>
        <v>0.36003446698033292</v>
      </c>
      <c r="L86" s="132">
        <f t="shared" si="52"/>
        <v>0.19429133208080113</v>
      </c>
      <c r="M86" s="132">
        <f t="shared" si="53"/>
        <v>0.12433975589619105</v>
      </c>
      <c r="N86" s="132">
        <f t="shared" si="54"/>
        <v>8.0424800000000118</v>
      </c>
      <c r="O86" s="132">
        <v>29</v>
      </c>
      <c r="P86" s="157">
        <f t="shared" si="55"/>
        <v>5.6344486303432326</v>
      </c>
      <c r="Q86" s="85"/>
      <c r="Z86" s="297">
        <v>-1</v>
      </c>
      <c r="AB86" s="13">
        <v>470.7543</v>
      </c>
      <c r="AC86" s="2">
        <v>472.70616000000001</v>
      </c>
      <c r="AD86" s="2">
        <f t="shared" si="56"/>
        <v>1.9518600000000106</v>
      </c>
      <c r="AE86" s="2">
        <f t="shared" si="57"/>
        <v>7.3782699999999863</v>
      </c>
      <c r="AF86" s="2">
        <f t="shared" si="58"/>
        <v>0.20919965745386304</v>
      </c>
      <c r="AG86" s="2">
        <f t="shared" si="59"/>
        <v>0.79080034254613696</v>
      </c>
      <c r="AH86" s="2">
        <f t="shared" si="60"/>
        <v>0.51233182707775893</v>
      </c>
      <c r="AI86" s="2">
        <f t="shared" si="61"/>
        <v>0.10717964272737897</v>
      </c>
      <c r="AJ86" s="2">
        <f t="shared" si="62"/>
        <v>9.3301299999999969</v>
      </c>
      <c r="AK86" s="2">
        <v>10</v>
      </c>
      <c r="AL86">
        <f t="shared" si="37"/>
        <v>5.1233182707775891</v>
      </c>
      <c r="AN86" t="s">
        <v>756</v>
      </c>
    </row>
    <row r="87" spans="4:40" x14ac:dyDescent="0.35">
      <c r="D87" s="172"/>
      <c r="E87" s="85"/>
      <c r="F87">
        <v>191.14964000000001</v>
      </c>
      <c r="G87">
        <v>194.68624</v>
      </c>
      <c r="H87" s="13">
        <f t="shared" si="49"/>
        <v>3.5365999999999929</v>
      </c>
      <c r="I87" s="13">
        <f t="shared" si="48"/>
        <v>6.4860699999999838</v>
      </c>
      <c r="J87" s="13">
        <f t="shared" si="50"/>
        <v>0.35286006622985705</v>
      </c>
      <c r="K87" s="13">
        <f t="shared" si="51"/>
        <v>0.64713993377014301</v>
      </c>
      <c r="L87" s="13">
        <f t="shared" si="52"/>
        <v>0.2827574506588254</v>
      </c>
      <c r="M87" s="13">
        <f t="shared" si="53"/>
        <v>9.9773812766458678E-2</v>
      </c>
      <c r="N87" s="13">
        <f t="shared" si="54"/>
        <v>10.022669999999977</v>
      </c>
      <c r="O87" s="13">
        <v>21</v>
      </c>
      <c r="P87" s="85">
        <f t="shared" si="55"/>
        <v>5.9379064638353345</v>
      </c>
      <c r="Q87" s="85"/>
      <c r="Z87" s="297">
        <v>-1</v>
      </c>
      <c r="AB87" s="13">
        <v>480.08443</v>
      </c>
      <c r="AC87" s="2">
        <v>481.19531000000001</v>
      </c>
      <c r="AD87" s="2">
        <f t="shared" si="56"/>
        <v>1.1108800000000087</v>
      </c>
      <c r="AE87" s="2">
        <f t="shared" si="57"/>
        <v>8.2622599999999693</v>
      </c>
      <c r="AF87" s="2">
        <f t="shared" si="58"/>
        <v>0.11851738051496205</v>
      </c>
      <c r="AG87" s="2">
        <f t="shared" si="59"/>
        <v>0.88148261948503792</v>
      </c>
      <c r="AH87" s="2">
        <f t="shared" si="60"/>
        <v>0.90018723894569364</v>
      </c>
      <c r="AI87" s="2">
        <f t="shared" si="61"/>
        <v>0.10668783353283984</v>
      </c>
      <c r="AJ87" s="2">
        <f t="shared" si="62"/>
        <v>9.373139999999978</v>
      </c>
      <c r="AK87" s="2">
        <v>5</v>
      </c>
      <c r="AL87">
        <f t="shared" si="37"/>
        <v>4.5009361947284683</v>
      </c>
    </row>
    <row r="88" spans="4:40" x14ac:dyDescent="0.35">
      <c r="D88" s="172"/>
      <c r="E88" s="85"/>
      <c r="F88">
        <v>201.17230999999998</v>
      </c>
      <c r="G88">
        <v>206.26580999999999</v>
      </c>
      <c r="H88" s="13">
        <f t="shared" si="49"/>
        <v>5.0935000000000059</v>
      </c>
      <c r="I88" s="13">
        <f t="shared" si="48"/>
        <v>3.9827400000000068</v>
      </c>
      <c r="J88" s="13">
        <f t="shared" si="50"/>
        <v>0.56119053705058464</v>
      </c>
      <c r="K88" s="13">
        <f t="shared" si="51"/>
        <v>0.43880946294941531</v>
      </c>
      <c r="L88" s="13">
        <f t="shared" si="52"/>
        <v>0.19632865416707546</v>
      </c>
      <c r="M88" s="13">
        <f t="shared" si="53"/>
        <v>0.11017778287043958</v>
      </c>
      <c r="N88" s="13">
        <f t="shared" si="54"/>
        <v>9.0762400000000127</v>
      </c>
      <c r="O88" s="13">
        <v>28</v>
      </c>
      <c r="P88" s="85">
        <f t="shared" si="55"/>
        <v>5.4972023166781128</v>
      </c>
      <c r="Q88" s="85"/>
      <c r="Z88" s="297">
        <v>-1</v>
      </c>
      <c r="AB88" s="13">
        <v>489.45756999999998</v>
      </c>
      <c r="AC88" s="2">
        <v>491.48626000000002</v>
      </c>
      <c r="AD88" s="2">
        <f t="shared" si="56"/>
        <v>2.0286900000000401</v>
      </c>
      <c r="AE88" s="2">
        <f t="shared" si="57"/>
        <v>8.3169299999999566</v>
      </c>
      <c r="AF88" s="2">
        <f t="shared" si="58"/>
        <v>0.19609167937736363</v>
      </c>
      <c r="AG88" s="2">
        <f t="shared" si="59"/>
        <v>0.8039083206226364</v>
      </c>
      <c r="AH88" s="2">
        <f t="shared" si="60"/>
        <v>0.49292893443551267</v>
      </c>
      <c r="AI88" s="2">
        <f t="shared" si="61"/>
        <v>9.6659262567154056E-2</v>
      </c>
      <c r="AJ88" s="2">
        <f t="shared" si="62"/>
        <v>10.345619999999997</v>
      </c>
      <c r="AK88" s="2">
        <v>10</v>
      </c>
      <c r="AL88">
        <f t="shared" si="37"/>
        <v>4.9292893443551273</v>
      </c>
    </row>
    <row r="89" spans="4:40" x14ac:dyDescent="0.35">
      <c r="D89" s="172"/>
      <c r="E89" s="85"/>
      <c r="F89">
        <v>210.24854999999999</v>
      </c>
      <c r="G89">
        <v>213.80155000000002</v>
      </c>
      <c r="H89" s="13">
        <f t="shared" si="49"/>
        <v>3.5530000000000257</v>
      </c>
      <c r="I89" s="13">
        <f t="shared" si="48"/>
        <v>6.6325299999999743</v>
      </c>
      <c r="J89" s="13">
        <f t="shared" si="50"/>
        <v>0.34882819058016867</v>
      </c>
      <c r="K89" s="13">
        <f t="shared" si="51"/>
        <v>0.65117180941983133</v>
      </c>
      <c r="L89" s="13">
        <f t="shared" si="52"/>
        <v>0.28145229383619275</v>
      </c>
      <c r="M89" s="13">
        <f t="shared" si="53"/>
        <v>9.8178494393517071E-2</v>
      </c>
      <c r="N89" s="13">
        <f t="shared" si="54"/>
        <v>10.18553</v>
      </c>
      <c r="O89" s="13">
        <v>20</v>
      </c>
      <c r="P89" s="85">
        <f t="shared" si="55"/>
        <v>5.6290458767238549</v>
      </c>
      <c r="Q89" s="85"/>
      <c r="Z89" s="297">
        <v>-1</v>
      </c>
      <c r="AB89" s="13">
        <v>499.80318999999997</v>
      </c>
      <c r="AC89" s="2">
        <v>501.85980999999998</v>
      </c>
      <c r="AD89" s="2">
        <f t="shared" si="56"/>
        <v>2.0566200000000094</v>
      </c>
      <c r="AE89" s="2">
        <f t="shared" si="57"/>
        <v>8.2253600000000233</v>
      </c>
      <c r="AF89" s="2">
        <f t="shared" si="58"/>
        <v>0.20002178568719284</v>
      </c>
      <c r="AG89" s="2">
        <f t="shared" si="59"/>
        <v>0.79997821431280713</v>
      </c>
      <c r="AH89" s="2">
        <f t="shared" si="60"/>
        <v>0.48623469576294864</v>
      </c>
      <c r="AI89" s="2">
        <f t="shared" si="61"/>
        <v>9.7257532109573913E-2</v>
      </c>
      <c r="AJ89" s="2">
        <f t="shared" si="62"/>
        <v>10.281980000000033</v>
      </c>
      <c r="AK89" s="2">
        <v>10</v>
      </c>
      <c r="AL89">
        <f t="shared" si="37"/>
        <v>4.8623469576294864</v>
      </c>
    </row>
    <row r="90" spans="4:40" x14ac:dyDescent="0.35">
      <c r="D90" s="177">
        <v>10</v>
      </c>
      <c r="E90" s="157"/>
      <c r="F90" s="157">
        <v>220.43407999999999</v>
      </c>
      <c r="G90" s="157">
        <v>224.95443</v>
      </c>
      <c r="H90" s="132">
        <f t="shared" si="49"/>
        <v>4.5203500000000076</v>
      </c>
      <c r="I90" s="132">
        <f t="shared" si="48"/>
        <v>3.5701899999999966</v>
      </c>
      <c r="J90" s="132">
        <f t="shared" si="50"/>
        <v>0.55872043151631479</v>
      </c>
      <c r="K90" s="132">
        <f t="shared" si="51"/>
        <v>0.44127956848368521</v>
      </c>
      <c r="L90" s="132">
        <f t="shared" si="52"/>
        <v>0.2212218080458368</v>
      </c>
      <c r="M90" s="132">
        <f t="shared" si="53"/>
        <v>0.12360114405218928</v>
      </c>
      <c r="N90" s="132">
        <f t="shared" si="54"/>
        <v>8.0905400000000043</v>
      </c>
      <c r="O90" s="132">
        <v>27</v>
      </c>
      <c r="P90" s="157">
        <f t="shared" si="55"/>
        <v>5.9729888172375931</v>
      </c>
      <c r="Q90" s="85"/>
      <c r="Z90" s="297">
        <v>-1</v>
      </c>
      <c r="AB90" s="13">
        <v>510.08517000000001</v>
      </c>
      <c r="AC90" s="2">
        <v>512.18128000000002</v>
      </c>
      <c r="AD90" s="2">
        <f t="shared" si="56"/>
        <v>2.0961100000000101</v>
      </c>
      <c r="AE90" s="2">
        <f t="shared" si="57"/>
        <v>8.2551300000000083</v>
      </c>
      <c r="AF90" s="2">
        <f t="shared" si="58"/>
        <v>0.20249844463078881</v>
      </c>
      <c r="AG90" s="2">
        <f t="shared" si="59"/>
        <v>0.79750155536921119</v>
      </c>
      <c r="AH90" s="2">
        <f t="shared" si="60"/>
        <v>0.47707419935022266</v>
      </c>
      <c r="AI90" s="2">
        <f t="shared" si="61"/>
        <v>9.6606783341898969E-2</v>
      </c>
      <c r="AJ90" s="2">
        <f t="shared" si="62"/>
        <v>10.351240000000018</v>
      </c>
      <c r="AK90" s="2">
        <v>10</v>
      </c>
      <c r="AL90">
        <f t="shared" si="37"/>
        <v>4.7707419935022264</v>
      </c>
    </row>
    <row r="91" spans="4:40" x14ac:dyDescent="0.35">
      <c r="D91" s="172"/>
      <c r="E91" s="85"/>
      <c r="F91">
        <v>228.52462</v>
      </c>
      <c r="G91">
        <v>231.67054000000002</v>
      </c>
      <c r="H91" s="13">
        <f t="shared" si="49"/>
        <v>3.145920000000018</v>
      </c>
      <c r="I91" s="13">
        <f t="shared" si="48"/>
        <v>4.9709699999999657</v>
      </c>
      <c r="J91" s="13">
        <f t="shared" si="50"/>
        <v>0.38757701533469402</v>
      </c>
      <c r="K91" s="13">
        <f t="shared" si="51"/>
        <v>0.61242298466530598</v>
      </c>
      <c r="L91" s="13">
        <f t="shared" si="52"/>
        <v>0.31787203743260933</v>
      </c>
      <c r="M91" s="13">
        <f t="shared" si="53"/>
        <v>0.12319989552648884</v>
      </c>
      <c r="N91" s="13">
        <f t="shared" si="54"/>
        <v>8.1168899999999837</v>
      </c>
      <c r="O91" s="13">
        <v>17</v>
      </c>
      <c r="P91" s="85">
        <f t="shared" si="55"/>
        <v>5.4038246363543578</v>
      </c>
      <c r="Q91" s="85"/>
      <c r="Z91" s="297">
        <v>-1</v>
      </c>
      <c r="AB91" s="13">
        <v>520.43641000000002</v>
      </c>
      <c r="AC91" s="2">
        <v>522.51436000000001</v>
      </c>
      <c r="AD91" s="2">
        <f t="shared" si="56"/>
        <v>2.0779499999999871</v>
      </c>
      <c r="AE91" s="2">
        <f t="shared" si="57"/>
        <v>8.2752399999999398</v>
      </c>
      <c r="AF91" s="2">
        <f t="shared" si="58"/>
        <v>0.20070625575305792</v>
      </c>
      <c r="AG91" s="2">
        <f t="shared" si="59"/>
        <v>0.79929374424694211</v>
      </c>
      <c r="AH91" s="2">
        <f t="shared" si="60"/>
        <v>0.48124353329002439</v>
      </c>
      <c r="AI91" s="2">
        <f t="shared" si="61"/>
        <v>9.6588587672012879E-2</v>
      </c>
      <c r="AJ91" s="2">
        <f t="shared" si="62"/>
        <v>10.353189999999927</v>
      </c>
      <c r="AK91" s="2">
        <v>10</v>
      </c>
      <c r="AL91">
        <f t="shared" si="37"/>
        <v>4.8124353329002441</v>
      </c>
    </row>
    <row r="92" spans="4:40" x14ac:dyDescent="0.35">
      <c r="D92" s="172"/>
      <c r="E92" s="85"/>
      <c r="F92">
        <v>236.64150999999998</v>
      </c>
      <c r="G92">
        <v>239.93621999999999</v>
      </c>
      <c r="H92" s="13">
        <f t="shared" si="49"/>
        <v>3.2947100000000091</v>
      </c>
      <c r="I92" s="13">
        <f t="shared" si="48"/>
        <v>5.597580000000022</v>
      </c>
      <c r="J92" s="13">
        <f t="shared" si="50"/>
        <v>0.37051310742227228</v>
      </c>
      <c r="K92" s="13">
        <f t="shared" si="51"/>
        <v>0.62948689257772772</v>
      </c>
      <c r="L92" s="13">
        <f t="shared" si="52"/>
        <v>0.30351684973791238</v>
      </c>
      <c r="M92" s="13">
        <f t="shared" si="53"/>
        <v>0.1124569711514128</v>
      </c>
      <c r="N92" s="13">
        <f t="shared" si="54"/>
        <v>8.8922900000000311</v>
      </c>
      <c r="O92" s="13">
        <v>20</v>
      </c>
      <c r="P92" s="85">
        <f t="shared" si="55"/>
        <v>6.0703369947582475</v>
      </c>
      <c r="Q92" s="85"/>
      <c r="R92" t="s">
        <v>750</v>
      </c>
      <c r="Z92" s="297">
        <v>-1</v>
      </c>
      <c r="AB92" s="13">
        <v>530.78959999999995</v>
      </c>
      <c r="AC92" s="2">
        <v>532.79920000000004</v>
      </c>
      <c r="AD92" s="2">
        <f t="shared" si="56"/>
        <v>2.0096000000000913</v>
      </c>
      <c r="AE92" s="2">
        <f t="shared" si="57"/>
        <v>8.4604099999999107</v>
      </c>
      <c r="AF92" s="2">
        <f t="shared" si="58"/>
        <v>0.19193868964786959</v>
      </c>
      <c r="AG92" s="2">
        <f t="shared" si="59"/>
        <v>0.80806131035213047</v>
      </c>
      <c r="AH92" s="2">
        <f t="shared" si="60"/>
        <v>0.49761146496813025</v>
      </c>
      <c r="AI92" s="2">
        <f t="shared" si="61"/>
        <v>9.551089253973967E-2</v>
      </c>
      <c r="AJ92" s="2">
        <f t="shared" si="62"/>
        <v>10.470010000000002</v>
      </c>
      <c r="AK92" s="2">
        <v>10</v>
      </c>
      <c r="AL92">
        <f t="shared" si="37"/>
        <v>4.9761146496813025</v>
      </c>
    </row>
    <row r="93" spans="4:40" x14ac:dyDescent="0.35">
      <c r="D93" s="177">
        <v>10</v>
      </c>
      <c r="E93" s="157"/>
      <c r="F93" s="132">
        <v>245.53380000000001</v>
      </c>
      <c r="G93" s="132">
        <v>249.89892</v>
      </c>
      <c r="H93" s="132">
        <f t="shared" si="49"/>
        <v>4.3651199999999903</v>
      </c>
      <c r="I93" s="132">
        <f t="shared" si="48"/>
        <v>3.6082700000000045</v>
      </c>
      <c r="J93" s="132">
        <f t="shared" si="50"/>
        <v>0.54746099212505506</v>
      </c>
      <c r="K93" s="132">
        <f t="shared" si="51"/>
        <v>0.45253900787494489</v>
      </c>
      <c r="L93" s="132">
        <f t="shared" si="52"/>
        <v>0.22908877648266307</v>
      </c>
      <c r="M93" s="132">
        <f t="shared" si="53"/>
        <v>0.12541716885791371</v>
      </c>
      <c r="N93" s="132">
        <f t="shared" si="54"/>
        <v>7.9733899999999949</v>
      </c>
      <c r="O93" s="132">
        <v>25</v>
      </c>
      <c r="P93" s="157">
        <f t="shared" si="55"/>
        <v>5.7272194120665771</v>
      </c>
      <c r="Q93" s="85"/>
      <c r="Z93" s="297">
        <v>-1</v>
      </c>
      <c r="AB93" s="13">
        <v>541.25960999999995</v>
      </c>
      <c r="AC93" s="2">
        <v>543.17377999999997</v>
      </c>
      <c r="AD93" s="2">
        <f t="shared" si="56"/>
        <v>1.9141700000000128</v>
      </c>
      <c r="AE93" s="2">
        <f t="shared" si="57"/>
        <v>8.4982400000000098</v>
      </c>
      <c r="AF93" s="2">
        <f t="shared" si="58"/>
        <v>0.18383544251523026</v>
      </c>
      <c r="AG93" s="2">
        <f t="shared" si="59"/>
        <v>0.81616455748476979</v>
      </c>
      <c r="AH93" s="2">
        <f t="shared" si="60"/>
        <v>0.52241963879905828</v>
      </c>
      <c r="AI93" s="2">
        <f t="shared" si="61"/>
        <v>9.603924547727162E-2</v>
      </c>
      <c r="AJ93" s="2">
        <f t="shared" si="62"/>
        <v>10.412410000000023</v>
      </c>
      <c r="AK93" s="2">
        <v>9</v>
      </c>
      <c r="AL93">
        <f t="shared" si="37"/>
        <v>4.7017767491915246</v>
      </c>
    </row>
    <row r="94" spans="4:40" x14ac:dyDescent="0.35">
      <c r="D94" s="172"/>
      <c r="E94" s="85"/>
      <c r="F94" s="13">
        <v>253.50719000000001</v>
      </c>
      <c r="G94" s="13">
        <v>256.87776000000002</v>
      </c>
      <c r="H94" s="13">
        <f t="shared" ref="H94:H106" si="63">G94-F94</f>
        <v>3.3705700000000149</v>
      </c>
      <c r="I94" s="13">
        <f t="shared" ref="I94:I105" si="64">F95-G94</f>
        <v>6.7359500000000025</v>
      </c>
      <c r="J94" s="13">
        <f t="shared" ref="J94:J105" si="65">H94/N94</f>
        <v>0.33350450995990799</v>
      </c>
      <c r="K94" s="13">
        <f t="shared" ref="K94:K105" si="66">I94/N94</f>
        <v>0.66649549004009201</v>
      </c>
      <c r="L94" s="13">
        <f t="shared" ref="L94:L105" si="67">1/H94</f>
        <v>0.29668572377965613</v>
      </c>
      <c r="M94" s="13">
        <f t="shared" ref="M94:M105" si="68">1/N94</f>
        <v>9.8946026921234831E-2</v>
      </c>
      <c r="N94" s="13">
        <f t="shared" ref="N94:N105" si="69">H94+I94</f>
        <v>10.106520000000017</v>
      </c>
      <c r="O94" s="13">
        <v>19</v>
      </c>
      <c r="P94" s="85">
        <f t="shared" si="55"/>
        <v>5.6370287518134665</v>
      </c>
      <c r="Q94" s="85"/>
      <c r="Z94" s="297">
        <v>-1</v>
      </c>
      <c r="AB94" s="13">
        <v>551.67201999999997</v>
      </c>
      <c r="AC94" s="2">
        <v>553.66209000000003</v>
      </c>
      <c r="AD94" s="2">
        <f t="shared" si="56"/>
        <v>1.9900700000000597</v>
      </c>
      <c r="AE94" s="2">
        <f t="shared" si="57"/>
        <v>6.9375099999999748</v>
      </c>
      <c r="AF94" s="2">
        <f t="shared" si="58"/>
        <v>0.22291259221424531</v>
      </c>
      <c r="AG94" s="2">
        <f t="shared" si="59"/>
        <v>0.77708740778575469</v>
      </c>
      <c r="AH94" s="2">
        <f t="shared" si="60"/>
        <v>0.50249488711450851</v>
      </c>
      <c r="AI94" s="2">
        <f t="shared" si="61"/>
        <v>0.11201243786109967</v>
      </c>
      <c r="AJ94" s="2">
        <f t="shared" si="62"/>
        <v>8.9275800000000345</v>
      </c>
      <c r="AK94" s="2">
        <v>9</v>
      </c>
      <c r="AL94">
        <f t="shared" si="37"/>
        <v>4.5224539840305766</v>
      </c>
    </row>
    <row r="95" spans="4:40" x14ac:dyDescent="0.35">
      <c r="D95" s="172"/>
      <c r="E95" s="85"/>
      <c r="F95" s="13">
        <v>263.61371000000003</v>
      </c>
      <c r="G95" s="13">
        <v>267.95211999999998</v>
      </c>
      <c r="H95" s="13">
        <f t="shared" si="63"/>
        <v>4.3384099999999535</v>
      </c>
      <c r="I95" s="13">
        <f t="shared" si="64"/>
        <v>3.7563200000000165</v>
      </c>
      <c r="J95" s="13">
        <f t="shared" si="65"/>
        <v>0.53595487434416833</v>
      </c>
      <c r="K95" s="13">
        <f t="shared" si="66"/>
        <v>0.46404512565583167</v>
      </c>
      <c r="L95" s="13">
        <f t="shared" si="67"/>
        <v>0.23049919210033415</v>
      </c>
      <c r="M95" s="13">
        <f t="shared" si="68"/>
        <v>0.1235371655385669</v>
      </c>
      <c r="N95" s="13">
        <f t="shared" si="69"/>
        <v>8.09472999999997</v>
      </c>
      <c r="O95" s="13">
        <v>25</v>
      </c>
      <c r="P95" s="85">
        <f t="shared" si="55"/>
        <v>5.7624798025083539</v>
      </c>
      <c r="Q95" s="85"/>
      <c r="Z95" s="297">
        <v>-1</v>
      </c>
      <c r="AB95" s="13">
        <v>560.59960000000001</v>
      </c>
      <c r="AC95" s="2">
        <v>562.57647999999995</v>
      </c>
      <c r="AD95" s="2">
        <f t="shared" si="56"/>
        <v>1.9768799999999374</v>
      </c>
      <c r="AE95" s="2">
        <f t="shared" si="57"/>
        <v>12.858710000000087</v>
      </c>
      <c r="AF95" s="2">
        <f t="shared" si="58"/>
        <v>0.1332525366365567</v>
      </c>
      <c r="AG95" s="2">
        <f t="shared" si="59"/>
        <v>0.86674746336344333</v>
      </c>
      <c r="AH95" s="2">
        <f t="shared" si="60"/>
        <v>0.50584759823561964</v>
      </c>
      <c r="AI95" s="2">
        <f t="shared" si="61"/>
        <v>6.7405475616406113E-2</v>
      </c>
      <c r="AJ95" s="2">
        <f t="shared" si="62"/>
        <v>14.835590000000025</v>
      </c>
      <c r="AK95" s="2">
        <v>10</v>
      </c>
      <c r="AL95">
        <f t="shared" si="37"/>
        <v>5.058475982356196</v>
      </c>
    </row>
    <row r="96" spans="4:40" x14ac:dyDescent="0.35">
      <c r="D96" s="177">
        <v>10</v>
      </c>
      <c r="E96" s="157"/>
      <c r="F96" s="132">
        <v>271.70844</v>
      </c>
      <c r="G96" s="132">
        <v>276.07756000000001</v>
      </c>
      <c r="H96" s="132">
        <f t="shared" si="63"/>
        <v>4.3691200000000094</v>
      </c>
      <c r="I96" s="132">
        <f t="shared" si="64"/>
        <v>4.7185400000000186</v>
      </c>
      <c r="J96" s="132">
        <f t="shared" si="65"/>
        <v>0.48077502899536251</v>
      </c>
      <c r="K96" s="132">
        <f t="shared" si="66"/>
        <v>0.51922497100463749</v>
      </c>
      <c r="L96" s="132">
        <f t="shared" si="67"/>
        <v>0.22887904200388129</v>
      </c>
      <c r="M96" s="132">
        <f t="shared" si="68"/>
        <v>0.11003932805584682</v>
      </c>
      <c r="N96" s="132">
        <f t="shared" si="69"/>
        <v>9.087660000000028</v>
      </c>
      <c r="O96" s="132">
        <v>24</v>
      </c>
      <c r="P96" s="157">
        <f t="shared" si="55"/>
        <v>5.4930970080931507</v>
      </c>
      <c r="Q96" s="85"/>
      <c r="Z96" s="297">
        <v>-1</v>
      </c>
      <c r="AB96" s="13">
        <v>575.43519000000003</v>
      </c>
      <c r="AC96" s="2">
        <v>577.45587</v>
      </c>
      <c r="AD96" s="2">
        <f t="shared" si="56"/>
        <v>2.0206799999999703</v>
      </c>
      <c r="AE96" s="2">
        <f t="shared" si="57"/>
        <v>6.9361900000000105</v>
      </c>
      <c r="AF96" s="2">
        <f t="shared" si="58"/>
        <v>0.22560113075214608</v>
      </c>
      <c r="AG96" s="2">
        <f t="shared" si="59"/>
        <v>0.77439886924785395</v>
      </c>
      <c r="AH96" s="2">
        <f t="shared" si="60"/>
        <v>0.4948829107033349</v>
      </c>
      <c r="AI96" s="2">
        <f t="shared" si="61"/>
        <v>0.11164614424458567</v>
      </c>
      <c r="AJ96" s="2">
        <f t="shared" si="62"/>
        <v>8.9568699999999808</v>
      </c>
      <c r="AK96" s="2">
        <v>9</v>
      </c>
      <c r="AL96">
        <f t="shared" si="37"/>
        <v>4.4539461963300138</v>
      </c>
    </row>
    <row r="97" spans="4:38" x14ac:dyDescent="0.35">
      <c r="D97" s="172"/>
      <c r="E97" s="85"/>
      <c r="F97" s="13">
        <v>280.79610000000002</v>
      </c>
      <c r="G97" s="13">
        <v>284.97320000000002</v>
      </c>
      <c r="H97" s="13">
        <f t="shared" si="63"/>
        <v>4.1770999999999958</v>
      </c>
      <c r="I97" s="13">
        <f t="shared" si="64"/>
        <v>4.9752199999999789</v>
      </c>
      <c r="J97" s="13">
        <f t="shared" si="65"/>
        <v>0.45639794063144723</v>
      </c>
      <c r="K97" s="13">
        <f t="shared" si="66"/>
        <v>0.54360205936855277</v>
      </c>
      <c r="L97" s="13">
        <f t="shared" si="67"/>
        <v>0.23940054104522301</v>
      </c>
      <c r="M97" s="13">
        <f t="shared" si="68"/>
        <v>0.10926191391909404</v>
      </c>
      <c r="N97" s="13">
        <f t="shared" si="69"/>
        <v>9.1523199999999747</v>
      </c>
      <c r="O97" s="13">
        <v>23</v>
      </c>
      <c r="P97" s="85">
        <f t="shared" si="55"/>
        <v>5.5062124440401288</v>
      </c>
      <c r="Q97" s="85"/>
      <c r="Z97" s="297">
        <v>-1</v>
      </c>
      <c r="AB97" s="13">
        <v>584.39206000000001</v>
      </c>
      <c r="AC97" s="2">
        <v>586.46411999999998</v>
      </c>
      <c r="AD97" s="2">
        <f t="shared" si="56"/>
        <v>2.0720599999999649</v>
      </c>
      <c r="AE97" s="2">
        <f t="shared" si="57"/>
        <v>11.24405999999999</v>
      </c>
      <c r="AF97" s="2">
        <f t="shared" si="58"/>
        <v>0.15560538655403916</v>
      </c>
      <c r="AG97" s="2">
        <f t="shared" si="59"/>
        <v>0.8443946134459609</v>
      </c>
      <c r="AH97" s="2">
        <f t="shared" si="60"/>
        <v>0.48261150738879033</v>
      </c>
      <c r="AI97" s="2">
        <f t="shared" si="61"/>
        <v>7.5096950162660242E-2</v>
      </c>
      <c r="AJ97" s="2">
        <f t="shared" si="62"/>
        <v>13.316119999999955</v>
      </c>
      <c r="AK97" s="2">
        <v>10</v>
      </c>
      <c r="AL97">
        <f t="shared" si="37"/>
        <v>4.8261150738879035</v>
      </c>
    </row>
    <row r="98" spans="4:38" x14ac:dyDescent="0.35">
      <c r="D98" s="172"/>
      <c r="E98" s="85"/>
      <c r="F98" s="13">
        <v>289.94842</v>
      </c>
      <c r="G98" s="13">
        <v>294.39987000000002</v>
      </c>
      <c r="H98" s="13">
        <f t="shared" si="63"/>
        <v>4.4514500000000226</v>
      </c>
      <c r="I98" s="13">
        <f t="shared" si="64"/>
        <v>3.7132499999999595</v>
      </c>
      <c r="J98" s="13">
        <f t="shared" si="65"/>
        <v>0.54520680490404205</v>
      </c>
      <c r="K98" s="13">
        <f t="shared" si="66"/>
        <v>0.45479319509595795</v>
      </c>
      <c r="L98" s="13">
        <f t="shared" si="67"/>
        <v>0.22464590189713352</v>
      </c>
      <c r="M98" s="13">
        <f t="shared" si="68"/>
        <v>0.12247847440812304</v>
      </c>
      <c r="N98" s="13">
        <f t="shared" si="69"/>
        <v>8.1646999999999821</v>
      </c>
      <c r="O98" s="13">
        <v>27</v>
      </c>
      <c r="P98" s="85">
        <f t="shared" si="55"/>
        <v>6.0654393512226044</v>
      </c>
      <c r="Q98" s="85"/>
      <c r="Z98" s="297">
        <v>-1</v>
      </c>
      <c r="AB98" s="13">
        <v>597.70817999999997</v>
      </c>
      <c r="AC98" s="2">
        <v>599.55399</v>
      </c>
      <c r="AD98" s="2">
        <f t="shared" si="56"/>
        <v>1.8458100000000286</v>
      </c>
      <c r="AE98" s="2"/>
      <c r="AF98" s="2"/>
      <c r="AG98" s="2"/>
      <c r="AH98" s="2"/>
      <c r="AI98" s="2"/>
      <c r="AJ98" s="2"/>
      <c r="AK98" s="2"/>
    </row>
    <row r="99" spans="4:38" x14ac:dyDescent="0.35">
      <c r="D99" s="172"/>
      <c r="F99" s="13">
        <v>298.11311999999998</v>
      </c>
      <c r="G99" s="13">
        <v>301.54903999999999</v>
      </c>
      <c r="H99" s="13">
        <f t="shared" si="63"/>
        <v>3.4359200000000101</v>
      </c>
      <c r="I99" s="13">
        <f t="shared" si="64"/>
        <v>6.7375499999999988</v>
      </c>
      <c r="J99" s="13">
        <f t="shared" si="65"/>
        <v>0.33773333975526609</v>
      </c>
      <c r="K99" s="13">
        <f t="shared" si="66"/>
        <v>0.66226666024473391</v>
      </c>
      <c r="L99" s="13">
        <f t="shared" si="67"/>
        <v>0.29104286479312586</v>
      </c>
      <c r="M99" s="13">
        <f t="shared" si="68"/>
        <v>9.8294878738522759E-2</v>
      </c>
      <c r="N99" s="13">
        <f t="shared" si="69"/>
        <v>10.173470000000009</v>
      </c>
      <c r="O99" s="2">
        <v>20</v>
      </c>
      <c r="P99" s="85">
        <f t="shared" si="55"/>
        <v>5.8208572958625178</v>
      </c>
      <c r="Z99" s="297"/>
      <c r="AB99" s="13"/>
      <c r="AC99" s="2"/>
      <c r="AD99" s="2"/>
      <c r="AE99" s="2"/>
      <c r="AF99" s="2"/>
      <c r="AG99" s="2"/>
      <c r="AH99" s="2"/>
      <c r="AI99" s="2"/>
      <c r="AJ99" s="2"/>
      <c r="AK99" s="2"/>
    </row>
    <row r="100" spans="4:38" x14ac:dyDescent="0.35">
      <c r="D100" s="177">
        <v>10</v>
      </c>
      <c r="E100" s="157"/>
      <c r="F100" s="132">
        <v>308.28658999999999</v>
      </c>
      <c r="G100" s="132">
        <v>312.75655999999998</v>
      </c>
      <c r="H100" s="132">
        <f t="shared" si="63"/>
        <v>4.4699699999999893</v>
      </c>
      <c r="I100" s="132">
        <f t="shared" si="64"/>
        <v>2.7519400000000473</v>
      </c>
      <c r="J100" s="132">
        <f t="shared" si="65"/>
        <v>0.61894568057480182</v>
      </c>
      <c r="K100" s="132">
        <f t="shared" si="66"/>
        <v>0.38105431942519824</v>
      </c>
      <c r="L100" s="132">
        <f t="shared" si="67"/>
        <v>0.22371514797638517</v>
      </c>
      <c r="M100" s="132">
        <f t="shared" si="68"/>
        <v>0.13846752451913619</v>
      </c>
      <c r="N100" s="132">
        <f t="shared" si="69"/>
        <v>7.2219100000000367</v>
      </c>
      <c r="O100" s="132">
        <v>27</v>
      </c>
      <c r="P100" s="157">
        <f t="shared" si="55"/>
        <v>6.0403089953623992</v>
      </c>
      <c r="Z100" s="297"/>
      <c r="AB100" s="13"/>
      <c r="AC100" s="2"/>
      <c r="AD100" s="2"/>
      <c r="AE100" s="2"/>
      <c r="AF100" s="2"/>
      <c r="AG100" s="2"/>
      <c r="AH100" s="2"/>
      <c r="AI100" s="2"/>
      <c r="AJ100" s="2"/>
      <c r="AK100" s="2"/>
    </row>
    <row r="101" spans="4:38" x14ac:dyDescent="0.35">
      <c r="D101" s="177">
        <v>10</v>
      </c>
      <c r="E101" s="157"/>
      <c r="F101" s="132">
        <v>315.50850000000003</v>
      </c>
      <c r="G101" s="132">
        <v>318.03748000000002</v>
      </c>
      <c r="H101" s="132">
        <f t="shared" si="63"/>
        <v>2.52897999999999</v>
      </c>
      <c r="I101" s="132">
        <f t="shared" si="64"/>
        <v>5.8003199999999993</v>
      </c>
      <c r="J101" s="132">
        <f t="shared" si="65"/>
        <v>0.30362455428427276</v>
      </c>
      <c r="K101" s="132">
        <f t="shared" si="66"/>
        <v>0.69637544571572718</v>
      </c>
      <c r="L101" s="132">
        <f t="shared" si="67"/>
        <v>0.39541633385792058</v>
      </c>
      <c r="M101" s="132">
        <f t="shared" si="68"/>
        <v>0.12005810812433233</v>
      </c>
      <c r="N101" s="132">
        <f t="shared" si="69"/>
        <v>8.3292999999999893</v>
      </c>
      <c r="O101" s="132">
        <v>15</v>
      </c>
      <c r="P101" s="157">
        <f t="shared" si="55"/>
        <v>5.9312450078688084</v>
      </c>
      <c r="Z101" s="295"/>
      <c r="AB101" s="13"/>
      <c r="AC101" s="2"/>
      <c r="AD101" s="2"/>
      <c r="AE101" s="2"/>
      <c r="AF101" s="2"/>
      <c r="AG101" s="2"/>
      <c r="AH101" s="2"/>
      <c r="AI101" s="2"/>
      <c r="AJ101" s="2"/>
      <c r="AK101" s="2"/>
    </row>
    <row r="102" spans="4:38" x14ac:dyDescent="0.35">
      <c r="D102" s="172"/>
      <c r="F102" s="13">
        <v>323.83780000000002</v>
      </c>
      <c r="G102" s="13">
        <v>328.11615</v>
      </c>
      <c r="H102" s="13">
        <f t="shared" si="63"/>
        <v>4.278349999999989</v>
      </c>
      <c r="I102" s="13">
        <f t="shared" si="64"/>
        <v>5.0536199999999667</v>
      </c>
      <c r="J102" s="13">
        <f t="shared" si="65"/>
        <v>0.45846161099960775</v>
      </c>
      <c r="K102" s="13">
        <f t="shared" si="66"/>
        <v>0.54153838900039231</v>
      </c>
      <c r="L102" s="13">
        <f t="shared" si="67"/>
        <v>0.23373496791987625</v>
      </c>
      <c r="M102" s="13">
        <f t="shared" si="68"/>
        <v>0.1071585099394881</v>
      </c>
      <c r="N102" s="13">
        <f t="shared" si="69"/>
        <v>9.3319699999999557</v>
      </c>
      <c r="O102" s="2">
        <v>22</v>
      </c>
      <c r="P102" s="85">
        <f>O102/H102</f>
        <v>5.1421692942372772</v>
      </c>
      <c r="Z102" s="295"/>
      <c r="AB102" s="13"/>
      <c r="AC102" s="2"/>
      <c r="AD102" s="2"/>
      <c r="AE102" s="2"/>
      <c r="AF102" s="2"/>
      <c r="AG102" s="2"/>
      <c r="AH102" s="2"/>
      <c r="AI102" s="2"/>
      <c r="AJ102" s="2"/>
      <c r="AK102" s="2"/>
    </row>
    <row r="103" spans="4:38" ht="16" thickBot="1" x14ac:dyDescent="0.4">
      <c r="D103" s="172"/>
      <c r="F103" s="13">
        <v>333.16976999999997</v>
      </c>
      <c r="G103" s="13">
        <v>337.45487000000003</v>
      </c>
      <c r="H103" s="13">
        <f t="shared" si="63"/>
        <v>4.2851000000000568</v>
      </c>
      <c r="I103" s="13">
        <f t="shared" si="64"/>
        <v>3.9098299999999426</v>
      </c>
      <c r="J103" s="13">
        <f t="shared" si="65"/>
        <v>0.52289647379539017</v>
      </c>
      <c r="K103" s="13">
        <f t="shared" si="66"/>
        <v>0.47710352620460977</v>
      </c>
      <c r="L103" s="13">
        <f t="shared" si="67"/>
        <v>0.23336678257216559</v>
      </c>
      <c r="M103" s="13">
        <f t="shared" si="68"/>
        <v>0.1220266677079609</v>
      </c>
      <c r="N103" s="13">
        <f t="shared" si="69"/>
        <v>8.1949299999999994</v>
      </c>
      <c r="O103" s="2">
        <v>24</v>
      </c>
      <c r="P103" s="85">
        <f>O103/H103</f>
        <v>5.6008027817319741</v>
      </c>
      <c r="Z103" s="295"/>
      <c r="AA103" s="104" t="s">
        <v>426</v>
      </c>
      <c r="AB103" s="13"/>
      <c r="AC103" s="13"/>
      <c r="AD103" s="9" t="s">
        <v>3</v>
      </c>
      <c r="AE103" s="9" t="s">
        <v>4</v>
      </c>
      <c r="AF103" s="9" t="s">
        <v>5</v>
      </c>
      <c r="AG103" s="9" t="s">
        <v>6</v>
      </c>
      <c r="AH103" s="9" t="s">
        <v>7</v>
      </c>
      <c r="AI103" s="9" t="s">
        <v>8</v>
      </c>
      <c r="AJ103" s="9" t="s">
        <v>9</v>
      </c>
      <c r="AK103" s="9" t="s">
        <v>10</v>
      </c>
      <c r="AL103" s="44" t="s">
        <v>139</v>
      </c>
    </row>
    <row r="104" spans="4:38" x14ac:dyDescent="0.35">
      <c r="D104" s="172"/>
      <c r="F104" s="13">
        <v>341.36469999999997</v>
      </c>
      <c r="G104" s="13">
        <v>344.96658000000002</v>
      </c>
      <c r="H104" s="13">
        <f t="shared" si="63"/>
        <v>3.601880000000051</v>
      </c>
      <c r="I104" s="13">
        <f t="shared" si="64"/>
        <v>6.7353599999999574</v>
      </c>
      <c r="J104" s="13">
        <f t="shared" si="65"/>
        <v>0.34843730047866239</v>
      </c>
      <c r="K104" s="13">
        <f t="shared" si="66"/>
        <v>0.65156269952133761</v>
      </c>
      <c r="L104" s="13">
        <f t="shared" si="67"/>
        <v>0.27763279176429695</v>
      </c>
      <c r="M104" s="13">
        <f t="shared" si="68"/>
        <v>9.6737620486706241E-2</v>
      </c>
      <c r="N104" s="13">
        <f t="shared" si="69"/>
        <v>10.337240000000008</v>
      </c>
      <c r="O104" s="2">
        <v>21</v>
      </c>
      <c r="P104" s="85">
        <f>O104/H104</f>
        <v>5.8302886270502352</v>
      </c>
      <c r="Z104" s="295"/>
      <c r="AB104" s="13"/>
      <c r="AC104" s="49" t="s">
        <v>77</v>
      </c>
      <c r="AD104" s="13">
        <f>AVERAGE(AD35:AD48)</f>
        <v>2.9514050000000003</v>
      </c>
      <c r="AE104" s="13">
        <f t="shared" ref="AE104:AL104" si="70">AVERAGE(AE35:AE48)</f>
        <v>5.7117307142857134</v>
      </c>
      <c r="AF104" s="13">
        <f t="shared" si="70"/>
        <v>0.34246552862735991</v>
      </c>
      <c r="AG104" s="13">
        <f t="shared" si="70"/>
        <v>0.65753447137264021</v>
      </c>
      <c r="AH104" s="13">
        <f t="shared" si="70"/>
        <v>0.33936310472563447</v>
      </c>
      <c r="AI104" s="13">
        <f t="shared" si="70"/>
        <v>0.11607431067953684</v>
      </c>
      <c r="AJ104" s="13">
        <f t="shared" si="70"/>
        <v>8.6631357142857137</v>
      </c>
      <c r="AK104" s="13">
        <f t="shared" si="70"/>
        <v>13.142857142857142</v>
      </c>
      <c r="AL104" s="13">
        <f t="shared" si="70"/>
        <v>4.4512832072285242</v>
      </c>
    </row>
    <row r="105" spans="4:38" x14ac:dyDescent="0.35">
      <c r="D105" s="177">
        <v>10</v>
      </c>
      <c r="E105" s="157"/>
      <c r="F105" s="132">
        <v>351.70193999999998</v>
      </c>
      <c r="G105" s="132">
        <v>355.32781</v>
      </c>
      <c r="H105" s="132">
        <f t="shared" si="63"/>
        <v>3.6258700000000204</v>
      </c>
      <c r="I105" s="132">
        <f t="shared" si="64"/>
        <v>2.6411899999999946</v>
      </c>
      <c r="J105" s="132">
        <f t="shared" si="65"/>
        <v>0.57855996272574572</v>
      </c>
      <c r="K105" s="132">
        <f t="shared" si="66"/>
        <v>0.42144003727425433</v>
      </c>
      <c r="L105" s="132">
        <f t="shared" si="67"/>
        <v>0.27579587795480653</v>
      </c>
      <c r="M105" s="132">
        <f t="shared" si="68"/>
        <v>0.15956445286944718</v>
      </c>
      <c r="N105" s="132">
        <f t="shared" si="69"/>
        <v>6.267060000000015</v>
      </c>
      <c r="O105" s="132">
        <v>24</v>
      </c>
      <c r="P105" s="157">
        <f>O105/H105</f>
        <v>6.6191010709153568</v>
      </c>
      <c r="Z105" s="295"/>
      <c r="AA105" s="104"/>
      <c r="AB105" s="13"/>
      <c r="AC105" s="49" t="s">
        <v>94</v>
      </c>
      <c r="AD105" s="2">
        <f>_xlfn.STDEV.S(AD35:AD48)</f>
        <v>0.12442732409229647</v>
      </c>
      <c r="AE105" s="2">
        <f t="shared" ref="AE105:AL105" si="71">_xlfn.STDEV.S(AE35:AE48)</f>
        <v>0.68956730065325655</v>
      </c>
      <c r="AF105" s="2">
        <f t="shared" si="71"/>
        <v>2.7692377939487336E-2</v>
      </c>
      <c r="AG105" s="2">
        <f t="shared" si="71"/>
        <v>2.7692377939487346E-2</v>
      </c>
      <c r="AH105" s="2">
        <f t="shared" si="71"/>
        <v>1.3840679122030099E-2</v>
      </c>
      <c r="AI105" s="2">
        <f t="shared" si="71"/>
        <v>8.6747481854586063E-3</v>
      </c>
      <c r="AJ105" s="2">
        <f t="shared" si="71"/>
        <v>0.69146506145356734</v>
      </c>
      <c r="AK105" s="2">
        <f t="shared" si="71"/>
        <v>0.86443782150756632</v>
      </c>
      <c r="AL105" s="2">
        <f t="shared" si="71"/>
        <v>0.18105592152405212</v>
      </c>
    </row>
    <row r="106" spans="4:38" x14ac:dyDescent="0.35">
      <c r="D106" s="172"/>
      <c r="F106" s="13">
        <v>357.96899999999999</v>
      </c>
      <c r="G106" s="13">
        <v>359.96877000000001</v>
      </c>
      <c r="H106" s="13">
        <f t="shared" si="63"/>
        <v>1.9997700000000123</v>
      </c>
      <c r="I106" s="13"/>
      <c r="J106" s="13"/>
      <c r="K106" s="13"/>
      <c r="L106" s="13"/>
      <c r="M106" s="13"/>
      <c r="N106" s="13"/>
      <c r="O106" s="2"/>
      <c r="Z106" s="295"/>
      <c r="AA106" s="104"/>
      <c r="AB106" s="13"/>
      <c r="AC106" s="49" t="s">
        <v>95</v>
      </c>
      <c r="AD106" s="2">
        <f>AD105/(SQRT(COUNT(AD35:AD48)))</f>
        <v>3.3254601164746878E-2</v>
      </c>
      <c r="AE106" s="2">
        <f t="shared" ref="AE106:AL106" si="72">AE105/(SQRT(COUNT(AE35:AE48)))</f>
        <v>0.18429461315478748</v>
      </c>
      <c r="AF106" s="2">
        <f t="shared" si="72"/>
        <v>7.4010993196156095E-3</v>
      </c>
      <c r="AG106" s="2">
        <f t="shared" si="72"/>
        <v>7.4010993196156121E-3</v>
      </c>
      <c r="AH106" s="2">
        <f t="shared" si="72"/>
        <v>3.6990770910651279E-3</v>
      </c>
      <c r="AI106" s="2">
        <f t="shared" si="72"/>
        <v>2.3184239733232172E-3</v>
      </c>
      <c r="AJ106" s="2">
        <f t="shared" si="72"/>
        <v>0.18480181106313126</v>
      </c>
      <c r="AK106" s="2">
        <f t="shared" si="72"/>
        <v>0.23103072573218281</v>
      </c>
      <c r="AL106" s="2">
        <f t="shared" si="72"/>
        <v>4.8389230442116619E-2</v>
      </c>
    </row>
    <row r="107" spans="4:38" x14ac:dyDescent="0.35">
      <c r="D107" s="172"/>
      <c r="F107" s="13"/>
      <c r="G107" s="13"/>
      <c r="H107" s="2"/>
      <c r="I107" s="2"/>
      <c r="J107" s="2"/>
      <c r="K107" s="2"/>
      <c r="L107" s="2"/>
      <c r="M107" s="2"/>
      <c r="N107" s="2"/>
      <c r="O107" s="2"/>
      <c r="Z107" s="295"/>
      <c r="AA107" s="104"/>
    </row>
    <row r="108" spans="4:38" x14ac:dyDescent="0.35">
      <c r="F108" s="13"/>
      <c r="G108" s="13"/>
      <c r="H108" s="2"/>
      <c r="I108" s="2"/>
      <c r="J108" s="2"/>
      <c r="K108" s="2"/>
      <c r="L108" s="2"/>
      <c r="M108" s="2"/>
      <c r="N108" s="2"/>
      <c r="O108" s="2"/>
      <c r="Z108" s="295"/>
    </row>
    <row r="109" spans="4:38" x14ac:dyDescent="0.35">
      <c r="F109" s="13"/>
      <c r="Z109" s="295"/>
    </row>
    <row r="110" spans="4:38" ht="16" thickBot="1" x14ac:dyDescent="0.4">
      <c r="F110" s="13"/>
      <c r="G110" s="13"/>
      <c r="H110" s="9" t="s">
        <v>3</v>
      </c>
      <c r="I110" s="9" t="s">
        <v>4</v>
      </c>
      <c r="J110" s="9" t="s">
        <v>5</v>
      </c>
      <c r="K110" s="9" t="s">
        <v>6</v>
      </c>
      <c r="L110" s="9" t="s">
        <v>7</v>
      </c>
      <c r="M110" s="9" t="s">
        <v>8</v>
      </c>
      <c r="N110" s="9" t="s">
        <v>9</v>
      </c>
      <c r="O110" s="9" t="s">
        <v>10</v>
      </c>
      <c r="P110" s="44" t="s">
        <v>139</v>
      </c>
      <c r="Z110" s="295"/>
      <c r="AA110" s="104" t="s">
        <v>473</v>
      </c>
      <c r="AB110" s="13"/>
      <c r="AC110" s="13"/>
      <c r="AD110" s="9" t="s">
        <v>3</v>
      </c>
      <c r="AE110" s="9" t="s">
        <v>4</v>
      </c>
      <c r="AF110" s="9" t="s">
        <v>5</v>
      </c>
      <c r="AG110" s="9" t="s">
        <v>6</v>
      </c>
      <c r="AH110" s="9" t="s">
        <v>7</v>
      </c>
      <c r="AI110" s="9" t="s">
        <v>8</v>
      </c>
      <c r="AJ110" s="9" t="s">
        <v>9</v>
      </c>
      <c r="AK110" s="9" t="s">
        <v>10</v>
      </c>
      <c r="AL110" s="44" t="s">
        <v>139</v>
      </c>
    </row>
    <row r="111" spans="4:38" x14ac:dyDescent="0.35">
      <c r="E111" s="104" t="s">
        <v>414</v>
      </c>
      <c r="F111" s="13"/>
      <c r="G111" s="49" t="s">
        <v>77</v>
      </c>
      <c r="H111" s="13">
        <f>AVERAGE(H66,H72,H74,H77,H80,H82,H86,H90,H93,H96,H100,H101,H105)</f>
        <v>4.147340769230774</v>
      </c>
      <c r="I111" s="13">
        <f t="shared" ref="I111:P111" si="73">AVERAGE(I66,I72,I74,I77,I80,I82,I86,I90,I93,I96,I100,I101,I105)</f>
        <v>3.618073076923078</v>
      </c>
      <c r="J111" s="13">
        <f t="shared" si="73"/>
        <v>0.54062164502677768</v>
      </c>
      <c r="K111" s="13">
        <f t="shared" si="73"/>
        <v>0.45937835497322232</v>
      </c>
      <c r="L111" s="13">
        <f t="shared" si="73"/>
        <v>0.24843922434166282</v>
      </c>
      <c r="M111" s="13">
        <f t="shared" si="73"/>
        <v>0.13022555257698384</v>
      </c>
      <c r="N111" s="13">
        <f t="shared" si="73"/>
        <v>7.7654138461538516</v>
      </c>
      <c r="O111" s="13">
        <f t="shared" si="73"/>
        <v>24.615384615384617</v>
      </c>
      <c r="P111" s="13">
        <f t="shared" si="73"/>
        <v>5.9463787248231919</v>
      </c>
      <c r="Z111" s="295"/>
      <c r="AB111" s="13"/>
      <c r="AC111" s="49" t="s">
        <v>77</v>
      </c>
      <c r="AD111" s="13">
        <f>AVERAGE(AD49:AD61)</f>
        <v>2.7903000000000029</v>
      </c>
      <c r="AE111" s="13">
        <f t="shared" ref="AE111:AL111" si="74">AVERAGE(AE49:AE61)</f>
        <v>6.4389630769230735</v>
      </c>
      <c r="AF111" s="13">
        <f t="shared" si="74"/>
        <v>0.30226509454367434</v>
      </c>
      <c r="AG111" s="13">
        <f t="shared" si="74"/>
        <v>0.69773490545632566</v>
      </c>
      <c r="AH111" s="13">
        <f t="shared" si="74"/>
        <v>0.37046671541604564</v>
      </c>
      <c r="AI111" s="13">
        <f t="shared" si="74"/>
        <v>0.10888216790719868</v>
      </c>
      <c r="AJ111" s="13">
        <f t="shared" si="74"/>
        <v>9.2292630769230772</v>
      </c>
      <c r="AK111" s="13">
        <f t="shared" si="74"/>
        <v>12.384615384615385</v>
      </c>
      <c r="AL111" s="13">
        <f t="shared" si="74"/>
        <v>4.5117785660301761</v>
      </c>
    </row>
    <row r="112" spans="4:38" x14ac:dyDescent="0.35">
      <c r="E112" s="104"/>
      <c r="F112" s="13"/>
      <c r="G112" s="49" t="s">
        <v>94</v>
      </c>
      <c r="H112" s="2">
        <f>_xlfn.STDEV.S(H66,H72,H74,H77,H80,H82,H86,H90,H93,H96,H100,H101,H105)</f>
        <v>0.65487809301250333</v>
      </c>
      <c r="I112" s="2">
        <f t="shared" ref="I112:P112" si="75">_xlfn.STDEV.S(I66,I72,I74,I77,I80,I82,I86,I90,I93,I96,I100,I101,I105)</f>
        <v>1.1088926213598866</v>
      </c>
      <c r="J112" s="2">
        <f t="shared" si="75"/>
        <v>0.10382916145288491</v>
      </c>
      <c r="K112" s="2">
        <f t="shared" si="75"/>
        <v>0.10382916145288508</v>
      </c>
      <c r="L112" s="2">
        <f t="shared" si="75"/>
        <v>5.1412668043377699E-2</v>
      </c>
      <c r="M112" s="2">
        <f t="shared" si="75"/>
        <v>1.4537025421936852E-2</v>
      </c>
      <c r="N112" s="2">
        <f t="shared" si="75"/>
        <v>0.84431099921315433</v>
      </c>
      <c r="O112" s="2">
        <f t="shared" si="75"/>
        <v>3.7757661813743497</v>
      </c>
      <c r="P112" s="2">
        <f t="shared" si="75"/>
        <v>0.31166341887931132</v>
      </c>
      <c r="Z112" s="295"/>
      <c r="AA112" s="104"/>
      <c r="AB112" s="13"/>
      <c r="AC112" s="49" t="s">
        <v>94</v>
      </c>
      <c r="AD112" s="2">
        <f>_xlfn.STDEV.S(AD49:AD61)</f>
        <v>0.47286528507951336</v>
      </c>
      <c r="AE112" s="2">
        <f t="shared" ref="AE112:AL112" si="76">_xlfn.STDEV.S(AE49:AE61)</f>
        <v>0.62313658968672858</v>
      </c>
      <c r="AF112" s="2">
        <f t="shared" si="76"/>
        <v>4.8469154129103395E-2</v>
      </c>
      <c r="AG112" s="2">
        <f t="shared" si="76"/>
        <v>4.8469154129103111E-2</v>
      </c>
      <c r="AH112" s="2">
        <f t="shared" si="76"/>
        <v>7.7525465310091329E-2</v>
      </c>
      <c r="AI112" s="2">
        <f t="shared" si="76"/>
        <v>7.8767612400403569E-3</v>
      </c>
      <c r="AJ112" s="2">
        <f t="shared" si="76"/>
        <v>0.67431632748021775</v>
      </c>
      <c r="AK112" s="2">
        <f t="shared" si="76"/>
        <v>1.1929278784054478</v>
      </c>
      <c r="AL112" s="2">
        <f t="shared" si="76"/>
        <v>0.50599619939083529</v>
      </c>
    </row>
    <row r="113" spans="4:38" x14ac:dyDescent="0.35">
      <c r="E113" s="104"/>
      <c r="F113" s="13"/>
      <c r="G113" s="49" t="s">
        <v>95</v>
      </c>
      <c r="H113" s="2">
        <f>H112/(SQRT(COUNT(H66,H72,H74,H77,H80,H82,H86,H90,H93,H96,H100,H101,H105)))</f>
        <v>0.18163050334881972</v>
      </c>
      <c r="I113" s="2">
        <f t="shared" ref="I113:P113" si="77">I112/(SQRT(COUNT(I66,I72,I74,I77,I80,I82,I86,I90,I93,I96,I100,I101,I105)))</f>
        <v>0.30755147733051891</v>
      </c>
      <c r="J113" s="2">
        <f t="shared" si="77"/>
        <v>2.8797028115908129E-2</v>
      </c>
      <c r="K113" s="2">
        <f t="shared" si="77"/>
        <v>2.8797028115908178E-2</v>
      </c>
      <c r="L113" s="2">
        <f t="shared" si="77"/>
        <v>1.4259308526062088E-2</v>
      </c>
      <c r="M113" s="2">
        <f t="shared" si="77"/>
        <v>4.0318454270397578E-3</v>
      </c>
      <c r="N113" s="2">
        <f t="shared" si="77"/>
        <v>0.23416973846932801</v>
      </c>
      <c r="O113" s="2">
        <f t="shared" si="77"/>
        <v>1.047209120854468</v>
      </c>
      <c r="P113" s="2">
        <f t="shared" si="77"/>
        <v>8.6439879804289882E-2</v>
      </c>
      <c r="Z113" s="295"/>
      <c r="AA113" s="104"/>
      <c r="AB113" s="13"/>
      <c r="AC113" s="49" t="s">
        <v>95</v>
      </c>
      <c r="AD113" s="2">
        <f>AD112/(SQRT(COUNT(AD49:AD61)))</f>
        <v>0.13114923321085248</v>
      </c>
      <c r="AE113" s="2">
        <f t="shared" ref="AE113:AL113" si="78">AE112/(SQRT(COUNT(AE49:AE61)))</f>
        <v>0.17282699428717421</v>
      </c>
      <c r="AF113" s="2">
        <f t="shared" si="78"/>
        <v>1.3442924653142264E-2</v>
      </c>
      <c r="AG113" s="2">
        <f t="shared" si="78"/>
        <v>1.3442924653142186E-2</v>
      </c>
      <c r="AH113" s="2">
        <f t="shared" si="78"/>
        <v>2.1501695409979926E-2</v>
      </c>
      <c r="AI113" s="2">
        <f t="shared" si="78"/>
        <v>2.1846205027348325E-3</v>
      </c>
      <c r="AJ113" s="2">
        <f t="shared" si="78"/>
        <v>0.18702169958557632</v>
      </c>
      <c r="AK113" s="2">
        <f t="shared" si="78"/>
        <v>0.33085866411702408</v>
      </c>
      <c r="AL113" s="2">
        <f t="shared" si="78"/>
        <v>0.14033809554565826</v>
      </c>
    </row>
    <row r="114" spans="4:38" x14ac:dyDescent="0.35">
      <c r="E114" s="104"/>
      <c r="Z114" s="295"/>
      <c r="AB114" s="13"/>
      <c r="AC114" s="2"/>
      <c r="AD114" s="2"/>
      <c r="AE114" s="2"/>
      <c r="AF114" s="2"/>
      <c r="AG114" s="2"/>
      <c r="AH114" s="2"/>
      <c r="AI114" s="2"/>
      <c r="AJ114" s="2"/>
      <c r="AK114" s="2"/>
    </row>
    <row r="115" spans="4:38" x14ac:dyDescent="0.35">
      <c r="E115" s="104"/>
      <c r="AB115" s="13"/>
      <c r="AD115" s="2"/>
      <c r="AE115" s="2"/>
      <c r="AF115" s="2"/>
      <c r="AG115" s="2"/>
      <c r="AH115" s="2"/>
      <c r="AI115" s="2"/>
      <c r="AJ115" s="2"/>
      <c r="AK115" s="2"/>
    </row>
    <row r="116" spans="4:38" ht="16" thickBot="1" x14ac:dyDescent="0.4">
      <c r="E116" s="104"/>
      <c r="G116" s="13"/>
      <c r="H116" s="9" t="s">
        <v>3</v>
      </c>
      <c r="I116" s="9" t="s">
        <v>4</v>
      </c>
      <c r="J116" s="9" t="s">
        <v>5</v>
      </c>
      <c r="K116" s="9" t="s">
        <v>6</v>
      </c>
      <c r="L116" s="9" t="s">
        <v>7</v>
      </c>
      <c r="M116" s="9" t="s">
        <v>8</v>
      </c>
      <c r="N116" s="9" t="s">
        <v>9</v>
      </c>
      <c r="O116" s="9" t="s">
        <v>10</v>
      </c>
      <c r="P116" s="44" t="s">
        <v>139</v>
      </c>
    </row>
    <row r="117" spans="4:38" ht="16" thickBot="1" x14ac:dyDescent="0.4">
      <c r="E117" s="104" t="s">
        <v>410</v>
      </c>
      <c r="G117" s="49" t="s">
        <v>77</v>
      </c>
      <c r="H117" s="13">
        <f>AVERAGE(H65,H67:H71,H73,H75:H76,H78:H79,H81,H83:H85,H87:H89,H91:H92,H94:H95,H97:H99,H102:H104)</f>
        <v>4.0910117857142909</v>
      </c>
      <c r="I117" s="13">
        <f t="shared" ref="I117:P117" si="79">AVERAGE(I65,I67:I71,I73,I75:I76,I78:I79,I81,I83:I85,I87:I89,I91:I92,I94:I95,I97:I99,I102:I104)</f>
        <v>5.0499710714285646</v>
      </c>
      <c r="J117" s="13">
        <f t="shared" si="79"/>
        <v>0.45292006740821522</v>
      </c>
      <c r="K117" s="13">
        <f t="shared" si="79"/>
        <v>0.54707993259178478</v>
      </c>
      <c r="L117" s="13">
        <f t="shared" si="79"/>
        <v>0.2488815130331348</v>
      </c>
      <c r="M117" s="13">
        <f t="shared" si="79"/>
        <v>0.1104129545389511</v>
      </c>
      <c r="N117" s="13">
        <f t="shared" si="79"/>
        <v>9.1409828571428555</v>
      </c>
      <c r="O117" s="13">
        <f t="shared" si="79"/>
        <v>23.464285714285715</v>
      </c>
      <c r="P117" s="13">
        <f t="shared" si="79"/>
        <v>5.7304516524847093</v>
      </c>
      <c r="AA117" s="104" t="s">
        <v>432</v>
      </c>
      <c r="AC117" s="13"/>
      <c r="AD117" s="9" t="s">
        <v>3</v>
      </c>
      <c r="AE117" s="9" t="s">
        <v>4</v>
      </c>
      <c r="AF117" s="9" t="s">
        <v>5</v>
      </c>
      <c r="AG117" s="9" t="s">
        <v>6</v>
      </c>
      <c r="AH117" s="9" t="s">
        <v>7</v>
      </c>
      <c r="AI117" s="9" t="s">
        <v>8</v>
      </c>
      <c r="AJ117" s="9" t="s">
        <v>9</v>
      </c>
      <c r="AK117" s="9" t="s">
        <v>10</v>
      </c>
      <c r="AL117" s="44" t="s">
        <v>139</v>
      </c>
    </row>
    <row r="118" spans="4:38" x14ac:dyDescent="0.35">
      <c r="G118" s="49" t="s">
        <v>94</v>
      </c>
      <c r="H118" s="2">
        <f>_xlfn.STDEV.S(H65,H67:H71,H73,H75:H76,H78:H79,H81,H83:H85,H87:H89,H91:H92,H94:H95,H97:H99,H102:H104)</f>
        <v>0.54736201868972945</v>
      </c>
      <c r="I118" s="2">
        <f t="shared" ref="I118:P118" si="80">_xlfn.STDEV.S(I65,I67:I71,I73,I75:I76,I78:I79,I81,I83:I85,I87:I89,I91:I92,I94:I95,I97:I99,I102:I104)</f>
        <v>1.1397442022935536</v>
      </c>
      <c r="J118" s="2">
        <f t="shared" si="80"/>
        <v>8.2484970653273093E-2</v>
      </c>
      <c r="K118" s="2">
        <f t="shared" si="80"/>
        <v>8.2484970653274287E-2</v>
      </c>
      <c r="L118" s="2">
        <f t="shared" si="80"/>
        <v>3.4884207137293566E-2</v>
      </c>
      <c r="M118" s="2">
        <f t="shared" si="80"/>
        <v>1.0763790409403996E-2</v>
      </c>
      <c r="N118" s="2">
        <f t="shared" si="80"/>
        <v>0.89741833179593034</v>
      </c>
      <c r="O118" s="2">
        <f t="shared" si="80"/>
        <v>3.7266024925615766</v>
      </c>
      <c r="P118" s="2">
        <f t="shared" si="80"/>
        <v>0.44181395578595539</v>
      </c>
      <c r="AC118" s="49" t="s">
        <v>77</v>
      </c>
      <c r="AD118" s="13">
        <f>AVERAGE(AD62:AD74)</f>
        <v>2.9032169230769287</v>
      </c>
      <c r="AE118" s="13">
        <f t="shared" ref="AE118:AL118" si="81">AVERAGE(AE62:AE74)</f>
        <v>6.1875407692307629</v>
      </c>
      <c r="AF118" s="13">
        <f t="shared" si="81"/>
        <v>0.32046732123611893</v>
      </c>
      <c r="AG118" s="13">
        <f t="shared" si="81"/>
        <v>0.6795326787638809</v>
      </c>
      <c r="AH118" s="13">
        <f t="shared" si="81"/>
        <v>0.34804531890250384</v>
      </c>
      <c r="AI118" s="13">
        <f t="shared" si="81"/>
        <v>0.11056762801967344</v>
      </c>
      <c r="AJ118" s="13">
        <f t="shared" si="81"/>
        <v>9.090757692307692</v>
      </c>
      <c r="AK118" s="13">
        <f t="shared" si="81"/>
        <v>12.23076923076923</v>
      </c>
      <c r="AL118" s="13">
        <f t="shared" si="81"/>
        <v>4.2383270226996244</v>
      </c>
    </row>
    <row r="119" spans="4:38" x14ac:dyDescent="0.35">
      <c r="G119" s="49" t="s">
        <v>95</v>
      </c>
      <c r="H119" s="2">
        <f>H118/(SQRT(COUNT(H65,H67:H71,H73,H75:H76,H78:H79,H81,H83:H85,H87:H89,H91:H92,H94:H95,H97:H99,H102:H104)))</f>
        <v>0.10344169846966518</v>
      </c>
      <c r="I119" s="2">
        <f t="shared" ref="I119:P119" si="82">I118/(SQRT(COUNT(I65,I67:I71,I73,I75:I76,I78:I79,I81,I83:I85,I87:I89,I91:I92,I94:I95,I97:I99,I102:I104)))</f>
        <v>0.21539140839260251</v>
      </c>
      <c r="J119" s="2">
        <f t="shared" si="82"/>
        <v>1.5588194232072968E-2</v>
      </c>
      <c r="K119" s="2">
        <f t="shared" si="82"/>
        <v>1.5588194232073194E-2</v>
      </c>
      <c r="L119" s="2">
        <f t="shared" si="82"/>
        <v>6.5924954834959424E-3</v>
      </c>
      <c r="M119" s="2">
        <f t="shared" si="82"/>
        <v>2.0341651848360775E-3</v>
      </c>
      <c r="N119" s="2">
        <f t="shared" si="82"/>
        <v>0.16959612342303432</v>
      </c>
      <c r="O119" s="2">
        <f t="shared" si="82"/>
        <v>0.70426167360795444</v>
      </c>
      <c r="P119" s="2">
        <f t="shared" si="82"/>
        <v>8.3494989483380314E-2</v>
      </c>
      <c r="AC119" s="49" t="s">
        <v>94</v>
      </c>
      <c r="AD119" s="2">
        <f>_xlfn.STDEV.S(AD62:AD74)</f>
        <v>0.27088884320525175</v>
      </c>
      <c r="AE119" s="2">
        <f t="shared" ref="AE119:AL119" si="83">_xlfn.STDEV.S(AE62:AE74)</f>
        <v>0.67729694222032644</v>
      </c>
      <c r="AF119" s="2">
        <f t="shared" si="83"/>
        <v>3.3863151638411408E-2</v>
      </c>
      <c r="AG119" s="2">
        <f t="shared" si="83"/>
        <v>3.386315163841145E-2</v>
      </c>
      <c r="AH119" s="2">
        <f t="shared" si="83"/>
        <v>4.208137728669923E-2</v>
      </c>
      <c r="AI119" s="2">
        <f t="shared" si="83"/>
        <v>8.0002687911993418E-3</v>
      </c>
      <c r="AJ119" s="2">
        <f t="shared" si="83"/>
        <v>0.69657752464164835</v>
      </c>
      <c r="AK119" s="2">
        <f t="shared" si="83"/>
        <v>0.72501105208198424</v>
      </c>
      <c r="AL119" s="2">
        <f t="shared" si="83"/>
        <v>0.35251438891224174</v>
      </c>
    </row>
    <row r="120" spans="4:38" x14ac:dyDescent="0.35">
      <c r="AC120" s="49" t="s">
        <v>95</v>
      </c>
      <c r="AD120" s="2">
        <f>AD119/(SQRT(COUNT(AD62:AD74)))</f>
        <v>7.5131047240589235E-2</v>
      </c>
      <c r="AE120" s="2">
        <f t="shared" ref="AE120:AL120" si="84">AE119/(SQRT(COUNT(AE62:AE74)))</f>
        <v>0.18784837337618138</v>
      </c>
      <c r="AF120" s="2">
        <f t="shared" si="84"/>
        <v>9.3919484293157485E-3</v>
      </c>
      <c r="AG120" s="2">
        <f t="shared" si="84"/>
        <v>9.3919484293157607E-3</v>
      </c>
      <c r="AH120" s="2">
        <f t="shared" si="84"/>
        <v>1.1671274119179982E-2</v>
      </c>
      <c r="AI120" s="2">
        <f t="shared" si="84"/>
        <v>2.2188753341664258E-3</v>
      </c>
      <c r="AJ120" s="2">
        <f t="shared" si="84"/>
        <v>0.19319584480240337</v>
      </c>
      <c r="AK120" s="2">
        <f t="shared" si="84"/>
        <v>0.20108188642766825</v>
      </c>
      <c r="AL120" s="2">
        <f t="shared" si="84"/>
        <v>9.776990035091862E-2</v>
      </c>
    </row>
    <row r="124" spans="4:38" ht="19" thickBot="1" x14ac:dyDescent="0.5">
      <c r="D124" s="2"/>
      <c r="E124" s="2"/>
      <c r="F124" s="1"/>
      <c r="G124" s="3"/>
      <c r="H124" s="3"/>
      <c r="I124" s="3"/>
      <c r="J124" s="3"/>
      <c r="K124" s="3"/>
      <c r="L124" s="3"/>
      <c r="M124" s="3"/>
      <c r="N124" s="3"/>
      <c r="O124" s="3"/>
      <c r="P124" s="2"/>
      <c r="Q124" s="2"/>
      <c r="R124" s="2"/>
      <c r="S124" s="2"/>
      <c r="AA124" s="104" t="s">
        <v>470</v>
      </c>
      <c r="AC124" s="13"/>
      <c r="AD124" s="9" t="s">
        <v>3</v>
      </c>
      <c r="AE124" s="9" t="s">
        <v>4</v>
      </c>
      <c r="AF124" s="9" t="s">
        <v>5</v>
      </c>
      <c r="AG124" s="9" t="s">
        <v>6</v>
      </c>
      <c r="AH124" s="9" t="s">
        <v>7</v>
      </c>
      <c r="AI124" s="9" t="s">
        <v>8</v>
      </c>
      <c r="AJ124" s="9" t="s">
        <v>9</v>
      </c>
      <c r="AK124" s="9" t="s">
        <v>10</v>
      </c>
      <c r="AL124" s="44" t="s">
        <v>139</v>
      </c>
    </row>
    <row r="125" spans="4:38" ht="15.5" x14ac:dyDescent="0.35">
      <c r="D125" s="199"/>
      <c r="E125" s="2"/>
      <c r="F125" s="5"/>
      <c r="G125" s="5"/>
      <c r="H125" s="5"/>
      <c r="I125" s="5"/>
      <c r="J125" s="5"/>
      <c r="K125" s="5"/>
      <c r="L125" s="5"/>
      <c r="M125" s="5"/>
      <c r="N125" s="5"/>
      <c r="O125" s="5"/>
      <c r="P125" s="14"/>
      <c r="Q125" s="2"/>
      <c r="R125" s="14"/>
      <c r="S125" s="2"/>
      <c r="AC125" s="49" t="s">
        <v>77</v>
      </c>
      <c r="AD125" s="13">
        <f>AVERAGE(AD75:AD97)</f>
        <v>2.2351156521739215</v>
      </c>
      <c r="AE125" s="13">
        <f t="shared" ref="AE125:AL125" si="85">AVERAGE(AE75:AE97)</f>
        <v>7.9579073913043388</v>
      </c>
      <c r="AF125" s="13">
        <f t="shared" si="85"/>
        <v>0.23041930606014352</v>
      </c>
      <c r="AG125" s="13">
        <f t="shared" si="85"/>
        <v>0.7695806939398564</v>
      </c>
      <c r="AH125" s="13">
        <f t="shared" si="85"/>
        <v>0.47194960460777347</v>
      </c>
      <c r="AI125" s="13">
        <f t="shared" si="85"/>
        <v>0.10181191152520787</v>
      </c>
      <c r="AJ125" s="13">
        <f t="shared" si="85"/>
        <v>10.193023043478261</v>
      </c>
      <c r="AK125" s="13">
        <f t="shared" si="85"/>
        <v>10.304347826086957</v>
      </c>
      <c r="AL125" s="13">
        <f t="shared" si="85"/>
        <v>4.6744847023288374</v>
      </c>
    </row>
    <row r="126" spans="4:38" x14ac:dyDescent="0.35">
      <c r="D126" s="294"/>
      <c r="E126" s="2"/>
      <c r="F126" s="2"/>
      <c r="G126" s="2"/>
      <c r="H126" s="2"/>
      <c r="I126" s="2"/>
      <c r="J126" s="2"/>
      <c r="K126" s="2"/>
      <c r="L126" s="2"/>
      <c r="M126" s="2"/>
      <c r="N126" s="2"/>
      <c r="O126" s="2"/>
      <c r="P126" s="2"/>
      <c r="Q126" s="2"/>
      <c r="R126" s="2"/>
      <c r="S126" s="2"/>
      <c r="AC126" s="49" t="s">
        <v>94</v>
      </c>
      <c r="AD126" s="2">
        <f>_xlfn.STDEV.S(AD75:AD97)</f>
        <v>0.51742094704783437</v>
      </c>
      <c r="AE126" s="2">
        <f t="shared" ref="AE126:AL126" si="86">_xlfn.STDEV.S(AE75:AE97)</f>
        <v>2.4294079784313083</v>
      </c>
      <c r="AF126" s="2">
        <f t="shared" si="86"/>
        <v>8.0575988058006226E-2</v>
      </c>
      <c r="AG126" s="2">
        <f t="shared" si="86"/>
        <v>8.0575988058007919E-2</v>
      </c>
      <c r="AH126" s="2">
        <f t="shared" si="86"/>
        <v>0.12030571639966295</v>
      </c>
      <c r="AI126" s="2">
        <f t="shared" si="86"/>
        <v>1.8361917573385844E-2</v>
      </c>
      <c r="AJ126" s="2">
        <f t="shared" si="86"/>
        <v>2.2465976492777524</v>
      </c>
      <c r="AK126" s="2">
        <f t="shared" si="86"/>
        <v>1.8199596051635007</v>
      </c>
      <c r="AL126" s="2">
        <f t="shared" si="86"/>
        <v>0.46491439035088189</v>
      </c>
    </row>
    <row r="127" spans="4:38" x14ac:dyDescent="0.35">
      <c r="D127" s="294"/>
      <c r="E127" s="2"/>
      <c r="F127" s="2"/>
      <c r="G127" s="2"/>
      <c r="H127" s="2"/>
      <c r="I127" s="2"/>
      <c r="J127" s="2"/>
      <c r="K127" s="2"/>
      <c r="L127" s="2"/>
      <c r="M127" s="2"/>
      <c r="N127" s="2"/>
      <c r="O127" s="2"/>
      <c r="P127" s="2"/>
      <c r="Q127" s="2"/>
      <c r="R127" s="2"/>
      <c r="S127" s="2"/>
      <c r="AC127" s="49" t="s">
        <v>95</v>
      </c>
      <c r="AD127" s="2">
        <f>AD126/(SQRT(COUNT(AD75:AD97)))</f>
        <v>0.1078897255945359</v>
      </c>
      <c r="AE127" s="2">
        <f t="shared" ref="AE127:AL127" si="87">AE126/(SQRT(COUNT(AE75:AE97)))</f>
        <v>0.50656658112818687</v>
      </c>
      <c r="AF127" s="2">
        <f t="shared" si="87"/>
        <v>1.6801254936985022E-2</v>
      </c>
      <c r="AG127" s="2">
        <f t="shared" si="87"/>
        <v>1.6801254936985376E-2</v>
      </c>
      <c r="AH127" s="2">
        <f t="shared" si="87"/>
        <v>2.5085475962792331E-2</v>
      </c>
      <c r="AI127" s="2">
        <f t="shared" si="87"/>
        <v>3.8287244837788537E-3</v>
      </c>
      <c r="AJ127" s="2">
        <f t="shared" si="87"/>
        <v>0.46844799246115215</v>
      </c>
      <c r="AK127" s="2">
        <f t="shared" si="87"/>
        <v>0.37948781067821252</v>
      </c>
      <c r="AL127" s="2">
        <f t="shared" si="87"/>
        <v>9.6941351690716285E-2</v>
      </c>
    </row>
    <row r="128" spans="4:38" x14ac:dyDescent="0.35">
      <c r="D128" s="294"/>
      <c r="E128" s="2"/>
      <c r="F128" s="13"/>
      <c r="G128" s="2"/>
      <c r="H128" s="2"/>
      <c r="I128" s="2"/>
      <c r="J128" s="2"/>
      <c r="K128" s="2"/>
      <c r="L128" s="2"/>
      <c r="M128" s="2"/>
      <c r="N128" s="2"/>
      <c r="O128" s="2"/>
      <c r="P128" s="2"/>
      <c r="Q128" s="2"/>
      <c r="R128" s="2"/>
      <c r="S128" s="2"/>
    </row>
    <row r="129" spans="3:23" x14ac:dyDescent="0.35">
      <c r="D129" s="294"/>
      <c r="E129" s="2"/>
      <c r="F129" s="13"/>
      <c r="G129" s="2"/>
      <c r="H129" s="2"/>
      <c r="I129" s="2"/>
      <c r="J129" s="2"/>
      <c r="K129" s="2"/>
      <c r="L129" s="2"/>
      <c r="M129" s="2"/>
      <c r="N129" s="2"/>
      <c r="O129" s="2"/>
      <c r="P129" s="2"/>
      <c r="Q129" s="2"/>
      <c r="R129" s="2"/>
      <c r="S129" s="2"/>
    </row>
    <row r="130" spans="3:23" x14ac:dyDescent="0.35">
      <c r="D130" s="294"/>
      <c r="E130" s="2"/>
      <c r="F130" s="13"/>
      <c r="G130" s="2"/>
      <c r="H130" s="2"/>
      <c r="I130" s="2"/>
      <c r="J130" s="2"/>
      <c r="K130" s="2"/>
      <c r="L130" s="2"/>
      <c r="M130" s="2"/>
      <c r="N130" s="2"/>
      <c r="O130" s="2"/>
      <c r="P130" s="2"/>
      <c r="Q130" s="2"/>
      <c r="R130" s="2"/>
      <c r="S130" s="2"/>
    </row>
    <row r="131" spans="3:23" x14ac:dyDescent="0.35">
      <c r="D131" s="294"/>
      <c r="E131" s="2"/>
      <c r="F131" s="13"/>
      <c r="G131" s="2"/>
      <c r="H131" s="2"/>
      <c r="I131" s="2"/>
      <c r="J131" s="2"/>
      <c r="K131" s="2"/>
      <c r="L131" s="2"/>
      <c r="M131" s="2"/>
      <c r="N131" s="2"/>
      <c r="O131" s="2"/>
      <c r="P131" s="2"/>
      <c r="Q131" s="2"/>
      <c r="R131" s="2"/>
      <c r="S131" s="2"/>
    </row>
    <row r="132" spans="3:23" x14ac:dyDescent="0.35">
      <c r="C132" s="2"/>
      <c r="D132" s="294"/>
      <c r="E132" s="2"/>
      <c r="F132" s="13"/>
      <c r="G132" s="2"/>
      <c r="H132" s="2"/>
      <c r="I132" s="2"/>
      <c r="J132" s="2"/>
      <c r="K132" s="2"/>
      <c r="L132" s="2"/>
      <c r="M132" s="2"/>
      <c r="N132" s="2"/>
      <c r="O132" s="2"/>
      <c r="P132" s="2"/>
      <c r="Q132" s="2"/>
      <c r="R132" s="2"/>
      <c r="S132" s="2"/>
    </row>
    <row r="133" spans="3:23" x14ac:dyDescent="0.35">
      <c r="C133" s="2"/>
      <c r="D133" s="294"/>
      <c r="E133" s="2"/>
      <c r="F133" s="13"/>
      <c r="G133" s="2"/>
      <c r="H133" s="2"/>
      <c r="I133" s="2"/>
      <c r="J133" s="2"/>
      <c r="K133" s="2"/>
      <c r="L133" s="2"/>
      <c r="M133" s="2"/>
      <c r="N133" s="2"/>
      <c r="O133" s="2"/>
      <c r="P133" s="2"/>
      <c r="Q133" s="2"/>
      <c r="R133" s="2"/>
      <c r="S133" s="2"/>
    </row>
    <row r="134" spans="3:23" x14ac:dyDescent="0.35">
      <c r="C134" s="2"/>
      <c r="D134" s="294"/>
      <c r="E134" s="2"/>
      <c r="F134" s="13"/>
      <c r="G134" s="2"/>
      <c r="H134" s="2"/>
      <c r="I134" s="2"/>
      <c r="J134" s="2"/>
      <c r="K134" s="2"/>
      <c r="L134" s="2"/>
      <c r="M134" s="2"/>
      <c r="N134" s="2"/>
      <c r="O134" s="2"/>
      <c r="P134" s="2"/>
      <c r="Q134" s="2"/>
      <c r="R134" s="2"/>
      <c r="S134" s="2"/>
    </row>
    <row r="135" spans="3:23" x14ac:dyDescent="0.35">
      <c r="C135" s="2"/>
      <c r="D135" s="294"/>
      <c r="E135" s="2"/>
      <c r="F135" s="13"/>
      <c r="G135" s="2"/>
      <c r="H135" s="2"/>
      <c r="I135" s="2"/>
      <c r="J135" s="2"/>
      <c r="K135" s="2"/>
      <c r="L135" s="2"/>
      <c r="M135" s="2"/>
      <c r="N135" s="2"/>
      <c r="O135" s="2"/>
      <c r="P135" s="2"/>
      <c r="Q135" s="2"/>
      <c r="R135" s="2"/>
      <c r="S135" s="2"/>
    </row>
    <row r="136" spans="3:23" x14ac:dyDescent="0.35">
      <c r="C136" s="2"/>
      <c r="D136" s="294"/>
      <c r="E136" s="2"/>
      <c r="F136" s="13"/>
      <c r="G136" s="2"/>
      <c r="H136" s="2"/>
      <c r="I136" s="2"/>
      <c r="J136" s="2"/>
      <c r="K136" s="2"/>
      <c r="L136" s="2"/>
      <c r="M136" s="2"/>
      <c r="N136" s="2"/>
      <c r="O136" s="2"/>
      <c r="P136" s="2"/>
      <c r="Q136" s="2"/>
      <c r="R136" s="2"/>
      <c r="S136" s="2"/>
    </row>
    <row r="137" spans="3:23" x14ac:dyDescent="0.35">
      <c r="C137" s="2"/>
      <c r="D137" s="294"/>
      <c r="E137" s="2"/>
      <c r="F137" s="13"/>
      <c r="G137" s="2"/>
      <c r="H137" s="2"/>
      <c r="I137" s="2"/>
      <c r="J137" s="2"/>
      <c r="K137" s="2"/>
      <c r="L137" s="2"/>
      <c r="M137" s="2"/>
      <c r="N137" s="2"/>
      <c r="O137" s="2"/>
      <c r="P137" s="2"/>
      <c r="Q137" s="2"/>
      <c r="R137" s="2"/>
      <c r="S137" s="2"/>
    </row>
    <row r="138" spans="3:23" x14ac:dyDescent="0.35">
      <c r="C138" s="2"/>
      <c r="D138" s="294"/>
      <c r="E138" s="2"/>
      <c r="F138" s="13"/>
      <c r="G138" s="2"/>
      <c r="H138" s="2"/>
      <c r="I138" s="2"/>
      <c r="J138" s="2"/>
      <c r="K138" s="2"/>
      <c r="L138" s="2"/>
      <c r="M138" s="2"/>
      <c r="N138" s="2"/>
      <c r="O138" s="2"/>
      <c r="P138" s="2"/>
      <c r="Q138" s="2"/>
      <c r="R138" s="2"/>
      <c r="S138" s="2"/>
    </row>
    <row r="139" spans="3:23" x14ac:dyDescent="0.35">
      <c r="C139" s="2"/>
      <c r="D139" s="294"/>
      <c r="E139" s="2"/>
      <c r="F139" s="13"/>
      <c r="G139" s="2"/>
      <c r="H139" s="2"/>
      <c r="I139" s="2"/>
      <c r="J139" s="2"/>
      <c r="K139" s="2"/>
      <c r="L139" s="2"/>
      <c r="M139" s="2"/>
      <c r="N139" s="2"/>
      <c r="O139" s="2"/>
      <c r="P139" s="2"/>
      <c r="Q139" s="2"/>
      <c r="R139" s="2"/>
      <c r="S139" s="2"/>
    </row>
    <row r="140" spans="3:23" x14ac:dyDescent="0.35">
      <c r="C140" s="2"/>
      <c r="D140" s="294"/>
      <c r="E140" s="2"/>
      <c r="F140" s="13"/>
      <c r="G140" s="2"/>
      <c r="H140" s="2"/>
      <c r="I140" s="2"/>
      <c r="J140" s="2"/>
      <c r="K140" s="2"/>
      <c r="L140" s="2"/>
      <c r="M140" s="2"/>
      <c r="N140" s="2"/>
      <c r="O140" s="2"/>
      <c r="P140" s="2"/>
      <c r="Q140" s="2"/>
      <c r="R140" s="2"/>
      <c r="S140" s="2"/>
    </row>
    <row r="141" spans="3:23" x14ac:dyDescent="0.35">
      <c r="C141" s="2"/>
      <c r="D141" s="294"/>
      <c r="E141" s="2"/>
      <c r="F141" s="13"/>
      <c r="G141" s="13"/>
      <c r="H141" s="2"/>
      <c r="I141" s="2"/>
      <c r="J141" s="2"/>
      <c r="K141" s="2"/>
      <c r="L141" s="2"/>
      <c r="M141" s="2"/>
      <c r="N141" s="2"/>
      <c r="O141" s="2"/>
      <c r="P141" s="2"/>
      <c r="Q141" s="2"/>
      <c r="R141" s="2"/>
      <c r="S141" s="2"/>
      <c r="W141" s="2"/>
    </row>
    <row r="142" spans="3:23" x14ac:dyDescent="0.35">
      <c r="C142" s="2"/>
      <c r="D142" s="2"/>
      <c r="E142" s="2"/>
      <c r="F142" s="13"/>
      <c r="G142" s="13"/>
      <c r="H142" s="2"/>
      <c r="I142" s="2"/>
      <c r="J142" s="2"/>
      <c r="K142" s="2"/>
      <c r="L142" s="2"/>
      <c r="M142" s="2"/>
      <c r="N142" s="2"/>
      <c r="O142" s="2"/>
      <c r="P142" s="2"/>
      <c r="Q142" s="2"/>
      <c r="R142" s="2"/>
      <c r="S142" s="2"/>
      <c r="W142" s="2"/>
    </row>
    <row r="143" spans="3:23" x14ac:dyDescent="0.35">
      <c r="C143" s="2"/>
      <c r="D143" s="2"/>
      <c r="E143" s="2"/>
      <c r="F143" s="13"/>
      <c r="G143" s="2"/>
      <c r="H143" s="2"/>
      <c r="I143" s="2"/>
      <c r="J143" s="2"/>
      <c r="K143" s="2"/>
      <c r="L143" s="2"/>
      <c r="M143" s="2"/>
      <c r="N143" s="2"/>
      <c r="O143" s="2"/>
      <c r="P143" s="2"/>
      <c r="Q143" s="2"/>
      <c r="R143" s="2"/>
      <c r="S143" s="2"/>
      <c r="W143" s="2"/>
    </row>
    <row r="144" spans="3:23" ht="15.5" x14ac:dyDescent="0.35">
      <c r="C144" s="2"/>
      <c r="D144" s="2"/>
      <c r="E144" s="2"/>
      <c r="F144" s="13"/>
      <c r="G144" s="13"/>
      <c r="H144" s="5"/>
      <c r="I144" s="5"/>
      <c r="J144" s="5"/>
      <c r="K144" s="5"/>
      <c r="L144" s="5"/>
      <c r="M144" s="5"/>
      <c r="N144" s="5"/>
      <c r="O144" s="5"/>
      <c r="P144" s="14"/>
      <c r="Q144" s="2"/>
      <c r="R144" s="2"/>
      <c r="S144" s="2"/>
      <c r="W144" s="2"/>
    </row>
    <row r="145" spans="1:23" x14ac:dyDescent="0.35">
      <c r="C145" s="2"/>
      <c r="D145" s="2"/>
      <c r="E145" s="3"/>
      <c r="F145" s="13"/>
      <c r="G145" s="49"/>
      <c r="H145" s="13"/>
      <c r="I145" s="13"/>
      <c r="J145" s="13"/>
      <c r="K145" s="13"/>
      <c r="L145" s="13"/>
      <c r="M145" s="13"/>
      <c r="N145" s="13"/>
      <c r="O145" s="13"/>
      <c r="P145" s="13"/>
      <c r="Q145" s="2"/>
      <c r="R145" s="2"/>
      <c r="S145" s="2"/>
      <c r="T145" s="2"/>
      <c r="U145" s="2"/>
      <c r="W145" s="2"/>
    </row>
    <row r="146" spans="1:23" x14ac:dyDescent="0.35">
      <c r="C146" s="2"/>
      <c r="D146" s="2"/>
      <c r="E146" s="3"/>
      <c r="F146" s="13"/>
      <c r="G146" s="49"/>
      <c r="H146" s="2"/>
      <c r="I146" s="2"/>
      <c r="J146" s="2"/>
      <c r="K146" s="2"/>
      <c r="L146" s="2"/>
      <c r="M146" s="2"/>
      <c r="N146" s="2"/>
      <c r="O146" s="2"/>
      <c r="P146" s="2"/>
      <c r="Q146" s="2"/>
      <c r="R146" s="2"/>
      <c r="S146" s="2"/>
      <c r="T146" s="2"/>
      <c r="U146" s="2"/>
      <c r="W146" s="2"/>
    </row>
    <row r="147" spans="1:23" x14ac:dyDescent="0.35">
      <c r="C147" s="2"/>
      <c r="D147" s="2"/>
      <c r="E147" s="3"/>
      <c r="F147" s="13"/>
      <c r="G147" s="49"/>
      <c r="H147" s="2"/>
      <c r="I147" s="2"/>
      <c r="J147" s="2"/>
      <c r="K147" s="2"/>
      <c r="L147" s="2"/>
      <c r="M147" s="2"/>
      <c r="N147" s="2"/>
      <c r="O147" s="2"/>
      <c r="P147" s="2"/>
      <c r="Q147" s="2"/>
      <c r="R147" s="2"/>
      <c r="S147" s="2"/>
      <c r="T147" s="2"/>
      <c r="U147" s="2"/>
      <c r="W147" s="2"/>
    </row>
    <row r="148" spans="1:23" x14ac:dyDescent="0.35">
      <c r="A148" s="2"/>
      <c r="C148" s="2"/>
      <c r="D148" s="2"/>
      <c r="E148" s="3"/>
      <c r="F148" s="2"/>
      <c r="G148" s="2"/>
      <c r="H148" s="2"/>
      <c r="I148" s="2"/>
      <c r="J148" s="2"/>
      <c r="K148" s="2"/>
      <c r="L148" s="2"/>
      <c r="M148" s="2"/>
      <c r="N148" s="2"/>
      <c r="O148" s="2"/>
      <c r="P148" s="2"/>
      <c r="Q148" s="2"/>
      <c r="R148" s="2"/>
      <c r="S148" s="2"/>
      <c r="T148" s="2"/>
      <c r="U148" s="2"/>
      <c r="V148" s="2"/>
      <c r="W148" s="2"/>
    </row>
    <row r="149" spans="1:23" x14ac:dyDescent="0.35">
      <c r="A149" s="2"/>
      <c r="C149" s="2"/>
      <c r="D149" s="2"/>
      <c r="E149" s="3"/>
      <c r="F149" s="2"/>
      <c r="G149" s="2"/>
      <c r="H149" s="2"/>
      <c r="I149" s="2"/>
      <c r="J149" s="2"/>
      <c r="K149" s="2"/>
      <c r="L149" s="2"/>
      <c r="M149" s="2"/>
      <c r="N149" s="2"/>
      <c r="O149" s="2"/>
      <c r="P149" s="2"/>
      <c r="Q149" s="2"/>
      <c r="R149" s="2"/>
      <c r="S149" s="2"/>
      <c r="T149" s="2"/>
      <c r="U149" s="2"/>
      <c r="V149" s="2"/>
      <c r="W149" s="2"/>
    </row>
    <row r="150" spans="1:23" ht="15.5" x14ac:dyDescent="0.35">
      <c r="A150" s="2"/>
      <c r="C150" s="2"/>
      <c r="D150" s="2"/>
      <c r="E150" s="3"/>
      <c r="F150" s="2"/>
      <c r="G150" s="13"/>
      <c r="H150" s="5"/>
      <c r="I150" s="5"/>
      <c r="J150" s="5"/>
      <c r="K150" s="5"/>
      <c r="L150" s="5"/>
      <c r="M150" s="5"/>
      <c r="N150" s="5"/>
      <c r="O150" s="5"/>
      <c r="P150" s="14"/>
      <c r="Q150" s="2"/>
      <c r="R150" s="2"/>
      <c r="S150" s="2"/>
      <c r="T150" s="2"/>
      <c r="U150" s="2"/>
      <c r="V150" s="2"/>
      <c r="W150" s="2"/>
    </row>
    <row r="151" spans="1:23" x14ac:dyDescent="0.35">
      <c r="A151" s="2"/>
      <c r="C151" s="2"/>
      <c r="D151" s="2"/>
      <c r="E151" s="3"/>
      <c r="F151" s="2"/>
      <c r="G151" s="49"/>
      <c r="H151" s="13"/>
      <c r="I151" s="13"/>
      <c r="J151" s="13"/>
      <c r="K151" s="13"/>
      <c r="L151" s="13"/>
      <c r="M151" s="13"/>
      <c r="N151" s="13"/>
      <c r="O151" s="13"/>
      <c r="P151" s="13"/>
      <c r="Q151" s="2"/>
      <c r="R151" s="2"/>
      <c r="S151" s="2"/>
      <c r="T151" s="2"/>
      <c r="U151" s="2"/>
      <c r="V151" s="2"/>
      <c r="W151" s="2"/>
    </row>
    <row r="152" spans="1:23" x14ac:dyDescent="0.35">
      <c r="A152" s="2"/>
      <c r="B152" s="2"/>
      <c r="C152" s="2"/>
      <c r="D152" s="2"/>
      <c r="E152" s="2"/>
      <c r="F152" s="2"/>
      <c r="G152" s="49"/>
      <c r="H152" s="2"/>
      <c r="I152" s="2"/>
      <c r="J152" s="2"/>
      <c r="K152" s="2"/>
      <c r="L152" s="2"/>
      <c r="M152" s="2"/>
      <c r="N152" s="2"/>
      <c r="O152" s="2"/>
      <c r="P152" s="2"/>
      <c r="Q152" s="2"/>
      <c r="R152" s="2"/>
      <c r="S152" s="2"/>
      <c r="T152" s="2"/>
      <c r="U152" s="2"/>
      <c r="V152" s="2"/>
      <c r="W152" s="2"/>
    </row>
    <row r="153" spans="1:23" x14ac:dyDescent="0.35">
      <c r="A153" s="2"/>
      <c r="B153" s="2"/>
      <c r="C153" s="2"/>
      <c r="D153" s="2"/>
      <c r="E153" s="2"/>
      <c r="F153" s="2"/>
      <c r="G153" s="49"/>
      <c r="H153" s="2"/>
      <c r="I153" s="2"/>
      <c r="J153" s="2"/>
      <c r="K153" s="2"/>
      <c r="L153" s="2"/>
      <c r="M153" s="2"/>
      <c r="N153" s="2"/>
      <c r="O153" s="2"/>
      <c r="P153" s="2"/>
      <c r="Q153" s="2"/>
      <c r="R153" s="2"/>
      <c r="S153" s="2"/>
      <c r="T153" s="2"/>
      <c r="U153" s="2"/>
      <c r="V153" s="2"/>
      <c r="W153" s="2"/>
    </row>
    <row r="154" spans="1:23" ht="15.5" x14ac:dyDescent="0.35">
      <c r="A154" s="2"/>
      <c r="B154" s="2"/>
      <c r="C154" s="2"/>
      <c r="D154" s="2"/>
      <c r="E154" s="2"/>
      <c r="F154" s="2"/>
      <c r="G154" s="2"/>
      <c r="H154" s="2"/>
      <c r="I154" s="2"/>
      <c r="J154" s="2"/>
      <c r="K154" s="2"/>
      <c r="L154" s="2"/>
      <c r="M154" s="2"/>
      <c r="N154" s="2"/>
      <c r="O154" s="2"/>
      <c r="P154" s="2"/>
      <c r="Q154" s="2"/>
      <c r="R154" s="14"/>
      <c r="S154" s="2"/>
      <c r="T154" s="2"/>
      <c r="U154" s="2"/>
      <c r="V154" s="2"/>
      <c r="W154" s="2"/>
    </row>
    <row r="155" spans="1:23" x14ac:dyDescent="0.35">
      <c r="A155" s="2"/>
      <c r="B155" s="2"/>
      <c r="C155" s="2"/>
      <c r="D155" s="2"/>
      <c r="E155" s="2"/>
      <c r="F155" s="2"/>
      <c r="G155" s="2"/>
      <c r="H155" s="2"/>
      <c r="I155" s="2"/>
      <c r="J155" s="2"/>
      <c r="K155" s="2"/>
      <c r="L155" s="2"/>
      <c r="M155" s="2"/>
      <c r="N155" s="2"/>
      <c r="O155" s="2"/>
      <c r="P155" s="2"/>
      <c r="Q155" s="2"/>
      <c r="R155" s="2"/>
      <c r="S155" s="2"/>
      <c r="T155" s="2"/>
      <c r="U155" s="2"/>
      <c r="V155" s="2"/>
      <c r="W155" s="2"/>
    </row>
    <row r="156" spans="1:23" x14ac:dyDescent="0.35">
      <c r="A156" s="2"/>
      <c r="B156" s="2"/>
      <c r="C156" s="2"/>
      <c r="D156" s="2"/>
      <c r="E156" s="2"/>
      <c r="F156" s="2"/>
      <c r="G156" s="2"/>
      <c r="H156" s="2"/>
      <c r="I156" s="2"/>
      <c r="J156" s="2"/>
      <c r="K156" s="2"/>
      <c r="L156" s="2"/>
      <c r="M156" s="2"/>
      <c r="N156" s="2"/>
      <c r="O156" s="2"/>
      <c r="P156" s="2"/>
      <c r="Q156" s="2"/>
      <c r="R156" s="2"/>
      <c r="S156" s="2"/>
      <c r="T156" s="2"/>
      <c r="U156" s="2"/>
      <c r="V156" s="2"/>
      <c r="W156" s="2"/>
    </row>
    <row r="157" spans="1:23" x14ac:dyDescent="0.35">
      <c r="A157" s="2"/>
      <c r="B157" s="2"/>
      <c r="C157" s="2"/>
      <c r="D157" s="2"/>
      <c r="E157" s="2"/>
      <c r="F157" s="2"/>
      <c r="G157" s="2"/>
      <c r="H157" s="2"/>
      <c r="I157" s="2"/>
      <c r="J157" s="2"/>
      <c r="K157" s="2"/>
      <c r="L157" s="2"/>
      <c r="M157" s="2"/>
      <c r="N157" s="2"/>
      <c r="O157" s="2"/>
      <c r="P157" s="2"/>
      <c r="Q157" s="2"/>
      <c r="R157" s="2"/>
      <c r="S157" s="2"/>
      <c r="T157" s="2"/>
      <c r="U157" s="2"/>
      <c r="V157" s="2"/>
      <c r="W157" s="2"/>
    </row>
    <row r="158" spans="1:23" ht="18.5" x14ac:dyDescent="0.45">
      <c r="A158" s="2"/>
      <c r="B158" s="2"/>
      <c r="C158" s="2"/>
      <c r="D158" s="2"/>
      <c r="E158" s="2"/>
      <c r="F158" s="1"/>
      <c r="G158" s="3"/>
      <c r="H158" s="3"/>
      <c r="I158" s="3"/>
      <c r="J158" s="3"/>
      <c r="K158" s="3"/>
      <c r="L158" s="3"/>
      <c r="M158" s="3"/>
      <c r="N158" s="3"/>
      <c r="O158" s="3"/>
      <c r="P158" s="2"/>
      <c r="Q158" s="2"/>
      <c r="R158" s="2"/>
      <c r="S158" s="2"/>
      <c r="T158" s="2"/>
      <c r="U158" s="2"/>
      <c r="V158" s="2"/>
      <c r="W158" s="2"/>
    </row>
    <row r="159" spans="1:23" ht="18.5" x14ac:dyDescent="0.45">
      <c r="A159" s="2"/>
      <c r="B159" s="2"/>
      <c r="C159" s="2"/>
      <c r="D159" s="2"/>
      <c r="E159" s="2"/>
      <c r="F159" s="1"/>
      <c r="G159" s="3"/>
      <c r="H159" s="3"/>
      <c r="I159" s="3"/>
      <c r="J159" s="3"/>
      <c r="K159" s="3"/>
      <c r="L159" s="3"/>
      <c r="M159" s="3"/>
      <c r="N159" s="3"/>
      <c r="O159" s="3"/>
      <c r="P159" s="2"/>
      <c r="Q159" s="2"/>
      <c r="R159" s="2"/>
      <c r="S159" s="2"/>
      <c r="T159" s="2"/>
      <c r="U159" s="2"/>
      <c r="V159" s="2"/>
      <c r="W159" s="2"/>
    </row>
    <row r="160" spans="1:23" ht="15.5" x14ac:dyDescent="0.35">
      <c r="A160" s="2"/>
      <c r="B160" s="2"/>
      <c r="C160" s="2"/>
      <c r="D160" s="199"/>
      <c r="E160" s="2"/>
      <c r="F160" s="5"/>
      <c r="G160" s="5"/>
      <c r="H160" s="5"/>
      <c r="I160" s="5"/>
      <c r="J160" s="5"/>
      <c r="K160" s="5"/>
      <c r="L160" s="5"/>
      <c r="M160" s="5"/>
      <c r="N160" s="5"/>
      <c r="O160" s="5"/>
      <c r="P160" s="14"/>
      <c r="Q160" s="2"/>
      <c r="R160" s="2"/>
      <c r="S160" s="2"/>
      <c r="T160" s="2"/>
      <c r="U160" s="2"/>
      <c r="V160" s="2"/>
      <c r="W160" s="2"/>
    </row>
    <row r="161" spans="1:44" x14ac:dyDescent="0.35">
      <c r="A161" s="2"/>
      <c r="B161" s="2"/>
      <c r="C161" s="2"/>
      <c r="D161" s="294"/>
      <c r="E161" s="2"/>
      <c r="F161" s="2"/>
      <c r="G161" s="2"/>
      <c r="H161" s="2"/>
      <c r="I161" s="2"/>
      <c r="J161" s="2"/>
      <c r="K161" s="2"/>
      <c r="L161" s="2"/>
      <c r="M161" s="2"/>
      <c r="N161" s="2"/>
      <c r="O161" s="2"/>
      <c r="P161" s="2"/>
      <c r="Q161" s="2"/>
      <c r="R161" s="2"/>
      <c r="S161" s="2"/>
      <c r="T161" s="2"/>
      <c r="U161" s="2"/>
      <c r="V161" s="2"/>
      <c r="W161" s="2"/>
    </row>
    <row r="162" spans="1:44" x14ac:dyDescent="0.35">
      <c r="A162" s="2"/>
      <c r="B162" s="2"/>
      <c r="C162" s="2"/>
      <c r="D162" s="294"/>
      <c r="E162" s="2"/>
      <c r="F162" s="13"/>
      <c r="G162" s="2"/>
      <c r="H162" s="2"/>
      <c r="I162" s="2"/>
      <c r="J162" s="2"/>
      <c r="K162" s="2"/>
      <c r="L162" s="2"/>
      <c r="M162" s="2"/>
      <c r="N162" s="2"/>
      <c r="O162" s="2"/>
      <c r="P162" s="2"/>
      <c r="Q162" s="2"/>
      <c r="R162" s="2"/>
      <c r="S162" s="2"/>
      <c r="T162" s="2"/>
      <c r="U162" s="2"/>
      <c r="V162" s="2"/>
      <c r="W162" s="2"/>
    </row>
    <row r="163" spans="1:44" x14ac:dyDescent="0.35">
      <c r="A163" s="2"/>
      <c r="B163" s="2"/>
      <c r="C163" s="2"/>
      <c r="D163" s="294"/>
      <c r="E163" s="2"/>
      <c r="F163" s="13"/>
      <c r="G163" s="2"/>
      <c r="H163" s="2"/>
      <c r="I163" s="2"/>
      <c r="J163" s="2"/>
      <c r="K163" s="2"/>
      <c r="L163" s="2"/>
      <c r="M163" s="2"/>
      <c r="N163" s="2"/>
      <c r="O163" s="2"/>
      <c r="P163" s="2"/>
      <c r="Q163" s="2"/>
      <c r="R163" s="2"/>
      <c r="S163" s="2"/>
      <c r="T163" s="2"/>
      <c r="U163" s="2"/>
      <c r="V163" s="2"/>
      <c r="W163" s="2"/>
    </row>
    <row r="164" spans="1:44" x14ac:dyDescent="0.35">
      <c r="A164" s="2"/>
      <c r="B164" s="2"/>
      <c r="C164" s="2"/>
      <c r="D164" s="294"/>
      <c r="E164" s="2"/>
      <c r="F164" s="13"/>
      <c r="G164" s="2"/>
      <c r="H164" s="2"/>
      <c r="I164" s="2"/>
      <c r="J164" s="2"/>
      <c r="K164" s="2"/>
      <c r="L164" s="2"/>
      <c r="M164" s="2"/>
      <c r="N164" s="2"/>
      <c r="O164" s="2"/>
      <c r="P164" s="2"/>
      <c r="Q164" s="2"/>
      <c r="R164" s="2"/>
      <c r="S164" s="2"/>
      <c r="T164" s="2"/>
      <c r="U164" s="2"/>
      <c r="V164" s="2"/>
      <c r="W164" s="2"/>
    </row>
    <row r="165" spans="1:44" x14ac:dyDescent="0.35">
      <c r="A165" s="2"/>
      <c r="B165" s="2"/>
      <c r="C165" s="2"/>
      <c r="D165" s="294"/>
      <c r="E165" s="2"/>
      <c r="F165" s="13"/>
      <c r="G165" s="2"/>
      <c r="H165" s="2"/>
      <c r="I165" s="2"/>
      <c r="J165" s="2"/>
      <c r="K165" s="2"/>
      <c r="L165" s="2"/>
      <c r="M165" s="2"/>
      <c r="N165" s="2"/>
      <c r="O165" s="2"/>
      <c r="P165" s="2"/>
      <c r="Q165" s="2"/>
      <c r="R165" s="2"/>
      <c r="S165" s="2"/>
      <c r="T165" s="2"/>
      <c r="U165" s="2"/>
      <c r="V165" s="2"/>
      <c r="W165" s="2"/>
    </row>
    <row r="166" spans="1:44" x14ac:dyDescent="0.35">
      <c r="A166" s="2"/>
      <c r="B166" s="2"/>
      <c r="C166" s="2"/>
      <c r="D166" s="294"/>
      <c r="E166" s="2"/>
      <c r="F166" s="13"/>
      <c r="G166" s="2"/>
      <c r="H166" s="2"/>
      <c r="I166" s="2"/>
      <c r="J166" s="2"/>
      <c r="K166" s="2"/>
      <c r="L166" s="2"/>
      <c r="M166" s="2"/>
      <c r="N166" s="2"/>
      <c r="O166" s="2"/>
      <c r="P166" s="2"/>
      <c r="Q166" s="2"/>
      <c r="R166" s="2"/>
      <c r="S166" s="2"/>
      <c r="T166" s="2"/>
      <c r="U166" s="2"/>
      <c r="V166" s="2"/>
      <c r="W166" s="2"/>
    </row>
    <row r="167" spans="1:44" x14ac:dyDescent="0.35">
      <c r="A167" s="2"/>
      <c r="B167" s="2"/>
      <c r="C167" s="2"/>
      <c r="D167" s="294"/>
      <c r="E167" s="2"/>
      <c r="F167" s="13"/>
      <c r="G167" s="2"/>
      <c r="H167" s="2"/>
      <c r="I167" s="2"/>
      <c r="J167" s="2"/>
      <c r="K167" s="2"/>
      <c r="L167" s="2"/>
      <c r="M167" s="2"/>
      <c r="N167" s="2"/>
      <c r="O167" s="2"/>
      <c r="P167" s="2"/>
      <c r="Q167" s="2"/>
      <c r="R167" s="2"/>
      <c r="S167" s="2"/>
      <c r="T167" s="2"/>
      <c r="U167" s="2"/>
      <c r="V167" s="2"/>
      <c r="W167" s="2"/>
    </row>
    <row r="168" spans="1:44" x14ac:dyDescent="0.35">
      <c r="A168" s="2"/>
      <c r="B168" s="2"/>
      <c r="C168" s="2"/>
      <c r="D168" s="294"/>
      <c r="E168" s="2"/>
      <c r="F168" s="13"/>
      <c r="G168" s="2"/>
      <c r="H168" s="2"/>
      <c r="I168" s="2"/>
      <c r="J168" s="2"/>
      <c r="K168" s="2"/>
      <c r="L168" s="2"/>
      <c r="M168" s="2"/>
      <c r="N168" s="2"/>
      <c r="O168" s="2"/>
      <c r="P168" s="2"/>
      <c r="Q168" s="2"/>
      <c r="R168" s="2"/>
      <c r="S168" s="2"/>
      <c r="T168" s="2"/>
      <c r="U168" s="2"/>
      <c r="V168" s="2"/>
      <c r="W168" s="2"/>
    </row>
    <row r="169" spans="1:44" x14ac:dyDescent="0.35">
      <c r="A169" s="2"/>
      <c r="B169" s="2"/>
      <c r="C169" s="2"/>
      <c r="D169" s="294"/>
      <c r="E169" s="2"/>
      <c r="F169" s="13"/>
      <c r="G169" s="2"/>
      <c r="H169" s="2"/>
      <c r="I169" s="2"/>
      <c r="J169" s="2"/>
      <c r="K169" s="2"/>
      <c r="L169" s="2"/>
      <c r="M169" s="2"/>
      <c r="N169" s="2"/>
      <c r="O169" s="2"/>
      <c r="P169" s="2"/>
      <c r="Q169" s="2"/>
      <c r="R169" s="2"/>
      <c r="S169" s="2"/>
      <c r="T169" s="2"/>
      <c r="U169" s="2"/>
      <c r="V169" s="2"/>
      <c r="W169" s="2"/>
    </row>
    <row r="170" spans="1:44" x14ac:dyDescent="0.35">
      <c r="A170" s="2"/>
      <c r="B170" s="2"/>
      <c r="C170" s="2"/>
      <c r="D170" s="294"/>
      <c r="E170" s="2"/>
      <c r="F170" s="13"/>
      <c r="G170" s="2"/>
      <c r="H170" s="2"/>
      <c r="I170" s="2"/>
      <c r="J170" s="2"/>
      <c r="K170" s="2"/>
      <c r="L170" s="2"/>
      <c r="M170" s="2"/>
      <c r="N170" s="2"/>
      <c r="O170" s="2"/>
      <c r="P170" s="2"/>
      <c r="Q170" s="2"/>
      <c r="R170" s="2"/>
      <c r="S170" s="2"/>
      <c r="T170" s="2"/>
      <c r="U170" s="2"/>
      <c r="V170" s="2"/>
      <c r="W170" s="2"/>
    </row>
    <row r="171" spans="1:44" s="2" customFormat="1" x14ac:dyDescent="0.35">
      <c r="D171" s="294"/>
      <c r="F171" s="13"/>
      <c r="X171"/>
      <c r="Y171"/>
      <c r="Z171"/>
      <c r="AA171"/>
      <c r="AB171"/>
      <c r="AC171"/>
      <c r="AD171"/>
      <c r="AE171"/>
      <c r="AF171"/>
      <c r="AG171"/>
      <c r="AH171"/>
      <c r="AI171"/>
      <c r="AJ171"/>
      <c r="AK171"/>
      <c r="AL171"/>
      <c r="AM171"/>
      <c r="AN171"/>
      <c r="AO171"/>
      <c r="AP171"/>
      <c r="AQ171"/>
      <c r="AR171"/>
    </row>
    <row r="172" spans="1:44" s="2" customFormat="1" x14ac:dyDescent="0.35">
      <c r="D172" s="294"/>
      <c r="F172" s="13"/>
      <c r="X172"/>
      <c r="Y172"/>
      <c r="Z172"/>
      <c r="AA172"/>
      <c r="AB172"/>
      <c r="AC172"/>
      <c r="AD172"/>
      <c r="AE172"/>
      <c r="AF172"/>
      <c r="AG172"/>
      <c r="AH172"/>
      <c r="AI172"/>
      <c r="AJ172"/>
      <c r="AK172"/>
      <c r="AL172"/>
      <c r="AM172"/>
      <c r="AN172"/>
      <c r="AO172"/>
      <c r="AP172"/>
      <c r="AQ172"/>
      <c r="AR172"/>
    </row>
    <row r="173" spans="1:44" s="2" customFormat="1" x14ac:dyDescent="0.35">
      <c r="D173" s="294"/>
      <c r="F173" s="13"/>
      <c r="X173"/>
      <c r="Y173"/>
      <c r="Z173"/>
      <c r="AA173"/>
      <c r="AB173"/>
      <c r="AC173"/>
      <c r="AD173"/>
      <c r="AE173"/>
      <c r="AF173"/>
      <c r="AG173"/>
      <c r="AH173"/>
      <c r="AI173"/>
      <c r="AJ173"/>
      <c r="AK173"/>
      <c r="AL173"/>
      <c r="AM173"/>
      <c r="AN173"/>
      <c r="AO173"/>
      <c r="AP173"/>
      <c r="AQ173"/>
      <c r="AR173"/>
    </row>
    <row r="174" spans="1:44" s="2" customFormat="1" x14ac:dyDescent="0.35">
      <c r="D174" s="294"/>
      <c r="F174" s="13"/>
      <c r="X174"/>
      <c r="Y174"/>
      <c r="Z174"/>
      <c r="AA174"/>
      <c r="AB174"/>
      <c r="AC174"/>
      <c r="AD174"/>
      <c r="AE174"/>
      <c r="AF174"/>
      <c r="AG174"/>
      <c r="AH174"/>
      <c r="AI174"/>
      <c r="AJ174"/>
      <c r="AK174"/>
      <c r="AL174"/>
      <c r="AM174"/>
      <c r="AN174"/>
      <c r="AO174"/>
      <c r="AP174"/>
      <c r="AQ174"/>
      <c r="AR174"/>
    </row>
    <row r="175" spans="1:44" s="2" customFormat="1" x14ac:dyDescent="0.35">
      <c r="D175" s="294"/>
      <c r="F175" s="13"/>
      <c r="X175"/>
      <c r="Y175"/>
      <c r="Z175"/>
      <c r="AA175"/>
      <c r="AB175"/>
      <c r="AC175"/>
      <c r="AD175"/>
      <c r="AE175"/>
      <c r="AF175"/>
      <c r="AG175"/>
      <c r="AH175"/>
      <c r="AI175"/>
      <c r="AJ175"/>
      <c r="AK175"/>
      <c r="AL175"/>
      <c r="AM175"/>
      <c r="AN175"/>
      <c r="AO175"/>
      <c r="AP175"/>
      <c r="AQ175"/>
      <c r="AR175"/>
    </row>
    <row r="176" spans="1:44" s="2" customFormat="1" x14ac:dyDescent="0.35">
      <c r="D176" s="294"/>
      <c r="F176" s="13"/>
      <c r="G176" s="13"/>
      <c r="X176"/>
      <c r="Y176"/>
      <c r="Z176"/>
      <c r="AA176"/>
      <c r="AB176"/>
      <c r="AC176"/>
      <c r="AD176"/>
      <c r="AE176"/>
      <c r="AF176"/>
      <c r="AG176"/>
      <c r="AH176"/>
      <c r="AI176"/>
      <c r="AJ176"/>
      <c r="AK176"/>
      <c r="AL176"/>
      <c r="AM176"/>
      <c r="AN176"/>
      <c r="AO176"/>
      <c r="AP176"/>
      <c r="AQ176"/>
      <c r="AR176"/>
    </row>
    <row r="177" spans="4:44" s="2" customFormat="1" x14ac:dyDescent="0.35">
      <c r="D177" s="294"/>
      <c r="F177" s="13"/>
      <c r="G177" s="13"/>
      <c r="X177"/>
      <c r="Y177"/>
      <c r="Z177"/>
      <c r="AA177"/>
      <c r="AB177"/>
      <c r="AC177"/>
      <c r="AD177"/>
      <c r="AE177"/>
      <c r="AF177"/>
      <c r="AG177"/>
      <c r="AH177"/>
      <c r="AI177"/>
      <c r="AJ177"/>
      <c r="AK177"/>
      <c r="AL177"/>
      <c r="AM177"/>
      <c r="AN177"/>
      <c r="AO177"/>
      <c r="AP177"/>
      <c r="AQ177"/>
      <c r="AR177"/>
    </row>
    <row r="178" spans="4:44" s="2" customFormat="1" x14ac:dyDescent="0.35">
      <c r="F178" s="13"/>
      <c r="G178" s="13"/>
      <c r="X178"/>
      <c r="Y178"/>
      <c r="Z178"/>
      <c r="AA178"/>
      <c r="AB178"/>
      <c r="AC178"/>
      <c r="AD178"/>
      <c r="AE178"/>
      <c r="AF178"/>
      <c r="AG178"/>
      <c r="AH178"/>
      <c r="AI178"/>
      <c r="AJ178"/>
      <c r="AK178"/>
      <c r="AL178"/>
      <c r="AM178"/>
      <c r="AN178"/>
      <c r="AO178"/>
      <c r="AP178"/>
      <c r="AQ178"/>
      <c r="AR178"/>
    </row>
    <row r="179" spans="4:44" s="2" customFormat="1" x14ac:dyDescent="0.35">
      <c r="F179" s="13"/>
      <c r="X179"/>
      <c r="Y179"/>
      <c r="Z179"/>
      <c r="AA179"/>
      <c r="AB179"/>
      <c r="AC179"/>
      <c r="AD179"/>
      <c r="AE179"/>
      <c r="AF179"/>
      <c r="AG179"/>
      <c r="AH179"/>
      <c r="AI179"/>
      <c r="AJ179"/>
      <c r="AK179"/>
      <c r="AL179"/>
      <c r="AM179"/>
      <c r="AN179"/>
      <c r="AO179"/>
      <c r="AP179"/>
      <c r="AQ179"/>
      <c r="AR179"/>
    </row>
    <row r="180" spans="4:44" s="2" customFormat="1" ht="15.5" x14ac:dyDescent="0.35">
      <c r="F180" s="13"/>
      <c r="G180" s="13"/>
      <c r="H180" s="5"/>
      <c r="I180" s="5"/>
      <c r="J180" s="5"/>
      <c r="K180" s="5"/>
      <c r="L180" s="5"/>
      <c r="M180" s="5"/>
      <c r="N180" s="5"/>
      <c r="O180" s="5"/>
      <c r="P180" s="14"/>
      <c r="X180"/>
      <c r="Y180"/>
      <c r="Z180"/>
      <c r="AA180"/>
      <c r="AB180"/>
      <c r="AC180"/>
      <c r="AD180"/>
      <c r="AE180"/>
      <c r="AF180"/>
      <c r="AG180"/>
      <c r="AH180"/>
      <c r="AI180"/>
      <c r="AJ180"/>
      <c r="AK180"/>
      <c r="AL180"/>
      <c r="AM180"/>
      <c r="AN180"/>
      <c r="AO180"/>
      <c r="AP180"/>
      <c r="AQ180"/>
      <c r="AR180"/>
    </row>
    <row r="181" spans="4:44" s="2" customFormat="1" x14ac:dyDescent="0.35">
      <c r="E181" s="3"/>
      <c r="F181" s="13"/>
      <c r="G181" s="49"/>
      <c r="H181" s="13"/>
      <c r="I181" s="13"/>
      <c r="J181" s="13"/>
      <c r="K181" s="13"/>
      <c r="L181" s="13"/>
      <c r="M181" s="13"/>
      <c r="N181" s="13"/>
      <c r="O181" s="13"/>
      <c r="P181" s="13"/>
      <c r="X181"/>
      <c r="Y181"/>
      <c r="Z181"/>
      <c r="AA181"/>
      <c r="AB181"/>
      <c r="AC181"/>
      <c r="AD181"/>
      <c r="AE181"/>
      <c r="AF181"/>
      <c r="AG181"/>
      <c r="AH181"/>
      <c r="AI181"/>
      <c r="AJ181"/>
      <c r="AK181"/>
      <c r="AL181"/>
      <c r="AM181"/>
      <c r="AN181"/>
      <c r="AO181"/>
      <c r="AP181"/>
      <c r="AQ181"/>
      <c r="AR181"/>
    </row>
    <row r="182" spans="4:44" s="2" customFormat="1" x14ac:dyDescent="0.35">
      <c r="E182" s="3"/>
      <c r="F182" s="13"/>
      <c r="G182" s="49"/>
      <c r="X182"/>
      <c r="Y182"/>
      <c r="Z182"/>
      <c r="AA182"/>
      <c r="AB182"/>
      <c r="AC182"/>
      <c r="AD182"/>
      <c r="AE182"/>
      <c r="AF182"/>
      <c r="AG182"/>
      <c r="AH182"/>
      <c r="AI182"/>
      <c r="AJ182"/>
      <c r="AK182"/>
      <c r="AL182"/>
      <c r="AM182"/>
      <c r="AN182"/>
      <c r="AO182"/>
      <c r="AP182"/>
      <c r="AQ182"/>
      <c r="AR182"/>
    </row>
    <row r="183" spans="4:44" s="2" customFormat="1" x14ac:dyDescent="0.35">
      <c r="E183" s="3"/>
      <c r="F183" s="13"/>
      <c r="G183" s="49"/>
      <c r="X183"/>
      <c r="Y183"/>
      <c r="Z183"/>
      <c r="AA183"/>
      <c r="AB183"/>
      <c r="AC183"/>
      <c r="AD183"/>
      <c r="AE183"/>
      <c r="AF183"/>
      <c r="AG183"/>
      <c r="AH183"/>
      <c r="AI183"/>
      <c r="AJ183"/>
      <c r="AK183"/>
      <c r="AL183"/>
      <c r="AM183"/>
      <c r="AN183"/>
      <c r="AO183"/>
      <c r="AP183"/>
      <c r="AQ183"/>
      <c r="AR183"/>
    </row>
    <row r="184" spans="4:44" s="2" customFormat="1" x14ac:dyDescent="0.35">
      <c r="E184" s="3"/>
      <c r="X184"/>
      <c r="Y184"/>
      <c r="Z184"/>
      <c r="AA184"/>
      <c r="AB184"/>
      <c r="AC184"/>
      <c r="AD184"/>
      <c r="AE184"/>
      <c r="AF184"/>
      <c r="AG184"/>
      <c r="AH184"/>
      <c r="AI184"/>
      <c r="AJ184"/>
      <c r="AK184"/>
      <c r="AL184"/>
      <c r="AM184"/>
      <c r="AN184"/>
      <c r="AO184"/>
      <c r="AP184"/>
      <c r="AQ184"/>
      <c r="AR184"/>
    </row>
    <row r="185" spans="4:44" s="2" customFormat="1" x14ac:dyDescent="0.35">
      <c r="E185" s="3"/>
      <c r="X185"/>
      <c r="Y185"/>
      <c r="Z185"/>
      <c r="AA185"/>
      <c r="AB185"/>
      <c r="AC185"/>
      <c r="AD185"/>
      <c r="AE185"/>
      <c r="AF185"/>
      <c r="AG185"/>
      <c r="AH185"/>
      <c r="AI185"/>
      <c r="AJ185"/>
      <c r="AK185"/>
      <c r="AL185"/>
      <c r="AM185"/>
      <c r="AN185"/>
      <c r="AO185"/>
      <c r="AP185"/>
      <c r="AQ185"/>
      <c r="AR185"/>
    </row>
    <row r="186" spans="4:44" s="2" customFormat="1" ht="15.5" x14ac:dyDescent="0.35">
      <c r="E186" s="3"/>
      <c r="G186" s="13"/>
      <c r="H186" s="5"/>
      <c r="I186" s="5"/>
      <c r="J186" s="5"/>
      <c r="K186" s="5"/>
      <c r="L186" s="5"/>
      <c r="M186" s="5"/>
      <c r="N186" s="5"/>
      <c r="O186" s="5"/>
      <c r="P186" s="14"/>
      <c r="X186"/>
      <c r="Y186"/>
      <c r="Z186"/>
      <c r="AA186"/>
      <c r="AB186"/>
      <c r="AC186"/>
      <c r="AD186"/>
      <c r="AE186"/>
      <c r="AF186"/>
      <c r="AG186"/>
      <c r="AH186"/>
      <c r="AI186"/>
      <c r="AJ186"/>
      <c r="AK186"/>
      <c r="AL186"/>
      <c r="AM186"/>
      <c r="AN186"/>
      <c r="AO186"/>
      <c r="AP186"/>
      <c r="AQ186"/>
      <c r="AR186"/>
    </row>
    <row r="187" spans="4:44" s="2" customFormat="1" x14ac:dyDescent="0.35">
      <c r="E187" s="3"/>
      <c r="G187" s="49"/>
      <c r="H187" s="13"/>
      <c r="I187" s="13"/>
      <c r="J187" s="13"/>
      <c r="K187" s="13"/>
      <c r="L187" s="13"/>
      <c r="M187" s="13"/>
      <c r="N187" s="13"/>
      <c r="O187" s="13"/>
      <c r="P187" s="13"/>
      <c r="X187"/>
      <c r="Y187"/>
      <c r="Z187"/>
      <c r="AA187"/>
      <c r="AB187"/>
      <c r="AC187"/>
      <c r="AD187"/>
      <c r="AE187"/>
      <c r="AF187"/>
      <c r="AG187"/>
      <c r="AH187"/>
      <c r="AI187"/>
      <c r="AJ187"/>
      <c r="AK187"/>
      <c r="AL187"/>
      <c r="AM187"/>
      <c r="AN187"/>
      <c r="AO187"/>
      <c r="AP187"/>
      <c r="AQ187"/>
      <c r="AR187"/>
    </row>
    <row r="188" spans="4:44" s="2" customFormat="1" x14ac:dyDescent="0.35">
      <c r="G188" s="49"/>
      <c r="X188"/>
      <c r="Y188"/>
      <c r="Z188"/>
      <c r="AA188"/>
      <c r="AB188"/>
      <c r="AC188"/>
      <c r="AD188"/>
      <c r="AE188"/>
      <c r="AF188"/>
      <c r="AG188"/>
      <c r="AH188"/>
      <c r="AI188"/>
      <c r="AJ188"/>
      <c r="AK188"/>
      <c r="AL188"/>
      <c r="AM188"/>
      <c r="AN188"/>
      <c r="AO188"/>
      <c r="AP188"/>
      <c r="AQ188"/>
      <c r="AR188"/>
    </row>
    <row r="189" spans="4:44" s="2" customFormat="1" ht="15.5" x14ac:dyDescent="0.35">
      <c r="G189" s="49"/>
      <c r="R189" s="14"/>
      <c r="X189"/>
      <c r="Y189"/>
      <c r="Z189"/>
      <c r="AA189"/>
      <c r="AB189"/>
      <c r="AC189"/>
      <c r="AD189"/>
      <c r="AE189"/>
      <c r="AF189"/>
      <c r="AG189"/>
      <c r="AH189"/>
      <c r="AI189"/>
      <c r="AJ189"/>
      <c r="AK189"/>
      <c r="AL189"/>
      <c r="AM189"/>
      <c r="AN189"/>
      <c r="AO189"/>
      <c r="AP189"/>
      <c r="AQ189"/>
      <c r="AR189"/>
    </row>
    <row r="190" spans="4:44" s="2" customFormat="1" x14ac:dyDescent="0.35">
      <c r="X190"/>
      <c r="Y190"/>
      <c r="Z190"/>
      <c r="AA190"/>
      <c r="AB190"/>
      <c r="AC190"/>
      <c r="AD190"/>
      <c r="AE190"/>
      <c r="AF190"/>
      <c r="AG190"/>
      <c r="AH190"/>
      <c r="AI190"/>
      <c r="AJ190"/>
      <c r="AK190"/>
      <c r="AL190"/>
      <c r="AM190"/>
      <c r="AN190"/>
      <c r="AO190"/>
      <c r="AP190"/>
      <c r="AQ190"/>
      <c r="AR190"/>
    </row>
    <row r="191" spans="4:44" s="2" customFormat="1" x14ac:dyDescent="0.35">
      <c r="X191"/>
      <c r="Y191"/>
      <c r="Z191"/>
      <c r="AA191"/>
      <c r="AB191"/>
      <c r="AC191"/>
      <c r="AD191"/>
      <c r="AE191"/>
      <c r="AF191"/>
      <c r="AG191"/>
      <c r="AH191"/>
      <c r="AI191"/>
      <c r="AJ191"/>
      <c r="AK191"/>
      <c r="AL191"/>
      <c r="AM191"/>
      <c r="AN191"/>
      <c r="AO191"/>
      <c r="AP191"/>
      <c r="AQ191"/>
      <c r="AR191"/>
    </row>
    <row r="192" spans="4:44" s="2" customFormat="1" x14ac:dyDescent="0.35">
      <c r="X192"/>
      <c r="Y192"/>
      <c r="Z192"/>
      <c r="AA192"/>
      <c r="AB192"/>
      <c r="AC192"/>
      <c r="AD192"/>
      <c r="AE192"/>
      <c r="AF192"/>
      <c r="AG192"/>
      <c r="AH192"/>
      <c r="AI192"/>
      <c r="AJ192"/>
      <c r="AK192"/>
      <c r="AL192"/>
      <c r="AM192"/>
      <c r="AN192"/>
      <c r="AO192"/>
      <c r="AP192"/>
      <c r="AQ192"/>
      <c r="AR192"/>
    </row>
    <row r="193" spans="4:44" s="2" customFormat="1" x14ac:dyDescent="0.35">
      <c r="X193"/>
      <c r="Y193"/>
      <c r="Z193"/>
      <c r="AA193"/>
      <c r="AB193"/>
      <c r="AC193"/>
      <c r="AD193"/>
      <c r="AE193"/>
      <c r="AF193"/>
      <c r="AG193"/>
      <c r="AH193"/>
      <c r="AI193"/>
      <c r="AJ193"/>
      <c r="AK193"/>
      <c r="AL193"/>
      <c r="AM193"/>
      <c r="AN193"/>
      <c r="AO193"/>
      <c r="AP193"/>
      <c r="AQ193"/>
      <c r="AR193"/>
    </row>
    <row r="194" spans="4:44" s="2" customFormat="1" ht="18.5" x14ac:dyDescent="0.45">
      <c r="F194" s="1"/>
      <c r="G194" s="3"/>
      <c r="H194" s="3"/>
      <c r="I194" s="3"/>
      <c r="J194" s="3"/>
      <c r="K194" s="3"/>
      <c r="L194" s="3"/>
      <c r="M194" s="3"/>
      <c r="N194" s="3"/>
      <c r="O194" s="3"/>
      <c r="X194"/>
      <c r="Y194"/>
      <c r="Z194"/>
      <c r="AA194"/>
      <c r="AB194"/>
      <c r="AC194"/>
      <c r="AD194"/>
      <c r="AE194"/>
      <c r="AF194"/>
      <c r="AG194"/>
      <c r="AH194"/>
      <c r="AI194"/>
      <c r="AJ194"/>
      <c r="AK194"/>
      <c r="AL194"/>
      <c r="AM194"/>
      <c r="AN194"/>
      <c r="AO194"/>
      <c r="AP194"/>
      <c r="AQ194"/>
      <c r="AR194"/>
    </row>
    <row r="195" spans="4:44" s="2" customFormat="1" ht="15.5" x14ac:dyDescent="0.35">
      <c r="D195" s="199"/>
      <c r="F195" s="5"/>
      <c r="G195" s="5"/>
      <c r="H195" s="5"/>
      <c r="I195" s="5"/>
      <c r="J195" s="5"/>
      <c r="K195" s="5"/>
      <c r="L195" s="5"/>
      <c r="M195" s="5"/>
      <c r="N195" s="5"/>
      <c r="O195" s="5"/>
      <c r="P195" s="14"/>
      <c r="X195"/>
      <c r="Y195"/>
      <c r="Z195"/>
      <c r="AA195"/>
      <c r="AB195"/>
      <c r="AC195"/>
      <c r="AD195"/>
      <c r="AE195"/>
      <c r="AF195"/>
      <c r="AG195"/>
      <c r="AH195"/>
      <c r="AI195"/>
      <c r="AJ195"/>
      <c r="AK195"/>
      <c r="AL195"/>
      <c r="AM195"/>
      <c r="AN195"/>
      <c r="AO195"/>
      <c r="AP195"/>
      <c r="AQ195"/>
      <c r="AR195"/>
    </row>
    <row r="196" spans="4:44" s="2" customFormat="1" x14ac:dyDescent="0.35">
      <c r="D196" s="294"/>
      <c r="X196"/>
      <c r="Y196"/>
      <c r="Z196"/>
      <c r="AA196"/>
      <c r="AB196"/>
      <c r="AC196"/>
      <c r="AD196"/>
      <c r="AE196"/>
      <c r="AF196"/>
      <c r="AG196"/>
      <c r="AH196"/>
      <c r="AI196"/>
      <c r="AJ196"/>
      <c r="AK196"/>
      <c r="AL196"/>
      <c r="AM196"/>
      <c r="AN196"/>
      <c r="AO196"/>
      <c r="AP196"/>
      <c r="AQ196"/>
      <c r="AR196"/>
    </row>
    <row r="197" spans="4:44" s="2" customFormat="1" x14ac:dyDescent="0.35">
      <c r="D197" s="294"/>
      <c r="F197" s="13"/>
      <c r="X197"/>
      <c r="Y197"/>
      <c r="Z197"/>
      <c r="AA197"/>
      <c r="AB197"/>
      <c r="AC197"/>
      <c r="AD197"/>
      <c r="AE197"/>
      <c r="AF197"/>
      <c r="AG197"/>
      <c r="AH197"/>
      <c r="AI197"/>
      <c r="AJ197"/>
      <c r="AK197"/>
      <c r="AL197"/>
      <c r="AM197"/>
      <c r="AN197"/>
      <c r="AO197"/>
      <c r="AQ197"/>
      <c r="AR197"/>
    </row>
    <row r="198" spans="4:44" s="2" customFormat="1" x14ac:dyDescent="0.35">
      <c r="D198" s="294"/>
      <c r="F198" s="13"/>
      <c r="X198"/>
      <c r="Y198"/>
      <c r="Z198"/>
      <c r="AA198"/>
      <c r="AB198"/>
      <c r="AC198"/>
      <c r="AD198"/>
      <c r="AE198"/>
      <c r="AF198"/>
      <c r="AG198"/>
      <c r="AH198"/>
      <c r="AI198"/>
      <c r="AJ198"/>
      <c r="AK198"/>
      <c r="AL198"/>
      <c r="AM198"/>
      <c r="AN198"/>
      <c r="AO198"/>
      <c r="AR198"/>
    </row>
    <row r="199" spans="4:44" s="2" customFormat="1" x14ac:dyDescent="0.35">
      <c r="D199" s="294"/>
      <c r="F199" s="13"/>
      <c r="X199"/>
      <c r="Y199"/>
      <c r="Z199"/>
      <c r="AA199"/>
      <c r="AB199"/>
      <c r="AC199"/>
      <c r="AD199"/>
      <c r="AE199"/>
      <c r="AF199"/>
      <c r="AG199"/>
      <c r="AH199"/>
      <c r="AI199"/>
      <c r="AJ199"/>
      <c r="AK199"/>
      <c r="AL199"/>
      <c r="AM199"/>
      <c r="AN199"/>
      <c r="AR199"/>
    </row>
    <row r="200" spans="4:44" s="2" customFormat="1" x14ac:dyDescent="0.35">
      <c r="D200" s="294"/>
      <c r="F200" s="13"/>
      <c r="Y200"/>
      <c r="Z200"/>
      <c r="AA200"/>
      <c r="AB200"/>
      <c r="AC200"/>
      <c r="AD200"/>
      <c r="AE200"/>
      <c r="AF200"/>
      <c r="AG200"/>
      <c r="AH200"/>
      <c r="AI200"/>
      <c r="AJ200"/>
      <c r="AK200"/>
      <c r="AL200"/>
      <c r="AM200"/>
      <c r="AN200"/>
      <c r="AR200"/>
    </row>
    <row r="201" spans="4:44" s="2" customFormat="1" x14ac:dyDescent="0.35">
      <c r="D201" s="294"/>
      <c r="F201" s="13"/>
      <c r="Y201"/>
      <c r="Z201"/>
      <c r="AA201"/>
      <c r="AB201"/>
      <c r="AC201"/>
      <c r="AD201"/>
      <c r="AE201"/>
      <c r="AF201"/>
      <c r="AG201"/>
      <c r="AH201"/>
      <c r="AI201"/>
      <c r="AJ201"/>
      <c r="AK201"/>
      <c r="AL201"/>
      <c r="AM201"/>
      <c r="AN201"/>
      <c r="AR201"/>
    </row>
    <row r="202" spans="4:44" s="2" customFormat="1" x14ac:dyDescent="0.35">
      <c r="D202" s="294"/>
      <c r="F202" s="13"/>
      <c r="Z202"/>
      <c r="AA202"/>
      <c r="AB202"/>
      <c r="AC202"/>
      <c r="AD202"/>
      <c r="AE202"/>
      <c r="AF202"/>
      <c r="AG202"/>
      <c r="AH202"/>
      <c r="AI202"/>
      <c r="AJ202"/>
      <c r="AK202"/>
      <c r="AL202"/>
      <c r="AM202"/>
      <c r="AN202"/>
      <c r="AR202"/>
    </row>
    <row r="203" spans="4:44" s="2" customFormat="1" x14ac:dyDescent="0.35">
      <c r="D203" s="294"/>
      <c r="F203" s="13"/>
      <c r="Z203"/>
      <c r="AA203"/>
      <c r="AB203"/>
      <c r="AC203"/>
      <c r="AD203"/>
      <c r="AE203"/>
      <c r="AF203"/>
      <c r="AG203"/>
      <c r="AH203"/>
      <c r="AI203"/>
      <c r="AJ203"/>
      <c r="AK203"/>
      <c r="AL203"/>
      <c r="AM203"/>
      <c r="AN203"/>
      <c r="AR203"/>
    </row>
    <row r="204" spans="4:44" s="2" customFormat="1" x14ac:dyDescent="0.35">
      <c r="D204" s="294"/>
      <c r="F204" s="13"/>
      <c r="Z204"/>
      <c r="AA204"/>
      <c r="AB204"/>
      <c r="AC204"/>
      <c r="AD204"/>
      <c r="AE204"/>
      <c r="AF204"/>
      <c r="AG204"/>
      <c r="AH204"/>
      <c r="AI204"/>
      <c r="AJ204"/>
      <c r="AK204"/>
      <c r="AL204"/>
      <c r="AM204"/>
      <c r="AN204"/>
      <c r="AR204"/>
    </row>
    <row r="205" spans="4:44" s="2" customFormat="1" x14ac:dyDescent="0.35">
      <c r="F205" s="13"/>
      <c r="G205" s="13"/>
      <c r="Z205"/>
      <c r="AA205"/>
      <c r="AB205"/>
      <c r="AC205"/>
      <c r="AD205"/>
      <c r="AE205"/>
      <c r="AF205"/>
      <c r="AG205"/>
      <c r="AH205"/>
      <c r="AI205"/>
      <c r="AJ205"/>
      <c r="AK205"/>
      <c r="AL205"/>
      <c r="AM205"/>
      <c r="AN205"/>
      <c r="AR205"/>
    </row>
    <row r="206" spans="4:44" s="2" customFormat="1" x14ac:dyDescent="0.35">
      <c r="F206" s="13"/>
      <c r="Z206"/>
      <c r="AA206"/>
      <c r="AB206"/>
      <c r="AC206"/>
      <c r="AD206"/>
      <c r="AE206"/>
      <c r="AF206"/>
      <c r="AG206"/>
      <c r="AH206"/>
      <c r="AI206"/>
      <c r="AJ206"/>
      <c r="AK206"/>
      <c r="AL206"/>
      <c r="AM206"/>
      <c r="AN206"/>
      <c r="AR206"/>
    </row>
    <row r="207" spans="4:44" s="2" customFormat="1" ht="15.5" x14ac:dyDescent="0.35">
      <c r="F207" s="13"/>
      <c r="G207" s="13"/>
      <c r="H207" s="5"/>
      <c r="I207" s="5"/>
      <c r="J207" s="5"/>
      <c r="K207" s="5"/>
      <c r="L207" s="5"/>
      <c r="M207" s="5"/>
      <c r="N207" s="5"/>
      <c r="O207" s="5"/>
      <c r="P207" s="14"/>
      <c r="Z207"/>
      <c r="AA207"/>
      <c r="AB207"/>
      <c r="AC207"/>
      <c r="AD207"/>
      <c r="AE207"/>
      <c r="AF207"/>
      <c r="AG207"/>
      <c r="AH207"/>
      <c r="AI207"/>
      <c r="AJ207"/>
      <c r="AK207"/>
      <c r="AL207"/>
      <c r="AM207"/>
      <c r="AN207"/>
      <c r="AR207"/>
    </row>
    <row r="208" spans="4:44" s="2" customFormat="1" x14ac:dyDescent="0.35">
      <c r="E208" s="3"/>
      <c r="F208" s="13"/>
      <c r="G208" s="49"/>
      <c r="H208" s="13"/>
      <c r="I208" s="13"/>
      <c r="J208" s="13"/>
      <c r="K208" s="13"/>
      <c r="L208" s="13"/>
      <c r="M208" s="13"/>
      <c r="N208" s="13"/>
      <c r="O208" s="13"/>
      <c r="P208" s="13"/>
      <c r="Z208"/>
      <c r="AA208"/>
      <c r="AB208"/>
      <c r="AC208"/>
      <c r="AD208"/>
      <c r="AE208"/>
      <c r="AF208"/>
      <c r="AG208"/>
      <c r="AH208"/>
      <c r="AI208"/>
      <c r="AJ208"/>
      <c r="AK208"/>
      <c r="AL208"/>
      <c r="AM208"/>
      <c r="AN208"/>
      <c r="AR208"/>
    </row>
    <row r="209" spans="1:44" s="2" customFormat="1" x14ac:dyDescent="0.35">
      <c r="E209" s="3"/>
      <c r="F209" s="13"/>
      <c r="G209" s="49"/>
      <c r="Z209"/>
      <c r="AA209"/>
      <c r="AB209"/>
      <c r="AC209"/>
      <c r="AD209"/>
      <c r="AE209"/>
      <c r="AF209"/>
      <c r="AG209"/>
      <c r="AH209"/>
      <c r="AI209"/>
      <c r="AJ209"/>
      <c r="AK209"/>
      <c r="AL209"/>
      <c r="AM209"/>
      <c r="AN209"/>
      <c r="AR209"/>
    </row>
    <row r="210" spans="1:44" s="2" customFormat="1" x14ac:dyDescent="0.35">
      <c r="E210" s="3"/>
      <c r="F210" s="13"/>
      <c r="G210" s="49"/>
      <c r="Z210"/>
      <c r="AA210"/>
      <c r="AB210"/>
      <c r="AC210"/>
      <c r="AD210"/>
      <c r="AE210"/>
      <c r="AF210"/>
      <c r="AG210"/>
      <c r="AH210"/>
      <c r="AI210"/>
      <c r="AJ210"/>
      <c r="AK210"/>
      <c r="AL210"/>
      <c r="AM210"/>
      <c r="AN210"/>
      <c r="AR210"/>
    </row>
    <row r="211" spans="1:44" s="2" customFormat="1" x14ac:dyDescent="0.35">
      <c r="E211" s="3"/>
      <c r="Z211"/>
      <c r="AA211"/>
      <c r="AB211"/>
      <c r="AC211"/>
      <c r="AD211"/>
      <c r="AE211"/>
      <c r="AF211"/>
      <c r="AG211"/>
      <c r="AH211"/>
      <c r="AI211"/>
      <c r="AJ211"/>
      <c r="AK211"/>
      <c r="AL211"/>
      <c r="AM211"/>
      <c r="AN211"/>
      <c r="AR211"/>
    </row>
    <row r="212" spans="1:44" s="2" customFormat="1" x14ac:dyDescent="0.35">
      <c r="A212"/>
      <c r="E212" s="3"/>
      <c r="Z212"/>
      <c r="AA212"/>
      <c r="AB212"/>
      <c r="AC212"/>
      <c r="AD212"/>
      <c r="AE212"/>
      <c r="AF212"/>
      <c r="AG212"/>
      <c r="AH212"/>
      <c r="AI212"/>
      <c r="AJ212"/>
      <c r="AK212"/>
      <c r="AL212"/>
      <c r="AM212"/>
      <c r="AN212"/>
      <c r="AR212"/>
    </row>
    <row r="213" spans="1:44" s="2" customFormat="1" ht="15.5" x14ac:dyDescent="0.35">
      <c r="A213"/>
      <c r="E213" s="3"/>
      <c r="G213" s="13"/>
      <c r="H213" s="5"/>
      <c r="I213" s="5"/>
      <c r="J213" s="5"/>
      <c r="K213" s="5"/>
      <c r="L213" s="5"/>
      <c r="M213" s="5"/>
      <c r="N213" s="5"/>
      <c r="O213" s="5"/>
      <c r="P213" s="14"/>
      <c r="Z213"/>
      <c r="AA213"/>
      <c r="AB213"/>
      <c r="AC213"/>
      <c r="AD213"/>
      <c r="AE213"/>
      <c r="AF213"/>
      <c r="AG213"/>
      <c r="AH213"/>
      <c r="AI213"/>
      <c r="AJ213"/>
      <c r="AK213"/>
      <c r="AL213"/>
      <c r="AM213"/>
      <c r="AN213"/>
    </row>
    <row r="214" spans="1:44" s="2" customFormat="1" x14ac:dyDescent="0.35">
      <c r="A214"/>
      <c r="E214" s="3"/>
      <c r="G214" s="49"/>
      <c r="H214" s="13"/>
      <c r="I214" s="13"/>
      <c r="J214" s="13"/>
      <c r="K214" s="13"/>
      <c r="L214" s="13"/>
      <c r="M214" s="13"/>
      <c r="N214" s="13"/>
      <c r="O214" s="13"/>
      <c r="P214" s="13"/>
      <c r="Z214"/>
      <c r="AA214"/>
      <c r="AB214"/>
      <c r="AC214"/>
      <c r="AD214"/>
      <c r="AE214"/>
      <c r="AF214"/>
      <c r="AG214"/>
      <c r="AH214"/>
      <c r="AI214"/>
      <c r="AJ214"/>
      <c r="AK214"/>
      <c r="AL214"/>
      <c r="AM214"/>
      <c r="AN214"/>
    </row>
    <row r="215" spans="1:44" s="2" customFormat="1" x14ac:dyDescent="0.35">
      <c r="A215"/>
      <c r="G215" s="49"/>
      <c r="R215"/>
      <c r="S215"/>
      <c r="Z215"/>
      <c r="AA215"/>
      <c r="AB215"/>
      <c r="AC215"/>
      <c r="AD215"/>
      <c r="AE215"/>
      <c r="AF215"/>
      <c r="AG215"/>
      <c r="AH215"/>
      <c r="AI215"/>
      <c r="AJ215"/>
      <c r="AK215"/>
      <c r="AL215"/>
      <c r="AM215"/>
      <c r="AN215"/>
    </row>
    <row r="216" spans="1:44" s="2" customFormat="1" x14ac:dyDescent="0.35">
      <c r="A216"/>
      <c r="B216"/>
      <c r="G216" s="49"/>
      <c r="R216"/>
      <c r="S216"/>
      <c r="Z216"/>
      <c r="AA216"/>
      <c r="AB216"/>
      <c r="AC216"/>
      <c r="AD216"/>
      <c r="AE216"/>
      <c r="AF216"/>
      <c r="AG216"/>
      <c r="AH216"/>
      <c r="AI216"/>
      <c r="AJ216"/>
      <c r="AK216"/>
      <c r="AL216"/>
      <c r="AM216"/>
    </row>
    <row r="217" spans="1:44" s="2" customFormat="1" x14ac:dyDescent="0.35">
      <c r="A217"/>
      <c r="B217"/>
      <c r="R217"/>
      <c r="S217"/>
      <c r="Z217"/>
      <c r="AA217"/>
      <c r="AB217"/>
      <c r="AC217"/>
      <c r="AD217"/>
      <c r="AE217"/>
      <c r="AF217"/>
      <c r="AG217"/>
      <c r="AH217"/>
      <c r="AI217"/>
      <c r="AJ217"/>
      <c r="AK217"/>
      <c r="AL217"/>
      <c r="AM217"/>
    </row>
    <row r="218" spans="1:44" s="2" customFormat="1" x14ac:dyDescent="0.35">
      <c r="A218"/>
      <c r="B218"/>
      <c r="R218"/>
      <c r="S218"/>
      <c r="Z218"/>
      <c r="AA218"/>
      <c r="AB218"/>
      <c r="AC218"/>
      <c r="AD218"/>
      <c r="AE218"/>
      <c r="AF218"/>
      <c r="AG218"/>
      <c r="AH218"/>
      <c r="AI218"/>
      <c r="AJ218"/>
      <c r="AK218"/>
      <c r="AL218"/>
      <c r="AM218"/>
    </row>
    <row r="219" spans="1:44" s="2" customFormat="1" x14ac:dyDescent="0.35">
      <c r="A219"/>
      <c r="B219"/>
      <c r="R219"/>
      <c r="S219"/>
    </row>
    <row r="220" spans="1:44" s="2" customFormat="1" x14ac:dyDescent="0.35">
      <c r="A220"/>
      <c r="B220"/>
      <c r="D220"/>
      <c r="E220"/>
      <c r="F220"/>
      <c r="G220"/>
      <c r="H220"/>
      <c r="I220"/>
      <c r="J220"/>
      <c r="K220"/>
      <c r="L220"/>
      <c r="M220"/>
      <c r="N220"/>
      <c r="O220"/>
      <c r="P220"/>
      <c r="Q220"/>
      <c r="R220"/>
      <c r="S220"/>
    </row>
    <row r="221" spans="1:44" s="2" customFormat="1" x14ac:dyDescent="0.35">
      <c r="A221"/>
      <c r="B221"/>
      <c r="D221"/>
      <c r="E221"/>
      <c r="F221"/>
      <c r="G221"/>
      <c r="H221"/>
      <c r="I221"/>
      <c r="J221"/>
      <c r="K221"/>
      <c r="L221"/>
      <c r="M221"/>
      <c r="N221"/>
      <c r="O221"/>
      <c r="P221"/>
      <c r="Q221"/>
      <c r="R221"/>
      <c r="S221"/>
    </row>
    <row r="222" spans="1:44" s="2" customFormat="1" x14ac:dyDescent="0.35">
      <c r="A222"/>
      <c r="B222"/>
      <c r="D222"/>
      <c r="E222"/>
      <c r="F222"/>
      <c r="G222"/>
      <c r="H222"/>
      <c r="I222"/>
      <c r="J222"/>
      <c r="K222"/>
      <c r="L222"/>
      <c r="M222"/>
      <c r="N222"/>
      <c r="O222"/>
      <c r="P222"/>
      <c r="Q222"/>
      <c r="R222"/>
      <c r="S222"/>
    </row>
    <row r="223" spans="1:44" s="2" customFormat="1" x14ac:dyDescent="0.35">
      <c r="A223"/>
      <c r="B223"/>
      <c r="D223"/>
      <c r="E223"/>
      <c r="F223"/>
      <c r="G223"/>
      <c r="H223"/>
      <c r="I223"/>
      <c r="J223"/>
      <c r="K223"/>
      <c r="L223"/>
      <c r="M223"/>
      <c r="N223"/>
      <c r="O223"/>
      <c r="P223"/>
      <c r="Q223"/>
      <c r="R223"/>
      <c r="S223"/>
    </row>
    <row r="224" spans="1:44" s="2" customFormat="1" x14ac:dyDescent="0.35">
      <c r="A224"/>
      <c r="B224"/>
      <c r="D224"/>
      <c r="E224"/>
      <c r="F224"/>
      <c r="G224"/>
      <c r="H224"/>
      <c r="I224"/>
      <c r="J224"/>
      <c r="K224"/>
      <c r="L224"/>
      <c r="M224"/>
      <c r="N224"/>
      <c r="O224"/>
      <c r="P224"/>
      <c r="Q224"/>
      <c r="R224"/>
      <c r="S224"/>
    </row>
    <row r="225" spans="1:44" s="2" customFormat="1" x14ac:dyDescent="0.35">
      <c r="A225"/>
      <c r="B225"/>
      <c r="D225"/>
      <c r="E225"/>
      <c r="F225"/>
      <c r="G225"/>
      <c r="H225"/>
      <c r="I225"/>
      <c r="J225"/>
      <c r="K225"/>
      <c r="L225"/>
      <c r="M225"/>
      <c r="N225"/>
      <c r="O225"/>
      <c r="P225"/>
      <c r="Q225"/>
      <c r="R225"/>
      <c r="S225"/>
    </row>
    <row r="226" spans="1:44" s="2" customFormat="1" x14ac:dyDescent="0.35">
      <c r="A226"/>
      <c r="B226"/>
      <c r="D226"/>
      <c r="E226"/>
      <c r="F226"/>
      <c r="G226"/>
      <c r="H226"/>
      <c r="I226"/>
      <c r="J226"/>
      <c r="K226"/>
      <c r="L226"/>
      <c r="M226"/>
      <c r="N226"/>
      <c r="O226"/>
      <c r="P226"/>
      <c r="Q226"/>
      <c r="R226"/>
      <c r="S226"/>
    </row>
    <row r="227" spans="1:44" s="2" customFormat="1" x14ac:dyDescent="0.35">
      <c r="A227"/>
      <c r="B227"/>
      <c r="D227"/>
      <c r="E227"/>
      <c r="F227"/>
      <c r="G227"/>
      <c r="H227"/>
      <c r="I227"/>
      <c r="J227"/>
      <c r="K227"/>
      <c r="L227"/>
      <c r="M227"/>
      <c r="N227"/>
      <c r="O227"/>
      <c r="P227"/>
      <c r="Q227"/>
      <c r="R227"/>
      <c r="S227"/>
    </row>
    <row r="228" spans="1:44" s="2" customFormat="1" x14ac:dyDescent="0.35">
      <c r="A228"/>
      <c r="B228"/>
      <c r="C228"/>
      <c r="D228"/>
      <c r="E228"/>
      <c r="F228"/>
      <c r="G228"/>
      <c r="H228"/>
      <c r="I228"/>
      <c r="J228"/>
      <c r="K228"/>
      <c r="L228"/>
      <c r="M228"/>
      <c r="N228"/>
      <c r="O228"/>
      <c r="P228"/>
      <c r="Q228"/>
      <c r="R228"/>
      <c r="S228"/>
    </row>
    <row r="229" spans="1:44" x14ac:dyDescent="0.35">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row>
    <row r="230" spans="1:44" x14ac:dyDescent="0.35">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row>
    <row r="231" spans="1:44" x14ac:dyDescent="0.35">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row>
    <row r="232" spans="1:44" x14ac:dyDescent="0.35">
      <c r="T232" s="2"/>
      <c r="U232" s="2"/>
      <c r="V232" s="2"/>
      <c r="X232" s="2"/>
      <c r="Y232" s="2"/>
      <c r="Z232" s="2"/>
      <c r="AA232" s="2"/>
      <c r="AB232" s="2"/>
      <c r="AC232" s="2"/>
      <c r="AD232" s="2"/>
      <c r="AE232" s="2"/>
      <c r="AF232" s="2"/>
      <c r="AG232" s="2"/>
      <c r="AH232" s="2"/>
      <c r="AI232" s="2"/>
      <c r="AJ232" s="2"/>
      <c r="AK232" s="2"/>
      <c r="AL232" s="2"/>
      <c r="AM232" s="2"/>
      <c r="AN232" s="2"/>
      <c r="AO232" s="2"/>
      <c r="AP232" s="2"/>
      <c r="AQ232" s="2"/>
      <c r="AR232" s="2"/>
    </row>
    <row r="233" spans="1:44" x14ac:dyDescent="0.35">
      <c r="T233" s="2"/>
      <c r="U233" s="2"/>
      <c r="V233" s="2"/>
      <c r="X233" s="2"/>
      <c r="Y233" s="2"/>
      <c r="Z233" s="2"/>
      <c r="AA233" s="2"/>
      <c r="AB233" s="2"/>
      <c r="AC233" s="2"/>
      <c r="AD233" s="2"/>
      <c r="AE233" s="2"/>
      <c r="AF233" s="2"/>
      <c r="AG233" s="2"/>
      <c r="AH233" s="2"/>
      <c r="AI233" s="2"/>
      <c r="AJ233" s="2"/>
      <c r="AK233" s="2"/>
      <c r="AL233" s="2"/>
      <c r="AM233" s="2"/>
      <c r="AN233" s="2"/>
      <c r="AO233" s="2"/>
      <c r="AP233" s="2"/>
      <c r="AQ233" s="2"/>
      <c r="AR233" s="2"/>
    </row>
    <row r="234" spans="1:44" x14ac:dyDescent="0.35">
      <c r="T234" s="2"/>
      <c r="U234" s="2"/>
      <c r="V234" s="2"/>
      <c r="X234" s="2"/>
      <c r="Y234" s="2"/>
      <c r="Z234" s="2"/>
      <c r="AA234" s="2"/>
      <c r="AB234" s="2"/>
      <c r="AC234" s="2"/>
      <c r="AD234" s="2"/>
      <c r="AE234" s="2"/>
      <c r="AF234" s="2"/>
      <c r="AG234" s="2"/>
      <c r="AH234" s="2"/>
      <c r="AI234" s="2"/>
      <c r="AJ234" s="2"/>
      <c r="AK234" s="2"/>
      <c r="AL234" s="2"/>
      <c r="AM234" s="2"/>
      <c r="AN234" s="2"/>
      <c r="AO234" s="2"/>
      <c r="AP234" s="2"/>
      <c r="AQ234" s="2"/>
      <c r="AR234" s="2"/>
    </row>
    <row r="235" spans="1:44" x14ac:dyDescent="0.35">
      <c r="T235" s="2"/>
      <c r="U235" s="2"/>
      <c r="V235" s="2"/>
      <c r="X235" s="2"/>
      <c r="Y235" s="2"/>
      <c r="Z235" s="2"/>
      <c r="AA235" s="2"/>
      <c r="AB235" s="2"/>
      <c r="AC235" s="2"/>
      <c r="AD235" s="2"/>
      <c r="AE235" s="2"/>
      <c r="AF235" s="2"/>
      <c r="AG235" s="2"/>
      <c r="AH235" s="2"/>
      <c r="AI235" s="2"/>
      <c r="AJ235" s="2"/>
      <c r="AK235" s="2"/>
      <c r="AL235" s="2"/>
      <c r="AM235" s="2"/>
      <c r="AN235" s="2"/>
      <c r="AO235" s="2"/>
      <c r="AP235" s="2"/>
      <c r="AQ235" s="2"/>
      <c r="AR235" s="2"/>
    </row>
    <row r="236" spans="1:44" x14ac:dyDescent="0.35">
      <c r="V236" s="2"/>
      <c r="X236" s="2"/>
      <c r="Y236" s="2"/>
      <c r="Z236" s="2"/>
      <c r="AA236" s="2"/>
      <c r="AB236" s="2"/>
      <c r="AC236" s="2"/>
      <c r="AD236" s="2"/>
      <c r="AE236" s="2"/>
      <c r="AF236" s="2"/>
      <c r="AG236" s="2"/>
      <c r="AH236" s="2"/>
      <c r="AI236" s="2"/>
      <c r="AJ236" s="2"/>
      <c r="AK236" s="2"/>
      <c r="AL236" s="2"/>
      <c r="AM236" s="2"/>
      <c r="AN236" s="2"/>
      <c r="AO236" s="2"/>
      <c r="AP236" s="2"/>
      <c r="AQ236" s="2"/>
      <c r="AR236" s="2"/>
    </row>
    <row r="237" spans="1:44" x14ac:dyDescent="0.35">
      <c r="V237" s="2"/>
      <c r="X237" s="2"/>
      <c r="Y237" s="2"/>
      <c r="Z237" s="2"/>
      <c r="AA237" s="2"/>
      <c r="AB237" s="2"/>
      <c r="AC237" s="2"/>
      <c r="AD237" s="2"/>
      <c r="AE237" s="2"/>
      <c r="AF237" s="2"/>
      <c r="AG237" s="2"/>
      <c r="AH237" s="2"/>
      <c r="AI237" s="2"/>
      <c r="AJ237" s="2"/>
      <c r="AK237" s="2"/>
      <c r="AL237" s="2"/>
      <c r="AM237" s="2"/>
      <c r="AN237" s="2"/>
      <c r="AO237" s="2"/>
      <c r="AP237" s="2"/>
      <c r="AQ237" s="2"/>
      <c r="AR237" s="2"/>
    </row>
    <row r="238" spans="1:44" x14ac:dyDescent="0.35">
      <c r="V238" s="2"/>
      <c r="X238" s="2"/>
      <c r="Y238" s="2"/>
      <c r="Z238" s="2"/>
      <c r="AA238" s="2"/>
      <c r="AB238" s="2"/>
      <c r="AC238" s="2"/>
      <c r="AD238" s="2"/>
      <c r="AE238" s="2"/>
      <c r="AF238" s="2"/>
      <c r="AG238" s="2"/>
      <c r="AH238" s="2"/>
      <c r="AI238" s="2"/>
      <c r="AJ238" s="2"/>
      <c r="AK238" s="2"/>
      <c r="AL238" s="2"/>
      <c r="AM238" s="2"/>
      <c r="AN238" s="2"/>
      <c r="AO238" s="2"/>
      <c r="AP238" s="2"/>
      <c r="AQ238" s="2"/>
      <c r="AR238" s="2"/>
    </row>
    <row r="239" spans="1:44" x14ac:dyDescent="0.35">
      <c r="X239" s="2"/>
      <c r="Y239" s="2"/>
      <c r="Z239" s="2"/>
      <c r="AA239" s="2"/>
      <c r="AB239" s="2"/>
      <c r="AC239" s="2"/>
      <c r="AD239" s="2"/>
      <c r="AE239" s="2"/>
      <c r="AF239" s="2"/>
      <c r="AG239" s="2"/>
      <c r="AH239" s="2"/>
      <c r="AI239" s="2"/>
      <c r="AJ239" s="2"/>
      <c r="AK239" s="2"/>
      <c r="AL239" s="2"/>
      <c r="AM239" s="2"/>
      <c r="AN239" s="2"/>
      <c r="AO239" s="2"/>
      <c r="AP239" s="2"/>
      <c r="AQ239" s="2"/>
      <c r="AR239" s="2"/>
    </row>
    <row r="240" spans="1:44" x14ac:dyDescent="0.35">
      <c r="X240" s="2"/>
      <c r="Y240" s="2"/>
      <c r="Z240" s="2"/>
      <c r="AA240" s="2"/>
      <c r="AB240" s="2"/>
      <c r="AC240" s="2"/>
      <c r="AD240" s="2"/>
      <c r="AE240" s="2"/>
      <c r="AF240" s="2"/>
      <c r="AG240" s="2"/>
      <c r="AH240" s="2"/>
      <c r="AI240" s="2"/>
      <c r="AJ240" s="2"/>
      <c r="AK240" s="2"/>
      <c r="AL240" s="2"/>
      <c r="AM240" s="2"/>
      <c r="AN240" s="2"/>
      <c r="AO240" s="2"/>
      <c r="AP240" s="2"/>
      <c r="AQ240" s="2"/>
      <c r="AR240" s="2"/>
    </row>
    <row r="241" spans="24:44" x14ac:dyDescent="0.35">
      <c r="X241" s="2"/>
      <c r="Y241" s="2"/>
      <c r="Z241" s="2"/>
      <c r="AA241" s="2"/>
      <c r="AB241" s="2"/>
      <c r="AC241" s="2"/>
      <c r="AD241" s="2"/>
      <c r="AE241" s="2"/>
      <c r="AF241" s="2"/>
      <c r="AG241" s="2"/>
      <c r="AH241" s="2"/>
      <c r="AI241" s="2"/>
      <c r="AJ241" s="2"/>
      <c r="AK241" s="2"/>
      <c r="AL241" s="2"/>
      <c r="AM241" s="2"/>
      <c r="AN241" s="2"/>
      <c r="AO241" s="2"/>
      <c r="AP241" s="2"/>
      <c r="AQ241" s="2"/>
      <c r="AR241" s="2"/>
    </row>
    <row r="242" spans="24:44" x14ac:dyDescent="0.35">
      <c r="X242" s="2"/>
      <c r="Y242" s="2"/>
      <c r="Z242" s="2"/>
      <c r="AA242" s="2"/>
      <c r="AB242" s="2"/>
      <c r="AC242" s="2"/>
      <c r="AD242" s="2"/>
      <c r="AE242" s="2"/>
      <c r="AF242" s="2"/>
      <c r="AG242" s="2"/>
      <c r="AH242" s="2"/>
      <c r="AI242" s="2"/>
      <c r="AJ242" s="2"/>
      <c r="AK242" s="2"/>
      <c r="AL242" s="2"/>
      <c r="AM242" s="2"/>
      <c r="AN242" s="2"/>
      <c r="AO242" s="2"/>
      <c r="AP242" s="2"/>
      <c r="AQ242" s="2"/>
      <c r="AR242" s="2"/>
    </row>
    <row r="243" spans="24:44" x14ac:dyDescent="0.35">
      <c r="X243" s="2"/>
      <c r="Y243" s="2"/>
      <c r="Z243" s="2"/>
      <c r="AA243" s="2"/>
      <c r="AB243" s="2"/>
      <c r="AC243" s="2"/>
      <c r="AD243" s="2"/>
      <c r="AE243" s="2"/>
      <c r="AF243" s="2"/>
      <c r="AG243" s="2"/>
      <c r="AH243" s="2"/>
      <c r="AI243" s="2"/>
      <c r="AJ243" s="2"/>
      <c r="AK243" s="2"/>
      <c r="AL243" s="2"/>
      <c r="AM243" s="2"/>
      <c r="AN243" s="2"/>
      <c r="AO243" s="2"/>
      <c r="AP243" s="2"/>
      <c r="AQ243" s="2"/>
      <c r="AR243" s="2"/>
    </row>
    <row r="244" spans="24:44" x14ac:dyDescent="0.35">
      <c r="X244" s="2"/>
      <c r="Y244" s="2"/>
      <c r="Z244" s="2"/>
      <c r="AA244" s="2"/>
      <c r="AB244" s="2"/>
      <c r="AC244" s="2"/>
      <c r="AD244" s="2"/>
      <c r="AE244" s="2"/>
      <c r="AF244" s="2"/>
      <c r="AG244" s="2"/>
      <c r="AH244" s="2"/>
      <c r="AI244" s="2"/>
      <c r="AJ244" s="2"/>
      <c r="AK244" s="2"/>
      <c r="AL244" s="2"/>
      <c r="AM244" s="2"/>
      <c r="AN244" s="2"/>
      <c r="AO244" s="2"/>
      <c r="AP244" s="2"/>
      <c r="AQ244" s="2"/>
      <c r="AR244" s="2"/>
    </row>
    <row r="245" spans="24:44" x14ac:dyDescent="0.35">
      <c r="X245" s="2"/>
      <c r="Y245" s="2"/>
      <c r="Z245" s="2"/>
      <c r="AA245" s="2"/>
      <c r="AB245" s="2"/>
      <c r="AC245" s="2"/>
      <c r="AD245" s="2"/>
      <c r="AE245" s="2"/>
      <c r="AF245" s="2"/>
      <c r="AG245" s="2"/>
      <c r="AH245" s="2"/>
      <c r="AI245" s="2"/>
      <c r="AJ245" s="2"/>
      <c r="AK245" s="2"/>
      <c r="AL245" s="2"/>
      <c r="AM245" s="2"/>
      <c r="AN245" s="2"/>
      <c r="AO245" s="2"/>
      <c r="AP245" s="2"/>
      <c r="AQ245" s="2"/>
      <c r="AR245" s="2"/>
    </row>
    <row r="246" spans="24:44" x14ac:dyDescent="0.35">
      <c r="X246" s="2"/>
      <c r="Y246" s="2"/>
      <c r="Z246" s="2"/>
      <c r="AA246" s="2"/>
      <c r="AB246" s="2"/>
      <c r="AC246" s="2"/>
      <c r="AD246" s="2"/>
      <c r="AE246" s="2"/>
      <c r="AF246" s="2"/>
      <c r="AG246" s="2"/>
      <c r="AH246" s="2"/>
      <c r="AI246" s="2"/>
      <c r="AJ246" s="2"/>
      <c r="AK246" s="2"/>
      <c r="AL246" s="2"/>
      <c r="AM246" s="2"/>
      <c r="AN246" s="2"/>
      <c r="AO246" s="2"/>
      <c r="AP246" s="2"/>
      <c r="AQ246" s="2"/>
      <c r="AR246" s="2"/>
    </row>
    <row r="247" spans="24:44" x14ac:dyDescent="0.35">
      <c r="X247" s="2"/>
      <c r="Y247" s="2"/>
      <c r="Z247" s="2"/>
      <c r="AA247" s="2"/>
      <c r="AB247" s="2"/>
      <c r="AC247" s="2"/>
      <c r="AD247" s="2"/>
      <c r="AE247" s="2"/>
      <c r="AF247" s="2"/>
      <c r="AG247" s="2"/>
      <c r="AH247" s="2"/>
      <c r="AI247" s="2"/>
      <c r="AJ247" s="2"/>
      <c r="AK247" s="2"/>
      <c r="AL247" s="2"/>
      <c r="AM247" s="2"/>
      <c r="AN247" s="2"/>
      <c r="AO247" s="2"/>
      <c r="AP247" s="2"/>
      <c r="AQ247" s="2"/>
      <c r="AR247" s="2"/>
    </row>
    <row r="248" spans="24:44" x14ac:dyDescent="0.35">
      <c r="X248" s="2"/>
      <c r="Y248" s="2"/>
      <c r="Z248" s="2"/>
      <c r="AA248" s="2"/>
      <c r="AB248" s="2"/>
      <c r="AC248" s="2"/>
      <c r="AD248" s="2"/>
      <c r="AE248" s="2"/>
      <c r="AF248" s="2"/>
      <c r="AG248" s="2"/>
      <c r="AH248" s="2"/>
      <c r="AI248" s="2"/>
      <c r="AJ248" s="2"/>
      <c r="AK248" s="2"/>
      <c r="AL248" s="2"/>
      <c r="AM248" s="2"/>
      <c r="AN248" s="2"/>
      <c r="AO248" s="2"/>
      <c r="AP248" s="2"/>
      <c r="AQ248" s="2"/>
      <c r="AR248" s="2"/>
    </row>
    <row r="249" spans="24:44" x14ac:dyDescent="0.35">
      <c r="X249" s="2"/>
      <c r="Y249" s="2"/>
      <c r="Z249" s="2"/>
      <c r="AA249" s="2"/>
      <c r="AB249" s="2"/>
      <c r="AC249" s="2"/>
      <c r="AD249" s="2"/>
      <c r="AE249" s="2"/>
      <c r="AF249" s="2"/>
      <c r="AG249" s="2"/>
      <c r="AH249" s="2"/>
      <c r="AI249" s="2"/>
      <c r="AJ249" s="2"/>
      <c r="AK249" s="2"/>
      <c r="AL249" s="2"/>
      <c r="AM249" s="2"/>
      <c r="AN249" s="2"/>
      <c r="AO249" s="2"/>
      <c r="AP249" s="2"/>
      <c r="AQ249" s="2"/>
      <c r="AR249" s="2"/>
    </row>
    <row r="250" spans="24:44" x14ac:dyDescent="0.35">
      <c r="X250" s="2"/>
      <c r="Y250" s="2"/>
      <c r="Z250" s="2"/>
      <c r="AA250" s="2"/>
      <c r="AB250" s="2"/>
      <c r="AC250" s="2"/>
      <c r="AD250" s="2"/>
      <c r="AE250" s="2"/>
      <c r="AF250" s="2"/>
      <c r="AG250" s="2"/>
      <c r="AH250" s="2"/>
      <c r="AI250" s="2"/>
      <c r="AJ250" s="2"/>
      <c r="AK250" s="2"/>
      <c r="AL250" s="2"/>
      <c r="AM250" s="2"/>
      <c r="AN250" s="2"/>
      <c r="AO250" s="2"/>
      <c r="AP250" s="2"/>
      <c r="AQ250" s="2"/>
      <c r="AR250" s="2"/>
    </row>
    <row r="251" spans="24:44" x14ac:dyDescent="0.35">
      <c r="X251" s="2"/>
      <c r="Y251" s="2"/>
      <c r="Z251" s="2"/>
      <c r="AA251" s="2"/>
      <c r="AB251" s="2"/>
      <c r="AC251" s="2"/>
      <c r="AD251" s="2"/>
      <c r="AE251" s="2"/>
      <c r="AF251" s="2"/>
      <c r="AG251" s="2"/>
      <c r="AH251" s="2"/>
      <c r="AI251" s="2"/>
      <c r="AJ251" s="2"/>
      <c r="AK251" s="2"/>
      <c r="AL251" s="2"/>
      <c r="AM251" s="2"/>
      <c r="AN251" s="2"/>
      <c r="AO251" s="2"/>
      <c r="AP251" s="2"/>
      <c r="AQ251" s="2"/>
      <c r="AR251" s="2"/>
    </row>
    <row r="252" spans="24:44" x14ac:dyDescent="0.35">
      <c r="X252" s="2"/>
      <c r="Y252" s="2"/>
      <c r="Z252" s="2"/>
      <c r="AA252" s="2"/>
      <c r="AB252" s="2"/>
      <c r="AC252" s="2"/>
      <c r="AD252" s="2"/>
      <c r="AE252" s="2"/>
      <c r="AF252" s="2"/>
      <c r="AG252" s="2"/>
      <c r="AH252" s="2"/>
      <c r="AI252" s="2"/>
      <c r="AJ252" s="2"/>
      <c r="AK252" s="2"/>
      <c r="AL252" s="2"/>
      <c r="AM252" s="2"/>
      <c r="AN252" s="2"/>
      <c r="AO252" s="2"/>
      <c r="AP252" s="2"/>
      <c r="AQ252" s="2"/>
      <c r="AR252" s="2"/>
    </row>
    <row r="253" spans="24:44" x14ac:dyDescent="0.35">
      <c r="X253" s="2"/>
      <c r="Y253" s="2"/>
      <c r="Z253" s="2"/>
      <c r="AA253" s="2"/>
      <c r="AB253" s="2"/>
      <c r="AC253" s="2"/>
      <c r="AD253" s="2"/>
      <c r="AE253" s="2"/>
      <c r="AF253" s="2"/>
      <c r="AG253" s="2"/>
      <c r="AH253" s="2"/>
      <c r="AI253" s="2"/>
      <c r="AJ253" s="2"/>
      <c r="AK253" s="2"/>
      <c r="AL253" s="2"/>
      <c r="AM253" s="2"/>
      <c r="AN253" s="2"/>
      <c r="AO253" s="2"/>
      <c r="AP253" s="2"/>
      <c r="AQ253" s="2"/>
      <c r="AR253" s="2"/>
    </row>
    <row r="254" spans="24:44" x14ac:dyDescent="0.35">
      <c r="X254" s="2"/>
      <c r="Y254" s="2"/>
      <c r="Z254" s="2"/>
      <c r="AA254" s="2"/>
      <c r="AB254" s="2"/>
      <c r="AC254" s="2"/>
      <c r="AD254" s="2"/>
      <c r="AE254" s="2"/>
      <c r="AF254" s="2"/>
      <c r="AG254" s="2"/>
      <c r="AH254" s="2"/>
      <c r="AI254" s="2"/>
      <c r="AJ254" s="2"/>
      <c r="AK254" s="2"/>
      <c r="AL254" s="2"/>
      <c r="AM254" s="2"/>
      <c r="AN254" s="2"/>
      <c r="AO254" s="2"/>
      <c r="AP254" s="2"/>
      <c r="AQ254" s="2"/>
      <c r="AR254" s="2"/>
    </row>
    <row r="255" spans="24:44" x14ac:dyDescent="0.35">
      <c r="X255" s="2"/>
      <c r="Y255" s="2"/>
      <c r="Z255" s="2"/>
      <c r="AA255" s="2"/>
      <c r="AB255" s="2"/>
      <c r="AC255" s="2"/>
      <c r="AD255" s="2"/>
      <c r="AE255" s="2"/>
      <c r="AF255" s="2"/>
      <c r="AG255" s="2"/>
      <c r="AH255" s="2"/>
      <c r="AI255" s="2"/>
      <c r="AJ255" s="2"/>
      <c r="AK255" s="2"/>
      <c r="AL255" s="2"/>
      <c r="AM255" s="2"/>
      <c r="AN255" s="2"/>
      <c r="AO255" s="2"/>
      <c r="AQ255" s="2"/>
      <c r="AR255" s="2"/>
    </row>
    <row r="256" spans="24:44" x14ac:dyDescent="0.35">
      <c r="X256" s="2"/>
      <c r="Y256" s="2"/>
      <c r="Z256" s="2"/>
      <c r="AA256" s="2"/>
      <c r="AB256" s="2"/>
      <c r="AC256" s="2"/>
      <c r="AD256" s="2"/>
      <c r="AE256" s="2"/>
      <c r="AF256" s="2"/>
      <c r="AG256" s="2"/>
      <c r="AH256" s="2"/>
      <c r="AI256" s="2"/>
      <c r="AJ256" s="2"/>
      <c r="AK256" s="2"/>
      <c r="AL256" s="2"/>
      <c r="AM256" s="2"/>
      <c r="AN256" s="2"/>
      <c r="AO256" s="2"/>
      <c r="AR256" s="2"/>
    </row>
    <row r="257" spans="24:44" x14ac:dyDescent="0.35">
      <c r="X257" s="2"/>
      <c r="Y257" s="2"/>
      <c r="Z257" s="2"/>
      <c r="AA257" s="2"/>
      <c r="AB257" s="2"/>
      <c r="AC257" s="2"/>
      <c r="AD257" s="2"/>
      <c r="AE257" s="2"/>
      <c r="AF257" s="2"/>
      <c r="AG257" s="2"/>
      <c r="AH257" s="2"/>
      <c r="AI257" s="2"/>
      <c r="AJ257" s="2"/>
      <c r="AK257" s="2"/>
      <c r="AL257" s="2"/>
      <c r="AM257" s="2"/>
      <c r="AN257" s="2"/>
      <c r="AR257" s="2"/>
    </row>
    <row r="258" spans="24:44" x14ac:dyDescent="0.35">
      <c r="Y258" s="2"/>
      <c r="Z258" s="2"/>
      <c r="AA258" s="2"/>
      <c r="AB258" s="2"/>
      <c r="AC258" s="2"/>
      <c r="AD258" s="2"/>
      <c r="AE258" s="2"/>
      <c r="AF258" s="2"/>
      <c r="AG258" s="2"/>
      <c r="AH258" s="2"/>
      <c r="AI258" s="2"/>
      <c r="AJ258" s="2"/>
      <c r="AK258" s="2"/>
      <c r="AL258" s="2"/>
      <c r="AM258" s="2"/>
      <c r="AN258" s="2"/>
      <c r="AR258" s="2"/>
    </row>
    <row r="259" spans="24:44" x14ac:dyDescent="0.35">
      <c r="Y259" s="2"/>
      <c r="Z259" s="2"/>
      <c r="AA259" s="2"/>
      <c r="AB259" s="2"/>
      <c r="AC259" s="2"/>
      <c r="AD259" s="2"/>
      <c r="AE259" s="2"/>
      <c r="AF259" s="2"/>
      <c r="AG259" s="2"/>
      <c r="AH259" s="2"/>
      <c r="AI259" s="2"/>
      <c r="AJ259" s="2"/>
      <c r="AK259" s="2"/>
      <c r="AL259" s="2"/>
      <c r="AM259" s="2"/>
      <c r="AN259" s="2"/>
      <c r="AR259" s="2"/>
    </row>
    <row r="260" spans="24:44" x14ac:dyDescent="0.35">
      <c r="Z260" s="2"/>
      <c r="AA260" s="2"/>
      <c r="AB260" s="2"/>
      <c r="AC260" s="2"/>
      <c r="AD260" s="2"/>
      <c r="AE260" s="2"/>
      <c r="AF260" s="2"/>
      <c r="AG260" s="2"/>
      <c r="AH260" s="2"/>
      <c r="AI260" s="2"/>
      <c r="AJ260" s="2"/>
      <c r="AK260" s="2"/>
      <c r="AL260" s="2"/>
      <c r="AM260" s="2"/>
      <c r="AN260" s="2"/>
      <c r="AR260" s="2"/>
    </row>
    <row r="261" spans="24:44" x14ac:dyDescent="0.35">
      <c r="Z261" s="2"/>
      <c r="AA261" s="2"/>
      <c r="AB261" s="2"/>
      <c r="AC261" s="2"/>
      <c r="AD261" s="2"/>
      <c r="AE261" s="2"/>
      <c r="AF261" s="2"/>
      <c r="AG261" s="2"/>
      <c r="AH261" s="2"/>
      <c r="AI261" s="2"/>
      <c r="AJ261" s="2"/>
      <c r="AK261" s="2"/>
      <c r="AL261" s="2"/>
      <c r="AM261" s="2"/>
      <c r="AN261" s="2"/>
      <c r="AR261" s="2"/>
    </row>
    <row r="262" spans="24:44" x14ac:dyDescent="0.35">
      <c r="Z262" s="2"/>
      <c r="AA262" s="2"/>
      <c r="AB262" s="2"/>
      <c r="AC262" s="2"/>
      <c r="AD262" s="2"/>
      <c r="AE262" s="2"/>
      <c r="AF262" s="2"/>
      <c r="AG262" s="2"/>
      <c r="AH262" s="2"/>
      <c r="AI262" s="2"/>
      <c r="AJ262" s="2"/>
      <c r="AK262" s="2"/>
      <c r="AL262" s="2"/>
      <c r="AM262" s="2"/>
      <c r="AN262" s="2"/>
      <c r="AR262" s="2"/>
    </row>
    <row r="263" spans="24:44" x14ac:dyDescent="0.35">
      <c r="Z263" s="2"/>
      <c r="AA263" s="2"/>
      <c r="AB263" s="2"/>
      <c r="AC263" s="2"/>
      <c r="AD263" s="2"/>
      <c r="AE263" s="2"/>
      <c r="AF263" s="2"/>
      <c r="AG263" s="2"/>
      <c r="AH263" s="2"/>
      <c r="AI263" s="2"/>
      <c r="AJ263" s="2"/>
      <c r="AK263" s="2"/>
      <c r="AL263" s="2"/>
      <c r="AM263" s="2"/>
      <c r="AN263" s="2"/>
      <c r="AR263" s="2"/>
    </row>
    <row r="264" spans="24:44" x14ac:dyDescent="0.35">
      <c r="Z264" s="2"/>
      <c r="AA264" s="2"/>
      <c r="AB264" s="2"/>
      <c r="AC264" s="2"/>
      <c r="AD264" s="2"/>
      <c r="AE264" s="2"/>
      <c r="AF264" s="2"/>
      <c r="AG264" s="2"/>
      <c r="AH264" s="2"/>
      <c r="AI264" s="2"/>
      <c r="AJ264" s="2"/>
      <c r="AK264" s="2"/>
      <c r="AL264" s="2"/>
      <c r="AM264" s="2"/>
      <c r="AN264" s="2"/>
      <c r="AR264" s="2"/>
    </row>
    <row r="265" spans="24:44" x14ac:dyDescent="0.35">
      <c r="Z265" s="2"/>
      <c r="AA265" s="2"/>
      <c r="AB265" s="2"/>
      <c r="AC265" s="2"/>
      <c r="AD265" s="2"/>
      <c r="AE265" s="2"/>
      <c r="AF265" s="2"/>
      <c r="AG265" s="2"/>
      <c r="AH265" s="2"/>
      <c r="AI265" s="2"/>
      <c r="AJ265" s="2"/>
      <c r="AK265" s="2"/>
      <c r="AL265" s="2"/>
      <c r="AM265" s="2"/>
      <c r="AN265" s="2"/>
      <c r="AR265" s="2"/>
    </row>
    <row r="266" spans="24:44" x14ac:dyDescent="0.35">
      <c r="Z266" s="2"/>
      <c r="AA266" s="2"/>
      <c r="AB266" s="2"/>
      <c r="AC266" s="2"/>
      <c r="AD266" s="2"/>
      <c r="AE266" s="2"/>
      <c r="AF266" s="2"/>
      <c r="AG266" s="2"/>
      <c r="AH266" s="2"/>
      <c r="AI266" s="2"/>
      <c r="AJ266" s="2"/>
      <c r="AK266" s="2"/>
      <c r="AL266" s="2"/>
      <c r="AM266" s="2"/>
      <c r="AN266" s="2"/>
      <c r="AR266" s="2"/>
    </row>
    <row r="267" spans="24:44" x14ac:dyDescent="0.35">
      <c r="Z267" s="2"/>
      <c r="AA267" s="2"/>
      <c r="AB267" s="2"/>
      <c r="AC267" s="2"/>
      <c r="AD267" s="2"/>
      <c r="AE267" s="2"/>
      <c r="AF267" s="2"/>
      <c r="AG267" s="2"/>
      <c r="AH267" s="2"/>
      <c r="AI267" s="2"/>
      <c r="AJ267" s="2"/>
      <c r="AK267" s="2"/>
      <c r="AL267" s="2"/>
      <c r="AM267" s="2"/>
      <c r="AN267" s="2"/>
      <c r="AR267" s="2"/>
    </row>
    <row r="268" spans="24:44" x14ac:dyDescent="0.35">
      <c r="Z268" s="2"/>
      <c r="AA268" s="2"/>
      <c r="AB268" s="2"/>
      <c r="AC268" s="2"/>
      <c r="AD268" s="2"/>
      <c r="AE268" s="2"/>
      <c r="AF268" s="2"/>
      <c r="AG268" s="2"/>
      <c r="AH268" s="2"/>
      <c r="AI268" s="2"/>
      <c r="AJ268" s="2"/>
      <c r="AK268" s="2"/>
      <c r="AL268" s="2"/>
      <c r="AM268" s="2"/>
      <c r="AN268" s="2"/>
      <c r="AR268" s="2"/>
    </row>
    <row r="269" spans="24:44" x14ac:dyDescent="0.35">
      <c r="Z269" s="2"/>
      <c r="AA269" s="2"/>
      <c r="AB269" s="2"/>
      <c r="AC269" s="2"/>
      <c r="AD269" s="2"/>
      <c r="AE269" s="2"/>
      <c r="AF269" s="2"/>
      <c r="AG269" s="2"/>
      <c r="AH269" s="2"/>
      <c r="AI269" s="2"/>
      <c r="AJ269" s="2"/>
      <c r="AK269" s="2"/>
      <c r="AL269" s="2"/>
      <c r="AM269" s="2"/>
      <c r="AN269" s="2"/>
      <c r="AR269" s="2"/>
    </row>
    <row r="270" spans="24:44" x14ac:dyDescent="0.35">
      <c r="Z270" s="2"/>
      <c r="AA270" s="2"/>
      <c r="AB270" s="2"/>
      <c r="AC270" s="2"/>
      <c r="AD270" s="2"/>
      <c r="AE270" s="2"/>
      <c r="AF270" s="2"/>
      <c r="AG270" s="2"/>
      <c r="AH270" s="2"/>
      <c r="AI270" s="2"/>
      <c r="AJ270" s="2"/>
      <c r="AK270" s="2"/>
      <c r="AL270" s="2"/>
      <c r="AM270" s="2"/>
      <c r="AN270" s="2"/>
      <c r="AR270" s="2"/>
    </row>
    <row r="271" spans="24:44" x14ac:dyDescent="0.35">
      <c r="Z271" s="2"/>
      <c r="AA271" s="2"/>
      <c r="AB271" s="2"/>
      <c r="AC271" s="2"/>
      <c r="AD271" s="2"/>
      <c r="AE271" s="2"/>
      <c r="AF271" s="2"/>
      <c r="AG271" s="2"/>
      <c r="AH271" s="2"/>
      <c r="AI271" s="2"/>
      <c r="AJ271" s="2"/>
      <c r="AK271" s="2"/>
      <c r="AL271" s="2"/>
      <c r="AM271" s="2"/>
      <c r="AN271" s="2"/>
    </row>
    <row r="272" spans="24:44" x14ac:dyDescent="0.35">
      <c r="Z272" s="2"/>
      <c r="AA272" s="2"/>
      <c r="AB272" s="2"/>
      <c r="AC272" s="2"/>
      <c r="AD272" s="2"/>
      <c r="AE272" s="2"/>
      <c r="AF272" s="2"/>
      <c r="AG272" s="2"/>
      <c r="AH272" s="2"/>
      <c r="AI272" s="2"/>
      <c r="AJ272" s="2"/>
      <c r="AK272" s="2"/>
      <c r="AL272" s="2"/>
      <c r="AM272" s="2"/>
      <c r="AN272" s="2"/>
    </row>
    <row r="273" spans="26:40" x14ac:dyDescent="0.35">
      <c r="Z273" s="2"/>
      <c r="AA273" s="2"/>
      <c r="AB273" s="2"/>
      <c r="AC273" s="2"/>
      <c r="AD273" s="2"/>
      <c r="AE273" s="2"/>
      <c r="AF273" s="2"/>
      <c r="AG273" s="2"/>
      <c r="AH273" s="2"/>
      <c r="AI273" s="2"/>
      <c r="AJ273" s="2"/>
      <c r="AK273" s="2"/>
      <c r="AL273" s="2"/>
      <c r="AM273" s="2"/>
      <c r="AN273" s="2"/>
    </row>
    <row r="274" spans="26:40" x14ac:dyDescent="0.35">
      <c r="Z274" s="2"/>
      <c r="AA274" s="2"/>
      <c r="AB274" s="2"/>
      <c r="AC274" s="2"/>
      <c r="AD274" s="2"/>
      <c r="AE274" s="2"/>
      <c r="AF274" s="2"/>
      <c r="AG274" s="2"/>
      <c r="AH274" s="2"/>
      <c r="AI274" s="2"/>
      <c r="AJ274" s="2"/>
      <c r="AK274" s="2"/>
      <c r="AL274" s="2"/>
      <c r="AM274" s="2"/>
    </row>
    <row r="275" spans="26:40" x14ac:dyDescent="0.35">
      <c r="Z275" s="2"/>
      <c r="AA275" s="2"/>
      <c r="AB275" s="2"/>
      <c r="AC275" s="2"/>
      <c r="AD275" s="2"/>
      <c r="AE275" s="2"/>
      <c r="AF275" s="2"/>
      <c r="AG275" s="2"/>
      <c r="AH275" s="2"/>
      <c r="AI275" s="2"/>
      <c r="AJ275" s="2"/>
      <c r="AK275" s="2"/>
      <c r="AL275" s="2"/>
      <c r="AM275" s="2"/>
    </row>
    <row r="276" spans="26:40" x14ac:dyDescent="0.35">
      <c r="Z276" s="2"/>
      <c r="AA276" s="2"/>
      <c r="AB276" s="2"/>
      <c r="AC276" s="2"/>
      <c r="AD276" s="2"/>
      <c r="AE276" s="2"/>
      <c r="AF276" s="2"/>
      <c r="AG276" s="2"/>
      <c r="AH276" s="2"/>
      <c r="AI276" s="2"/>
      <c r="AJ276" s="2"/>
      <c r="AK276" s="2"/>
      <c r="AL276" s="2"/>
      <c r="AM276" s="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77"/>
  <sheetViews>
    <sheetView topLeftCell="A58" workbookViewId="0">
      <selection activeCell="H69" sqref="H69:P69"/>
    </sheetView>
  </sheetViews>
  <sheetFormatPr defaultRowHeight="14.5" x14ac:dyDescent="0.35"/>
  <sheetData>
    <row r="4" spans="2:18" ht="18.5" x14ac:dyDescent="0.45">
      <c r="C4" s="1" t="s">
        <v>858</v>
      </c>
      <c r="D4" s="2"/>
      <c r="E4" s="2"/>
      <c r="F4" s="2"/>
      <c r="G4" s="2"/>
      <c r="H4" s="2"/>
      <c r="I4" s="2"/>
      <c r="J4" s="2"/>
      <c r="K4" s="2"/>
      <c r="L4" s="2"/>
      <c r="M4" s="2"/>
      <c r="N4" s="2"/>
      <c r="O4" s="2"/>
    </row>
    <row r="5" spans="2:18" ht="18.5" x14ac:dyDescent="0.45">
      <c r="B5" s="3"/>
      <c r="C5" s="3" t="s">
        <v>20</v>
      </c>
      <c r="D5" s="3"/>
      <c r="F5" s="1" t="s">
        <v>860</v>
      </c>
      <c r="G5" s="3"/>
      <c r="H5" s="3"/>
      <c r="I5" s="3"/>
      <c r="J5" s="3"/>
      <c r="K5" s="3"/>
      <c r="L5" s="3"/>
      <c r="M5" s="3"/>
      <c r="N5" s="3"/>
      <c r="O5" s="3"/>
    </row>
    <row r="6" spans="2:18" ht="16" thickBot="1" x14ac:dyDescent="0.4">
      <c r="B6" s="317" t="s">
        <v>861</v>
      </c>
      <c r="C6" s="317" t="s">
        <v>862</v>
      </c>
      <c r="D6" s="317" t="s">
        <v>863</v>
      </c>
      <c r="F6" s="9" t="s">
        <v>1</v>
      </c>
      <c r="G6" s="9" t="s">
        <v>2</v>
      </c>
      <c r="H6" s="9" t="s">
        <v>3</v>
      </c>
      <c r="I6" s="9" t="s">
        <v>4</v>
      </c>
      <c r="J6" s="9" t="s">
        <v>5</v>
      </c>
      <c r="K6" s="9" t="s">
        <v>6</v>
      </c>
      <c r="L6" s="9" t="s">
        <v>7</v>
      </c>
      <c r="M6" s="9" t="s">
        <v>8</v>
      </c>
      <c r="N6" s="9" t="s">
        <v>9</v>
      </c>
      <c r="O6" s="9" t="s">
        <v>10</v>
      </c>
      <c r="P6" s="44" t="s">
        <v>139</v>
      </c>
      <c r="R6" s="44" t="s">
        <v>138</v>
      </c>
    </row>
    <row r="7" spans="2:18" x14ac:dyDescent="0.35">
      <c r="F7">
        <v>93.731099999999998</v>
      </c>
      <c r="G7" s="45">
        <v>100.72539</v>
      </c>
      <c r="H7" s="2">
        <f t="shared" ref="H7:H25" si="0">G7-F7</f>
        <v>6.9942900000000066</v>
      </c>
      <c r="I7" s="2">
        <f t="shared" ref="I7:I24" si="1">F8-G7</f>
        <v>4.7477399999999932</v>
      </c>
      <c r="J7" s="2">
        <f t="shared" ref="J7:J24" si="2">H7/N7</f>
        <v>0.59566276018712327</v>
      </c>
      <c r="K7" s="2">
        <f t="shared" ref="K7:K24" si="3">I7/N7</f>
        <v>0.40433723981287678</v>
      </c>
      <c r="L7" s="2">
        <f t="shared" ref="L7:L24" si="4">1/H7</f>
        <v>0.14297376860267433</v>
      </c>
      <c r="M7" s="2">
        <f t="shared" ref="M7:M24" si="5">1/N7</f>
        <v>8.5164149640224049E-2</v>
      </c>
      <c r="N7" s="2">
        <f t="shared" ref="N7:N24" si="6">H7+I7</f>
        <v>11.74203</v>
      </c>
      <c r="O7" s="2">
        <v>27</v>
      </c>
      <c r="P7">
        <f>O7/H7</f>
        <v>3.8602917522722069</v>
      </c>
      <c r="R7" t="s">
        <v>859</v>
      </c>
    </row>
    <row r="8" spans="2:18" x14ac:dyDescent="0.35">
      <c r="B8">
        <v>102.88306</v>
      </c>
      <c r="C8">
        <v>107.71845999999999</v>
      </c>
      <c r="D8">
        <f>C8-B8</f>
        <v>4.8353999999999928</v>
      </c>
      <c r="F8">
        <v>105.47313</v>
      </c>
      <c r="G8">
        <v>109.97494</v>
      </c>
      <c r="H8" s="2">
        <f t="shared" si="0"/>
        <v>4.5018100000000061</v>
      </c>
      <c r="I8" s="2">
        <f t="shared" si="1"/>
        <v>8.0170200000000023</v>
      </c>
      <c r="J8" s="2">
        <f t="shared" si="2"/>
        <v>0.35960309389935025</v>
      </c>
      <c r="K8" s="2">
        <f t="shared" si="3"/>
        <v>0.6403969061006497</v>
      </c>
      <c r="L8" s="2">
        <f t="shared" si="4"/>
        <v>0.22213287544343246</v>
      </c>
      <c r="M8" s="2">
        <f t="shared" si="5"/>
        <v>7.9879669266217312E-2</v>
      </c>
      <c r="N8" s="2">
        <f t="shared" si="6"/>
        <v>12.518830000000008</v>
      </c>
      <c r="O8" s="2">
        <v>18</v>
      </c>
      <c r="P8">
        <f t="shared" ref="P8:P25" si="7">O8/H8</f>
        <v>3.9983917579817843</v>
      </c>
    </row>
    <row r="9" spans="2:18" x14ac:dyDescent="0.35">
      <c r="C9" s="2"/>
      <c r="D9" s="2"/>
      <c r="E9" s="2"/>
      <c r="F9">
        <v>117.99196000000001</v>
      </c>
      <c r="G9">
        <v>124.69732999999999</v>
      </c>
      <c r="H9" s="2">
        <f t="shared" si="0"/>
        <v>6.7053699999999878</v>
      </c>
      <c r="I9" s="2">
        <f t="shared" si="1"/>
        <v>7.3689200000000028</v>
      </c>
      <c r="J9" s="2">
        <f t="shared" si="2"/>
        <v>0.4764268748192621</v>
      </c>
      <c r="K9" s="2">
        <f t="shared" si="3"/>
        <v>0.52357312518073795</v>
      </c>
      <c r="L9" s="2">
        <f t="shared" si="4"/>
        <v>0.14913420139380851</v>
      </c>
      <c r="M9" s="2">
        <f t="shared" si="5"/>
        <v>7.1051541498718632E-2</v>
      </c>
      <c r="N9" s="2">
        <f t="shared" si="6"/>
        <v>14.074289999999991</v>
      </c>
      <c r="O9" s="2">
        <v>36</v>
      </c>
      <c r="P9">
        <f t="shared" si="7"/>
        <v>5.3688312501771067</v>
      </c>
      <c r="R9" t="s">
        <v>864</v>
      </c>
    </row>
    <row r="10" spans="2:18" x14ac:dyDescent="0.35">
      <c r="C10" s="2"/>
      <c r="D10" s="2"/>
      <c r="E10" s="2"/>
      <c r="F10">
        <v>132.06625</v>
      </c>
      <c r="G10">
        <v>139.98247000000001</v>
      </c>
      <c r="H10" s="2">
        <f t="shared" si="0"/>
        <v>7.9162200000000098</v>
      </c>
      <c r="I10" s="2">
        <f t="shared" si="1"/>
        <v>6.0028999999999826</v>
      </c>
      <c r="J10" s="2">
        <f t="shared" si="2"/>
        <v>0.5687299197075687</v>
      </c>
      <c r="K10" s="2">
        <f t="shared" si="3"/>
        <v>0.43127008029243125</v>
      </c>
      <c r="L10" s="2">
        <f t="shared" si="4"/>
        <v>0.12632291674561832</v>
      </c>
      <c r="M10" s="2">
        <f t="shared" si="5"/>
        <v>7.1843622297961401E-2</v>
      </c>
      <c r="N10" s="2">
        <f t="shared" si="6"/>
        <v>13.919119999999992</v>
      </c>
      <c r="O10" s="2">
        <v>33</v>
      </c>
      <c r="P10">
        <f t="shared" si="7"/>
        <v>4.1686562526054054</v>
      </c>
    </row>
    <row r="11" spans="2:18" x14ac:dyDescent="0.35">
      <c r="C11" s="2"/>
      <c r="D11" s="2"/>
      <c r="E11" s="2"/>
      <c r="F11">
        <v>145.98536999999999</v>
      </c>
      <c r="G11">
        <v>152.94828000000001</v>
      </c>
      <c r="H11" s="2">
        <f t="shared" si="0"/>
        <v>6.9629100000000221</v>
      </c>
      <c r="I11" s="2">
        <f t="shared" si="1"/>
        <v>6.33753999999999</v>
      </c>
      <c r="J11" s="2">
        <f t="shared" si="2"/>
        <v>0.52350935494663831</v>
      </c>
      <c r="K11" s="2">
        <f t="shared" si="3"/>
        <v>0.47649064505336169</v>
      </c>
      <c r="L11" s="2">
        <f t="shared" si="4"/>
        <v>0.14361811369097072</v>
      </c>
      <c r="M11" s="2">
        <f t="shared" si="5"/>
        <v>7.5185426057013047E-2</v>
      </c>
      <c r="N11" s="2">
        <f t="shared" si="6"/>
        <v>13.300450000000012</v>
      </c>
      <c r="O11" s="2">
        <v>27</v>
      </c>
      <c r="P11">
        <f t="shared" si="7"/>
        <v>3.877689069656209</v>
      </c>
    </row>
    <row r="12" spans="2:18" x14ac:dyDescent="0.35">
      <c r="B12">
        <v>159.98398</v>
      </c>
      <c r="C12">
        <v>164.81734</v>
      </c>
      <c r="D12">
        <f>C12-B12</f>
        <v>4.833359999999999</v>
      </c>
      <c r="E12" s="2"/>
      <c r="F12">
        <v>159.28582</v>
      </c>
      <c r="G12" s="45">
        <v>166.19803999999999</v>
      </c>
      <c r="H12" s="2">
        <f t="shared" si="0"/>
        <v>6.9122199999999907</v>
      </c>
      <c r="I12" s="2">
        <f t="shared" si="1"/>
        <v>8.6256500000000074</v>
      </c>
      <c r="J12" s="2">
        <f t="shared" si="2"/>
        <v>0.4448627772017652</v>
      </c>
      <c r="K12" s="2">
        <f t="shared" si="3"/>
        <v>0.55513722279823474</v>
      </c>
      <c r="L12" s="2">
        <f t="shared" si="4"/>
        <v>0.14467132122530843</v>
      </c>
      <c r="M12" s="2">
        <f t="shared" si="5"/>
        <v>6.4358885741739383E-2</v>
      </c>
      <c r="N12" s="2">
        <f t="shared" si="6"/>
        <v>15.537869999999998</v>
      </c>
      <c r="O12" s="2">
        <v>27</v>
      </c>
      <c r="P12">
        <f t="shared" si="7"/>
        <v>3.9061256730833271</v>
      </c>
    </row>
    <row r="13" spans="2:18" x14ac:dyDescent="0.35">
      <c r="C13" s="2"/>
      <c r="D13" s="2"/>
      <c r="E13" s="2"/>
      <c r="F13">
        <v>174.82369</v>
      </c>
      <c r="G13" s="45">
        <v>183.44864999999999</v>
      </c>
      <c r="H13" s="2">
        <f t="shared" si="0"/>
        <v>8.6249599999999873</v>
      </c>
      <c r="I13" s="2">
        <f t="shared" si="1"/>
        <v>6.3699100000000044</v>
      </c>
      <c r="J13" s="2">
        <f t="shared" si="2"/>
        <v>0.57519404969832966</v>
      </c>
      <c r="K13" s="2">
        <f t="shared" si="3"/>
        <v>0.42480595030167034</v>
      </c>
      <c r="L13" s="2">
        <f t="shared" si="4"/>
        <v>0.11594256669016453</v>
      </c>
      <c r="M13" s="2">
        <f t="shared" si="5"/>
        <v>6.6689474466934393E-2</v>
      </c>
      <c r="N13" s="2">
        <f t="shared" si="6"/>
        <v>14.994869999999992</v>
      </c>
      <c r="O13" s="2">
        <v>32</v>
      </c>
      <c r="P13">
        <f t="shared" si="7"/>
        <v>3.7101621340852651</v>
      </c>
    </row>
    <row r="14" spans="2:18" x14ac:dyDescent="0.35">
      <c r="B14">
        <v>188.39994000000002</v>
      </c>
      <c r="C14" s="2">
        <v>193.23331999999999</v>
      </c>
      <c r="D14">
        <f>C14-B14</f>
        <v>4.8333799999999769</v>
      </c>
      <c r="E14" s="2"/>
      <c r="F14">
        <v>189.81855999999999</v>
      </c>
      <c r="G14">
        <v>195.19618</v>
      </c>
      <c r="H14" s="2">
        <f t="shared" si="0"/>
        <v>5.3776200000000074</v>
      </c>
      <c r="I14" s="2">
        <f t="shared" si="1"/>
        <v>9.0042100000000005</v>
      </c>
      <c r="J14" s="2">
        <f t="shared" si="2"/>
        <v>0.37391764469472971</v>
      </c>
      <c r="K14" s="2">
        <f t="shared" si="3"/>
        <v>0.62608235530527034</v>
      </c>
      <c r="L14" s="2">
        <f t="shared" si="4"/>
        <v>0.18595586895317978</v>
      </c>
      <c r="M14" s="2">
        <f t="shared" si="5"/>
        <v>6.9532180536134788E-2</v>
      </c>
      <c r="N14" s="2">
        <f t="shared" si="6"/>
        <v>14.381830000000008</v>
      </c>
      <c r="O14" s="2">
        <v>23</v>
      </c>
      <c r="P14">
        <f t="shared" si="7"/>
        <v>4.2769849859231348</v>
      </c>
    </row>
    <row r="15" spans="2:18" x14ac:dyDescent="0.35">
      <c r="C15" s="2"/>
      <c r="D15" s="2"/>
      <c r="E15" s="2"/>
      <c r="F15">
        <v>204.20039</v>
      </c>
      <c r="G15">
        <v>210.45292000000001</v>
      </c>
      <c r="H15" s="2">
        <f t="shared" si="0"/>
        <v>6.2525300000000072</v>
      </c>
      <c r="I15" s="2">
        <f t="shared" si="1"/>
        <v>7.5238600000000133</v>
      </c>
      <c r="J15" s="2">
        <f t="shared" si="2"/>
        <v>0.45385837654131439</v>
      </c>
      <c r="K15" s="2">
        <f t="shared" si="3"/>
        <v>0.54614162345868567</v>
      </c>
      <c r="L15" s="2">
        <f t="shared" si="4"/>
        <v>0.15993525820747742</v>
      </c>
      <c r="M15" s="2">
        <f t="shared" si="5"/>
        <v>7.2587956641761625E-2</v>
      </c>
      <c r="N15" s="2">
        <f t="shared" si="6"/>
        <v>13.776390000000021</v>
      </c>
      <c r="O15" s="2">
        <v>24</v>
      </c>
      <c r="P15">
        <f t="shared" si="7"/>
        <v>3.8384461969794583</v>
      </c>
    </row>
    <row r="16" spans="2:18" x14ac:dyDescent="0.35">
      <c r="C16" s="2"/>
      <c r="D16" s="2"/>
      <c r="E16" s="2"/>
      <c r="F16">
        <v>217.97678000000002</v>
      </c>
      <c r="G16">
        <v>224.47008</v>
      </c>
      <c r="H16" s="2">
        <f t="shared" si="0"/>
        <v>6.4932999999999765</v>
      </c>
      <c r="I16" s="2">
        <f t="shared" si="1"/>
        <v>7.7284900000000221</v>
      </c>
      <c r="J16" s="2">
        <f t="shared" si="2"/>
        <v>0.45657403182018419</v>
      </c>
      <c r="K16" s="2">
        <f t="shared" si="3"/>
        <v>0.54342596817981581</v>
      </c>
      <c r="L16" s="2">
        <f t="shared" si="4"/>
        <v>0.15400489735573647</v>
      </c>
      <c r="M16" s="2">
        <f t="shared" si="5"/>
        <v>7.0314636905762215E-2</v>
      </c>
      <c r="N16" s="2">
        <f t="shared" si="6"/>
        <v>14.221789999999999</v>
      </c>
      <c r="O16" s="2">
        <v>26</v>
      </c>
      <c r="P16">
        <f t="shared" si="7"/>
        <v>4.0041273312491485</v>
      </c>
    </row>
    <row r="17" spans="2:18" x14ac:dyDescent="0.35">
      <c r="B17">
        <v>231.66408000000001</v>
      </c>
      <c r="C17" s="2">
        <v>236.53910000000002</v>
      </c>
      <c r="D17">
        <f>C17-B17</f>
        <v>4.8750200000000063</v>
      </c>
      <c r="E17" s="2"/>
      <c r="F17">
        <v>232.19857000000002</v>
      </c>
      <c r="G17">
        <v>237.45220999999998</v>
      </c>
      <c r="H17" s="2">
        <f t="shared" si="0"/>
        <v>5.2536399999999617</v>
      </c>
      <c r="I17" s="2">
        <f t="shared" si="1"/>
        <v>13.954360000000008</v>
      </c>
      <c r="J17" s="2">
        <f t="shared" si="2"/>
        <v>0.27351311953352614</v>
      </c>
      <c r="K17" s="2">
        <f t="shared" si="3"/>
        <v>0.72648688046647392</v>
      </c>
      <c r="L17" s="2">
        <f t="shared" si="4"/>
        <v>0.19034421848470914</v>
      </c>
      <c r="M17" s="2">
        <f t="shared" si="5"/>
        <v>5.206164098292386E-2</v>
      </c>
      <c r="N17" s="2">
        <f t="shared" si="6"/>
        <v>19.20799999999997</v>
      </c>
      <c r="O17" s="2">
        <v>22</v>
      </c>
      <c r="P17">
        <f t="shared" si="7"/>
        <v>4.1875728066636011</v>
      </c>
    </row>
    <row r="18" spans="2:18" x14ac:dyDescent="0.35">
      <c r="C18" s="2"/>
      <c r="D18" s="2"/>
      <c r="E18" s="2"/>
      <c r="F18">
        <v>251.40656999999999</v>
      </c>
      <c r="G18">
        <v>256.66257999999999</v>
      </c>
      <c r="H18" s="2">
        <f t="shared" si="0"/>
        <v>5.2560100000000034</v>
      </c>
      <c r="I18" s="2">
        <f t="shared" si="1"/>
        <v>9.5323799999999892</v>
      </c>
      <c r="J18" s="2">
        <f t="shared" si="2"/>
        <v>0.35541461917084999</v>
      </c>
      <c r="K18" s="2">
        <f t="shared" si="3"/>
        <v>0.64458538082915007</v>
      </c>
      <c r="L18" s="2">
        <f t="shared" si="4"/>
        <v>0.19025838991934935</v>
      </c>
      <c r="M18" s="2">
        <f t="shared" si="5"/>
        <v>6.7620613197244633E-2</v>
      </c>
      <c r="N18" s="2">
        <f t="shared" si="6"/>
        <v>14.788389999999993</v>
      </c>
      <c r="O18" s="2">
        <v>21</v>
      </c>
      <c r="P18">
        <f t="shared" si="7"/>
        <v>3.9954261883063364</v>
      </c>
      <c r="R18" t="s">
        <v>865</v>
      </c>
    </row>
    <row r="19" spans="2:18" x14ac:dyDescent="0.35">
      <c r="C19" s="2"/>
      <c r="D19" s="2"/>
      <c r="E19" s="2"/>
      <c r="F19">
        <v>266.19495999999998</v>
      </c>
      <c r="G19">
        <v>271.65320000000003</v>
      </c>
      <c r="H19" s="2">
        <f t="shared" si="0"/>
        <v>5.4582400000000462</v>
      </c>
      <c r="I19" s="2">
        <f t="shared" si="1"/>
        <v>8.7565099999999916</v>
      </c>
      <c r="J19" s="2">
        <f t="shared" si="2"/>
        <v>0.38398424172075002</v>
      </c>
      <c r="K19" s="2">
        <f t="shared" si="3"/>
        <v>0.61601575827924993</v>
      </c>
      <c r="L19" s="2">
        <f t="shared" si="4"/>
        <v>0.18320923960837038</v>
      </c>
      <c r="M19" s="2">
        <f t="shared" si="5"/>
        <v>7.0349460947255305E-2</v>
      </c>
      <c r="N19" s="2">
        <f t="shared" si="6"/>
        <v>14.214750000000038</v>
      </c>
      <c r="O19" s="2">
        <v>18</v>
      </c>
      <c r="P19">
        <f t="shared" si="7"/>
        <v>3.2977663129506669</v>
      </c>
    </row>
    <row r="20" spans="2:18" x14ac:dyDescent="0.35">
      <c r="C20" s="2"/>
      <c r="D20" s="2"/>
      <c r="E20" s="2"/>
      <c r="F20">
        <v>280.40971000000002</v>
      </c>
      <c r="G20">
        <v>287.16926999999998</v>
      </c>
      <c r="H20" s="2">
        <f t="shared" si="0"/>
        <v>6.7595599999999649</v>
      </c>
      <c r="I20" s="2">
        <f t="shared" si="1"/>
        <v>7.6568200000000388</v>
      </c>
      <c r="J20" s="2">
        <f t="shared" si="2"/>
        <v>0.46888053727773293</v>
      </c>
      <c r="K20" s="2">
        <f t="shared" si="3"/>
        <v>0.53111946272226707</v>
      </c>
      <c r="L20" s="2">
        <f t="shared" si="4"/>
        <v>0.14793862322399759</v>
      </c>
      <c r="M20" s="2">
        <f t="shared" si="5"/>
        <v>6.9365541141396092E-2</v>
      </c>
      <c r="N20" s="2">
        <f t="shared" si="6"/>
        <v>14.416380000000004</v>
      </c>
      <c r="O20" s="2">
        <v>16</v>
      </c>
      <c r="P20">
        <f t="shared" si="7"/>
        <v>2.3670179715839614</v>
      </c>
    </row>
    <row r="21" spans="2:18" x14ac:dyDescent="0.35">
      <c r="C21" s="2"/>
      <c r="F21">
        <v>294.82609000000002</v>
      </c>
      <c r="G21">
        <v>301.25009999999997</v>
      </c>
      <c r="H21" s="2">
        <f t="shared" si="0"/>
        <v>6.4240099999999529</v>
      </c>
      <c r="I21" s="2">
        <f t="shared" si="1"/>
        <v>8.0313800000000128</v>
      </c>
      <c r="J21" s="2">
        <f t="shared" si="2"/>
        <v>0.44440239938182008</v>
      </c>
      <c r="K21" s="2">
        <f t="shared" si="3"/>
        <v>0.55559760061817998</v>
      </c>
      <c r="L21" s="2">
        <f t="shared" si="4"/>
        <v>0.15566600923722212</v>
      </c>
      <c r="M21" s="2">
        <f t="shared" si="5"/>
        <v>6.9178348007214077E-2</v>
      </c>
      <c r="N21" s="2">
        <f t="shared" si="6"/>
        <v>14.455389999999966</v>
      </c>
      <c r="O21" s="2">
        <v>20</v>
      </c>
      <c r="P21">
        <f t="shared" si="7"/>
        <v>3.1133201847444427</v>
      </c>
    </row>
    <row r="22" spans="2:18" x14ac:dyDescent="0.35">
      <c r="B22">
        <v>310.14021000000002</v>
      </c>
      <c r="C22" s="2">
        <v>315.01522999999997</v>
      </c>
      <c r="D22">
        <f>C22-B22</f>
        <v>4.8750199999999495</v>
      </c>
      <c r="F22">
        <v>309.28147999999999</v>
      </c>
      <c r="G22">
        <v>312.89159999999998</v>
      </c>
      <c r="H22" s="2">
        <f t="shared" si="0"/>
        <v>3.6101199999999949</v>
      </c>
      <c r="I22" s="2">
        <f t="shared" si="1"/>
        <v>15.774140000000045</v>
      </c>
      <c r="J22" s="2">
        <f t="shared" si="2"/>
        <v>0.18623976360201458</v>
      </c>
      <c r="K22" s="2">
        <f t="shared" si="3"/>
        <v>0.81376023639798545</v>
      </c>
      <c r="L22" s="2">
        <f t="shared" si="4"/>
        <v>0.27699910252290821</v>
      </c>
      <c r="M22" s="2">
        <f t="shared" si="5"/>
        <v>5.1588247371836628E-2</v>
      </c>
      <c r="N22" s="2">
        <f t="shared" si="6"/>
        <v>19.38426000000004</v>
      </c>
      <c r="O22" s="2">
        <v>14</v>
      </c>
      <c r="P22">
        <f t="shared" si="7"/>
        <v>3.8779874353207151</v>
      </c>
    </row>
    <row r="23" spans="2:18" x14ac:dyDescent="0.35">
      <c r="C23" s="2"/>
      <c r="F23">
        <v>328.66574000000003</v>
      </c>
      <c r="G23">
        <v>334.14747999999997</v>
      </c>
      <c r="H23" s="2">
        <f t="shared" si="0"/>
        <v>5.4817399999999452</v>
      </c>
      <c r="I23" s="2">
        <f t="shared" si="1"/>
        <v>9.7474000000000274</v>
      </c>
      <c r="J23" s="2">
        <f t="shared" si="2"/>
        <v>0.35995072604230804</v>
      </c>
      <c r="K23" s="2">
        <f t="shared" si="3"/>
        <v>0.64004927395769196</v>
      </c>
      <c r="L23" s="2">
        <f t="shared" si="4"/>
        <v>0.18242382893023201</v>
      </c>
      <c r="M23" s="2">
        <f t="shared" si="5"/>
        <v>6.5663589670854811E-2</v>
      </c>
      <c r="N23" s="2">
        <f t="shared" si="6"/>
        <v>15.229139999999973</v>
      </c>
      <c r="O23" s="2">
        <v>22</v>
      </c>
      <c r="P23">
        <f t="shared" si="7"/>
        <v>4.0133242364651043</v>
      </c>
    </row>
    <row r="24" spans="2:18" x14ac:dyDescent="0.35">
      <c r="C24" s="2"/>
      <c r="F24">
        <v>343.89488</v>
      </c>
      <c r="G24">
        <v>348.65508</v>
      </c>
      <c r="H24" s="2">
        <f t="shared" si="0"/>
        <v>4.7601999999999975</v>
      </c>
      <c r="I24" s="2">
        <f t="shared" si="1"/>
        <v>8.8083100000000059</v>
      </c>
      <c r="J24" s="2">
        <f t="shared" si="2"/>
        <v>0.35082702522237125</v>
      </c>
      <c r="K24" s="2">
        <f t="shared" si="3"/>
        <v>0.64917297477762881</v>
      </c>
      <c r="L24" s="2">
        <f t="shared" si="4"/>
        <v>0.21007520692407894</v>
      </c>
      <c r="M24" s="2">
        <f t="shared" si="5"/>
        <v>7.3700059918148694E-2</v>
      </c>
      <c r="N24" s="2">
        <f t="shared" si="6"/>
        <v>13.568510000000003</v>
      </c>
      <c r="O24" s="2">
        <v>19</v>
      </c>
      <c r="P24">
        <f t="shared" si="7"/>
        <v>3.9914289315574996</v>
      </c>
    </row>
    <row r="25" spans="2:18" x14ac:dyDescent="0.35">
      <c r="C25" s="2"/>
      <c r="F25">
        <v>357.46339</v>
      </c>
      <c r="G25">
        <v>359.69101000000001</v>
      </c>
      <c r="H25" s="2">
        <f t="shared" si="0"/>
        <v>2.2276200000000017</v>
      </c>
      <c r="I25" s="2"/>
      <c r="J25" s="2"/>
      <c r="K25" s="2"/>
      <c r="L25" s="2"/>
      <c r="M25" s="2"/>
      <c r="N25" s="2"/>
      <c r="O25" s="2">
        <v>12</v>
      </c>
      <c r="P25">
        <f t="shared" si="7"/>
        <v>5.3869151830204389</v>
      </c>
    </row>
    <row r="26" spans="2:18" x14ac:dyDescent="0.35">
      <c r="C26" s="2"/>
      <c r="H26" s="2"/>
      <c r="I26" s="2"/>
      <c r="J26" s="2"/>
      <c r="K26" s="2"/>
      <c r="L26" s="2"/>
      <c r="M26" s="2"/>
      <c r="N26" s="2"/>
    </row>
    <row r="27" spans="2:18" x14ac:dyDescent="0.35">
      <c r="C27" s="2"/>
      <c r="H27" s="2"/>
      <c r="I27" s="2"/>
      <c r="J27" s="2"/>
      <c r="K27" s="2"/>
      <c r="L27" s="2"/>
      <c r="M27" s="2"/>
      <c r="N27" s="2"/>
      <c r="O27" s="2"/>
    </row>
    <row r="28" spans="2:18" x14ac:dyDescent="0.35">
      <c r="H28" s="2"/>
      <c r="I28" s="2"/>
      <c r="J28" s="2"/>
      <c r="K28" s="2"/>
      <c r="L28" s="2"/>
      <c r="M28" s="2"/>
      <c r="N28" s="2"/>
      <c r="O28" s="2"/>
    </row>
    <row r="29" spans="2:18" x14ac:dyDescent="0.35">
      <c r="H29" s="2"/>
      <c r="I29" s="2"/>
      <c r="J29" s="2"/>
      <c r="K29" s="2"/>
      <c r="L29" s="2"/>
      <c r="M29" s="2"/>
      <c r="N29" s="2"/>
      <c r="O29" s="2"/>
    </row>
    <row r="32" spans="2:18" ht="16" thickBot="1" x14ac:dyDescent="0.4">
      <c r="E32" s="104" t="s">
        <v>78</v>
      </c>
      <c r="G32" s="13"/>
      <c r="H32" s="9" t="s">
        <v>3</v>
      </c>
      <c r="I32" s="9" t="s">
        <v>4</v>
      </c>
      <c r="J32" s="9" t="s">
        <v>5</v>
      </c>
      <c r="K32" s="9" t="s">
        <v>6</v>
      </c>
      <c r="L32" s="9" t="s">
        <v>7</v>
      </c>
      <c r="M32" s="9" t="s">
        <v>8</v>
      </c>
      <c r="N32" s="9" t="s">
        <v>9</v>
      </c>
      <c r="O32" s="9" t="s">
        <v>10</v>
      </c>
      <c r="P32" s="44" t="s">
        <v>139</v>
      </c>
    </row>
    <row r="33" spans="5:16" x14ac:dyDescent="0.35">
      <c r="G33" s="49" t="s">
        <v>77</v>
      </c>
      <c r="H33" s="13">
        <f>AVERAGE(H7,H10:H11,H15:H16,H19:H21,H24)</f>
        <v>6.4468066666666646</v>
      </c>
      <c r="I33" s="13">
        <f t="shared" ref="I33:P33" si="8">AVERAGE(I7,I10:I11,I15:I16,I19:I21,I24)</f>
        <v>7.2881722222222276</v>
      </c>
      <c r="J33" s="13">
        <f t="shared" si="8"/>
        <v>0.47182540520061145</v>
      </c>
      <c r="K33" s="13">
        <f t="shared" si="8"/>
        <v>0.52817459479938855</v>
      </c>
      <c r="L33" s="13">
        <f t="shared" si="8"/>
        <v>0.15819378151068295</v>
      </c>
      <c r="M33" s="13">
        <f t="shared" si="8"/>
        <v>7.3076577950748497E-2</v>
      </c>
      <c r="N33" s="13">
        <f t="shared" si="8"/>
        <v>13.734978888888893</v>
      </c>
      <c r="O33" s="13">
        <f t="shared" si="8"/>
        <v>23.333333333333332</v>
      </c>
      <c r="P33" s="13">
        <f t="shared" si="8"/>
        <v>3.6131937781776662</v>
      </c>
    </row>
    <row r="34" spans="5:16" x14ac:dyDescent="0.35">
      <c r="G34" s="49" t="s">
        <v>94</v>
      </c>
      <c r="H34" s="2">
        <f>_xlfn.STDEV.S(H7,H10:H11,H15:H16,H19:H21,H24)</f>
        <v>0.91415409576285267</v>
      </c>
      <c r="I34" s="2">
        <f t="shared" ref="I34:P34" si="9">_xlfn.STDEV.S(I7,I10:I11,I15:I16,I19:I21,I24)</f>
        <v>1.3422902226677624</v>
      </c>
      <c r="J34" s="2">
        <f t="shared" si="9"/>
        <v>7.9898526305357001E-2</v>
      </c>
      <c r="K34" s="2">
        <f t="shared" si="9"/>
        <v>7.9898526305357348E-2</v>
      </c>
      <c r="L34" s="2">
        <f t="shared" si="9"/>
        <v>2.4772574928353205E-2</v>
      </c>
      <c r="M34" s="2">
        <f t="shared" si="9"/>
        <v>4.9590544241351316E-3</v>
      </c>
      <c r="N34" s="2">
        <f t="shared" si="9"/>
        <v>0.84220398131100549</v>
      </c>
      <c r="O34" s="2">
        <f t="shared" si="9"/>
        <v>5.4772255750516612</v>
      </c>
      <c r="P34" s="2">
        <f t="shared" si="9"/>
        <v>0.57970957071511575</v>
      </c>
    </row>
    <row r="35" spans="5:16" x14ac:dyDescent="0.35">
      <c r="G35" s="49" t="s">
        <v>95</v>
      </c>
      <c r="H35" s="2">
        <f>H34/(SQRT(COUNT(H7,H10:H11,H15:H16,H19:H21,H24)))</f>
        <v>0.30471803192095087</v>
      </c>
      <c r="I35" s="2">
        <f t="shared" ref="I35:P35" si="10">I34/(SQRT(COUNT(I7,I10:I11,I15:I16,I19:I21,I24)))</f>
        <v>0.44743007422258746</v>
      </c>
      <c r="J35" s="2">
        <f t="shared" si="10"/>
        <v>2.6632842101785667E-2</v>
      </c>
      <c r="K35" s="2">
        <f t="shared" si="10"/>
        <v>2.6632842101785782E-2</v>
      </c>
      <c r="L35" s="2">
        <f t="shared" si="10"/>
        <v>8.2575249761177357E-3</v>
      </c>
      <c r="M35" s="2">
        <f t="shared" si="10"/>
        <v>1.6530181413783771E-3</v>
      </c>
      <c r="N35" s="2">
        <f t="shared" si="10"/>
        <v>0.28073466043700185</v>
      </c>
      <c r="O35" s="2">
        <f t="shared" si="10"/>
        <v>1.8257418583505538</v>
      </c>
      <c r="P35" s="2">
        <f t="shared" si="10"/>
        <v>0.19323652357170526</v>
      </c>
    </row>
    <row r="38" spans="5:16" ht="16" thickBot="1" x14ac:dyDescent="0.4">
      <c r="E38" s="104" t="s">
        <v>20</v>
      </c>
      <c r="G38" s="13"/>
      <c r="H38" s="9" t="s">
        <v>3</v>
      </c>
      <c r="I38" s="9" t="s">
        <v>4</v>
      </c>
      <c r="J38" s="9" t="s">
        <v>5</v>
      </c>
      <c r="K38" s="9" t="s">
        <v>6</v>
      </c>
      <c r="L38" s="9" t="s">
        <v>7</v>
      </c>
      <c r="M38" s="9" t="s">
        <v>8</v>
      </c>
      <c r="N38" s="9" t="s">
        <v>9</v>
      </c>
      <c r="O38" s="9" t="s">
        <v>10</v>
      </c>
      <c r="P38" s="44" t="s">
        <v>139</v>
      </c>
    </row>
    <row r="39" spans="5:16" x14ac:dyDescent="0.35">
      <c r="G39" s="49" t="s">
        <v>77</v>
      </c>
      <c r="H39" s="13">
        <f>AVERAGE(H8,H12,H14,H17,H22)</f>
        <v>5.1310819999999921</v>
      </c>
      <c r="I39" s="13">
        <f t="shared" ref="I39:P39" si="11">AVERAGE(I8,I12,I14,I17,I22)</f>
        <v>11.075076000000013</v>
      </c>
      <c r="J39" s="13">
        <f t="shared" si="11"/>
        <v>0.32762727978627715</v>
      </c>
      <c r="K39" s="13">
        <f t="shared" si="11"/>
        <v>0.67237272021372285</v>
      </c>
      <c r="L39" s="13">
        <f t="shared" si="11"/>
        <v>0.20402067732590762</v>
      </c>
      <c r="M39" s="13">
        <f t="shared" si="11"/>
        <v>6.3484124779770404E-2</v>
      </c>
      <c r="N39" s="13">
        <f t="shared" si="11"/>
        <v>16.206158000000006</v>
      </c>
      <c r="O39" s="13">
        <f t="shared" si="11"/>
        <v>20.8</v>
      </c>
      <c r="P39" s="13">
        <f t="shared" si="11"/>
        <v>4.0494125317945127</v>
      </c>
    </row>
    <row r="40" spans="5:16" x14ac:dyDescent="0.35">
      <c r="G40" s="49" t="s">
        <v>94</v>
      </c>
      <c r="H40" s="2">
        <f>_xlfn.STDEV.S(H8,H12,H14,H17,H22)</f>
        <v>1.2204059446839768</v>
      </c>
      <c r="I40" s="2">
        <f t="shared" ref="I40:P40" si="12">_xlfn.STDEV.S(I8,I12,I14,I17,I22)</f>
        <v>3.5359354860955965</v>
      </c>
      <c r="J40" s="2">
        <f t="shared" si="12"/>
        <v>9.9784999496948384E-2</v>
      </c>
      <c r="K40" s="2">
        <f t="shared" si="12"/>
        <v>9.9784999496947968E-2</v>
      </c>
      <c r="L40" s="2">
        <f t="shared" si="12"/>
        <v>4.9217962072846747E-2</v>
      </c>
      <c r="M40" s="2">
        <f t="shared" si="12"/>
        <v>1.2022303227476215E-2</v>
      </c>
      <c r="N40" s="2">
        <f t="shared" si="12"/>
        <v>3.0200396105630731</v>
      </c>
      <c r="O40" s="2">
        <f t="shared" si="12"/>
        <v>4.9699094559156753</v>
      </c>
      <c r="P40" s="2">
        <f t="shared" si="12"/>
        <v>0.17564046399594652</v>
      </c>
    </row>
    <row r="41" spans="5:16" x14ac:dyDescent="0.35">
      <c r="G41" s="49" t="s">
        <v>95</v>
      </c>
      <c r="H41" s="2">
        <f>H40/(SQRT(COUNT(H8,H12,H14,H17,H22)))</f>
        <v>0.54578213049164404</v>
      </c>
      <c r="I41" s="2">
        <f t="shared" ref="I41:P41" si="13">I40/(SQRT(COUNT(I8,I12,I14,I17,I22)))</f>
        <v>1.5813184221927032</v>
      </c>
      <c r="J41" s="2">
        <f t="shared" si="13"/>
        <v>4.462520840199178E-2</v>
      </c>
      <c r="K41" s="2">
        <f t="shared" si="13"/>
        <v>4.4625208401991592E-2</v>
      </c>
      <c r="L41" s="2">
        <f t="shared" si="13"/>
        <v>2.2010941781778356E-2</v>
      </c>
      <c r="M41" s="2">
        <f t="shared" si="13"/>
        <v>5.3765374525503867E-3</v>
      </c>
      <c r="N41" s="2">
        <f t="shared" si="13"/>
        <v>1.3506027727922045</v>
      </c>
      <c r="O41" s="2">
        <f t="shared" si="13"/>
        <v>2.2226110770892888</v>
      </c>
      <c r="P41" s="2">
        <f t="shared" si="13"/>
        <v>7.8548803418908145E-2</v>
      </c>
    </row>
    <row r="44" spans="5:16" ht="16" thickBot="1" x14ac:dyDescent="0.4">
      <c r="E44" s="104" t="s">
        <v>883</v>
      </c>
      <c r="G44" s="13"/>
      <c r="H44" s="9" t="s">
        <v>3</v>
      </c>
      <c r="I44" s="9" t="s">
        <v>4</v>
      </c>
      <c r="J44" s="9" t="s">
        <v>5</v>
      </c>
      <c r="K44" s="9" t="s">
        <v>6</v>
      </c>
      <c r="L44" s="9" t="s">
        <v>7</v>
      </c>
      <c r="M44" s="9" t="s">
        <v>8</v>
      </c>
      <c r="N44" s="9" t="s">
        <v>9</v>
      </c>
      <c r="O44" s="9" t="s">
        <v>10</v>
      </c>
      <c r="P44" s="44" t="s">
        <v>139</v>
      </c>
    </row>
    <row r="45" spans="5:16" x14ac:dyDescent="0.35">
      <c r="G45" s="49" t="s">
        <v>77</v>
      </c>
      <c r="H45" s="13">
        <f>AVERAGE(H9,H13,H15,H18,H23)</f>
        <v>6.4641219999999864</v>
      </c>
      <c r="I45" s="13">
        <f t="shared" ref="I45:P45" si="14">AVERAGE(I9,I13,I15,I18,I23)</f>
        <v>8.1084940000000074</v>
      </c>
      <c r="J45" s="13">
        <f t="shared" si="14"/>
        <v>0.44416892925441287</v>
      </c>
      <c r="K45" s="13">
        <f t="shared" si="14"/>
        <v>0.55583107074558724</v>
      </c>
      <c r="L45" s="13">
        <f t="shared" si="14"/>
        <v>0.15953884902820636</v>
      </c>
      <c r="M45" s="13">
        <f t="shared" si="14"/>
        <v>6.8722635095102819E-2</v>
      </c>
      <c r="N45" s="13">
        <f t="shared" si="14"/>
        <v>14.572615999999993</v>
      </c>
      <c r="O45" s="13">
        <f t="shared" si="14"/>
        <v>27</v>
      </c>
      <c r="P45" s="13">
        <f t="shared" si="14"/>
        <v>4.185238001202654</v>
      </c>
    </row>
    <row r="46" spans="5:16" x14ac:dyDescent="0.35">
      <c r="G46" s="49" t="s">
        <v>94</v>
      </c>
      <c r="H46" s="2">
        <f>_xlfn.STDEV.S(H9,H13,H15,H18,H23)</f>
        <v>1.3413427631183619</v>
      </c>
      <c r="I46" s="2">
        <f t="shared" ref="I46:P46" si="15">_xlfn.STDEV.S(I9,I13,I15,I18,I23)</f>
        <v>1.4684094420767047</v>
      </c>
      <c r="J46" s="2">
        <f t="shared" si="15"/>
        <v>9.120317420300933E-2</v>
      </c>
      <c r="K46" s="2">
        <f t="shared" si="15"/>
        <v>9.1203174203009024E-2</v>
      </c>
      <c r="L46" s="2">
        <f t="shared" si="15"/>
        <v>2.9480765610862172E-2</v>
      </c>
      <c r="M46" s="2">
        <f t="shared" si="15"/>
        <v>2.9610162531964186E-3</v>
      </c>
      <c r="N46" s="2">
        <f t="shared" si="15"/>
        <v>0.62011798625743997</v>
      </c>
      <c r="O46" s="2">
        <f t="shared" si="15"/>
        <v>6.6332495807107996</v>
      </c>
      <c r="P46" s="2">
        <f t="shared" si="15"/>
        <v>0.6731339912738078</v>
      </c>
    </row>
    <row r="47" spans="5:16" x14ac:dyDescent="0.35">
      <c r="G47" s="49" t="s">
        <v>95</v>
      </c>
      <c r="H47" s="2">
        <f>H46/(SQRT(COUNT(H9,H13,H15,H18,H23)))</f>
        <v>0.5998667198920109</v>
      </c>
      <c r="I47" s="2">
        <f t="shared" ref="I47:P47" si="16">I46/(SQRT(COUNT(I9,I13,I15,I18,I23)))</f>
        <v>0.65669266625721023</v>
      </c>
      <c r="J47" s="2">
        <f t="shared" si="16"/>
        <v>4.0787299456336808E-2</v>
      </c>
      <c r="K47" s="2">
        <f t="shared" si="16"/>
        <v>4.0787299456336676E-2</v>
      </c>
      <c r="L47" s="2">
        <f t="shared" si="16"/>
        <v>1.3184199186925186E-2</v>
      </c>
      <c r="M47" s="2">
        <f t="shared" si="16"/>
        <v>1.3242067249257842E-3</v>
      </c>
      <c r="N47" s="2">
        <f t="shared" si="16"/>
        <v>0.2773251942683832</v>
      </c>
      <c r="O47" s="2">
        <f t="shared" si="16"/>
        <v>2.9664793948382648</v>
      </c>
      <c r="P47" s="2">
        <f t="shared" si="16"/>
        <v>0.30103467249079691</v>
      </c>
    </row>
    <row r="52" spans="2:18" ht="18.5" x14ac:dyDescent="0.45">
      <c r="B52" s="3"/>
      <c r="C52" s="3" t="s">
        <v>20</v>
      </c>
      <c r="D52" s="3"/>
      <c r="F52" s="1" t="s">
        <v>866</v>
      </c>
      <c r="G52" s="3"/>
      <c r="H52" s="3"/>
      <c r="I52" s="3"/>
      <c r="J52" s="3"/>
      <c r="K52" s="3"/>
      <c r="L52" s="3"/>
      <c r="M52" s="3"/>
      <c r="N52" s="3"/>
      <c r="O52" s="3"/>
    </row>
    <row r="53" spans="2:18" ht="16" thickBot="1" x14ac:dyDescent="0.4">
      <c r="B53" s="317" t="s">
        <v>861</v>
      </c>
      <c r="C53" s="317" t="s">
        <v>862</v>
      </c>
      <c r="D53" s="317" t="s">
        <v>863</v>
      </c>
      <c r="F53" s="9" t="s">
        <v>1</v>
      </c>
      <c r="G53" s="9" t="s">
        <v>2</v>
      </c>
      <c r="H53" s="9" t="s">
        <v>3</v>
      </c>
      <c r="I53" s="9" t="s">
        <v>4</v>
      </c>
      <c r="J53" s="9" t="s">
        <v>5</v>
      </c>
      <c r="K53" s="9" t="s">
        <v>6</v>
      </c>
      <c r="L53" s="9" t="s">
        <v>7</v>
      </c>
      <c r="M53" s="9" t="s">
        <v>8</v>
      </c>
      <c r="N53" s="9" t="s">
        <v>9</v>
      </c>
      <c r="O53" s="9" t="s">
        <v>10</v>
      </c>
      <c r="P53" s="44" t="s">
        <v>139</v>
      </c>
      <c r="R53" s="44" t="s">
        <v>138</v>
      </c>
    </row>
    <row r="54" spans="2:18" x14ac:dyDescent="0.35">
      <c r="B54">
        <v>23.312819999999999</v>
      </c>
      <c r="C54">
        <v>30.18787</v>
      </c>
      <c r="D54">
        <f>C54-B54</f>
        <v>6.8750500000000017</v>
      </c>
      <c r="F54">
        <v>16.742979999999999</v>
      </c>
      <c r="G54">
        <v>23.503399999999999</v>
      </c>
      <c r="H54" s="2">
        <f t="shared" ref="H54:H63" si="17">G54-F54</f>
        <v>6.7604199999999999</v>
      </c>
      <c r="I54" s="2">
        <f t="shared" ref="I54:I62" si="18">F55-G54</f>
        <v>18.428490000000004</v>
      </c>
      <c r="J54" s="2">
        <f t="shared" ref="J54:J62" si="19">H54/N54</f>
        <v>0.26838874727012796</v>
      </c>
      <c r="K54" s="2">
        <f t="shared" ref="K54:K62" si="20">I54/N54</f>
        <v>0.73161125272987204</v>
      </c>
      <c r="L54" s="2">
        <f t="shared" ref="L54:L62" si="21">1/H54</f>
        <v>0.14791980379917224</v>
      </c>
      <c r="M54" s="2">
        <f t="shared" ref="M54:M62" si="22">1/N54</f>
        <v>3.9700010838102956E-2</v>
      </c>
      <c r="N54" s="2">
        <f t="shared" ref="N54:N62" si="23">H54+I54</f>
        <v>25.188910000000003</v>
      </c>
      <c r="O54" s="2">
        <v>24</v>
      </c>
      <c r="P54">
        <f>O54/H54</f>
        <v>3.5500752911801339</v>
      </c>
      <c r="R54" t="s">
        <v>867</v>
      </c>
    </row>
    <row r="55" spans="2:18" x14ac:dyDescent="0.35">
      <c r="F55">
        <v>41.931890000000003</v>
      </c>
      <c r="G55">
        <v>48.243780000000001</v>
      </c>
      <c r="H55" s="2">
        <f t="shared" si="17"/>
        <v>6.3118899999999982</v>
      </c>
      <c r="I55" s="2">
        <f t="shared" si="18"/>
        <v>10.300689999999996</v>
      </c>
      <c r="J55" s="2">
        <f t="shared" si="19"/>
        <v>0.37994640206397806</v>
      </c>
      <c r="K55" s="2">
        <f t="shared" si="20"/>
        <v>0.62005359793602199</v>
      </c>
      <c r="L55" s="2">
        <f t="shared" si="21"/>
        <v>0.15843115136670638</v>
      </c>
      <c r="M55" s="2">
        <f t="shared" si="22"/>
        <v>6.0195345936633587E-2</v>
      </c>
      <c r="N55" s="2">
        <f t="shared" si="23"/>
        <v>16.612579999999994</v>
      </c>
      <c r="O55" s="2">
        <v>21</v>
      </c>
      <c r="P55">
        <f t="shared" ref="P55:P63" si="24">O55/H55</f>
        <v>3.3270541787008336</v>
      </c>
    </row>
    <row r="56" spans="2:18" x14ac:dyDescent="0.35">
      <c r="C56" s="2"/>
      <c r="D56" s="2"/>
      <c r="E56" s="2"/>
      <c r="F56">
        <v>58.544469999999997</v>
      </c>
      <c r="G56">
        <v>64.994600000000005</v>
      </c>
      <c r="H56" s="2">
        <f t="shared" si="17"/>
        <v>6.4501300000000086</v>
      </c>
      <c r="I56" s="2">
        <f t="shared" si="18"/>
        <v>9.500630000000001</v>
      </c>
      <c r="J56" s="2">
        <f t="shared" si="19"/>
        <v>0.40437759705493687</v>
      </c>
      <c r="K56" s="2">
        <f t="shared" si="20"/>
        <v>0.59562240294506319</v>
      </c>
      <c r="L56" s="2">
        <f t="shared" si="21"/>
        <v>0.15503563494069092</v>
      </c>
      <c r="M56" s="2">
        <f t="shared" si="22"/>
        <v>6.2692937515202996E-2</v>
      </c>
      <c r="N56" s="2">
        <f t="shared" si="23"/>
        <v>15.95076000000001</v>
      </c>
      <c r="O56" s="2">
        <v>21</v>
      </c>
      <c r="P56">
        <f t="shared" si="24"/>
        <v>3.255748333754509</v>
      </c>
    </row>
    <row r="57" spans="2:18" x14ac:dyDescent="0.35">
      <c r="B57">
        <v>81.328950000000006</v>
      </c>
      <c r="C57">
        <v>88.203990000000005</v>
      </c>
      <c r="D57">
        <f>C57-B57</f>
        <v>6.8750399999999985</v>
      </c>
      <c r="E57" s="2"/>
      <c r="F57">
        <v>74.495230000000006</v>
      </c>
      <c r="G57">
        <v>79.994060000000005</v>
      </c>
      <c r="H57" s="2">
        <f t="shared" si="17"/>
        <v>5.4988299999999981</v>
      </c>
      <c r="I57" s="2">
        <f t="shared" si="18"/>
        <v>20.023399999999995</v>
      </c>
      <c r="J57" s="2">
        <f t="shared" si="19"/>
        <v>0.21545256821210371</v>
      </c>
      <c r="K57" s="2">
        <f t="shared" si="20"/>
        <v>0.78454743178789632</v>
      </c>
      <c r="L57" s="2">
        <f t="shared" si="21"/>
        <v>0.18185686773368159</v>
      </c>
      <c r="M57" s="2">
        <f t="shared" si="22"/>
        <v>3.9181529200230554E-2</v>
      </c>
      <c r="N57" s="2">
        <f t="shared" si="23"/>
        <v>25.522229999999993</v>
      </c>
      <c r="O57" s="2">
        <v>16</v>
      </c>
      <c r="P57">
        <f t="shared" si="24"/>
        <v>2.9097098837389055</v>
      </c>
    </row>
    <row r="58" spans="2:18" x14ac:dyDescent="0.35">
      <c r="C58" s="2"/>
      <c r="D58" s="2"/>
      <c r="E58" s="2"/>
      <c r="F58">
        <v>100.01746</v>
      </c>
      <c r="G58" s="45">
        <v>108.51782</v>
      </c>
      <c r="H58" s="2">
        <f t="shared" si="17"/>
        <v>8.5003600000000006</v>
      </c>
      <c r="I58" s="2">
        <f t="shared" si="18"/>
        <v>10.229820000000004</v>
      </c>
      <c r="J58" s="2">
        <f t="shared" si="19"/>
        <v>0.45383226429217438</v>
      </c>
      <c r="K58" s="2">
        <f t="shared" si="20"/>
        <v>0.54616773570782562</v>
      </c>
      <c r="L58" s="2">
        <f t="shared" si="21"/>
        <v>0.11764207633559048</v>
      </c>
      <c r="M58" s="2">
        <f t="shared" si="22"/>
        <v>5.3389769879413851E-2</v>
      </c>
      <c r="N58" s="2">
        <f t="shared" si="23"/>
        <v>18.730180000000004</v>
      </c>
      <c r="O58" s="2">
        <v>25</v>
      </c>
      <c r="P58">
        <f t="shared" si="24"/>
        <v>2.9410519083897619</v>
      </c>
    </row>
    <row r="59" spans="2:18" x14ac:dyDescent="0.35">
      <c r="E59" s="2"/>
      <c r="F59">
        <v>118.74764</v>
      </c>
      <c r="G59" s="45">
        <v>122.94719000000001</v>
      </c>
      <c r="H59" s="2">
        <f t="shared" si="17"/>
        <v>4.1995500000000021</v>
      </c>
      <c r="I59" s="2">
        <f t="shared" si="18"/>
        <v>12.761059999999986</v>
      </c>
      <c r="J59" s="2">
        <f t="shared" si="19"/>
        <v>0.24760607077221899</v>
      </c>
      <c r="K59" s="2">
        <f t="shared" si="20"/>
        <v>0.75239392922778103</v>
      </c>
      <c r="L59" s="2">
        <f t="shared" si="21"/>
        <v>0.23812075103284863</v>
      </c>
      <c r="M59" s="2">
        <f t="shared" si="22"/>
        <v>5.8960143532573457E-2</v>
      </c>
      <c r="N59" s="2">
        <f t="shared" si="23"/>
        <v>16.960609999999988</v>
      </c>
      <c r="O59" s="2">
        <v>12</v>
      </c>
      <c r="P59">
        <f t="shared" si="24"/>
        <v>2.8574490123941838</v>
      </c>
      <c r="R59" t="s">
        <v>868</v>
      </c>
    </row>
    <row r="60" spans="2:18" x14ac:dyDescent="0.35">
      <c r="B60">
        <v>142.92263</v>
      </c>
      <c r="C60">
        <v>149.79765</v>
      </c>
      <c r="D60">
        <f>C60-B60</f>
        <v>6.8750200000000063</v>
      </c>
      <c r="E60" s="2"/>
      <c r="F60">
        <v>135.70824999999999</v>
      </c>
      <c r="G60" s="45">
        <v>142.70899</v>
      </c>
      <c r="H60" s="2">
        <f t="shared" si="17"/>
        <v>7.0007400000000075</v>
      </c>
      <c r="I60" s="2">
        <f t="shared" si="18"/>
        <v>17.796689999999984</v>
      </c>
      <c r="J60" s="2">
        <f t="shared" si="19"/>
        <v>0.2823171594798336</v>
      </c>
      <c r="K60" s="2">
        <f t="shared" si="20"/>
        <v>0.7176828405201664</v>
      </c>
      <c r="L60" s="2">
        <f t="shared" si="21"/>
        <v>0.14284204241265908</v>
      </c>
      <c r="M60" s="2">
        <f t="shared" si="22"/>
        <v>4.0326759668239828E-2</v>
      </c>
      <c r="N60" s="2">
        <f t="shared" si="23"/>
        <v>24.797429999999991</v>
      </c>
      <c r="O60" s="2">
        <v>15</v>
      </c>
      <c r="P60">
        <f t="shared" si="24"/>
        <v>2.1426306361898861</v>
      </c>
    </row>
    <row r="61" spans="2:18" x14ac:dyDescent="0.35">
      <c r="C61" s="2"/>
      <c r="E61" s="2"/>
      <c r="F61">
        <v>160.50567999999998</v>
      </c>
      <c r="G61">
        <v>171.44828000000001</v>
      </c>
      <c r="H61" s="2">
        <f t="shared" si="17"/>
        <v>10.942600000000027</v>
      </c>
      <c r="I61" s="2">
        <f t="shared" si="18"/>
        <v>7.9643399999999929</v>
      </c>
      <c r="J61" s="2">
        <f t="shared" si="19"/>
        <v>0.57876102637444327</v>
      </c>
      <c r="K61" s="2">
        <f t="shared" si="20"/>
        <v>0.42123897362555679</v>
      </c>
      <c r="L61" s="2">
        <f t="shared" si="21"/>
        <v>9.138595946118816E-2</v>
      </c>
      <c r="M61" s="2">
        <f t="shared" si="22"/>
        <v>5.289063169397052E-2</v>
      </c>
      <c r="N61" s="2">
        <f t="shared" si="23"/>
        <v>18.90694000000002</v>
      </c>
      <c r="O61" s="2">
        <v>29</v>
      </c>
      <c r="P61">
        <f t="shared" si="24"/>
        <v>2.6501928243744564</v>
      </c>
    </row>
    <row r="62" spans="2:18" x14ac:dyDescent="0.35">
      <c r="C62" s="2"/>
      <c r="D62" s="2"/>
      <c r="E62" s="2"/>
      <c r="F62">
        <v>179.41262</v>
      </c>
      <c r="G62">
        <v>184.97996999999998</v>
      </c>
      <c r="H62" s="2">
        <f t="shared" si="17"/>
        <v>5.5673499999999763</v>
      </c>
      <c r="I62" s="2">
        <f t="shared" si="18"/>
        <v>10.437190000000015</v>
      </c>
      <c r="J62" s="2">
        <f t="shared" si="19"/>
        <v>0.34786066953501815</v>
      </c>
      <c r="K62" s="2">
        <f t="shared" si="20"/>
        <v>0.65213933046498185</v>
      </c>
      <c r="L62" s="2">
        <f t="shared" si="21"/>
        <v>0.1796186695645153</v>
      </c>
      <c r="M62" s="2">
        <f t="shared" si="22"/>
        <v>6.2482270655701479E-2</v>
      </c>
      <c r="N62" s="2">
        <f t="shared" si="23"/>
        <v>16.004539999999992</v>
      </c>
      <c r="O62" s="2">
        <v>16</v>
      </c>
      <c r="P62">
        <f t="shared" si="24"/>
        <v>2.8738987130322449</v>
      </c>
    </row>
    <row r="63" spans="2:18" x14ac:dyDescent="0.35">
      <c r="C63" s="2"/>
      <c r="D63" s="2"/>
      <c r="E63" s="2"/>
      <c r="F63">
        <v>195.41716</v>
      </c>
      <c r="G63">
        <v>198.70422000000002</v>
      </c>
      <c r="H63" s="2">
        <f t="shared" si="17"/>
        <v>3.2870600000000252</v>
      </c>
      <c r="I63" s="2"/>
      <c r="J63" s="2"/>
      <c r="K63" s="2"/>
      <c r="L63" s="2"/>
      <c r="M63" s="2"/>
      <c r="N63" s="2"/>
      <c r="O63" s="2">
        <v>8</v>
      </c>
      <c r="P63">
        <f t="shared" si="24"/>
        <v>2.4337858146793603</v>
      </c>
    </row>
    <row r="64" spans="2:18" x14ac:dyDescent="0.35">
      <c r="C64" s="2"/>
      <c r="E64" s="2"/>
      <c r="H64" s="2"/>
      <c r="I64" s="2"/>
      <c r="J64" s="2"/>
      <c r="K64" s="2"/>
      <c r="L64" s="2"/>
      <c r="M64" s="2"/>
      <c r="N64" s="2"/>
      <c r="O64" s="2"/>
    </row>
    <row r="65" spans="3:16" x14ac:dyDescent="0.35">
      <c r="C65" s="2"/>
      <c r="D65" s="2"/>
      <c r="E65" s="2"/>
      <c r="H65" s="2"/>
      <c r="I65" s="2"/>
      <c r="J65" s="2"/>
      <c r="K65" s="2"/>
      <c r="L65" s="2"/>
      <c r="M65" s="2"/>
      <c r="N65" s="2"/>
      <c r="O65" s="2"/>
    </row>
    <row r="66" spans="3:16" x14ac:dyDescent="0.35">
      <c r="C66" s="2"/>
      <c r="D66" s="2"/>
      <c r="E66" s="2"/>
      <c r="H66" s="2"/>
      <c r="I66" s="2"/>
      <c r="J66" s="2"/>
      <c r="K66" s="2"/>
      <c r="L66" s="2"/>
      <c r="M66" s="2"/>
      <c r="N66" s="2"/>
      <c r="O66" s="2"/>
    </row>
    <row r="67" spans="3:16" x14ac:dyDescent="0.35">
      <c r="C67" s="2"/>
      <c r="D67" s="2"/>
      <c r="E67" s="2"/>
      <c r="H67" s="2"/>
      <c r="I67" s="2"/>
      <c r="J67" s="2"/>
      <c r="K67" s="2"/>
      <c r="L67" s="2"/>
      <c r="M67" s="2"/>
      <c r="N67" s="2"/>
      <c r="O67" s="2"/>
    </row>
    <row r="68" spans="3:16" ht="16" thickBot="1" x14ac:dyDescent="0.4">
      <c r="C68" s="2"/>
      <c r="E68" s="104" t="s">
        <v>78</v>
      </c>
      <c r="G68" s="13"/>
      <c r="H68" s="9" t="s">
        <v>3</v>
      </c>
      <c r="I68" s="9" t="s">
        <v>4</v>
      </c>
      <c r="J68" s="9" t="s">
        <v>5</v>
      </c>
      <c r="K68" s="9" t="s">
        <v>6</v>
      </c>
      <c r="L68" s="9" t="s">
        <v>7</v>
      </c>
      <c r="M68" s="9" t="s">
        <v>8</v>
      </c>
      <c r="N68" s="9" t="s">
        <v>9</v>
      </c>
      <c r="O68" s="9" t="s">
        <v>10</v>
      </c>
      <c r="P68" s="44" t="s">
        <v>139</v>
      </c>
    </row>
    <row r="69" spans="3:16" x14ac:dyDescent="0.35">
      <c r="C69" s="2"/>
      <c r="G69" s="49" t="s">
        <v>77</v>
      </c>
      <c r="H69" s="13">
        <f>AVERAGE(H55:H56,H58:H59,H61:H62)</f>
        <v>6.9953133333333355</v>
      </c>
      <c r="I69" s="13">
        <f t="shared" ref="I69:P69" si="25">AVERAGE(I55:I56,I58:I59,I61:I62)</f>
        <v>10.198955</v>
      </c>
      <c r="J69" s="13">
        <f t="shared" si="25"/>
        <v>0.40206400501546158</v>
      </c>
      <c r="K69" s="13">
        <f t="shared" si="25"/>
        <v>0.59793599498453842</v>
      </c>
      <c r="L69" s="13">
        <f t="shared" si="25"/>
        <v>0.1567057071169233</v>
      </c>
      <c r="M69" s="13">
        <f t="shared" si="25"/>
        <v>5.8435183202249323E-2</v>
      </c>
      <c r="N69" s="13">
        <f t="shared" si="25"/>
        <v>17.194268333333337</v>
      </c>
      <c r="O69" s="13">
        <f t="shared" si="25"/>
        <v>20.666666666666668</v>
      </c>
      <c r="P69" s="13">
        <f t="shared" si="25"/>
        <v>2.9842324951076651</v>
      </c>
    </row>
    <row r="70" spans="3:16" x14ac:dyDescent="0.35">
      <c r="C70" s="2"/>
      <c r="G70" s="49" t="s">
        <v>94</v>
      </c>
      <c r="H70" s="2">
        <f>_xlfn.STDEV.S(H55:H56,H58:H59,H61:H62)</f>
        <v>2.3860386298018574</v>
      </c>
      <c r="I70" s="2">
        <f t="shared" ref="I70:P70" si="26">_xlfn.STDEV.S(I55:I56,I58:I59,I61:I62)</f>
        <v>1.556509081794897</v>
      </c>
      <c r="J70" s="2">
        <f t="shared" si="26"/>
        <v>0.1106269281160943</v>
      </c>
      <c r="K70" s="2">
        <f t="shared" si="26"/>
        <v>0.11062692811609399</v>
      </c>
      <c r="L70" s="2">
        <f t="shared" si="26"/>
        <v>5.0895611218491024E-2</v>
      </c>
      <c r="M70" s="2">
        <f t="shared" si="26"/>
        <v>4.337727328256053E-3</v>
      </c>
      <c r="N70" s="2">
        <f t="shared" si="26"/>
        <v>1.3150659984718198</v>
      </c>
      <c r="O70" s="2">
        <f t="shared" si="26"/>
        <v>6.0882400303098017</v>
      </c>
      <c r="P70" s="2">
        <f t="shared" si="26"/>
        <v>0.2580473665925046</v>
      </c>
    </row>
    <row r="71" spans="3:16" x14ac:dyDescent="0.35">
      <c r="C71" s="2"/>
      <c r="G71" s="49" t="s">
        <v>95</v>
      </c>
      <c r="H71" s="2">
        <f>H70/(SQRT(COUNT(H55:H56,H58:H59,H61:H62)))</f>
        <v>0.97409619159734651</v>
      </c>
      <c r="I71" s="2">
        <f t="shared" ref="I71:P71" si="27">I70/(SQRT(COUNT(I55:I56,I58:I59,I61:I62)))</f>
        <v>0.63544217173424389</v>
      </c>
      <c r="J71" s="2">
        <f t="shared" si="27"/>
        <v>4.5163254282664163E-2</v>
      </c>
      <c r="K71" s="2">
        <f t="shared" si="27"/>
        <v>4.5163254282664038E-2</v>
      </c>
      <c r="L71" s="2">
        <f t="shared" si="27"/>
        <v>2.0778046272062371E-2</v>
      </c>
      <c r="M71" s="2">
        <f t="shared" si="27"/>
        <v>1.7708697662589137E-3</v>
      </c>
      <c r="N71" s="2">
        <f t="shared" si="27"/>
        <v>0.53687344572327356</v>
      </c>
      <c r="O71" s="2">
        <f t="shared" si="27"/>
        <v>2.4855135843076344</v>
      </c>
      <c r="P71" s="2">
        <f t="shared" si="27"/>
        <v>0.10534739627009176</v>
      </c>
    </row>
    <row r="72" spans="3:16" x14ac:dyDescent="0.35">
      <c r="C72" s="2"/>
    </row>
    <row r="73" spans="3:16" x14ac:dyDescent="0.35">
      <c r="C73" s="2"/>
    </row>
    <row r="74" spans="3:16" ht="16" thickBot="1" x14ac:dyDescent="0.4">
      <c r="C74" s="2"/>
      <c r="E74" s="104" t="s">
        <v>20</v>
      </c>
      <c r="G74" s="13"/>
      <c r="H74" s="9" t="s">
        <v>3</v>
      </c>
      <c r="I74" s="9" t="s">
        <v>4</v>
      </c>
      <c r="J74" s="9" t="s">
        <v>5</v>
      </c>
      <c r="K74" s="9" t="s">
        <v>6</v>
      </c>
      <c r="L74" s="9" t="s">
        <v>7</v>
      </c>
      <c r="M74" s="9" t="s">
        <v>8</v>
      </c>
      <c r="N74" s="9" t="s">
        <v>9</v>
      </c>
      <c r="O74" s="9" t="s">
        <v>10</v>
      </c>
      <c r="P74" s="44" t="s">
        <v>139</v>
      </c>
    </row>
    <row r="75" spans="3:16" x14ac:dyDescent="0.35">
      <c r="G75" s="49" t="s">
        <v>77</v>
      </c>
      <c r="H75" s="13">
        <f>AVERAGE(H54,H57,H60)</f>
        <v>6.4199966666666688</v>
      </c>
      <c r="I75" s="13">
        <f t="shared" ref="I75:P75" si="28">AVERAGE(I54,I57,I60)</f>
        <v>18.749526666666661</v>
      </c>
      <c r="J75" s="13">
        <f t="shared" si="28"/>
        <v>0.25538615832068839</v>
      </c>
      <c r="K75" s="13">
        <f t="shared" si="28"/>
        <v>0.74461384167931166</v>
      </c>
      <c r="L75" s="13">
        <f t="shared" si="28"/>
        <v>0.15753957131517096</v>
      </c>
      <c r="M75" s="13">
        <f t="shared" si="28"/>
        <v>3.973609990219111E-2</v>
      </c>
      <c r="N75" s="13">
        <f t="shared" si="28"/>
        <v>25.169523333333331</v>
      </c>
      <c r="O75" s="13">
        <f t="shared" si="28"/>
        <v>18.333333333333332</v>
      </c>
      <c r="P75" s="13">
        <f t="shared" si="28"/>
        <v>2.8674719370363086</v>
      </c>
    </row>
    <row r="76" spans="3:16" x14ac:dyDescent="0.35">
      <c r="G76" s="49" t="s">
        <v>94</v>
      </c>
      <c r="H76" s="2">
        <f>_xlfn.STDEV.S(H54,H57,H60)</f>
        <v>0.80675240714443985</v>
      </c>
      <c r="I76" s="2">
        <f t="shared" ref="I76:P76" si="29">_xlfn.STDEV.S(I54,I57,I60)</f>
        <v>1.1475442309703541</v>
      </c>
      <c r="J76" s="2">
        <f t="shared" si="29"/>
        <v>3.5277739169215581E-2</v>
      </c>
      <c r="K76" s="2">
        <f t="shared" si="29"/>
        <v>3.5277739169215644E-2</v>
      </c>
      <c r="L76" s="2">
        <f t="shared" si="29"/>
        <v>2.1211885677701426E-2</v>
      </c>
      <c r="M76" s="2">
        <f t="shared" si="29"/>
        <v>5.7346754190996246E-4</v>
      </c>
      <c r="N76" s="2">
        <f t="shared" si="29"/>
        <v>0.36278870177189121</v>
      </c>
      <c r="O76" s="2">
        <f t="shared" si="29"/>
        <v>4.9328828623162453</v>
      </c>
      <c r="P76" s="2">
        <f t="shared" si="29"/>
        <v>0.70467236877955364</v>
      </c>
    </row>
    <row r="77" spans="3:16" x14ac:dyDescent="0.35">
      <c r="G77" s="49" t="s">
        <v>95</v>
      </c>
      <c r="H77" s="2">
        <f>H76/(SQRT(COUNT(H54,H57,H60)))</f>
        <v>0.46577871943422094</v>
      </c>
      <c r="I77" s="2">
        <f t="shared" ref="I77:P77" si="30">I76/(SQRT(COUNT(I54,I57,I60)))</f>
        <v>0.66253497065773603</v>
      </c>
      <c r="J77" s="2">
        <f t="shared" si="30"/>
        <v>2.0367612205748023E-2</v>
      </c>
      <c r="K77" s="2">
        <f t="shared" si="30"/>
        <v>2.0367612205748058E-2</v>
      </c>
      <c r="L77" s="2">
        <f t="shared" si="30"/>
        <v>1.2246687906040487E-2</v>
      </c>
      <c r="M77" s="2">
        <f t="shared" si="30"/>
        <v>3.3109163969322986E-4</v>
      </c>
      <c r="N77" s="2">
        <f t="shared" si="30"/>
        <v>0.20945615462695627</v>
      </c>
      <c r="O77" s="2">
        <f t="shared" si="30"/>
        <v>2.8480012484391759</v>
      </c>
      <c r="P77" s="2">
        <f t="shared" si="30"/>
        <v>0.40684278180536654</v>
      </c>
    </row>
  </sheetData>
  <pageMargins left="0.7" right="0.7" top="0.75" bottom="0.75" header="0.3" footer="0.3"/>
  <pageSetup orientation="portrait" horizontalDpi="0"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109"/>
  <sheetViews>
    <sheetView topLeftCell="A73" workbookViewId="0">
      <selection activeCell="H107" sqref="H107:P107"/>
    </sheetView>
  </sheetViews>
  <sheetFormatPr defaultRowHeight="14.5" x14ac:dyDescent="0.35"/>
  <sheetData>
    <row r="4" spans="2:18" ht="18.5" x14ac:dyDescent="0.45">
      <c r="C4" s="1" t="s">
        <v>869</v>
      </c>
      <c r="D4" s="2"/>
      <c r="E4" s="2"/>
      <c r="F4" s="2"/>
      <c r="G4" s="2"/>
      <c r="H4" s="2"/>
      <c r="I4" s="2"/>
      <c r="J4" s="2"/>
      <c r="K4" s="2"/>
      <c r="L4" s="2"/>
      <c r="M4" s="2"/>
      <c r="N4" s="2"/>
      <c r="O4" s="2"/>
    </row>
    <row r="5" spans="2:18" ht="18.5" x14ac:dyDescent="0.45">
      <c r="B5" s="3"/>
      <c r="C5" s="3" t="s">
        <v>20</v>
      </c>
      <c r="D5" s="3"/>
      <c r="F5" s="1" t="s">
        <v>860</v>
      </c>
      <c r="G5" s="3"/>
      <c r="H5" s="3"/>
      <c r="I5" s="3"/>
      <c r="J5" s="3"/>
      <c r="K5" s="3"/>
      <c r="L5" s="3"/>
      <c r="M5" s="3"/>
      <c r="N5" s="3"/>
      <c r="O5" s="3"/>
    </row>
    <row r="6" spans="2:18" ht="16" thickBot="1" x14ac:dyDescent="0.4">
      <c r="B6" s="317" t="s">
        <v>861</v>
      </c>
      <c r="C6" s="317" t="s">
        <v>862</v>
      </c>
      <c r="D6" s="317" t="s">
        <v>863</v>
      </c>
      <c r="F6" s="9" t="s">
        <v>1</v>
      </c>
      <c r="G6" s="9" t="s">
        <v>2</v>
      </c>
      <c r="H6" s="9" t="s">
        <v>3</v>
      </c>
      <c r="I6" s="9" t="s">
        <v>4</v>
      </c>
      <c r="J6" s="9" t="s">
        <v>5</v>
      </c>
      <c r="K6" s="9" t="s">
        <v>6</v>
      </c>
      <c r="L6" s="9" t="s">
        <v>7</v>
      </c>
      <c r="M6" s="9" t="s">
        <v>8</v>
      </c>
      <c r="N6" s="9" t="s">
        <v>9</v>
      </c>
      <c r="O6" s="9" t="s">
        <v>10</v>
      </c>
      <c r="P6" s="44" t="s">
        <v>139</v>
      </c>
      <c r="R6" s="44" t="s">
        <v>138</v>
      </c>
    </row>
    <row r="7" spans="2:18" x14ac:dyDescent="0.35">
      <c r="F7">
        <v>6.1582499999999998</v>
      </c>
      <c r="G7" s="45">
        <v>12.50459</v>
      </c>
      <c r="H7" s="2">
        <f t="shared" ref="H7:H23" si="0">G7-F7</f>
        <v>6.3463400000000005</v>
      </c>
      <c r="I7" s="2">
        <f t="shared" ref="I7:I23" si="1">F8-G7</f>
        <v>9.61965</v>
      </c>
      <c r="J7" s="2">
        <f t="shared" ref="J7:J23" si="2">H7/N7</f>
        <v>0.39749116716219912</v>
      </c>
      <c r="K7" s="2">
        <f t="shared" ref="K7:K23" si="3">I7/N7</f>
        <v>0.60250883283780077</v>
      </c>
      <c r="L7" s="2">
        <f t="shared" ref="L7:L23" si="4">1/H7</f>
        <v>0.15757113548911655</v>
      </c>
      <c r="M7" s="2">
        <f t="shared" ref="M7:M23" si="5">1/N7</f>
        <v>6.2633134556641962E-2</v>
      </c>
      <c r="N7" s="2">
        <f t="shared" ref="N7:N23" si="6">H7+I7</f>
        <v>15.965990000000001</v>
      </c>
      <c r="O7" s="2">
        <v>14</v>
      </c>
      <c r="P7">
        <f>O7/H7</f>
        <v>2.2059958968476319</v>
      </c>
      <c r="R7" t="s">
        <v>870</v>
      </c>
    </row>
    <row r="8" spans="2:18" x14ac:dyDescent="0.35">
      <c r="F8">
        <v>22.12424</v>
      </c>
      <c r="G8">
        <v>28.176439999999999</v>
      </c>
      <c r="H8" s="2">
        <f t="shared" si="0"/>
        <v>6.0521999999999991</v>
      </c>
      <c r="I8" s="2">
        <f t="shared" si="1"/>
        <v>12.217550000000003</v>
      </c>
      <c r="J8" s="2">
        <f t="shared" si="2"/>
        <v>0.33126890077860938</v>
      </c>
      <c r="K8" s="2">
        <f t="shared" si="3"/>
        <v>0.66873109922139062</v>
      </c>
      <c r="L8" s="2">
        <f t="shared" si="4"/>
        <v>0.16522917286276068</v>
      </c>
      <c r="M8" s="2">
        <f t="shared" si="5"/>
        <v>5.4735286470805562E-2</v>
      </c>
      <c r="N8" s="2">
        <f t="shared" si="6"/>
        <v>18.269750000000002</v>
      </c>
      <c r="O8" s="2">
        <v>14</v>
      </c>
      <c r="P8">
        <f t="shared" ref="P8:P42" si="7">O8/H8</f>
        <v>2.3132084200786496</v>
      </c>
    </row>
    <row r="9" spans="2:18" x14ac:dyDescent="0.35">
      <c r="C9" s="2"/>
      <c r="D9" s="2"/>
      <c r="E9" s="2"/>
      <c r="F9">
        <v>40.393990000000002</v>
      </c>
      <c r="G9">
        <v>45.171509999999998</v>
      </c>
      <c r="H9" s="2">
        <f t="shared" si="0"/>
        <v>4.7775199999999955</v>
      </c>
      <c r="I9" s="2">
        <f t="shared" si="1"/>
        <v>4.8361500000000035</v>
      </c>
      <c r="J9" s="2">
        <f t="shared" si="2"/>
        <v>0.49695069624815458</v>
      </c>
      <c r="K9" s="2">
        <f t="shared" si="3"/>
        <v>0.50304930375184542</v>
      </c>
      <c r="L9" s="2">
        <f t="shared" si="4"/>
        <v>0.20931361878129259</v>
      </c>
      <c r="M9" s="2">
        <f t="shared" si="5"/>
        <v>0.10401854858758415</v>
      </c>
      <c r="N9" s="2">
        <f t="shared" si="6"/>
        <v>9.613669999999999</v>
      </c>
      <c r="O9" s="2">
        <v>10</v>
      </c>
      <c r="P9">
        <f t="shared" si="7"/>
        <v>2.093136187812926</v>
      </c>
    </row>
    <row r="10" spans="2:18" x14ac:dyDescent="0.35">
      <c r="C10" s="2"/>
      <c r="D10" s="2"/>
      <c r="E10" s="2"/>
      <c r="F10">
        <v>50.007660000000001</v>
      </c>
      <c r="G10">
        <v>54.705730000000003</v>
      </c>
      <c r="H10" s="2">
        <f t="shared" si="0"/>
        <v>4.6980700000000013</v>
      </c>
      <c r="I10" s="2">
        <f t="shared" si="1"/>
        <v>7.1413399999999996</v>
      </c>
      <c r="J10" s="2">
        <f t="shared" si="2"/>
        <v>0.39681622648425902</v>
      </c>
      <c r="K10" s="2">
        <f t="shared" si="3"/>
        <v>0.60318377351574104</v>
      </c>
      <c r="L10" s="2">
        <f t="shared" si="4"/>
        <v>0.21285336318956502</v>
      </c>
      <c r="M10" s="2">
        <f t="shared" si="5"/>
        <v>8.4463668375366674E-2</v>
      </c>
      <c r="N10" s="2">
        <f t="shared" si="6"/>
        <v>11.839410000000001</v>
      </c>
      <c r="O10" s="2">
        <v>7</v>
      </c>
      <c r="P10">
        <f t="shared" si="7"/>
        <v>1.4899735423269551</v>
      </c>
    </row>
    <row r="11" spans="2:18" x14ac:dyDescent="0.35">
      <c r="C11" s="2"/>
      <c r="D11" s="2"/>
      <c r="E11" s="2"/>
      <c r="F11">
        <v>61.847070000000002</v>
      </c>
      <c r="G11">
        <v>69.34442</v>
      </c>
      <c r="H11" s="2">
        <f t="shared" si="0"/>
        <v>7.4973499999999973</v>
      </c>
      <c r="I11" s="2">
        <f t="shared" si="1"/>
        <v>9.7672799999999995</v>
      </c>
      <c r="J11" s="2">
        <f t="shared" si="2"/>
        <v>0.4342606820997611</v>
      </c>
      <c r="K11" s="2">
        <f t="shared" si="3"/>
        <v>0.5657393179002389</v>
      </c>
      <c r="L11" s="2">
        <f t="shared" si="4"/>
        <v>0.13338046109625407</v>
      </c>
      <c r="M11" s="2">
        <f t="shared" si="5"/>
        <v>5.7921890014439939E-2</v>
      </c>
      <c r="N11" s="2">
        <f t="shared" si="6"/>
        <v>17.264629999999997</v>
      </c>
      <c r="O11" s="2">
        <v>17</v>
      </c>
      <c r="P11">
        <f t="shared" si="7"/>
        <v>2.267467838636319</v>
      </c>
    </row>
    <row r="12" spans="2:18" x14ac:dyDescent="0.35">
      <c r="E12" s="2"/>
      <c r="F12">
        <v>79.111699999999999</v>
      </c>
      <c r="G12" s="45">
        <v>85.326560000000001</v>
      </c>
      <c r="H12" s="2">
        <f t="shared" si="0"/>
        <v>6.2148600000000016</v>
      </c>
      <c r="I12" s="2">
        <f t="shared" si="1"/>
        <v>14.273439999999994</v>
      </c>
      <c r="J12" s="2">
        <f t="shared" si="2"/>
        <v>0.30333702649805028</v>
      </c>
      <c r="K12" s="2">
        <f t="shared" si="3"/>
        <v>0.69666297350194972</v>
      </c>
      <c r="L12" s="2">
        <f t="shared" si="4"/>
        <v>0.16090467041896353</v>
      </c>
      <c r="M12" s="2">
        <f t="shared" si="5"/>
        <v>4.8808344274537188E-2</v>
      </c>
      <c r="N12" s="2">
        <f t="shared" si="6"/>
        <v>20.488299999999995</v>
      </c>
      <c r="O12" s="2">
        <v>14</v>
      </c>
      <c r="P12">
        <f t="shared" si="7"/>
        <v>2.2526653858654897</v>
      </c>
    </row>
    <row r="13" spans="2:18" x14ac:dyDescent="0.35">
      <c r="C13" s="2"/>
      <c r="D13" s="2"/>
      <c r="E13" s="2"/>
      <c r="F13">
        <v>99.6</v>
      </c>
      <c r="G13" s="45">
        <v>105.72139</v>
      </c>
      <c r="H13" s="2">
        <f t="shared" si="0"/>
        <v>6.1213900000000052</v>
      </c>
      <c r="I13" s="2">
        <f t="shared" si="1"/>
        <v>10.501909999999995</v>
      </c>
      <c r="J13" s="2">
        <f t="shared" si="2"/>
        <v>0.36824156455096191</v>
      </c>
      <c r="K13" s="2">
        <f t="shared" si="3"/>
        <v>0.63175843544903809</v>
      </c>
      <c r="L13" s="2">
        <f t="shared" si="4"/>
        <v>0.16336158944292051</v>
      </c>
      <c r="M13" s="2">
        <f t="shared" si="5"/>
        <v>6.0156527283992949E-2</v>
      </c>
      <c r="N13" s="2">
        <f t="shared" si="6"/>
        <v>16.6233</v>
      </c>
      <c r="O13" s="2">
        <v>14</v>
      </c>
      <c r="P13">
        <f t="shared" si="7"/>
        <v>2.287062252200887</v>
      </c>
    </row>
    <row r="14" spans="2:18" x14ac:dyDescent="0.35">
      <c r="C14" s="2"/>
      <c r="E14" s="2"/>
      <c r="F14">
        <v>116.22329999999999</v>
      </c>
      <c r="G14">
        <v>119.79810000000001</v>
      </c>
      <c r="H14" s="2">
        <f t="shared" si="0"/>
        <v>3.5748000000000104</v>
      </c>
      <c r="I14" s="2">
        <f t="shared" si="1"/>
        <v>6.9681799999999896</v>
      </c>
      <c r="J14" s="2">
        <f t="shared" si="2"/>
        <v>0.3390692195185811</v>
      </c>
      <c r="K14" s="2">
        <f t="shared" si="3"/>
        <v>0.66093078048141884</v>
      </c>
      <c r="L14" s="2">
        <f t="shared" si="4"/>
        <v>0.27973592928275626</v>
      </c>
      <c r="M14" s="2">
        <f t="shared" si="5"/>
        <v>9.4849843213209162E-2</v>
      </c>
      <c r="N14" s="2">
        <f t="shared" si="6"/>
        <v>10.54298</v>
      </c>
      <c r="O14" s="2">
        <v>10</v>
      </c>
      <c r="P14">
        <f t="shared" si="7"/>
        <v>2.7973592928275628</v>
      </c>
    </row>
    <row r="15" spans="2:18" x14ac:dyDescent="0.35">
      <c r="C15" s="2"/>
      <c r="D15" s="2"/>
      <c r="E15" s="2"/>
      <c r="F15">
        <v>126.76627999999999</v>
      </c>
      <c r="G15">
        <v>130.47342</v>
      </c>
      <c r="H15" s="2">
        <f t="shared" si="0"/>
        <v>3.7071400000000096</v>
      </c>
      <c r="I15" s="2">
        <f t="shared" si="1"/>
        <v>7.9964099999999974</v>
      </c>
      <c r="J15" s="2">
        <f t="shared" si="2"/>
        <v>0.3167534636926409</v>
      </c>
      <c r="K15" s="2">
        <f t="shared" si="3"/>
        <v>0.6832465363073591</v>
      </c>
      <c r="L15" s="2">
        <f t="shared" si="4"/>
        <v>0.26974972620402721</v>
      </c>
      <c r="M15" s="2">
        <f t="shared" si="5"/>
        <v>8.5444160105267147E-2</v>
      </c>
      <c r="N15" s="2">
        <f t="shared" si="6"/>
        <v>11.703550000000007</v>
      </c>
      <c r="O15" s="2">
        <v>6</v>
      </c>
      <c r="P15">
        <f t="shared" si="7"/>
        <v>1.6184983572241631</v>
      </c>
      <c r="R15" t="s">
        <v>871</v>
      </c>
    </row>
    <row r="16" spans="2:18" x14ac:dyDescent="0.35">
      <c r="C16" s="2"/>
      <c r="D16" s="2"/>
      <c r="E16" s="2"/>
      <c r="F16">
        <v>138.46983</v>
      </c>
      <c r="G16">
        <v>143.83438999999998</v>
      </c>
      <c r="H16" s="2">
        <f t="shared" si="0"/>
        <v>5.3645599999999831</v>
      </c>
      <c r="I16" s="2">
        <f t="shared" si="1"/>
        <v>6.5288800000000151</v>
      </c>
      <c r="J16" s="2">
        <f t="shared" si="2"/>
        <v>0.45105200850216454</v>
      </c>
      <c r="K16" s="2">
        <f t="shared" si="3"/>
        <v>0.54894799149783546</v>
      </c>
      <c r="L16" s="2">
        <f t="shared" si="4"/>
        <v>0.18640857777711559</v>
      </c>
      <c r="M16" s="2">
        <f t="shared" si="5"/>
        <v>8.4079963408399933E-2</v>
      </c>
      <c r="N16" s="2">
        <f t="shared" si="6"/>
        <v>11.893439999999998</v>
      </c>
      <c r="O16" s="2">
        <v>12</v>
      </c>
      <c r="P16">
        <f t="shared" si="7"/>
        <v>2.2369029333253869</v>
      </c>
    </row>
    <row r="17" spans="2:18" x14ac:dyDescent="0.35">
      <c r="C17" s="2"/>
      <c r="E17" s="2"/>
      <c r="F17">
        <v>150.36327</v>
      </c>
      <c r="G17">
        <v>153.97293999999999</v>
      </c>
      <c r="H17" s="2">
        <f t="shared" si="0"/>
        <v>3.6096699999999942</v>
      </c>
      <c r="I17" s="2">
        <f t="shared" si="1"/>
        <v>8.1712300000000084</v>
      </c>
      <c r="J17" s="2">
        <f t="shared" si="2"/>
        <v>0.30640019013827408</v>
      </c>
      <c r="K17" s="2">
        <f t="shared" si="3"/>
        <v>0.69359980986172587</v>
      </c>
      <c r="L17" s="2">
        <f t="shared" si="4"/>
        <v>0.27703363465358372</v>
      </c>
      <c r="M17" s="2">
        <f t="shared" si="5"/>
        <v>8.488315833255522E-2</v>
      </c>
      <c r="N17" s="2">
        <f t="shared" si="6"/>
        <v>11.780900000000003</v>
      </c>
      <c r="O17" s="2">
        <v>7</v>
      </c>
      <c r="P17">
        <f t="shared" si="7"/>
        <v>1.9392354425750862</v>
      </c>
    </row>
    <row r="18" spans="2:18" x14ac:dyDescent="0.35">
      <c r="C18" s="2"/>
      <c r="D18" s="2"/>
      <c r="E18" s="2"/>
      <c r="F18">
        <v>162.14417</v>
      </c>
      <c r="G18">
        <v>168.14139</v>
      </c>
      <c r="H18" s="2">
        <f t="shared" si="0"/>
        <v>5.9972199999999987</v>
      </c>
      <c r="I18" s="2">
        <f t="shared" si="1"/>
        <v>10.497979999999984</v>
      </c>
      <c r="J18" s="2">
        <f t="shared" si="2"/>
        <v>0.36357364566661848</v>
      </c>
      <c r="K18" s="2">
        <f t="shared" si="3"/>
        <v>0.63642635433338157</v>
      </c>
      <c r="L18" s="2">
        <f t="shared" si="4"/>
        <v>0.16674392468510413</v>
      </c>
      <c r="M18" s="2">
        <f t="shared" si="5"/>
        <v>6.0623696590523364E-2</v>
      </c>
      <c r="N18" s="2">
        <f t="shared" si="6"/>
        <v>16.495199999999983</v>
      </c>
      <c r="O18" s="2">
        <v>12</v>
      </c>
      <c r="P18">
        <f t="shared" si="7"/>
        <v>2.0009270962212495</v>
      </c>
    </row>
    <row r="19" spans="2:18" x14ac:dyDescent="0.35">
      <c r="C19" s="2"/>
      <c r="D19" s="2"/>
      <c r="E19" s="2"/>
      <c r="F19">
        <v>178.63936999999999</v>
      </c>
      <c r="G19">
        <v>183.29406</v>
      </c>
      <c r="H19" s="2">
        <f t="shared" si="0"/>
        <v>4.6546900000000164</v>
      </c>
      <c r="I19" s="2">
        <f t="shared" si="1"/>
        <v>15.344189999999998</v>
      </c>
      <c r="J19" s="2">
        <f t="shared" si="2"/>
        <v>0.23274753386189692</v>
      </c>
      <c r="K19" s="2">
        <f t="shared" si="3"/>
        <v>0.76725246613810305</v>
      </c>
      <c r="L19" s="2">
        <f t="shared" si="4"/>
        <v>0.21483707830166918</v>
      </c>
      <c r="M19" s="2">
        <f t="shared" si="5"/>
        <v>5.0002800156808747E-2</v>
      </c>
      <c r="N19" s="2">
        <f t="shared" si="6"/>
        <v>19.998880000000014</v>
      </c>
      <c r="O19" s="2">
        <v>9</v>
      </c>
      <c r="P19">
        <f t="shared" si="7"/>
        <v>1.9335337047150225</v>
      </c>
    </row>
    <row r="20" spans="2:18" x14ac:dyDescent="0.35">
      <c r="B20">
        <v>199.12101000000001</v>
      </c>
      <c r="C20" s="2">
        <v>203.92099999999999</v>
      </c>
      <c r="D20" s="2">
        <f>C20-B20</f>
        <v>4.7999899999999798</v>
      </c>
      <c r="E20" s="2"/>
      <c r="F20">
        <v>198.63825</v>
      </c>
      <c r="G20">
        <v>199.98197999999999</v>
      </c>
      <c r="H20" s="2">
        <f t="shared" si="0"/>
        <v>1.3437299999999937</v>
      </c>
      <c r="I20" s="2">
        <f t="shared" si="1"/>
        <v>11.839430000000021</v>
      </c>
      <c r="J20" s="2">
        <f t="shared" si="2"/>
        <v>0.10192776238777289</v>
      </c>
      <c r="K20" s="2">
        <f t="shared" si="3"/>
        <v>0.8980722376122271</v>
      </c>
      <c r="L20" s="2">
        <f t="shared" si="4"/>
        <v>0.74419712293392626</v>
      </c>
      <c r="M20" s="2">
        <f t="shared" si="5"/>
        <v>7.585434751607345E-2</v>
      </c>
      <c r="N20" s="2">
        <f t="shared" si="6"/>
        <v>13.183160000000015</v>
      </c>
      <c r="O20" s="2">
        <v>4</v>
      </c>
      <c r="P20">
        <f t="shared" si="7"/>
        <v>2.976788491735705</v>
      </c>
    </row>
    <row r="21" spans="2:18" x14ac:dyDescent="0.35">
      <c r="C21" s="2"/>
      <c r="F21">
        <v>211.82141000000001</v>
      </c>
      <c r="G21">
        <v>216.3674</v>
      </c>
      <c r="H21" s="2">
        <f t="shared" si="0"/>
        <v>4.5459899999999891</v>
      </c>
      <c r="I21" s="2">
        <f t="shared" si="1"/>
        <v>6.7885100000000023</v>
      </c>
      <c r="J21" s="2">
        <f t="shared" si="2"/>
        <v>0.40107547752437184</v>
      </c>
      <c r="K21" s="2">
        <f t="shared" si="3"/>
        <v>0.59892452247562822</v>
      </c>
      <c r="L21" s="2">
        <f t="shared" si="4"/>
        <v>0.21997408705254573</v>
      </c>
      <c r="M21" s="2">
        <f t="shared" si="5"/>
        <v>8.8226212007587526E-2</v>
      </c>
      <c r="N21" s="2">
        <f t="shared" si="6"/>
        <v>11.334499999999991</v>
      </c>
      <c r="O21" s="2">
        <v>9</v>
      </c>
      <c r="P21">
        <f t="shared" si="7"/>
        <v>1.9797667834729116</v>
      </c>
    </row>
    <row r="22" spans="2:18" x14ac:dyDescent="0.35">
      <c r="C22" s="2"/>
      <c r="F22">
        <v>223.15591000000001</v>
      </c>
      <c r="G22">
        <v>226.64742999999999</v>
      </c>
      <c r="H22" s="2">
        <f t="shared" si="0"/>
        <v>3.49151999999998</v>
      </c>
      <c r="I22" s="2">
        <f t="shared" si="1"/>
        <v>8.084920000000011</v>
      </c>
      <c r="J22" s="2">
        <f t="shared" si="2"/>
        <v>0.30160567497434293</v>
      </c>
      <c r="K22" s="2">
        <f t="shared" si="3"/>
        <v>0.69839432502565701</v>
      </c>
      <c r="L22" s="2">
        <f t="shared" si="4"/>
        <v>0.28640821189625315</v>
      </c>
      <c r="M22" s="2">
        <f t="shared" si="5"/>
        <v>8.6382342067164067E-2</v>
      </c>
      <c r="N22" s="2">
        <f t="shared" si="6"/>
        <v>11.576439999999991</v>
      </c>
      <c r="O22" s="2">
        <v>5</v>
      </c>
      <c r="P22">
        <f t="shared" si="7"/>
        <v>1.4320410594812656</v>
      </c>
    </row>
    <row r="23" spans="2:18" x14ac:dyDescent="0.35">
      <c r="C23" s="2"/>
      <c r="F23">
        <v>234.73235</v>
      </c>
      <c r="G23">
        <v>238.12696</v>
      </c>
      <c r="H23" s="2">
        <f t="shared" si="0"/>
        <v>3.3946100000000001</v>
      </c>
      <c r="I23" s="2">
        <f t="shared" si="1"/>
        <v>7.9495200000000068</v>
      </c>
      <c r="J23" s="2">
        <f t="shared" si="2"/>
        <v>0.29923934228539323</v>
      </c>
      <c r="K23" s="2">
        <f t="shared" si="3"/>
        <v>0.70076065771460672</v>
      </c>
      <c r="L23" s="2">
        <f t="shared" si="4"/>
        <v>0.29458465037220771</v>
      </c>
      <c r="M23" s="2">
        <f t="shared" si="5"/>
        <v>8.8151317024751957E-2</v>
      </c>
      <c r="N23" s="2">
        <f t="shared" si="6"/>
        <v>11.344130000000007</v>
      </c>
      <c r="O23" s="2">
        <v>8</v>
      </c>
      <c r="P23">
        <f t="shared" si="7"/>
        <v>2.3566772029776617</v>
      </c>
    </row>
    <row r="24" spans="2:18" x14ac:dyDescent="0.35">
      <c r="B24">
        <v>246.73115000000001</v>
      </c>
      <c r="C24" s="2">
        <v>251.53119000000001</v>
      </c>
      <c r="D24" s="2">
        <f>C24-B24</f>
        <v>4.8000399999999956</v>
      </c>
      <c r="F24">
        <v>246.07648</v>
      </c>
      <c r="G24">
        <v>247.41212000000002</v>
      </c>
      <c r="H24" s="2">
        <f t="shared" ref="H24:H42" si="8">G24-F24</f>
        <v>1.3356400000000122</v>
      </c>
      <c r="I24" s="2">
        <f t="shared" ref="I24:I41" si="9">F25-G24</f>
        <v>11.508329999999944</v>
      </c>
      <c r="J24" s="2">
        <f t="shared" ref="J24:J41" si="10">H24/N24</f>
        <v>0.10398965428913465</v>
      </c>
      <c r="K24" s="2">
        <f t="shared" ref="K24:K41" si="11">I24/N24</f>
        <v>0.89601034571086535</v>
      </c>
      <c r="L24" s="2">
        <f t="shared" ref="L24:L41" si="12">1/H24</f>
        <v>0.74870474079841187</v>
      </c>
      <c r="M24" s="2">
        <f t="shared" ref="M24:M41" si="13">1/N24</f>
        <v>7.7857547160263024E-2</v>
      </c>
      <c r="N24" s="2">
        <f t="shared" ref="N24:N41" si="14">H24+I24</f>
        <v>12.843969999999956</v>
      </c>
      <c r="O24" s="2">
        <v>3</v>
      </c>
      <c r="P24">
        <f t="shared" si="7"/>
        <v>2.2461142223952359</v>
      </c>
      <c r="R24" t="s">
        <v>872</v>
      </c>
    </row>
    <row r="25" spans="2:18" x14ac:dyDescent="0.35">
      <c r="C25" s="2"/>
      <c r="F25">
        <v>258.92044999999996</v>
      </c>
      <c r="G25">
        <v>263.41187000000002</v>
      </c>
      <c r="H25" s="2">
        <f t="shared" si="8"/>
        <v>4.4914200000000619</v>
      </c>
      <c r="I25" s="2">
        <f t="shared" si="9"/>
        <v>6.8007099999999809</v>
      </c>
      <c r="J25" s="2">
        <f t="shared" si="10"/>
        <v>0.39774781197170461</v>
      </c>
      <c r="K25" s="2">
        <f t="shared" si="11"/>
        <v>0.60225218802829539</v>
      </c>
      <c r="L25" s="2">
        <f t="shared" si="12"/>
        <v>0.22264673533091678</v>
      </c>
      <c r="M25" s="2">
        <f t="shared" si="13"/>
        <v>8.8557251820515367E-2</v>
      </c>
      <c r="N25" s="2">
        <f t="shared" si="14"/>
        <v>11.292130000000043</v>
      </c>
      <c r="O25" s="2">
        <v>8</v>
      </c>
      <c r="P25">
        <f t="shared" si="7"/>
        <v>1.7811738826473342</v>
      </c>
    </row>
    <row r="26" spans="2:18" x14ac:dyDescent="0.35">
      <c r="C26" s="2"/>
      <c r="F26">
        <v>270.21258</v>
      </c>
      <c r="G26">
        <v>273.59118000000001</v>
      </c>
      <c r="H26" s="2">
        <f t="shared" si="8"/>
        <v>3.3786000000000058</v>
      </c>
      <c r="I26" s="2">
        <f t="shared" si="9"/>
        <v>7.8375599999999963</v>
      </c>
      <c r="J26" s="2">
        <f t="shared" si="10"/>
        <v>0.30122608807292384</v>
      </c>
      <c r="K26" s="2">
        <f t="shared" si="11"/>
        <v>0.69877391192707616</v>
      </c>
      <c r="L26" s="2">
        <f t="shared" si="12"/>
        <v>0.2959805836737105</v>
      </c>
      <c r="M26" s="2">
        <f t="shared" si="13"/>
        <v>8.915707336557252E-2</v>
      </c>
      <c r="N26" s="2">
        <f t="shared" si="14"/>
        <v>11.216160000000002</v>
      </c>
      <c r="O26">
        <v>4</v>
      </c>
      <c r="P26">
        <f t="shared" si="7"/>
        <v>1.183922334694842</v>
      </c>
    </row>
    <row r="27" spans="2:18" x14ac:dyDescent="0.35">
      <c r="C27" s="2"/>
      <c r="F27">
        <v>281.42874</v>
      </c>
      <c r="G27">
        <v>285.94261</v>
      </c>
      <c r="H27" s="2">
        <f t="shared" si="8"/>
        <v>4.5138699999999972</v>
      </c>
      <c r="I27" s="2">
        <f t="shared" si="9"/>
        <v>6.8167300000000068</v>
      </c>
      <c r="J27" s="2">
        <f t="shared" si="10"/>
        <v>0.3983787266340702</v>
      </c>
      <c r="K27" s="2">
        <f t="shared" si="11"/>
        <v>0.60162127336592985</v>
      </c>
      <c r="L27" s="2">
        <f t="shared" si="12"/>
        <v>0.22153938859559549</v>
      </c>
      <c r="M27" s="2">
        <f t="shared" si="13"/>
        <v>8.8256579528003781E-2</v>
      </c>
      <c r="N27" s="2">
        <f t="shared" si="14"/>
        <v>11.330600000000004</v>
      </c>
      <c r="O27">
        <v>9</v>
      </c>
      <c r="P27">
        <f t="shared" si="7"/>
        <v>1.9938544973603594</v>
      </c>
    </row>
    <row r="28" spans="2:18" x14ac:dyDescent="0.35">
      <c r="B28">
        <v>294.12331</v>
      </c>
      <c r="C28" s="2">
        <v>298.92334</v>
      </c>
      <c r="D28" s="2">
        <f>C28-B28</f>
        <v>4.8000299999999925</v>
      </c>
      <c r="F28">
        <v>292.75934000000001</v>
      </c>
      <c r="G28">
        <v>294.12925000000001</v>
      </c>
      <c r="H28" s="2">
        <f t="shared" si="8"/>
        <v>1.3699100000000044</v>
      </c>
      <c r="I28" s="2">
        <f t="shared" si="9"/>
        <v>11.45721999999995</v>
      </c>
      <c r="J28" s="2">
        <f t="shared" si="10"/>
        <v>0.10679785735390608</v>
      </c>
      <c r="K28" s="2">
        <f t="shared" si="11"/>
        <v>0.89320214264609388</v>
      </c>
      <c r="L28" s="2">
        <f t="shared" si="12"/>
        <v>0.72997496185880595</v>
      </c>
      <c r="M28" s="2">
        <f t="shared" si="13"/>
        <v>7.7959761848519785E-2</v>
      </c>
      <c r="N28" s="2">
        <f t="shared" si="14"/>
        <v>12.827129999999954</v>
      </c>
      <c r="O28">
        <v>3</v>
      </c>
      <c r="P28">
        <f t="shared" si="7"/>
        <v>2.1899248855764175</v>
      </c>
    </row>
    <row r="29" spans="2:18" x14ac:dyDescent="0.35">
      <c r="B29">
        <v>306.44333</v>
      </c>
      <c r="C29">
        <v>311.24336</v>
      </c>
      <c r="D29" s="2">
        <f>C29-B29</f>
        <v>4.8000299999999925</v>
      </c>
      <c r="F29">
        <v>305.58646999999996</v>
      </c>
      <c r="G29">
        <v>307.75556</v>
      </c>
      <c r="H29" s="2">
        <f t="shared" si="8"/>
        <v>2.1690900000000397</v>
      </c>
      <c r="I29" s="2">
        <f t="shared" si="9"/>
        <v>10.110610000000008</v>
      </c>
      <c r="J29" s="2">
        <f t="shared" si="10"/>
        <v>0.17664030880233486</v>
      </c>
      <c r="K29" s="2">
        <f t="shared" si="11"/>
        <v>0.82335969119766517</v>
      </c>
      <c r="L29" s="2">
        <f t="shared" si="12"/>
        <v>0.46102282524006921</v>
      </c>
      <c r="M29" s="2">
        <f t="shared" si="13"/>
        <v>8.1435214215330676E-2</v>
      </c>
      <c r="N29" s="2">
        <f t="shared" si="14"/>
        <v>12.279700000000048</v>
      </c>
      <c r="O29">
        <v>4</v>
      </c>
      <c r="P29">
        <f t="shared" si="7"/>
        <v>1.8440913009602768</v>
      </c>
    </row>
    <row r="30" spans="2:18" x14ac:dyDescent="0.35">
      <c r="C30" s="2"/>
      <c r="F30">
        <v>317.86617000000001</v>
      </c>
      <c r="G30">
        <v>322.17218000000003</v>
      </c>
      <c r="H30" s="2">
        <f t="shared" si="8"/>
        <v>4.3060100000000148</v>
      </c>
      <c r="I30" s="2">
        <f t="shared" si="9"/>
        <v>6.7751999999999839</v>
      </c>
      <c r="J30" s="2">
        <f t="shared" si="10"/>
        <v>0.38858662546779776</v>
      </c>
      <c r="K30" s="2">
        <f t="shared" si="11"/>
        <v>0.61141337453220224</v>
      </c>
      <c r="L30" s="2">
        <f t="shared" si="12"/>
        <v>0.23223355263921741</v>
      </c>
      <c r="M30" s="2">
        <f t="shared" si="13"/>
        <v>9.024285254047168E-2</v>
      </c>
      <c r="N30" s="2">
        <f t="shared" si="14"/>
        <v>11.081209999999999</v>
      </c>
      <c r="O30">
        <v>8</v>
      </c>
      <c r="P30">
        <f t="shared" si="7"/>
        <v>1.8578684211137393</v>
      </c>
    </row>
    <row r="31" spans="2:18" x14ac:dyDescent="0.35">
      <c r="C31" s="2"/>
      <c r="F31">
        <v>328.94738000000001</v>
      </c>
      <c r="G31">
        <v>333.57457999999997</v>
      </c>
      <c r="H31" s="2">
        <f t="shared" si="8"/>
        <v>4.6271999999999593</v>
      </c>
      <c r="I31" s="2">
        <f t="shared" si="9"/>
        <v>6.6712500000000432</v>
      </c>
      <c r="J31" s="2">
        <f t="shared" si="10"/>
        <v>0.40954290190246967</v>
      </c>
      <c r="K31" s="2">
        <f t="shared" si="11"/>
        <v>0.59045709809753033</v>
      </c>
      <c r="L31" s="2">
        <f t="shared" si="12"/>
        <v>0.2161134163208871</v>
      </c>
      <c r="M31" s="2">
        <f t="shared" si="13"/>
        <v>8.8507715660112646E-2</v>
      </c>
      <c r="N31" s="2">
        <f t="shared" si="14"/>
        <v>11.298450000000003</v>
      </c>
      <c r="O31">
        <v>7</v>
      </c>
      <c r="P31">
        <f t="shared" si="7"/>
        <v>1.5127939142462097</v>
      </c>
    </row>
    <row r="32" spans="2:18" x14ac:dyDescent="0.35">
      <c r="C32" s="2"/>
      <c r="F32">
        <v>340.24583000000001</v>
      </c>
      <c r="G32">
        <v>346.91701</v>
      </c>
      <c r="H32" s="2">
        <f t="shared" si="8"/>
        <v>6.6711799999999926</v>
      </c>
      <c r="I32" s="2">
        <f t="shared" si="9"/>
        <v>4.5008199999999761</v>
      </c>
      <c r="J32" s="2">
        <f t="shared" si="10"/>
        <v>0.5971339061940576</v>
      </c>
      <c r="K32" s="2">
        <f t="shared" si="11"/>
        <v>0.4028660938059424</v>
      </c>
      <c r="L32" s="2">
        <f t="shared" si="12"/>
        <v>0.14989851870283835</v>
      </c>
      <c r="M32" s="2">
        <f t="shared" si="13"/>
        <v>8.950948800572886E-2</v>
      </c>
      <c r="N32" s="2">
        <f t="shared" si="14"/>
        <v>11.171999999999969</v>
      </c>
      <c r="O32">
        <v>15</v>
      </c>
      <c r="P32">
        <f t="shared" si="7"/>
        <v>2.2484777805425753</v>
      </c>
    </row>
    <row r="33" spans="2:18" x14ac:dyDescent="0.35">
      <c r="C33" s="2"/>
      <c r="F33">
        <v>351.41782999999998</v>
      </c>
      <c r="G33">
        <v>355.85612000000003</v>
      </c>
      <c r="H33" s="2">
        <f t="shared" si="8"/>
        <v>4.4382900000000518</v>
      </c>
      <c r="I33" s="2">
        <f t="shared" si="9"/>
        <v>7.6682999999999311</v>
      </c>
      <c r="J33" s="2">
        <f t="shared" si="10"/>
        <v>0.36660116515055502</v>
      </c>
      <c r="K33" s="2">
        <f t="shared" si="11"/>
        <v>0.63339883484944492</v>
      </c>
      <c r="L33" s="2">
        <f t="shared" si="12"/>
        <v>0.2253120007930956</v>
      </c>
      <c r="M33" s="2">
        <f t="shared" si="13"/>
        <v>8.2599642013151633E-2</v>
      </c>
      <c r="N33" s="2">
        <f t="shared" si="14"/>
        <v>12.106589999999983</v>
      </c>
      <c r="O33">
        <v>8</v>
      </c>
      <c r="P33">
        <f t="shared" si="7"/>
        <v>1.8024960063447648</v>
      </c>
    </row>
    <row r="34" spans="2:18" x14ac:dyDescent="0.35">
      <c r="B34">
        <v>364.26857000000001</v>
      </c>
      <c r="C34" s="2">
        <v>369.0686</v>
      </c>
      <c r="D34" s="2">
        <f>C34-B34</f>
        <v>4.8000299999999925</v>
      </c>
      <c r="F34">
        <v>363.52441999999996</v>
      </c>
      <c r="G34">
        <v>364.79372000000001</v>
      </c>
      <c r="H34" s="2">
        <f t="shared" si="8"/>
        <v>1.2693000000000438</v>
      </c>
      <c r="I34" s="2">
        <f t="shared" si="9"/>
        <v>10.235119999999995</v>
      </c>
      <c r="J34" s="2">
        <f t="shared" si="10"/>
        <v>0.11033150736847573</v>
      </c>
      <c r="K34" s="2">
        <f t="shared" si="11"/>
        <v>0.88966849263152425</v>
      </c>
      <c r="L34" s="2">
        <f t="shared" si="12"/>
        <v>0.78783581501612343</v>
      </c>
      <c r="M34" s="2">
        <f t="shared" si="13"/>
        <v>8.6923113029600499E-2</v>
      </c>
      <c r="N34" s="2">
        <f t="shared" si="14"/>
        <v>11.504420000000039</v>
      </c>
      <c r="O34">
        <v>3</v>
      </c>
      <c r="P34">
        <f t="shared" si="7"/>
        <v>2.3635074450483704</v>
      </c>
      <c r="R34" t="s">
        <v>873</v>
      </c>
    </row>
    <row r="35" spans="2:18" x14ac:dyDescent="0.35">
      <c r="C35" s="2"/>
      <c r="F35">
        <v>375.02884</v>
      </c>
      <c r="G35">
        <v>380.70089000000002</v>
      </c>
      <c r="H35" s="2">
        <f t="shared" si="8"/>
        <v>5.6720500000000129</v>
      </c>
      <c r="I35" s="2">
        <f t="shared" si="9"/>
        <v>5.4922500000000127</v>
      </c>
      <c r="J35" s="2">
        <f t="shared" si="10"/>
        <v>0.50805245290792977</v>
      </c>
      <c r="K35" s="2">
        <f t="shared" si="11"/>
        <v>0.49194754709207028</v>
      </c>
      <c r="L35" s="2">
        <f t="shared" si="12"/>
        <v>0.17630310029001819</v>
      </c>
      <c r="M35" s="2">
        <f t="shared" si="13"/>
        <v>8.9571222557616487E-2</v>
      </c>
      <c r="N35" s="2">
        <f t="shared" si="14"/>
        <v>11.164300000000026</v>
      </c>
      <c r="O35">
        <v>14</v>
      </c>
      <c r="P35">
        <f t="shared" si="7"/>
        <v>2.4682434040602548</v>
      </c>
    </row>
    <row r="36" spans="2:18" x14ac:dyDescent="0.35">
      <c r="C36" s="2"/>
      <c r="F36">
        <v>386.19314000000003</v>
      </c>
      <c r="G36">
        <v>391.85977000000003</v>
      </c>
      <c r="H36" s="2">
        <f t="shared" si="8"/>
        <v>5.6666299999999978</v>
      </c>
      <c r="I36" s="2">
        <f t="shared" si="9"/>
        <v>7.7077999999999633</v>
      </c>
      <c r="J36" s="2">
        <f t="shared" si="10"/>
        <v>0.4236913274061036</v>
      </c>
      <c r="K36" s="2">
        <f t="shared" si="11"/>
        <v>0.5763086725938964</v>
      </c>
      <c r="L36" s="2">
        <f t="shared" si="12"/>
        <v>0.17647173011119491</v>
      </c>
      <c r="M36" s="2">
        <f t="shared" si="13"/>
        <v>7.4769541580463839E-2</v>
      </c>
      <c r="N36" s="2">
        <f t="shared" si="14"/>
        <v>13.374429999999961</v>
      </c>
      <c r="O36">
        <v>11</v>
      </c>
      <c r="P36">
        <f t="shared" si="7"/>
        <v>1.9411890312231439</v>
      </c>
    </row>
    <row r="37" spans="2:18" x14ac:dyDescent="0.35">
      <c r="B37">
        <v>400.74869000000001</v>
      </c>
      <c r="C37" s="2">
        <v>405.5487</v>
      </c>
      <c r="D37" s="2">
        <f>C37-B37</f>
        <v>4.8000099999999861</v>
      </c>
      <c r="F37">
        <v>399.56756999999999</v>
      </c>
      <c r="G37">
        <v>401.98876000000001</v>
      </c>
      <c r="H37" s="2">
        <f t="shared" si="8"/>
        <v>2.4211900000000242</v>
      </c>
      <c r="I37" s="2">
        <f t="shared" si="9"/>
        <v>9.0490499999999656</v>
      </c>
      <c r="J37" s="2">
        <f t="shared" si="10"/>
        <v>0.21108451087335803</v>
      </c>
      <c r="K37" s="2">
        <f t="shared" si="11"/>
        <v>0.788915489126642</v>
      </c>
      <c r="L37" s="2">
        <f t="shared" si="12"/>
        <v>0.41302004386272456</v>
      </c>
      <c r="M37" s="2">
        <f t="shared" si="13"/>
        <v>8.7182133939656098E-2</v>
      </c>
      <c r="N37" s="2">
        <f t="shared" si="14"/>
        <v>11.47023999999999</v>
      </c>
      <c r="O37">
        <v>8</v>
      </c>
      <c r="P37">
        <f t="shared" si="7"/>
        <v>3.3041603509017965</v>
      </c>
    </row>
    <row r="38" spans="2:18" x14ac:dyDescent="0.35">
      <c r="C38" s="2"/>
      <c r="F38">
        <v>411.03780999999998</v>
      </c>
      <c r="G38">
        <v>417.72714000000002</v>
      </c>
      <c r="H38" s="2">
        <f t="shared" si="8"/>
        <v>6.6893300000000409</v>
      </c>
      <c r="I38" s="2">
        <f t="shared" si="9"/>
        <v>10.124159999999961</v>
      </c>
      <c r="J38" s="2">
        <f t="shared" si="10"/>
        <v>0.39785493672045724</v>
      </c>
      <c r="K38" s="2">
        <f t="shared" si="11"/>
        <v>0.60214506327954276</v>
      </c>
      <c r="L38" s="2">
        <f t="shared" si="12"/>
        <v>0.14949180261700259</v>
      </c>
      <c r="M38" s="2">
        <f t="shared" si="13"/>
        <v>5.9476051670414642E-2</v>
      </c>
      <c r="N38" s="2">
        <f t="shared" si="14"/>
        <v>16.813490000000002</v>
      </c>
      <c r="O38">
        <v>14</v>
      </c>
      <c r="P38">
        <f t="shared" si="7"/>
        <v>2.0928852366380362</v>
      </c>
    </row>
    <row r="39" spans="2:18" x14ac:dyDescent="0.35">
      <c r="C39" s="2"/>
      <c r="F39">
        <v>427.85129999999998</v>
      </c>
      <c r="G39">
        <v>432.52262999999999</v>
      </c>
      <c r="H39" s="2">
        <f t="shared" si="8"/>
        <v>4.6713300000000118</v>
      </c>
      <c r="I39" s="2">
        <f t="shared" si="9"/>
        <v>5.2623199999999883</v>
      </c>
      <c r="J39" s="2">
        <f t="shared" si="10"/>
        <v>0.47025312951432874</v>
      </c>
      <c r="K39" s="2">
        <f t="shared" si="11"/>
        <v>0.52974687048567126</v>
      </c>
      <c r="L39" s="2">
        <f t="shared" si="12"/>
        <v>0.2140717953987403</v>
      </c>
      <c r="M39" s="2">
        <f t="shared" si="13"/>
        <v>0.10066793172700871</v>
      </c>
      <c r="N39" s="2">
        <f t="shared" si="14"/>
        <v>9.9336500000000001</v>
      </c>
      <c r="O39">
        <v>12</v>
      </c>
      <c r="P39">
        <f t="shared" si="7"/>
        <v>2.5688615447848835</v>
      </c>
    </row>
    <row r="40" spans="2:18" x14ac:dyDescent="0.35">
      <c r="B40">
        <v>438.66869000000003</v>
      </c>
      <c r="C40" s="2">
        <v>443.46870000000001</v>
      </c>
      <c r="D40" s="2">
        <f>C40-B40</f>
        <v>4.8000099999999861</v>
      </c>
      <c r="F40">
        <v>437.78494999999998</v>
      </c>
      <c r="G40">
        <v>440.35556000000003</v>
      </c>
      <c r="H40" s="2">
        <f t="shared" si="8"/>
        <v>2.5706100000000447</v>
      </c>
      <c r="I40" s="2">
        <f t="shared" si="9"/>
        <v>9.6638899999999808</v>
      </c>
      <c r="J40" s="2">
        <f t="shared" si="10"/>
        <v>0.21011156974130854</v>
      </c>
      <c r="K40" s="2">
        <f t="shared" si="11"/>
        <v>0.78988843025869149</v>
      </c>
      <c r="L40" s="2">
        <f t="shared" si="12"/>
        <v>0.38901272460621511</v>
      </c>
      <c r="M40" s="2">
        <f t="shared" si="13"/>
        <v>8.1736074216355217E-2</v>
      </c>
      <c r="N40" s="2">
        <f t="shared" si="14"/>
        <v>12.234500000000025</v>
      </c>
      <c r="O40">
        <v>11</v>
      </c>
      <c r="P40">
        <f t="shared" si="7"/>
        <v>4.2791399706683659</v>
      </c>
    </row>
    <row r="41" spans="2:18" x14ac:dyDescent="0.35">
      <c r="B41">
        <v>451.27681999999999</v>
      </c>
      <c r="C41" s="2">
        <v>456.07682999999997</v>
      </c>
      <c r="D41" s="2">
        <f>C41-B41</f>
        <v>4.8000099999999861</v>
      </c>
      <c r="F41">
        <v>450.01945000000001</v>
      </c>
      <c r="G41">
        <v>453.16840000000002</v>
      </c>
      <c r="H41" s="2">
        <f t="shared" si="8"/>
        <v>3.1489500000000135</v>
      </c>
      <c r="I41" s="2">
        <f t="shared" si="9"/>
        <v>8.7335899999999924</v>
      </c>
      <c r="J41" s="2">
        <f t="shared" si="10"/>
        <v>0.26500647168029834</v>
      </c>
      <c r="K41" s="2">
        <f t="shared" si="11"/>
        <v>0.73499352831970166</v>
      </c>
      <c r="L41" s="2">
        <f t="shared" si="12"/>
        <v>0.31756617285126654</v>
      </c>
      <c r="M41" s="2">
        <f t="shared" si="13"/>
        <v>8.4157090992329875E-2</v>
      </c>
      <c r="N41" s="2">
        <f t="shared" si="14"/>
        <v>11.882540000000006</v>
      </c>
      <c r="O41">
        <v>9</v>
      </c>
      <c r="P41">
        <f t="shared" si="7"/>
        <v>2.8580955556613987</v>
      </c>
    </row>
    <row r="42" spans="2:18" x14ac:dyDescent="0.35">
      <c r="C42" s="2"/>
      <c r="F42">
        <v>461.90199000000001</v>
      </c>
      <c r="G42">
        <v>468.24455999999998</v>
      </c>
      <c r="H42" s="2">
        <f t="shared" si="8"/>
        <v>6.3425699999999665</v>
      </c>
      <c r="I42" s="2"/>
      <c r="J42" s="2"/>
      <c r="K42" s="2"/>
      <c r="L42" s="2"/>
      <c r="M42" s="2"/>
      <c r="N42" s="2"/>
      <c r="O42">
        <v>17</v>
      </c>
      <c r="P42">
        <f t="shared" si="7"/>
        <v>2.680301518154327</v>
      </c>
    </row>
    <row r="43" spans="2:18" x14ac:dyDescent="0.35">
      <c r="C43" s="2"/>
      <c r="H43" s="2"/>
      <c r="I43" s="2"/>
      <c r="J43" s="2"/>
      <c r="K43" s="2"/>
      <c r="L43" s="2"/>
      <c r="M43" s="2"/>
      <c r="N43" s="2"/>
    </row>
    <row r="44" spans="2:18" x14ac:dyDescent="0.35">
      <c r="C44" s="2"/>
      <c r="H44" s="2"/>
      <c r="I44" s="2"/>
      <c r="J44" s="2"/>
      <c r="K44" s="2"/>
      <c r="L44" s="2"/>
      <c r="M44" s="2"/>
      <c r="N44" s="2"/>
    </row>
    <row r="45" spans="2:18" x14ac:dyDescent="0.35">
      <c r="C45" s="2"/>
      <c r="H45" s="2"/>
      <c r="I45" s="2"/>
      <c r="J45" s="2"/>
      <c r="K45" s="2"/>
      <c r="L45" s="2"/>
      <c r="M45" s="2"/>
      <c r="N45" s="2"/>
      <c r="O45" s="2"/>
    </row>
    <row r="46" spans="2:18" x14ac:dyDescent="0.35">
      <c r="H46" s="2"/>
      <c r="I46" s="2"/>
      <c r="J46" s="2"/>
      <c r="K46" s="2"/>
      <c r="L46" s="2"/>
      <c r="M46" s="2"/>
      <c r="N46" s="2"/>
      <c r="O46" s="2"/>
    </row>
    <row r="47" spans="2:18" x14ac:dyDescent="0.35">
      <c r="H47" s="2"/>
      <c r="I47" s="2"/>
      <c r="J47" s="2"/>
      <c r="K47" s="2"/>
      <c r="L47" s="2"/>
      <c r="M47" s="2"/>
      <c r="N47" s="2"/>
      <c r="O47" s="2"/>
    </row>
    <row r="50" spans="5:16" ht="16" thickBot="1" x14ac:dyDescent="0.4">
      <c r="E50" s="104" t="s">
        <v>78</v>
      </c>
      <c r="G50" s="13"/>
      <c r="H50" s="9" t="s">
        <v>3</v>
      </c>
      <c r="I50" s="9" t="s">
        <v>4</v>
      </c>
      <c r="J50" s="9" t="s">
        <v>5</v>
      </c>
      <c r="K50" s="9" t="s">
        <v>6</v>
      </c>
      <c r="L50" s="9" t="s">
        <v>7</v>
      </c>
      <c r="M50" s="9" t="s">
        <v>8</v>
      </c>
      <c r="N50" s="9" t="s">
        <v>9</v>
      </c>
      <c r="O50" s="9" t="s">
        <v>10</v>
      </c>
      <c r="P50" s="44" t="s">
        <v>139</v>
      </c>
    </row>
    <row r="51" spans="5:16" x14ac:dyDescent="0.35">
      <c r="G51" s="49" t="s">
        <v>77</v>
      </c>
      <c r="H51" s="13">
        <f>AVERAGE(H7:H19,H22:H23,H26:H27,H31:H33,H36,H39)</f>
        <v>4.9758654545454553</v>
      </c>
      <c r="I51" s="13">
        <f t="shared" ref="I51:P51" si="15">AVERAGE(I7:I19,I22:I23,I26:I27,I31:I33,I36,I39)</f>
        <v>8.4710640909090866</v>
      </c>
      <c r="J51" s="13">
        <f t="shared" si="15"/>
        <v>0.37752884487892796</v>
      </c>
      <c r="K51" s="13">
        <f t="shared" si="15"/>
        <v>0.62247115512107198</v>
      </c>
      <c r="L51" s="13">
        <f t="shared" si="15"/>
        <v>0.21261378082043877</v>
      </c>
      <c r="M51" s="13">
        <f t="shared" si="15"/>
        <v>7.8210120561004084E-2</v>
      </c>
      <c r="N51" s="13">
        <f t="shared" si="15"/>
        <v>13.446929545454543</v>
      </c>
      <c r="O51" s="13">
        <f t="shared" si="15"/>
        <v>10.227272727272727</v>
      </c>
      <c r="P51" s="13">
        <f t="shared" si="15"/>
        <v>2.0216490782869561</v>
      </c>
    </row>
    <row r="52" spans="5:16" x14ac:dyDescent="0.35">
      <c r="G52" s="49" t="s">
        <v>94</v>
      </c>
      <c r="H52" s="2">
        <f>_xlfn.STDEV.S(H7:H19,H22:H23,H26:H27,H31:H33,H36,H39)</f>
        <v>1.2035237516232105</v>
      </c>
      <c r="I52" s="2">
        <f t="shared" ref="I52:P52" si="16">_xlfn.STDEV.S(I7:I19,I22:I23,I26:I27,I31:I33,I36,I39)</f>
        <v>2.7739168486501788</v>
      </c>
      <c r="J52" s="2">
        <f t="shared" si="16"/>
        <v>8.1948070859392305E-2</v>
      </c>
      <c r="K52" s="2">
        <f t="shared" si="16"/>
        <v>8.1948070859392305E-2</v>
      </c>
      <c r="L52" s="2">
        <f t="shared" si="16"/>
        <v>5.1634516691714788E-2</v>
      </c>
      <c r="M52" s="2">
        <f t="shared" si="16"/>
        <v>1.6575350576647444E-2</v>
      </c>
      <c r="N52" s="2">
        <f t="shared" si="16"/>
        <v>3.3189316999119867</v>
      </c>
      <c r="O52" s="2">
        <f t="shared" si="16"/>
        <v>3.5447052155200538</v>
      </c>
      <c r="P52" s="2">
        <f t="shared" si="16"/>
        <v>0.39299609396658197</v>
      </c>
    </row>
    <row r="53" spans="5:16" x14ac:dyDescent="0.35">
      <c r="G53" s="49" t="s">
        <v>95</v>
      </c>
      <c r="H53" s="2">
        <f>H52/(SQRT(COUNT(H7:H19,H22:H23,H26:H27,H31:H33,H36,H39)))</f>
        <v>0.25659212599706022</v>
      </c>
      <c r="I53" s="2">
        <f t="shared" ref="I53:P53" si="17">I52/(SQRT(COUNT(I7:I19,I22:I23,I26:I27,I31:I33,I36,I39)))</f>
        <v>0.59140105924311548</v>
      </c>
      <c r="J53" s="2">
        <f t="shared" si="17"/>
        <v>1.7471387411182763E-2</v>
      </c>
      <c r="K53" s="2">
        <f t="shared" si="17"/>
        <v>1.7471387411182763E-2</v>
      </c>
      <c r="L53" s="2">
        <f t="shared" si="17"/>
        <v>1.1008515947349317E-2</v>
      </c>
      <c r="M53" s="2">
        <f t="shared" si="17"/>
        <v>3.5338766167866153E-3</v>
      </c>
      <c r="N53" s="2">
        <f t="shared" si="17"/>
        <v>0.70759861595657936</v>
      </c>
      <c r="O53" s="2">
        <f t="shared" si="17"/>
        <v>0.75573369121834388</v>
      </c>
      <c r="P53" s="2">
        <f t="shared" si="17"/>
        <v>8.3787048758632063E-2</v>
      </c>
    </row>
    <row r="56" spans="5:16" ht="16" thickBot="1" x14ac:dyDescent="0.4">
      <c r="E56" s="104" t="s">
        <v>20</v>
      </c>
      <c r="G56" s="13"/>
      <c r="H56" s="9" t="s">
        <v>3</v>
      </c>
      <c r="I56" s="9" t="s">
        <v>4</v>
      </c>
      <c r="J56" s="9" t="s">
        <v>5</v>
      </c>
      <c r="K56" s="9" t="s">
        <v>6</v>
      </c>
      <c r="L56" s="9" t="s">
        <v>7</v>
      </c>
      <c r="M56" s="9" t="s">
        <v>8</v>
      </c>
      <c r="N56" s="9" t="s">
        <v>9</v>
      </c>
      <c r="O56" s="9" t="s">
        <v>10</v>
      </c>
      <c r="P56" s="44" t="s">
        <v>139</v>
      </c>
    </row>
    <row r="57" spans="5:16" x14ac:dyDescent="0.35">
      <c r="G57" s="49" t="s">
        <v>77</v>
      </c>
      <c r="H57" s="13">
        <f>AVERAGE(H20,H24,H28,H29,H34,H37,H40,H41)</f>
        <v>1.953552500000022</v>
      </c>
      <c r="I57" s="13">
        <f t="shared" ref="I57:P57" si="18">AVERAGE(I20,I24,I28,I29,I34,I37,I40,I41)</f>
        <v>10.324654999999982</v>
      </c>
      <c r="J57" s="13">
        <f t="shared" si="18"/>
        <v>0.16073620531207367</v>
      </c>
      <c r="K57" s="13">
        <f t="shared" si="18"/>
        <v>0.83926379468792633</v>
      </c>
      <c r="L57" s="13">
        <f t="shared" si="18"/>
        <v>0.57391680089594288</v>
      </c>
      <c r="M57" s="13">
        <f t="shared" si="18"/>
        <v>8.1638160364766066E-2</v>
      </c>
      <c r="N57" s="13">
        <f t="shared" si="18"/>
        <v>12.278207500000004</v>
      </c>
      <c r="O57" s="13">
        <f t="shared" si="18"/>
        <v>5.625</v>
      </c>
      <c r="P57" s="13">
        <f t="shared" si="18"/>
        <v>2.7577277778684461</v>
      </c>
    </row>
    <row r="58" spans="5:16" x14ac:dyDescent="0.35">
      <c r="G58" s="49" t="s">
        <v>94</v>
      </c>
      <c r="H58" s="2">
        <f>_xlfn.STDEV.S(H20,H24,H28,H29,H34,H37,H40,H41)</f>
        <v>0.72085423307054386</v>
      </c>
      <c r="I58" s="2">
        <f t="shared" ref="I58:P58" si="19">_xlfn.STDEV.S(I20,I24,I28,I29,I34,I37,I40,I41)</f>
        <v>1.1727520380467698</v>
      </c>
      <c r="J58" s="2">
        <f t="shared" si="19"/>
        <v>6.3501057819269083E-2</v>
      </c>
      <c r="K58" s="2">
        <f t="shared" si="19"/>
        <v>6.3501057819269138E-2</v>
      </c>
      <c r="L58" s="2">
        <f t="shared" si="19"/>
        <v>0.19574023759806272</v>
      </c>
      <c r="M58" s="2">
        <f t="shared" si="19"/>
        <v>4.2483323846302934E-3</v>
      </c>
      <c r="N58" s="2">
        <f t="shared" si="19"/>
        <v>0.63811844674680407</v>
      </c>
      <c r="O58" s="2">
        <f t="shared" si="19"/>
        <v>3.2043497223082786</v>
      </c>
      <c r="P58" s="2">
        <f t="shared" si="19"/>
        <v>0.77879345710769676</v>
      </c>
    </row>
    <row r="59" spans="5:16" x14ac:dyDescent="0.35">
      <c r="G59" s="49" t="s">
        <v>95</v>
      </c>
      <c r="H59" s="2">
        <f>H58/(SQRT(COUNT(H20,H24,H28,H29,H34,H37,H40,H41)))</f>
        <v>0.25486045822560477</v>
      </c>
      <c r="I59" s="2">
        <f t="shared" ref="I59:P59" si="20">I58/(SQRT(COUNT(I20,I24,I28,I29,I34,I37,I40,I41)))</f>
        <v>0.41463045937660742</v>
      </c>
      <c r="J59" s="2">
        <f t="shared" si="20"/>
        <v>2.2451014298262101E-2</v>
      </c>
      <c r="K59" s="2">
        <f t="shared" si="20"/>
        <v>2.2451014298262122E-2</v>
      </c>
      <c r="L59" s="2">
        <f t="shared" si="20"/>
        <v>6.9204624678328081E-2</v>
      </c>
      <c r="M59" s="2">
        <f t="shared" si="20"/>
        <v>1.5020123189532482E-3</v>
      </c>
      <c r="N59" s="2">
        <f t="shared" si="20"/>
        <v>0.22560894044744598</v>
      </c>
      <c r="O59" s="2">
        <f t="shared" si="20"/>
        <v>1.1329087089687071</v>
      </c>
      <c r="P59" s="2">
        <f t="shared" si="20"/>
        <v>0.27534506733228348</v>
      </c>
    </row>
    <row r="62" spans="5:16" ht="16" thickBot="1" x14ac:dyDescent="0.4">
      <c r="E62" s="104" t="s">
        <v>883</v>
      </c>
      <c r="G62" s="13"/>
      <c r="H62" s="9" t="s">
        <v>3</v>
      </c>
      <c r="I62" s="9" t="s">
        <v>4</v>
      </c>
      <c r="J62" s="9" t="s">
        <v>5</v>
      </c>
      <c r="K62" s="9" t="s">
        <v>6</v>
      </c>
      <c r="L62" s="9" t="s">
        <v>7</v>
      </c>
      <c r="M62" s="9" t="s">
        <v>8</v>
      </c>
      <c r="N62" s="9" t="s">
        <v>9</v>
      </c>
      <c r="O62" s="9" t="s">
        <v>10</v>
      </c>
      <c r="P62" s="44" t="s">
        <v>139</v>
      </c>
    </row>
    <row r="63" spans="5:16" x14ac:dyDescent="0.35">
      <c r="G63" s="49" t="s">
        <v>77</v>
      </c>
      <c r="H63" s="13">
        <f>AVERAGE(H21,H25,H30,H35,H38)</f>
        <v>5.1409600000000237</v>
      </c>
      <c r="I63" s="13">
        <f t="shared" ref="I63:P63" si="21">AVERAGE(I21,I25,I30,I35,I38)</f>
        <v>7.1961659999999883</v>
      </c>
      <c r="J63" s="13">
        <f t="shared" si="21"/>
        <v>0.41866346091845219</v>
      </c>
      <c r="K63" s="13">
        <f t="shared" si="21"/>
        <v>0.58133653908154781</v>
      </c>
      <c r="L63" s="13">
        <f t="shared" si="21"/>
        <v>0.20012985558594015</v>
      </c>
      <c r="M63" s="13">
        <f t="shared" si="21"/>
        <v>8.3214718119321143E-2</v>
      </c>
      <c r="N63" s="13">
        <f t="shared" si="21"/>
        <v>12.337126000000012</v>
      </c>
      <c r="O63" s="13">
        <f t="shared" si="21"/>
        <v>10.6</v>
      </c>
      <c r="P63" s="13">
        <f t="shared" si="21"/>
        <v>2.0359875455864556</v>
      </c>
    </row>
    <row r="64" spans="5:16" x14ac:dyDescent="0.35">
      <c r="G64" s="49" t="s">
        <v>94</v>
      </c>
      <c r="H64" s="2">
        <f>_xlfn.STDEV.S(H21,H25,H30,H35,H38)</f>
        <v>1.0188890101478245</v>
      </c>
      <c r="I64" s="2">
        <f t="shared" ref="I64:P64" si="22">_xlfn.STDEV.S(I21,I25,I30,I35,I38)</f>
        <v>1.7303366604883381</v>
      </c>
      <c r="J64" s="2">
        <f t="shared" si="22"/>
        <v>5.0186661897493302E-2</v>
      </c>
      <c r="K64" s="2">
        <f t="shared" si="22"/>
        <v>5.0186661897493226E-2</v>
      </c>
      <c r="L64" s="2">
        <f t="shared" si="22"/>
        <v>3.5578706542169485E-2</v>
      </c>
      <c r="M64" s="2">
        <f t="shared" si="22"/>
        <v>1.329456509469935E-2</v>
      </c>
      <c r="N64" s="2">
        <f t="shared" si="22"/>
        <v>2.5043939397446957</v>
      </c>
      <c r="O64" s="2">
        <f t="shared" si="22"/>
        <v>3.1304951684997073</v>
      </c>
      <c r="P64" s="2">
        <f t="shared" si="22"/>
        <v>0.26921166108098238</v>
      </c>
    </row>
    <row r="65" spans="2:18" x14ac:dyDescent="0.35">
      <c r="G65" s="49" t="s">
        <v>95</v>
      </c>
      <c r="H65" s="2">
        <f>H64/(SQRT(COUNT(H21,H25,H30,H35,H38)))</f>
        <v>0.45566101764360173</v>
      </c>
      <c r="I65" s="2">
        <f t="shared" ref="I65:P65" si="23">I64/(SQRT(COUNT(I21,I25,I30,I35,I38)))</f>
        <v>0.77383007936237969</v>
      </c>
      <c r="J65" s="2">
        <f t="shared" si="23"/>
        <v>2.244415751331872E-2</v>
      </c>
      <c r="K65" s="2">
        <f t="shared" si="23"/>
        <v>2.2444157513318685E-2</v>
      </c>
      <c r="L65" s="2">
        <f t="shared" si="23"/>
        <v>1.5911281275961489E-2</v>
      </c>
      <c r="M65" s="2">
        <f t="shared" si="23"/>
        <v>5.9455102566087353E-3</v>
      </c>
      <c r="N65" s="2">
        <f t="shared" si="23"/>
        <v>1.1199990183415303</v>
      </c>
      <c r="O65" s="2">
        <f t="shared" si="23"/>
        <v>1.4000000000000008</v>
      </c>
      <c r="P65" s="2">
        <f t="shared" si="23"/>
        <v>0.12039511490254222</v>
      </c>
    </row>
    <row r="70" spans="2:18" ht="18.5" x14ac:dyDescent="0.45">
      <c r="B70" s="3"/>
      <c r="C70" s="3" t="s">
        <v>20</v>
      </c>
      <c r="D70" s="3"/>
      <c r="F70" s="1" t="s">
        <v>866</v>
      </c>
      <c r="G70" s="3"/>
      <c r="H70" s="3"/>
      <c r="I70" s="3"/>
      <c r="J70" s="3"/>
      <c r="K70" s="3"/>
      <c r="L70" s="3"/>
      <c r="M70" s="3"/>
      <c r="N70" s="3"/>
      <c r="O70" s="3"/>
    </row>
    <row r="71" spans="2:18" ht="16" thickBot="1" x14ac:dyDescent="0.4">
      <c r="B71" s="317" t="s">
        <v>861</v>
      </c>
      <c r="C71" s="317" t="s">
        <v>862</v>
      </c>
      <c r="D71" s="317" t="s">
        <v>863</v>
      </c>
      <c r="F71" s="9" t="s">
        <v>1</v>
      </c>
      <c r="G71" s="9" t="s">
        <v>2</v>
      </c>
      <c r="H71" s="9" t="s">
        <v>3</v>
      </c>
      <c r="I71" s="9" t="s">
        <v>4</v>
      </c>
      <c r="J71" s="9" t="s">
        <v>5</v>
      </c>
      <c r="K71" s="9" t="s">
        <v>6</v>
      </c>
      <c r="L71" s="9" t="s">
        <v>7</v>
      </c>
      <c r="M71" s="9" t="s">
        <v>8</v>
      </c>
      <c r="N71" s="9" t="s">
        <v>9</v>
      </c>
      <c r="O71" s="9" t="s">
        <v>10</v>
      </c>
      <c r="P71" s="44" t="s">
        <v>139</v>
      </c>
      <c r="R71" s="44" t="s">
        <v>138</v>
      </c>
    </row>
    <row r="72" spans="2:18" x14ac:dyDescent="0.35">
      <c r="F72">
        <v>0.24576999999999999</v>
      </c>
      <c r="G72">
        <v>5.3137600000000003</v>
      </c>
      <c r="H72" s="2">
        <f>G72-F72</f>
        <v>5.06799</v>
      </c>
      <c r="I72" s="2">
        <f>F73-G72</f>
        <v>6.2579700000000003</v>
      </c>
      <c r="J72" s="2">
        <f>H72/N72</f>
        <v>0.44746670480912876</v>
      </c>
      <c r="K72" s="2">
        <f>I72/N72</f>
        <v>0.55253329519087124</v>
      </c>
      <c r="L72" s="2">
        <f>1/H72</f>
        <v>0.19731688499779992</v>
      </c>
      <c r="M72" s="2">
        <f>1/N72</f>
        <v>8.8292736333167338E-2</v>
      </c>
      <c r="N72" s="2">
        <f>H72+I72</f>
        <v>11.32596</v>
      </c>
      <c r="O72" s="2">
        <v>12</v>
      </c>
      <c r="P72">
        <f>O72/H72</f>
        <v>2.3678026199735989</v>
      </c>
      <c r="R72" t="s">
        <v>874</v>
      </c>
    </row>
    <row r="73" spans="2:18" x14ac:dyDescent="0.35">
      <c r="F73">
        <v>11.571730000000001</v>
      </c>
      <c r="G73">
        <v>15.593500000000001</v>
      </c>
      <c r="H73" s="2">
        <f t="shared" ref="H73:H88" si="24">G73-F73</f>
        <v>4.0217700000000001</v>
      </c>
      <c r="I73" s="2">
        <f t="shared" ref="I73:I87" si="25">F74-G73</f>
        <v>7.4170800000000003</v>
      </c>
      <c r="J73" s="2">
        <f t="shared" ref="J73:J87" si="26">H73/N73</f>
        <v>0.35158866494446556</v>
      </c>
      <c r="K73" s="2">
        <f t="shared" ref="K73:K87" si="27">I73/N73</f>
        <v>0.64841133505553439</v>
      </c>
      <c r="L73" s="2">
        <f t="shared" ref="L73:L87" si="28">1/H73</f>
        <v>0.24864674011691371</v>
      </c>
      <c r="M73" s="2">
        <f t="shared" ref="M73:M87" si="29">1/N73</f>
        <v>8.7421375400499171E-2</v>
      </c>
      <c r="N73" s="2">
        <f t="shared" ref="N73:N87" si="30">H73+I73</f>
        <v>11.43885</v>
      </c>
      <c r="O73" s="2">
        <v>7</v>
      </c>
      <c r="P73">
        <f t="shared" ref="P73:P88" si="31">O73/H73</f>
        <v>1.7405271808183957</v>
      </c>
    </row>
    <row r="74" spans="2:18" x14ac:dyDescent="0.35">
      <c r="B74">
        <v>32.997619999999998</v>
      </c>
      <c r="C74">
        <v>37.797629999999998</v>
      </c>
      <c r="D74" s="2"/>
      <c r="E74" s="2"/>
      <c r="F74">
        <v>23.010580000000001</v>
      </c>
      <c r="G74">
        <v>29.091439999999999</v>
      </c>
      <c r="H74" s="2">
        <f t="shared" si="24"/>
        <v>6.0808599999999977</v>
      </c>
      <c r="I74" s="2">
        <f t="shared" si="25"/>
        <v>13.409240000000004</v>
      </c>
      <c r="J74" s="2">
        <f t="shared" si="26"/>
        <v>0.31199737302527936</v>
      </c>
      <c r="K74" s="2">
        <f t="shared" si="27"/>
        <v>0.6880026269747207</v>
      </c>
      <c r="L74" s="2">
        <f t="shared" si="28"/>
        <v>0.16445042313093877</v>
      </c>
      <c r="M74" s="2">
        <f t="shared" si="29"/>
        <v>5.1308100009748538E-2</v>
      </c>
      <c r="N74" s="2">
        <f t="shared" si="30"/>
        <v>19.490100000000002</v>
      </c>
      <c r="O74" s="2">
        <v>14</v>
      </c>
      <c r="P74">
        <f t="shared" si="31"/>
        <v>2.3023059238331429</v>
      </c>
    </row>
    <row r="75" spans="2:18" x14ac:dyDescent="0.35">
      <c r="E75" s="2"/>
      <c r="F75">
        <v>42.500680000000003</v>
      </c>
      <c r="G75">
        <v>48.432020000000001</v>
      </c>
      <c r="H75" s="2">
        <f t="shared" si="24"/>
        <v>5.9313399999999987</v>
      </c>
      <c r="I75" s="2">
        <f t="shared" si="25"/>
        <v>5.2045299999999983</v>
      </c>
      <c r="J75" s="2">
        <f t="shared" si="26"/>
        <v>0.53263373225441746</v>
      </c>
      <c r="K75" s="2">
        <f t="shared" si="27"/>
        <v>0.46736626774558249</v>
      </c>
      <c r="L75" s="2">
        <f t="shared" si="28"/>
        <v>0.16859596651009726</v>
      </c>
      <c r="M75" s="2">
        <f t="shared" si="29"/>
        <v>8.9799898885313881E-2</v>
      </c>
      <c r="N75" s="2">
        <f t="shared" si="30"/>
        <v>11.135869999999997</v>
      </c>
      <c r="O75" s="2">
        <v>14</v>
      </c>
      <c r="P75">
        <f t="shared" si="31"/>
        <v>2.3603435311413614</v>
      </c>
    </row>
    <row r="76" spans="2:18" x14ac:dyDescent="0.35">
      <c r="C76" s="2"/>
      <c r="D76" s="2"/>
      <c r="E76" s="2"/>
      <c r="F76">
        <v>53.63655</v>
      </c>
      <c r="G76" s="45">
        <v>59.864179999999998</v>
      </c>
      <c r="H76" s="2">
        <f t="shared" si="24"/>
        <v>6.2276299999999978</v>
      </c>
      <c r="I76" s="2">
        <f t="shared" si="25"/>
        <v>6.23583</v>
      </c>
      <c r="J76" s="2">
        <f t="shared" si="26"/>
        <v>0.49967103837939053</v>
      </c>
      <c r="K76" s="2">
        <f t="shared" si="27"/>
        <v>0.50032896162060947</v>
      </c>
      <c r="L76" s="2">
        <f t="shared" si="28"/>
        <v>0.16057472907028844</v>
      </c>
      <c r="M76" s="2">
        <f t="shared" si="29"/>
        <v>8.0234541612040328E-2</v>
      </c>
      <c r="N76" s="2">
        <f t="shared" si="30"/>
        <v>12.463459999999998</v>
      </c>
      <c r="O76" s="2">
        <v>9</v>
      </c>
      <c r="P76">
        <f t="shared" si="31"/>
        <v>1.4451725616325959</v>
      </c>
    </row>
    <row r="77" spans="2:18" x14ac:dyDescent="0.35">
      <c r="B77">
        <v>74.853639999999999</v>
      </c>
      <c r="C77">
        <v>79.653670000000005</v>
      </c>
      <c r="E77" s="2"/>
      <c r="F77">
        <v>66.100009999999997</v>
      </c>
      <c r="G77" s="45">
        <v>72.422809999999998</v>
      </c>
      <c r="H77" s="2">
        <f t="shared" si="24"/>
        <v>6.3228000000000009</v>
      </c>
      <c r="I77" s="2">
        <f t="shared" si="25"/>
        <v>10.550669999999997</v>
      </c>
      <c r="J77" s="2">
        <f t="shared" si="26"/>
        <v>0.37471841891442614</v>
      </c>
      <c r="K77" s="2">
        <f t="shared" si="27"/>
        <v>0.62528158108557386</v>
      </c>
      <c r="L77" s="2">
        <f t="shared" si="28"/>
        <v>0.15815777819953183</v>
      </c>
      <c r="M77" s="2">
        <f t="shared" si="29"/>
        <v>5.9264632585947059E-2</v>
      </c>
      <c r="N77" s="2">
        <f t="shared" si="30"/>
        <v>16.873469999999998</v>
      </c>
      <c r="O77" s="2">
        <v>15</v>
      </c>
      <c r="P77">
        <f t="shared" si="31"/>
        <v>2.3723666729929773</v>
      </c>
    </row>
    <row r="78" spans="2:18" x14ac:dyDescent="0.35">
      <c r="E78" s="2"/>
      <c r="F78">
        <v>82.973479999999995</v>
      </c>
      <c r="G78" s="45">
        <v>89.10087</v>
      </c>
      <c r="H78" s="2">
        <f t="shared" si="24"/>
        <v>6.1273900000000054</v>
      </c>
      <c r="I78" s="2">
        <f t="shared" si="25"/>
        <v>8.2886500000000041</v>
      </c>
      <c r="J78" s="2">
        <f t="shared" si="26"/>
        <v>0.4250397473924879</v>
      </c>
      <c r="K78" s="2">
        <f t="shared" si="27"/>
        <v>0.57496025260751205</v>
      </c>
      <c r="L78" s="2">
        <f t="shared" si="28"/>
        <v>0.16320162418256373</v>
      </c>
      <c r="M78" s="2">
        <f t="shared" si="29"/>
        <v>6.9367177116600634E-2</v>
      </c>
      <c r="N78" s="2">
        <f t="shared" si="30"/>
        <v>14.41604000000001</v>
      </c>
      <c r="O78" s="2">
        <v>13</v>
      </c>
      <c r="P78">
        <f t="shared" si="31"/>
        <v>2.1216211143733283</v>
      </c>
    </row>
    <row r="79" spans="2:18" x14ac:dyDescent="0.35">
      <c r="C79" s="2"/>
      <c r="E79" s="2"/>
      <c r="F79">
        <v>97.389520000000005</v>
      </c>
      <c r="G79">
        <v>100.45147</v>
      </c>
      <c r="H79" s="2">
        <f t="shared" si="24"/>
        <v>3.061949999999996</v>
      </c>
      <c r="I79" s="2">
        <f t="shared" si="25"/>
        <v>8.4302899999999994</v>
      </c>
      <c r="J79" s="2">
        <f t="shared" si="26"/>
        <v>0.26643630832631388</v>
      </c>
      <c r="K79" s="2">
        <f t="shared" si="27"/>
        <v>0.73356369167368618</v>
      </c>
      <c r="L79" s="2">
        <f t="shared" si="28"/>
        <v>0.3265892650108595</v>
      </c>
      <c r="M79" s="2">
        <f t="shared" si="29"/>
        <v>8.7015238108497595E-2</v>
      </c>
      <c r="N79" s="2">
        <f t="shared" si="30"/>
        <v>11.492239999999995</v>
      </c>
      <c r="O79" s="2">
        <v>6</v>
      </c>
      <c r="P79">
        <f t="shared" si="31"/>
        <v>1.9595355900651572</v>
      </c>
    </row>
    <row r="80" spans="2:18" x14ac:dyDescent="0.35">
      <c r="C80" s="2"/>
      <c r="D80" s="2"/>
      <c r="E80" s="2"/>
      <c r="F80">
        <v>108.88176</v>
      </c>
      <c r="G80">
        <v>114.15326</v>
      </c>
      <c r="H80" s="2">
        <f t="shared" si="24"/>
        <v>5.2715000000000032</v>
      </c>
      <c r="I80" s="2">
        <f t="shared" si="25"/>
        <v>6.0680699999999916</v>
      </c>
      <c r="J80" s="2">
        <f t="shared" si="26"/>
        <v>0.46487653411901914</v>
      </c>
      <c r="K80" s="2">
        <f t="shared" si="27"/>
        <v>0.53512346588098092</v>
      </c>
      <c r="L80" s="2">
        <f t="shared" si="28"/>
        <v>0.18969932656739058</v>
      </c>
      <c r="M80" s="2">
        <f t="shared" si="29"/>
        <v>8.8186765459360494E-2</v>
      </c>
      <c r="N80" s="2">
        <f t="shared" si="30"/>
        <v>11.339569999999995</v>
      </c>
      <c r="O80" s="2">
        <v>12</v>
      </c>
      <c r="P80">
        <f t="shared" si="31"/>
        <v>2.2763919188086867</v>
      </c>
    </row>
    <row r="81" spans="2:18" x14ac:dyDescent="0.35">
      <c r="B81">
        <v>127.34208</v>
      </c>
      <c r="C81">
        <v>135.14211</v>
      </c>
      <c r="D81" s="2"/>
      <c r="E81" s="2"/>
      <c r="F81">
        <v>120.22132999999999</v>
      </c>
      <c r="G81">
        <v>124.49006</v>
      </c>
      <c r="H81" s="2">
        <f t="shared" si="24"/>
        <v>4.268730000000005</v>
      </c>
      <c r="I81" s="2">
        <f t="shared" si="25"/>
        <v>15.854350000000011</v>
      </c>
      <c r="J81" s="2">
        <f t="shared" si="26"/>
        <v>0.21213104554571177</v>
      </c>
      <c r="K81" s="2">
        <f t="shared" si="27"/>
        <v>0.78786895445428817</v>
      </c>
      <c r="L81" s="2">
        <f t="shared" si="28"/>
        <v>0.23426171249997044</v>
      </c>
      <c r="M81" s="2">
        <f t="shared" si="29"/>
        <v>4.9694182003947665E-2</v>
      </c>
      <c r="N81" s="2">
        <f t="shared" si="30"/>
        <v>20.123080000000016</v>
      </c>
      <c r="O81" s="2">
        <v>7</v>
      </c>
      <c r="P81">
        <f t="shared" si="31"/>
        <v>1.6398319874997931</v>
      </c>
      <c r="R81" t="s">
        <v>875</v>
      </c>
    </row>
    <row r="82" spans="2:18" x14ac:dyDescent="0.35">
      <c r="C82" s="2"/>
      <c r="D82" s="2"/>
      <c r="E82" s="2"/>
      <c r="F82">
        <v>140.34441000000001</v>
      </c>
      <c r="G82">
        <v>146.71709000000001</v>
      </c>
      <c r="H82" s="2">
        <f t="shared" si="24"/>
        <v>6.3726800000000026</v>
      </c>
      <c r="I82" s="2">
        <f t="shared" si="25"/>
        <v>6.1645800000000008</v>
      </c>
      <c r="J82" s="2">
        <f t="shared" si="26"/>
        <v>0.50829926156113858</v>
      </c>
      <c r="K82" s="2">
        <f t="shared" si="27"/>
        <v>0.49170073843886136</v>
      </c>
      <c r="L82" s="2">
        <f t="shared" si="28"/>
        <v>0.15691985161658825</v>
      </c>
      <c r="M82" s="2">
        <f t="shared" si="29"/>
        <v>7.9762244700995258E-2</v>
      </c>
      <c r="N82" s="2">
        <f t="shared" si="30"/>
        <v>12.537260000000003</v>
      </c>
      <c r="O82" s="2">
        <v>13</v>
      </c>
      <c r="P82">
        <f t="shared" si="31"/>
        <v>2.0399580710156471</v>
      </c>
    </row>
    <row r="83" spans="2:18" x14ac:dyDescent="0.35">
      <c r="C83" s="2"/>
      <c r="D83" s="2"/>
      <c r="E83" s="2"/>
      <c r="F83">
        <v>152.88167000000001</v>
      </c>
      <c r="G83">
        <v>156.02139</v>
      </c>
      <c r="H83" s="2">
        <f t="shared" si="24"/>
        <v>3.1397199999999827</v>
      </c>
      <c r="I83" s="2">
        <f t="shared" si="25"/>
        <v>8.4811400000000106</v>
      </c>
      <c r="J83" s="2">
        <f t="shared" si="26"/>
        <v>0.2701796596809517</v>
      </c>
      <c r="K83" s="2">
        <f t="shared" si="27"/>
        <v>0.7298203403190483</v>
      </c>
      <c r="L83" s="2">
        <f t="shared" si="28"/>
        <v>0.31849973883021593</v>
      </c>
      <c r="M83" s="2">
        <f t="shared" si="29"/>
        <v>8.6052151045619737E-2</v>
      </c>
      <c r="N83" s="2">
        <f t="shared" si="30"/>
        <v>11.620859999999993</v>
      </c>
      <c r="O83" s="2">
        <v>6</v>
      </c>
      <c r="P83">
        <f t="shared" si="31"/>
        <v>1.9109984329812955</v>
      </c>
    </row>
    <row r="84" spans="2:18" x14ac:dyDescent="0.35">
      <c r="C84" s="2"/>
      <c r="D84" s="2"/>
      <c r="E84" s="2"/>
      <c r="F84">
        <v>164.50253000000001</v>
      </c>
      <c r="G84">
        <v>169.81697</v>
      </c>
      <c r="H84" s="2">
        <f t="shared" si="24"/>
        <v>5.3144399999999905</v>
      </c>
      <c r="I84" s="2">
        <f t="shared" si="25"/>
        <v>6.3726599999999962</v>
      </c>
      <c r="J84" s="2">
        <f t="shared" si="26"/>
        <v>0.45472700669969424</v>
      </c>
      <c r="K84" s="2">
        <f t="shared" si="27"/>
        <v>0.54527299330030576</v>
      </c>
      <c r="L84" s="2">
        <f t="shared" si="28"/>
        <v>0.18816658011004014</v>
      </c>
      <c r="M84" s="2">
        <f t="shared" si="29"/>
        <v>8.5564425734356783E-2</v>
      </c>
      <c r="N84" s="2">
        <f t="shared" si="30"/>
        <v>11.687099999999987</v>
      </c>
      <c r="O84" s="2">
        <v>12</v>
      </c>
      <c r="P84">
        <f t="shared" si="31"/>
        <v>2.2579989613204816</v>
      </c>
    </row>
    <row r="85" spans="2:18" x14ac:dyDescent="0.35">
      <c r="C85" s="2"/>
      <c r="D85" s="2"/>
      <c r="E85" s="2"/>
      <c r="F85">
        <v>176.18962999999999</v>
      </c>
      <c r="G85">
        <v>179.22352000000001</v>
      </c>
      <c r="H85" s="2">
        <f t="shared" si="24"/>
        <v>3.0338900000000137</v>
      </c>
      <c r="I85" s="2">
        <f t="shared" si="25"/>
        <v>8.6210399999999936</v>
      </c>
      <c r="J85" s="2">
        <f t="shared" si="26"/>
        <v>0.26030958572895863</v>
      </c>
      <c r="K85" s="2">
        <f t="shared" si="27"/>
        <v>0.73969041427104132</v>
      </c>
      <c r="L85" s="2">
        <f t="shared" si="28"/>
        <v>0.32960984083140638</v>
      </c>
      <c r="M85" s="2">
        <f t="shared" si="29"/>
        <v>8.5800601119011388E-2</v>
      </c>
      <c r="N85" s="2">
        <f t="shared" si="30"/>
        <v>11.654930000000007</v>
      </c>
      <c r="O85" s="2">
        <v>4</v>
      </c>
      <c r="P85">
        <f t="shared" si="31"/>
        <v>1.3184393633256255</v>
      </c>
    </row>
    <row r="86" spans="2:18" x14ac:dyDescent="0.35">
      <c r="B86">
        <v>195.15016</v>
      </c>
      <c r="C86">
        <v>202.9502</v>
      </c>
      <c r="D86" s="2"/>
      <c r="E86" s="2"/>
      <c r="F86">
        <v>187.84456</v>
      </c>
      <c r="G86">
        <v>192.36324999999999</v>
      </c>
      <c r="H86" s="2">
        <f t="shared" si="24"/>
        <v>4.5186899999999923</v>
      </c>
      <c r="I86" s="2">
        <f t="shared" si="25"/>
        <v>15.713809999999995</v>
      </c>
      <c r="J86" s="2">
        <f t="shared" si="26"/>
        <v>0.22333819350055578</v>
      </c>
      <c r="K86" s="2">
        <f t="shared" si="27"/>
        <v>0.77666180649944416</v>
      </c>
      <c r="L86" s="2">
        <f t="shared" si="28"/>
        <v>0.22130307677667679</v>
      </c>
      <c r="M86" s="2">
        <f t="shared" si="29"/>
        <v>4.9425429383417797E-2</v>
      </c>
      <c r="N86" s="2">
        <f t="shared" si="30"/>
        <v>20.232499999999987</v>
      </c>
      <c r="O86" s="2">
        <v>10</v>
      </c>
      <c r="P86">
        <f t="shared" si="31"/>
        <v>2.2130307677667682</v>
      </c>
    </row>
    <row r="87" spans="2:18" x14ac:dyDescent="0.35">
      <c r="C87" s="2"/>
      <c r="D87" s="2"/>
      <c r="E87" s="2"/>
      <c r="F87">
        <v>208.07705999999999</v>
      </c>
      <c r="G87">
        <v>212.47497999999999</v>
      </c>
      <c r="H87" s="2">
        <f t="shared" si="24"/>
        <v>4.3979199999999992</v>
      </c>
      <c r="I87" s="2">
        <f t="shared" si="25"/>
        <v>7.4236199999999997</v>
      </c>
      <c r="J87" s="2">
        <f t="shared" si="26"/>
        <v>0.37202597969469287</v>
      </c>
      <c r="K87" s="2">
        <f t="shared" si="27"/>
        <v>0.62797402030530713</v>
      </c>
      <c r="L87" s="2">
        <f t="shared" si="28"/>
        <v>0.22738021610215742</v>
      </c>
      <c r="M87" s="2">
        <f t="shared" si="29"/>
        <v>8.4591347658596092E-2</v>
      </c>
      <c r="N87" s="2">
        <f t="shared" si="30"/>
        <v>11.821539999999999</v>
      </c>
      <c r="O87" s="2">
        <v>9</v>
      </c>
      <c r="P87">
        <f t="shared" si="31"/>
        <v>2.046421944919417</v>
      </c>
    </row>
    <row r="88" spans="2:18" x14ac:dyDescent="0.35">
      <c r="C88" s="2"/>
      <c r="D88" s="2"/>
      <c r="E88" s="2"/>
      <c r="F88">
        <v>219.89859999999999</v>
      </c>
      <c r="G88">
        <v>225.24007</v>
      </c>
      <c r="H88" s="2">
        <f t="shared" si="24"/>
        <v>5.3414700000000153</v>
      </c>
      <c r="I88" s="2"/>
      <c r="J88" s="2"/>
      <c r="K88" s="2"/>
      <c r="L88" s="2"/>
      <c r="M88" s="2"/>
      <c r="N88" s="2"/>
      <c r="O88" s="2">
        <v>8</v>
      </c>
      <c r="P88">
        <f t="shared" si="31"/>
        <v>1.4977150484791597</v>
      </c>
    </row>
    <row r="89" spans="2:18" x14ac:dyDescent="0.35">
      <c r="C89" s="2"/>
      <c r="D89" s="2"/>
      <c r="E89" s="2"/>
      <c r="H89" s="2"/>
      <c r="I89" s="2"/>
      <c r="J89" s="2"/>
      <c r="K89" s="2"/>
      <c r="L89" s="2"/>
      <c r="M89" s="2"/>
      <c r="N89" s="2"/>
      <c r="O89" s="2"/>
    </row>
    <row r="90" spans="2:18" x14ac:dyDescent="0.35">
      <c r="C90" s="2"/>
      <c r="E90" s="2"/>
      <c r="H90" s="2"/>
      <c r="I90" s="2"/>
      <c r="J90" s="2"/>
      <c r="K90" s="2"/>
      <c r="L90" s="2"/>
      <c r="M90" s="2"/>
      <c r="N90" s="2"/>
      <c r="O90" s="2"/>
    </row>
    <row r="91" spans="2:18" x14ac:dyDescent="0.35">
      <c r="C91" s="2"/>
      <c r="D91" s="2"/>
      <c r="E91" s="2"/>
      <c r="H91" s="2"/>
      <c r="I91" s="2"/>
      <c r="J91" s="2"/>
      <c r="K91" s="2"/>
      <c r="L91" s="2"/>
      <c r="M91" s="2"/>
      <c r="N91" s="2"/>
      <c r="O91" s="2"/>
    </row>
    <row r="92" spans="2:18" x14ac:dyDescent="0.35">
      <c r="C92" s="2"/>
      <c r="D92" s="2"/>
      <c r="E92" s="2"/>
      <c r="H92" s="2"/>
      <c r="I92" s="2"/>
      <c r="J92" s="2"/>
      <c r="K92" s="2"/>
      <c r="L92" s="2"/>
      <c r="M92" s="2"/>
      <c r="N92" s="2"/>
      <c r="O92" s="2"/>
    </row>
    <row r="93" spans="2:18" x14ac:dyDescent="0.35">
      <c r="C93" s="2"/>
      <c r="D93" s="2"/>
      <c r="E93" s="2"/>
      <c r="H93" s="2"/>
      <c r="I93" s="2"/>
      <c r="J93" s="2"/>
      <c r="K93" s="2"/>
      <c r="L93" s="2"/>
      <c r="M93" s="2"/>
      <c r="N93" s="2"/>
      <c r="O93" s="2"/>
    </row>
    <row r="94" spans="2:18" ht="16" thickBot="1" x14ac:dyDescent="0.4">
      <c r="C94" s="2"/>
      <c r="E94" s="104" t="s">
        <v>78</v>
      </c>
      <c r="G94" s="13"/>
      <c r="H94" s="9" t="s">
        <v>3</v>
      </c>
      <c r="I94" s="9" t="s">
        <v>4</v>
      </c>
      <c r="J94" s="9" t="s">
        <v>5</v>
      </c>
      <c r="K94" s="9" t="s">
        <v>6</v>
      </c>
      <c r="L94" s="9" t="s">
        <v>7</v>
      </c>
      <c r="M94" s="9" t="s">
        <v>8</v>
      </c>
      <c r="N94" s="9" t="s">
        <v>9</v>
      </c>
      <c r="O94" s="9" t="s">
        <v>10</v>
      </c>
      <c r="P94" s="44" t="s">
        <v>139</v>
      </c>
    </row>
    <row r="95" spans="2:18" x14ac:dyDescent="0.35">
      <c r="C95" s="2"/>
      <c r="G95" s="49" t="s">
        <v>77</v>
      </c>
      <c r="H95" s="13">
        <f>AVERAGE(H72:H73,H76,H79:H80,H83:H85)</f>
        <v>4.3923612499999978</v>
      </c>
      <c r="I95" s="13">
        <f t="shared" ref="I95:P95" si="32">AVERAGE(I72:I73,I76,I79:I80,I83:I85)</f>
        <v>7.2355099999999988</v>
      </c>
      <c r="J95" s="13">
        <f t="shared" si="32"/>
        <v>0.37690693783599033</v>
      </c>
      <c r="K95" s="13">
        <f t="shared" si="32"/>
        <v>0.62309306216400961</v>
      </c>
      <c r="L95" s="13">
        <f t="shared" si="32"/>
        <v>0.24488788819186433</v>
      </c>
      <c r="M95" s="13">
        <f t="shared" si="32"/>
        <v>8.6070979351569099E-2</v>
      </c>
      <c r="N95" s="13">
        <f t="shared" si="32"/>
        <v>11.627871249999997</v>
      </c>
      <c r="O95" s="13">
        <f t="shared" si="32"/>
        <v>8.5</v>
      </c>
      <c r="P95" s="13">
        <f t="shared" si="32"/>
        <v>1.9096083286157295</v>
      </c>
    </row>
    <row r="96" spans="2:18" x14ac:dyDescent="0.35">
      <c r="C96" s="2"/>
      <c r="G96" s="49" t="s">
        <v>94</v>
      </c>
      <c r="H96" s="2">
        <f>_xlfn.STDEV.S(H72:H73,H76,H79:H80,H83:H85)</f>
        <v>1.2403735590819578</v>
      </c>
      <c r="I96" s="2">
        <f t="shared" ref="I96:P96" si="33">_xlfn.STDEV.S(I72:I73,I76,I79:I80,I83:I85)</f>
        <v>1.133523282336981</v>
      </c>
      <c r="J96" s="2">
        <f t="shared" si="33"/>
        <v>0.10118917745131234</v>
      </c>
      <c r="K96" s="2">
        <f t="shared" si="33"/>
        <v>0.10118917745131328</v>
      </c>
      <c r="L96" s="2">
        <f t="shared" si="33"/>
        <v>7.0630376939200726E-2</v>
      </c>
      <c r="M96" s="2">
        <f t="shared" si="33"/>
        <v>2.5779839846687019E-3</v>
      </c>
      <c r="N96" s="2">
        <f t="shared" si="33"/>
        <v>0.36467026595219237</v>
      </c>
      <c r="O96" s="2">
        <f t="shared" si="33"/>
        <v>3.2071349029490928</v>
      </c>
      <c r="P96" s="2">
        <f t="shared" si="33"/>
        <v>0.38952584164524101</v>
      </c>
    </row>
    <row r="97" spans="3:16" x14ac:dyDescent="0.35">
      <c r="C97" s="2"/>
      <c r="G97" s="49" t="s">
        <v>95</v>
      </c>
      <c r="H97" s="2">
        <f>H96/(SQRT(COUNT(H72:H73,H76,H79:H80,H83:H85)))</f>
        <v>0.43853827741567253</v>
      </c>
      <c r="I97" s="2">
        <f t="shared" ref="I97:P97" si="34">I96/(SQRT(COUNT(I72:I73,I76,I79:I80,I83:I85)))</f>
        <v>0.40076099978665636</v>
      </c>
      <c r="J97" s="2">
        <f t="shared" si="34"/>
        <v>3.5775776779255919E-2</v>
      </c>
      <c r="K97" s="2">
        <f t="shared" si="34"/>
        <v>3.5775776779256252E-2</v>
      </c>
      <c r="L97" s="2">
        <f t="shared" si="34"/>
        <v>2.4971609245735389E-2</v>
      </c>
      <c r="M97" s="2">
        <f t="shared" si="34"/>
        <v>9.1145497867477774E-4</v>
      </c>
      <c r="N97" s="2">
        <f t="shared" si="34"/>
        <v>0.12893040897594849</v>
      </c>
      <c r="O97" s="2">
        <f t="shared" si="34"/>
        <v>1.1338934190276817</v>
      </c>
      <c r="P97" s="2">
        <f t="shared" si="34"/>
        <v>0.1377181820373736</v>
      </c>
    </row>
    <row r="98" spans="3:16" x14ac:dyDescent="0.35">
      <c r="C98" s="2"/>
    </row>
    <row r="99" spans="3:16" x14ac:dyDescent="0.35">
      <c r="C99" s="2"/>
    </row>
    <row r="100" spans="3:16" ht="16" thickBot="1" x14ac:dyDescent="0.4">
      <c r="C100" s="2"/>
      <c r="E100" s="104" t="s">
        <v>20</v>
      </c>
      <c r="G100" s="13"/>
      <c r="H100" s="9" t="s">
        <v>3</v>
      </c>
      <c r="I100" s="9" t="s">
        <v>4</v>
      </c>
      <c r="J100" s="9" t="s">
        <v>5</v>
      </c>
      <c r="K100" s="9" t="s">
        <v>6</v>
      </c>
      <c r="L100" s="9" t="s">
        <v>7</v>
      </c>
      <c r="M100" s="9" t="s">
        <v>8</v>
      </c>
      <c r="N100" s="9" t="s">
        <v>9</v>
      </c>
      <c r="O100" s="9" t="s">
        <v>10</v>
      </c>
      <c r="P100" s="44" t="s">
        <v>139</v>
      </c>
    </row>
    <row r="101" spans="3:16" x14ac:dyDescent="0.35">
      <c r="G101" s="49" t="s">
        <v>77</v>
      </c>
      <c r="H101" s="13">
        <f>AVERAGE(H74,H77,H81,H86)</f>
        <v>5.297769999999999</v>
      </c>
      <c r="I101" s="13">
        <f t="shared" ref="I101:P101" si="35">AVERAGE(I74,I77,I81,I86)</f>
        <v>13.882017500000002</v>
      </c>
      <c r="J101" s="13">
        <f t="shared" si="35"/>
        <v>0.28054625774649328</v>
      </c>
      <c r="K101" s="13">
        <f t="shared" si="35"/>
        <v>0.71945374225350678</v>
      </c>
      <c r="L101" s="13">
        <f t="shared" si="35"/>
        <v>0.19454324765177947</v>
      </c>
      <c r="M101" s="13">
        <f t="shared" si="35"/>
        <v>5.2423085995765263E-2</v>
      </c>
      <c r="N101" s="13">
        <f t="shared" si="35"/>
        <v>19.1797875</v>
      </c>
      <c r="O101" s="13">
        <f t="shared" si="35"/>
        <v>11.5</v>
      </c>
      <c r="P101" s="13">
        <f t="shared" si="35"/>
        <v>2.1318838380231702</v>
      </c>
    </row>
    <row r="102" spans="3:16" x14ac:dyDescent="0.35">
      <c r="G102" s="49" t="s">
        <v>94</v>
      </c>
      <c r="H102" s="2">
        <f>_xlfn.STDEV.S(H74,H77,H81,H86)</f>
        <v>1.0535345931672111</v>
      </c>
      <c r="I102" s="2">
        <f t="shared" ref="I102:P102" si="36">_xlfn.STDEV.S(I74,I77,I81,I86)</f>
        <v>2.4877670030152883</v>
      </c>
      <c r="J102" s="2">
        <f t="shared" si="36"/>
        <v>7.7051870984343671E-2</v>
      </c>
      <c r="K102" s="2">
        <f t="shared" si="36"/>
        <v>7.7051870984343768E-2</v>
      </c>
      <c r="L102" s="2">
        <f t="shared" si="36"/>
        <v>3.8829221726225875E-2</v>
      </c>
      <c r="M102" s="2">
        <f t="shared" si="36"/>
        <v>4.6361915281385273E-3</v>
      </c>
      <c r="N102" s="2">
        <f t="shared" si="36"/>
        <v>1.5719837368407068</v>
      </c>
      <c r="O102" s="2">
        <f t="shared" si="36"/>
        <v>3.6968455021364721</v>
      </c>
      <c r="P102" s="2">
        <f t="shared" si="36"/>
        <v>0.3344525522189129</v>
      </c>
    </row>
    <row r="103" spans="3:16" x14ac:dyDescent="0.35">
      <c r="G103" s="49" t="s">
        <v>95</v>
      </c>
      <c r="H103" s="2">
        <f>H102/(SQRT(COUNT(H74,H77,H81,H86)))</f>
        <v>0.52676729658360555</v>
      </c>
      <c r="I103" s="2">
        <f t="shared" ref="I103:P103" si="37">I102/(SQRT(COUNT(I74,I77,I81,I86)))</f>
        <v>1.2438835015076442</v>
      </c>
      <c r="J103" s="2">
        <f t="shared" si="37"/>
        <v>3.8525935492171835E-2</v>
      </c>
      <c r="K103" s="2">
        <f t="shared" si="37"/>
        <v>3.8525935492171884E-2</v>
      </c>
      <c r="L103" s="2">
        <f t="shared" si="37"/>
        <v>1.9414610863112938E-2</v>
      </c>
      <c r="M103" s="2">
        <f t="shared" si="37"/>
        <v>2.3180957640692636E-3</v>
      </c>
      <c r="N103" s="2">
        <f t="shared" si="37"/>
        <v>0.7859918684203534</v>
      </c>
      <c r="O103" s="2">
        <f t="shared" si="37"/>
        <v>1.8484227510682361</v>
      </c>
      <c r="P103" s="2">
        <f t="shared" si="37"/>
        <v>0.16722627610945645</v>
      </c>
    </row>
    <row r="106" spans="3:16" ht="16" thickBot="1" x14ac:dyDescent="0.4">
      <c r="E106" s="104" t="s">
        <v>883</v>
      </c>
      <c r="G106" s="13"/>
      <c r="H106" s="9" t="s">
        <v>3</v>
      </c>
      <c r="I106" s="9" t="s">
        <v>4</v>
      </c>
      <c r="J106" s="9" t="s">
        <v>5</v>
      </c>
      <c r="K106" s="9" t="s">
        <v>6</v>
      </c>
      <c r="L106" s="9" t="s">
        <v>7</v>
      </c>
      <c r="M106" s="9" t="s">
        <v>8</v>
      </c>
      <c r="N106" s="9" t="s">
        <v>9</v>
      </c>
      <c r="O106" s="9" t="s">
        <v>10</v>
      </c>
      <c r="P106" s="44" t="s">
        <v>139</v>
      </c>
    </row>
    <row r="107" spans="3:16" x14ac:dyDescent="0.35">
      <c r="G107" s="49" t="s">
        <v>77</v>
      </c>
      <c r="H107" s="13">
        <f>AVERAGE(H75,H78,H82,H87)</f>
        <v>5.7073325000000015</v>
      </c>
      <c r="I107" s="13">
        <f t="shared" ref="I107:P107" si="38">AVERAGE(I75,I78,I82,I87)</f>
        <v>6.7703450000000007</v>
      </c>
      <c r="J107" s="13">
        <f t="shared" si="38"/>
        <v>0.45949968022568421</v>
      </c>
      <c r="K107" s="13">
        <f t="shared" si="38"/>
        <v>0.54050031977431579</v>
      </c>
      <c r="L107" s="13">
        <f t="shared" si="38"/>
        <v>0.17902441460285168</v>
      </c>
      <c r="M107" s="13">
        <f t="shared" si="38"/>
        <v>8.0880167090376473E-2</v>
      </c>
      <c r="N107" s="13">
        <f t="shared" si="38"/>
        <v>12.477677500000002</v>
      </c>
      <c r="O107" s="13">
        <f t="shared" si="38"/>
        <v>12.25</v>
      </c>
      <c r="P107" s="13">
        <f t="shared" si="38"/>
        <v>2.1420861653624383</v>
      </c>
    </row>
    <row r="108" spans="3:16" x14ac:dyDescent="0.35">
      <c r="G108" s="49" t="s">
        <v>94</v>
      </c>
      <c r="H108" s="2">
        <f>_xlfn.STDEV.S(H75,H78,H82,H87)</f>
        <v>0.89141760776025003</v>
      </c>
      <c r="I108" s="2">
        <f t="shared" ref="I108:P108" si="39">_xlfn.STDEV.S(I75,I78,I82,I87)</f>
        <v>1.3602384776329992</v>
      </c>
      <c r="J108" s="2">
        <f t="shared" si="39"/>
        <v>7.4317167061433417E-2</v>
      </c>
      <c r="K108" s="2">
        <f t="shared" si="39"/>
        <v>7.4317167061433667E-2</v>
      </c>
      <c r="L108" s="2">
        <f t="shared" si="39"/>
        <v>3.2588384790502446E-2</v>
      </c>
      <c r="M108" s="2">
        <f t="shared" si="39"/>
        <v>8.7012099754093779E-3</v>
      </c>
      <c r="N108" s="2">
        <f t="shared" si="39"/>
        <v>1.4132424941336201</v>
      </c>
      <c r="O108" s="2">
        <f t="shared" si="39"/>
        <v>2.2173557826083452</v>
      </c>
      <c r="P108" s="2">
        <f t="shared" si="39"/>
        <v>0.15015201936328793</v>
      </c>
    </row>
    <row r="109" spans="3:16" x14ac:dyDescent="0.35">
      <c r="G109" s="49" t="s">
        <v>95</v>
      </c>
      <c r="H109" s="2">
        <f>H108/(SQRT(COUNT(H75,H78,H82,H87)))</f>
        <v>0.44570880388012502</v>
      </c>
      <c r="I109" s="2">
        <f t="shared" ref="I109:P109" si="40">I108/(SQRT(COUNT(I75,I78,I82,I87)))</f>
        <v>0.6801192388164996</v>
      </c>
      <c r="J109" s="2">
        <f t="shared" si="40"/>
        <v>3.7158583530716709E-2</v>
      </c>
      <c r="K109" s="2">
        <f t="shared" si="40"/>
        <v>3.7158583530716834E-2</v>
      </c>
      <c r="L109" s="2">
        <f t="shared" si="40"/>
        <v>1.6294192395251223E-2</v>
      </c>
      <c r="M109" s="2">
        <f t="shared" si="40"/>
        <v>4.350604987704689E-3</v>
      </c>
      <c r="N109" s="2">
        <f t="shared" si="40"/>
        <v>0.70662124706681007</v>
      </c>
      <c r="O109" s="2">
        <f t="shared" si="40"/>
        <v>1.1086778913041726</v>
      </c>
      <c r="P109" s="2">
        <f t="shared" si="40"/>
        <v>7.5076009681643963E-2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R135"/>
  <sheetViews>
    <sheetView topLeftCell="A105" workbookViewId="0">
      <selection activeCell="H127" sqref="H127:P127"/>
    </sheetView>
  </sheetViews>
  <sheetFormatPr defaultRowHeight="14.5" x14ac:dyDescent="0.35"/>
  <sheetData>
    <row r="4" spans="2:18" ht="18.5" x14ac:dyDescent="0.45">
      <c r="C4" s="1" t="s">
        <v>876</v>
      </c>
      <c r="D4" s="2"/>
      <c r="E4" s="2"/>
      <c r="F4" s="2"/>
      <c r="G4" s="2"/>
      <c r="H4" s="2"/>
      <c r="I4" s="2"/>
      <c r="J4" s="2"/>
      <c r="K4" s="2"/>
      <c r="L4" s="2"/>
      <c r="M4" s="2"/>
      <c r="N4" s="2"/>
      <c r="O4" s="2"/>
    </row>
    <row r="5" spans="2:18" ht="18.5" x14ac:dyDescent="0.45">
      <c r="B5" s="3"/>
      <c r="C5" s="3" t="s">
        <v>20</v>
      </c>
      <c r="D5" s="3"/>
      <c r="F5" s="1" t="s">
        <v>860</v>
      </c>
      <c r="G5" s="3"/>
      <c r="H5" s="3"/>
      <c r="I5" s="3"/>
      <c r="J5" s="3"/>
      <c r="K5" s="3"/>
      <c r="L5" s="3"/>
      <c r="M5" s="3"/>
      <c r="N5" s="3"/>
      <c r="O5" s="3"/>
    </row>
    <row r="6" spans="2:18" ht="16" thickBot="1" x14ac:dyDescent="0.4">
      <c r="B6" s="317" t="s">
        <v>861</v>
      </c>
      <c r="C6" s="317" t="s">
        <v>862</v>
      </c>
      <c r="D6" s="317" t="s">
        <v>863</v>
      </c>
      <c r="F6" s="9" t="s">
        <v>1</v>
      </c>
      <c r="G6" s="9" t="s">
        <v>2</v>
      </c>
      <c r="H6" s="9" t="s">
        <v>3</v>
      </c>
      <c r="I6" s="9" t="s">
        <v>4</v>
      </c>
      <c r="J6" s="9" t="s">
        <v>5</v>
      </c>
      <c r="K6" s="9" t="s">
        <v>6</v>
      </c>
      <c r="L6" s="9" t="s">
        <v>7</v>
      </c>
      <c r="M6" s="9" t="s">
        <v>8</v>
      </c>
      <c r="N6" s="9" t="s">
        <v>9</v>
      </c>
      <c r="O6" s="9" t="s">
        <v>10</v>
      </c>
      <c r="P6" s="44" t="s">
        <v>139</v>
      </c>
      <c r="R6" s="44" t="s">
        <v>138</v>
      </c>
    </row>
    <row r="7" spans="2:18" x14ac:dyDescent="0.35">
      <c r="F7">
        <v>3.0020000000000002E-2</v>
      </c>
      <c r="G7" s="45">
        <v>5.6441800000000004</v>
      </c>
      <c r="H7" s="2">
        <f t="shared" ref="H7:H23" si="0">G7-F7</f>
        <v>5.61416</v>
      </c>
      <c r="I7" s="2">
        <f t="shared" ref="I7:I23" si="1">F8-G7</f>
        <v>1.88415</v>
      </c>
      <c r="J7" s="2">
        <f t="shared" ref="J7:J23" si="2">H7/N7</f>
        <v>0.74872337900140162</v>
      </c>
      <c r="K7" s="2">
        <f t="shared" ref="K7:K23" si="3">I7/N7</f>
        <v>0.25127662099859832</v>
      </c>
      <c r="L7" s="2">
        <f t="shared" ref="L7:L23" si="4">1/H7</f>
        <v>0.17812103680693103</v>
      </c>
      <c r="M7" s="2">
        <f t="shared" ref="M7:M23" si="5">1/N7</f>
        <v>0.13336338454931845</v>
      </c>
      <c r="N7" s="2">
        <f t="shared" ref="N7:N23" si="6">H7+I7</f>
        <v>7.49831</v>
      </c>
      <c r="O7" s="2">
        <v>23</v>
      </c>
      <c r="P7">
        <f>O7/H7</f>
        <v>4.096783846559414</v>
      </c>
      <c r="R7" t="s">
        <v>877</v>
      </c>
    </row>
    <row r="8" spans="2:18" x14ac:dyDescent="0.35">
      <c r="F8">
        <v>7.5283300000000004</v>
      </c>
      <c r="G8">
        <v>13.276020000000001</v>
      </c>
      <c r="H8" s="2">
        <f t="shared" si="0"/>
        <v>5.7476900000000004</v>
      </c>
      <c r="I8" s="2">
        <f t="shared" si="1"/>
        <v>1.6905999999999999</v>
      </c>
      <c r="J8" s="2">
        <f t="shared" si="2"/>
        <v>0.77271657867601296</v>
      </c>
      <c r="K8" s="2">
        <f t="shared" si="3"/>
        <v>0.22728342132398707</v>
      </c>
      <c r="L8" s="2">
        <f t="shared" si="4"/>
        <v>0.17398293923297881</v>
      </c>
      <c r="M8" s="2">
        <f t="shared" si="5"/>
        <v>0.13443950155210405</v>
      </c>
      <c r="N8" s="2">
        <f t="shared" si="6"/>
        <v>7.4382900000000003</v>
      </c>
      <c r="O8" s="2">
        <v>23</v>
      </c>
      <c r="P8">
        <f t="shared" ref="P8:P53" si="7">O8/H8</f>
        <v>4.0016076023585123</v>
      </c>
    </row>
    <row r="9" spans="2:18" x14ac:dyDescent="0.35">
      <c r="C9" s="2"/>
      <c r="D9" s="2"/>
      <c r="E9" s="2"/>
      <c r="F9">
        <v>14.966620000000001</v>
      </c>
      <c r="G9">
        <v>19.660969999999999</v>
      </c>
      <c r="H9" s="2">
        <f t="shared" si="0"/>
        <v>4.6943499999999982</v>
      </c>
      <c r="I9" s="2">
        <f t="shared" si="1"/>
        <v>2.6254300000000015</v>
      </c>
      <c r="J9" s="2">
        <f t="shared" si="2"/>
        <v>0.64132391957135304</v>
      </c>
      <c r="K9" s="2">
        <f t="shared" si="3"/>
        <v>0.35867608042864696</v>
      </c>
      <c r="L9" s="2">
        <f t="shared" si="4"/>
        <v>0.21302203712974116</v>
      </c>
      <c r="M9" s="2">
        <f t="shared" si="5"/>
        <v>0.1366161278071199</v>
      </c>
      <c r="N9" s="2">
        <f t="shared" si="6"/>
        <v>7.3197799999999997</v>
      </c>
      <c r="O9" s="2">
        <v>20</v>
      </c>
      <c r="P9">
        <f t="shared" si="7"/>
        <v>4.260440742594823</v>
      </c>
    </row>
    <row r="10" spans="2:18" x14ac:dyDescent="0.35">
      <c r="C10" s="2"/>
      <c r="D10" s="2"/>
      <c r="E10" s="2"/>
      <c r="F10">
        <v>22.2864</v>
      </c>
      <c r="G10">
        <v>27.78332</v>
      </c>
      <c r="H10" s="2">
        <f t="shared" si="0"/>
        <v>5.4969199999999994</v>
      </c>
      <c r="I10" s="2">
        <f t="shared" si="1"/>
        <v>1.8974100000000007</v>
      </c>
      <c r="J10" s="2">
        <f t="shared" si="2"/>
        <v>0.74339662957969133</v>
      </c>
      <c r="K10" s="2">
        <f t="shared" si="3"/>
        <v>0.25660337042030862</v>
      </c>
      <c r="L10" s="2">
        <f t="shared" si="4"/>
        <v>0.18192005705012992</v>
      </c>
      <c r="M10" s="2">
        <f t="shared" si="5"/>
        <v>0.13523875726401174</v>
      </c>
      <c r="N10" s="2">
        <f t="shared" si="6"/>
        <v>7.3943300000000001</v>
      </c>
      <c r="O10" s="2">
        <v>22</v>
      </c>
      <c r="P10">
        <f t="shared" si="7"/>
        <v>4.0022412551028577</v>
      </c>
    </row>
    <row r="11" spans="2:18" x14ac:dyDescent="0.35">
      <c r="C11" s="2"/>
      <c r="D11" s="2"/>
      <c r="E11" s="2"/>
      <c r="F11">
        <v>29.680730000000001</v>
      </c>
      <c r="G11">
        <v>35.277639999999998</v>
      </c>
      <c r="H11" s="2">
        <f t="shared" si="0"/>
        <v>5.5969099999999976</v>
      </c>
      <c r="I11" s="2">
        <f t="shared" si="1"/>
        <v>2.6298900000000032</v>
      </c>
      <c r="J11" s="2">
        <f t="shared" si="2"/>
        <v>0.6803264938979916</v>
      </c>
      <c r="K11" s="2">
        <f t="shared" si="3"/>
        <v>0.31967350610200845</v>
      </c>
      <c r="L11" s="2">
        <f t="shared" si="4"/>
        <v>0.17867001613390254</v>
      </c>
      <c r="M11" s="2">
        <f t="shared" si="5"/>
        <v>0.12155394564107549</v>
      </c>
      <c r="N11" s="2">
        <f t="shared" si="6"/>
        <v>8.2268000000000008</v>
      </c>
      <c r="O11" s="2">
        <v>23</v>
      </c>
      <c r="P11">
        <f t="shared" si="7"/>
        <v>4.1094103710797585</v>
      </c>
    </row>
    <row r="12" spans="2:18" x14ac:dyDescent="0.35">
      <c r="E12" s="2"/>
      <c r="F12">
        <v>37.907530000000001</v>
      </c>
      <c r="G12" s="45">
        <v>44.390770000000003</v>
      </c>
      <c r="H12" s="2">
        <f t="shared" si="0"/>
        <v>6.4832400000000021</v>
      </c>
      <c r="I12" s="2">
        <f t="shared" si="1"/>
        <v>1.8956499999999963</v>
      </c>
      <c r="J12" s="2">
        <f t="shared" si="2"/>
        <v>0.77375881530847201</v>
      </c>
      <c r="K12" s="2">
        <f t="shared" si="3"/>
        <v>0.22624118469152796</v>
      </c>
      <c r="L12" s="2">
        <f t="shared" si="4"/>
        <v>0.1542438657214602</v>
      </c>
      <c r="M12" s="2">
        <f t="shared" si="5"/>
        <v>0.11934755080923609</v>
      </c>
      <c r="N12" s="2">
        <f t="shared" si="6"/>
        <v>8.3788899999999984</v>
      </c>
      <c r="O12" s="2">
        <v>25</v>
      </c>
      <c r="P12">
        <f t="shared" si="7"/>
        <v>3.8560966430365053</v>
      </c>
    </row>
    <row r="13" spans="2:18" x14ac:dyDescent="0.35">
      <c r="C13" s="2"/>
      <c r="D13" s="2"/>
      <c r="E13" s="2"/>
      <c r="F13">
        <v>46.28642</v>
      </c>
      <c r="G13" s="45">
        <v>50.932760000000002</v>
      </c>
      <c r="H13" s="2">
        <f t="shared" si="0"/>
        <v>4.6463400000000021</v>
      </c>
      <c r="I13" s="2">
        <f t="shared" si="1"/>
        <v>2.4792599999999965</v>
      </c>
      <c r="J13" s="2">
        <f t="shared" si="2"/>
        <v>0.6520629841697545</v>
      </c>
      <c r="K13" s="2">
        <f t="shared" si="3"/>
        <v>0.34793701583024544</v>
      </c>
      <c r="L13" s="2">
        <f t="shared" si="4"/>
        <v>0.21522316489968438</v>
      </c>
      <c r="M13" s="2">
        <f t="shared" si="5"/>
        <v>0.14033905916694736</v>
      </c>
      <c r="N13" s="2">
        <f t="shared" si="6"/>
        <v>7.1255999999999986</v>
      </c>
      <c r="O13" s="2">
        <v>21</v>
      </c>
      <c r="P13">
        <f t="shared" si="7"/>
        <v>4.5196864628933717</v>
      </c>
    </row>
    <row r="14" spans="2:18" x14ac:dyDescent="0.35">
      <c r="C14" s="2"/>
      <c r="E14" s="2"/>
      <c r="F14">
        <v>53.412019999999998</v>
      </c>
      <c r="G14">
        <v>59.021599999999999</v>
      </c>
      <c r="H14" s="2">
        <f t="shared" si="0"/>
        <v>5.6095800000000011</v>
      </c>
      <c r="I14" s="2">
        <f t="shared" si="1"/>
        <v>1.7778899999999993</v>
      </c>
      <c r="J14" s="2">
        <f t="shared" si="2"/>
        <v>0.7593370937546956</v>
      </c>
      <c r="K14" s="2">
        <f t="shared" si="3"/>
        <v>0.24066290624530445</v>
      </c>
      <c r="L14" s="2">
        <f t="shared" si="4"/>
        <v>0.17826646558209344</v>
      </c>
      <c r="M14" s="2">
        <f t="shared" si="5"/>
        <v>0.1353643398890283</v>
      </c>
      <c r="N14" s="2">
        <f t="shared" si="6"/>
        <v>7.3874700000000004</v>
      </c>
      <c r="O14" s="2">
        <v>24</v>
      </c>
      <c r="P14">
        <f t="shared" si="7"/>
        <v>4.2783951739702433</v>
      </c>
    </row>
    <row r="15" spans="2:18" x14ac:dyDescent="0.35">
      <c r="C15" s="2"/>
      <c r="D15" s="2"/>
      <c r="E15" s="2"/>
      <c r="F15">
        <v>60.799489999999999</v>
      </c>
      <c r="G15">
        <v>65.156300000000002</v>
      </c>
      <c r="H15" s="2">
        <f t="shared" si="0"/>
        <v>4.356810000000003</v>
      </c>
      <c r="I15" s="2">
        <f t="shared" si="1"/>
        <v>1.9367299999999972</v>
      </c>
      <c r="J15" s="2">
        <f t="shared" si="2"/>
        <v>0.69226699123227986</v>
      </c>
      <c r="K15" s="2">
        <f t="shared" si="3"/>
        <v>0.30773300876772008</v>
      </c>
      <c r="L15" s="2">
        <f t="shared" si="4"/>
        <v>0.2295257309820716</v>
      </c>
      <c r="M15" s="2">
        <f t="shared" si="5"/>
        <v>0.15889308719734838</v>
      </c>
      <c r="N15" s="2">
        <f t="shared" si="6"/>
        <v>6.2935400000000001</v>
      </c>
      <c r="O15" s="2">
        <v>19</v>
      </c>
      <c r="P15">
        <f t="shared" si="7"/>
        <v>4.3609888886593602</v>
      </c>
    </row>
    <row r="16" spans="2:18" x14ac:dyDescent="0.35">
      <c r="C16" s="2"/>
      <c r="D16" s="2"/>
      <c r="E16" s="2"/>
      <c r="F16">
        <v>67.093029999999999</v>
      </c>
      <c r="G16">
        <v>71.524850000000001</v>
      </c>
      <c r="H16" s="2">
        <f t="shared" si="0"/>
        <v>4.4318200000000019</v>
      </c>
      <c r="I16" s="2">
        <f t="shared" si="1"/>
        <v>4.8812099999999958</v>
      </c>
      <c r="J16" s="2">
        <f t="shared" si="2"/>
        <v>0.47587305098340743</v>
      </c>
      <c r="K16" s="2">
        <f t="shared" si="3"/>
        <v>0.52412694901659251</v>
      </c>
      <c r="L16" s="2">
        <f t="shared" si="4"/>
        <v>0.22564093307038632</v>
      </c>
      <c r="M16" s="2">
        <f t="shared" si="5"/>
        <v>0.10737643924694758</v>
      </c>
      <c r="N16" s="2">
        <f t="shared" si="6"/>
        <v>9.3130299999999977</v>
      </c>
      <c r="O16" s="2">
        <v>20</v>
      </c>
      <c r="P16">
        <f t="shared" si="7"/>
        <v>4.512818661407727</v>
      </c>
    </row>
    <row r="17" spans="2:18" x14ac:dyDescent="0.35">
      <c r="C17" s="2"/>
      <c r="E17" s="2"/>
      <c r="F17">
        <v>76.406059999999997</v>
      </c>
      <c r="G17">
        <v>81.679829999999995</v>
      </c>
      <c r="H17" s="2">
        <f t="shared" si="0"/>
        <v>5.273769999999999</v>
      </c>
      <c r="I17" s="2">
        <f t="shared" si="1"/>
        <v>1.9975400000000008</v>
      </c>
      <c r="J17" s="2">
        <f t="shared" si="2"/>
        <v>0.72528471485880797</v>
      </c>
      <c r="K17" s="2">
        <f t="shared" si="3"/>
        <v>0.27471528514119198</v>
      </c>
      <c r="L17" s="2">
        <f t="shared" si="4"/>
        <v>0.18961767388414744</v>
      </c>
      <c r="M17" s="2">
        <f t="shared" si="5"/>
        <v>0.13752680053525432</v>
      </c>
      <c r="N17" s="2">
        <f t="shared" si="6"/>
        <v>7.2713099999999997</v>
      </c>
      <c r="O17" s="2">
        <v>22</v>
      </c>
      <c r="P17">
        <f t="shared" si="7"/>
        <v>4.1715888254512432</v>
      </c>
    </row>
    <row r="18" spans="2:18" x14ac:dyDescent="0.35">
      <c r="C18" s="2"/>
      <c r="D18" s="2"/>
      <c r="E18" s="2"/>
      <c r="F18">
        <v>83.677369999999996</v>
      </c>
      <c r="G18">
        <v>90.151669999999996</v>
      </c>
      <c r="H18" s="2">
        <f t="shared" si="0"/>
        <v>6.4742999999999995</v>
      </c>
      <c r="I18" s="2">
        <f t="shared" si="1"/>
        <v>0.95181000000000893</v>
      </c>
      <c r="J18" s="2">
        <f t="shared" si="2"/>
        <v>0.87182926188812071</v>
      </c>
      <c r="K18" s="2">
        <f t="shared" si="3"/>
        <v>0.12817073811187929</v>
      </c>
      <c r="L18" s="2">
        <f t="shared" si="4"/>
        <v>0.15445685247826021</v>
      </c>
      <c r="M18" s="2">
        <f t="shared" si="5"/>
        <v>0.13466000368968395</v>
      </c>
      <c r="N18" s="2">
        <f t="shared" si="6"/>
        <v>7.4261100000000084</v>
      </c>
      <c r="O18" s="2">
        <v>24</v>
      </c>
      <c r="P18">
        <f t="shared" si="7"/>
        <v>3.7069644594782449</v>
      </c>
    </row>
    <row r="19" spans="2:18" x14ac:dyDescent="0.35">
      <c r="C19" s="2"/>
      <c r="D19" s="2"/>
      <c r="E19" s="2"/>
      <c r="F19">
        <v>91.103480000000005</v>
      </c>
      <c r="G19">
        <v>96.432040000000001</v>
      </c>
      <c r="H19" s="2">
        <f t="shared" si="0"/>
        <v>5.328559999999996</v>
      </c>
      <c r="I19" s="2">
        <f t="shared" si="1"/>
        <v>2.883570000000006</v>
      </c>
      <c r="J19" s="2">
        <f t="shared" si="2"/>
        <v>0.64886454549550421</v>
      </c>
      <c r="K19" s="2">
        <f t="shared" si="3"/>
        <v>0.35113545450449585</v>
      </c>
      <c r="L19" s="2">
        <f t="shared" si="4"/>
        <v>0.18766796282673007</v>
      </c>
      <c r="M19" s="2">
        <f t="shared" si="5"/>
        <v>0.12177108740363338</v>
      </c>
      <c r="N19" s="2">
        <f t="shared" si="6"/>
        <v>8.2121300000000019</v>
      </c>
      <c r="O19" s="2">
        <v>21</v>
      </c>
      <c r="P19">
        <f t="shared" si="7"/>
        <v>3.9410272193613314</v>
      </c>
    </row>
    <row r="20" spans="2:18" x14ac:dyDescent="0.35">
      <c r="C20" s="2"/>
      <c r="D20" s="2"/>
      <c r="E20" s="2"/>
      <c r="F20">
        <v>99.315610000000007</v>
      </c>
      <c r="G20">
        <v>104.7953</v>
      </c>
      <c r="H20" s="2">
        <f t="shared" si="0"/>
        <v>5.4796899999999908</v>
      </c>
      <c r="I20" s="2">
        <f t="shared" si="1"/>
        <v>0.97944999999999993</v>
      </c>
      <c r="J20" s="2">
        <f t="shared" si="2"/>
        <v>0.8483621658610897</v>
      </c>
      <c r="K20" s="2">
        <f t="shared" si="3"/>
        <v>0.15163783413891033</v>
      </c>
      <c r="L20" s="2">
        <f t="shared" si="4"/>
        <v>0.18249207528163119</v>
      </c>
      <c r="M20" s="2">
        <f t="shared" si="5"/>
        <v>0.15481937223840966</v>
      </c>
      <c r="N20" s="2">
        <f t="shared" si="6"/>
        <v>6.4591399999999908</v>
      </c>
      <c r="O20" s="2">
        <v>23</v>
      </c>
      <c r="P20">
        <f t="shared" si="7"/>
        <v>4.1973177314775176</v>
      </c>
    </row>
    <row r="21" spans="2:18" x14ac:dyDescent="0.35">
      <c r="C21" s="2"/>
      <c r="F21">
        <v>105.77475</v>
      </c>
      <c r="G21">
        <v>110.27549999999999</v>
      </c>
      <c r="H21" s="2">
        <f t="shared" si="0"/>
        <v>4.5007499999999965</v>
      </c>
      <c r="I21" s="2">
        <f t="shared" si="1"/>
        <v>2.6750300000000067</v>
      </c>
      <c r="J21" s="2">
        <f t="shared" si="2"/>
        <v>0.62721404502367606</v>
      </c>
      <c r="K21" s="2">
        <f t="shared" si="3"/>
        <v>0.37278595497632389</v>
      </c>
      <c r="L21" s="2">
        <f t="shared" si="4"/>
        <v>0.22218519135699624</v>
      </c>
      <c r="M21" s="2">
        <f t="shared" si="5"/>
        <v>0.13935767261538112</v>
      </c>
      <c r="N21" s="2">
        <f t="shared" si="6"/>
        <v>7.1757800000000032</v>
      </c>
      <c r="O21" s="2">
        <v>20</v>
      </c>
      <c r="P21">
        <f t="shared" si="7"/>
        <v>4.4437038271399247</v>
      </c>
    </row>
    <row r="22" spans="2:18" x14ac:dyDescent="0.35">
      <c r="C22" s="2"/>
      <c r="F22">
        <v>112.95053</v>
      </c>
      <c r="G22">
        <v>117.40828999999999</v>
      </c>
      <c r="H22" s="2">
        <f t="shared" si="0"/>
        <v>4.4577599999999933</v>
      </c>
      <c r="I22" s="2">
        <f t="shared" si="1"/>
        <v>2.7536300000000011</v>
      </c>
      <c r="J22" s="2">
        <f t="shared" si="2"/>
        <v>0.61815544576010961</v>
      </c>
      <c r="K22" s="2">
        <f t="shared" si="3"/>
        <v>0.38184455423989039</v>
      </c>
      <c r="L22" s="2">
        <f t="shared" si="4"/>
        <v>0.22432791357094178</v>
      </c>
      <c r="M22" s="2">
        <f t="shared" si="5"/>
        <v>0.13866952140988087</v>
      </c>
      <c r="N22" s="2">
        <f t="shared" si="6"/>
        <v>7.2113899999999944</v>
      </c>
      <c r="O22" s="2">
        <v>20</v>
      </c>
      <c r="P22">
        <f t="shared" si="7"/>
        <v>4.4865582714188363</v>
      </c>
    </row>
    <row r="23" spans="2:18" x14ac:dyDescent="0.35">
      <c r="C23" s="2"/>
      <c r="F23">
        <v>120.16191999999999</v>
      </c>
      <c r="G23">
        <v>124.17846</v>
      </c>
      <c r="H23" s="2">
        <f t="shared" si="0"/>
        <v>4.0165400000000062</v>
      </c>
      <c r="I23" s="2">
        <f t="shared" si="1"/>
        <v>2.0171399999999977</v>
      </c>
      <c r="J23" s="2">
        <f t="shared" si="2"/>
        <v>0.66568661248193539</v>
      </c>
      <c r="K23" s="2">
        <f t="shared" si="3"/>
        <v>0.33431338751806466</v>
      </c>
      <c r="L23" s="2">
        <f t="shared" si="4"/>
        <v>0.24897050695374587</v>
      </c>
      <c r="M23" s="2">
        <f t="shared" si="5"/>
        <v>0.16573633338194921</v>
      </c>
      <c r="N23" s="2">
        <f t="shared" si="6"/>
        <v>6.0336800000000039</v>
      </c>
      <c r="O23" s="2">
        <v>15</v>
      </c>
      <c r="P23">
        <f t="shared" si="7"/>
        <v>3.7345576043061883</v>
      </c>
      <c r="R23" t="s">
        <v>878</v>
      </c>
    </row>
    <row r="24" spans="2:18" x14ac:dyDescent="0.35">
      <c r="C24" s="2"/>
      <c r="D24" s="2"/>
      <c r="F24">
        <v>126.1956</v>
      </c>
      <c r="G24">
        <v>131.68110000000001</v>
      </c>
      <c r="H24" s="2">
        <f t="shared" ref="H24:H53" si="8">G24-F24</f>
        <v>5.485500000000016</v>
      </c>
      <c r="I24" s="2">
        <f t="shared" ref="I24:I39" si="9">F25-G24</f>
        <v>1.9764399999999966</v>
      </c>
      <c r="J24" s="2">
        <f t="shared" ref="J24:J39" si="10">H24/N24</f>
        <v>0.73513054245946852</v>
      </c>
      <c r="K24" s="2">
        <f t="shared" ref="K24:K39" si="11">I24/N24</f>
        <v>0.26486945754053143</v>
      </c>
      <c r="L24" s="2">
        <f t="shared" ref="L24:L39" si="12">1/H24</f>
        <v>0.18229878771306118</v>
      </c>
      <c r="M24" s="2">
        <f t="shared" ref="M24:M52" si="13">1/N24</f>
        <v>0.13401340670120615</v>
      </c>
      <c r="N24" s="2">
        <f t="shared" ref="N24:N39" si="14">H24+I24</f>
        <v>7.4619400000000127</v>
      </c>
      <c r="O24" s="2">
        <v>23</v>
      </c>
      <c r="P24">
        <f t="shared" si="7"/>
        <v>4.1928721174004071</v>
      </c>
    </row>
    <row r="25" spans="2:18" x14ac:dyDescent="0.35">
      <c r="B25">
        <v>134.53625</v>
      </c>
      <c r="C25">
        <v>139.36959999999999</v>
      </c>
      <c r="D25">
        <f>C25-B25</f>
        <v>4.8333499999999958</v>
      </c>
      <c r="F25">
        <v>133.65754000000001</v>
      </c>
      <c r="G25">
        <v>135.22744</v>
      </c>
      <c r="H25" s="2">
        <f t="shared" si="8"/>
        <v>1.5698999999999899</v>
      </c>
      <c r="I25" s="2">
        <f t="shared" si="9"/>
        <v>8.8127299999999877</v>
      </c>
      <c r="J25" s="2">
        <f t="shared" si="10"/>
        <v>0.15120446360893081</v>
      </c>
      <c r="K25" s="2">
        <f t="shared" si="11"/>
        <v>0.84879553639106919</v>
      </c>
      <c r="L25" s="2">
        <f t="shared" si="12"/>
        <v>0.63698324734059908</v>
      </c>
      <c r="M25" s="2">
        <f t="shared" si="13"/>
        <v>9.6314710242010174E-2</v>
      </c>
      <c r="N25" s="2">
        <f t="shared" si="14"/>
        <v>10.382629999999978</v>
      </c>
      <c r="O25" s="2">
        <v>8</v>
      </c>
      <c r="P25">
        <f t="shared" si="7"/>
        <v>5.0958659787247926</v>
      </c>
    </row>
    <row r="26" spans="2:18" x14ac:dyDescent="0.35">
      <c r="C26" s="2"/>
      <c r="F26">
        <v>144.04016999999999</v>
      </c>
      <c r="G26">
        <v>148.79014000000001</v>
      </c>
      <c r="H26" s="2">
        <f t="shared" si="8"/>
        <v>4.7499700000000189</v>
      </c>
      <c r="I26" s="2">
        <f t="shared" si="9"/>
        <v>2.5954899999999839</v>
      </c>
      <c r="J26" s="2">
        <f t="shared" si="10"/>
        <v>0.64665385149466703</v>
      </c>
      <c r="K26" s="2">
        <f t="shared" si="11"/>
        <v>0.35334614850533291</v>
      </c>
      <c r="L26" s="2">
        <f t="shared" si="12"/>
        <v>0.21052764543775981</v>
      </c>
      <c r="M26" s="2">
        <f t="shared" si="13"/>
        <v>0.13613851276843106</v>
      </c>
      <c r="N26" s="2">
        <f t="shared" si="14"/>
        <v>7.3454600000000028</v>
      </c>
      <c r="O26">
        <v>23</v>
      </c>
      <c r="P26">
        <f t="shared" si="7"/>
        <v>4.8421358450684755</v>
      </c>
    </row>
    <row r="27" spans="2:18" x14ac:dyDescent="0.35">
      <c r="C27" s="2"/>
      <c r="F27">
        <v>151.38562999999999</v>
      </c>
      <c r="G27">
        <v>156.54079999999999</v>
      </c>
      <c r="H27" s="2">
        <f t="shared" si="8"/>
        <v>5.1551699999999983</v>
      </c>
      <c r="I27" s="2">
        <f t="shared" si="9"/>
        <v>2.9734300000000076</v>
      </c>
      <c r="J27" s="2">
        <f t="shared" si="10"/>
        <v>0.63420146150628576</v>
      </c>
      <c r="K27" s="2">
        <f t="shared" si="11"/>
        <v>0.36579853849371424</v>
      </c>
      <c r="L27" s="2">
        <f t="shared" si="12"/>
        <v>0.19398002393713501</v>
      </c>
      <c r="M27" s="2">
        <f t="shared" si="13"/>
        <v>0.12302241468395533</v>
      </c>
      <c r="N27" s="2">
        <f t="shared" si="14"/>
        <v>8.1286000000000058</v>
      </c>
      <c r="O27">
        <v>22</v>
      </c>
      <c r="P27">
        <f t="shared" si="7"/>
        <v>4.2675605266169701</v>
      </c>
    </row>
    <row r="28" spans="2:18" x14ac:dyDescent="0.35">
      <c r="B28">
        <v>159.40027000000001</v>
      </c>
      <c r="C28" s="2">
        <v>162.2336</v>
      </c>
      <c r="D28">
        <f>C28-B28</f>
        <v>2.8333299999999895</v>
      </c>
      <c r="F28">
        <v>159.51423</v>
      </c>
      <c r="G28">
        <v>160.91275000000002</v>
      </c>
      <c r="H28" s="2">
        <f t="shared" si="8"/>
        <v>1.3985200000000191</v>
      </c>
      <c r="I28" s="2">
        <f t="shared" si="9"/>
        <v>5.8692699999999718</v>
      </c>
      <c r="J28" s="2">
        <f t="shared" si="10"/>
        <v>0.19242713397057715</v>
      </c>
      <c r="K28" s="2">
        <f t="shared" si="11"/>
        <v>0.80757286602942291</v>
      </c>
      <c r="L28" s="2">
        <f t="shared" si="12"/>
        <v>0.71504161542200784</v>
      </c>
      <c r="M28" s="2">
        <f t="shared" si="13"/>
        <v>0.13759340872534859</v>
      </c>
      <c r="N28" s="2">
        <f t="shared" si="14"/>
        <v>7.2677899999999909</v>
      </c>
      <c r="O28">
        <v>8</v>
      </c>
      <c r="P28">
        <f t="shared" si="7"/>
        <v>5.7203329233760627</v>
      </c>
    </row>
    <row r="29" spans="2:18" x14ac:dyDescent="0.35">
      <c r="D29" s="2"/>
      <c r="F29">
        <v>166.78201999999999</v>
      </c>
      <c r="G29">
        <v>172.16844</v>
      </c>
      <c r="H29" s="2">
        <f t="shared" si="8"/>
        <v>5.3864200000000153</v>
      </c>
      <c r="I29" s="2">
        <f t="shared" si="9"/>
        <v>2.8780799999999829</v>
      </c>
      <c r="J29" s="2">
        <f t="shared" si="10"/>
        <v>0.65175388710751003</v>
      </c>
      <c r="K29" s="2">
        <f t="shared" si="11"/>
        <v>0.34824611289248997</v>
      </c>
      <c r="L29" s="2">
        <f t="shared" si="12"/>
        <v>0.18565206575053508</v>
      </c>
      <c r="M29" s="2">
        <f t="shared" si="13"/>
        <v>0.12099945550245027</v>
      </c>
      <c r="N29" s="2">
        <f t="shared" si="14"/>
        <v>8.2644999999999982</v>
      </c>
      <c r="O29">
        <v>25</v>
      </c>
      <c r="P29">
        <f t="shared" si="7"/>
        <v>4.6413016437633772</v>
      </c>
    </row>
    <row r="30" spans="2:18" x14ac:dyDescent="0.35">
      <c r="C30" s="2"/>
      <c r="F30">
        <v>175.04651999999999</v>
      </c>
      <c r="G30">
        <v>179.53550999999999</v>
      </c>
      <c r="H30" s="2">
        <f t="shared" si="8"/>
        <v>4.4889900000000011</v>
      </c>
      <c r="I30" s="2">
        <f t="shared" si="9"/>
        <v>3.7566600000000108</v>
      </c>
      <c r="J30" s="2">
        <f t="shared" si="10"/>
        <v>0.54440705099052167</v>
      </c>
      <c r="K30" s="2">
        <f t="shared" si="11"/>
        <v>0.45559294900947839</v>
      </c>
      <c r="L30" s="2">
        <f t="shared" si="12"/>
        <v>0.22276725945034401</v>
      </c>
      <c r="M30" s="2">
        <f t="shared" si="13"/>
        <v>0.12127606677460219</v>
      </c>
      <c r="N30" s="2">
        <f t="shared" si="14"/>
        <v>8.2456500000000119</v>
      </c>
      <c r="O30">
        <v>20</v>
      </c>
      <c r="P30">
        <f t="shared" si="7"/>
        <v>4.4553451890068798</v>
      </c>
    </row>
    <row r="31" spans="2:18" x14ac:dyDescent="0.35">
      <c r="C31" s="2"/>
      <c r="F31">
        <v>183.29217</v>
      </c>
      <c r="G31">
        <v>188.67570999999998</v>
      </c>
      <c r="H31" s="2">
        <f t="shared" si="8"/>
        <v>5.3835399999999822</v>
      </c>
      <c r="I31" s="2">
        <f t="shared" si="9"/>
        <v>2.8622500000000173</v>
      </c>
      <c r="J31" s="2">
        <f t="shared" si="10"/>
        <v>0.65288347144421366</v>
      </c>
      <c r="K31" s="2">
        <f t="shared" si="11"/>
        <v>0.34711652855578634</v>
      </c>
      <c r="L31" s="2">
        <f t="shared" si="12"/>
        <v>0.18575138291904644</v>
      </c>
      <c r="M31" s="2">
        <f t="shared" si="13"/>
        <v>0.12127400770575046</v>
      </c>
      <c r="N31" s="2">
        <f t="shared" si="14"/>
        <v>8.2457899999999995</v>
      </c>
      <c r="O31">
        <v>24</v>
      </c>
      <c r="P31">
        <f t="shared" si="7"/>
        <v>4.4580331900571144</v>
      </c>
    </row>
    <row r="32" spans="2:18" x14ac:dyDescent="0.35">
      <c r="C32" s="2"/>
      <c r="F32">
        <v>191.53796</v>
      </c>
      <c r="G32">
        <v>196.91379000000001</v>
      </c>
      <c r="H32" s="2">
        <f t="shared" si="8"/>
        <v>5.3758300000000077</v>
      </c>
      <c r="I32" s="2">
        <f t="shared" si="9"/>
        <v>1.8641900000000078</v>
      </c>
      <c r="J32" s="2">
        <f t="shared" si="10"/>
        <v>0.74251590465219652</v>
      </c>
      <c r="K32" s="2">
        <f t="shared" si="11"/>
        <v>0.25748409534780342</v>
      </c>
      <c r="L32" s="2">
        <f t="shared" si="12"/>
        <v>0.18601778702079466</v>
      </c>
      <c r="M32" s="2">
        <f t="shared" si="13"/>
        <v>0.13812116541114497</v>
      </c>
      <c r="N32" s="2">
        <f t="shared" si="14"/>
        <v>7.2400200000000154</v>
      </c>
      <c r="O32">
        <v>24</v>
      </c>
      <c r="P32">
        <f t="shared" si="7"/>
        <v>4.4644268884990721</v>
      </c>
    </row>
    <row r="33" spans="2:18" x14ac:dyDescent="0.35">
      <c r="B33">
        <v>200.55240000000001</v>
      </c>
      <c r="C33" s="2">
        <v>203.38576999999998</v>
      </c>
      <c r="D33">
        <f>C33-B33</f>
        <v>2.8333699999999737</v>
      </c>
      <c r="F33">
        <v>198.77798000000001</v>
      </c>
      <c r="G33">
        <v>201.95643000000001</v>
      </c>
      <c r="H33" s="2">
        <f t="shared" si="8"/>
        <v>3.178449999999998</v>
      </c>
      <c r="I33" s="2">
        <f t="shared" si="9"/>
        <v>5.9602199999999925</v>
      </c>
      <c r="J33" s="2">
        <f t="shared" si="10"/>
        <v>0.34780225131228082</v>
      </c>
      <c r="K33" s="2">
        <f t="shared" si="11"/>
        <v>0.65219774868771918</v>
      </c>
      <c r="L33" s="2">
        <f t="shared" si="12"/>
        <v>0.31461876071670175</v>
      </c>
      <c r="M33" s="2">
        <f t="shared" si="13"/>
        <v>0.10942511328234863</v>
      </c>
      <c r="N33" s="2">
        <f t="shared" si="14"/>
        <v>9.1386699999999905</v>
      </c>
      <c r="O33">
        <v>14</v>
      </c>
      <c r="P33">
        <f t="shared" si="7"/>
        <v>4.4046626500338242</v>
      </c>
    </row>
    <row r="34" spans="2:18" x14ac:dyDescent="0.35">
      <c r="C34" s="2"/>
      <c r="D34" s="2"/>
      <c r="F34">
        <v>207.91665</v>
      </c>
      <c r="G34">
        <v>213.41696999999999</v>
      </c>
      <c r="H34" s="2">
        <f t="shared" si="8"/>
        <v>5.5003199999999879</v>
      </c>
      <c r="I34" s="2">
        <f t="shared" si="9"/>
        <v>2.8729400000000282</v>
      </c>
      <c r="J34" s="2">
        <f t="shared" si="10"/>
        <v>0.6568911033456476</v>
      </c>
      <c r="K34" s="2">
        <f t="shared" si="11"/>
        <v>0.3431088966543524</v>
      </c>
      <c r="L34" s="2">
        <f t="shared" si="12"/>
        <v>0.1818076039212268</v>
      </c>
      <c r="M34" s="2">
        <f t="shared" si="13"/>
        <v>0.11942779753644316</v>
      </c>
      <c r="N34" s="2">
        <f t="shared" si="14"/>
        <v>8.3732600000000161</v>
      </c>
      <c r="O34">
        <v>26</v>
      </c>
      <c r="P34">
        <f t="shared" si="7"/>
        <v>4.7269977019518965</v>
      </c>
    </row>
    <row r="35" spans="2:18" x14ac:dyDescent="0.35">
      <c r="C35" s="2"/>
      <c r="F35">
        <v>216.28991000000002</v>
      </c>
      <c r="G35">
        <v>220.69682</v>
      </c>
      <c r="H35" s="2">
        <f t="shared" si="8"/>
        <v>4.4069099999999821</v>
      </c>
      <c r="I35" s="2">
        <f t="shared" si="9"/>
        <v>3.8752000000000066</v>
      </c>
      <c r="J35" s="2">
        <f t="shared" si="10"/>
        <v>0.5320999117374664</v>
      </c>
      <c r="K35" s="2">
        <f t="shared" si="11"/>
        <v>0.46790008826253354</v>
      </c>
      <c r="L35" s="2">
        <f t="shared" si="12"/>
        <v>0.22691636543519247</v>
      </c>
      <c r="M35" s="2">
        <f t="shared" si="13"/>
        <v>0.1207421780198526</v>
      </c>
      <c r="N35" s="2">
        <f t="shared" si="14"/>
        <v>8.2821099999999888</v>
      </c>
      <c r="O35">
        <v>21</v>
      </c>
      <c r="P35">
        <f t="shared" si="7"/>
        <v>4.7652436741390423</v>
      </c>
    </row>
    <row r="36" spans="2:18" x14ac:dyDescent="0.35">
      <c r="C36" s="2"/>
      <c r="F36">
        <v>224.57202000000001</v>
      </c>
      <c r="G36">
        <v>229.16494</v>
      </c>
      <c r="H36" s="2">
        <f t="shared" si="8"/>
        <v>4.5929199999999923</v>
      </c>
      <c r="I36" s="2">
        <f t="shared" si="9"/>
        <v>2.6568300000000136</v>
      </c>
      <c r="J36" s="2">
        <f t="shared" si="10"/>
        <v>0.6335280526914705</v>
      </c>
      <c r="K36" s="2">
        <f t="shared" si="11"/>
        <v>0.36647194730852944</v>
      </c>
      <c r="L36" s="2">
        <f t="shared" si="12"/>
        <v>0.21772641369760451</v>
      </c>
      <c r="M36" s="2">
        <f t="shared" si="13"/>
        <v>0.13793579088934091</v>
      </c>
      <c r="N36" s="2">
        <f t="shared" si="14"/>
        <v>7.2497500000000059</v>
      </c>
      <c r="O36">
        <v>20</v>
      </c>
      <c r="P36">
        <f t="shared" si="7"/>
        <v>4.3545282739520896</v>
      </c>
    </row>
    <row r="37" spans="2:18" x14ac:dyDescent="0.35">
      <c r="C37" s="2"/>
      <c r="D37" s="2"/>
      <c r="F37">
        <v>231.82177000000001</v>
      </c>
      <c r="G37">
        <v>237.16637</v>
      </c>
      <c r="H37" s="2">
        <f t="shared" si="8"/>
        <v>5.3445999999999856</v>
      </c>
      <c r="I37" s="2">
        <f t="shared" si="9"/>
        <v>2.9857599999999991</v>
      </c>
      <c r="J37" s="2">
        <f t="shared" si="10"/>
        <v>0.64158091607085355</v>
      </c>
      <c r="K37" s="2">
        <f t="shared" si="11"/>
        <v>0.35841908392914645</v>
      </c>
      <c r="L37" s="2">
        <f t="shared" si="12"/>
        <v>0.18710474123414339</v>
      </c>
      <c r="M37" s="2">
        <f t="shared" si="13"/>
        <v>0.12004283128220171</v>
      </c>
      <c r="N37" s="2">
        <f t="shared" si="14"/>
        <v>8.3303599999999847</v>
      </c>
      <c r="O37">
        <v>22</v>
      </c>
      <c r="P37">
        <f t="shared" si="7"/>
        <v>4.1163043071511547</v>
      </c>
    </row>
    <row r="38" spans="2:18" x14ac:dyDescent="0.35">
      <c r="C38" s="2"/>
      <c r="F38">
        <v>240.15213</v>
      </c>
      <c r="G38">
        <v>245.18013999999999</v>
      </c>
      <c r="H38" s="2">
        <f t="shared" si="8"/>
        <v>5.0280099999999948</v>
      </c>
      <c r="I38" s="2">
        <f t="shared" si="9"/>
        <v>1.828630000000004</v>
      </c>
      <c r="J38" s="2">
        <f t="shared" si="10"/>
        <v>0.73330523405049641</v>
      </c>
      <c r="K38" s="2">
        <f t="shared" si="11"/>
        <v>0.26669476594950359</v>
      </c>
      <c r="L38" s="2">
        <f t="shared" si="12"/>
        <v>0.19888584151582853</v>
      </c>
      <c r="M38" s="2">
        <f t="shared" si="13"/>
        <v>0.14584402856209458</v>
      </c>
      <c r="N38" s="2">
        <f t="shared" si="14"/>
        <v>6.8566399999999987</v>
      </c>
      <c r="O38">
        <v>21</v>
      </c>
      <c r="P38">
        <f t="shared" si="7"/>
        <v>4.1766026718323994</v>
      </c>
      <c r="R38" t="s">
        <v>879</v>
      </c>
    </row>
    <row r="39" spans="2:18" x14ac:dyDescent="0.35">
      <c r="C39" s="2"/>
      <c r="F39">
        <v>247.00877</v>
      </c>
      <c r="G39">
        <v>252.14914999999999</v>
      </c>
      <c r="H39" s="2">
        <f t="shared" si="8"/>
        <v>5.1403799999999933</v>
      </c>
      <c r="I39" s="2">
        <f t="shared" si="9"/>
        <v>0.93903000000000247</v>
      </c>
      <c r="J39" s="2">
        <f t="shared" si="10"/>
        <v>0.84553928752954599</v>
      </c>
      <c r="K39" s="2">
        <f t="shared" si="11"/>
        <v>0.15446071247045406</v>
      </c>
      <c r="L39" s="2">
        <f t="shared" si="12"/>
        <v>0.19453814698524258</v>
      </c>
      <c r="M39" s="2">
        <f t="shared" si="13"/>
        <v>0.1644896461992201</v>
      </c>
      <c r="N39" s="2">
        <f t="shared" si="14"/>
        <v>6.0794099999999958</v>
      </c>
      <c r="O39">
        <v>17</v>
      </c>
      <c r="P39">
        <f t="shared" si="7"/>
        <v>3.307148498749124</v>
      </c>
    </row>
    <row r="40" spans="2:18" x14ac:dyDescent="0.35">
      <c r="C40" s="2"/>
      <c r="D40" s="2"/>
      <c r="F40">
        <v>253.08817999999999</v>
      </c>
      <c r="G40">
        <v>259.39689999999996</v>
      </c>
      <c r="H40" s="2">
        <f t="shared" ref="H40:H52" si="15">G40-F40</f>
        <v>6.3087199999999655</v>
      </c>
      <c r="I40" s="2">
        <f t="shared" ref="I40:I52" si="16">F41-G40</f>
        <v>2.8651400000000535</v>
      </c>
      <c r="J40" s="2">
        <f t="shared" ref="J40:J52" si="17">H40/N40</f>
        <v>0.68768435533133843</v>
      </c>
      <c r="K40" s="2">
        <f t="shared" ref="K40:K52" si="18">I40/N40</f>
        <v>0.31231564466866157</v>
      </c>
      <c r="L40" s="2">
        <f t="shared" ref="L40:L52" si="19">1/H40</f>
        <v>0.15851075971037001</v>
      </c>
      <c r="M40" s="2">
        <f t="shared" si="13"/>
        <v>0.10900536960450649</v>
      </c>
      <c r="N40" s="2">
        <f t="shared" ref="N40:N52" si="20">H40+I40</f>
        <v>9.173860000000019</v>
      </c>
      <c r="O40">
        <v>25</v>
      </c>
      <c r="P40">
        <f t="shared" si="7"/>
        <v>3.96276899275925</v>
      </c>
    </row>
    <row r="41" spans="2:18" x14ac:dyDescent="0.35">
      <c r="C41" s="2"/>
      <c r="D41" s="2"/>
      <c r="F41">
        <v>262.26204000000001</v>
      </c>
      <c r="G41">
        <v>269.76076</v>
      </c>
      <c r="H41" s="2">
        <f t="shared" si="15"/>
        <v>7.4987199999999916</v>
      </c>
      <c r="I41" s="2">
        <f t="shared" si="16"/>
        <v>2.9559299999999666</v>
      </c>
      <c r="J41" s="2">
        <f t="shared" si="17"/>
        <v>0.71726169694824993</v>
      </c>
      <c r="K41" s="2">
        <f t="shared" si="18"/>
        <v>0.28273830305175002</v>
      </c>
      <c r="L41" s="2">
        <f t="shared" si="19"/>
        <v>0.13335609277316676</v>
      </c>
      <c r="M41" s="2">
        <f t="shared" si="13"/>
        <v>9.5651217400869848E-2</v>
      </c>
      <c r="N41" s="2">
        <f t="shared" si="20"/>
        <v>10.454649999999958</v>
      </c>
      <c r="O41">
        <v>30</v>
      </c>
      <c r="P41">
        <f t="shared" si="7"/>
        <v>4.0006827831950034</v>
      </c>
    </row>
    <row r="42" spans="2:18" x14ac:dyDescent="0.35">
      <c r="B42">
        <v>273.20214999999996</v>
      </c>
      <c r="C42" s="2">
        <v>275.03550000000001</v>
      </c>
      <c r="D42">
        <f>C42-B42</f>
        <v>1.8333500000000527</v>
      </c>
      <c r="F42">
        <v>272.71668999999997</v>
      </c>
      <c r="G42">
        <v>273.02947</v>
      </c>
      <c r="H42" s="2">
        <f t="shared" si="15"/>
        <v>0.31278000000003203</v>
      </c>
      <c r="I42" s="2">
        <f t="shared" si="16"/>
        <v>5.8505899999999542</v>
      </c>
      <c r="J42" s="2">
        <f t="shared" si="17"/>
        <v>5.0748210800265557E-2</v>
      </c>
      <c r="K42" s="2">
        <f t="shared" si="18"/>
        <v>0.94925178919973441</v>
      </c>
      <c r="L42" s="2">
        <f t="shared" si="19"/>
        <v>3.1971353667110991</v>
      </c>
      <c r="M42" s="2">
        <f t="shared" si="13"/>
        <v>0.16224889954683919</v>
      </c>
      <c r="N42" s="2">
        <f t="shared" si="20"/>
        <v>6.1633699999999862</v>
      </c>
      <c r="O42">
        <v>3</v>
      </c>
      <c r="P42">
        <f t="shared" si="7"/>
        <v>9.5914061001332982</v>
      </c>
    </row>
    <row r="43" spans="2:18" x14ac:dyDescent="0.35">
      <c r="C43" s="2"/>
      <c r="F43">
        <v>278.88005999999996</v>
      </c>
      <c r="G43">
        <v>284.27019999999999</v>
      </c>
      <c r="H43" s="2">
        <f t="shared" si="15"/>
        <v>5.3901400000000308</v>
      </c>
      <c r="I43" s="2">
        <f t="shared" si="16"/>
        <v>2.8701199999999858</v>
      </c>
      <c r="J43" s="2">
        <f t="shared" si="17"/>
        <v>0.65253878207223748</v>
      </c>
      <c r="K43" s="2">
        <f t="shared" si="18"/>
        <v>0.34746121792776258</v>
      </c>
      <c r="L43" s="2">
        <f t="shared" si="19"/>
        <v>0.18552393815373891</v>
      </c>
      <c r="M43" s="2">
        <f t="shared" si="13"/>
        <v>0.1210615646480859</v>
      </c>
      <c r="N43" s="2">
        <f t="shared" si="20"/>
        <v>8.2602600000000166</v>
      </c>
      <c r="O43">
        <v>23</v>
      </c>
      <c r="P43">
        <f t="shared" si="7"/>
        <v>4.2670505775359953</v>
      </c>
    </row>
    <row r="44" spans="2:18" x14ac:dyDescent="0.35">
      <c r="B44">
        <v>288.27418999999998</v>
      </c>
      <c r="C44" s="2">
        <v>290.10750999999999</v>
      </c>
      <c r="D44">
        <f>C44-B44</f>
        <v>1.8333200000000147</v>
      </c>
      <c r="F44">
        <v>287.14031999999997</v>
      </c>
      <c r="G44">
        <v>288.14678000000004</v>
      </c>
      <c r="H44" s="2">
        <f t="shared" si="15"/>
        <v>1.006460000000061</v>
      </c>
      <c r="I44" s="2">
        <f t="shared" si="16"/>
        <v>6.1683399999999438</v>
      </c>
      <c r="J44" s="2">
        <f t="shared" si="17"/>
        <v>0.14027708089424937</v>
      </c>
      <c r="K44" s="2">
        <f t="shared" si="18"/>
        <v>0.8597229191057506</v>
      </c>
      <c r="L44" s="2">
        <f t="shared" si="19"/>
        <v>0.99358146374415224</v>
      </c>
      <c r="M44" s="2">
        <f t="shared" si="13"/>
        <v>0.13937670736466512</v>
      </c>
      <c r="N44" s="2">
        <f t="shared" si="20"/>
        <v>7.1748000000000047</v>
      </c>
      <c r="O44">
        <v>6</v>
      </c>
      <c r="P44">
        <f t="shared" si="7"/>
        <v>5.9614887824649134</v>
      </c>
    </row>
    <row r="45" spans="2:18" x14ac:dyDescent="0.35">
      <c r="C45" s="2"/>
      <c r="F45">
        <v>294.31511999999998</v>
      </c>
      <c r="G45">
        <v>298.92088999999999</v>
      </c>
      <c r="H45" s="2">
        <f t="shared" si="15"/>
        <v>4.6057700000000068</v>
      </c>
      <c r="I45" s="2">
        <f t="shared" si="16"/>
        <v>2.6230500000000347</v>
      </c>
      <c r="J45" s="2">
        <f t="shared" si="17"/>
        <v>0.63713994815197783</v>
      </c>
      <c r="K45" s="2">
        <f t="shared" si="18"/>
        <v>0.36286005184802217</v>
      </c>
      <c r="L45" s="2">
        <f t="shared" si="19"/>
        <v>0.21711896165027747</v>
      </c>
      <c r="M45" s="2">
        <f t="shared" si="13"/>
        <v>0.13833516396866904</v>
      </c>
      <c r="N45" s="2">
        <f t="shared" si="20"/>
        <v>7.2288200000000415</v>
      </c>
      <c r="O45">
        <v>21</v>
      </c>
      <c r="P45">
        <f t="shared" si="7"/>
        <v>4.5594981946558271</v>
      </c>
    </row>
    <row r="46" spans="2:18" x14ac:dyDescent="0.35">
      <c r="B46">
        <v>302.48219</v>
      </c>
      <c r="C46" s="2">
        <v>304.31551999999999</v>
      </c>
      <c r="D46">
        <f>C46-B46</f>
        <v>1.8333299999999895</v>
      </c>
      <c r="F46">
        <v>301.54394000000002</v>
      </c>
      <c r="G46">
        <v>303.31551999999999</v>
      </c>
      <c r="H46" s="2">
        <f t="shared" si="15"/>
        <v>1.7715799999999717</v>
      </c>
      <c r="I46" s="2">
        <f t="shared" si="16"/>
        <v>5.2901500000000397</v>
      </c>
      <c r="J46" s="2">
        <f t="shared" si="17"/>
        <v>0.25087053738955878</v>
      </c>
      <c r="K46" s="2">
        <f t="shared" si="18"/>
        <v>0.74912946261044122</v>
      </c>
      <c r="L46" s="2">
        <f t="shared" si="19"/>
        <v>0.56446787613317828</v>
      </c>
      <c r="M46" s="2">
        <f t="shared" si="13"/>
        <v>0.14160835942467334</v>
      </c>
      <c r="N46" s="2">
        <f t="shared" si="20"/>
        <v>7.0617300000000114</v>
      </c>
      <c r="O46">
        <v>9</v>
      </c>
      <c r="P46">
        <f t="shared" si="7"/>
        <v>5.0802108851986043</v>
      </c>
    </row>
    <row r="47" spans="2:18" x14ac:dyDescent="0.35">
      <c r="B47">
        <v>309.23418000000004</v>
      </c>
      <c r="C47" s="2">
        <v>311.11197000000004</v>
      </c>
      <c r="D47">
        <f>C47-B47</f>
        <v>1.8777900000000045</v>
      </c>
      <c r="F47">
        <v>308.60567000000003</v>
      </c>
      <c r="G47">
        <v>308.88989000000004</v>
      </c>
      <c r="H47" s="2">
        <f t="shared" si="15"/>
        <v>0.2842200000000048</v>
      </c>
      <c r="I47" s="2">
        <f t="shared" si="16"/>
        <v>5.9044199999999591</v>
      </c>
      <c r="J47" s="2">
        <f t="shared" si="17"/>
        <v>4.5926083921508841E-2</v>
      </c>
      <c r="K47" s="2">
        <f t="shared" si="18"/>
        <v>0.95407391607849112</v>
      </c>
      <c r="L47" s="2">
        <f t="shared" si="19"/>
        <v>3.5184012384771766</v>
      </c>
      <c r="M47" s="2">
        <f t="shared" si="13"/>
        <v>0.16158639054784343</v>
      </c>
      <c r="N47" s="2">
        <f t="shared" si="20"/>
        <v>6.1886399999999639</v>
      </c>
      <c r="O47">
        <v>3</v>
      </c>
      <c r="P47">
        <f t="shared" si="7"/>
        <v>10.55520371543153</v>
      </c>
    </row>
    <row r="48" spans="2:18" x14ac:dyDescent="0.35">
      <c r="C48" s="2"/>
      <c r="F48">
        <v>314.79431</v>
      </c>
      <c r="G48">
        <v>321.38450999999998</v>
      </c>
      <c r="H48" s="2">
        <f t="shared" si="15"/>
        <v>6.5901999999999816</v>
      </c>
      <c r="I48" s="2">
        <f t="shared" si="16"/>
        <v>3.7490900000000238</v>
      </c>
      <c r="J48" s="2">
        <f t="shared" si="17"/>
        <v>0.63739386360185057</v>
      </c>
      <c r="K48" s="2">
        <f t="shared" si="18"/>
        <v>0.36260613639814937</v>
      </c>
      <c r="L48" s="2">
        <f t="shared" si="19"/>
        <v>0.15174046311189385</v>
      </c>
      <c r="M48" s="2">
        <f t="shared" si="13"/>
        <v>9.6718440047624116E-2</v>
      </c>
      <c r="N48" s="2">
        <f t="shared" si="20"/>
        <v>10.339290000000005</v>
      </c>
      <c r="O48">
        <v>28</v>
      </c>
      <c r="P48">
        <f t="shared" si="7"/>
        <v>4.2487329671330274</v>
      </c>
    </row>
    <row r="49" spans="2:16" x14ac:dyDescent="0.35">
      <c r="C49" s="2"/>
      <c r="F49">
        <v>325.1336</v>
      </c>
      <c r="G49">
        <v>330.51961</v>
      </c>
      <c r="H49" s="2">
        <f t="shared" si="15"/>
        <v>5.3860099999999989</v>
      </c>
      <c r="I49" s="2">
        <f t="shared" si="16"/>
        <v>2.9877500000000055</v>
      </c>
      <c r="J49" s="2">
        <f t="shared" si="17"/>
        <v>0.64320090377560335</v>
      </c>
      <c r="K49" s="2">
        <f t="shared" si="18"/>
        <v>0.35679909622439665</v>
      </c>
      <c r="L49" s="2">
        <f t="shared" si="19"/>
        <v>0.18566619816895999</v>
      </c>
      <c r="M49" s="2">
        <f t="shared" si="13"/>
        <v>0.11942066646285533</v>
      </c>
      <c r="N49" s="2">
        <f t="shared" si="20"/>
        <v>8.3737600000000043</v>
      </c>
      <c r="O49">
        <v>24</v>
      </c>
      <c r="P49">
        <f t="shared" si="7"/>
        <v>4.4559887560550395</v>
      </c>
    </row>
    <row r="50" spans="2:16" x14ac:dyDescent="0.35">
      <c r="B50">
        <v>334.22629000000001</v>
      </c>
      <c r="C50" s="2">
        <v>336.26567999999997</v>
      </c>
      <c r="D50">
        <f>C50-B50</f>
        <v>2.0393899999999689</v>
      </c>
      <c r="F50">
        <v>333.50736000000001</v>
      </c>
      <c r="G50">
        <v>334.08438999999998</v>
      </c>
      <c r="H50" s="2">
        <f t="shared" si="15"/>
        <v>0.57702999999997928</v>
      </c>
      <c r="I50" s="2">
        <f t="shared" si="16"/>
        <v>6.4652399999999943</v>
      </c>
      <c r="J50" s="2">
        <f t="shared" si="17"/>
        <v>8.1938068264917618E-2</v>
      </c>
      <c r="K50" s="2">
        <f t="shared" si="18"/>
        <v>0.91806193173508233</v>
      </c>
      <c r="L50" s="2">
        <f t="shared" si="19"/>
        <v>1.7330121484152226</v>
      </c>
      <c r="M50" s="2">
        <f t="shared" si="13"/>
        <v>0.14199966772077807</v>
      </c>
      <c r="N50" s="2">
        <f t="shared" si="20"/>
        <v>7.0422699999999736</v>
      </c>
      <c r="O50">
        <v>4</v>
      </c>
      <c r="P50">
        <f t="shared" si="7"/>
        <v>6.9320485936608902</v>
      </c>
    </row>
    <row r="51" spans="2:16" x14ac:dyDescent="0.35">
      <c r="C51" s="2"/>
      <c r="F51">
        <v>340.54962999999998</v>
      </c>
      <c r="G51">
        <v>344.88733000000002</v>
      </c>
      <c r="H51" s="2">
        <f t="shared" si="15"/>
        <v>4.3377000000000407</v>
      </c>
      <c r="I51" s="2">
        <f t="shared" si="16"/>
        <v>2.9021900000000187</v>
      </c>
      <c r="J51" s="2">
        <f t="shared" si="17"/>
        <v>0.59913893719379785</v>
      </c>
      <c r="K51" s="2">
        <f t="shared" si="18"/>
        <v>0.40086106280620215</v>
      </c>
      <c r="L51" s="2">
        <f t="shared" si="19"/>
        <v>0.23053692048781396</v>
      </c>
      <c r="M51" s="2">
        <f t="shared" si="13"/>
        <v>0.13812364552499995</v>
      </c>
      <c r="N51" s="2">
        <f t="shared" si="20"/>
        <v>7.2398900000000594</v>
      </c>
      <c r="O51">
        <v>23</v>
      </c>
      <c r="P51">
        <f t="shared" si="7"/>
        <v>5.3023491712197206</v>
      </c>
    </row>
    <row r="52" spans="2:16" x14ac:dyDescent="0.35">
      <c r="C52" s="2"/>
      <c r="F52">
        <v>347.78952000000004</v>
      </c>
      <c r="G52">
        <v>352.97334000000001</v>
      </c>
      <c r="H52" s="2">
        <f t="shared" si="15"/>
        <v>5.1838199999999688</v>
      </c>
      <c r="I52" s="2">
        <f t="shared" si="16"/>
        <v>1.968340000000012</v>
      </c>
      <c r="J52" s="2">
        <f t="shared" si="17"/>
        <v>0.72479083241985398</v>
      </c>
      <c r="K52" s="2">
        <f t="shared" si="18"/>
        <v>0.27520916758014602</v>
      </c>
      <c r="L52" s="2">
        <f t="shared" si="19"/>
        <v>0.19290793276001211</v>
      </c>
      <c r="M52" s="2">
        <f t="shared" si="13"/>
        <v>0.1398179011655224</v>
      </c>
      <c r="N52" s="2">
        <f t="shared" si="20"/>
        <v>7.1521599999999808</v>
      </c>
      <c r="O52">
        <v>22</v>
      </c>
      <c r="P52">
        <f t="shared" si="7"/>
        <v>4.2439745207202666</v>
      </c>
    </row>
    <row r="53" spans="2:16" x14ac:dyDescent="0.35">
      <c r="C53" s="2"/>
      <c r="F53">
        <v>354.94168000000002</v>
      </c>
      <c r="G53">
        <v>358.45296999999999</v>
      </c>
      <c r="H53" s="2">
        <f t="shared" si="8"/>
        <v>3.511289999999974</v>
      </c>
      <c r="I53" s="2"/>
      <c r="J53" s="2"/>
      <c r="K53" s="2"/>
      <c r="L53" s="2"/>
      <c r="M53" s="2"/>
      <c r="N53" s="2"/>
      <c r="O53">
        <v>20</v>
      </c>
      <c r="P53">
        <f t="shared" si="7"/>
        <v>5.6959123285174815</v>
      </c>
    </row>
    <row r="54" spans="2:16" x14ac:dyDescent="0.35">
      <c r="C54" s="2"/>
      <c r="H54" s="2"/>
      <c r="I54" s="2"/>
      <c r="J54" s="2"/>
      <c r="K54" s="2"/>
      <c r="L54" s="2"/>
      <c r="M54" s="2"/>
      <c r="N54" s="2"/>
    </row>
    <row r="55" spans="2:16" x14ac:dyDescent="0.35">
      <c r="C55" s="2"/>
      <c r="H55" s="2"/>
      <c r="I55" s="2"/>
      <c r="J55" s="2"/>
      <c r="K55" s="2"/>
      <c r="L55" s="2"/>
      <c r="M55" s="2"/>
      <c r="N55" s="2"/>
    </row>
    <row r="56" spans="2:16" x14ac:dyDescent="0.35">
      <c r="C56" s="2"/>
      <c r="H56" s="2"/>
      <c r="I56" s="2"/>
      <c r="J56" s="2"/>
      <c r="K56" s="2"/>
      <c r="L56" s="2"/>
      <c r="M56" s="2"/>
      <c r="N56" s="2"/>
    </row>
    <row r="59" spans="2:16" ht="16" thickBot="1" x14ac:dyDescent="0.4">
      <c r="E59" s="104" t="s">
        <v>78</v>
      </c>
      <c r="G59" s="13"/>
      <c r="H59" s="9" t="s">
        <v>3</v>
      </c>
      <c r="I59" s="9" t="s">
        <v>4</v>
      </c>
      <c r="J59" s="9" t="s">
        <v>5</v>
      </c>
      <c r="K59" s="9" t="s">
        <v>6</v>
      </c>
      <c r="L59" s="9" t="s">
        <v>7</v>
      </c>
      <c r="M59" s="9" t="s">
        <v>8</v>
      </c>
      <c r="N59" s="9" t="s">
        <v>9</v>
      </c>
      <c r="O59" s="9" t="s">
        <v>10</v>
      </c>
      <c r="P59" s="44" t="s">
        <v>139</v>
      </c>
    </row>
    <row r="60" spans="2:16" x14ac:dyDescent="0.35">
      <c r="G60" s="49" t="s">
        <v>77</v>
      </c>
      <c r="H60" s="13">
        <f>AVERAGE(H7:H24,H35:H41,H49,H52)</f>
        <v>5.2809177777777734</v>
      </c>
      <c r="I60" s="13">
        <f t="shared" ref="I60:P60" si="21">AVERAGE(I7:I24,I35:I41,I49,I52)</f>
        <v>2.333164444444447</v>
      </c>
      <c r="J60" s="13">
        <f t="shared" si="21"/>
        <v>0.69775201705772794</v>
      </c>
      <c r="K60" s="13">
        <f t="shared" si="21"/>
        <v>0.30224798294227223</v>
      </c>
      <c r="L60" s="13">
        <f t="shared" si="21"/>
        <v>0.19319428529464491</v>
      </c>
      <c r="M60" s="13">
        <f t="shared" si="21"/>
        <v>0.13340874150685181</v>
      </c>
      <c r="N60" s="13">
        <f t="shared" si="21"/>
        <v>7.61408222222222</v>
      </c>
      <c r="O60" s="13">
        <f t="shared" si="21"/>
        <v>21.851851851851851</v>
      </c>
      <c r="P60" s="13">
        <f t="shared" si="21"/>
        <v>4.1576408215648017</v>
      </c>
    </row>
    <row r="61" spans="2:16" x14ac:dyDescent="0.35">
      <c r="G61" s="49" t="s">
        <v>94</v>
      </c>
      <c r="H61" s="2">
        <f>_xlfn.STDEV.S(H7:H24,H35:H41,H49,H52)</f>
        <v>0.78603114091927939</v>
      </c>
      <c r="I61" s="2">
        <f t="shared" ref="I61:P61" si="22">_xlfn.STDEV.S(I7:I24,I35:I41,I49,I52)</f>
        <v>0.85854960632781319</v>
      </c>
      <c r="J61" s="2">
        <f t="shared" si="22"/>
        <v>8.9139481640424081E-2</v>
      </c>
      <c r="K61" s="2">
        <f t="shared" si="22"/>
        <v>8.9139481640425136E-2</v>
      </c>
      <c r="L61" s="2">
        <f t="shared" si="22"/>
        <v>2.7226977347660018E-2</v>
      </c>
      <c r="M61" s="2">
        <f t="shared" si="22"/>
        <v>1.6630556068482683E-2</v>
      </c>
      <c r="N61" s="2">
        <f t="shared" si="22"/>
        <v>1.0017765096771993</v>
      </c>
      <c r="O61" s="2">
        <f t="shared" si="22"/>
        <v>2.8107445455403597</v>
      </c>
      <c r="P61" s="2">
        <f t="shared" si="22"/>
        <v>0.3027863090048305</v>
      </c>
    </row>
    <row r="62" spans="2:16" x14ac:dyDescent="0.35">
      <c r="G62" s="49" t="s">
        <v>95</v>
      </c>
      <c r="H62" s="2">
        <f>H61/(SQRT(COUNT(H7:H24,H35:H41,H49,H52)))</f>
        <v>0.15127176360039155</v>
      </c>
      <c r="I62" s="2">
        <f t="shared" ref="I62:P62" si="23">I61/(SQRT(COUNT(I7:I24,I35:I41,I49,I52)))</f>
        <v>0.16522794877533672</v>
      </c>
      <c r="J62" s="2">
        <f t="shared" si="23"/>
        <v>1.7154901240174183E-2</v>
      </c>
      <c r="K62" s="2">
        <f t="shared" si="23"/>
        <v>1.7154901240174384E-2</v>
      </c>
      <c r="L62" s="2">
        <f t="shared" si="23"/>
        <v>5.2398342336304514E-3</v>
      </c>
      <c r="M62" s="2">
        <f t="shared" si="23"/>
        <v>3.2005520076372135E-3</v>
      </c>
      <c r="N62" s="2">
        <f t="shared" si="23"/>
        <v>0.19279197917665825</v>
      </c>
      <c r="O62" s="2">
        <f t="shared" si="23"/>
        <v>0.54092803999699968</v>
      </c>
      <c r="P62" s="2">
        <f t="shared" si="23"/>
        <v>5.8271252336957367E-2</v>
      </c>
    </row>
    <row r="65" spans="2:18" ht="16" thickBot="1" x14ac:dyDescent="0.4">
      <c r="E65" s="104" t="s">
        <v>20</v>
      </c>
      <c r="G65" s="13"/>
      <c r="H65" s="9" t="s">
        <v>3</v>
      </c>
      <c r="I65" s="9" t="s">
        <v>4</v>
      </c>
      <c r="J65" s="9" t="s">
        <v>5</v>
      </c>
      <c r="K65" s="9" t="s">
        <v>6</v>
      </c>
      <c r="L65" s="9" t="s">
        <v>7</v>
      </c>
      <c r="M65" s="9" t="s">
        <v>8</v>
      </c>
      <c r="N65" s="9" t="s">
        <v>9</v>
      </c>
      <c r="O65" s="9" t="s">
        <v>10</v>
      </c>
      <c r="P65" s="44" t="s">
        <v>139</v>
      </c>
    </row>
    <row r="66" spans="2:18" x14ac:dyDescent="0.35">
      <c r="G66" s="49" t="s">
        <v>77</v>
      </c>
      <c r="H66" s="13">
        <f t="shared" ref="H66:P66" si="24">AVERAGE(H25,H28,H33,H42,H44,H46,H47,H50)</f>
        <v>1.262367500000007</v>
      </c>
      <c r="I66" s="13">
        <f t="shared" si="24"/>
        <v>6.2901199999999804</v>
      </c>
      <c r="J66" s="13">
        <f t="shared" si="24"/>
        <v>0.15764922877028612</v>
      </c>
      <c r="K66" s="13">
        <f t="shared" si="24"/>
        <v>0.84235077122971391</v>
      </c>
      <c r="L66" s="13">
        <f t="shared" si="24"/>
        <v>1.4591552146200171</v>
      </c>
      <c r="M66" s="13">
        <f t="shared" si="24"/>
        <v>0.13626915710681331</v>
      </c>
      <c r="N66" s="13">
        <f t="shared" si="24"/>
        <v>7.5524874999999874</v>
      </c>
      <c r="O66" s="13">
        <f t="shared" si="24"/>
        <v>6.875</v>
      </c>
      <c r="P66" s="13">
        <f t="shared" si="24"/>
        <v>6.6676524536279889</v>
      </c>
    </row>
    <row r="67" spans="2:18" x14ac:dyDescent="0.35">
      <c r="G67" s="49" t="s">
        <v>94</v>
      </c>
      <c r="H67" s="2">
        <f t="shared" ref="H67:P67" si="25">_xlfn.STDEV.S(H25,H28,H33,H42,H44,H46,H47,H50)</f>
        <v>0.95897626576841133</v>
      </c>
      <c r="I67" s="2">
        <f t="shared" si="25"/>
        <v>1.071507512086193</v>
      </c>
      <c r="J67" s="2">
        <f t="shared" si="25"/>
        <v>0.10422728059080147</v>
      </c>
      <c r="K67" s="2">
        <f t="shared" si="25"/>
        <v>0.10422728059080062</v>
      </c>
      <c r="L67" s="2">
        <f t="shared" si="25"/>
        <v>1.2474503513613084</v>
      </c>
      <c r="M67" s="2">
        <f t="shared" si="25"/>
        <v>2.3008154404539596E-2</v>
      </c>
      <c r="N67" s="2">
        <f t="shared" si="25"/>
        <v>1.4658139747959673</v>
      </c>
      <c r="O67" s="2">
        <f t="shared" si="25"/>
        <v>3.7201190457142248</v>
      </c>
      <c r="P67" s="2">
        <f t="shared" si="25"/>
        <v>2.2436890301265739</v>
      </c>
    </row>
    <row r="68" spans="2:18" x14ac:dyDescent="0.35">
      <c r="G68" s="49" t="s">
        <v>95</v>
      </c>
      <c r="H68" s="2">
        <f t="shared" ref="H68:P68" si="26">H67/(SQRT(COUNT(H25,H28,H33,H42,H44,H46,H47,H50)))</f>
        <v>0.33904931026089824</v>
      </c>
      <c r="I68" s="2">
        <f t="shared" si="26"/>
        <v>0.37883511394423675</v>
      </c>
      <c r="J68" s="2">
        <f t="shared" si="26"/>
        <v>3.6849908445194368E-2</v>
      </c>
      <c r="K68" s="2">
        <f t="shared" si="26"/>
        <v>3.684990844519407E-2</v>
      </c>
      <c r="L68" s="2">
        <f t="shared" si="26"/>
        <v>0.44104030132056127</v>
      </c>
      <c r="M68" s="2">
        <f t="shared" si="26"/>
        <v>8.1346110010185393E-3</v>
      </c>
      <c r="N68" s="2">
        <f t="shared" si="26"/>
        <v>0.51824350076811776</v>
      </c>
      <c r="O68" s="2">
        <f t="shared" si="26"/>
        <v>1.3152607020228781</v>
      </c>
      <c r="P68" s="2">
        <f t="shared" si="26"/>
        <v>0.79326386403818416</v>
      </c>
    </row>
    <row r="70" spans="2:18" ht="16" thickBot="1" x14ac:dyDescent="0.4">
      <c r="E70" s="104" t="s">
        <v>883</v>
      </c>
      <c r="G70" s="13"/>
      <c r="H70" s="9" t="s">
        <v>3</v>
      </c>
      <c r="I70" s="9" t="s">
        <v>4</v>
      </c>
      <c r="J70" s="9" t="s">
        <v>5</v>
      </c>
      <c r="K70" s="9" t="s">
        <v>6</v>
      </c>
      <c r="L70" s="9" t="s">
        <v>7</v>
      </c>
      <c r="M70" s="9" t="s">
        <v>8</v>
      </c>
      <c r="N70" s="9" t="s">
        <v>9</v>
      </c>
      <c r="O70" s="9" t="s">
        <v>10</v>
      </c>
      <c r="P70" s="44" t="s">
        <v>139</v>
      </c>
    </row>
    <row r="71" spans="2:18" x14ac:dyDescent="0.35">
      <c r="G71" s="49" t="s">
        <v>77</v>
      </c>
      <c r="H71" s="13">
        <f>AVERAGE(H26,H29,H34,H45,H48,H51,H43)</f>
        <v>5.2229314285714405</v>
      </c>
      <c r="I71" s="13">
        <f t="shared" ref="I71:P71" si="27">AVERAGE(I26,I29,I34,I45,I48,I51,I43)</f>
        <v>2.9272800000000081</v>
      </c>
      <c r="J71" s="13">
        <f t="shared" si="27"/>
        <v>0.64021576756681264</v>
      </c>
      <c r="K71" s="13">
        <f t="shared" si="27"/>
        <v>0.35978423243318736</v>
      </c>
      <c r="L71" s="13">
        <f t="shared" si="27"/>
        <v>0.19470108550189227</v>
      </c>
      <c r="M71" s="13">
        <f t="shared" si="27"/>
        <v>0.12440065428524336</v>
      </c>
      <c r="N71" s="13">
        <f t="shared" si="27"/>
        <v>8.1502114285714491</v>
      </c>
      <c r="O71" s="13">
        <f t="shared" si="27"/>
        <v>24.142857142857142</v>
      </c>
      <c r="P71" s="13">
        <f t="shared" si="27"/>
        <v>4.6554380144754743</v>
      </c>
    </row>
    <row r="72" spans="2:18" x14ac:dyDescent="0.35">
      <c r="G72" s="49" t="s">
        <v>94</v>
      </c>
      <c r="H72" s="2">
        <f>_xlfn.STDEV.S(H26,H29,H34,H45,H48,H51,H43)</f>
        <v>0.75158392847878119</v>
      </c>
      <c r="I72" s="2">
        <f t="shared" ref="I72:P72" si="28">_xlfn.STDEV.S(I26,I29,I34,I45,I48,I51,I43)</f>
        <v>0.38455221197301237</v>
      </c>
      <c r="J72" s="2">
        <f t="shared" si="28"/>
        <v>1.9618148220414425E-2</v>
      </c>
      <c r="K72" s="2">
        <f t="shared" si="28"/>
        <v>1.9618148220414421E-2</v>
      </c>
      <c r="L72" s="2">
        <f t="shared" si="28"/>
        <v>2.6505376733986442E-2</v>
      </c>
      <c r="M72" s="2">
        <f t="shared" si="28"/>
        <v>1.4910959797868247E-2</v>
      </c>
      <c r="N72" s="2">
        <f t="shared" si="28"/>
        <v>1.0948561817643374</v>
      </c>
      <c r="O72" s="2">
        <f t="shared" si="28"/>
        <v>2.3401261667248789</v>
      </c>
      <c r="P72" s="2">
        <f t="shared" si="28"/>
        <v>0.36150818253768729</v>
      </c>
    </row>
    <row r="73" spans="2:18" x14ac:dyDescent="0.35">
      <c r="G73" s="49" t="s">
        <v>95</v>
      </c>
      <c r="H73" s="2">
        <f>H72/(SQRT(COUNT(H26,H29,H34,H45,H48,H51,H43)))</f>
        <v>0.28407202344968724</v>
      </c>
      <c r="I73" s="2">
        <f t="shared" ref="I73:P73" si="29">I72/(SQRT(COUNT(I26,I29,I34,I45,I48,I51,I43)))</f>
        <v>0.14534707414291226</v>
      </c>
      <c r="J73" s="2">
        <f t="shared" si="29"/>
        <v>7.4149630535458467E-3</v>
      </c>
      <c r="K73" s="2">
        <f t="shared" si="29"/>
        <v>7.414963053545845E-3</v>
      </c>
      <c r="L73" s="2">
        <f t="shared" si="29"/>
        <v>1.0018090749172218E-2</v>
      </c>
      <c r="M73" s="2">
        <f t="shared" si="29"/>
        <v>5.6358130620630447E-3</v>
      </c>
      <c r="N73" s="2">
        <f t="shared" si="29"/>
        <v>0.41381673976145245</v>
      </c>
      <c r="O73" s="2">
        <f t="shared" si="29"/>
        <v>0.88448455338127185</v>
      </c>
      <c r="P73" s="2">
        <f t="shared" si="29"/>
        <v>0.1366372497013805</v>
      </c>
    </row>
    <row r="79" spans="2:18" ht="18.5" x14ac:dyDescent="0.45">
      <c r="B79" s="3"/>
      <c r="C79" s="3" t="s">
        <v>20</v>
      </c>
      <c r="D79" s="3"/>
      <c r="F79" s="1" t="s">
        <v>866</v>
      </c>
      <c r="G79" s="3"/>
      <c r="H79" s="3"/>
      <c r="I79" s="3"/>
      <c r="J79" s="3"/>
      <c r="K79" s="3"/>
      <c r="L79" s="3"/>
      <c r="M79" s="3"/>
      <c r="N79" s="3"/>
      <c r="O79" s="3"/>
    </row>
    <row r="80" spans="2:18" ht="16" thickBot="1" x14ac:dyDescent="0.4">
      <c r="B80" s="317" t="s">
        <v>861</v>
      </c>
      <c r="C80" s="317" t="s">
        <v>862</v>
      </c>
      <c r="D80" s="317" t="s">
        <v>863</v>
      </c>
      <c r="F80" s="9" t="s">
        <v>1</v>
      </c>
      <c r="G80" s="9" t="s">
        <v>2</v>
      </c>
      <c r="H80" s="9" t="s">
        <v>3</v>
      </c>
      <c r="I80" s="9" t="s">
        <v>4</v>
      </c>
      <c r="J80" s="9" t="s">
        <v>5</v>
      </c>
      <c r="K80" s="9" t="s">
        <v>6</v>
      </c>
      <c r="L80" s="9" t="s">
        <v>7</v>
      </c>
      <c r="M80" s="9" t="s">
        <v>8</v>
      </c>
      <c r="N80" s="9" t="s">
        <v>9</v>
      </c>
      <c r="O80" s="9" t="s">
        <v>10</v>
      </c>
      <c r="P80" s="44" t="s">
        <v>139</v>
      </c>
      <c r="R80" s="44" t="s">
        <v>138</v>
      </c>
    </row>
    <row r="81" spans="1:18" x14ac:dyDescent="0.35">
      <c r="F81">
        <v>1.88954</v>
      </c>
      <c r="G81">
        <v>8.0401600000000002</v>
      </c>
      <c r="H81" s="2">
        <f t="shared" ref="H81:H91" si="30">G81-F81</f>
        <v>6.15062</v>
      </c>
      <c r="I81" s="2">
        <f t="shared" ref="I81:I90" si="31">F82-G81</f>
        <v>3.0751899999999992</v>
      </c>
      <c r="J81" s="2">
        <f>H81/N81</f>
        <v>0.66667533799200296</v>
      </c>
      <c r="K81" s="2">
        <f>I81/N81</f>
        <v>0.3333246620079971</v>
      </c>
      <c r="L81" s="2">
        <f>1/H81</f>
        <v>0.16258523530961105</v>
      </c>
      <c r="M81" s="2">
        <f>1/N81</f>
        <v>0.10839156670254428</v>
      </c>
      <c r="N81" s="2">
        <f>H81+I81</f>
        <v>9.2258099999999992</v>
      </c>
      <c r="O81" s="2">
        <v>26</v>
      </c>
      <c r="P81">
        <f>O81/H81</f>
        <v>4.2272161180498875</v>
      </c>
      <c r="R81" t="s">
        <v>880</v>
      </c>
    </row>
    <row r="82" spans="1:18" x14ac:dyDescent="0.35">
      <c r="F82">
        <v>11.115349999999999</v>
      </c>
      <c r="G82">
        <v>16.540019999999998</v>
      </c>
      <c r="H82" s="2">
        <f t="shared" si="30"/>
        <v>5.424669999999999</v>
      </c>
      <c r="I82" s="2">
        <f t="shared" si="31"/>
        <v>2.8724500000000006</v>
      </c>
      <c r="J82" s="2">
        <f t="shared" ref="J82:J96" si="32">H82/N82</f>
        <v>0.65380156005939405</v>
      </c>
      <c r="K82" s="2">
        <f t="shared" ref="K82:K96" si="33">I82/N82</f>
        <v>0.34619843994060601</v>
      </c>
      <c r="L82" s="2">
        <f t="shared" ref="L82:L96" si="34">1/H82</f>
        <v>0.18434301072691983</v>
      </c>
      <c r="M82" s="2">
        <f t="shared" ref="M82:M115" si="35">1/N82</f>
        <v>0.12052374799930579</v>
      </c>
      <c r="N82" s="2">
        <f t="shared" ref="N82:N96" si="36">H82+I82</f>
        <v>8.2971199999999996</v>
      </c>
      <c r="O82" s="2">
        <v>25</v>
      </c>
      <c r="P82">
        <f t="shared" ref="P82:P116" si="37">O82/H82</f>
        <v>4.6085752681729959</v>
      </c>
    </row>
    <row r="83" spans="1:18" x14ac:dyDescent="0.35">
      <c r="B83">
        <v>26.41919</v>
      </c>
      <c r="C83">
        <v>28.25254</v>
      </c>
      <c r="D83" s="2">
        <f>C83-B83</f>
        <v>1.8333499999999994</v>
      </c>
      <c r="E83" s="2"/>
      <c r="F83">
        <v>19.412469999999999</v>
      </c>
      <c r="G83">
        <v>25.738990000000001</v>
      </c>
      <c r="H83" s="2">
        <f t="shared" si="30"/>
        <v>6.3265200000000021</v>
      </c>
      <c r="I83" s="2">
        <f t="shared" si="31"/>
        <v>5.0635399999999997</v>
      </c>
      <c r="J83" s="2">
        <f t="shared" si="32"/>
        <v>0.55544220135802636</v>
      </c>
      <c r="K83" s="2">
        <f t="shared" si="33"/>
        <v>0.4445577986419737</v>
      </c>
      <c r="L83" s="2">
        <f t="shared" si="34"/>
        <v>0.15806478126995563</v>
      </c>
      <c r="M83" s="2">
        <f t="shared" si="35"/>
        <v>8.7795850065759073E-2</v>
      </c>
      <c r="N83" s="2">
        <f t="shared" si="36"/>
        <v>11.390060000000002</v>
      </c>
      <c r="O83" s="2">
        <v>27</v>
      </c>
      <c r="P83">
        <f t="shared" si="37"/>
        <v>4.2677490942888019</v>
      </c>
    </row>
    <row r="84" spans="1:18" x14ac:dyDescent="0.35">
      <c r="E84" s="2"/>
      <c r="F84">
        <v>30.802530000000001</v>
      </c>
      <c r="G84">
        <v>36.296309999999998</v>
      </c>
      <c r="H84" s="2">
        <f t="shared" si="30"/>
        <v>5.4937799999999974</v>
      </c>
      <c r="I84" s="2">
        <f t="shared" si="31"/>
        <v>3.7452000000000041</v>
      </c>
      <c r="J84" s="2">
        <f t="shared" si="32"/>
        <v>0.59463057610255643</v>
      </c>
      <c r="K84" s="2">
        <f t="shared" si="33"/>
        <v>0.40536942389744363</v>
      </c>
      <c r="L84" s="2">
        <f t="shared" si="34"/>
        <v>0.18202403445350931</v>
      </c>
      <c r="M84" s="2">
        <f t="shared" si="35"/>
        <v>0.10823705647160183</v>
      </c>
      <c r="N84" s="2">
        <f t="shared" si="36"/>
        <v>9.2389800000000015</v>
      </c>
      <c r="O84" s="2">
        <v>26</v>
      </c>
      <c r="P84">
        <f t="shared" si="37"/>
        <v>4.7326248957912425</v>
      </c>
    </row>
    <row r="85" spans="1:18" x14ac:dyDescent="0.35">
      <c r="B85">
        <v>45.875160000000001</v>
      </c>
      <c r="C85">
        <v>49.708509999999997</v>
      </c>
      <c r="D85" s="2">
        <f>C85-B85</f>
        <v>3.8333499999999958</v>
      </c>
      <c r="E85" s="2"/>
      <c r="F85">
        <v>40.041510000000002</v>
      </c>
      <c r="G85">
        <v>44.537779999999998</v>
      </c>
      <c r="H85" s="2">
        <f t="shared" si="30"/>
        <v>4.4962699999999955</v>
      </c>
      <c r="I85" s="2">
        <f t="shared" si="31"/>
        <v>8.8431400000000053</v>
      </c>
      <c r="J85" s="2">
        <f t="shared" si="32"/>
        <v>0.33706663188251917</v>
      </c>
      <c r="K85" s="2">
        <f t="shared" si="33"/>
        <v>0.66293336811748083</v>
      </c>
      <c r="L85" s="2">
        <f t="shared" si="34"/>
        <v>0.22240657255903248</v>
      </c>
      <c r="M85" s="2">
        <f t="shared" si="35"/>
        <v>7.4965834321008201E-2</v>
      </c>
      <c r="N85" s="2">
        <f t="shared" si="36"/>
        <v>13.339410000000001</v>
      </c>
      <c r="O85" s="2">
        <v>21</v>
      </c>
      <c r="P85">
        <f t="shared" si="37"/>
        <v>4.6705380237396819</v>
      </c>
    </row>
    <row r="86" spans="1:18" x14ac:dyDescent="0.35">
      <c r="E86" s="2"/>
      <c r="F86">
        <v>53.380920000000003</v>
      </c>
      <c r="G86">
        <v>58.931570000000001</v>
      </c>
      <c r="H86" s="2">
        <f t="shared" si="30"/>
        <v>5.5506499999999974</v>
      </c>
      <c r="I86" s="2">
        <f t="shared" si="31"/>
        <v>3.7008299999999963</v>
      </c>
      <c r="J86" s="2">
        <f t="shared" si="32"/>
        <v>0.59997427438636863</v>
      </c>
      <c r="K86" s="2">
        <f t="shared" si="33"/>
        <v>0.40002572561363142</v>
      </c>
      <c r="L86" s="2">
        <f t="shared" si="34"/>
        <v>0.18015908046805337</v>
      </c>
      <c r="M86" s="2">
        <f t="shared" si="35"/>
        <v>0.10809081357793571</v>
      </c>
      <c r="N86" s="2">
        <f t="shared" si="36"/>
        <v>9.2514799999999937</v>
      </c>
      <c r="O86" s="2">
        <v>27</v>
      </c>
      <c r="P86">
        <f t="shared" si="37"/>
        <v>4.8642951726374415</v>
      </c>
    </row>
    <row r="87" spans="1:18" x14ac:dyDescent="0.35">
      <c r="B87">
        <v>69.555250000000001</v>
      </c>
      <c r="C87">
        <v>73.388589999999994</v>
      </c>
      <c r="D87" s="2">
        <f>C87-B87</f>
        <v>3.8333399999999926</v>
      </c>
      <c r="E87" s="2"/>
      <c r="F87">
        <v>62.632399999999997</v>
      </c>
      <c r="G87">
        <v>68.166300000000007</v>
      </c>
      <c r="H87" s="2">
        <f t="shared" si="30"/>
        <v>5.5339000000000098</v>
      </c>
      <c r="I87" s="2">
        <f t="shared" si="31"/>
        <v>7.8652199999999937</v>
      </c>
      <c r="J87" s="2">
        <f t="shared" si="32"/>
        <v>0.41300473463929038</v>
      </c>
      <c r="K87" s="2">
        <f t="shared" si="33"/>
        <v>0.58699526536070967</v>
      </c>
      <c r="L87" s="2">
        <f t="shared" si="34"/>
        <v>0.18070438569544051</v>
      </c>
      <c r="M87" s="2">
        <f t="shared" si="35"/>
        <v>7.4631766862301385E-2</v>
      </c>
      <c r="N87" s="2">
        <f t="shared" si="36"/>
        <v>13.399120000000003</v>
      </c>
      <c r="O87" s="2">
        <v>26</v>
      </c>
      <c r="P87">
        <f t="shared" si="37"/>
        <v>4.6983140280814535</v>
      </c>
    </row>
    <row r="88" spans="1:18" x14ac:dyDescent="0.35">
      <c r="C88" s="2"/>
      <c r="E88" s="2"/>
      <c r="F88">
        <v>76.03152</v>
      </c>
      <c r="G88">
        <v>81.313159999999996</v>
      </c>
      <c r="H88" s="2">
        <f t="shared" si="30"/>
        <v>5.2816399999999959</v>
      </c>
      <c r="I88" s="2">
        <f t="shared" si="31"/>
        <v>3.0077799999999968</v>
      </c>
      <c r="J88" s="2">
        <f t="shared" si="32"/>
        <v>0.6371543485551463</v>
      </c>
      <c r="K88" s="2">
        <f t="shared" si="33"/>
        <v>0.36284565144485376</v>
      </c>
      <c r="L88" s="2">
        <f t="shared" si="34"/>
        <v>0.18933513075484146</v>
      </c>
      <c r="M88" s="2">
        <f t="shared" si="35"/>
        <v>0.12063570189470443</v>
      </c>
      <c r="N88" s="2">
        <f t="shared" si="36"/>
        <v>8.2894199999999927</v>
      </c>
      <c r="O88" s="2">
        <v>24</v>
      </c>
      <c r="P88">
        <f t="shared" si="37"/>
        <v>4.5440431381161943</v>
      </c>
    </row>
    <row r="89" spans="1:18" x14ac:dyDescent="0.35">
      <c r="B89">
        <v>90.611260000000001</v>
      </c>
      <c r="C89">
        <v>94.444599999999994</v>
      </c>
      <c r="D89" s="2">
        <f>C89-B89</f>
        <v>3.8333399999999926</v>
      </c>
      <c r="E89" s="2"/>
      <c r="F89">
        <v>84.320939999999993</v>
      </c>
      <c r="G89">
        <v>89.669690000000003</v>
      </c>
      <c r="H89" s="2">
        <f t="shared" si="30"/>
        <v>5.3487500000000097</v>
      </c>
      <c r="I89" s="2">
        <f t="shared" si="31"/>
        <v>7.8661599999999936</v>
      </c>
      <c r="J89" s="2">
        <f t="shared" si="32"/>
        <v>0.40475114851330868</v>
      </c>
      <c r="K89" s="2">
        <f t="shared" si="33"/>
        <v>0.59524885148669127</v>
      </c>
      <c r="L89" s="2">
        <f t="shared" si="34"/>
        <v>0.18695956999298868</v>
      </c>
      <c r="M89" s="2">
        <f t="shared" si="35"/>
        <v>7.56721006802165E-2</v>
      </c>
      <c r="N89" s="2">
        <f t="shared" si="36"/>
        <v>13.214910000000003</v>
      </c>
      <c r="O89" s="2">
        <v>27</v>
      </c>
      <c r="P89">
        <f t="shared" si="37"/>
        <v>5.0479083898106945</v>
      </c>
    </row>
    <row r="90" spans="1:18" x14ac:dyDescent="0.35">
      <c r="D90" s="2"/>
      <c r="E90" s="2"/>
      <c r="F90">
        <v>97.535849999999996</v>
      </c>
      <c r="G90">
        <v>103.04895</v>
      </c>
      <c r="H90" s="2">
        <f t="shared" si="30"/>
        <v>5.5131000000000085</v>
      </c>
      <c r="I90" s="2">
        <f t="shared" si="31"/>
        <v>2.7338099999999912</v>
      </c>
      <c r="J90" s="2">
        <f t="shared" si="32"/>
        <v>0.66850493093777053</v>
      </c>
      <c r="K90" s="2">
        <f t="shared" si="33"/>
        <v>0.33149506906222953</v>
      </c>
      <c r="L90" s="2">
        <f t="shared" si="34"/>
        <v>0.18138615298108116</v>
      </c>
      <c r="M90" s="2">
        <f t="shared" si="35"/>
        <v>0.12125753767168553</v>
      </c>
      <c r="N90" s="2">
        <f t="shared" si="36"/>
        <v>8.2469099999999997</v>
      </c>
      <c r="O90" s="2">
        <v>28</v>
      </c>
      <c r="P90">
        <f t="shared" si="37"/>
        <v>5.0788122834702722</v>
      </c>
    </row>
    <row r="91" spans="1:18" x14ac:dyDescent="0.35">
      <c r="B91">
        <v>112.84632999999999</v>
      </c>
      <c r="C91">
        <v>117.47982</v>
      </c>
      <c r="D91" s="2">
        <f>C91-B91</f>
        <v>4.633490000000009</v>
      </c>
      <c r="E91" s="2"/>
      <c r="F91">
        <v>105.78276</v>
      </c>
      <c r="G91">
        <v>112.042</v>
      </c>
      <c r="H91" s="2">
        <f t="shared" si="30"/>
        <v>6.2592400000000055</v>
      </c>
      <c r="I91" s="2"/>
      <c r="J91" s="2"/>
      <c r="K91" s="2"/>
      <c r="L91" s="2"/>
      <c r="M91" s="2"/>
      <c r="N91" s="2"/>
      <c r="O91" s="2">
        <v>26</v>
      </c>
      <c r="P91">
        <f t="shared" si="37"/>
        <v>4.1538589349505655</v>
      </c>
    </row>
    <row r="92" spans="1:18" x14ac:dyDescent="0.35">
      <c r="D92" s="2"/>
      <c r="E92" s="2"/>
      <c r="H92" s="2"/>
      <c r="I92" s="2"/>
      <c r="J92" s="2"/>
      <c r="K92" s="2"/>
      <c r="L92" s="2"/>
      <c r="M92" s="2"/>
      <c r="N92" s="2"/>
      <c r="O92" s="2"/>
    </row>
    <row r="93" spans="1:18" x14ac:dyDescent="0.35">
      <c r="C93" s="2"/>
      <c r="D93" s="2"/>
      <c r="E93" s="2"/>
      <c r="F93">
        <v>240.15433999999999</v>
      </c>
      <c r="G93">
        <v>244.67017999999999</v>
      </c>
      <c r="H93" s="2">
        <f>G93-F93</f>
        <v>4.5158399999999972</v>
      </c>
      <c r="I93" s="2">
        <f>F94-G93</f>
        <v>1.8365100000000041</v>
      </c>
      <c r="J93" s="2">
        <f t="shared" si="32"/>
        <v>0.71089281919289649</v>
      </c>
      <c r="K93" s="2">
        <f t="shared" si="33"/>
        <v>0.28910718080710346</v>
      </c>
      <c r="L93" s="2">
        <f t="shared" si="34"/>
        <v>0.22144274376417247</v>
      </c>
      <c r="M93" s="2">
        <f t="shared" si="35"/>
        <v>0.15742205640432277</v>
      </c>
      <c r="N93" s="2">
        <f t="shared" si="36"/>
        <v>6.3523500000000013</v>
      </c>
      <c r="O93" s="2">
        <v>24</v>
      </c>
      <c r="P93">
        <f t="shared" si="37"/>
        <v>5.3146258503401391</v>
      </c>
      <c r="R93" t="s">
        <v>881</v>
      </c>
    </row>
    <row r="94" spans="1:18" x14ac:dyDescent="0.35">
      <c r="D94" s="2"/>
      <c r="E94" s="2"/>
      <c r="F94">
        <v>246.50668999999999</v>
      </c>
      <c r="G94">
        <v>251.77190999999999</v>
      </c>
      <c r="H94" s="2">
        <f>G94-F94</f>
        <v>5.2652199999999993</v>
      </c>
      <c r="I94" s="2">
        <f>F95-G94</f>
        <v>2.5723100000000159</v>
      </c>
      <c r="J94" s="2">
        <f t="shared" si="32"/>
        <v>0.67179583363636108</v>
      </c>
      <c r="K94" s="2">
        <f t="shared" si="33"/>
        <v>0.32820416636363892</v>
      </c>
      <c r="L94" s="2">
        <f t="shared" si="34"/>
        <v>0.18992558715495272</v>
      </c>
      <c r="M94" s="2">
        <f t="shared" si="35"/>
        <v>0.12759121815163682</v>
      </c>
      <c r="N94" s="2">
        <f t="shared" si="36"/>
        <v>7.8375300000000152</v>
      </c>
      <c r="O94" s="2">
        <v>31</v>
      </c>
      <c r="P94">
        <f t="shared" si="37"/>
        <v>5.8876932018035344</v>
      </c>
    </row>
    <row r="95" spans="1:18" x14ac:dyDescent="0.35">
      <c r="A95" t="s">
        <v>312</v>
      </c>
      <c r="B95">
        <v>255.22622999999999</v>
      </c>
      <c r="C95">
        <v>259.05957999999998</v>
      </c>
      <c r="D95" s="2">
        <f>C95-B95</f>
        <v>3.8333499999999958</v>
      </c>
      <c r="E95" s="2"/>
      <c r="F95">
        <v>254.34422000000001</v>
      </c>
      <c r="G95">
        <v>256.46472</v>
      </c>
      <c r="H95" s="2">
        <f>G95-F95</f>
        <v>2.1204999999999927</v>
      </c>
      <c r="I95" s="2">
        <f>F96-G95</f>
        <v>5.6648099999999886</v>
      </c>
      <c r="J95" s="2">
        <f t="shared" si="32"/>
        <v>0.27237194151549493</v>
      </c>
      <c r="K95" s="2">
        <f t="shared" si="33"/>
        <v>0.72762805848450507</v>
      </c>
      <c r="L95" s="2">
        <f t="shared" si="34"/>
        <v>0.47158688988446285</v>
      </c>
      <c r="M95" s="2">
        <f t="shared" si="35"/>
        <v>0.12844703679108505</v>
      </c>
      <c r="N95" s="2">
        <f t="shared" si="36"/>
        <v>7.7853099999999813</v>
      </c>
      <c r="O95" s="2">
        <v>15</v>
      </c>
      <c r="P95">
        <f t="shared" si="37"/>
        <v>7.0738033482669422</v>
      </c>
    </row>
    <row r="96" spans="1:18" x14ac:dyDescent="0.35">
      <c r="D96" s="2"/>
      <c r="E96" s="2"/>
      <c r="F96">
        <v>262.12952999999999</v>
      </c>
      <c r="G96">
        <v>268.48052999999999</v>
      </c>
      <c r="H96" s="2">
        <f>G96-F96</f>
        <v>6.3509999999999991</v>
      </c>
      <c r="I96" s="2">
        <f>F97-G96</f>
        <v>2.675360000000012</v>
      </c>
      <c r="J96" s="2">
        <f t="shared" si="32"/>
        <v>0.70360588321316586</v>
      </c>
      <c r="K96" s="2">
        <f t="shared" si="33"/>
        <v>0.29639411678683419</v>
      </c>
      <c r="L96" s="2">
        <f t="shared" si="34"/>
        <v>0.15745551881593453</v>
      </c>
      <c r="M96" s="2">
        <f t="shared" si="35"/>
        <v>0.11078662938327286</v>
      </c>
      <c r="N96" s="2">
        <f t="shared" si="36"/>
        <v>9.026360000000011</v>
      </c>
      <c r="O96" s="2">
        <v>37</v>
      </c>
      <c r="P96">
        <f t="shared" si="37"/>
        <v>5.8258541961895771</v>
      </c>
    </row>
    <row r="97" spans="1:18" x14ac:dyDescent="0.35">
      <c r="C97" s="2"/>
      <c r="D97" s="2"/>
      <c r="E97" s="2"/>
      <c r="F97">
        <v>271.15589</v>
      </c>
      <c r="G97">
        <v>278.16746999999998</v>
      </c>
      <c r="H97" s="2">
        <f t="shared" ref="H97:H116" si="38">G97-F97</f>
        <v>7.0115799999999808</v>
      </c>
      <c r="I97" s="2">
        <f t="shared" ref="I97:I115" si="39">F98-G97</f>
        <v>2.7922700000000304</v>
      </c>
      <c r="J97" s="2">
        <f t="shared" ref="J97:J115" si="40">H97/N97</f>
        <v>0.71518638086057751</v>
      </c>
      <c r="K97" s="2">
        <f t="shared" ref="K97:K115" si="41">I97/N97</f>
        <v>0.28481361913942249</v>
      </c>
      <c r="L97" s="2">
        <f t="shared" ref="L97:L115" si="42">1/H97</f>
        <v>0.14262120663245698</v>
      </c>
      <c r="M97" s="2">
        <f t="shared" si="35"/>
        <v>0.1020007446054355</v>
      </c>
      <c r="N97" s="2">
        <f t="shared" ref="N97:N115" si="43">H97+I97</f>
        <v>9.8038500000000113</v>
      </c>
      <c r="O97" s="2">
        <v>37</v>
      </c>
      <c r="P97">
        <f t="shared" si="37"/>
        <v>5.2769846454009084</v>
      </c>
    </row>
    <row r="98" spans="1:18" x14ac:dyDescent="0.35">
      <c r="A98" t="s">
        <v>312</v>
      </c>
      <c r="B98">
        <v>281.39974999999998</v>
      </c>
      <c r="C98">
        <v>285.23559999999998</v>
      </c>
      <c r="D98" s="2">
        <f>C98-B98</f>
        <v>3.8358499999999935</v>
      </c>
      <c r="E98" s="2"/>
      <c r="F98">
        <v>280.95974000000001</v>
      </c>
      <c r="G98">
        <v>282.73295000000002</v>
      </c>
      <c r="H98" s="2">
        <f t="shared" si="38"/>
        <v>1.7732100000000059</v>
      </c>
      <c r="I98" s="2">
        <f t="shared" si="39"/>
        <v>5.0822200000000066</v>
      </c>
      <c r="J98" s="2">
        <f t="shared" si="40"/>
        <v>0.25865773554685889</v>
      </c>
      <c r="K98" s="2">
        <f t="shared" si="41"/>
        <v>0.74134226445314111</v>
      </c>
      <c r="L98" s="2">
        <f t="shared" si="42"/>
        <v>0.56394899645275887</v>
      </c>
      <c r="M98" s="2">
        <f t="shared" si="35"/>
        <v>0.14586977038639418</v>
      </c>
      <c r="N98" s="2">
        <f t="shared" si="43"/>
        <v>6.8554300000000126</v>
      </c>
      <c r="O98" s="2">
        <v>8</v>
      </c>
      <c r="P98">
        <f t="shared" si="37"/>
        <v>4.5115919716220709</v>
      </c>
    </row>
    <row r="99" spans="1:18" x14ac:dyDescent="0.35">
      <c r="C99" s="2"/>
      <c r="D99" s="2"/>
      <c r="E99" s="2"/>
      <c r="F99">
        <v>287.81517000000002</v>
      </c>
      <c r="G99">
        <v>294.26983000000001</v>
      </c>
      <c r="H99" s="2">
        <f t="shared" si="38"/>
        <v>6.4546599999999899</v>
      </c>
      <c r="I99" s="2">
        <f t="shared" si="39"/>
        <v>3.3870499999999879</v>
      </c>
      <c r="J99" s="2">
        <f t="shared" si="40"/>
        <v>0.65584740863122404</v>
      </c>
      <c r="K99" s="2">
        <f t="shared" si="41"/>
        <v>0.34415259136877591</v>
      </c>
      <c r="L99" s="2">
        <f t="shared" si="42"/>
        <v>0.15492682805910793</v>
      </c>
      <c r="M99" s="2">
        <f t="shared" si="35"/>
        <v>0.10160835871002115</v>
      </c>
      <c r="N99" s="2">
        <f t="shared" si="43"/>
        <v>9.8417099999999778</v>
      </c>
      <c r="O99" s="2">
        <v>34</v>
      </c>
      <c r="P99">
        <f t="shared" si="37"/>
        <v>5.2675121540096699</v>
      </c>
    </row>
    <row r="100" spans="1:18" x14ac:dyDescent="0.35">
      <c r="B100">
        <v>298.10628000000003</v>
      </c>
      <c r="C100">
        <v>301.93963000000002</v>
      </c>
      <c r="D100" s="2">
        <f>C100-B100</f>
        <v>3.8333499999999958</v>
      </c>
      <c r="E100" s="2"/>
      <c r="F100">
        <v>297.65688</v>
      </c>
      <c r="G100">
        <v>299.75785999999999</v>
      </c>
      <c r="H100" s="2">
        <f t="shared" si="38"/>
        <v>2.1009799999999927</v>
      </c>
      <c r="I100" s="2">
        <f t="shared" si="39"/>
        <v>4.7790200000000027</v>
      </c>
      <c r="J100" s="2">
        <f t="shared" si="40"/>
        <v>0.30537499999999912</v>
      </c>
      <c r="K100" s="2">
        <f t="shared" si="41"/>
        <v>0.69462500000000083</v>
      </c>
      <c r="L100" s="2">
        <f t="shared" si="42"/>
        <v>0.4759683576235868</v>
      </c>
      <c r="M100" s="2">
        <f t="shared" si="35"/>
        <v>0.14534883720930242</v>
      </c>
      <c r="N100" s="2">
        <f t="shared" si="43"/>
        <v>6.8799999999999955</v>
      </c>
      <c r="O100" s="2">
        <v>13</v>
      </c>
      <c r="P100">
        <f t="shared" si="37"/>
        <v>6.1875886491066288</v>
      </c>
    </row>
    <row r="101" spans="1:18" x14ac:dyDescent="0.35">
      <c r="C101" s="2"/>
      <c r="D101" s="2"/>
      <c r="E101" s="2"/>
      <c r="F101">
        <v>304.53688</v>
      </c>
      <c r="G101">
        <v>310.57772999999997</v>
      </c>
      <c r="H101" s="2">
        <f t="shared" si="38"/>
        <v>6.0408499999999776</v>
      </c>
      <c r="I101" s="2">
        <f t="shared" si="39"/>
        <v>2.9711300000000165</v>
      </c>
      <c r="J101" s="2">
        <f t="shared" si="40"/>
        <v>0.67031329408187568</v>
      </c>
      <c r="K101" s="2">
        <f t="shared" si="41"/>
        <v>0.32968670591812438</v>
      </c>
      <c r="L101" s="2">
        <f t="shared" si="42"/>
        <v>0.16553961776902318</v>
      </c>
      <c r="M101" s="2">
        <f t="shared" si="35"/>
        <v>0.11096340648780852</v>
      </c>
      <c r="N101" s="2">
        <f t="shared" si="43"/>
        <v>9.0119799999999941</v>
      </c>
      <c r="O101" s="2">
        <v>33</v>
      </c>
      <c r="P101">
        <f t="shared" si="37"/>
        <v>5.4628073863777651</v>
      </c>
    </row>
    <row r="102" spans="1:18" x14ac:dyDescent="0.35">
      <c r="B102">
        <v>320.95436000000001</v>
      </c>
      <c r="C102">
        <v>324.78769</v>
      </c>
      <c r="D102" s="2">
        <f>C102-B102</f>
        <v>3.8333299999999895</v>
      </c>
      <c r="E102" s="2"/>
      <c r="F102">
        <v>313.54885999999999</v>
      </c>
      <c r="G102">
        <v>319.73881999999998</v>
      </c>
      <c r="H102" s="2">
        <f t="shared" si="38"/>
        <v>6.189959999999985</v>
      </c>
      <c r="I102" s="2">
        <f t="shared" si="39"/>
        <v>6.5247600000000148</v>
      </c>
      <c r="J102" s="2">
        <f t="shared" si="40"/>
        <v>0.48683415757484122</v>
      </c>
      <c r="K102" s="2">
        <f t="shared" si="41"/>
        <v>0.51316584242515884</v>
      </c>
      <c r="L102" s="2">
        <f t="shared" si="42"/>
        <v>0.16155193248421676</v>
      </c>
      <c r="M102" s="2">
        <f t="shared" si="35"/>
        <v>7.8648998955541297E-2</v>
      </c>
      <c r="N102" s="2">
        <f t="shared" si="43"/>
        <v>12.71472</v>
      </c>
      <c r="O102" s="2">
        <v>33</v>
      </c>
      <c r="P102">
        <f t="shared" si="37"/>
        <v>5.3312137719791535</v>
      </c>
    </row>
    <row r="103" spans="1:18" x14ac:dyDescent="0.35">
      <c r="C103" s="2"/>
      <c r="D103" s="2"/>
      <c r="E103" s="2"/>
      <c r="F103">
        <v>326.26357999999999</v>
      </c>
      <c r="G103">
        <v>331.97579999999999</v>
      </c>
      <c r="H103" s="2">
        <f t="shared" si="38"/>
        <v>5.7122200000000021</v>
      </c>
      <c r="I103" s="2">
        <f t="shared" si="39"/>
        <v>2.4844400000000064</v>
      </c>
      <c r="J103" s="2">
        <f t="shared" si="40"/>
        <v>0.69689605278247435</v>
      </c>
      <c r="K103" s="2">
        <f t="shared" si="41"/>
        <v>0.30310394721752565</v>
      </c>
      <c r="L103" s="2">
        <f t="shared" si="42"/>
        <v>0.17506328537766397</v>
      </c>
      <c r="M103" s="2">
        <f t="shared" si="35"/>
        <v>0.12200091256682587</v>
      </c>
      <c r="N103" s="2">
        <f t="shared" si="43"/>
        <v>8.1966600000000085</v>
      </c>
      <c r="O103" s="2">
        <v>32</v>
      </c>
      <c r="P103">
        <f t="shared" si="37"/>
        <v>5.602025132085247</v>
      </c>
    </row>
    <row r="104" spans="1:18" x14ac:dyDescent="0.35">
      <c r="B104">
        <v>341.17831999999999</v>
      </c>
      <c r="C104">
        <v>347.01168999999999</v>
      </c>
      <c r="D104" s="2">
        <f>C104-B104</f>
        <v>5.8333700000000022</v>
      </c>
      <c r="E104" s="2"/>
      <c r="F104">
        <v>334.46024</v>
      </c>
      <c r="G104">
        <v>339.96105999999997</v>
      </c>
      <c r="H104" s="2">
        <f t="shared" si="38"/>
        <v>5.5008199999999761</v>
      </c>
      <c r="I104" s="2">
        <f t="shared" si="39"/>
        <v>9.0288400000000024</v>
      </c>
      <c r="J104" s="2">
        <f t="shared" si="40"/>
        <v>0.37859247910825061</v>
      </c>
      <c r="K104" s="2">
        <f t="shared" si="41"/>
        <v>0.62140752089174944</v>
      </c>
      <c r="L104" s="2">
        <f t="shared" si="42"/>
        <v>0.1817910784210362</v>
      </c>
      <c r="M104" s="2">
        <f t="shared" si="35"/>
        <v>6.882473505918249E-2</v>
      </c>
      <c r="N104" s="2">
        <f t="shared" si="43"/>
        <v>14.529659999999978</v>
      </c>
      <c r="O104" s="2">
        <v>32</v>
      </c>
      <c r="P104">
        <f t="shared" si="37"/>
        <v>5.8173145094731584</v>
      </c>
    </row>
    <row r="105" spans="1:18" x14ac:dyDescent="0.35">
      <c r="C105" s="2"/>
      <c r="D105" s="2"/>
      <c r="E105" s="2"/>
      <c r="F105">
        <v>348.98989999999998</v>
      </c>
      <c r="G105">
        <v>354.57929000000001</v>
      </c>
      <c r="H105" s="2">
        <f t="shared" si="38"/>
        <v>5.5893900000000372</v>
      </c>
      <c r="I105" s="2">
        <f t="shared" si="39"/>
        <v>2.4834299999999985</v>
      </c>
      <c r="J105" s="2">
        <f t="shared" si="40"/>
        <v>0.69237143897671605</v>
      </c>
      <c r="K105" s="2">
        <f t="shared" si="41"/>
        <v>0.30762856102328401</v>
      </c>
      <c r="L105" s="2">
        <f t="shared" si="42"/>
        <v>0.17891039988263358</v>
      </c>
      <c r="M105" s="2">
        <f t="shared" si="35"/>
        <v>0.1238724510146387</v>
      </c>
      <c r="N105" s="2">
        <f t="shared" si="43"/>
        <v>8.0728200000000356</v>
      </c>
      <c r="O105" s="2">
        <v>33</v>
      </c>
      <c r="P105">
        <f t="shared" si="37"/>
        <v>5.9040431961269082</v>
      </c>
    </row>
    <row r="106" spans="1:18" x14ac:dyDescent="0.35">
      <c r="C106" s="2"/>
      <c r="D106" s="2"/>
      <c r="E106" s="2"/>
      <c r="F106">
        <v>357.06272000000001</v>
      </c>
      <c r="G106">
        <v>363.25274000000002</v>
      </c>
      <c r="H106" s="2">
        <f t="shared" si="38"/>
        <v>6.1900200000000041</v>
      </c>
      <c r="I106" s="2">
        <f t="shared" si="39"/>
        <v>2.3963599999999587</v>
      </c>
      <c r="J106" s="2">
        <f t="shared" si="40"/>
        <v>0.72091149005751332</v>
      </c>
      <c r="K106" s="2">
        <f t="shared" si="41"/>
        <v>0.27908850994248674</v>
      </c>
      <c r="L106" s="2">
        <f t="shared" si="42"/>
        <v>0.1615503665577816</v>
      </c>
      <c r="M106" s="2">
        <f t="shared" si="35"/>
        <v>0.11646351547450781</v>
      </c>
      <c r="N106" s="2">
        <f t="shared" si="43"/>
        <v>8.5863799999999628</v>
      </c>
      <c r="O106" s="2">
        <v>31</v>
      </c>
      <c r="P106">
        <f t="shared" si="37"/>
        <v>5.0080613632912296</v>
      </c>
      <c r="R106" t="s">
        <v>882</v>
      </c>
    </row>
    <row r="107" spans="1:18" x14ac:dyDescent="0.35">
      <c r="B107">
        <v>372.41847000000001</v>
      </c>
      <c r="C107">
        <v>378.25184000000002</v>
      </c>
      <c r="D107" s="2">
        <f>C107-B107</f>
        <v>5.8333700000000022</v>
      </c>
      <c r="E107" s="2"/>
      <c r="F107">
        <v>365.64909999999998</v>
      </c>
      <c r="G107">
        <v>371.56707999999998</v>
      </c>
      <c r="H107" s="2">
        <f t="shared" si="38"/>
        <v>5.91798</v>
      </c>
      <c r="I107" s="2">
        <f t="shared" si="39"/>
        <v>8.4732200000000262</v>
      </c>
      <c r="J107" s="2">
        <f t="shared" si="40"/>
        <v>0.41122213574962402</v>
      </c>
      <c r="K107" s="2">
        <f t="shared" si="41"/>
        <v>0.58877786425037593</v>
      </c>
      <c r="L107" s="2">
        <f t="shared" si="42"/>
        <v>0.16897657646697015</v>
      </c>
      <c r="M107" s="2">
        <f t="shared" si="35"/>
        <v>6.9486908666407124E-2</v>
      </c>
      <c r="N107" s="2">
        <f t="shared" si="43"/>
        <v>14.391200000000026</v>
      </c>
      <c r="O107" s="2">
        <v>32</v>
      </c>
      <c r="P107">
        <f t="shared" si="37"/>
        <v>5.4072504469430447</v>
      </c>
    </row>
    <row r="108" spans="1:18" x14ac:dyDescent="0.35">
      <c r="C108" s="2"/>
      <c r="D108" s="2"/>
      <c r="E108" s="2"/>
      <c r="F108">
        <v>380.0403</v>
      </c>
      <c r="G108">
        <v>385.64652000000001</v>
      </c>
      <c r="H108" s="2">
        <f t="shared" si="38"/>
        <v>5.6062200000000075</v>
      </c>
      <c r="I108" s="2">
        <f t="shared" si="39"/>
        <v>2.5988199999999892</v>
      </c>
      <c r="J108" s="2">
        <f t="shared" si="40"/>
        <v>0.68326540760313292</v>
      </c>
      <c r="K108" s="2">
        <f t="shared" si="41"/>
        <v>0.31673459239686708</v>
      </c>
      <c r="L108" s="2">
        <f t="shared" si="42"/>
        <v>0.17837330679138505</v>
      </c>
      <c r="M108" s="2">
        <f t="shared" si="35"/>
        <v>0.12187631017033437</v>
      </c>
      <c r="N108" s="2">
        <f t="shared" si="43"/>
        <v>8.2050399999999968</v>
      </c>
      <c r="O108" s="2">
        <v>31</v>
      </c>
      <c r="P108">
        <f t="shared" si="37"/>
        <v>5.5295725105329367</v>
      </c>
    </row>
    <row r="109" spans="1:18" x14ac:dyDescent="0.35">
      <c r="C109" s="2"/>
      <c r="D109" s="2"/>
      <c r="E109" s="2"/>
      <c r="F109">
        <v>388.24534</v>
      </c>
      <c r="G109">
        <v>393.34161999999998</v>
      </c>
      <c r="H109" s="2">
        <f t="shared" si="38"/>
        <v>5.0962799999999788</v>
      </c>
      <c r="I109" s="2">
        <f t="shared" si="39"/>
        <v>3.7188500000000317</v>
      </c>
      <c r="J109" s="2">
        <f t="shared" si="40"/>
        <v>0.57812874001857861</v>
      </c>
      <c r="K109" s="2">
        <f t="shared" si="41"/>
        <v>0.42187125998142139</v>
      </c>
      <c r="L109" s="2">
        <f t="shared" si="42"/>
        <v>0.19622155768521435</v>
      </c>
      <c r="M109" s="2">
        <f t="shared" si="35"/>
        <v>0.1134413219090358</v>
      </c>
      <c r="N109" s="2">
        <f t="shared" si="43"/>
        <v>8.8151300000000106</v>
      </c>
      <c r="O109" s="2">
        <v>27</v>
      </c>
      <c r="P109">
        <f t="shared" si="37"/>
        <v>5.2979820575007874</v>
      </c>
    </row>
    <row r="110" spans="1:18" x14ac:dyDescent="0.35">
      <c r="B110">
        <v>402.59136000000001</v>
      </c>
      <c r="C110">
        <v>408.77998000000002</v>
      </c>
      <c r="D110" s="2">
        <f>C110-B110</f>
        <v>6.1886200000000144</v>
      </c>
      <c r="E110" s="2"/>
      <c r="F110">
        <v>397.06047000000001</v>
      </c>
      <c r="G110">
        <v>402.25812000000002</v>
      </c>
      <c r="H110" s="2">
        <f t="shared" si="38"/>
        <v>5.1976500000000101</v>
      </c>
      <c r="I110" s="2">
        <f t="shared" si="39"/>
        <v>9.9820699999999647</v>
      </c>
      <c r="J110" s="2">
        <f t="shared" si="40"/>
        <v>0.34240750158764582</v>
      </c>
      <c r="K110" s="2">
        <f t="shared" si="41"/>
        <v>0.65759249841235423</v>
      </c>
      <c r="L110" s="2">
        <f t="shared" si="42"/>
        <v>0.19239463988533242</v>
      </c>
      <c r="M110" s="2">
        <f t="shared" si="35"/>
        <v>6.5877367961991506E-2</v>
      </c>
      <c r="N110" s="2">
        <f t="shared" si="43"/>
        <v>15.179719999999975</v>
      </c>
      <c r="O110" s="2">
        <v>23</v>
      </c>
      <c r="P110">
        <f t="shared" si="37"/>
        <v>4.4250767173626455</v>
      </c>
    </row>
    <row r="111" spans="1:18" x14ac:dyDescent="0.35">
      <c r="C111" s="2"/>
      <c r="D111" s="2"/>
      <c r="E111" s="2"/>
      <c r="F111">
        <v>412.24018999999998</v>
      </c>
      <c r="G111">
        <v>416.65337</v>
      </c>
      <c r="H111" s="2">
        <f t="shared" si="38"/>
        <v>4.4131800000000112</v>
      </c>
      <c r="I111" s="2">
        <f t="shared" si="39"/>
        <v>3.7145300000000248</v>
      </c>
      <c r="J111" s="2">
        <f t="shared" si="40"/>
        <v>0.54297951083392393</v>
      </c>
      <c r="K111" s="2">
        <f t="shared" si="41"/>
        <v>0.45702048916607607</v>
      </c>
      <c r="L111" s="2">
        <f t="shared" si="42"/>
        <v>0.22659397531938363</v>
      </c>
      <c r="M111" s="2">
        <f t="shared" si="35"/>
        <v>0.12303588587683315</v>
      </c>
      <c r="N111" s="2">
        <f t="shared" si="43"/>
        <v>8.127710000000036</v>
      </c>
      <c r="O111" s="2">
        <v>20</v>
      </c>
      <c r="P111">
        <f t="shared" si="37"/>
        <v>4.5318795063876722</v>
      </c>
    </row>
    <row r="112" spans="1:18" x14ac:dyDescent="0.35">
      <c r="C112" s="2"/>
      <c r="D112" s="2"/>
      <c r="E112" s="2"/>
      <c r="F112">
        <v>420.36790000000002</v>
      </c>
      <c r="G112">
        <v>425.69726000000003</v>
      </c>
      <c r="H112" s="2">
        <f t="shared" si="38"/>
        <v>5.3293600000000083</v>
      </c>
      <c r="I112" s="2">
        <f t="shared" si="39"/>
        <v>4.9568099999999617</v>
      </c>
      <c r="J112" s="2">
        <f t="shared" si="40"/>
        <v>0.51810926710330707</v>
      </c>
      <c r="K112" s="2">
        <f t="shared" si="41"/>
        <v>0.48189073289669293</v>
      </c>
      <c r="L112" s="2">
        <f t="shared" si="42"/>
        <v>0.18763979164477507</v>
      </c>
      <c r="M112" s="2">
        <f t="shared" si="35"/>
        <v>9.7217914928491647E-2</v>
      </c>
      <c r="N112" s="2">
        <f t="shared" si="43"/>
        <v>10.28616999999997</v>
      </c>
      <c r="O112" s="2">
        <v>22</v>
      </c>
      <c r="P112">
        <f t="shared" si="37"/>
        <v>4.1280754161850517</v>
      </c>
    </row>
    <row r="113" spans="2:16" x14ac:dyDescent="0.35">
      <c r="B113">
        <v>436.32265999999998</v>
      </c>
      <c r="C113">
        <v>442.15602000000001</v>
      </c>
      <c r="D113" s="2">
        <f>C113-B113</f>
        <v>5.8333600000000274</v>
      </c>
      <c r="E113" s="2"/>
      <c r="F113">
        <v>430.65406999999999</v>
      </c>
      <c r="G113">
        <v>433.85692999999998</v>
      </c>
      <c r="H113" s="2">
        <f t="shared" si="38"/>
        <v>3.2028599999999869</v>
      </c>
      <c r="I113" s="2">
        <f t="shared" si="39"/>
        <v>12.250620000000026</v>
      </c>
      <c r="J113" s="2">
        <f t="shared" si="40"/>
        <v>0.20725817097508031</v>
      </c>
      <c r="K113" s="2">
        <f t="shared" si="41"/>
        <v>0.79274182902491963</v>
      </c>
      <c r="L113" s="2">
        <f t="shared" si="42"/>
        <v>0.31222095252368326</v>
      </c>
      <c r="M113" s="2">
        <f t="shared" si="35"/>
        <v>6.4710343560155981E-2</v>
      </c>
      <c r="N113" s="2">
        <f t="shared" si="43"/>
        <v>15.453480000000013</v>
      </c>
      <c r="O113" s="2">
        <v>12</v>
      </c>
      <c r="P113">
        <f t="shared" si="37"/>
        <v>3.7466514302841989</v>
      </c>
    </row>
    <row r="114" spans="2:16" x14ac:dyDescent="0.35">
      <c r="D114" s="2"/>
      <c r="E114" s="2"/>
      <c r="F114">
        <v>446.10755</v>
      </c>
      <c r="G114">
        <v>450.25053000000003</v>
      </c>
      <c r="H114" s="2">
        <f t="shared" si="38"/>
        <v>4.1429800000000228</v>
      </c>
      <c r="I114" s="2">
        <f t="shared" si="39"/>
        <v>4.1579999999999586</v>
      </c>
      <c r="J114" s="2">
        <f t="shared" si="40"/>
        <v>0.49909528754436611</v>
      </c>
      <c r="K114" s="2">
        <f t="shared" si="41"/>
        <v>0.50090471245563395</v>
      </c>
      <c r="L114" s="2">
        <f t="shared" si="42"/>
        <v>0.24137215241203058</v>
      </c>
      <c r="M114" s="2">
        <f t="shared" si="35"/>
        <v>0.12046770381328496</v>
      </c>
      <c r="N114" s="2">
        <f t="shared" si="43"/>
        <v>8.3009799999999814</v>
      </c>
      <c r="O114" s="2">
        <v>17</v>
      </c>
      <c r="P114">
        <f t="shared" si="37"/>
        <v>4.10332659100452</v>
      </c>
    </row>
    <row r="115" spans="2:16" x14ac:dyDescent="0.35">
      <c r="C115" s="2"/>
      <c r="D115" s="2"/>
      <c r="E115" s="2"/>
      <c r="F115">
        <v>454.40852999999998</v>
      </c>
      <c r="G115">
        <v>457.67034000000001</v>
      </c>
      <c r="H115" s="2">
        <f t="shared" si="38"/>
        <v>3.2618100000000254</v>
      </c>
      <c r="I115" s="2">
        <f t="shared" si="39"/>
        <v>4.9735999999999763</v>
      </c>
      <c r="J115" s="2">
        <f t="shared" si="40"/>
        <v>0.39607135528164655</v>
      </c>
      <c r="K115" s="2">
        <f t="shared" si="41"/>
        <v>0.6039286447183535</v>
      </c>
      <c r="L115" s="2">
        <f t="shared" si="42"/>
        <v>0.30657824949950863</v>
      </c>
      <c r="M115" s="2">
        <f t="shared" si="35"/>
        <v>0.12142686277914515</v>
      </c>
      <c r="N115" s="2">
        <f t="shared" si="43"/>
        <v>8.2354100000000017</v>
      </c>
      <c r="O115" s="2">
        <v>13</v>
      </c>
      <c r="P115">
        <f t="shared" si="37"/>
        <v>3.9855172434936121</v>
      </c>
    </row>
    <row r="116" spans="2:16" x14ac:dyDescent="0.35">
      <c r="C116" s="2"/>
      <c r="D116" s="2"/>
      <c r="E116" s="2"/>
      <c r="F116">
        <v>462.64393999999999</v>
      </c>
      <c r="G116">
        <v>466.92809</v>
      </c>
      <c r="H116" s="2">
        <f t="shared" si="38"/>
        <v>4.284150000000011</v>
      </c>
      <c r="I116" s="2"/>
      <c r="J116" s="2"/>
      <c r="K116" s="2"/>
      <c r="L116" s="2"/>
      <c r="M116" s="2"/>
      <c r="N116" s="2"/>
      <c r="O116" s="2">
        <v>17</v>
      </c>
      <c r="P116">
        <f t="shared" si="37"/>
        <v>3.9681150286521145</v>
      </c>
    </row>
    <row r="117" spans="2:16" x14ac:dyDescent="0.35">
      <c r="C117" s="2"/>
      <c r="D117" s="2"/>
      <c r="E117" s="2"/>
      <c r="H117" s="2"/>
      <c r="I117" s="2"/>
      <c r="J117" s="2"/>
      <c r="K117" s="2"/>
      <c r="L117" s="2"/>
      <c r="M117" s="2"/>
      <c r="N117" s="2"/>
      <c r="O117" s="2"/>
    </row>
    <row r="118" spans="2:16" x14ac:dyDescent="0.35">
      <c r="C118" s="2"/>
      <c r="D118" s="2"/>
      <c r="E118" s="2"/>
      <c r="H118" s="2"/>
      <c r="I118" s="2"/>
      <c r="J118" s="2"/>
      <c r="K118" s="2"/>
      <c r="L118" s="2"/>
      <c r="M118" s="2"/>
      <c r="N118" s="2"/>
      <c r="O118" s="2"/>
    </row>
    <row r="119" spans="2:16" x14ac:dyDescent="0.35">
      <c r="C119" s="2"/>
      <c r="D119" s="2"/>
      <c r="E119" s="2"/>
      <c r="H119" s="2"/>
      <c r="I119" s="2"/>
      <c r="J119" s="2"/>
      <c r="K119" s="2"/>
      <c r="L119" s="2"/>
      <c r="M119" s="2"/>
      <c r="N119" s="2"/>
      <c r="O119" s="2"/>
    </row>
    <row r="120" spans="2:16" x14ac:dyDescent="0.35">
      <c r="C120" s="2"/>
      <c r="D120" s="2"/>
      <c r="E120" s="2"/>
      <c r="H120" s="2"/>
      <c r="I120" s="2"/>
      <c r="J120" s="2"/>
      <c r="K120" s="2"/>
      <c r="L120" s="2"/>
      <c r="M120" s="2"/>
      <c r="N120" s="2"/>
      <c r="O120" s="2"/>
    </row>
    <row r="121" spans="2:16" x14ac:dyDescent="0.35">
      <c r="C121" s="2"/>
      <c r="D121" s="2"/>
      <c r="E121" s="2"/>
      <c r="H121" s="2"/>
      <c r="I121" s="2"/>
      <c r="J121" s="2"/>
      <c r="K121" s="2"/>
      <c r="L121" s="2"/>
      <c r="M121" s="2"/>
      <c r="N121" s="2"/>
      <c r="O121" s="2"/>
    </row>
    <row r="122" spans="2:16" x14ac:dyDescent="0.35">
      <c r="C122" s="2"/>
      <c r="E122" s="2"/>
      <c r="H122" s="2"/>
      <c r="I122" s="2"/>
      <c r="J122" s="2"/>
      <c r="K122" s="2"/>
      <c r="L122" s="2"/>
      <c r="M122" s="2"/>
      <c r="N122" s="2"/>
      <c r="O122" s="2"/>
    </row>
    <row r="123" spans="2:16" x14ac:dyDescent="0.35">
      <c r="C123" s="2"/>
      <c r="D123" s="2"/>
      <c r="E123" s="2"/>
      <c r="H123" s="2"/>
      <c r="I123" s="2"/>
      <c r="J123" s="2"/>
      <c r="K123" s="2"/>
      <c r="L123" s="2"/>
      <c r="M123" s="2"/>
      <c r="N123" s="2"/>
      <c r="O123" s="2"/>
    </row>
    <row r="124" spans="2:16" x14ac:dyDescent="0.35">
      <c r="C124" s="2"/>
      <c r="D124" s="2"/>
      <c r="E124" s="2"/>
      <c r="H124" s="2"/>
      <c r="I124" s="2"/>
      <c r="J124" s="2"/>
      <c r="K124" s="2"/>
      <c r="L124" s="2"/>
      <c r="M124" s="2"/>
      <c r="N124" s="2"/>
      <c r="O124" s="2"/>
    </row>
    <row r="125" spans="2:16" x14ac:dyDescent="0.35">
      <c r="C125" s="2"/>
      <c r="D125" s="2"/>
      <c r="E125" s="2"/>
      <c r="H125" s="2"/>
      <c r="I125" s="2"/>
      <c r="J125" s="2"/>
      <c r="K125" s="2"/>
      <c r="L125" s="2"/>
      <c r="M125" s="2"/>
      <c r="N125" s="2"/>
      <c r="O125" s="2"/>
    </row>
    <row r="126" spans="2:16" ht="16" thickBot="1" x14ac:dyDescent="0.4">
      <c r="C126" s="2"/>
      <c r="E126" s="104" t="s">
        <v>78</v>
      </c>
      <c r="G126" s="13"/>
      <c r="H126" s="9" t="s">
        <v>3</v>
      </c>
      <c r="I126" s="9" t="s">
        <v>4</v>
      </c>
      <c r="J126" s="9" t="s">
        <v>5</v>
      </c>
      <c r="K126" s="9" t="s">
        <v>6</v>
      </c>
      <c r="L126" s="9" t="s">
        <v>7</v>
      </c>
      <c r="M126" s="9" t="s">
        <v>8</v>
      </c>
      <c r="N126" s="9" t="s">
        <v>9</v>
      </c>
      <c r="O126" s="9" t="s">
        <v>10</v>
      </c>
      <c r="P126" s="44" t="s">
        <v>139</v>
      </c>
    </row>
    <row r="127" spans="2:16" x14ac:dyDescent="0.35">
      <c r="C127" s="2"/>
      <c r="G127" s="49" t="s">
        <v>77</v>
      </c>
      <c r="H127" s="13">
        <f>AVERAGE(H81:H82,H84,H86,H88,H90,H93:H94,H96:H97,H99,H101,H103,H105:H106,H108:H109,H111:H112,H114:H115)</f>
        <v>5.4473842857142873</v>
      </c>
      <c r="I127" s="13">
        <f t="shared" ref="I127:P127" si="44">AVERAGE(I81:I82,I84,I86,I88,I90,I93:I94,I96:I97,I99,I101,I103,I105:I106,I108:I109,I111:I112,I114:I115)</f>
        <v>3.1835585714285695</v>
      </c>
      <c r="J127" s="13">
        <f t="shared" si="44"/>
        <v>0.63220053323100001</v>
      </c>
      <c r="K127" s="13">
        <f t="shared" si="44"/>
        <v>0.36779946676900011</v>
      </c>
      <c r="L127" s="13">
        <f t="shared" si="44"/>
        <v>0.18876415390762094</v>
      </c>
      <c r="M127" s="13">
        <f t="shared" si="44"/>
        <v>0.11701484364730345</v>
      </c>
      <c r="N127" s="13">
        <f t="shared" si="44"/>
        <v>8.6309428571428572</v>
      </c>
      <c r="O127" s="13">
        <f t="shared" si="44"/>
        <v>27.523809523809526</v>
      </c>
      <c r="P127" s="13">
        <f t="shared" si="44"/>
        <v>5.0086441584270274</v>
      </c>
    </row>
    <row r="128" spans="2:16" x14ac:dyDescent="0.35">
      <c r="C128" s="2"/>
      <c r="G128" s="49" t="s">
        <v>94</v>
      </c>
      <c r="H128" s="2">
        <f>_xlfn.STDEV.S(H81:H82,H84,H86,H88,H90,H93:H94,H96:H97,H99,H101,H103,H105:H106,H108:H109,H111:H112,H114:H115)</f>
        <v>0.849196229304928</v>
      </c>
      <c r="I128" s="2">
        <f t="shared" ref="I128:P128" si="45">_xlfn.STDEV.S(I81:I82,I84,I86,I88,I90,I93:I94,I96:I97,I99,I101,I103,I105:I106,I108:I109,I111:I112,I114:I115)</f>
        <v>0.81908507061406244</v>
      </c>
      <c r="J128" s="2">
        <f t="shared" si="45"/>
        <v>8.4517264677349019E-2</v>
      </c>
      <c r="K128" s="2">
        <f t="shared" si="45"/>
        <v>8.4517264677349158E-2</v>
      </c>
      <c r="L128" s="2">
        <f t="shared" si="45"/>
        <v>3.6063284683001989E-2</v>
      </c>
      <c r="M128" s="2">
        <f t="shared" si="45"/>
        <v>1.2500846585779336E-2</v>
      </c>
      <c r="N128" s="2">
        <f t="shared" si="45"/>
        <v>0.84925407004112596</v>
      </c>
      <c r="O128" s="2">
        <f t="shared" si="45"/>
        <v>6.2579473281504034</v>
      </c>
      <c r="P128" s="2">
        <f t="shared" si="45"/>
        <v>0.60605162904771748</v>
      </c>
    </row>
    <row r="129" spans="3:16" x14ac:dyDescent="0.35">
      <c r="C129" s="2"/>
      <c r="G129" s="49" t="s">
        <v>95</v>
      </c>
      <c r="H129" s="2">
        <f>H128/(SQRT(COUNT(H81:H82,H84,H86,H88,H90,H93:H94,H96:H97,H99,H101,H103,H105:H106,H108:H109,H111:H112,H114:H115)))</f>
        <v>0.1853098095552814</v>
      </c>
      <c r="I129" s="2">
        <f t="shared" ref="I129:P129" si="46">I128/(SQRT(COUNT(I81:I82,I84,I86,I88,I90,I93:I94,I96:I97,I99,I101,I103,I105:I106,I108:I109,I111:I112,I114:I115)))</f>
        <v>0.17873901603319955</v>
      </c>
      <c r="J129" s="2">
        <f t="shared" si="46"/>
        <v>1.8443179186408067E-2</v>
      </c>
      <c r="K129" s="2">
        <f t="shared" si="46"/>
        <v>1.8443179186408094E-2</v>
      </c>
      <c r="L129" s="2">
        <f t="shared" si="46"/>
        <v>7.8696538985046742E-3</v>
      </c>
      <c r="M129" s="2">
        <f t="shared" si="46"/>
        <v>2.7279083681125754E-3</v>
      </c>
      <c r="N129" s="2">
        <f t="shared" si="46"/>
        <v>0.18532243143870422</v>
      </c>
      <c r="O129" s="2">
        <f t="shared" si="46"/>
        <v>1.3655960631569466</v>
      </c>
      <c r="P129" s="2">
        <f t="shared" si="46"/>
        <v>0.13225130786487918</v>
      </c>
    </row>
    <row r="130" spans="3:16" x14ac:dyDescent="0.35">
      <c r="C130" s="2"/>
    </row>
    <row r="131" spans="3:16" x14ac:dyDescent="0.35">
      <c r="C131" s="2"/>
    </row>
    <row r="132" spans="3:16" ht="16" thickBot="1" x14ac:dyDescent="0.4">
      <c r="C132" s="2"/>
      <c r="E132" s="104" t="s">
        <v>20</v>
      </c>
      <c r="G132" s="13"/>
      <c r="H132" s="9" t="s">
        <v>3</v>
      </c>
      <c r="I132" s="9" t="s">
        <v>4</v>
      </c>
      <c r="J132" s="9" t="s">
        <v>5</v>
      </c>
      <c r="K132" s="9" t="s">
        <v>6</v>
      </c>
      <c r="L132" s="9" t="s">
        <v>7</v>
      </c>
      <c r="M132" s="9" t="s">
        <v>8</v>
      </c>
      <c r="N132" s="9" t="s">
        <v>9</v>
      </c>
      <c r="O132" s="9" t="s">
        <v>10</v>
      </c>
      <c r="P132" s="44" t="s">
        <v>139</v>
      </c>
    </row>
    <row r="133" spans="3:16" x14ac:dyDescent="0.35">
      <c r="G133" s="49" t="s">
        <v>77</v>
      </c>
      <c r="H133" s="13">
        <f>AVERAGE(H83,H85,H87,H89,H100,H104,H107,H110,H113,H102)</f>
        <v>4.9815689999999968</v>
      </c>
      <c r="I133" s="13">
        <f t="shared" ref="I133:P133" si="47">AVERAGE(I83,I85,I87,I89,I100,I104,I107,I110,I113,I102)</f>
        <v>8.0676590000000026</v>
      </c>
      <c r="J133" s="13">
        <f t="shared" si="47"/>
        <v>0.38419541613885855</v>
      </c>
      <c r="K133" s="13">
        <f t="shared" si="47"/>
        <v>0.61580458386114134</v>
      </c>
      <c r="L133" s="13">
        <f t="shared" si="47"/>
        <v>0.22410388469222431</v>
      </c>
      <c r="M133" s="13">
        <f t="shared" si="47"/>
        <v>8.0596274334186604E-2</v>
      </c>
      <c r="N133" s="13">
        <f t="shared" si="47"/>
        <v>13.049227999999999</v>
      </c>
      <c r="O133" s="13">
        <f t="shared" si="47"/>
        <v>24.6</v>
      </c>
      <c r="P133" s="13">
        <f t="shared" si="47"/>
        <v>4.9599605061069454</v>
      </c>
    </row>
    <row r="134" spans="3:16" x14ac:dyDescent="0.35">
      <c r="G134" s="49" t="s">
        <v>94</v>
      </c>
      <c r="H134" s="2">
        <f>_xlfn.STDEV.S(H83,H85,H87,H89,H100,H104,H107,H110,H113,H102)</f>
        <v>1.3580740200367949</v>
      </c>
      <c r="I134" s="2">
        <f t="shared" ref="I134:P134" si="48">_xlfn.STDEV.S(I83,I85,I87,I89,I100,I104,I107,I110,I113,I102)</f>
        <v>2.2398871445700119</v>
      </c>
      <c r="J134" s="2">
        <f t="shared" si="48"/>
        <v>9.6241203331427078E-2</v>
      </c>
      <c r="K134" s="2">
        <f t="shared" si="48"/>
        <v>9.6241203331427466E-2</v>
      </c>
      <c r="L134" s="2">
        <f t="shared" si="48"/>
        <v>9.9205290888871589E-2</v>
      </c>
      <c r="M134" s="2">
        <f t="shared" si="48"/>
        <v>2.3737080708609831E-2</v>
      </c>
      <c r="N134" s="2">
        <f t="shared" si="48"/>
        <v>2.4826101921870762</v>
      </c>
      <c r="O134" s="2">
        <f t="shared" si="48"/>
        <v>7.4714270539316772</v>
      </c>
      <c r="P134" s="2">
        <f t="shared" si="48"/>
        <v>0.74366654159301504</v>
      </c>
    </row>
    <row r="135" spans="3:16" x14ac:dyDescent="0.35">
      <c r="G135" s="49" t="s">
        <v>95</v>
      </c>
      <c r="H135" s="2">
        <f>H134/(SQRT(COUNT(H83,H85,H87,H89,H100,H104,H107,H110,H113,H102)))</f>
        <v>0.42946071344174203</v>
      </c>
      <c r="I135" s="2">
        <f t="shared" ref="I135:P135" si="49">I134/(SQRT(COUNT(I83,I85,I87,I89,I100,I104,I107,I110,I113,I102)))</f>
        <v>0.70831450785720895</v>
      </c>
      <c r="J135" s="2">
        <f t="shared" si="49"/>
        <v>3.0434140728269443E-2</v>
      </c>
      <c r="K135" s="2">
        <f t="shared" si="49"/>
        <v>3.0434140728269568E-2</v>
      </c>
      <c r="L135" s="2">
        <f t="shared" si="49"/>
        <v>3.1371467514838429E-2</v>
      </c>
      <c r="M135" s="2">
        <f t="shared" si="49"/>
        <v>7.506324004245067E-3</v>
      </c>
      <c r="N135" s="2">
        <f t="shared" si="49"/>
        <v>0.78507027496595172</v>
      </c>
      <c r="O135" s="2">
        <f t="shared" si="49"/>
        <v>2.3626726862225791</v>
      </c>
      <c r="P135" s="2">
        <f t="shared" si="49"/>
        <v>0.23516800910942703</v>
      </c>
    </row>
  </sheetData>
  <pageMargins left="0.7" right="0.7" top="0.75" bottom="0.75" header="0.3" footer="0.3"/>
  <pageSetup orientation="portrait" horizontalDpi="0"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R89"/>
  <sheetViews>
    <sheetView workbookViewId="0">
      <selection activeCell="H87" sqref="H87:P87"/>
    </sheetView>
  </sheetViews>
  <sheetFormatPr defaultRowHeight="14.5" x14ac:dyDescent="0.35"/>
  <sheetData>
    <row r="4" spans="2:18" ht="18.5" x14ac:dyDescent="0.45">
      <c r="C4" s="1" t="s">
        <v>884</v>
      </c>
      <c r="D4" s="2"/>
      <c r="E4" s="2"/>
      <c r="F4" s="2"/>
      <c r="G4" s="2"/>
      <c r="H4" s="2"/>
      <c r="I4" s="2"/>
      <c r="J4" s="2"/>
      <c r="K4" s="2"/>
      <c r="L4" s="2"/>
      <c r="M4" s="2"/>
      <c r="N4" s="2"/>
      <c r="O4" s="2"/>
    </row>
    <row r="5" spans="2:18" ht="18.5" x14ac:dyDescent="0.45">
      <c r="B5" s="3"/>
      <c r="C5" s="3" t="s">
        <v>20</v>
      </c>
      <c r="D5" s="3"/>
      <c r="F5" s="1" t="s">
        <v>860</v>
      </c>
      <c r="G5" s="3"/>
      <c r="H5" s="3"/>
      <c r="I5" s="3"/>
      <c r="J5" s="3"/>
      <c r="K5" s="3"/>
      <c r="L5" s="3"/>
      <c r="M5" s="3"/>
      <c r="N5" s="3"/>
      <c r="O5" s="3"/>
    </row>
    <row r="6" spans="2:18" ht="16" thickBot="1" x14ac:dyDescent="0.4">
      <c r="B6" s="317" t="s">
        <v>861</v>
      </c>
      <c r="C6" s="317" t="s">
        <v>862</v>
      </c>
      <c r="D6" s="317" t="s">
        <v>863</v>
      </c>
      <c r="F6" s="9" t="s">
        <v>1</v>
      </c>
      <c r="G6" s="9" t="s">
        <v>2</v>
      </c>
      <c r="H6" s="9" t="s">
        <v>3</v>
      </c>
      <c r="I6" s="9" t="s">
        <v>4</v>
      </c>
      <c r="J6" s="9" t="s">
        <v>5</v>
      </c>
      <c r="K6" s="9" t="s">
        <v>6</v>
      </c>
      <c r="L6" s="9" t="s">
        <v>7</v>
      </c>
      <c r="M6" s="9" t="s">
        <v>8</v>
      </c>
      <c r="N6" s="9" t="s">
        <v>9</v>
      </c>
      <c r="O6" s="9" t="s">
        <v>10</v>
      </c>
      <c r="P6" s="44" t="s">
        <v>139</v>
      </c>
      <c r="R6" s="44" t="s">
        <v>138</v>
      </c>
    </row>
    <row r="7" spans="2:18" x14ac:dyDescent="0.35">
      <c r="F7">
        <v>0.14585999999999999</v>
      </c>
      <c r="G7" s="45">
        <v>3.77746</v>
      </c>
      <c r="H7" s="2">
        <f t="shared" ref="H7:H23" si="0">G7-F7</f>
        <v>3.6316000000000002</v>
      </c>
      <c r="I7" s="2">
        <f t="shared" ref="I7:I23" si="1">F8-G7</f>
        <v>4.2473900000000011</v>
      </c>
      <c r="J7" s="2">
        <f t="shared" ref="J7:J23" si="2">H7/N7</f>
        <v>0.46092202173121166</v>
      </c>
      <c r="K7" s="2">
        <f t="shared" ref="K7:K23" si="3">I7/N7</f>
        <v>0.53907797826878823</v>
      </c>
      <c r="L7" s="2">
        <f t="shared" ref="L7:L23" si="4">1/H7</f>
        <v>0.27536072254653593</v>
      </c>
      <c r="M7" s="2">
        <f t="shared" ref="M7:M23" si="5">1/N7</f>
        <v>0.12691982094151658</v>
      </c>
      <c r="N7" s="2">
        <f t="shared" ref="N7:N23" si="6">H7+I7</f>
        <v>7.8789900000000017</v>
      </c>
      <c r="O7" s="2">
        <v>23</v>
      </c>
      <c r="P7">
        <f>O7/H7</f>
        <v>6.3332966185703272</v>
      </c>
      <c r="R7" t="s">
        <v>885</v>
      </c>
    </row>
    <row r="8" spans="2:18" x14ac:dyDescent="0.35">
      <c r="F8">
        <v>8.0248500000000007</v>
      </c>
      <c r="G8">
        <v>14.717890000000001</v>
      </c>
      <c r="H8" s="2">
        <f t="shared" si="0"/>
        <v>6.6930399999999999</v>
      </c>
      <c r="I8" s="2">
        <f t="shared" si="1"/>
        <v>4.0841700000000003</v>
      </c>
      <c r="J8" s="2">
        <f t="shared" si="2"/>
        <v>0.62103642779531987</v>
      </c>
      <c r="K8" s="2">
        <f t="shared" si="3"/>
        <v>0.37896357220468008</v>
      </c>
      <c r="L8" s="2">
        <f t="shared" si="4"/>
        <v>0.14940893824032128</v>
      </c>
      <c r="M8" s="2">
        <f t="shared" si="5"/>
        <v>9.2788393285460707E-2</v>
      </c>
      <c r="N8" s="2">
        <f t="shared" si="6"/>
        <v>10.77721</v>
      </c>
      <c r="O8" s="2">
        <v>47</v>
      </c>
      <c r="P8">
        <f t="shared" ref="P8:P34" si="7">O8/H8</f>
        <v>7.0222200972951008</v>
      </c>
    </row>
    <row r="9" spans="2:18" x14ac:dyDescent="0.35">
      <c r="C9" s="2"/>
      <c r="D9" s="2"/>
      <c r="E9" s="2"/>
      <c r="F9">
        <v>18.802060000000001</v>
      </c>
      <c r="G9">
        <v>23.35859</v>
      </c>
      <c r="H9" s="2">
        <f t="shared" si="0"/>
        <v>4.5565299999999986</v>
      </c>
      <c r="I9" s="2">
        <f t="shared" si="1"/>
        <v>6.15747</v>
      </c>
      <c r="J9" s="2">
        <f t="shared" si="2"/>
        <v>0.4252874743326488</v>
      </c>
      <c r="K9" s="2">
        <f t="shared" si="3"/>
        <v>0.5747125256673512</v>
      </c>
      <c r="L9" s="2">
        <f t="shared" si="4"/>
        <v>0.21946525096948782</v>
      </c>
      <c r="M9" s="2">
        <f t="shared" si="5"/>
        <v>9.3335822288594369E-2</v>
      </c>
      <c r="N9" s="2">
        <f t="shared" si="6"/>
        <v>10.713999999999999</v>
      </c>
      <c r="O9" s="2">
        <v>33</v>
      </c>
      <c r="P9">
        <f t="shared" si="7"/>
        <v>7.2423532819930978</v>
      </c>
    </row>
    <row r="10" spans="2:18" x14ac:dyDescent="0.35">
      <c r="C10" s="2"/>
      <c r="D10" s="2"/>
      <c r="E10" s="2"/>
      <c r="F10">
        <v>29.51606</v>
      </c>
      <c r="G10">
        <v>34.985349999999997</v>
      </c>
      <c r="H10" s="2">
        <f t="shared" si="0"/>
        <v>5.4692899999999973</v>
      </c>
      <c r="I10" s="2">
        <f t="shared" si="1"/>
        <v>4.1796900000000008</v>
      </c>
      <c r="J10" s="2">
        <f t="shared" si="2"/>
        <v>0.56682571629332823</v>
      </c>
      <c r="K10" s="2">
        <f t="shared" si="3"/>
        <v>0.43317428370667177</v>
      </c>
      <c r="L10" s="2">
        <f t="shared" si="4"/>
        <v>0.18283908880311714</v>
      </c>
      <c r="M10" s="2">
        <f t="shared" si="5"/>
        <v>0.10363789747724632</v>
      </c>
      <c r="N10" s="2">
        <f t="shared" si="6"/>
        <v>9.6489799999999981</v>
      </c>
      <c r="O10" s="2">
        <v>37</v>
      </c>
      <c r="P10">
        <f t="shared" si="7"/>
        <v>6.765046285715334</v>
      </c>
    </row>
    <row r="11" spans="2:18" x14ac:dyDescent="0.35">
      <c r="C11" s="2"/>
      <c r="D11" s="2"/>
      <c r="E11" s="2"/>
      <c r="F11">
        <v>39.165039999999998</v>
      </c>
      <c r="G11">
        <v>44.726709999999997</v>
      </c>
      <c r="H11" s="2">
        <f t="shared" si="0"/>
        <v>5.5616699999999994</v>
      </c>
      <c r="I11" s="2">
        <f t="shared" si="1"/>
        <v>14.323130000000006</v>
      </c>
      <c r="J11" s="2">
        <f t="shared" si="2"/>
        <v>0.27969454055358856</v>
      </c>
      <c r="K11" s="2">
        <f t="shared" si="3"/>
        <v>0.72030545944641144</v>
      </c>
      <c r="L11" s="2">
        <f t="shared" si="4"/>
        <v>0.17980210979795638</v>
      </c>
      <c r="M11" s="2">
        <f t="shared" si="5"/>
        <v>5.0289668490505299E-2</v>
      </c>
      <c r="N11" s="2">
        <f t="shared" si="6"/>
        <v>19.884800000000006</v>
      </c>
      <c r="O11" s="2">
        <v>39</v>
      </c>
      <c r="P11">
        <f t="shared" si="7"/>
        <v>7.0122822821202995</v>
      </c>
    </row>
    <row r="12" spans="2:18" x14ac:dyDescent="0.35">
      <c r="E12" s="2"/>
      <c r="F12">
        <v>59.049840000000003</v>
      </c>
      <c r="G12" s="45">
        <v>63.619759999999999</v>
      </c>
      <c r="H12" s="2">
        <f t="shared" si="0"/>
        <v>4.5699199999999962</v>
      </c>
      <c r="I12" s="2">
        <f t="shared" si="1"/>
        <v>10.597920000000002</v>
      </c>
      <c r="J12" s="2">
        <f t="shared" si="2"/>
        <v>0.30129009799681411</v>
      </c>
      <c r="K12" s="2">
        <f t="shared" si="3"/>
        <v>0.69870990200318595</v>
      </c>
      <c r="L12" s="2">
        <f t="shared" si="4"/>
        <v>0.218822211329739</v>
      </c>
      <c r="M12" s="2">
        <f t="shared" si="5"/>
        <v>6.592896549541663E-2</v>
      </c>
      <c r="N12" s="2">
        <f t="shared" si="6"/>
        <v>15.167839999999998</v>
      </c>
      <c r="O12" s="2">
        <v>28</v>
      </c>
      <c r="P12">
        <f t="shared" si="7"/>
        <v>6.1270219172326916</v>
      </c>
    </row>
    <row r="13" spans="2:18" x14ac:dyDescent="0.35">
      <c r="C13" s="2"/>
      <c r="D13" s="2"/>
      <c r="E13" s="2"/>
      <c r="F13">
        <v>74.217680000000001</v>
      </c>
      <c r="G13" s="45">
        <v>79.646630000000002</v>
      </c>
      <c r="H13" s="2">
        <f t="shared" si="0"/>
        <v>5.4289500000000004</v>
      </c>
      <c r="I13" s="2">
        <f t="shared" si="1"/>
        <v>6.3131199999999978</v>
      </c>
      <c r="J13" s="2">
        <f t="shared" si="2"/>
        <v>0.46235033516236929</v>
      </c>
      <c r="K13" s="2">
        <f t="shared" si="3"/>
        <v>0.53764966483763077</v>
      </c>
      <c r="L13" s="2">
        <f t="shared" si="4"/>
        <v>0.18419768095119682</v>
      </c>
      <c r="M13" s="2">
        <f t="shared" si="5"/>
        <v>8.5163859523917002E-2</v>
      </c>
      <c r="N13" s="2">
        <f t="shared" si="6"/>
        <v>11.742069999999998</v>
      </c>
      <c r="O13" s="2">
        <v>37</v>
      </c>
      <c r="P13">
        <f t="shared" si="7"/>
        <v>6.8153141951942819</v>
      </c>
    </row>
    <row r="14" spans="2:18" x14ac:dyDescent="0.35">
      <c r="C14" s="2"/>
      <c r="E14" s="2"/>
      <c r="F14">
        <v>85.95975</v>
      </c>
      <c r="G14">
        <v>90.302000000000007</v>
      </c>
      <c r="H14" s="2">
        <f t="shared" si="0"/>
        <v>4.342250000000007</v>
      </c>
      <c r="I14" s="2">
        <f t="shared" si="1"/>
        <v>9.5217999999999989</v>
      </c>
      <c r="J14" s="2">
        <f t="shared" si="2"/>
        <v>0.31320213069052733</v>
      </c>
      <c r="K14" s="2">
        <f t="shared" si="3"/>
        <v>0.68679786930947273</v>
      </c>
      <c r="L14" s="2">
        <f t="shared" si="4"/>
        <v>0.23029535379123689</v>
      </c>
      <c r="M14" s="2">
        <f t="shared" si="5"/>
        <v>7.2128995495544204E-2</v>
      </c>
      <c r="N14" s="2">
        <f t="shared" si="6"/>
        <v>13.864050000000006</v>
      </c>
      <c r="O14" s="2">
        <v>25</v>
      </c>
      <c r="P14">
        <f t="shared" si="7"/>
        <v>5.7573838447809225</v>
      </c>
    </row>
    <row r="15" spans="2:18" x14ac:dyDescent="0.35">
      <c r="C15" s="2"/>
      <c r="D15" s="2"/>
      <c r="E15" s="2"/>
      <c r="F15">
        <v>99.823800000000006</v>
      </c>
      <c r="G15">
        <v>105.16634999999999</v>
      </c>
      <c r="H15" s="2">
        <f t="shared" si="0"/>
        <v>5.3425499999999886</v>
      </c>
      <c r="I15" s="2">
        <f t="shared" si="1"/>
        <v>5.1023300000000091</v>
      </c>
      <c r="J15" s="2">
        <f t="shared" si="2"/>
        <v>0.51149941406698685</v>
      </c>
      <c r="K15" s="2">
        <f t="shared" si="3"/>
        <v>0.48850058593301315</v>
      </c>
      <c r="L15" s="2">
        <f t="shared" si="4"/>
        <v>0.18717653554950392</v>
      </c>
      <c r="M15" s="2">
        <f t="shared" si="5"/>
        <v>9.574068826065979E-2</v>
      </c>
      <c r="N15" s="2">
        <f t="shared" si="6"/>
        <v>10.444879999999998</v>
      </c>
      <c r="O15" s="2">
        <v>36</v>
      </c>
      <c r="P15">
        <f t="shared" si="7"/>
        <v>6.7383552797821409</v>
      </c>
    </row>
    <row r="16" spans="2:18" x14ac:dyDescent="0.35">
      <c r="B16">
        <v>110.87835</v>
      </c>
      <c r="C16" s="2">
        <v>115.71169999999999</v>
      </c>
      <c r="D16" s="2">
        <f>C16-B16</f>
        <v>4.8333499999999958</v>
      </c>
      <c r="E16" s="2"/>
      <c r="F16">
        <v>110.26868</v>
      </c>
      <c r="G16">
        <v>112.90451</v>
      </c>
      <c r="H16" s="2">
        <f t="shared" si="0"/>
        <v>2.6358299999999986</v>
      </c>
      <c r="I16" s="2">
        <f t="shared" si="1"/>
        <v>12.318049999999999</v>
      </c>
      <c r="J16" s="2">
        <f t="shared" si="2"/>
        <v>0.17626395290051805</v>
      </c>
      <c r="K16" s="2">
        <f t="shared" si="3"/>
        <v>0.82373604709948189</v>
      </c>
      <c r="L16" s="2">
        <f t="shared" si="4"/>
        <v>0.37938713801724716</v>
      </c>
      <c r="M16" s="2">
        <f t="shared" si="5"/>
        <v>6.6872276626534388E-2</v>
      </c>
      <c r="N16" s="2">
        <f t="shared" si="6"/>
        <v>14.953879999999998</v>
      </c>
      <c r="O16" s="2">
        <v>15</v>
      </c>
      <c r="P16">
        <f t="shared" si="7"/>
        <v>5.6908070702587068</v>
      </c>
    </row>
    <row r="17" spans="2:18" x14ac:dyDescent="0.35">
      <c r="C17" s="2"/>
      <c r="E17" s="2"/>
      <c r="F17">
        <v>125.22256</v>
      </c>
      <c r="G17">
        <v>130.53959</v>
      </c>
      <c r="H17" s="2">
        <f t="shared" si="0"/>
        <v>5.3170300000000026</v>
      </c>
      <c r="I17" s="2">
        <f t="shared" si="1"/>
        <v>6.0505300000000091</v>
      </c>
      <c r="J17" s="2">
        <f t="shared" si="2"/>
        <v>0.4677371397203971</v>
      </c>
      <c r="K17" s="2">
        <f t="shared" si="3"/>
        <v>0.5322628602796029</v>
      </c>
      <c r="L17" s="2">
        <f t="shared" si="4"/>
        <v>0.1880749215257389</v>
      </c>
      <c r="M17" s="2">
        <f t="shared" si="5"/>
        <v>8.796962584758726E-2</v>
      </c>
      <c r="N17" s="2">
        <f t="shared" si="6"/>
        <v>11.367560000000012</v>
      </c>
      <c r="O17" s="2">
        <v>39</v>
      </c>
      <c r="P17">
        <f t="shared" si="7"/>
        <v>7.3349219395038174</v>
      </c>
      <c r="R17" t="s">
        <v>886</v>
      </c>
    </row>
    <row r="18" spans="2:18" x14ac:dyDescent="0.35">
      <c r="C18" s="2"/>
      <c r="D18" s="2"/>
      <c r="E18" s="2"/>
      <c r="F18">
        <v>136.59012000000001</v>
      </c>
      <c r="G18">
        <v>140.70196999999999</v>
      </c>
      <c r="H18" s="2">
        <f t="shared" si="0"/>
        <v>4.1118499999999756</v>
      </c>
      <c r="I18" s="2">
        <f t="shared" si="1"/>
        <v>8.2788000000000181</v>
      </c>
      <c r="J18" s="2">
        <f t="shared" si="2"/>
        <v>0.33185103283524092</v>
      </c>
      <c r="K18" s="2">
        <f t="shared" si="3"/>
        <v>0.66814896716475913</v>
      </c>
      <c r="L18" s="2">
        <f t="shared" si="4"/>
        <v>0.24319953305689798</v>
      </c>
      <c r="M18" s="2">
        <f t="shared" si="5"/>
        <v>8.0706016229979902E-2</v>
      </c>
      <c r="N18" s="2">
        <f t="shared" si="6"/>
        <v>12.390649999999994</v>
      </c>
      <c r="O18" s="2">
        <v>26</v>
      </c>
      <c r="P18">
        <f t="shared" si="7"/>
        <v>6.3231878594793471</v>
      </c>
    </row>
    <row r="19" spans="2:18" x14ac:dyDescent="0.35">
      <c r="C19" s="2"/>
      <c r="D19" s="2"/>
      <c r="E19" s="2"/>
      <c r="F19">
        <v>148.98077000000001</v>
      </c>
      <c r="G19">
        <v>154.38179</v>
      </c>
      <c r="H19" s="2">
        <f t="shared" si="0"/>
        <v>5.4010199999999884</v>
      </c>
      <c r="I19" s="2">
        <f t="shared" si="1"/>
        <v>7.8976399999999956</v>
      </c>
      <c r="J19" s="2">
        <f t="shared" si="2"/>
        <v>0.40613264795099618</v>
      </c>
      <c r="K19" s="2">
        <f t="shared" si="3"/>
        <v>0.59386735204900387</v>
      </c>
      <c r="L19" s="2">
        <f t="shared" si="4"/>
        <v>0.18515021236729398</v>
      </c>
      <c r="M19" s="2">
        <f t="shared" si="5"/>
        <v>7.5195546017418388E-2</v>
      </c>
      <c r="N19" s="2">
        <f t="shared" si="6"/>
        <v>13.298659999999984</v>
      </c>
      <c r="O19" s="2">
        <v>39</v>
      </c>
      <c r="P19">
        <f t="shared" si="7"/>
        <v>7.2208582823244649</v>
      </c>
    </row>
    <row r="20" spans="2:18" x14ac:dyDescent="0.35">
      <c r="C20" s="2"/>
      <c r="D20" s="2"/>
      <c r="E20" s="2"/>
      <c r="F20">
        <v>162.27942999999999</v>
      </c>
      <c r="G20">
        <v>166.63538</v>
      </c>
      <c r="H20" s="2">
        <f t="shared" si="0"/>
        <v>4.3559500000000071</v>
      </c>
      <c r="I20" s="2">
        <f t="shared" si="1"/>
        <v>8.0962800000000072</v>
      </c>
      <c r="J20" s="2">
        <f t="shared" si="2"/>
        <v>0.34981284476756391</v>
      </c>
      <c r="K20" s="2">
        <f t="shared" si="3"/>
        <v>0.65018715523243609</v>
      </c>
      <c r="L20" s="2">
        <f t="shared" si="4"/>
        <v>0.2295710464996151</v>
      </c>
      <c r="M20" s="2">
        <f t="shared" si="5"/>
        <v>8.0306900852297053E-2</v>
      </c>
      <c r="N20" s="2">
        <f t="shared" si="6"/>
        <v>12.452230000000014</v>
      </c>
      <c r="O20" s="2">
        <v>30</v>
      </c>
      <c r="P20">
        <f t="shared" si="7"/>
        <v>6.8871313949884527</v>
      </c>
    </row>
    <row r="21" spans="2:18" x14ac:dyDescent="0.35">
      <c r="C21" s="2"/>
      <c r="F21">
        <v>174.73166000000001</v>
      </c>
      <c r="G21">
        <v>179.90156000000002</v>
      </c>
      <c r="H21" s="2">
        <f t="shared" si="0"/>
        <v>5.1699000000000126</v>
      </c>
      <c r="I21" s="2">
        <f t="shared" si="1"/>
        <v>6.155179999999973</v>
      </c>
      <c r="J21" s="2">
        <f t="shared" si="2"/>
        <v>0.45650008653360674</v>
      </c>
      <c r="K21" s="2">
        <f t="shared" si="3"/>
        <v>0.54349991346639326</v>
      </c>
      <c r="L21" s="2">
        <f t="shared" si="4"/>
        <v>0.19342733902009662</v>
      </c>
      <c r="M21" s="2">
        <f t="shared" si="5"/>
        <v>8.8299597000639399E-2</v>
      </c>
      <c r="N21" s="2">
        <f t="shared" si="6"/>
        <v>11.325079999999986</v>
      </c>
      <c r="O21" s="2">
        <v>37</v>
      </c>
      <c r="P21">
        <f t="shared" si="7"/>
        <v>7.1568115437435749</v>
      </c>
    </row>
    <row r="22" spans="2:18" x14ac:dyDescent="0.35">
      <c r="C22" s="2"/>
      <c r="F22">
        <v>186.05673999999999</v>
      </c>
      <c r="G22">
        <v>190.37038999999999</v>
      </c>
      <c r="H22" s="2">
        <f t="shared" si="0"/>
        <v>4.3136499999999955</v>
      </c>
      <c r="I22" s="2">
        <f t="shared" si="1"/>
        <v>10.040850000000034</v>
      </c>
      <c r="J22" s="2">
        <f t="shared" si="2"/>
        <v>0.30050855132536741</v>
      </c>
      <c r="K22" s="2">
        <f t="shared" si="3"/>
        <v>0.69949144867463253</v>
      </c>
      <c r="L22" s="2">
        <f t="shared" si="4"/>
        <v>0.23182223870735943</v>
      </c>
      <c r="M22" s="2">
        <f t="shared" si="5"/>
        <v>6.9664565118952096E-2</v>
      </c>
      <c r="N22" s="2">
        <f t="shared" si="6"/>
        <v>14.35450000000003</v>
      </c>
      <c r="O22" s="2">
        <v>28</v>
      </c>
      <c r="P22">
        <f t="shared" si="7"/>
        <v>6.4910226838060643</v>
      </c>
    </row>
    <row r="23" spans="2:18" x14ac:dyDescent="0.35">
      <c r="C23" s="2"/>
      <c r="F23">
        <v>200.41124000000002</v>
      </c>
      <c r="G23">
        <v>206.89114999999998</v>
      </c>
      <c r="H23" s="2">
        <f t="shared" si="0"/>
        <v>6.4799099999999612</v>
      </c>
      <c r="I23" s="2">
        <f t="shared" si="1"/>
        <v>4.8446900000000142</v>
      </c>
      <c r="J23" s="2">
        <f t="shared" si="2"/>
        <v>0.57219769351676664</v>
      </c>
      <c r="K23" s="2">
        <f t="shared" si="3"/>
        <v>0.42780230648323336</v>
      </c>
      <c r="L23" s="2">
        <f t="shared" si="4"/>
        <v>0.15432313103114179</v>
      </c>
      <c r="M23" s="2">
        <f t="shared" si="5"/>
        <v>8.8303339632305092E-2</v>
      </c>
      <c r="N23" s="2">
        <f t="shared" si="6"/>
        <v>11.324599999999975</v>
      </c>
      <c r="O23" s="2">
        <v>40</v>
      </c>
      <c r="P23">
        <f t="shared" si="7"/>
        <v>6.1729252412456717</v>
      </c>
    </row>
    <row r="24" spans="2:18" x14ac:dyDescent="0.35">
      <c r="B24">
        <v>212.62229000000002</v>
      </c>
      <c r="C24" s="2">
        <v>217.45562999999999</v>
      </c>
      <c r="D24" s="2">
        <f>C24-B24</f>
        <v>4.8333399999999642</v>
      </c>
      <c r="F24">
        <v>211.73584</v>
      </c>
      <c r="G24">
        <v>213.98232000000002</v>
      </c>
      <c r="H24" s="2">
        <f t="shared" ref="H24:H34" si="8">G24-F24</f>
        <v>2.2464800000000196</v>
      </c>
      <c r="I24" s="2">
        <f t="shared" ref="I24:I33" si="9">F25-G24</f>
        <v>13.458069999999964</v>
      </c>
      <c r="J24" s="2">
        <f t="shared" ref="J24:J33" si="10">H24/N24</f>
        <v>0.14304644195472152</v>
      </c>
      <c r="K24" s="2">
        <f t="shared" ref="K24:K33" si="11">I24/N24</f>
        <v>0.85695355804527851</v>
      </c>
      <c r="L24" s="2">
        <f t="shared" ref="L24:L33" si="12">1/H24</f>
        <v>0.44514084256258291</v>
      </c>
      <c r="M24" s="2">
        <f t="shared" ref="M24:M33" si="13">1/N24</f>
        <v>6.3675813697304351E-2</v>
      </c>
      <c r="N24" s="2">
        <f t="shared" ref="N24:N33" si="14">H24+I24</f>
        <v>15.704549999999983</v>
      </c>
      <c r="O24" s="2">
        <v>12</v>
      </c>
      <c r="P24">
        <f t="shared" si="7"/>
        <v>5.3416901107509949</v>
      </c>
    </row>
    <row r="25" spans="2:18" x14ac:dyDescent="0.35">
      <c r="F25">
        <v>227.44038999999998</v>
      </c>
      <c r="G25">
        <v>232.84512000000001</v>
      </c>
      <c r="H25" s="2">
        <f t="shared" si="8"/>
        <v>5.4047300000000291</v>
      </c>
      <c r="I25" s="2">
        <f t="shared" si="9"/>
        <v>5.9298399999999845</v>
      </c>
      <c r="J25" s="2">
        <f t="shared" si="10"/>
        <v>0.47683590996394415</v>
      </c>
      <c r="K25" s="2">
        <f t="shared" si="11"/>
        <v>0.5231640900360558</v>
      </c>
      <c r="L25" s="2">
        <f t="shared" si="12"/>
        <v>0.18502311863867291</v>
      </c>
      <c r="M25" s="2">
        <f t="shared" si="13"/>
        <v>8.8225667140438391E-2</v>
      </c>
      <c r="N25" s="2">
        <f t="shared" si="14"/>
        <v>11.334570000000014</v>
      </c>
      <c r="O25" s="2">
        <v>38</v>
      </c>
      <c r="P25">
        <f t="shared" si="7"/>
        <v>7.0308785082695708</v>
      </c>
    </row>
    <row r="26" spans="2:18" x14ac:dyDescent="0.35">
      <c r="C26" s="2"/>
      <c r="F26">
        <v>238.77495999999999</v>
      </c>
      <c r="G26">
        <v>243.70805999999999</v>
      </c>
      <c r="H26" s="2">
        <f t="shared" si="8"/>
        <v>4.933099999999996</v>
      </c>
      <c r="I26" s="2">
        <f t="shared" si="9"/>
        <v>8.0593800000000044</v>
      </c>
      <c r="J26" s="2">
        <f t="shared" si="10"/>
        <v>0.37968886617489472</v>
      </c>
      <c r="K26" s="2">
        <f t="shared" si="11"/>
        <v>0.62031113382510528</v>
      </c>
      <c r="L26" s="2">
        <f t="shared" si="12"/>
        <v>0.20271229044616992</v>
      </c>
      <c r="M26" s="2">
        <f t="shared" si="13"/>
        <v>7.6967599719222193E-2</v>
      </c>
      <c r="N26" s="2">
        <f t="shared" si="14"/>
        <v>12.99248</v>
      </c>
      <c r="O26">
        <v>27</v>
      </c>
      <c r="P26">
        <f t="shared" si="7"/>
        <v>5.4732318420465873</v>
      </c>
      <c r="R26" t="s">
        <v>887</v>
      </c>
    </row>
    <row r="27" spans="2:18" x14ac:dyDescent="0.35">
      <c r="C27" s="2"/>
      <c r="F27">
        <v>251.76743999999999</v>
      </c>
      <c r="G27">
        <v>256.93135000000001</v>
      </c>
      <c r="H27" s="2">
        <f t="shared" si="8"/>
        <v>5.1639100000000155</v>
      </c>
      <c r="I27" s="2">
        <f t="shared" si="9"/>
        <v>6.0876900000000091</v>
      </c>
      <c r="J27" s="2">
        <f t="shared" si="10"/>
        <v>0.45894894948274062</v>
      </c>
      <c r="K27" s="2">
        <f t="shared" si="11"/>
        <v>0.54105105051725944</v>
      </c>
      <c r="L27" s="2">
        <f t="shared" si="12"/>
        <v>0.1936517096541181</v>
      </c>
      <c r="M27" s="2">
        <f t="shared" si="13"/>
        <v>8.8876248711294195E-2</v>
      </c>
      <c r="N27" s="2">
        <f t="shared" si="14"/>
        <v>11.251600000000025</v>
      </c>
      <c r="O27">
        <v>36</v>
      </c>
      <c r="P27">
        <f t="shared" si="7"/>
        <v>6.9714615475482518</v>
      </c>
    </row>
    <row r="28" spans="2:18" x14ac:dyDescent="0.35">
      <c r="B28">
        <v>263.93788999999998</v>
      </c>
      <c r="C28" s="2">
        <v>268.77121999999997</v>
      </c>
      <c r="D28" s="2">
        <f>C28-B28</f>
        <v>4.8333299999999895</v>
      </c>
      <c r="F28">
        <v>263.01904000000002</v>
      </c>
      <c r="G28">
        <v>264.13071000000002</v>
      </c>
      <c r="H28" s="2">
        <f t="shared" si="8"/>
        <v>1.1116700000000037</v>
      </c>
      <c r="I28" s="2">
        <f t="shared" si="9"/>
        <v>13.344399999999951</v>
      </c>
      <c r="J28" s="2">
        <f t="shared" si="10"/>
        <v>7.6899876660808039E-2</v>
      </c>
      <c r="K28" s="2">
        <f t="shared" si="11"/>
        <v>0.923100123339192</v>
      </c>
      <c r="L28" s="2">
        <f t="shared" si="12"/>
        <v>0.89954752759361745</v>
      </c>
      <c r="M28" s="2">
        <f t="shared" si="13"/>
        <v>6.9175093922483999E-2</v>
      </c>
      <c r="N28" s="2">
        <f t="shared" si="14"/>
        <v>14.456069999999954</v>
      </c>
      <c r="O28">
        <v>9</v>
      </c>
      <c r="P28">
        <f t="shared" si="7"/>
        <v>8.0959277483425574</v>
      </c>
    </row>
    <row r="29" spans="2:18" x14ac:dyDescent="0.35">
      <c r="D29" s="2"/>
      <c r="F29">
        <v>277.47510999999997</v>
      </c>
      <c r="G29">
        <v>281.89877999999999</v>
      </c>
      <c r="H29" s="2">
        <f t="shared" si="8"/>
        <v>4.4236700000000155</v>
      </c>
      <c r="I29" s="2">
        <f t="shared" si="9"/>
        <v>11.638149999999996</v>
      </c>
      <c r="J29" s="2">
        <f t="shared" si="10"/>
        <v>0.27541523936888923</v>
      </c>
      <c r="K29" s="2">
        <f t="shared" si="11"/>
        <v>0.72458476063111077</v>
      </c>
      <c r="L29" s="2">
        <f t="shared" si="12"/>
        <v>0.22605664527417202</v>
      </c>
      <c r="M29" s="2">
        <f t="shared" si="13"/>
        <v>6.2259445069114162E-2</v>
      </c>
      <c r="N29" s="2">
        <f t="shared" si="14"/>
        <v>16.061820000000012</v>
      </c>
      <c r="O29">
        <v>35</v>
      </c>
      <c r="P29">
        <f t="shared" si="7"/>
        <v>7.9119825845960206</v>
      </c>
    </row>
    <row r="30" spans="2:18" x14ac:dyDescent="0.35">
      <c r="C30" s="2"/>
      <c r="F30">
        <v>293.53692999999998</v>
      </c>
      <c r="G30">
        <v>298.53580999999997</v>
      </c>
      <c r="H30" s="2">
        <f t="shared" si="8"/>
        <v>4.9988799999999856</v>
      </c>
      <c r="I30" s="2">
        <f t="shared" si="9"/>
        <v>6.8632400000000189</v>
      </c>
      <c r="J30" s="2">
        <f t="shared" si="10"/>
        <v>0.42141539623608459</v>
      </c>
      <c r="K30" s="2">
        <f t="shared" si="11"/>
        <v>0.57858460376391541</v>
      </c>
      <c r="L30" s="2">
        <f t="shared" si="12"/>
        <v>0.20004481003744898</v>
      </c>
      <c r="M30" s="2">
        <f t="shared" si="13"/>
        <v>8.4301962886903822E-2</v>
      </c>
      <c r="N30" s="2">
        <f t="shared" si="14"/>
        <v>11.862120000000004</v>
      </c>
      <c r="O30">
        <v>37</v>
      </c>
      <c r="P30">
        <f t="shared" si="7"/>
        <v>7.4016579713856121</v>
      </c>
    </row>
    <row r="31" spans="2:18" x14ac:dyDescent="0.35">
      <c r="C31" s="2"/>
      <c r="F31">
        <v>305.39904999999999</v>
      </c>
      <c r="G31">
        <v>310.55876999999998</v>
      </c>
      <c r="H31" s="2">
        <f t="shared" si="8"/>
        <v>5.159719999999993</v>
      </c>
      <c r="I31" s="2">
        <f t="shared" si="9"/>
        <v>7.9574700000000007</v>
      </c>
      <c r="J31" s="2">
        <f t="shared" si="10"/>
        <v>0.39335558911626617</v>
      </c>
      <c r="K31" s="2">
        <f t="shared" si="11"/>
        <v>0.60664441088373378</v>
      </c>
      <c r="L31" s="2">
        <f t="shared" si="12"/>
        <v>0.19380896637802078</v>
      </c>
      <c r="M31" s="2">
        <f t="shared" si="13"/>
        <v>7.6235840145640985E-2</v>
      </c>
      <c r="N31" s="2">
        <f t="shared" si="14"/>
        <v>13.117189999999994</v>
      </c>
      <c r="O31">
        <v>34</v>
      </c>
      <c r="P31">
        <f t="shared" si="7"/>
        <v>6.5895048568527068</v>
      </c>
    </row>
    <row r="32" spans="2:18" x14ac:dyDescent="0.35">
      <c r="B32">
        <v>319.42595</v>
      </c>
      <c r="C32" s="2">
        <v>324.25931000000003</v>
      </c>
      <c r="D32" s="2">
        <f>C32-B32</f>
        <v>4.8333600000000274</v>
      </c>
      <c r="F32">
        <v>318.51623999999998</v>
      </c>
      <c r="G32">
        <v>319.14758</v>
      </c>
      <c r="H32" s="2">
        <f t="shared" si="8"/>
        <v>0.63134000000002288</v>
      </c>
      <c r="I32" s="2">
        <f t="shared" si="9"/>
        <v>12.609229999999968</v>
      </c>
      <c r="J32" s="2">
        <f t="shared" si="10"/>
        <v>4.7682237245075046E-2</v>
      </c>
      <c r="K32" s="2">
        <f t="shared" si="11"/>
        <v>0.95231776275492497</v>
      </c>
      <c r="L32" s="2">
        <f t="shared" si="12"/>
        <v>1.5839325878290045</v>
      </c>
      <c r="M32" s="2">
        <f t="shared" si="13"/>
        <v>7.552544943306827E-2</v>
      </c>
      <c r="N32" s="2">
        <f t="shared" si="14"/>
        <v>13.240569999999991</v>
      </c>
      <c r="O32">
        <v>6</v>
      </c>
      <c r="P32">
        <f t="shared" si="7"/>
        <v>9.5035955269740278</v>
      </c>
    </row>
    <row r="33" spans="3:16" x14ac:dyDescent="0.35">
      <c r="C33" s="2"/>
      <c r="F33">
        <v>331.75680999999997</v>
      </c>
      <c r="G33">
        <v>336.78145000000001</v>
      </c>
      <c r="H33" s="2">
        <f t="shared" si="8"/>
        <v>5.0246400000000335</v>
      </c>
      <c r="I33" s="2">
        <f t="shared" si="9"/>
        <v>9.7192099999999755</v>
      </c>
      <c r="J33" s="2">
        <f t="shared" si="10"/>
        <v>0.34079565378107013</v>
      </c>
      <c r="K33" s="2">
        <f t="shared" si="11"/>
        <v>0.65920434621892987</v>
      </c>
      <c r="L33" s="2">
        <f t="shared" si="12"/>
        <v>0.19901923321869694</v>
      </c>
      <c r="M33" s="2">
        <f t="shared" si="13"/>
        <v>6.7824889699773086E-2</v>
      </c>
      <c r="N33" s="2">
        <f t="shared" si="14"/>
        <v>14.743850000000009</v>
      </c>
      <c r="O33">
        <v>34</v>
      </c>
      <c r="P33">
        <f t="shared" si="7"/>
        <v>6.7666539294356953</v>
      </c>
    </row>
    <row r="34" spans="3:16" x14ac:dyDescent="0.35">
      <c r="C34" s="2"/>
      <c r="D34" s="2"/>
      <c r="F34">
        <v>346.50065999999998</v>
      </c>
      <c r="G34">
        <v>349.39645999999999</v>
      </c>
      <c r="H34" s="2">
        <f t="shared" si="8"/>
        <v>2.8958000000000084</v>
      </c>
      <c r="I34" s="2"/>
      <c r="J34" s="2"/>
      <c r="K34" s="2"/>
      <c r="L34" s="2"/>
      <c r="M34" s="2"/>
      <c r="N34" s="2"/>
      <c r="O34">
        <v>15</v>
      </c>
      <c r="P34">
        <f t="shared" si="7"/>
        <v>5.1799157400372806</v>
      </c>
    </row>
    <row r="35" spans="3:16" x14ac:dyDescent="0.35">
      <c r="C35" s="2"/>
      <c r="H35" s="2"/>
      <c r="I35" s="2"/>
      <c r="J35" s="2"/>
      <c r="K35" s="2"/>
      <c r="L35" s="2"/>
      <c r="M35" s="2"/>
      <c r="N35" s="2"/>
    </row>
    <row r="36" spans="3:16" x14ac:dyDescent="0.35">
      <c r="C36" s="2"/>
      <c r="H36" s="2"/>
      <c r="I36" s="2"/>
      <c r="J36" s="2"/>
      <c r="K36" s="2"/>
      <c r="L36" s="2"/>
      <c r="M36" s="2"/>
      <c r="N36" s="2"/>
    </row>
    <row r="39" spans="3:16" ht="16" thickBot="1" x14ac:dyDescent="0.4">
      <c r="E39" s="104" t="s">
        <v>78</v>
      </c>
      <c r="G39" s="13"/>
      <c r="H39" s="9" t="s">
        <v>3</v>
      </c>
      <c r="I39" s="9" t="s">
        <v>4</v>
      </c>
      <c r="J39" s="9" t="s">
        <v>5</v>
      </c>
      <c r="K39" s="9" t="s">
        <v>6</v>
      </c>
      <c r="L39" s="9" t="s">
        <v>7</v>
      </c>
      <c r="M39" s="9" t="s">
        <v>8</v>
      </c>
      <c r="N39" s="9" t="s">
        <v>9</v>
      </c>
      <c r="O39" s="9" t="s">
        <v>10</v>
      </c>
      <c r="P39" s="44" t="s">
        <v>139</v>
      </c>
    </row>
    <row r="40" spans="3:16" x14ac:dyDescent="0.35">
      <c r="G40" s="49" t="s">
        <v>77</v>
      </c>
      <c r="H40" s="13">
        <f>AVERAGE(H7:H15,H18:H23,H26:H27,H30:H31)</f>
        <v>5.0359836842105228</v>
      </c>
      <c r="I40" s="13">
        <f t="shared" ref="I40:P40" si="15">AVERAGE(I7:I15,I18:I23,I26:I27,I30:I31)</f>
        <v>7.3056968421052684</v>
      </c>
      <c r="J40" s="13">
        <f t="shared" si="15"/>
        <v>0.42171156929275383</v>
      </c>
      <c r="K40" s="13">
        <f t="shared" si="15"/>
        <v>0.578288430707246</v>
      </c>
      <c r="L40" s="13">
        <f t="shared" si="15"/>
        <v>0.20289890364090835</v>
      </c>
      <c r="M40" s="13">
        <f t="shared" si="15"/>
        <v>8.3936406714395465E-2</v>
      </c>
      <c r="N40" s="13">
        <f t="shared" si="15"/>
        <v>12.341680526315789</v>
      </c>
      <c r="O40" s="13">
        <f t="shared" si="15"/>
        <v>33.631578947368418</v>
      </c>
      <c r="P40" s="13">
        <f t="shared" si="15"/>
        <v>6.6579508961107878</v>
      </c>
    </row>
    <row r="41" spans="3:16" x14ac:dyDescent="0.35">
      <c r="G41" s="49" t="s">
        <v>94</v>
      </c>
      <c r="H41" s="2">
        <f>_xlfn.STDEV.S(H7:H15,H18:H23,H26:H27,H30:H31)</f>
        <v>0.76292468542088099</v>
      </c>
      <c r="I41" s="2">
        <f t="shared" ref="I41:P41" si="16">_xlfn.STDEV.S(I7:I15,I18:I23,I26:I27,I30:I31)</f>
        <v>2.5939232235747833</v>
      </c>
      <c r="J41" s="2">
        <f t="shared" si="16"/>
        <v>9.8456647042562268E-2</v>
      </c>
      <c r="K41" s="2">
        <f t="shared" si="16"/>
        <v>9.8456647042563017E-2</v>
      </c>
      <c r="L41" s="2">
        <f t="shared" si="16"/>
        <v>3.0764330948593363E-2</v>
      </c>
      <c r="M41" s="2">
        <f t="shared" si="16"/>
        <v>1.6009139671812795E-2</v>
      </c>
      <c r="N41" s="2">
        <f t="shared" si="16"/>
        <v>2.504628900224271</v>
      </c>
      <c r="O41" s="2">
        <f t="shared" si="16"/>
        <v>6.2379708801624307</v>
      </c>
      <c r="P41" s="2">
        <f t="shared" si="16"/>
        <v>0.5214210410597121</v>
      </c>
    </row>
    <row r="42" spans="3:16" x14ac:dyDescent="0.35">
      <c r="G42" s="49" t="s">
        <v>95</v>
      </c>
      <c r="H42" s="2">
        <f>H41/(SQRT(COUNT(H7:H15,H18:H23,H26:H27,H30:H31)))</f>
        <v>0.17502692659379887</v>
      </c>
      <c r="I42" s="2">
        <f t="shared" ref="I42:P42" si="17">I41/(SQRT(COUNT(I7:I15,I18:I23,I26:I27,I30:I31)))</f>
        <v>0.59508679994030211</v>
      </c>
      <c r="J42" s="2">
        <f t="shared" si="17"/>
        <v>2.2587503935704294E-2</v>
      </c>
      <c r="K42" s="2">
        <f t="shared" si="17"/>
        <v>2.2587503935704467E-2</v>
      </c>
      <c r="L42" s="2">
        <f t="shared" si="17"/>
        <v>7.057821561608381E-3</v>
      </c>
      <c r="M42" s="2">
        <f t="shared" si="17"/>
        <v>3.6727485264452563E-3</v>
      </c>
      <c r="N42" s="2">
        <f t="shared" si="17"/>
        <v>0.57460127721836907</v>
      </c>
      <c r="O42" s="2">
        <f t="shared" si="17"/>
        <v>1.431088667335658</v>
      </c>
      <c r="P42" s="2">
        <f t="shared" si="17"/>
        <v>0.11962219079026616</v>
      </c>
    </row>
    <row r="45" spans="3:16" ht="16" thickBot="1" x14ac:dyDescent="0.4">
      <c r="E45" s="104" t="s">
        <v>20</v>
      </c>
      <c r="G45" s="13"/>
      <c r="H45" s="9" t="s">
        <v>3</v>
      </c>
      <c r="I45" s="9" t="s">
        <v>4</v>
      </c>
      <c r="J45" s="9" t="s">
        <v>5</v>
      </c>
      <c r="K45" s="9" t="s">
        <v>6</v>
      </c>
      <c r="L45" s="9" t="s">
        <v>7</v>
      </c>
      <c r="M45" s="9" t="s">
        <v>8</v>
      </c>
      <c r="N45" s="9" t="s">
        <v>9</v>
      </c>
      <c r="O45" s="9" t="s">
        <v>10</v>
      </c>
      <c r="P45" s="44" t="s">
        <v>139</v>
      </c>
    </row>
    <row r="46" spans="3:16" x14ac:dyDescent="0.35">
      <c r="G46" s="49" t="s">
        <v>77</v>
      </c>
      <c r="H46" s="13">
        <f>AVERAGE(H16,H24,H28,H32)</f>
        <v>1.6563300000000112</v>
      </c>
      <c r="I46" s="13">
        <f t="shared" ref="I46:P46" si="18">AVERAGE(I16,I24,I28,I32)</f>
        <v>12.93243749999997</v>
      </c>
      <c r="J46" s="13">
        <f t="shared" si="18"/>
        <v>0.11097312719028067</v>
      </c>
      <c r="K46" s="13">
        <f t="shared" si="18"/>
        <v>0.88902687280971926</v>
      </c>
      <c r="L46" s="13">
        <f t="shared" si="18"/>
        <v>0.82700202400061296</v>
      </c>
      <c r="M46" s="13">
        <f t="shared" si="18"/>
        <v>6.8812158419847752E-2</v>
      </c>
      <c r="N46" s="13">
        <f t="shared" si="18"/>
        <v>14.588767499999982</v>
      </c>
      <c r="O46" s="13">
        <f t="shared" si="18"/>
        <v>10.5</v>
      </c>
      <c r="P46" s="13">
        <f t="shared" si="18"/>
        <v>7.1580051140815719</v>
      </c>
    </row>
    <row r="47" spans="3:16" x14ac:dyDescent="0.35">
      <c r="G47" s="49" t="s">
        <v>94</v>
      </c>
      <c r="H47" s="2">
        <f>_xlfn.STDEV.S(H16,H24,H28,H32)</f>
        <v>0.94073664189293149</v>
      </c>
      <c r="I47" s="2">
        <f t="shared" ref="I47:P47" si="19">_xlfn.STDEV.S(I16,I24,I28,I32)</f>
        <v>0.55615876470511016</v>
      </c>
      <c r="J47" s="2">
        <f t="shared" si="19"/>
        <v>5.904324006918947E-2</v>
      </c>
      <c r="K47" s="2">
        <f t="shared" si="19"/>
        <v>5.9043240069189519E-2</v>
      </c>
      <c r="L47" s="2">
        <f t="shared" si="19"/>
        <v>0.55509271795868453</v>
      </c>
      <c r="M47" s="2">
        <f t="shared" si="19"/>
        <v>5.0114926880817099E-3</v>
      </c>
      <c r="N47" s="2">
        <f t="shared" si="19"/>
        <v>1.0349754989813362</v>
      </c>
      <c r="O47" s="2">
        <f t="shared" si="19"/>
        <v>3.872983346207417</v>
      </c>
      <c r="P47" s="2">
        <f t="shared" si="19"/>
        <v>1.9860482995161903</v>
      </c>
    </row>
    <row r="48" spans="3:16" x14ac:dyDescent="0.35">
      <c r="G48" s="49" t="s">
        <v>95</v>
      </c>
      <c r="H48" s="2">
        <f>H47/(SQRT(COUNT(H16,H24,H28,H32)))</f>
        <v>0.47036832094646575</v>
      </c>
      <c r="I48" s="2">
        <f t="shared" ref="I48:P48" si="20">I47/(SQRT(COUNT(I16,I24,I28,I32)))</f>
        <v>0.27807938235255508</v>
      </c>
      <c r="J48" s="2">
        <f t="shared" si="20"/>
        <v>2.9521620034594735E-2</v>
      </c>
      <c r="K48" s="2">
        <f t="shared" si="20"/>
        <v>2.952162003459476E-2</v>
      </c>
      <c r="L48" s="2">
        <f t="shared" si="20"/>
        <v>0.27754635897934227</v>
      </c>
      <c r="M48" s="2">
        <f t="shared" si="20"/>
        <v>2.5057463440408549E-3</v>
      </c>
      <c r="N48" s="2">
        <f t="shared" si="20"/>
        <v>0.51748774949066811</v>
      </c>
      <c r="O48" s="2">
        <f t="shared" si="20"/>
        <v>1.9364916731037085</v>
      </c>
      <c r="P48" s="2">
        <f t="shared" si="20"/>
        <v>0.99302414975809516</v>
      </c>
    </row>
    <row r="50" spans="2:18" ht="16" thickBot="1" x14ac:dyDescent="0.4">
      <c r="E50" s="104" t="s">
        <v>883</v>
      </c>
      <c r="G50" s="13"/>
      <c r="H50" s="9" t="s">
        <v>3</v>
      </c>
      <c r="I50" s="9" t="s">
        <v>4</v>
      </c>
      <c r="J50" s="9" t="s">
        <v>5</v>
      </c>
      <c r="K50" s="9" t="s">
        <v>6</v>
      </c>
      <c r="L50" s="9" t="s">
        <v>7</v>
      </c>
      <c r="M50" s="9" t="s">
        <v>8</v>
      </c>
      <c r="N50" s="9" t="s">
        <v>9</v>
      </c>
      <c r="O50" s="9" t="s">
        <v>10</v>
      </c>
      <c r="P50" s="44" t="s">
        <v>139</v>
      </c>
    </row>
    <row r="51" spans="2:18" x14ac:dyDescent="0.35">
      <c r="G51" s="49" t="s">
        <v>77</v>
      </c>
      <c r="H51" s="13">
        <f>AVERAGE(H17,H25,H29,H33)</f>
        <v>5.0425175000000202</v>
      </c>
      <c r="I51" s="13">
        <f t="shared" ref="I51:P51" si="21">AVERAGE(I17,I25,I29,I33)</f>
        <v>8.3344324999999913</v>
      </c>
      <c r="J51" s="13">
        <f t="shared" si="21"/>
        <v>0.39019598570857517</v>
      </c>
      <c r="K51" s="13">
        <f t="shared" si="21"/>
        <v>0.60980401429142483</v>
      </c>
      <c r="L51" s="13">
        <f t="shared" si="21"/>
        <v>0.19954347966432021</v>
      </c>
      <c r="M51" s="13">
        <f t="shared" si="21"/>
        <v>7.656990693922823E-2</v>
      </c>
      <c r="N51" s="13">
        <f t="shared" si="21"/>
        <v>13.376950000000011</v>
      </c>
      <c r="O51" s="13">
        <f t="shared" si="21"/>
        <v>36.5</v>
      </c>
      <c r="P51" s="13">
        <f t="shared" si="21"/>
        <v>7.261109240451276</v>
      </c>
    </row>
    <row r="52" spans="2:18" x14ac:dyDescent="0.35">
      <c r="G52" s="49" t="s">
        <v>94</v>
      </c>
      <c r="H52" s="2">
        <f>_xlfn.STDEV.S(H17,H25,H29,H33)</f>
        <v>0.44341359213680781</v>
      </c>
      <c r="I52" s="2">
        <f t="shared" ref="I52:P52" si="22">_xlfn.STDEV.S(I17,I25,I29,I33)</f>
        <v>2.8184176272555819</v>
      </c>
      <c r="J52" s="2">
        <f t="shared" si="22"/>
        <v>9.8546299719648012E-2</v>
      </c>
      <c r="K52" s="2">
        <f t="shared" si="22"/>
        <v>9.8546299719648386E-2</v>
      </c>
      <c r="L52" s="2">
        <f t="shared" si="22"/>
        <v>1.8668971540003073E-2</v>
      </c>
      <c r="M52" s="2">
        <f t="shared" si="22"/>
        <v>1.3504011533763667E-2</v>
      </c>
      <c r="N52" s="2">
        <f t="shared" si="22"/>
        <v>2.4004101568551448</v>
      </c>
      <c r="O52" s="2">
        <f t="shared" si="22"/>
        <v>2.3804761428476167</v>
      </c>
      <c r="P52" s="2">
        <f t="shared" si="22"/>
        <v>0.49213029077403975</v>
      </c>
    </row>
    <row r="53" spans="2:18" x14ac:dyDescent="0.35">
      <c r="G53" s="49" t="s">
        <v>95</v>
      </c>
      <c r="H53" s="2">
        <f>H52/(SQRT(COUNT(H17,H25,H29,H33)))</f>
        <v>0.22170679606840391</v>
      </c>
      <c r="I53" s="2">
        <f t="shared" ref="I53:P53" si="23">I52/(SQRT(COUNT(I17,I25,I29,I33)))</f>
        <v>1.4092088136277909</v>
      </c>
      <c r="J53" s="2">
        <f t="shared" si="23"/>
        <v>4.9273149859824006E-2</v>
      </c>
      <c r="K53" s="2">
        <f t="shared" si="23"/>
        <v>4.9273149859824193E-2</v>
      </c>
      <c r="L53" s="2">
        <f t="shared" si="23"/>
        <v>9.3344857700015365E-3</v>
      </c>
      <c r="M53" s="2">
        <f t="shared" si="23"/>
        <v>6.7520057668818334E-3</v>
      </c>
      <c r="N53" s="2">
        <f t="shared" si="23"/>
        <v>1.2002050784275724</v>
      </c>
      <c r="O53" s="2">
        <f t="shared" si="23"/>
        <v>1.1902380714238083</v>
      </c>
      <c r="P53" s="2">
        <f t="shared" si="23"/>
        <v>0.24606514538701987</v>
      </c>
    </row>
    <row r="59" spans="2:18" ht="18.5" x14ac:dyDescent="0.45">
      <c r="B59" s="3"/>
      <c r="C59" s="3" t="s">
        <v>20</v>
      </c>
      <c r="D59" s="3"/>
      <c r="F59" s="1" t="s">
        <v>866</v>
      </c>
      <c r="G59" s="3"/>
      <c r="H59" s="3"/>
      <c r="I59" s="3"/>
      <c r="J59" s="3"/>
      <c r="K59" s="3"/>
      <c r="L59" s="3"/>
      <c r="M59" s="3"/>
      <c r="N59" s="3"/>
      <c r="O59" s="3"/>
    </row>
    <row r="60" spans="2:18" ht="16" thickBot="1" x14ac:dyDescent="0.4">
      <c r="B60" s="317" t="s">
        <v>861</v>
      </c>
      <c r="C60" s="317" t="s">
        <v>862</v>
      </c>
      <c r="D60" s="317" t="s">
        <v>863</v>
      </c>
      <c r="F60" s="9" t="s">
        <v>1</v>
      </c>
      <c r="G60" s="9" t="s">
        <v>2</v>
      </c>
      <c r="H60" s="9" t="s">
        <v>3</v>
      </c>
      <c r="I60" s="9" t="s">
        <v>4</v>
      </c>
      <c r="J60" s="9" t="s">
        <v>5</v>
      </c>
      <c r="K60" s="9" t="s">
        <v>6</v>
      </c>
      <c r="L60" s="9" t="s">
        <v>7</v>
      </c>
      <c r="M60" s="9" t="s">
        <v>8</v>
      </c>
      <c r="N60" s="9" t="s">
        <v>9</v>
      </c>
      <c r="O60" s="9" t="s">
        <v>10</v>
      </c>
      <c r="P60" s="44" t="s">
        <v>139</v>
      </c>
      <c r="R60" s="44" t="s">
        <v>138</v>
      </c>
    </row>
    <row r="61" spans="2:18" x14ac:dyDescent="0.35">
      <c r="F61">
        <v>5.8883000000000001</v>
      </c>
      <c r="G61">
        <v>11.069520000000001</v>
      </c>
      <c r="H61" s="2">
        <f>G61-F61</f>
        <v>5.1812200000000006</v>
      </c>
      <c r="I61" s="2">
        <f>F62-G61</f>
        <v>12.998249999999999</v>
      </c>
      <c r="J61" s="2">
        <f>H61/N61</f>
        <v>0.28500390825475114</v>
      </c>
      <c r="K61" s="2">
        <f>I61/N61</f>
        <v>0.71499609174524892</v>
      </c>
      <c r="L61" s="2">
        <f>1/H61</f>
        <v>0.19300473633622967</v>
      </c>
      <c r="M61" s="2">
        <f>1/N61</f>
        <v>5.5007104167503235E-2</v>
      </c>
      <c r="N61" s="2">
        <f>H61+I61</f>
        <v>18.179469999999998</v>
      </c>
      <c r="O61" s="2">
        <v>40</v>
      </c>
      <c r="P61">
        <f>O61/H61</f>
        <v>7.7201894534491871</v>
      </c>
      <c r="R61" t="s">
        <v>888</v>
      </c>
    </row>
    <row r="62" spans="2:18" x14ac:dyDescent="0.35">
      <c r="F62">
        <v>24.067769999999999</v>
      </c>
      <c r="G62">
        <v>30.46773</v>
      </c>
      <c r="H62" s="2">
        <f>G62-F62</f>
        <v>6.3999600000000001</v>
      </c>
      <c r="I62" s="2">
        <f>F63-G62</f>
        <v>9.8122900000000008</v>
      </c>
      <c r="J62" s="2">
        <f t="shared" ref="J62:J65" si="24">H62/N62</f>
        <v>0.39476075190056897</v>
      </c>
      <c r="K62" s="2">
        <f t="shared" ref="K62:K65" si="25">I62/N62</f>
        <v>0.60523924809943097</v>
      </c>
      <c r="L62" s="2">
        <f t="shared" ref="L62:L65" si="26">1/H62</f>
        <v>0.15625097656860354</v>
      </c>
      <c r="M62" s="2">
        <f t="shared" ref="M62:M74" si="27">1/N62</f>
        <v>6.1681752995420128E-2</v>
      </c>
      <c r="N62" s="2">
        <f t="shared" ref="N62:N65" si="28">H62+I62</f>
        <v>16.212250000000001</v>
      </c>
      <c r="O62" s="2">
        <v>43</v>
      </c>
      <c r="P62">
        <f t="shared" ref="P62:P75" si="29">O62/H62</f>
        <v>6.7187919924499528</v>
      </c>
    </row>
    <row r="63" spans="2:18" x14ac:dyDescent="0.35">
      <c r="B63">
        <v>49.64</v>
      </c>
      <c r="C63">
        <v>54.473329999999997</v>
      </c>
      <c r="D63" s="2">
        <f>C63-B63</f>
        <v>4.8333299999999966</v>
      </c>
      <c r="E63" s="2"/>
      <c r="F63">
        <v>40.28002</v>
      </c>
      <c r="G63">
        <v>45.668300000000002</v>
      </c>
      <c r="H63" s="2">
        <f>G63-F63</f>
        <v>5.3882800000000017</v>
      </c>
      <c r="I63" s="2">
        <f>F64-G63</f>
        <v>16.525619999999996</v>
      </c>
      <c r="J63" s="2">
        <f t="shared" si="24"/>
        <v>0.24588411921200709</v>
      </c>
      <c r="K63" s="2">
        <f t="shared" si="25"/>
        <v>0.75411588078799285</v>
      </c>
      <c r="L63" s="2">
        <f t="shared" si="26"/>
        <v>0.18558797983772182</v>
      </c>
      <c r="M63" s="2">
        <f t="shared" si="27"/>
        <v>4.5633136958733958E-2</v>
      </c>
      <c r="N63" s="2">
        <f t="shared" si="28"/>
        <v>21.913899999999998</v>
      </c>
      <c r="O63" s="2">
        <v>37</v>
      </c>
      <c r="P63">
        <f t="shared" si="29"/>
        <v>6.8667552539957066</v>
      </c>
    </row>
    <row r="64" spans="2:18" x14ac:dyDescent="0.35">
      <c r="E64" s="2"/>
      <c r="F64">
        <v>62.193919999999999</v>
      </c>
      <c r="G64">
        <v>67.681929999999994</v>
      </c>
      <c r="H64" s="2">
        <f>G64-F64</f>
        <v>5.4880099999999956</v>
      </c>
      <c r="I64" s="2">
        <f>F65-G64</f>
        <v>9.4909099999999995</v>
      </c>
      <c r="J64" s="2">
        <f t="shared" si="24"/>
        <v>0.36638222248332974</v>
      </c>
      <c r="K64" s="2">
        <f t="shared" si="25"/>
        <v>0.63361777751667026</v>
      </c>
      <c r="L64" s="2">
        <f t="shared" si="26"/>
        <v>0.18221541141506681</v>
      </c>
      <c r="M64" s="2">
        <f t="shared" si="27"/>
        <v>6.676048740496647E-2</v>
      </c>
      <c r="N64" s="2">
        <f t="shared" si="28"/>
        <v>14.978919999999995</v>
      </c>
      <c r="O64" s="2">
        <v>41</v>
      </c>
      <c r="P64">
        <f t="shared" si="29"/>
        <v>7.470831868017739</v>
      </c>
    </row>
    <row r="65" spans="2:18" x14ac:dyDescent="0.35">
      <c r="B65">
        <v>86.984059999999999</v>
      </c>
      <c r="C65">
        <v>91.817409999999995</v>
      </c>
      <c r="D65" s="2">
        <f>C65-B65</f>
        <v>4.8333499999999958</v>
      </c>
      <c r="E65" s="2"/>
      <c r="F65">
        <v>77.172839999999994</v>
      </c>
      <c r="G65">
        <v>82.467389999999995</v>
      </c>
      <c r="H65" s="2">
        <f>G65-F65</f>
        <v>5.294550000000001</v>
      </c>
      <c r="I65" s="2">
        <f>F66-G65</f>
        <v>16.58954</v>
      </c>
      <c r="J65" s="2">
        <f t="shared" si="24"/>
        <v>0.24193603663666166</v>
      </c>
      <c r="K65" s="2">
        <f t="shared" si="25"/>
        <v>0.75806396336333837</v>
      </c>
      <c r="L65" s="2">
        <f t="shared" si="26"/>
        <v>0.18887346422264401</v>
      </c>
      <c r="M65" s="2">
        <f t="shared" si="27"/>
        <v>4.5695297359862802E-2</v>
      </c>
      <c r="N65" s="2">
        <f t="shared" si="28"/>
        <v>21.88409</v>
      </c>
      <c r="O65" s="2">
        <v>38</v>
      </c>
      <c r="P65">
        <f t="shared" si="29"/>
        <v>7.1771916404604719</v>
      </c>
    </row>
    <row r="66" spans="2:18" x14ac:dyDescent="0.35">
      <c r="E66" s="2"/>
      <c r="F66">
        <v>99.056929999999994</v>
      </c>
      <c r="G66">
        <v>104.27113</v>
      </c>
      <c r="H66" s="2">
        <f t="shared" ref="H66:H69" si="30">G66-F66</f>
        <v>5.2142000000000053</v>
      </c>
      <c r="I66" s="2">
        <f t="shared" ref="I66:I69" si="31">F67-G66</f>
        <v>8.9743299999999948</v>
      </c>
      <c r="J66" s="2">
        <f t="shared" ref="J66:J69" si="32">H66/N66</f>
        <v>0.36749402510337614</v>
      </c>
      <c r="K66" s="2">
        <f t="shared" ref="K66:K69" si="33">I66/N66</f>
        <v>0.63250597489662386</v>
      </c>
      <c r="L66" s="2">
        <f t="shared" ref="L66:L69" si="34">1/H66</f>
        <v>0.19178397453108798</v>
      </c>
      <c r="M66" s="2">
        <f t="shared" si="27"/>
        <v>7.0479464750752896E-2</v>
      </c>
      <c r="N66" s="2">
        <f t="shared" ref="N66:N69" si="35">H66+I66</f>
        <v>14.18853</v>
      </c>
      <c r="O66" s="2">
        <v>39</v>
      </c>
      <c r="P66">
        <f t="shared" si="29"/>
        <v>7.4795750067124311</v>
      </c>
    </row>
    <row r="67" spans="2:18" x14ac:dyDescent="0.35">
      <c r="D67" s="2"/>
      <c r="E67" s="2"/>
      <c r="F67">
        <v>113.24545999999999</v>
      </c>
      <c r="G67">
        <v>119.25353</v>
      </c>
      <c r="H67" s="2">
        <f t="shared" si="30"/>
        <v>6.0080700000000036</v>
      </c>
      <c r="I67" s="2">
        <f t="shared" si="31"/>
        <v>6.7191300000000069</v>
      </c>
      <c r="J67" s="2">
        <f t="shared" si="32"/>
        <v>0.47206534037337344</v>
      </c>
      <c r="K67" s="2">
        <f t="shared" si="33"/>
        <v>0.52793465962662656</v>
      </c>
      <c r="L67" s="2">
        <f t="shared" si="34"/>
        <v>0.16644280109918816</v>
      </c>
      <c r="M67" s="2">
        <f t="shared" si="27"/>
        <v>7.8571877553585953E-2</v>
      </c>
      <c r="N67" s="2">
        <f t="shared" si="35"/>
        <v>12.727200000000011</v>
      </c>
      <c r="O67" s="2">
        <v>40</v>
      </c>
      <c r="P67">
        <f t="shared" si="29"/>
        <v>6.6577120439675266</v>
      </c>
    </row>
    <row r="68" spans="2:18" x14ac:dyDescent="0.35">
      <c r="C68" s="2"/>
      <c r="E68" s="2"/>
      <c r="F68">
        <v>125.97266</v>
      </c>
      <c r="G68">
        <v>130.22772000000001</v>
      </c>
      <c r="H68" s="2">
        <f t="shared" si="30"/>
        <v>4.2550600000000003</v>
      </c>
      <c r="I68" s="2">
        <f t="shared" si="31"/>
        <v>9.5864100000000008</v>
      </c>
      <c r="J68" s="2">
        <f t="shared" si="32"/>
        <v>0.30741388017313187</v>
      </c>
      <c r="K68" s="2">
        <f t="shared" si="33"/>
        <v>0.69258611982686813</v>
      </c>
      <c r="L68" s="2">
        <f t="shared" si="34"/>
        <v>0.23501431237162343</v>
      </c>
      <c r="M68" s="2">
        <f t="shared" si="27"/>
        <v>7.2246661662381237E-2</v>
      </c>
      <c r="N68" s="2">
        <f t="shared" si="35"/>
        <v>13.841470000000001</v>
      </c>
      <c r="O68" s="2">
        <v>29</v>
      </c>
      <c r="P68">
        <f t="shared" si="29"/>
        <v>6.815415058777079</v>
      </c>
      <c r="R68" t="s">
        <v>889</v>
      </c>
    </row>
    <row r="69" spans="2:18" x14ac:dyDescent="0.35">
      <c r="D69" s="2"/>
      <c r="E69" s="2"/>
      <c r="F69">
        <v>139.81413000000001</v>
      </c>
      <c r="G69">
        <v>145.0343</v>
      </c>
      <c r="H69" s="2">
        <f t="shared" si="30"/>
        <v>5.220169999999996</v>
      </c>
      <c r="I69" s="2">
        <f t="shared" si="31"/>
        <v>7.5945000000000107</v>
      </c>
      <c r="J69" s="2">
        <f t="shared" si="32"/>
        <v>0.40735890974952871</v>
      </c>
      <c r="K69" s="2">
        <f t="shared" si="33"/>
        <v>0.59264109025047129</v>
      </c>
      <c r="L69" s="2">
        <f t="shared" si="34"/>
        <v>0.19156464253079894</v>
      </c>
      <c r="M69" s="2">
        <f t="shared" si="27"/>
        <v>7.8035563927904464E-2</v>
      </c>
      <c r="N69" s="2">
        <f t="shared" si="35"/>
        <v>12.814670000000007</v>
      </c>
      <c r="O69" s="2">
        <v>37</v>
      </c>
      <c r="P69">
        <f t="shared" si="29"/>
        <v>7.0878917736395612</v>
      </c>
    </row>
    <row r="70" spans="2:18" x14ac:dyDescent="0.35">
      <c r="D70" s="2"/>
      <c r="E70" s="2"/>
      <c r="F70">
        <v>152.62880000000001</v>
      </c>
      <c r="G70">
        <v>157.64927</v>
      </c>
      <c r="H70" s="2">
        <f t="shared" ref="H70:H75" si="36">G70-F70</f>
        <v>5.0204699999999889</v>
      </c>
      <c r="I70" s="2">
        <f t="shared" ref="I70:I74" si="37">F71-G70</f>
        <v>5.957429999999988</v>
      </c>
      <c r="J70" s="2">
        <f t="shared" ref="J70:J74" si="38">H70/N70</f>
        <v>0.45732517148088425</v>
      </c>
      <c r="K70" s="2">
        <f t="shared" ref="K70:K74" si="39">I70/N70</f>
        <v>0.54267482851911575</v>
      </c>
      <c r="L70" s="2">
        <f t="shared" ref="L70:L74" si="40">1/H70</f>
        <v>0.19918453849938397</v>
      </c>
      <c r="M70" s="2">
        <f t="shared" si="27"/>
        <v>9.1092103225571569E-2</v>
      </c>
      <c r="N70" s="2">
        <f t="shared" ref="N70:N74" si="41">H70+I70</f>
        <v>10.977899999999977</v>
      </c>
      <c r="O70" s="2">
        <v>29</v>
      </c>
      <c r="P70">
        <f t="shared" si="29"/>
        <v>5.7763516164821347</v>
      </c>
    </row>
    <row r="71" spans="2:18" x14ac:dyDescent="0.35">
      <c r="B71">
        <v>172.44128000000001</v>
      </c>
      <c r="C71">
        <v>177.27461</v>
      </c>
      <c r="D71" s="2">
        <f>C71-B71</f>
        <v>4.8333299999999895</v>
      </c>
      <c r="E71" s="2"/>
      <c r="F71">
        <v>163.60669999999999</v>
      </c>
      <c r="G71">
        <v>168.82983999999999</v>
      </c>
      <c r="H71" s="2">
        <f t="shared" si="36"/>
        <v>5.2231400000000008</v>
      </c>
      <c r="I71" s="2">
        <f t="shared" si="37"/>
        <v>14.571100000000001</v>
      </c>
      <c r="J71" s="2">
        <f t="shared" si="38"/>
        <v>0.26387171217485494</v>
      </c>
      <c r="K71" s="2">
        <f t="shared" si="39"/>
        <v>0.73612828782514506</v>
      </c>
      <c r="L71" s="2">
        <f t="shared" si="40"/>
        <v>0.19145571437870704</v>
      </c>
      <c r="M71" s="2">
        <f t="shared" si="27"/>
        <v>5.0519747158769411E-2</v>
      </c>
      <c r="N71" s="2">
        <f t="shared" si="41"/>
        <v>19.794240000000002</v>
      </c>
      <c r="O71" s="2">
        <v>34</v>
      </c>
      <c r="P71">
        <f t="shared" si="29"/>
        <v>6.5094942888760388</v>
      </c>
    </row>
    <row r="72" spans="2:18" x14ac:dyDescent="0.35">
      <c r="D72" s="2"/>
      <c r="E72" s="2"/>
      <c r="F72">
        <v>183.40093999999999</v>
      </c>
      <c r="G72">
        <v>188.82168999999999</v>
      </c>
      <c r="H72" s="2">
        <f t="shared" si="36"/>
        <v>5.4207499999999982</v>
      </c>
      <c r="I72" s="2">
        <f t="shared" si="37"/>
        <v>9.5617599999999925</v>
      </c>
      <c r="J72" s="2">
        <f t="shared" si="38"/>
        <v>0.36180519819442813</v>
      </c>
      <c r="K72" s="2">
        <f t="shared" si="39"/>
        <v>0.63819480180557187</v>
      </c>
      <c r="L72" s="2">
        <f t="shared" si="40"/>
        <v>0.18447631785269572</v>
      </c>
      <c r="M72" s="2">
        <f t="shared" si="27"/>
        <v>6.6744490742872892E-2</v>
      </c>
      <c r="N72" s="2">
        <f t="shared" si="41"/>
        <v>14.982509999999991</v>
      </c>
      <c r="O72" s="2">
        <v>40</v>
      </c>
      <c r="P72">
        <f t="shared" si="29"/>
        <v>7.3790527141078286</v>
      </c>
    </row>
    <row r="73" spans="2:18" x14ac:dyDescent="0.35">
      <c r="C73" s="2"/>
      <c r="D73" s="2"/>
      <c r="E73" s="2"/>
      <c r="F73">
        <v>198.38344999999998</v>
      </c>
      <c r="G73">
        <v>203.42883</v>
      </c>
      <c r="H73" s="2">
        <f t="shared" si="36"/>
        <v>5.0453800000000228</v>
      </c>
      <c r="I73" s="2">
        <f t="shared" si="37"/>
        <v>8.8233599999999797</v>
      </c>
      <c r="J73" s="2">
        <f t="shared" si="38"/>
        <v>0.3637951248635436</v>
      </c>
      <c r="K73" s="2">
        <f t="shared" si="39"/>
        <v>0.6362048751364564</v>
      </c>
      <c r="L73" s="2">
        <f t="shared" si="40"/>
        <v>0.19820112657520256</v>
      </c>
      <c r="M73" s="2">
        <f t="shared" si="27"/>
        <v>7.210460359052083E-2</v>
      </c>
      <c r="N73" s="2">
        <f t="shared" si="41"/>
        <v>13.868740000000003</v>
      </c>
      <c r="O73" s="2">
        <v>35</v>
      </c>
      <c r="P73">
        <f t="shared" si="29"/>
        <v>6.9370394301320895</v>
      </c>
    </row>
    <row r="74" spans="2:18" x14ac:dyDescent="0.35">
      <c r="B74">
        <v>221.78534000000002</v>
      </c>
      <c r="C74">
        <v>226.61874</v>
      </c>
      <c r="D74" s="2">
        <f>C74-B74</f>
        <v>4.8333999999999833</v>
      </c>
      <c r="E74" s="2"/>
      <c r="F74">
        <v>212.25218999999998</v>
      </c>
      <c r="G74">
        <v>217.42644999999999</v>
      </c>
      <c r="H74" s="2">
        <f t="shared" si="36"/>
        <v>5.1742600000000039</v>
      </c>
      <c r="I74" s="2">
        <f t="shared" si="37"/>
        <v>16.562240000000031</v>
      </c>
      <c r="J74" s="2">
        <f t="shared" si="38"/>
        <v>0.23804476341637318</v>
      </c>
      <c r="K74" s="2">
        <f t="shared" si="39"/>
        <v>0.76195523658362685</v>
      </c>
      <c r="L74" s="2">
        <f t="shared" si="40"/>
        <v>0.1932643508443718</v>
      </c>
      <c r="M74" s="2">
        <f t="shared" si="27"/>
        <v>4.6005566673567429E-2</v>
      </c>
      <c r="N74" s="2">
        <f t="shared" si="41"/>
        <v>21.736500000000035</v>
      </c>
      <c r="O74" s="2">
        <v>35</v>
      </c>
      <c r="P74">
        <f t="shared" si="29"/>
        <v>6.7642522795530136</v>
      </c>
    </row>
    <row r="75" spans="2:18" x14ac:dyDescent="0.35">
      <c r="D75" s="2"/>
      <c r="E75" s="2"/>
      <c r="F75">
        <v>233.98869000000002</v>
      </c>
      <c r="G75">
        <v>239.43752000000001</v>
      </c>
      <c r="H75" s="2">
        <f t="shared" si="36"/>
        <v>5.4488299999999867</v>
      </c>
      <c r="I75" s="2"/>
      <c r="J75" s="2"/>
      <c r="K75" s="2"/>
      <c r="L75" s="2"/>
      <c r="M75" s="2"/>
      <c r="N75" s="2"/>
      <c r="O75" s="2">
        <v>40</v>
      </c>
      <c r="P75">
        <f t="shared" si="29"/>
        <v>7.3410255045578774</v>
      </c>
    </row>
    <row r="76" spans="2:18" x14ac:dyDescent="0.35">
      <c r="C76" s="2"/>
      <c r="E76" s="2"/>
      <c r="H76" s="2"/>
      <c r="I76" s="2"/>
      <c r="J76" s="2"/>
      <c r="K76" s="2"/>
      <c r="L76" s="2"/>
      <c r="M76" s="2"/>
      <c r="N76" s="2"/>
      <c r="O76" s="2"/>
    </row>
    <row r="77" spans="2:18" x14ac:dyDescent="0.35">
      <c r="C77" s="2"/>
      <c r="D77" s="2"/>
      <c r="E77" s="2"/>
      <c r="H77" s="2"/>
      <c r="I77" s="2"/>
      <c r="J77" s="2"/>
      <c r="K77" s="2"/>
      <c r="L77" s="2"/>
      <c r="M77" s="2"/>
      <c r="N77" s="2"/>
      <c r="O77" s="2"/>
    </row>
    <row r="78" spans="2:18" x14ac:dyDescent="0.35">
      <c r="C78" s="2"/>
      <c r="D78" s="2"/>
      <c r="E78" s="2"/>
      <c r="H78" s="2"/>
      <c r="I78" s="2"/>
      <c r="J78" s="2"/>
      <c r="K78" s="2"/>
      <c r="L78" s="2"/>
      <c r="M78" s="2"/>
      <c r="N78" s="2"/>
      <c r="O78" s="2"/>
    </row>
    <row r="79" spans="2:18" x14ac:dyDescent="0.35">
      <c r="C79" s="2"/>
      <c r="D79" s="2"/>
      <c r="E79" s="2"/>
      <c r="H79" s="2"/>
      <c r="I79" s="2"/>
      <c r="J79" s="2"/>
      <c r="K79" s="2"/>
      <c r="L79" s="2"/>
      <c r="M79" s="2"/>
      <c r="N79" s="2"/>
      <c r="O79" s="2"/>
    </row>
    <row r="80" spans="2:18" ht="16" thickBot="1" x14ac:dyDescent="0.4">
      <c r="C80" s="2"/>
      <c r="E80" s="104" t="s">
        <v>78</v>
      </c>
      <c r="G80" s="13"/>
      <c r="H80" s="9" t="s">
        <v>3</v>
      </c>
      <c r="I80" s="9" t="s">
        <v>4</v>
      </c>
      <c r="J80" s="9" t="s">
        <v>5</v>
      </c>
      <c r="K80" s="9" t="s">
        <v>6</v>
      </c>
      <c r="L80" s="9" t="s">
        <v>7</v>
      </c>
      <c r="M80" s="9" t="s">
        <v>8</v>
      </c>
      <c r="N80" s="9" t="s">
        <v>9</v>
      </c>
      <c r="O80" s="9" t="s">
        <v>10</v>
      </c>
      <c r="P80" s="44" t="s">
        <v>139</v>
      </c>
    </row>
    <row r="81" spans="3:16" x14ac:dyDescent="0.35">
      <c r="C81" s="2"/>
      <c r="G81" s="49" t="s">
        <v>77</v>
      </c>
      <c r="H81" s="13">
        <f>AVERAGE(H61:H62,H64,H66:H70,H72:H73,)</f>
        <v>4.8412081818181827</v>
      </c>
      <c r="I81" s="13">
        <f t="shared" ref="I81:P81" si="42">AVERAGE(I61:I62,I64,I66:I70,I72:I73,)</f>
        <v>8.1380336363636339</v>
      </c>
      <c r="J81" s="13">
        <f t="shared" si="42"/>
        <v>0.34394586659790138</v>
      </c>
      <c r="K81" s="13">
        <f t="shared" si="42"/>
        <v>0.56514504249300757</v>
      </c>
      <c r="L81" s="13">
        <f t="shared" si="42"/>
        <v>0.17255807616180735</v>
      </c>
      <c r="M81" s="13">
        <f t="shared" si="42"/>
        <v>6.4793100911043608E-2</v>
      </c>
      <c r="N81" s="13">
        <f t="shared" si="42"/>
        <v>12.979241818181817</v>
      </c>
      <c r="O81" s="13">
        <f t="shared" si="42"/>
        <v>33.909090909090907</v>
      </c>
      <c r="P81" s="13">
        <f t="shared" si="42"/>
        <v>6.3675319052486836</v>
      </c>
    </row>
    <row r="82" spans="3:16" x14ac:dyDescent="0.35">
      <c r="C82" s="2"/>
      <c r="G82" s="49" t="s">
        <v>94</v>
      </c>
      <c r="H82" s="2">
        <f>_xlfn.STDEV.S(H61:H62,H64,H66:H70,H72:H73)</f>
        <v>0.57903166224022184</v>
      </c>
      <c r="I82" s="2">
        <f t="shared" ref="I82:P82" si="43">_xlfn.STDEV.S(I61:I62,I64,I66:I70,I72:I73)</f>
        <v>1.943363522493071</v>
      </c>
      <c r="J82" s="2">
        <f t="shared" si="43"/>
        <v>5.8331001981984515E-2</v>
      </c>
      <c r="K82" s="2">
        <f t="shared" si="43"/>
        <v>5.8331001981984112E-2</v>
      </c>
      <c r="L82" s="2">
        <f t="shared" si="43"/>
        <v>2.1021851987110454E-2</v>
      </c>
      <c r="M82" s="2">
        <f t="shared" si="43"/>
        <v>9.9527414744938255E-3</v>
      </c>
      <c r="N82" s="2">
        <f t="shared" si="43"/>
        <v>1.9931393401320965</v>
      </c>
      <c r="O82" s="2">
        <f t="shared" si="43"/>
        <v>4.8773854562551167</v>
      </c>
      <c r="P82" s="2">
        <f t="shared" si="43"/>
        <v>0.56304331549153253</v>
      </c>
    </row>
    <row r="83" spans="3:16" x14ac:dyDescent="0.35">
      <c r="C83" s="2"/>
      <c r="G83" s="49" t="s">
        <v>95</v>
      </c>
      <c r="H83" s="2">
        <f>H82/(SQRT(COUNT(H61:H62,H64,H66:H70,H72:H73)))</f>
        <v>0.1831058890032416</v>
      </c>
      <c r="I83" s="2">
        <f t="shared" ref="I83:P83" si="44">I82/(SQRT(COUNT(I61:I62,I64,I66:I70,I72:I73)))</f>
        <v>0.61454550527659679</v>
      </c>
      <c r="J83" s="2">
        <f t="shared" si="44"/>
        <v>1.8445882446286709E-2</v>
      </c>
      <c r="K83" s="2">
        <f t="shared" si="44"/>
        <v>1.8445882446286581E-2</v>
      </c>
      <c r="L83" s="2">
        <f t="shared" si="44"/>
        <v>6.6476932914205636E-3</v>
      </c>
      <c r="M83" s="2">
        <f t="shared" si="44"/>
        <v>3.1473332022223118E-3</v>
      </c>
      <c r="N83" s="2">
        <f t="shared" si="44"/>
        <v>0.63028600089024733</v>
      </c>
      <c r="O83" s="2">
        <f t="shared" si="44"/>
        <v>1.5423647068345712</v>
      </c>
      <c r="P83" s="2">
        <f t="shared" si="44"/>
        <v>0.17804992982860099</v>
      </c>
    </row>
    <row r="84" spans="3:16" x14ac:dyDescent="0.35">
      <c r="C84" s="2"/>
    </row>
    <row r="85" spans="3:16" x14ac:dyDescent="0.35">
      <c r="C85" s="2"/>
    </row>
    <row r="86" spans="3:16" ht="16" thickBot="1" x14ac:dyDescent="0.4">
      <c r="C86" s="2"/>
      <c r="E86" s="104" t="s">
        <v>20</v>
      </c>
      <c r="G86" s="13"/>
      <c r="H86" s="9" t="s">
        <v>3</v>
      </c>
      <c r="I86" s="9" t="s">
        <v>4</v>
      </c>
      <c r="J86" s="9" t="s">
        <v>5</v>
      </c>
      <c r="K86" s="9" t="s">
        <v>6</v>
      </c>
      <c r="L86" s="9" t="s">
        <v>7</v>
      </c>
      <c r="M86" s="9" t="s">
        <v>8</v>
      </c>
      <c r="N86" s="9" t="s">
        <v>9</v>
      </c>
      <c r="O86" s="9" t="s">
        <v>10</v>
      </c>
      <c r="P86" s="44" t="s">
        <v>139</v>
      </c>
    </row>
    <row r="87" spans="3:16" x14ac:dyDescent="0.35">
      <c r="G87" s="49" t="s">
        <v>77</v>
      </c>
      <c r="H87" s="13">
        <f>AVERAGE(H63,H65,H71,H74)</f>
        <v>5.2700575000000018</v>
      </c>
      <c r="I87" s="13">
        <f t="shared" ref="I87:P87" si="45">AVERAGE(I63,I65,I71,I74)</f>
        <v>16.062125000000009</v>
      </c>
      <c r="J87" s="13">
        <f t="shared" si="45"/>
        <v>0.24743415785997422</v>
      </c>
      <c r="K87" s="13">
        <f t="shared" si="45"/>
        <v>0.75256584214002575</v>
      </c>
      <c r="L87" s="13">
        <f t="shared" si="45"/>
        <v>0.18979537732086116</v>
      </c>
      <c r="M87" s="13">
        <f t="shared" si="45"/>
        <v>4.6963437037733397E-2</v>
      </c>
      <c r="N87" s="13">
        <f t="shared" si="45"/>
        <v>21.332182500000009</v>
      </c>
      <c r="O87" s="13">
        <f t="shared" si="45"/>
        <v>36</v>
      </c>
      <c r="P87" s="13">
        <f t="shared" si="45"/>
        <v>6.8294233657213077</v>
      </c>
    </row>
    <row r="88" spans="3:16" x14ac:dyDescent="0.35">
      <c r="G88" s="49" t="s">
        <v>94</v>
      </c>
      <c r="H88" s="2">
        <f>_xlfn.STDEV.S(H63,H65,H71,H74)</f>
        <v>9.3014075771716137E-2</v>
      </c>
      <c r="I88" s="2">
        <f t="shared" ref="I88:P88" si="46">_xlfn.STDEV.S(I63,I65,I71,I74)</f>
        <v>0.99436156420422572</v>
      </c>
      <c r="J88" s="2">
        <f t="shared" si="46"/>
        <v>1.1416156338987475E-2</v>
      </c>
      <c r="K88" s="2">
        <f t="shared" si="46"/>
        <v>1.1416156338987486E-2</v>
      </c>
      <c r="L88" s="2">
        <f t="shared" si="46"/>
        <v>3.333797324086838E-3</v>
      </c>
      <c r="M88" s="2">
        <f t="shared" si="46"/>
        <v>2.3764633284432198E-3</v>
      </c>
      <c r="N88" s="2">
        <f t="shared" si="46"/>
        <v>1.0282245073385838</v>
      </c>
      <c r="O88" s="2">
        <f t="shared" si="46"/>
        <v>1.8257418583505538</v>
      </c>
      <c r="P88" s="2">
        <f t="shared" si="46"/>
        <v>0.2762476711700379</v>
      </c>
    </row>
    <row r="89" spans="3:16" x14ac:dyDescent="0.35">
      <c r="G89" s="49" t="s">
        <v>95</v>
      </c>
      <c r="H89" s="2">
        <f>H88/(SQRT(COUNT(H63,H65,H71,H74)))</f>
        <v>4.6507037885858069E-2</v>
      </c>
      <c r="I89" s="2">
        <f t="shared" ref="I89:P89" si="47">I88/(SQRT(COUNT(I63,I65,I71,I74)))</f>
        <v>0.49718078210211286</v>
      </c>
      <c r="J89" s="2">
        <f t="shared" si="47"/>
        <v>5.7080781694937377E-3</v>
      </c>
      <c r="K89" s="2">
        <f t="shared" si="47"/>
        <v>5.7080781694937429E-3</v>
      </c>
      <c r="L89" s="2">
        <f t="shared" si="47"/>
        <v>1.666898662043419E-3</v>
      </c>
      <c r="M89" s="2">
        <f t="shared" si="47"/>
        <v>1.1882316642216099E-3</v>
      </c>
      <c r="N89" s="2">
        <f t="shared" si="47"/>
        <v>0.51411225366929192</v>
      </c>
      <c r="O89" s="2">
        <f t="shared" si="47"/>
        <v>0.9128709291752769</v>
      </c>
      <c r="P89" s="2">
        <f t="shared" si="47"/>
        <v>0.13812383558501895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62"/>
  <sheetViews>
    <sheetView workbookViewId="0">
      <selection activeCell="J33" sqref="J33"/>
    </sheetView>
  </sheetViews>
  <sheetFormatPr defaultRowHeight="14.5" x14ac:dyDescent="0.35"/>
  <cols>
    <col min="3" max="3" width="9.1796875" style="104"/>
    <col min="4" max="4" width="9.1796875" style="85"/>
    <col min="5" max="5" width="10.26953125" customWidth="1"/>
    <col min="16" max="16" width="9.1796875" style="85"/>
  </cols>
  <sheetData>
    <row r="2" spans="1:28" x14ac:dyDescent="0.35">
      <c r="D2" s="104" t="s">
        <v>0</v>
      </c>
      <c r="P2" s="104" t="s">
        <v>91</v>
      </c>
    </row>
    <row r="3" spans="1:28" x14ac:dyDescent="0.35">
      <c r="A3" t="s">
        <v>96</v>
      </c>
      <c r="D3" s="85" t="s">
        <v>3</v>
      </c>
      <c r="E3" t="s">
        <v>4</v>
      </c>
      <c r="F3" t="s">
        <v>5</v>
      </c>
      <c r="G3" t="s">
        <v>6</v>
      </c>
      <c r="H3" t="s">
        <v>7</v>
      </c>
      <c r="I3" t="s">
        <v>8</v>
      </c>
      <c r="J3" t="s">
        <v>9</v>
      </c>
      <c r="K3" t="s">
        <v>10</v>
      </c>
      <c r="L3" t="s">
        <v>297</v>
      </c>
      <c r="P3" s="85" t="s">
        <v>3</v>
      </c>
      <c r="Q3" t="s">
        <v>4</v>
      </c>
      <c r="R3" t="s">
        <v>5</v>
      </c>
      <c r="S3" t="s">
        <v>6</v>
      </c>
      <c r="T3" t="s">
        <v>7</v>
      </c>
      <c r="U3" t="s">
        <v>8</v>
      </c>
      <c r="V3" t="s">
        <v>9</v>
      </c>
      <c r="W3" t="s">
        <v>10</v>
      </c>
      <c r="X3" t="s">
        <v>297</v>
      </c>
    </row>
    <row r="4" spans="1:28" x14ac:dyDescent="0.35">
      <c r="A4">
        <v>1</v>
      </c>
      <c r="C4" s="104" t="s">
        <v>97</v>
      </c>
      <c r="D4" s="85">
        <v>6</v>
      </c>
      <c r="E4">
        <v>9</v>
      </c>
      <c r="F4">
        <f>D4/J4</f>
        <v>0.4</v>
      </c>
      <c r="G4">
        <f>E4/J4</f>
        <v>0.6</v>
      </c>
      <c r="H4">
        <f>1/D4</f>
        <v>0.16666666666666666</v>
      </c>
      <c r="I4">
        <f>1/J4</f>
        <v>6.6666666666666666E-2</v>
      </c>
      <c r="J4">
        <v>15</v>
      </c>
      <c r="K4">
        <v>35</v>
      </c>
      <c r="L4">
        <f>K4/D4</f>
        <v>5.833333333333333</v>
      </c>
      <c r="P4" s="85">
        <v>6</v>
      </c>
      <c r="Q4">
        <v>5</v>
      </c>
      <c r="R4">
        <f>P4/V4</f>
        <v>0.54545454545454541</v>
      </c>
      <c r="S4">
        <f>Q4/V4</f>
        <v>0.45454545454545453</v>
      </c>
      <c r="T4">
        <f>1/P4</f>
        <v>0.16666666666666666</v>
      </c>
      <c r="U4">
        <f>1/V4</f>
        <v>9.0909090909090912E-2</v>
      </c>
      <c r="V4">
        <v>11</v>
      </c>
      <c r="W4">
        <v>39</v>
      </c>
      <c r="X4">
        <f>W4/P4</f>
        <v>6.5</v>
      </c>
      <c r="Z4" t="s">
        <v>98</v>
      </c>
      <c r="AB4" s="104"/>
    </row>
    <row r="5" spans="1:28" x14ac:dyDescent="0.35">
      <c r="A5">
        <v>1</v>
      </c>
      <c r="C5" s="104" t="s">
        <v>99</v>
      </c>
      <c r="D5" s="85">
        <v>5</v>
      </c>
      <c r="E5">
        <v>6.5</v>
      </c>
      <c r="F5">
        <f t="shared" ref="F5:F18" si="0">D5/J5</f>
        <v>0.43478260869565216</v>
      </c>
      <c r="G5">
        <f t="shared" ref="G5:G18" si="1">E5/J5</f>
        <v>0.56521739130434778</v>
      </c>
      <c r="H5">
        <f t="shared" ref="H5:H18" si="2">1/D5</f>
        <v>0.2</v>
      </c>
      <c r="I5">
        <f t="shared" ref="I5:I18" si="3">1/J5</f>
        <v>8.6956521739130432E-2</v>
      </c>
      <c r="J5">
        <v>11.5</v>
      </c>
      <c r="K5">
        <v>23</v>
      </c>
      <c r="L5">
        <f>K5/D5</f>
        <v>4.5999999999999996</v>
      </c>
      <c r="P5" s="85">
        <v>4.5</v>
      </c>
      <c r="Q5">
        <v>5.5</v>
      </c>
      <c r="R5">
        <f t="shared" ref="R5:R18" si="4">P5/V5</f>
        <v>0.45</v>
      </c>
      <c r="S5">
        <f t="shared" ref="S5:S18" si="5">Q5/V5</f>
        <v>0.55000000000000004</v>
      </c>
      <c r="T5">
        <f t="shared" ref="T5:T18" si="6">1/P5</f>
        <v>0.22222222222222221</v>
      </c>
      <c r="U5">
        <f t="shared" ref="U5:U18" si="7">1/V5</f>
        <v>0.1</v>
      </c>
      <c r="V5">
        <v>10</v>
      </c>
      <c r="W5">
        <v>25</v>
      </c>
      <c r="X5">
        <f>W5/P5</f>
        <v>5.5555555555555554</v>
      </c>
      <c r="Z5" t="s">
        <v>98</v>
      </c>
      <c r="AB5" s="104"/>
    </row>
    <row r="6" spans="1:28" x14ac:dyDescent="0.35">
      <c r="A6">
        <v>2</v>
      </c>
      <c r="C6" s="104" t="s">
        <v>100</v>
      </c>
      <c r="D6" s="85">
        <v>4.906115263157897</v>
      </c>
      <c r="E6">
        <v>7.4386199999999967</v>
      </c>
      <c r="F6">
        <v>0.39811552884030627</v>
      </c>
      <c r="G6">
        <v>0.60188447115969379</v>
      </c>
      <c r="H6">
        <v>0.20408691786475538</v>
      </c>
      <c r="I6">
        <v>8.1262850694811858E-2</v>
      </c>
      <c r="J6">
        <v>12.344735263157895</v>
      </c>
      <c r="K6">
        <v>21.315789473684209</v>
      </c>
      <c r="L6">
        <v>4.3409476543283558</v>
      </c>
      <c r="P6" s="85">
        <v>4.733726400000001</v>
      </c>
      <c r="Q6">
        <v>4.5250251999999991</v>
      </c>
      <c r="R6">
        <v>0.51101686484186004</v>
      </c>
      <c r="S6">
        <v>0.48898313515813996</v>
      </c>
      <c r="T6">
        <v>0.21453387126036791</v>
      </c>
      <c r="U6">
        <v>0.10876569389735408</v>
      </c>
      <c r="V6">
        <v>9.2587516000000001</v>
      </c>
      <c r="W6">
        <v>23.56</v>
      </c>
      <c r="X6">
        <v>4.9965607635987199</v>
      </c>
      <c r="Z6" t="s">
        <v>98</v>
      </c>
      <c r="AB6" s="104"/>
    </row>
    <row r="7" spans="1:28" x14ac:dyDescent="0.35">
      <c r="A7">
        <v>2</v>
      </c>
      <c r="C7" s="104" t="s">
        <v>101</v>
      </c>
      <c r="D7" s="85">
        <v>9.29450111111111</v>
      </c>
      <c r="E7">
        <v>12.871521666666668</v>
      </c>
      <c r="F7">
        <v>0.42116031768274703</v>
      </c>
      <c r="G7">
        <v>0.57883968231725302</v>
      </c>
      <c r="H7">
        <v>0.10884065155504366</v>
      </c>
      <c r="I7">
        <v>4.5417750253400155E-2</v>
      </c>
      <c r="J7">
        <v>22.166022777777776</v>
      </c>
      <c r="K7">
        <v>53.611111111111114</v>
      </c>
      <c r="L7">
        <v>5.7554270742145031</v>
      </c>
      <c r="P7" s="85">
        <v>12.222094444444444</v>
      </c>
      <c r="Q7">
        <v>13.243845555555557</v>
      </c>
      <c r="R7">
        <v>0.47787771331082152</v>
      </c>
      <c r="S7">
        <v>0.52212228668917848</v>
      </c>
      <c r="T7">
        <v>8.3870225796311856E-2</v>
      </c>
      <c r="U7">
        <v>3.955900072871546E-2</v>
      </c>
      <c r="V7">
        <v>25.465940000000003</v>
      </c>
      <c r="W7">
        <v>70.444444444444443</v>
      </c>
      <c r="X7">
        <v>5.7889674852610895</v>
      </c>
      <c r="Z7" t="s">
        <v>102</v>
      </c>
      <c r="AB7" s="104"/>
    </row>
    <row r="8" spans="1:28" x14ac:dyDescent="0.35">
      <c r="A8">
        <v>2</v>
      </c>
      <c r="C8" s="104" t="s">
        <v>103</v>
      </c>
      <c r="D8" s="85">
        <v>4.0299036363636338</v>
      </c>
      <c r="E8">
        <v>6.2065981818181832</v>
      </c>
      <c r="F8">
        <v>0.4075938241767304</v>
      </c>
      <c r="G8">
        <v>0.5924061758232696</v>
      </c>
      <c r="H8">
        <v>0.2600191265046799</v>
      </c>
      <c r="I8">
        <v>0.10097039531931767</v>
      </c>
      <c r="J8">
        <v>10.23650181818182</v>
      </c>
      <c r="K8">
        <v>20.272727272727273</v>
      </c>
      <c r="L8">
        <v>4.9995654273219321</v>
      </c>
      <c r="P8" s="85">
        <v>4.4356980952380969</v>
      </c>
      <c r="Q8">
        <v>6.6493071428571415</v>
      </c>
      <c r="R8">
        <v>0.40006793374280569</v>
      </c>
      <c r="S8">
        <v>0.5999320662571942</v>
      </c>
      <c r="T8">
        <v>0.27550088024058184</v>
      </c>
      <c r="U8">
        <v>9.2411952309628481E-2</v>
      </c>
      <c r="V8">
        <v>11.085005238095238</v>
      </c>
      <c r="W8">
        <v>25.761904761904763</v>
      </c>
      <c r="X8">
        <v>6.0545987455979047</v>
      </c>
      <c r="Z8" t="s">
        <v>104</v>
      </c>
      <c r="AB8" s="104"/>
    </row>
    <row r="9" spans="1:28" x14ac:dyDescent="0.35">
      <c r="A9" t="s">
        <v>105</v>
      </c>
      <c r="C9" s="104" t="s">
        <v>106</v>
      </c>
      <c r="D9" s="85">
        <f>AVERAGE(5.37,3.06,4.47,3.09)</f>
        <v>3.9974999999999996</v>
      </c>
      <c r="E9">
        <f>AVERAGE(5.74,6.89,5.82,6.11)</f>
        <v>6.14</v>
      </c>
      <c r="F9">
        <f t="shared" si="0"/>
        <v>0.39481481481481479</v>
      </c>
      <c r="G9">
        <f>E9/J9</f>
        <v>0.60641975308641971</v>
      </c>
      <c r="H9">
        <f t="shared" si="2"/>
        <v>0.25015634771732337</v>
      </c>
      <c r="I9">
        <f t="shared" si="3"/>
        <v>9.8765432098765427E-2</v>
      </c>
      <c r="J9">
        <f>AVERAGE(11.13,9.93,10.27,9.17)</f>
        <v>10.125</v>
      </c>
      <c r="K9">
        <f>AVERAGE(21,12,16,12)</f>
        <v>15.25</v>
      </c>
      <c r="L9">
        <f t="shared" ref="L9:L18" si="8">K9/D9</f>
        <v>3.814884302689181</v>
      </c>
      <c r="P9" s="85">
        <f>AVERAGE(3.55,1.64,3.68,2.94,2.55)</f>
        <v>2.8719999999999999</v>
      </c>
      <c r="Q9">
        <f>AVERAGE(1.7,6.83,6.42,5.62,6.68)</f>
        <v>5.45</v>
      </c>
      <c r="R9">
        <f t="shared" si="4"/>
        <v>0.33724753405354624</v>
      </c>
      <c r="S9">
        <f t="shared" si="5"/>
        <v>0.63997181775481449</v>
      </c>
      <c r="T9">
        <f t="shared" si="6"/>
        <v>0.34818941504178275</v>
      </c>
      <c r="U9">
        <f t="shared" si="7"/>
        <v>0.11742602160638797</v>
      </c>
      <c r="V9">
        <f>AVERAGE(5.25,8.47,10.07,8.56,10.23)</f>
        <v>8.516</v>
      </c>
      <c r="W9">
        <f>AVERAGE(15,6,14,12,15)</f>
        <v>12.4</v>
      </c>
      <c r="X9">
        <f t="shared" ref="X9:X18" si="9">W9/P9</f>
        <v>4.3175487465181064</v>
      </c>
      <c r="Z9" t="s">
        <v>98</v>
      </c>
      <c r="AB9" s="104"/>
    </row>
    <row r="10" spans="1:28" x14ac:dyDescent="0.35">
      <c r="A10" t="s">
        <v>105</v>
      </c>
      <c r="C10" s="104" t="s">
        <v>107</v>
      </c>
      <c r="D10" s="85">
        <f>AVERAGE(2.85,3.36,3.15,3.36)</f>
        <v>3.1799999999999997</v>
      </c>
      <c r="E10">
        <f>AVERAGE(6.63,6.58,6.69,6.45)</f>
        <v>6.5875000000000004</v>
      </c>
      <c r="F10">
        <f t="shared" si="0"/>
        <v>0.32300660233621126</v>
      </c>
      <c r="G10">
        <f t="shared" si="1"/>
        <v>0.66912138141188426</v>
      </c>
      <c r="H10">
        <f t="shared" si="2"/>
        <v>0.31446540880503149</v>
      </c>
      <c r="I10">
        <f t="shared" si="3"/>
        <v>0.10157440325038092</v>
      </c>
      <c r="J10">
        <f>AVERAGE(9.84,9.93,9.84,9.77)</f>
        <v>9.8449999999999989</v>
      </c>
      <c r="K10">
        <f>AVERAGE(20,21,18,21)</f>
        <v>20</v>
      </c>
      <c r="L10">
        <f t="shared" si="8"/>
        <v>6.2893081761006293</v>
      </c>
      <c r="P10" s="85">
        <f>AVERAGE(4.23,3.87,4.02,4.09)</f>
        <v>4.0525000000000002</v>
      </c>
      <c r="Q10">
        <f>AVERAGE(5.24,3.89,4.75,4.53)</f>
        <v>4.6025</v>
      </c>
      <c r="R10">
        <f t="shared" si="4"/>
        <v>0.468768074031232</v>
      </c>
      <c r="S10">
        <f t="shared" si="5"/>
        <v>0.53238866396761142</v>
      </c>
      <c r="T10">
        <f t="shared" si="6"/>
        <v>0.24676125848241826</v>
      </c>
      <c r="U10">
        <f t="shared" si="7"/>
        <v>0.1156737998843262</v>
      </c>
      <c r="V10">
        <f>AVERAGE(9.47,7.74,8.75,8.62)</f>
        <v>8.6449999999999996</v>
      </c>
      <c r="W10">
        <f>AVERAGE(30,22,26,26)</f>
        <v>26</v>
      </c>
      <c r="X10">
        <f t="shared" si="9"/>
        <v>6.4157927205428749</v>
      </c>
      <c r="Z10" t="s">
        <v>108</v>
      </c>
      <c r="AB10" s="104"/>
    </row>
    <row r="11" spans="1:28" x14ac:dyDescent="0.35">
      <c r="A11" t="s">
        <v>109</v>
      </c>
      <c r="C11" s="104" t="s">
        <v>110</v>
      </c>
      <c r="D11" s="85">
        <f>AVERAGE(7.33,7.34,7.12)</f>
        <v>7.2633333333333328</v>
      </c>
      <c r="E11">
        <f>AVERAGE(5.66,5.71,5.82)</f>
        <v>5.73</v>
      </c>
      <c r="F11">
        <f t="shared" si="0"/>
        <v>0.56001028013364174</v>
      </c>
      <c r="G11">
        <f t="shared" si="1"/>
        <v>0.44178874325366235</v>
      </c>
      <c r="H11">
        <f t="shared" si="2"/>
        <v>0.13767783386874713</v>
      </c>
      <c r="I11">
        <f t="shared" si="3"/>
        <v>7.7101002313030076E-2</v>
      </c>
      <c r="J11">
        <f>AVERAGE(12.94,13.02,12.95)</f>
        <v>12.969999999999999</v>
      </c>
      <c r="K11">
        <f>AVERAGE(44,43,44)</f>
        <v>43.666666666666664</v>
      </c>
      <c r="L11">
        <f t="shared" si="8"/>
        <v>6.0119320789352919</v>
      </c>
      <c r="P11" s="85">
        <f>AVERAGE(6.43,6.36,7.47,4.96,5.52)</f>
        <v>6.1479999999999997</v>
      </c>
      <c r="Q11">
        <f>AVERAGE(6.82,6.75,5.78,6.64,8.5)</f>
        <v>6.8980000000000006</v>
      </c>
      <c r="R11">
        <f t="shared" si="4"/>
        <v>0.4716894276507595</v>
      </c>
      <c r="S11">
        <f t="shared" si="5"/>
        <v>0.52923124136872801</v>
      </c>
      <c r="T11">
        <f t="shared" si="6"/>
        <v>0.16265452179570594</v>
      </c>
      <c r="U11">
        <f t="shared" si="7"/>
        <v>7.6722418290624511E-2</v>
      </c>
      <c r="V11">
        <f>AVERAGE(13.22,13.08,13.25,11.6,14.02)</f>
        <v>13.034000000000001</v>
      </c>
      <c r="W11">
        <f>AVERAGE(37,35,44,28)</f>
        <v>36</v>
      </c>
      <c r="X11">
        <f t="shared" si="9"/>
        <v>5.8555627846454135</v>
      </c>
      <c r="Z11" t="s">
        <v>111</v>
      </c>
      <c r="AB11" s="104"/>
    </row>
    <row r="12" spans="1:28" x14ac:dyDescent="0.35">
      <c r="A12">
        <v>2</v>
      </c>
      <c r="C12" s="104" t="s">
        <v>112</v>
      </c>
      <c r="D12" s="85">
        <f>AVERAGE(4.53,4.56,4.31,4.58,4.31)</f>
        <v>4.4579999999999993</v>
      </c>
      <c r="E12">
        <f>AVERAGE(11.12,6.68,9.91,6.52,9.79)</f>
        <v>8.8039999999999985</v>
      </c>
      <c r="F12">
        <f t="shared" si="0"/>
        <v>0.33630054315027152</v>
      </c>
      <c r="G12">
        <f t="shared" si="1"/>
        <v>0.66415208207604093</v>
      </c>
      <c r="H12">
        <f t="shared" si="2"/>
        <v>0.22431583669807093</v>
      </c>
      <c r="I12">
        <f t="shared" si="3"/>
        <v>7.5437537718768863E-2</v>
      </c>
      <c r="J12">
        <f>AVERAGE(15.62,11.19,14.25,11.1,14.12)</f>
        <v>13.256</v>
      </c>
      <c r="K12">
        <f>AVERAGE(24,25,23,26,24)</f>
        <v>24.4</v>
      </c>
      <c r="L12">
        <f t="shared" si="8"/>
        <v>5.4733064154329298</v>
      </c>
      <c r="P12" s="85">
        <f>AVERAGE(4.83,3.89,4.97,4.86,5.24)</f>
        <v>4.758</v>
      </c>
      <c r="Q12">
        <f>AVERAGE(6.15,7.05,5.84,6.04,5.69)</f>
        <v>6.1539999999999999</v>
      </c>
      <c r="R12">
        <f t="shared" si="4"/>
        <v>0.43683437385236873</v>
      </c>
      <c r="S12">
        <f t="shared" si="5"/>
        <v>0.5650018362100625</v>
      </c>
      <c r="T12">
        <f t="shared" si="6"/>
        <v>0.2101723413198823</v>
      </c>
      <c r="U12">
        <f t="shared" si="7"/>
        <v>9.1810503121557113E-2</v>
      </c>
      <c r="V12">
        <f>AVERAGE(10.83,10.94,10.84,10.92,10.93)</f>
        <v>10.891999999999999</v>
      </c>
      <c r="W12">
        <f>AVERAGE(31,27,34,29,34)</f>
        <v>31</v>
      </c>
      <c r="X12">
        <f t="shared" si="9"/>
        <v>6.515342580916351</v>
      </c>
      <c r="Z12" t="s">
        <v>98</v>
      </c>
      <c r="AB12" s="104"/>
    </row>
    <row r="13" spans="1:28" x14ac:dyDescent="0.35">
      <c r="A13">
        <v>2</v>
      </c>
      <c r="C13" s="104" t="s">
        <v>113</v>
      </c>
      <c r="D13" s="85">
        <f>AVERAGE(2.9,4.48,3.59,3.25,3.58)</f>
        <v>3.56</v>
      </c>
      <c r="E13">
        <f>AVERAGE(8.8,11.91,7.34,12.04,7.39)</f>
        <v>9.4960000000000004</v>
      </c>
      <c r="F13">
        <f t="shared" si="0"/>
        <v>0.27338350483796653</v>
      </c>
      <c r="G13">
        <f t="shared" si="1"/>
        <v>0.72922746121947479</v>
      </c>
      <c r="H13">
        <f t="shared" si="2"/>
        <v>0.2808988764044944</v>
      </c>
      <c r="I13">
        <f t="shared" si="3"/>
        <v>7.6793119336507454E-2</v>
      </c>
      <c r="J13">
        <f>AVERAGE(11.7,16.31,10.89,15.24,10.97)</f>
        <v>13.022</v>
      </c>
      <c r="K13">
        <f>AVERAGE(10,13,12,10,11)</f>
        <v>11.2</v>
      </c>
      <c r="L13">
        <f t="shared" si="8"/>
        <v>3.1460674157303368</v>
      </c>
      <c r="P13" s="85">
        <f>AVERAGE(3.35,2.79,2.55,2.47,2.55)</f>
        <v>2.742</v>
      </c>
      <c r="Q13">
        <f>AVERAGE(7.21,7.19,7.49,7.15,8.43)</f>
        <v>7.4939999999999998</v>
      </c>
      <c r="R13">
        <f t="shared" si="4"/>
        <v>0.26761663088034354</v>
      </c>
      <c r="S13">
        <f t="shared" si="5"/>
        <v>0.73140737848916648</v>
      </c>
      <c r="T13">
        <f t="shared" si="6"/>
        <v>0.36469730123997085</v>
      </c>
      <c r="U13">
        <f t="shared" si="7"/>
        <v>9.7599063048994725E-2</v>
      </c>
      <c r="V13">
        <f>AVERAGE(10.53,10.02,10.04,9.66,10.98)</f>
        <v>10.246</v>
      </c>
      <c r="W13">
        <f>AVERAGE(10,10,9,9,9)</f>
        <v>9.4</v>
      </c>
      <c r="X13">
        <f t="shared" si="9"/>
        <v>3.4281546316557261</v>
      </c>
      <c r="Z13" t="s">
        <v>98</v>
      </c>
      <c r="AB13" s="104"/>
    </row>
    <row r="14" spans="1:28" x14ac:dyDescent="0.35">
      <c r="A14">
        <v>2</v>
      </c>
      <c r="C14" s="104" t="s">
        <v>114</v>
      </c>
      <c r="D14" s="85">
        <f>AVERAGE(7.11,5.26,7.09,7.05,4.39)</f>
        <v>6.1800000000000006</v>
      </c>
      <c r="E14">
        <f>AVERAGE(4.62,9.93,4.62,4.66,10.78)</f>
        <v>6.9219999999999997</v>
      </c>
      <c r="F14">
        <f t="shared" si="0"/>
        <v>0.4722604309949564</v>
      </c>
      <c r="G14">
        <f t="shared" si="1"/>
        <v>0.52896224973253847</v>
      </c>
      <c r="H14">
        <f t="shared" si="2"/>
        <v>0.16181229773462782</v>
      </c>
      <c r="I14">
        <f t="shared" si="3"/>
        <v>7.6417545468439541E-2</v>
      </c>
      <c r="J14">
        <f>AVERAGE(11.68,15.17,11.71,11.72,15.15)</f>
        <v>13.086000000000002</v>
      </c>
      <c r="K14">
        <f>AVERAGE(27,17,29,26,16)</f>
        <v>23</v>
      </c>
      <c r="L14">
        <f t="shared" si="8"/>
        <v>3.7216828478964397</v>
      </c>
      <c r="P14" s="85">
        <f>AVERAGE(2.22,3.42,2.15,2.2,2.5)</f>
        <v>2.4980000000000002</v>
      </c>
      <c r="Q14">
        <f>AVERAGE(5.25,4.97,7.24,7.22,5.86)</f>
        <v>6.1079999999999997</v>
      </c>
      <c r="R14">
        <f t="shared" si="4"/>
        <v>0.29019516728624534</v>
      </c>
      <c r="S14">
        <f t="shared" si="5"/>
        <v>0.70957249070631967</v>
      </c>
      <c r="T14">
        <f t="shared" si="6"/>
        <v>0.40032025620496392</v>
      </c>
      <c r="U14">
        <f t="shared" si="7"/>
        <v>0.11617100371747212</v>
      </c>
      <c r="V14">
        <f>AVERAGE(7.45,8.39,9.4,9.4,8.4)</f>
        <v>8.6080000000000005</v>
      </c>
      <c r="W14">
        <f>AVERAGE(12,17,12,11,13)</f>
        <v>13</v>
      </c>
      <c r="X14">
        <f t="shared" si="9"/>
        <v>5.2041633306645307</v>
      </c>
      <c r="Z14" t="s">
        <v>98</v>
      </c>
      <c r="AB14" s="104"/>
    </row>
    <row r="15" spans="1:28" x14ac:dyDescent="0.35">
      <c r="A15">
        <v>4</v>
      </c>
      <c r="C15" s="104" t="s">
        <v>115</v>
      </c>
      <c r="D15" s="85">
        <f>AVERAGE(4.86,3.34,2.29,2.18,4.75)</f>
        <v>3.4839999999999995</v>
      </c>
      <c r="E15">
        <f>AVERAGE(6.47,4.18,4.9,5.7,5.56)</f>
        <v>5.3620000000000001</v>
      </c>
      <c r="F15">
        <f t="shared" si="0"/>
        <v>0.3938503278317883</v>
      </c>
      <c r="G15">
        <f t="shared" si="1"/>
        <v>0.60614967216821158</v>
      </c>
      <c r="H15">
        <f t="shared" si="2"/>
        <v>0.28702640642939153</v>
      </c>
      <c r="I15">
        <f t="shared" si="3"/>
        <v>0.11304544426859597</v>
      </c>
      <c r="J15">
        <f>AVERAGE(11.33,7.5,7.17,7.86,10.37)</f>
        <v>8.8460000000000001</v>
      </c>
      <c r="K15">
        <f>AVERAGE(19,12,9,8,17)</f>
        <v>13</v>
      </c>
      <c r="L15">
        <f t="shared" si="8"/>
        <v>3.7313432835820901</v>
      </c>
      <c r="P15" s="85">
        <f>AVERAGE(5.77,4.1,3.7,4.8,4.09)</f>
        <v>4.492</v>
      </c>
      <c r="Q15">
        <f>AVERAGE(7.48,5.12,6.93,10.18,9.03)</f>
        <v>7.7480000000000002</v>
      </c>
      <c r="R15">
        <f t="shared" si="4"/>
        <v>0.36693350759679788</v>
      </c>
      <c r="S15">
        <f t="shared" si="5"/>
        <v>0.6329031204051625</v>
      </c>
      <c r="T15">
        <f t="shared" si="6"/>
        <v>0.22261798753339271</v>
      </c>
      <c r="U15">
        <f t="shared" si="7"/>
        <v>8.1685999019768002E-2</v>
      </c>
      <c r="V15">
        <f>AVERAGE(13.29,9.2,10.62,15,13.1)</f>
        <v>12.242000000000001</v>
      </c>
      <c r="W15">
        <f>AVERAGE(29,20,17,27,20)</f>
        <v>22.6</v>
      </c>
      <c r="X15">
        <f t="shared" si="9"/>
        <v>5.0311665182546754</v>
      </c>
      <c r="Z15" t="s">
        <v>102</v>
      </c>
      <c r="AB15" s="104"/>
    </row>
    <row r="16" spans="1:28" x14ac:dyDescent="0.35">
      <c r="A16">
        <v>2</v>
      </c>
      <c r="C16" s="104" t="s">
        <v>116</v>
      </c>
      <c r="D16" s="85">
        <f>AVERAGE(2.1,2.02,2.14,2.32,2.25)</f>
        <v>2.1659999999999999</v>
      </c>
      <c r="E16">
        <f>AVERAGE(7.04,11.13,14.2,11.24,21.24)</f>
        <v>12.970000000000002</v>
      </c>
      <c r="F16">
        <f t="shared" si="0"/>
        <v>0.14310253699788583</v>
      </c>
      <c r="G16">
        <f t="shared" si="1"/>
        <v>0.85689746300211422</v>
      </c>
      <c r="H16">
        <f t="shared" si="2"/>
        <v>0.46168051708217916</v>
      </c>
      <c r="I16">
        <f t="shared" si="3"/>
        <v>6.6067653276955601E-2</v>
      </c>
      <c r="J16">
        <f>AVERAGE(9.07,13.15,16.37,13.56,23.53)</f>
        <v>15.136000000000001</v>
      </c>
      <c r="K16">
        <f>AVERAGE(14,13,14,15)</f>
        <v>14</v>
      </c>
      <c r="L16">
        <f t="shared" si="8"/>
        <v>6.4635272391505083</v>
      </c>
      <c r="P16" s="85">
        <f>AVERAGE(2.2,2.24,2.07,2.3,2.15)</f>
        <v>2.1919999999999997</v>
      </c>
      <c r="Q16">
        <f>AVERAGE(9.9,8.61,5.6,6.55,8.49)</f>
        <v>7.83</v>
      </c>
      <c r="R16">
        <f t="shared" si="4"/>
        <v>0.2193315989593756</v>
      </c>
      <c r="S16">
        <f t="shared" si="5"/>
        <v>0.78347008204922952</v>
      </c>
      <c r="T16">
        <f t="shared" si="6"/>
        <v>0.45620437956204385</v>
      </c>
      <c r="U16">
        <f t="shared" si="7"/>
        <v>0.10006003602161297</v>
      </c>
      <c r="V16">
        <f>AVERAGE(12.1,10.77,7.76,8.79,10.55)</f>
        <v>9.9939999999999998</v>
      </c>
      <c r="W16">
        <f>AVERAGE(16,15,15,17)</f>
        <v>15.75</v>
      </c>
      <c r="X16">
        <f t="shared" si="9"/>
        <v>7.1852189781021902</v>
      </c>
      <c r="Z16" t="s">
        <v>98</v>
      </c>
      <c r="AB16" s="104"/>
    </row>
    <row r="17" spans="1:28" x14ac:dyDescent="0.35">
      <c r="A17">
        <v>4</v>
      </c>
      <c r="C17" s="104" t="s">
        <v>117</v>
      </c>
      <c r="D17" s="85">
        <f>AVERAGE(6.66,9.38,6.87,6.62)</f>
        <v>7.3825000000000003</v>
      </c>
      <c r="E17">
        <f>AVERAGE(10.78,10.69,9.25,11.54)</f>
        <v>10.565</v>
      </c>
      <c r="F17">
        <f t="shared" si="0"/>
        <v>0.41185495118549514</v>
      </c>
      <c r="G17">
        <f t="shared" si="1"/>
        <v>0.58940027894002789</v>
      </c>
      <c r="H17">
        <f t="shared" si="2"/>
        <v>0.13545546901456146</v>
      </c>
      <c r="I17">
        <f t="shared" si="3"/>
        <v>5.5788005578800558E-2</v>
      </c>
      <c r="J17">
        <f>AVERAGE(17.35,20.03,16.16,18.16)</f>
        <v>17.925000000000001</v>
      </c>
      <c r="K17">
        <f>AVERAGE(31,47,36,35)</f>
        <v>37.25</v>
      </c>
      <c r="L17">
        <f t="shared" si="8"/>
        <v>5.0457162207924142</v>
      </c>
      <c r="P17" s="85">
        <f>AVERAGE(4.53,4.53,7.48,4.27)</f>
        <v>5.2024999999999997</v>
      </c>
      <c r="Q17">
        <f>AVERAGE(10.49,13.35,13.44,11.77)</f>
        <v>12.262499999999999</v>
      </c>
      <c r="R17">
        <f t="shared" si="4"/>
        <v>0.29788147724019465</v>
      </c>
      <c r="S17">
        <f t="shared" si="5"/>
        <v>0.70211852275980524</v>
      </c>
      <c r="T17">
        <f t="shared" si="6"/>
        <v>0.19221528111484865</v>
      </c>
      <c r="U17">
        <f t="shared" si="7"/>
        <v>5.7257371886630402E-2</v>
      </c>
      <c r="V17">
        <f>AVERAGE(15.03,17.88,20.97,15.98)</f>
        <v>17.465</v>
      </c>
      <c r="W17">
        <f>AVERAGE(28,26,50,25)</f>
        <v>32.25</v>
      </c>
      <c r="X17">
        <f t="shared" si="9"/>
        <v>6.1989428159538686</v>
      </c>
      <c r="Z17" t="s">
        <v>111</v>
      </c>
      <c r="AB17" s="104"/>
    </row>
    <row r="18" spans="1:28" x14ac:dyDescent="0.35">
      <c r="A18">
        <v>1</v>
      </c>
      <c r="C18" s="104" t="s">
        <v>118</v>
      </c>
      <c r="D18" s="85">
        <f>AVERAGE(2.36,2.24,2.33,2.3)</f>
        <v>2.3075000000000001</v>
      </c>
      <c r="E18">
        <f>AVERAGE(9.77,10.92,10.86,9.82)</f>
        <v>10.342499999999999</v>
      </c>
      <c r="F18">
        <f t="shared" si="0"/>
        <v>0.18255537974683544</v>
      </c>
      <c r="G18">
        <f t="shared" si="1"/>
        <v>0.81823575949367078</v>
      </c>
      <c r="H18">
        <f t="shared" si="2"/>
        <v>0.4333694474539545</v>
      </c>
      <c r="I18">
        <f t="shared" si="3"/>
        <v>7.9113924050632903E-2</v>
      </c>
      <c r="J18">
        <f>AVERAGE(12.15,13.13,13.19,12.09)</f>
        <v>12.64</v>
      </c>
      <c r="K18">
        <f>AVERAGE(13,12,12,13)</f>
        <v>12.5</v>
      </c>
      <c r="L18">
        <f t="shared" si="8"/>
        <v>5.4171180931744312</v>
      </c>
      <c r="P18" s="85">
        <f>AVERAGE(3.42,3.99,3.24,3.39)</f>
        <v>3.5100000000000002</v>
      </c>
      <c r="Q18">
        <f>AVERAGE(5.56,4.92,5.58,5.39)</f>
        <v>5.3625000000000007</v>
      </c>
      <c r="R18">
        <f t="shared" si="4"/>
        <v>0.39582745982520434</v>
      </c>
      <c r="S18">
        <f t="shared" si="5"/>
        <v>0.60473639695517334</v>
      </c>
      <c r="T18">
        <f t="shared" si="6"/>
        <v>0.28490028490028491</v>
      </c>
      <c r="U18">
        <f t="shared" si="7"/>
        <v>0.11277135607555679</v>
      </c>
      <c r="V18">
        <f>AVERAGE(8.95,8.9,8.81,8.81)</f>
        <v>8.8675000000000015</v>
      </c>
      <c r="W18">
        <f>AVERAGE(22,25,22,24)</f>
        <v>23.25</v>
      </c>
      <c r="X18">
        <f t="shared" si="9"/>
        <v>6.6239316239316235</v>
      </c>
      <c r="Z18" t="s">
        <v>98</v>
      </c>
      <c r="AB18" s="104"/>
    </row>
    <row r="19" spans="1:28" x14ac:dyDescent="0.35">
      <c r="C19" s="104" t="s">
        <v>19</v>
      </c>
      <c r="D19" s="85">
        <v>7.1090000000000062</v>
      </c>
      <c r="E19">
        <v>7.4399999999999915</v>
      </c>
      <c r="F19">
        <v>0.49138555778251891</v>
      </c>
      <c r="G19">
        <v>0.50861444221748109</v>
      </c>
      <c r="H19">
        <v>0.14404162949262864</v>
      </c>
      <c r="I19">
        <v>7.0698509031698956E-2</v>
      </c>
      <c r="J19">
        <v>14.402222222222219</v>
      </c>
      <c r="K19">
        <v>47.666666666666664</v>
      </c>
      <c r="L19">
        <v>6.8541328758214224</v>
      </c>
      <c r="P19" s="45">
        <v>7.8839999999999915</v>
      </c>
      <c r="Q19" s="45">
        <v>6.1100000000000136</v>
      </c>
      <c r="R19" s="45">
        <v>0.56297428495086721</v>
      </c>
      <c r="S19" s="45">
        <v>0.43702571504913273</v>
      </c>
      <c r="T19" s="45">
        <v>0.12735832296402377</v>
      </c>
      <c r="U19" s="45">
        <v>7.1521605045617331E-2</v>
      </c>
      <c r="V19" s="45">
        <v>13.994000000000005</v>
      </c>
      <c r="W19">
        <v>47.8</v>
      </c>
      <c r="X19">
        <v>6.0697129078866556</v>
      </c>
      <c r="AB19" s="104"/>
    </row>
    <row r="20" spans="1:28" x14ac:dyDescent="0.35">
      <c r="C20" s="104" t="s">
        <v>61</v>
      </c>
      <c r="D20" s="85">
        <v>8.4141876923076815</v>
      </c>
      <c r="E20">
        <v>10.401001538461545</v>
      </c>
      <c r="F20">
        <v>0.44433382037921398</v>
      </c>
      <c r="G20">
        <v>0.55566617962078602</v>
      </c>
      <c r="H20">
        <v>0.12296945512350863</v>
      </c>
      <c r="I20">
        <v>5.352425762164921E-2</v>
      </c>
      <c r="J20">
        <v>18.815189230769228</v>
      </c>
      <c r="K20">
        <v>19.46153846153846</v>
      </c>
      <c r="L20">
        <v>2.3321919306273804</v>
      </c>
      <c r="P20" s="45">
        <v>8.3055555555555642</v>
      </c>
      <c r="Q20" s="45">
        <v>9.5777777777777739</v>
      </c>
      <c r="R20" s="45">
        <v>0.4647224969544369</v>
      </c>
      <c r="S20" s="45">
        <v>0.53527750304556321</v>
      </c>
      <c r="T20" s="45">
        <v>0.12078512594320125</v>
      </c>
      <c r="U20" s="45">
        <v>5.6058642467270131E-2</v>
      </c>
      <c r="V20" s="45">
        <v>17.88333333333334</v>
      </c>
      <c r="W20" s="45">
        <v>23</v>
      </c>
      <c r="X20">
        <v>2.9113033084817306</v>
      </c>
      <c r="AB20" s="104"/>
    </row>
    <row r="21" spans="1:28" x14ac:dyDescent="0.35">
      <c r="C21" s="104" t="s">
        <v>88</v>
      </c>
      <c r="D21" s="85">
        <v>6.8369999999999891</v>
      </c>
      <c r="E21">
        <v>11.019000000000011</v>
      </c>
      <c r="F21">
        <v>0.39808211843561991</v>
      </c>
      <c r="G21">
        <v>0.60191788156438009</v>
      </c>
      <c r="H21">
        <v>0.14767172758772829</v>
      </c>
      <c r="I21">
        <v>5.8290532001550911E-2</v>
      </c>
      <c r="J21">
        <v>17.856000000000002</v>
      </c>
      <c r="K21">
        <v>29.5</v>
      </c>
      <c r="L21">
        <v>4.3006479086608707</v>
      </c>
      <c r="P21" s="45">
        <v>4.1099999999999985</v>
      </c>
      <c r="Q21" s="45">
        <v>9.6123076923076951</v>
      </c>
      <c r="R21" s="45">
        <v>0.31273401092267261</v>
      </c>
      <c r="S21" s="45">
        <v>0.6872659890773275</v>
      </c>
      <c r="T21" s="45">
        <v>0.24757444570742207</v>
      </c>
      <c r="U21" s="45">
        <v>7.6500370841149828E-2</v>
      </c>
      <c r="V21" s="45">
        <v>13.722307692307693</v>
      </c>
      <c r="W21">
        <v>17.153846153846153</v>
      </c>
      <c r="X21" s="141">
        <v>4.1901649501756939</v>
      </c>
      <c r="AB21" s="104"/>
    </row>
    <row r="22" spans="1:28" x14ac:dyDescent="0.35">
      <c r="P22" s="45"/>
      <c r="Q22" s="45"/>
      <c r="R22" s="45"/>
      <c r="S22" s="45"/>
      <c r="T22" s="45"/>
      <c r="U22" s="45"/>
      <c r="V22" s="45"/>
    </row>
    <row r="23" spans="1:28" x14ac:dyDescent="0.35">
      <c r="P23" s="45"/>
      <c r="Q23" s="45"/>
      <c r="R23" s="45"/>
      <c r="S23" s="45"/>
      <c r="T23" s="45"/>
      <c r="U23" s="45"/>
      <c r="V23" s="45"/>
    </row>
    <row r="24" spans="1:28" x14ac:dyDescent="0.35">
      <c r="C24" s="104" t="s">
        <v>119</v>
      </c>
      <c r="D24" s="85">
        <f>AVERAGE(D4:D21)</f>
        <v>5.3094189464596475</v>
      </c>
      <c r="E24" s="85">
        <f t="shared" ref="E24:L24" si="10">AVERAGE(E4:E21)</f>
        <v>8.5442078548303542</v>
      </c>
      <c r="F24" s="85">
        <f t="shared" si="10"/>
        <v>0.38258850822348084</v>
      </c>
      <c r="G24" s="85">
        <f t="shared" si="10"/>
        <v>0.61749450379951432</v>
      </c>
      <c r="H24" s="85">
        <f t="shared" si="10"/>
        <v>0.22450858977796628</v>
      </c>
      <c r="I24" s="85">
        <f t="shared" si="10"/>
        <v>7.688286392717239E-2</v>
      </c>
      <c r="J24" s="85">
        <f t="shared" si="10"/>
        <v>13.842870628450495</v>
      </c>
      <c r="K24" s="85">
        <f t="shared" si="10"/>
        <v>25.783027758466353</v>
      </c>
      <c r="L24" s="85">
        <f t="shared" si="10"/>
        <v>4.8961740154328908</v>
      </c>
      <c r="M24" s="85"/>
      <c r="P24" s="85">
        <f>AVERAGE(P4:P21)</f>
        <v>5.0365596941798945</v>
      </c>
      <c r="Q24" s="85">
        <f t="shared" ref="Q24:X24" si="11">AVERAGE(Q4:Q21)</f>
        <v>7.2293201871387867</v>
      </c>
      <c r="R24" s="85">
        <f t="shared" si="11"/>
        <v>0.40428739453078205</v>
      </c>
      <c r="S24" s="85">
        <f t="shared" si="11"/>
        <v>0.59477520558267016</v>
      </c>
      <c r="T24" s="85">
        <f t="shared" si="11"/>
        <v>0.24151359933311628</v>
      </c>
      <c r="U24" s="85">
        <f t="shared" si="11"/>
        <v>8.9050218270653181E-2</v>
      </c>
      <c r="V24" s="85">
        <f t="shared" si="11"/>
        <v>12.273268770207572</v>
      </c>
      <c r="W24" s="85">
        <f t="shared" si="11"/>
        <v>27.409455297788629</v>
      </c>
      <c r="X24" s="85">
        <f t="shared" si="11"/>
        <v>5.4912604693190401</v>
      </c>
    </row>
    <row r="25" spans="1:28" x14ac:dyDescent="0.35">
      <c r="C25" s="104" t="s">
        <v>120</v>
      </c>
      <c r="D25">
        <f>_xlfn.STDEV.S(D4:D21)</f>
        <v>2.0948672525437377</v>
      </c>
      <c r="E25">
        <f t="shared" ref="E25:L25" si="12">_xlfn.STDEV.S(E4:E21)</f>
        <v>2.4102191554698313</v>
      </c>
      <c r="F25">
        <f t="shared" si="12"/>
        <v>0.10201162735872357</v>
      </c>
      <c r="G25">
        <f t="shared" si="12"/>
        <v>0.10175372486473558</v>
      </c>
      <c r="H25">
        <f t="shared" si="12"/>
        <v>0.10198187990243891</v>
      </c>
      <c r="I25">
        <f t="shared" si="12"/>
        <v>1.8295601122938335E-2</v>
      </c>
      <c r="J25">
        <f t="shared" si="12"/>
        <v>3.5096950048122584</v>
      </c>
      <c r="K25">
        <f t="shared" si="12"/>
        <v>12.71127703960334</v>
      </c>
      <c r="L25">
        <f t="shared" si="12"/>
        <v>1.237241000767006</v>
      </c>
      <c r="P25">
        <f>_xlfn.STDEV.S(P4:P21)</f>
        <v>2.4539930421160894</v>
      </c>
      <c r="Q25">
        <f t="shared" ref="Q25:X25" si="13">_xlfn.STDEV.S(Q4:Q21)</f>
        <v>2.50104385378072</v>
      </c>
      <c r="R25">
        <f t="shared" si="13"/>
        <v>9.9707337055907577E-2</v>
      </c>
      <c r="S25">
        <f t="shared" si="13"/>
        <v>9.9051674369951909E-2</v>
      </c>
      <c r="T25">
        <f t="shared" si="13"/>
        <v>0.1000341702777454</v>
      </c>
      <c r="U25">
        <f t="shared" si="13"/>
        <v>2.2696294284523473E-2</v>
      </c>
      <c r="V25">
        <f t="shared" si="13"/>
        <v>4.3313473427658096</v>
      </c>
      <c r="W25">
        <f t="shared" si="13"/>
        <v>14.543692210494511</v>
      </c>
      <c r="X25">
        <f t="shared" si="13"/>
        <v>1.1624928166742696</v>
      </c>
    </row>
    <row r="26" spans="1:28" x14ac:dyDescent="0.35">
      <c r="F26" s="138" t="s">
        <v>646</v>
      </c>
      <c r="G26" s="138" t="s">
        <v>647</v>
      </c>
    </row>
    <row r="27" spans="1:28" x14ac:dyDescent="0.35">
      <c r="C27" s="139" t="s">
        <v>648</v>
      </c>
      <c r="D27" s="85">
        <v>0.46360000000000001</v>
      </c>
      <c r="E27">
        <v>1.7500000000000002E-2</v>
      </c>
      <c r="F27">
        <v>0.3866</v>
      </c>
      <c r="G27">
        <v>0.35580000000000001</v>
      </c>
      <c r="J27">
        <v>1.4999999999999999E-2</v>
      </c>
      <c r="K27">
        <v>0.36680000000000001</v>
      </c>
      <c r="L27">
        <v>6.0168000000000005E-4</v>
      </c>
    </row>
    <row r="28" spans="1:28" x14ac:dyDescent="0.35">
      <c r="D28" s="172" t="s">
        <v>397</v>
      </c>
      <c r="E28" s="155" t="s">
        <v>396</v>
      </c>
      <c r="F28" s="155" t="s">
        <v>397</v>
      </c>
      <c r="G28" s="155" t="s">
        <v>397</v>
      </c>
      <c r="H28" s="155"/>
      <c r="I28" s="155"/>
      <c r="J28" s="155" t="s">
        <v>396</v>
      </c>
      <c r="K28" s="155" t="s">
        <v>397</v>
      </c>
      <c r="L28" s="155" t="s">
        <v>276</v>
      </c>
      <c r="M28" s="234"/>
    </row>
    <row r="35" spans="1:22" x14ac:dyDescent="0.35">
      <c r="F35" s="104"/>
      <c r="G35" s="104" t="s">
        <v>0</v>
      </c>
      <c r="P35" s="104"/>
      <c r="Q35" s="104" t="s">
        <v>91</v>
      </c>
    </row>
    <row r="36" spans="1:22" x14ac:dyDescent="0.35">
      <c r="A36" s="104" t="s">
        <v>856</v>
      </c>
      <c r="D36" s="104" t="s">
        <v>857</v>
      </c>
      <c r="F36" s="104"/>
      <c r="G36" s="137" t="s">
        <v>852</v>
      </c>
      <c r="H36" s="104" t="s">
        <v>853</v>
      </c>
      <c r="I36" s="104"/>
      <c r="J36" s="104" t="s">
        <v>854</v>
      </c>
      <c r="K36" s="104"/>
      <c r="L36" s="104" t="s">
        <v>855</v>
      </c>
      <c r="P36" s="104"/>
      <c r="Q36" s="137" t="s">
        <v>852</v>
      </c>
      <c r="R36" s="104" t="s">
        <v>853</v>
      </c>
      <c r="S36" s="104"/>
      <c r="T36" s="104" t="s">
        <v>854</v>
      </c>
      <c r="U36" s="104"/>
      <c r="V36" s="104" t="s">
        <v>855</v>
      </c>
    </row>
    <row r="37" spans="1:22" x14ac:dyDescent="0.35">
      <c r="A37" t="s">
        <v>98</v>
      </c>
      <c r="D37" s="85" t="s">
        <v>111</v>
      </c>
      <c r="F37" s="104" t="s">
        <v>97</v>
      </c>
      <c r="G37" s="85">
        <v>0.79759999999999998</v>
      </c>
      <c r="H37">
        <v>4.2200000000000001E-2</v>
      </c>
      <c r="J37">
        <v>11.625</v>
      </c>
      <c r="L37">
        <v>0.5</v>
      </c>
      <c r="P37" s="104" t="s">
        <v>97</v>
      </c>
      <c r="Q37">
        <v>0.73599999999999999</v>
      </c>
      <c r="R37">
        <v>6.0100000000000001E-2</v>
      </c>
      <c r="T37">
        <v>8.4499999999999993</v>
      </c>
      <c r="V37">
        <v>0.51039999999999996</v>
      </c>
    </row>
    <row r="38" spans="1:22" x14ac:dyDescent="0.35">
      <c r="A38" t="s">
        <v>98</v>
      </c>
      <c r="D38" s="85" t="s">
        <v>111</v>
      </c>
      <c r="F38" s="104" t="s">
        <v>100</v>
      </c>
      <c r="G38" s="85">
        <v>0.86409999999999998</v>
      </c>
      <c r="H38">
        <v>0.44840000000000002</v>
      </c>
      <c r="J38">
        <v>10.0526</v>
      </c>
      <c r="L38">
        <v>0.84809999999999997</v>
      </c>
      <c r="P38" s="104" t="s">
        <v>100</v>
      </c>
      <c r="Q38">
        <v>0.9446</v>
      </c>
      <c r="R38">
        <v>7.5300000000000006E-2</v>
      </c>
      <c r="T38">
        <v>8.7200000000000006</v>
      </c>
      <c r="V38">
        <v>0.73709999999999998</v>
      </c>
    </row>
    <row r="39" spans="1:22" s="267" customFormat="1" x14ac:dyDescent="0.35">
      <c r="A39" s="267" t="s">
        <v>111</v>
      </c>
      <c r="C39" s="313"/>
      <c r="D39" s="267" t="s">
        <v>98</v>
      </c>
      <c r="F39" s="313" t="s">
        <v>103</v>
      </c>
      <c r="G39" s="267">
        <v>0.47089999999999999</v>
      </c>
      <c r="H39" s="267">
        <v>5.28E-2</v>
      </c>
      <c r="J39" s="267">
        <v>4.7272999999999996</v>
      </c>
      <c r="L39" s="267">
        <v>1.032</v>
      </c>
      <c r="P39" s="313" t="s">
        <v>103</v>
      </c>
      <c r="Q39" s="267">
        <v>0.60919999999999996</v>
      </c>
      <c r="R39" s="267">
        <v>5.5399999999999998E-2</v>
      </c>
      <c r="T39" s="267">
        <v>6.7142999999999997</v>
      </c>
      <c r="V39" s="267">
        <v>1.0071000000000001</v>
      </c>
    </row>
    <row r="40" spans="1:22" x14ac:dyDescent="0.35">
      <c r="A40" t="s">
        <v>98</v>
      </c>
      <c r="D40" s="85" t="s">
        <v>111</v>
      </c>
      <c r="F40" s="104" t="s">
        <v>106</v>
      </c>
      <c r="G40" s="141">
        <v>0.22600000000000001</v>
      </c>
      <c r="H40" s="85">
        <v>4.1000000000000002E-2</v>
      </c>
      <c r="J40">
        <v>2.2174</v>
      </c>
      <c r="L40">
        <v>0.42170000000000002</v>
      </c>
      <c r="P40" s="104" t="s">
        <v>106</v>
      </c>
      <c r="Q40" s="85">
        <v>0.21809999999999999</v>
      </c>
      <c r="R40">
        <v>2.7E-2</v>
      </c>
      <c r="T40">
        <v>2.5263</v>
      </c>
      <c r="V40">
        <v>0.51300000000000001</v>
      </c>
    </row>
    <row r="41" spans="1:22" s="313" customFormat="1" x14ac:dyDescent="0.35">
      <c r="A41" s="314" t="s">
        <v>111</v>
      </c>
      <c r="D41" s="314" t="s">
        <v>111</v>
      </c>
      <c r="F41" s="313" t="s">
        <v>107</v>
      </c>
      <c r="G41" s="314">
        <v>0.71160000000000001</v>
      </c>
      <c r="H41" s="314">
        <v>3.7900000000000003E-2</v>
      </c>
      <c r="I41" s="314"/>
      <c r="J41" s="314">
        <v>7</v>
      </c>
      <c r="K41" s="314"/>
      <c r="L41" s="314">
        <v>0.77459999999999996</v>
      </c>
      <c r="P41" s="313" t="s">
        <v>107</v>
      </c>
      <c r="Q41" s="314">
        <v>0.66469999999999996</v>
      </c>
      <c r="R41" s="314">
        <v>5.7700000000000001E-2</v>
      </c>
      <c r="S41" s="314"/>
      <c r="T41" s="314">
        <v>5.6154000000000002</v>
      </c>
      <c r="U41" s="314"/>
      <c r="V41" s="314">
        <v>0.65400000000000003</v>
      </c>
    </row>
    <row r="42" spans="1:22" s="267" customFormat="1" x14ac:dyDescent="0.35">
      <c r="A42" s="267" t="s">
        <v>111</v>
      </c>
      <c r="C42" s="313"/>
      <c r="D42" s="314" t="s">
        <v>98</v>
      </c>
      <c r="F42" s="313" t="s">
        <v>110</v>
      </c>
      <c r="G42" s="314">
        <v>0.62280000000000002</v>
      </c>
      <c r="H42" s="314">
        <v>1.6E-2</v>
      </c>
      <c r="J42" s="314">
        <v>8.0908999999999995</v>
      </c>
      <c r="L42" s="314">
        <v>0.30149999999999999</v>
      </c>
      <c r="P42" s="313" t="s">
        <v>110</v>
      </c>
      <c r="Q42" s="314">
        <v>0.69059999999999999</v>
      </c>
      <c r="R42" s="314">
        <v>4.8399999999999999E-2</v>
      </c>
      <c r="T42" s="314">
        <v>8.7272999999999996</v>
      </c>
      <c r="V42" s="314">
        <v>0.46710000000000002</v>
      </c>
    </row>
    <row r="43" spans="1:22" x14ac:dyDescent="0.35">
      <c r="A43" t="s">
        <v>98</v>
      </c>
      <c r="D43" s="142" t="s">
        <v>98</v>
      </c>
      <c r="F43" s="104" t="s">
        <v>112</v>
      </c>
      <c r="G43" s="141">
        <v>0.70520000000000005</v>
      </c>
      <c r="H43" s="142">
        <v>3.39E-2</v>
      </c>
      <c r="J43" s="141">
        <v>9.0556000000000001</v>
      </c>
      <c r="L43" s="141">
        <v>1.1100000000000001</v>
      </c>
      <c r="P43" s="104" t="s">
        <v>112</v>
      </c>
      <c r="Q43" s="142">
        <v>0.82179999999999997</v>
      </c>
      <c r="R43" s="141">
        <v>3.0599999999999999E-2</v>
      </c>
      <c r="T43" s="141">
        <v>9.0466999999999995</v>
      </c>
      <c r="V43" s="141">
        <v>0.38419999999999999</v>
      </c>
    </row>
    <row r="44" spans="1:22" x14ac:dyDescent="0.35">
      <c r="A44" t="s">
        <v>98</v>
      </c>
      <c r="D44" s="142" t="s">
        <v>98</v>
      </c>
      <c r="F44" s="104" t="s">
        <v>113</v>
      </c>
      <c r="G44" s="141">
        <v>0.56520000000000004</v>
      </c>
      <c r="H44" s="142">
        <v>6.0299999999999999E-2</v>
      </c>
      <c r="J44" s="141">
        <v>7.5293999999999999</v>
      </c>
      <c r="L44" s="141">
        <v>1.5048999999999999</v>
      </c>
      <c r="P44" s="104" t="s">
        <v>113</v>
      </c>
      <c r="Q44" s="142">
        <v>0.7077</v>
      </c>
      <c r="R44" s="141">
        <v>0.1182</v>
      </c>
      <c r="T44" s="141">
        <v>5.3666999999999998</v>
      </c>
      <c r="V44" s="141">
        <v>2.6844000000000001</v>
      </c>
    </row>
    <row r="45" spans="1:22" s="267" customFormat="1" x14ac:dyDescent="0.35">
      <c r="A45" s="267" t="s">
        <v>111</v>
      </c>
      <c r="C45" s="313"/>
      <c r="D45" s="314" t="s">
        <v>98</v>
      </c>
      <c r="F45" s="313" t="s">
        <v>19</v>
      </c>
      <c r="G45" s="314">
        <v>0.66190000000000004</v>
      </c>
      <c r="H45" s="314">
        <v>8.1600000000000006E-2</v>
      </c>
      <c r="J45" s="314">
        <v>9.5793999999999997</v>
      </c>
      <c r="L45" s="314">
        <v>2.1326000000000001</v>
      </c>
      <c r="P45" s="313" t="s">
        <v>19</v>
      </c>
      <c r="Q45" s="314">
        <v>0.70340000000000003</v>
      </c>
      <c r="R45" s="314">
        <v>9.2600000000000002E-2</v>
      </c>
      <c r="T45" s="314">
        <v>13.893599999999999</v>
      </c>
      <c r="V45" s="314">
        <v>5.165</v>
      </c>
    </row>
    <row r="46" spans="1:22" s="267" customFormat="1" x14ac:dyDescent="0.35">
      <c r="A46" s="267" t="s">
        <v>102</v>
      </c>
      <c r="F46" s="313" t="s">
        <v>381</v>
      </c>
      <c r="G46" s="316">
        <v>0.94928510925944987</v>
      </c>
      <c r="H46" s="267">
        <v>2.9569660021127601E-2</v>
      </c>
      <c r="J46" s="267">
        <v>7.9285714285714288</v>
      </c>
      <c r="L46" s="267">
        <v>1.9792883614022538</v>
      </c>
      <c r="P46" s="313" t="s">
        <v>381</v>
      </c>
      <c r="Q46" s="267">
        <v>1.1830696292403733</v>
      </c>
      <c r="R46" s="267">
        <v>1.2811651176804044E-2</v>
      </c>
      <c r="T46" s="267">
        <v>10.23076923076923</v>
      </c>
    </row>
    <row r="47" spans="1:22" x14ac:dyDescent="0.35">
      <c r="A47" t="s">
        <v>98</v>
      </c>
      <c r="C47"/>
      <c r="D47"/>
      <c r="E47" s="85"/>
      <c r="F47" s="104" t="s">
        <v>382</v>
      </c>
      <c r="G47" s="315">
        <v>1.3450612618160342</v>
      </c>
      <c r="H47">
        <v>2.6109859461634174E-2</v>
      </c>
      <c r="J47">
        <v>21.066666666666666</v>
      </c>
      <c r="L47">
        <v>5.5865484701668713</v>
      </c>
      <c r="P47" s="104" t="s">
        <v>382</v>
      </c>
      <c r="Q47" s="85">
        <v>1.2111228644264289</v>
      </c>
      <c r="R47">
        <v>8.9156565683043369E-3</v>
      </c>
      <c r="T47">
        <v>14.333333333333334</v>
      </c>
    </row>
    <row r="48" spans="1:22" x14ac:dyDescent="0.35">
      <c r="A48" t="s">
        <v>98</v>
      </c>
      <c r="C48"/>
      <c r="D48"/>
      <c r="E48" s="85"/>
      <c r="F48" s="104" t="s">
        <v>383</v>
      </c>
      <c r="G48" s="315">
        <v>0.82629630688170996</v>
      </c>
      <c r="H48">
        <v>6.2787173271462909E-2</v>
      </c>
      <c r="J48">
        <v>9.3058823529411772</v>
      </c>
      <c r="L48">
        <v>1.5585671793865876</v>
      </c>
      <c r="P48" s="104" t="s">
        <v>383</v>
      </c>
      <c r="Q48" s="85">
        <v>0.98592340256393796</v>
      </c>
      <c r="R48">
        <v>4.7178140409251751E-2</v>
      </c>
      <c r="T48">
        <v>8.1860465116279073</v>
      </c>
    </row>
    <row r="49" spans="1:25" s="267" customFormat="1" x14ac:dyDescent="0.35">
      <c r="A49" s="267" t="s">
        <v>111</v>
      </c>
      <c r="F49" s="313" t="s">
        <v>384</v>
      </c>
      <c r="G49" s="316">
        <v>0.65093975905717461</v>
      </c>
      <c r="H49" s="267">
        <v>5.2482229466980529E-2</v>
      </c>
      <c r="J49" s="267">
        <v>7.8620689655172411</v>
      </c>
      <c r="L49" s="267">
        <v>1.9221293610962247</v>
      </c>
      <c r="P49" s="313" t="s">
        <v>384</v>
      </c>
      <c r="Q49" s="267">
        <v>1.0475147996453824</v>
      </c>
      <c r="R49" s="267">
        <v>1.8911243392047417E-2</v>
      </c>
      <c r="T49" s="267">
        <v>12.444444444444445</v>
      </c>
    </row>
    <row r="50" spans="1:25" x14ac:dyDescent="0.35">
      <c r="A50" t="s">
        <v>98</v>
      </c>
      <c r="C50"/>
      <c r="D50"/>
      <c r="E50" s="85"/>
      <c r="F50" s="104" t="s">
        <v>385</v>
      </c>
      <c r="G50" s="315">
        <v>0.97514943587123926</v>
      </c>
      <c r="H50">
        <v>5.1507194744557928E-2</v>
      </c>
      <c r="J50">
        <v>13.26923076923077</v>
      </c>
      <c r="L50">
        <v>3.4241225714941033</v>
      </c>
      <c r="P50" s="104" t="s">
        <v>385</v>
      </c>
      <c r="Q50" s="85">
        <v>0.94490728542871405</v>
      </c>
      <c r="R50">
        <v>8.6626377180454833E-3</v>
      </c>
      <c r="T50">
        <v>9.5</v>
      </c>
    </row>
    <row r="51" spans="1:25" x14ac:dyDescent="0.35">
      <c r="A51" t="s">
        <v>98</v>
      </c>
      <c r="C51"/>
      <c r="D51"/>
      <c r="E51" s="85"/>
      <c r="F51" s="104" t="s">
        <v>386</v>
      </c>
      <c r="G51" s="315">
        <v>1.2559280043545684</v>
      </c>
      <c r="H51">
        <v>9.0855571261694475E-3</v>
      </c>
      <c r="J51">
        <v>20.142857142857142</v>
      </c>
      <c r="L51">
        <v>2.1930626551751269</v>
      </c>
      <c r="P51" s="104" t="s">
        <v>386</v>
      </c>
      <c r="Q51" s="85">
        <v>1.1179656438184549</v>
      </c>
      <c r="R51">
        <v>6.4632884870829396E-2</v>
      </c>
      <c r="T51">
        <v>17.428571428571427</v>
      </c>
    </row>
    <row r="52" spans="1:25" x14ac:dyDescent="0.35">
      <c r="C52"/>
      <c r="D52"/>
      <c r="E52" s="85"/>
      <c r="P52"/>
      <c r="Q52" s="85"/>
    </row>
    <row r="53" spans="1:25" x14ac:dyDescent="0.35">
      <c r="C53"/>
      <c r="D53"/>
      <c r="E53" s="85"/>
      <c r="P53"/>
      <c r="Q53" s="85"/>
    </row>
    <row r="54" spans="1:25" x14ac:dyDescent="0.35">
      <c r="C54"/>
      <c r="D54"/>
      <c r="E54" s="85"/>
      <c r="P54"/>
      <c r="Q54" s="85"/>
    </row>
    <row r="55" spans="1:25" x14ac:dyDescent="0.35">
      <c r="C55"/>
      <c r="D55"/>
      <c r="E55" s="85"/>
      <c r="P55"/>
      <c r="Q55" s="85"/>
    </row>
    <row r="56" spans="1:25" x14ac:dyDescent="0.35">
      <c r="C56"/>
      <c r="D56"/>
      <c r="E56" s="85"/>
      <c r="P56"/>
      <c r="Q56" s="85"/>
    </row>
    <row r="57" spans="1:25" x14ac:dyDescent="0.35">
      <c r="A57" s="3"/>
      <c r="C57"/>
      <c r="E57" s="45"/>
      <c r="F57" s="45"/>
      <c r="G57" s="45"/>
      <c r="H57" s="45"/>
      <c r="I57" s="45"/>
      <c r="J57" s="45"/>
      <c r="K57" s="45"/>
      <c r="L57" s="45"/>
      <c r="M57" s="45"/>
      <c r="N57" s="45"/>
      <c r="O57" s="141"/>
      <c r="P57" s="141"/>
      <c r="Q57" s="141"/>
      <c r="R57" s="141"/>
      <c r="S57" s="141"/>
      <c r="T57" s="141"/>
      <c r="U57" s="141"/>
      <c r="V57" s="141"/>
      <c r="W57" s="141"/>
      <c r="X57" s="141"/>
      <c r="Y57" s="141"/>
    </row>
    <row r="58" spans="1:25" x14ac:dyDescent="0.35">
      <c r="A58" s="3"/>
      <c r="C58"/>
      <c r="D58" s="141"/>
      <c r="E58" s="141"/>
      <c r="F58" s="141"/>
      <c r="G58" s="141"/>
      <c r="H58" s="141"/>
      <c r="I58" s="141"/>
      <c r="J58" s="141"/>
      <c r="K58" s="141"/>
      <c r="L58" s="141"/>
      <c r="M58" s="141"/>
      <c r="N58" s="141"/>
      <c r="O58" s="141"/>
      <c r="P58" s="142"/>
      <c r="Q58" s="141"/>
      <c r="R58" s="141"/>
      <c r="S58" s="141"/>
      <c r="T58" s="141"/>
      <c r="U58" s="141"/>
      <c r="V58" s="141"/>
      <c r="W58" s="141"/>
      <c r="X58" s="141"/>
      <c r="Y58" s="141"/>
    </row>
    <row r="59" spans="1:25" x14ac:dyDescent="0.35">
      <c r="A59" s="3"/>
      <c r="C59"/>
      <c r="E59" s="141"/>
      <c r="F59" s="141"/>
      <c r="G59" s="141"/>
      <c r="H59" s="141"/>
      <c r="I59" s="141"/>
      <c r="J59" s="141"/>
      <c r="K59" s="141"/>
      <c r="L59" s="141"/>
      <c r="M59" s="141"/>
      <c r="N59" s="141"/>
      <c r="O59" s="141"/>
      <c r="P59" s="142"/>
      <c r="Q59" s="141"/>
      <c r="R59" s="141"/>
      <c r="S59" s="141"/>
      <c r="T59" s="141"/>
      <c r="U59" s="141"/>
      <c r="V59" s="141"/>
      <c r="W59" s="141"/>
      <c r="X59" s="141"/>
      <c r="Y59" s="141"/>
    </row>
    <row r="61" spans="1:25" x14ac:dyDescent="0.35">
      <c r="D61"/>
      <c r="P61"/>
    </row>
    <row r="62" spans="1:25" x14ac:dyDescent="0.35">
      <c r="D62"/>
      <c r="P6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X67"/>
  <sheetViews>
    <sheetView workbookViewId="0">
      <selection activeCell="I28" sqref="I28"/>
    </sheetView>
  </sheetViews>
  <sheetFormatPr defaultRowHeight="14.5" x14ac:dyDescent="0.35"/>
  <cols>
    <col min="3" max="3" width="11" customWidth="1"/>
    <col min="4" max="4" width="12.1796875" customWidth="1"/>
    <col min="5" max="5" width="11.81640625" customWidth="1"/>
    <col min="6" max="6" width="12.453125" customWidth="1"/>
    <col min="7" max="7" width="13.1796875" customWidth="1"/>
    <col min="11" max="11" width="9.7265625" customWidth="1"/>
    <col min="12" max="12" width="11.453125" customWidth="1"/>
    <col min="13" max="13" width="12" customWidth="1"/>
    <col min="14" max="14" width="13.1796875" customWidth="1"/>
    <col min="15" max="15" width="13.81640625" customWidth="1"/>
    <col min="17" max="17" width="11.1796875" customWidth="1"/>
    <col min="19" max="19" width="12.1796875" customWidth="1"/>
    <col min="20" max="20" width="12.81640625" customWidth="1"/>
    <col min="21" max="21" width="11.54296875" customWidth="1"/>
    <col min="22" max="22" width="13.54296875" customWidth="1"/>
  </cols>
  <sheetData>
    <row r="1" spans="3:24" x14ac:dyDescent="0.35">
      <c r="Q1" s="2"/>
      <c r="R1" s="2"/>
      <c r="S1" s="2"/>
      <c r="T1" s="2"/>
      <c r="U1" s="2"/>
      <c r="V1" s="2"/>
      <c r="W1" s="2"/>
    </row>
    <row r="2" spans="3:24" ht="18.5" x14ac:dyDescent="0.45">
      <c r="D2" s="192" t="s">
        <v>90</v>
      </c>
      <c r="L2" s="192" t="s">
        <v>93</v>
      </c>
      <c r="Q2" s="2"/>
      <c r="R2" s="2"/>
      <c r="S2" s="5"/>
      <c r="T2" s="2"/>
      <c r="U2" s="2"/>
      <c r="V2" s="2"/>
      <c r="W2" s="2"/>
    </row>
    <row r="3" spans="3:24" ht="15.5" x14ac:dyDescent="0.35">
      <c r="Q3" s="2"/>
      <c r="R3" s="2"/>
      <c r="S3" s="5"/>
      <c r="T3" s="199"/>
      <c r="U3" s="2"/>
      <c r="V3" s="2"/>
      <c r="W3" s="2"/>
    </row>
    <row r="4" spans="3:24" x14ac:dyDescent="0.35">
      <c r="C4" s="139" t="s">
        <v>380</v>
      </c>
      <c r="D4" s="139" t="s">
        <v>0</v>
      </c>
      <c r="E4" s="139" t="s">
        <v>124</v>
      </c>
      <c r="F4" s="139" t="s">
        <v>86</v>
      </c>
      <c r="G4" s="139" t="s">
        <v>92</v>
      </c>
      <c r="K4" s="139" t="s">
        <v>380</v>
      </c>
      <c r="L4" s="139" t="s">
        <v>0</v>
      </c>
      <c r="M4" s="139" t="s">
        <v>124</v>
      </c>
      <c r="N4" s="139" t="s">
        <v>86</v>
      </c>
      <c r="O4" s="139" t="s">
        <v>92</v>
      </c>
      <c r="Q4" s="2"/>
      <c r="R4" s="2"/>
      <c r="S4" s="2"/>
      <c r="T4" s="2"/>
      <c r="U4" s="2"/>
      <c r="V4" s="2"/>
      <c r="W4" s="2"/>
    </row>
    <row r="5" spans="3:24" ht="15.5" x14ac:dyDescent="0.35">
      <c r="C5" t="s">
        <v>381</v>
      </c>
      <c r="D5">
        <v>4.1135759999999983</v>
      </c>
      <c r="E5">
        <v>4.3728350000000002</v>
      </c>
      <c r="F5">
        <v>3.9124562499999964</v>
      </c>
      <c r="G5">
        <v>5.1374233333333326</v>
      </c>
      <c r="K5" t="s">
        <v>381</v>
      </c>
      <c r="L5">
        <v>6.7653260000000017</v>
      </c>
      <c r="M5">
        <v>4.5080416666666663</v>
      </c>
      <c r="N5">
        <v>9.7525325000000027</v>
      </c>
      <c r="O5">
        <v>6.5428400000000018</v>
      </c>
      <c r="Q5" s="2"/>
      <c r="R5" s="2"/>
      <c r="S5" s="200"/>
      <c r="T5" s="200"/>
      <c r="U5" s="2"/>
      <c r="V5" s="2"/>
      <c r="W5" s="200"/>
      <c r="X5" s="195"/>
    </row>
    <row r="6" spans="3:24" ht="15.5" x14ac:dyDescent="0.35">
      <c r="C6" t="s">
        <v>382</v>
      </c>
      <c r="D6">
        <v>3.3219325</v>
      </c>
      <c r="E6" s="2">
        <v>4.1069755555555565</v>
      </c>
      <c r="F6">
        <v>3.4622837499999979</v>
      </c>
      <c r="G6" s="4">
        <v>5.2820964285714282</v>
      </c>
      <c r="K6" t="s">
        <v>382</v>
      </c>
      <c r="L6">
        <v>11.108264999999999</v>
      </c>
      <c r="M6" s="2">
        <v>7.9224033333333317</v>
      </c>
      <c r="N6" s="4">
        <v>10.888182500000003</v>
      </c>
      <c r="O6" s="4">
        <v>10.439730714285714</v>
      </c>
      <c r="Q6" s="2"/>
      <c r="R6" s="2"/>
      <c r="S6" s="200"/>
      <c r="T6" s="5"/>
      <c r="U6" s="5"/>
      <c r="V6" s="2"/>
      <c r="W6" s="200"/>
      <c r="X6" s="194"/>
    </row>
    <row r="7" spans="3:24" x14ac:dyDescent="0.35">
      <c r="C7" t="s">
        <v>383</v>
      </c>
      <c r="D7">
        <v>2.7723976190476183</v>
      </c>
      <c r="E7">
        <v>3.0494890697674411</v>
      </c>
      <c r="F7" s="2">
        <v>3.8140680000000025</v>
      </c>
      <c r="G7" s="2">
        <v>6.0667200000000019</v>
      </c>
      <c r="K7" t="s">
        <v>383</v>
      </c>
      <c r="L7">
        <v>8.4230580952380958</v>
      </c>
      <c r="M7">
        <v>5.2064016279069785</v>
      </c>
      <c r="N7" s="2">
        <v>7.6467514999999988</v>
      </c>
      <c r="O7" s="2">
        <v>7.0578774999999982</v>
      </c>
      <c r="Q7" s="2"/>
      <c r="R7" s="2"/>
      <c r="S7" s="2"/>
      <c r="T7" s="2"/>
      <c r="U7" s="2"/>
      <c r="V7" s="2"/>
      <c r="W7" s="2"/>
    </row>
    <row r="8" spans="3:24" ht="15.5" x14ac:dyDescent="0.35">
      <c r="C8" t="s">
        <v>384</v>
      </c>
      <c r="D8">
        <v>2.4236706896551699</v>
      </c>
      <c r="E8">
        <v>2.793101111111111</v>
      </c>
      <c r="F8" s="2">
        <v>4.3257187500000027</v>
      </c>
      <c r="G8" s="2">
        <v>6.5135725000000031</v>
      </c>
      <c r="K8" t="s">
        <v>384</v>
      </c>
      <c r="L8">
        <v>9.3242596551724173</v>
      </c>
      <c r="M8" s="2">
        <v>9.0914377777777773</v>
      </c>
      <c r="N8" s="2">
        <v>17.688158999999999</v>
      </c>
      <c r="O8" s="2">
        <v>11.639809999999995</v>
      </c>
      <c r="Q8" s="2"/>
      <c r="R8" s="2"/>
      <c r="S8" s="200"/>
      <c r="T8" s="200"/>
      <c r="U8" s="2"/>
      <c r="V8" s="2"/>
      <c r="W8" s="2"/>
    </row>
    <row r="9" spans="3:24" ht="15.5" x14ac:dyDescent="0.35">
      <c r="C9" t="s">
        <v>385</v>
      </c>
      <c r="D9" s="2">
        <v>3.158574999999999</v>
      </c>
      <c r="E9" s="2">
        <v>2.4568161111111149</v>
      </c>
      <c r="F9" s="4">
        <v>3.2180820833333361</v>
      </c>
      <c r="G9" s="4">
        <v>5.1161111428571413</v>
      </c>
      <c r="K9" t="s">
        <v>385</v>
      </c>
      <c r="L9" s="2">
        <v>10.40862230769231</v>
      </c>
      <c r="M9" s="2">
        <v>7.6537783333333289</v>
      </c>
      <c r="N9" s="4">
        <v>11.366328749999996</v>
      </c>
      <c r="O9" s="4">
        <v>8.426204571428574</v>
      </c>
      <c r="Q9" s="2"/>
      <c r="R9" s="2"/>
      <c r="S9" s="200"/>
      <c r="T9" s="5"/>
      <c r="U9" s="5"/>
      <c r="V9" s="2"/>
      <c r="W9" s="2"/>
    </row>
    <row r="10" spans="3:24" x14ac:dyDescent="0.35">
      <c r="C10" t="s">
        <v>386</v>
      </c>
      <c r="D10" s="46">
        <v>7.3761771428571432</v>
      </c>
      <c r="E10" s="2">
        <v>7.2473685714285727</v>
      </c>
      <c r="F10" s="2">
        <v>9.4803370588235367</v>
      </c>
      <c r="G10" s="46">
        <v>10.206119130434777</v>
      </c>
      <c r="K10" t="s">
        <v>386</v>
      </c>
      <c r="L10" s="46">
        <v>9.2101542857142853</v>
      </c>
      <c r="M10" s="2">
        <v>8.2460714285714278</v>
      </c>
      <c r="N10" s="2">
        <v>11.542745882352936</v>
      </c>
      <c r="O10" s="46">
        <v>9.6727913043478306</v>
      </c>
      <c r="Q10" s="2"/>
      <c r="R10" s="2"/>
      <c r="S10" s="2"/>
      <c r="T10" s="2"/>
      <c r="U10" s="2"/>
      <c r="V10" s="2"/>
      <c r="W10" s="2"/>
    </row>
    <row r="11" spans="3:24" ht="15.5" x14ac:dyDescent="0.35">
      <c r="D11" s="46"/>
      <c r="F11" s="46"/>
      <c r="L11" s="46"/>
      <c r="N11" s="46"/>
      <c r="Q11" s="2"/>
      <c r="R11" s="2"/>
      <c r="S11" s="200"/>
      <c r="T11" s="200"/>
      <c r="U11" s="2"/>
      <c r="V11" s="2"/>
      <c r="W11" s="2"/>
    </row>
    <row r="12" spans="3:24" ht="15.5" x14ac:dyDescent="0.35">
      <c r="D12" s="46"/>
      <c r="F12" s="13"/>
      <c r="L12" s="46"/>
      <c r="N12" s="13"/>
      <c r="Q12" s="2"/>
      <c r="R12" s="2"/>
      <c r="S12" s="200"/>
      <c r="T12" s="5"/>
      <c r="U12" s="5"/>
      <c r="V12" s="2"/>
      <c r="W12" s="2"/>
    </row>
    <row r="13" spans="3:24" ht="15.5" x14ac:dyDescent="0.35">
      <c r="D13" s="13"/>
      <c r="F13" s="13"/>
      <c r="L13" s="46"/>
      <c r="N13" s="13"/>
      <c r="Q13" s="2"/>
      <c r="R13" s="2"/>
      <c r="S13" s="200"/>
      <c r="T13" s="5"/>
      <c r="U13" s="5"/>
      <c r="V13" s="2"/>
      <c r="W13" s="2"/>
    </row>
    <row r="14" spans="3:24" x14ac:dyDescent="0.35">
      <c r="Q14" s="2"/>
      <c r="R14" s="2"/>
      <c r="S14" s="2"/>
      <c r="T14" s="2"/>
      <c r="U14" s="2"/>
      <c r="V14" s="2"/>
      <c r="W14" s="2"/>
    </row>
    <row r="15" spans="3:24" x14ac:dyDescent="0.35">
      <c r="C15" t="s">
        <v>548</v>
      </c>
      <c r="D15">
        <f>AVERAGE(D5:D10)</f>
        <v>3.8610548252599881</v>
      </c>
      <c r="E15">
        <f>AVERAGE(E5:E10)</f>
        <v>4.0044309031622989</v>
      </c>
      <c r="F15">
        <f>AVERAGE(F5:F10)</f>
        <v>4.7021576486928121</v>
      </c>
      <c r="G15">
        <f>AVERAGE(G5:G10)</f>
        <v>6.3870070891994475</v>
      </c>
      <c r="K15" t="s">
        <v>548</v>
      </c>
      <c r="L15">
        <f>AVERAGE(L5:L10)</f>
        <v>9.2066142239695186</v>
      </c>
      <c r="M15">
        <f>AVERAGE(M5:M10)</f>
        <v>7.1046890279315846</v>
      </c>
      <c r="N15">
        <f>AVERAGE(N5:N10)</f>
        <v>11.480783355392155</v>
      </c>
      <c r="O15">
        <f>AVERAGE(O5:O10)</f>
        <v>8.9632090150103529</v>
      </c>
      <c r="Q15" s="2"/>
      <c r="R15" s="2"/>
      <c r="S15" s="2"/>
      <c r="T15" s="2"/>
      <c r="U15" s="2"/>
      <c r="V15" s="2"/>
      <c r="W15" s="2"/>
    </row>
    <row r="16" spans="3:24" x14ac:dyDescent="0.35">
      <c r="C16" t="s">
        <v>94</v>
      </c>
      <c r="D16">
        <f>_xlfn.STDEV.S(D5:D10)</f>
        <v>1.8141240477861069</v>
      </c>
      <c r="E16">
        <f>_xlfn.STDEV.S(E5:E10)</f>
        <v>1.7571128034031005</v>
      </c>
      <c r="F16">
        <f>_xlfn.STDEV.S(F5:F10)</f>
        <v>2.37169997307483</v>
      </c>
      <c r="G16">
        <f>_xlfn.STDEV.S(G5:G10)</f>
        <v>1.9545681386716018</v>
      </c>
      <c r="K16" t="s">
        <v>94</v>
      </c>
      <c r="L16">
        <f>_xlfn.STDEV.S(L5:L10)</f>
        <v>1.5263551674624745</v>
      </c>
      <c r="M16">
        <f>_xlfn.STDEV.S(M5:M10)</f>
        <v>1.8202281561346814</v>
      </c>
      <c r="N16">
        <f>_xlfn.STDEV.S(N5:N10)</f>
        <v>3.3641129192062058</v>
      </c>
      <c r="O16">
        <f>_xlfn.STDEV.S(O5:O10)</f>
        <v>1.9811443314387915</v>
      </c>
    </row>
    <row r="19" spans="3:22" ht="18.5" x14ac:dyDescent="0.45">
      <c r="D19" s="192" t="s">
        <v>9</v>
      </c>
      <c r="L19" s="192" t="s">
        <v>388</v>
      </c>
      <c r="S19" s="192" t="s">
        <v>387</v>
      </c>
    </row>
    <row r="21" spans="3:22" x14ac:dyDescent="0.35">
      <c r="C21" s="139" t="s">
        <v>380</v>
      </c>
      <c r="D21" s="139" t="s">
        <v>0</v>
      </c>
      <c r="E21" s="139" t="s">
        <v>124</v>
      </c>
      <c r="F21" s="139" t="s">
        <v>86</v>
      </c>
      <c r="G21" s="139" t="s">
        <v>92</v>
      </c>
      <c r="K21" s="139" t="s">
        <v>380</v>
      </c>
      <c r="L21" s="139" t="s">
        <v>0</v>
      </c>
      <c r="M21" s="139" t="s">
        <v>124</v>
      </c>
      <c r="N21" s="139" t="s">
        <v>86</v>
      </c>
      <c r="O21" s="139" t="s">
        <v>92</v>
      </c>
      <c r="R21" s="139" t="s">
        <v>380</v>
      </c>
      <c r="S21" s="139" t="s">
        <v>0</v>
      </c>
      <c r="T21" s="139" t="s">
        <v>124</v>
      </c>
      <c r="U21" s="139" t="s">
        <v>86</v>
      </c>
      <c r="V21" s="139" t="s">
        <v>92</v>
      </c>
    </row>
    <row r="22" spans="3:22" x14ac:dyDescent="0.35">
      <c r="C22" t="s">
        <v>381</v>
      </c>
      <c r="D22">
        <v>10.878902</v>
      </c>
      <c r="E22">
        <v>8.8808766666666674</v>
      </c>
      <c r="F22">
        <v>13.664988749999999</v>
      </c>
      <c r="G22">
        <v>11.680263333333333</v>
      </c>
      <c r="K22" t="s">
        <v>381</v>
      </c>
      <c r="L22">
        <v>6.162005014229945</v>
      </c>
      <c r="M22">
        <v>7.8073914541142573</v>
      </c>
      <c r="N22">
        <v>4.7298296887269089</v>
      </c>
      <c r="O22">
        <v>5.5949028422435401</v>
      </c>
      <c r="R22" t="s">
        <v>381</v>
      </c>
      <c r="S22" s="2">
        <v>24.636363636363601</v>
      </c>
      <c r="T22" s="2">
        <v>34</v>
      </c>
      <c r="U22">
        <v>18.888888888888889</v>
      </c>
      <c r="V22">
        <v>28</v>
      </c>
    </row>
    <row r="23" spans="3:22" ht="15.5" x14ac:dyDescent="0.35">
      <c r="C23" t="s">
        <v>382</v>
      </c>
      <c r="D23">
        <v>14.430197499999998</v>
      </c>
      <c r="E23" s="2">
        <v>12.029378888888889</v>
      </c>
      <c r="F23" s="4">
        <v>14.350466249999998</v>
      </c>
      <c r="G23" s="4">
        <v>15.721827142857142</v>
      </c>
      <c r="K23" t="s">
        <v>382</v>
      </c>
      <c r="L23">
        <v>4.8090548511091775</v>
      </c>
      <c r="M23" s="2">
        <v>4.4588598320817896</v>
      </c>
      <c r="N23" s="164">
        <v>5.9389035496912141</v>
      </c>
      <c r="O23" s="164">
        <v>5.8150557751474903</v>
      </c>
      <c r="R23" t="s">
        <v>382</v>
      </c>
      <c r="S23">
        <v>15.875</v>
      </c>
      <c r="T23" s="2">
        <v>17.8</v>
      </c>
      <c r="U23" s="4">
        <v>20</v>
      </c>
      <c r="V23" s="4">
        <v>30.666666666666668</v>
      </c>
    </row>
    <row r="24" spans="3:22" x14ac:dyDescent="0.35">
      <c r="C24" t="s">
        <v>383</v>
      </c>
      <c r="D24">
        <v>11.195455714285716</v>
      </c>
      <c r="E24">
        <v>8.2558906976744186</v>
      </c>
      <c r="F24" s="2">
        <v>11.460819500000001</v>
      </c>
      <c r="G24" s="2">
        <v>13.1245975</v>
      </c>
      <c r="K24" t="s">
        <v>383</v>
      </c>
      <c r="L24">
        <v>4.5126283662894489</v>
      </c>
      <c r="M24">
        <v>5.0228696991425048</v>
      </c>
      <c r="N24" s="2">
        <v>4.6092709901310922</v>
      </c>
      <c r="O24" s="2">
        <v>5.7600526475146934</v>
      </c>
      <c r="R24" t="s">
        <v>383</v>
      </c>
      <c r="S24">
        <v>12.435294117647059</v>
      </c>
      <c r="T24">
        <v>15.181818181818182</v>
      </c>
      <c r="U24" s="2">
        <v>16.61904761904762</v>
      </c>
      <c r="V24" s="2">
        <v>34.882352941176471</v>
      </c>
    </row>
    <row r="25" spans="3:22" x14ac:dyDescent="0.35">
      <c r="C25" t="s">
        <v>384</v>
      </c>
      <c r="D25">
        <v>11.747930344827585</v>
      </c>
      <c r="E25" s="2">
        <v>11.884538888888891</v>
      </c>
      <c r="F25" s="2">
        <v>22.141117000000001</v>
      </c>
      <c r="G25" s="2">
        <v>18.153382499999999</v>
      </c>
      <c r="K25" t="s">
        <v>384</v>
      </c>
      <c r="L25">
        <v>4.8985422857577223</v>
      </c>
      <c r="M25" s="2">
        <v>4.037092654178978</v>
      </c>
      <c r="N25" s="2">
        <v>4.5518810630904234</v>
      </c>
      <c r="O25" s="2">
        <v>5.6552722088934626</v>
      </c>
      <c r="R25" t="s">
        <v>384</v>
      </c>
      <c r="S25">
        <v>11.466666666666667</v>
      </c>
      <c r="T25" s="2">
        <v>11.4</v>
      </c>
      <c r="U25" s="2">
        <v>20.545454545454547</v>
      </c>
      <c r="V25" s="2">
        <v>38.200000000000003</v>
      </c>
    </row>
    <row r="26" spans="3:22" ht="15.5" x14ac:dyDescent="0.35">
      <c r="C26" t="s">
        <v>385</v>
      </c>
      <c r="D26" s="2">
        <v>13.567197307692309</v>
      </c>
      <c r="E26" s="2">
        <v>10.110594444444445</v>
      </c>
      <c r="F26" s="4">
        <v>14.584410833333331</v>
      </c>
      <c r="G26" s="4">
        <v>13.542315714285714</v>
      </c>
      <c r="K26" t="s">
        <v>385</v>
      </c>
      <c r="L26">
        <v>4.209594182147149</v>
      </c>
      <c r="M26" s="2">
        <v>5.4871112327991076</v>
      </c>
      <c r="N26" s="46">
        <v>3.5720422072051941</v>
      </c>
      <c r="O26" s="164">
        <v>5.0968586482593183</v>
      </c>
      <c r="R26" t="s">
        <v>385</v>
      </c>
      <c r="S26" s="2">
        <v>13.222222222222221</v>
      </c>
      <c r="T26" s="2">
        <v>13.444444444444445</v>
      </c>
      <c r="U26" s="164">
        <v>11.24</v>
      </c>
      <c r="V26" s="4">
        <v>26.057142857142857</v>
      </c>
    </row>
    <row r="27" spans="3:22" x14ac:dyDescent="0.35">
      <c r="C27" t="s">
        <v>386</v>
      </c>
      <c r="D27" s="46">
        <v>16.58633142857143</v>
      </c>
      <c r="E27" s="2">
        <v>15.493440000000001</v>
      </c>
      <c r="F27" s="2">
        <v>21.023082941176469</v>
      </c>
      <c r="G27" s="46">
        <v>19.878910434782608</v>
      </c>
      <c r="K27" t="s">
        <v>386</v>
      </c>
      <c r="L27" s="45">
        <v>3.5075638017680286</v>
      </c>
      <c r="M27" s="2">
        <v>4.0797927313842317</v>
      </c>
      <c r="N27" s="2">
        <v>3.7257969345675308</v>
      </c>
      <c r="O27" s="46">
        <v>5.0041417522439149</v>
      </c>
      <c r="R27" t="s">
        <v>386</v>
      </c>
      <c r="S27" s="46">
        <v>25.857142857142858</v>
      </c>
      <c r="T27" s="2">
        <v>29.857142857142858</v>
      </c>
      <c r="U27" s="2">
        <v>35.294117647058826</v>
      </c>
      <c r="V27" s="46">
        <v>51.217391304347828</v>
      </c>
    </row>
    <row r="28" spans="3:22" x14ac:dyDescent="0.35">
      <c r="D28" s="46"/>
      <c r="F28" s="46"/>
      <c r="L28" s="2"/>
      <c r="N28" s="45"/>
      <c r="S28" s="2"/>
      <c r="U28" s="46"/>
    </row>
    <row r="29" spans="3:22" x14ac:dyDescent="0.35">
      <c r="D29" s="46"/>
      <c r="F29" s="13"/>
      <c r="L29" s="45"/>
      <c r="N29" s="46"/>
      <c r="S29" s="46"/>
      <c r="U29" s="46"/>
    </row>
    <row r="30" spans="3:22" x14ac:dyDescent="0.35">
      <c r="D30" s="46"/>
      <c r="F30" s="13"/>
      <c r="L30" s="45"/>
      <c r="N30" s="46"/>
      <c r="S30" s="46"/>
      <c r="U30" s="46"/>
    </row>
    <row r="31" spans="3:22" x14ac:dyDescent="0.35">
      <c r="D31" s="46"/>
      <c r="F31" s="13"/>
      <c r="L31" s="45"/>
      <c r="N31" s="46"/>
      <c r="S31" s="46"/>
      <c r="U31" s="46"/>
    </row>
    <row r="32" spans="3:22" x14ac:dyDescent="0.35">
      <c r="C32" t="s">
        <v>548</v>
      </c>
      <c r="D32">
        <f>AVERAGE(D22:D27)</f>
        <v>13.067669049229508</v>
      </c>
      <c r="E32">
        <f>AVERAGE(E22:E27)</f>
        <v>11.109119931093886</v>
      </c>
      <c r="F32">
        <f>AVERAGE(F22:F27)</f>
        <v>16.204147545751635</v>
      </c>
      <c r="G32">
        <f>AVERAGE(G22:G27)</f>
        <v>15.3502161042098</v>
      </c>
      <c r="H32" s="141"/>
      <c r="I32" s="141"/>
      <c r="J32" s="141"/>
      <c r="K32" t="s">
        <v>548</v>
      </c>
      <c r="L32">
        <f>AVERAGE(L22:L27)</f>
        <v>4.6832314168835785</v>
      </c>
      <c r="M32">
        <f>AVERAGE(M22:M27)</f>
        <v>5.1488529339501445</v>
      </c>
      <c r="N32">
        <f>AVERAGE(N22:N27)</f>
        <v>4.5212874055687271</v>
      </c>
      <c r="O32">
        <f>AVERAGE(O22:O27)</f>
        <v>5.4877139790504037</v>
      </c>
      <c r="R32" t="s">
        <v>548</v>
      </c>
      <c r="S32">
        <f>AVERAGE(S22:S27)</f>
        <v>17.248781583340403</v>
      </c>
      <c r="T32">
        <f>AVERAGE(T22:T27)</f>
        <v>20.280567580567581</v>
      </c>
      <c r="U32">
        <f>AVERAGE(U22:U27)</f>
        <v>20.431251450074978</v>
      </c>
      <c r="V32">
        <f>AVERAGE(V22:V27)</f>
        <v>34.837258961555641</v>
      </c>
    </row>
    <row r="33" spans="3:22" x14ac:dyDescent="0.35">
      <c r="C33" t="s">
        <v>94</v>
      </c>
      <c r="D33">
        <f>_xlfn.STDEV.S(D22:D27)</f>
        <v>2.2147050103879984</v>
      </c>
      <c r="E33">
        <f>_xlfn.STDEV.S(E22:E27)</f>
        <v>2.6371746937780234</v>
      </c>
      <c r="F33">
        <f>_xlfn.STDEV.S(F22:F27)</f>
        <v>4.3237926488070206</v>
      </c>
      <c r="G33">
        <f>_xlfn.STDEV.S(G22:G27)</f>
        <v>3.1684489668621993</v>
      </c>
      <c r="H33" s="46"/>
      <c r="I33" s="46"/>
      <c r="J33" s="46"/>
      <c r="K33" t="s">
        <v>94</v>
      </c>
      <c r="L33">
        <f>_xlfn.STDEV.S(L22:L27)</f>
        <v>0.88142993269989045</v>
      </c>
      <c r="M33">
        <f>_xlfn.STDEV.S(M22:M27)</f>
        <v>1.4179639369463688</v>
      </c>
      <c r="N33">
        <f>_xlfn.STDEV.S(N22:N27)</f>
        <v>0.84801816431541766</v>
      </c>
      <c r="O33">
        <f>_xlfn.STDEV.S(O22:O27)</f>
        <v>0.34856741176998751</v>
      </c>
      <c r="R33" t="s">
        <v>94</v>
      </c>
      <c r="S33">
        <f>_xlfn.STDEV.S(S22:S27)</f>
        <v>6.3778244414501328</v>
      </c>
      <c r="T33">
        <f>_xlfn.STDEV.S(T22:T27)</f>
        <v>9.3560797450381088</v>
      </c>
      <c r="U33">
        <f>_xlfn.STDEV.S(U22:U27)</f>
        <v>8.0311231504389831</v>
      </c>
      <c r="V33">
        <f>_xlfn.STDEV.S(V22:V27)</f>
        <v>9.1744338825951726</v>
      </c>
    </row>
    <row r="34" spans="3:22" ht="15.5" x14ac:dyDescent="0.35">
      <c r="D34" s="2"/>
      <c r="E34" s="5"/>
      <c r="F34" s="5"/>
      <c r="G34" s="5"/>
      <c r="H34" s="5"/>
      <c r="I34" s="5"/>
      <c r="J34" s="5"/>
      <c r="K34" s="5"/>
      <c r="L34" s="5"/>
      <c r="M34" s="14"/>
      <c r="N34" s="2"/>
    </row>
    <row r="35" spans="3:22" ht="15" thickBot="1" x14ac:dyDescent="0.4">
      <c r="D35" s="2"/>
      <c r="E35" s="13"/>
      <c r="F35" s="13"/>
      <c r="G35" s="13"/>
      <c r="H35" s="13"/>
      <c r="I35" s="13"/>
      <c r="J35" s="13"/>
      <c r="K35" s="13"/>
      <c r="L35" s="13"/>
      <c r="M35" s="13"/>
      <c r="N35" s="2"/>
    </row>
    <row r="36" spans="3:22" ht="15.5" x14ac:dyDescent="0.35">
      <c r="C36" s="123"/>
      <c r="D36" s="197" t="s">
        <v>399</v>
      </c>
      <c r="E36" s="197"/>
      <c r="F36" s="197"/>
      <c r="G36" s="197"/>
      <c r="H36" s="197"/>
      <c r="I36" s="197"/>
      <c r="J36" s="197"/>
      <c r="K36" s="253" t="s">
        <v>691</v>
      </c>
      <c r="L36" s="198"/>
      <c r="M36" s="198"/>
      <c r="N36" s="197" t="s">
        <v>690</v>
      </c>
      <c r="O36" s="125"/>
      <c r="Q36" s="340" t="s">
        <v>658</v>
      </c>
      <c r="R36" s="336"/>
      <c r="S36" s="341"/>
    </row>
    <row r="37" spans="3:22" ht="15.5" x14ac:dyDescent="0.35">
      <c r="C37" s="126"/>
      <c r="D37" s="5" t="s">
        <v>391</v>
      </c>
      <c r="E37" s="5"/>
      <c r="F37" s="5"/>
      <c r="G37" s="5"/>
      <c r="H37" s="5"/>
      <c r="I37" s="5"/>
      <c r="J37" s="5"/>
      <c r="K37" s="126"/>
      <c r="L37" s="2"/>
      <c r="M37" s="200" t="s">
        <v>686</v>
      </c>
      <c r="N37" s="200" t="s">
        <v>123</v>
      </c>
      <c r="O37" s="136"/>
      <c r="Q37" s="342"/>
      <c r="R37" s="337"/>
      <c r="S37" s="343"/>
    </row>
    <row r="38" spans="3:22" ht="15.5" x14ac:dyDescent="0.35">
      <c r="C38" s="126"/>
      <c r="D38" s="199" t="s">
        <v>401</v>
      </c>
      <c r="E38" s="5"/>
      <c r="F38" s="5"/>
      <c r="G38" s="5"/>
      <c r="H38" s="5"/>
      <c r="I38" s="5"/>
      <c r="J38" s="5"/>
      <c r="K38" s="126"/>
      <c r="L38" s="2"/>
      <c r="M38" s="200" t="s">
        <v>393</v>
      </c>
      <c r="N38" s="5">
        <v>4.9599999999999998E-2</v>
      </c>
      <c r="O38" s="201" t="s">
        <v>397</v>
      </c>
      <c r="Q38" s="342"/>
      <c r="R38" s="337"/>
      <c r="S38" s="343"/>
    </row>
    <row r="39" spans="3:22" ht="15.5" x14ac:dyDescent="0.35">
      <c r="C39" s="126"/>
      <c r="D39" s="199"/>
      <c r="E39" s="5"/>
      <c r="F39" s="5"/>
      <c r="G39" s="5"/>
      <c r="H39" s="5"/>
      <c r="I39" s="5"/>
      <c r="J39" s="5"/>
      <c r="K39" s="126"/>
      <c r="L39" s="2"/>
      <c r="M39" s="200" t="s">
        <v>394</v>
      </c>
      <c r="N39" s="5">
        <v>0.78869999999999996</v>
      </c>
      <c r="O39" s="201" t="s">
        <v>397</v>
      </c>
      <c r="Q39" s="126"/>
      <c r="R39" s="235" t="s">
        <v>660</v>
      </c>
      <c r="S39" s="127"/>
    </row>
    <row r="40" spans="3:22" ht="15.5" x14ac:dyDescent="0.35">
      <c r="C40" s="126"/>
      <c r="D40" s="200" t="s">
        <v>392</v>
      </c>
      <c r="E40" s="200" t="s">
        <v>123</v>
      </c>
      <c r="F40" s="5"/>
      <c r="G40" s="5"/>
      <c r="H40" s="200" t="s">
        <v>398</v>
      </c>
      <c r="I40" s="200" t="s">
        <v>123</v>
      </c>
      <c r="J40" s="5"/>
      <c r="K40" s="126"/>
      <c r="L40" s="2"/>
      <c r="M40" s="200" t="s">
        <v>687</v>
      </c>
      <c r="N40" s="251">
        <v>4.8999999999999998E-3</v>
      </c>
      <c r="O40" s="201" t="s">
        <v>396</v>
      </c>
      <c r="Q40" s="126" t="s">
        <v>0</v>
      </c>
      <c r="R40" s="2">
        <v>0.64229999999999998</v>
      </c>
      <c r="S40" s="127"/>
    </row>
    <row r="41" spans="3:22" ht="15.5" x14ac:dyDescent="0.35">
      <c r="C41" s="126"/>
      <c r="D41" s="200" t="s">
        <v>393</v>
      </c>
      <c r="E41" s="5">
        <v>0.51890000000000003</v>
      </c>
      <c r="F41" s="5" t="s">
        <v>397</v>
      </c>
      <c r="G41" s="5"/>
      <c r="H41" s="200" t="s">
        <v>393</v>
      </c>
      <c r="I41" s="5">
        <v>8.8000000000000005E-3</v>
      </c>
      <c r="J41" s="5" t="s">
        <v>396</v>
      </c>
      <c r="K41" s="126"/>
      <c r="L41" s="2"/>
      <c r="M41" s="200" t="s">
        <v>688</v>
      </c>
      <c r="N41" s="5">
        <v>8.6099999999999996E-2</v>
      </c>
      <c r="O41" s="201" t="s">
        <v>397</v>
      </c>
      <c r="Q41" s="126"/>
      <c r="R41" s="2"/>
      <c r="S41" s="127"/>
    </row>
    <row r="42" spans="3:22" ht="15.5" x14ac:dyDescent="0.35">
      <c r="C42" s="126"/>
      <c r="D42" s="200" t="s">
        <v>394</v>
      </c>
      <c r="E42" s="5">
        <v>9.3100000000000002E-2</v>
      </c>
      <c r="F42" s="5" t="s">
        <v>397</v>
      </c>
      <c r="G42" s="5"/>
      <c r="H42" s="200" t="s">
        <v>394</v>
      </c>
      <c r="I42" s="5">
        <v>0.15340000000000001</v>
      </c>
      <c r="J42" s="5" t="s">
        <v>397</v>
      </c>
      <c r="K42" s="126"/>
      <c r="L42" s="200"/>
      <c r="M42" s="200" t="s">
        <v>689</v>
      </c>
      <c r="N42" s="5">
        <v>0.1361</v>
      </c>
      <c r="O42" s="201" t="s">
        <v>397</v>
      </c>
      <c r="Q42" s="126" t="s">
        <v>659</v>
      </c>
      <c r="R42" s="2">
        <v>0.48699999999999999</v>
      </c>
      <c r="S42" s="127"/>
    </row>
    <row r="43" spans="3:22" ht="16" thickBot="1" x14ac:dyDescent="0.4">
      <c r="C43" s="126"/>
      <c r="D43" s="200" t="s">
        <v>395</v>
      </c>
      <c r="E43" s="5">
        <v>9.5E-4</v>
      </c>
      <c r="F43" s="5" t="s">
        <v>396</v>
      </c>
      <c r="G43" s="5"/>
      <c r="H43" s="200" t="s">
        <v>395</v>
      </c>
      <c r="I43" s="5">
        <v>3.1099999999999999E-2</v>
      </c>
      <c r="J43" s="5" t="s">
        <v>397</v>
      </c>
      <c r="K43" s="129"/>
      <c r="L43" s="20"/>
      <c r="M43" s="202" t="s">
        <v>395</v>
      </c>
      <c r="N43" s="252">
        <v>5.4241000000000001E-4</v>
      </c>
      <c r="O43" s="203" t="s">
        <v>396</v>
      </c>
      <c r="Q43" s="126"/>
      <c r="R43" s="2"/>
      <c r="S43" s="127"/>
    </row>
    <row r="44" spans="3:22" ht="15.5" x14ac:dyDescent="0.35">
      <c r="C44" s="126"/>
      <c r="D44" s="2"/>
      <c r="E44" s="2"/>
      <c r="F44" s="2"/>
      <c r="G44" s="2"/>
      <c r="H44" s="2"/>
      <c r="I44" s="2"/>
      <c r="J44" s="2"/>
      <c r="K44" s="2"/>
      <c r="L44" s="200"/>
      <c r="M44" s="2"/>
      <c r="N44" s="2"/>
      <c r="O44" s="127"/>
      <c r="Q44" s="126" t="s">
        <v>86</v>
      </c>
      <c r="R44" s="2">
        <v>0.92020000000000002</v>
      </c>
      <c r="S44" s="127"/>
    </row>
    <row r="45" spans="3:22" ht="15.5" x14ac:dyDescent="0.35">
      <c r="C45" s="126"/>
      <c r="D45" s="2"/>
      <c r="E45" s="2"/>
      <c r="F45" s="2"/>
      <c r="G45" s="2"/>
      <c r="H45" s="2"/>
      <c r="I45" s="2"/>
      <c r="J45" s="2"/>
      <c r="K45" s="2"/>
      <c r="L45" s="200"/>
      <c r="M45" s="2"/>
      <c r="N45" s="2"/>
      <c r="O45" s="127"/>
      <c r="Q45" s="126"/>
      <c r="R45" s="2"/>
      <c r="S45" s="127"/>
    </row>
    <row r="46" spans="3:22" x14ac:dyDescent="0.35">
      <c r="C46" s="126"/>
      <c r="D46" s="2"/>
      <c r="E46" s="2"/>
      <c r="F46" s="2"/>
      <c r="G46" s="2"/>
      <c r="H46" s="2"/>
      <c r="I46" s="2"/>
      <c r="J46" s="2"/>
      <c r="K46" s="2"/>
      <c r="L46" s="2"/>
      <c r="M46" s="2"/>
      <c r="N46" s="2"/>
      <c r="O46" s="127"/>
      <c r="Q46" s="126" t="s">
        <v>92</v>
      </c>
      <c r="R46" s="2">
        <v>0.96060000000000001</v>
      </c>
      <c r="S46" s="127"/>
    </row>
    <row r="47" spans="3:22" ht="15.5" x14ac:dyDescent="0.35">
      <c r="C47" s="126"/>
      <c r="D47" s="200" t="s">
        <v>400</v>
      </c>
      <c r="E47" s="200" t="s">
        <v>123</v>
      </c>
      <c r="F47" s="2"/>
      <c r="G47" s="2"/>
      <c r="H47" s="200" t="s">
        <v>297</v>
      </c>
      <c r="I47" s="200" t="s">
        <v>123</v>
      </c>
      <c r="J47" s="2"/>
      <c r="K47" s="2"/>
      <c r="L47" s="2"/>
      <c r="M47" s="200" t="s">
        <v>387</v>
      </c>
      <c r="N47" s="200" t="s">
        <v>123</v>
      </c>
      <c r="O47" s="127"/>
      <c r="Q47" s="126"/>
      <c r="R47" s="2"/>
      <c r="S47" s="127"/>
    </row>
    <row r="48" spans="3:22" ht="15.5" x14ac:dyDescent="0.35">
      <c r="C48" s="126"/>
      <c r="D48" s="200" t="s">
        <v>393</v>
      </c>
      <c r="E48" s="5">
        <v>1.44E-2</v>
      </c>
      <c r="F48" s="5" t="s">
        <v>396</v>
      </c>
      <c r="G48" s="2"/>
      <c r="H48" s="200" t="s">
        <v>393</v>
      </c>
      <c r="I48" s="5">
        <v>0.28270000000000001</v>
      </c>
      <c r="J48" s="5" t="s">
        <v>397</v>
      </c>
      <c r="K48" s="2"/>
      <c r="L48" s="2"/>
      <c r="M48" s="200" t="s">
        <v>393</v>
      </c>
      <c r="N48" s="5">
        <v>8.4599999999999995E-2</v>
      </c>
      <c r="O48" s="201" t="s">
        <v>397</v>
      </c>
      <c r="Q48" s="342" t="s">
        <v>661</v>
      </c>
      <c r="R48" s="337"/>
      <c r="S48" s="343"/>
    </row>
    <row r="49" spans="3:19" ht="15.5" x14ac:dyDescent="0.35">
      <c r="C49" s="126"/>
      <c r="D49" s="200" t="s">
        <v>394</v>
      </c>
      <c r="E49" s="5">
        <v>0.1086</v>
      </c>
      <c r="F49" s="5" t="s">
        <v>397</v>
      </c>
      <c r="G49" s="2"/>
      <c r="H49" s="200" t="s">
        <v>394</v>
      </c>
      <c r="I49" s="5">
        <v>0.6663</v>
      </c>
      <c r="J49" s="5" t="s">
        <v>397</v>
      </c>
      <c r="K49" s="2"/>
      <c r="L49" s="2"/>
      <c r="M49" s="200" t="s">
        <v>394</v>
      </c>
      <c r="N49" s="5">
        <v>0.253</v>
      </c>
      <c r="O49" s="201" t="s">
        <v>397</v>
      </c>
      <c r="Q49" s="342"/>
      <c r="R49" s="337"/>
      <c r="S49" s="343"/>
    </row>
    <row r="50" spans="3:19" ht="16" thickBot="1" x14ac:dyDescent="0.4">
      <c r="C50" s="129"/>
      <c r="D50" s="202" t="s">
        <v>395</v>
      </c>
      <c r="E50" s="9">
        <v>0.3695</v>
      </c>
      <c r="F50" s="9" t="s">
        <v>397</v>
      </c>
      <c r="G50" s="20"/>
      <c r="H50" s="202" t="s">
        <v>395</v>
      </c>
      <c r="I50" s="9">
        <v>9.2999999999999992E-3</v>
      </c>
      <c r="J50" s="9" t="s">
        <v>396</v>
      </c>
      <c r="K50" s="20"/>
      <c r="L50" s="20"/>
      <c r="M50" s="202" t="s">
        <v>395</v>
      </c>
      <c r="N50" s="9">
        <v>2.2499999999999999E-4</v>
      </c>
      <c r="O50" s="203" t="s">
        <v>396</v>
      </c>
      <c r="Q50" s="344"/>
      <c r="R50" s="345"/>
      <c r="S50" s="346"/>
    </row>
    <row r="56" spans="3:19" ht="18.5" x14ac:dyDescent="0.45">
      <c r="D56" s="192" t="s">
        <v>650</v>
      </c>
      <c r="L56" s="192" t="s">
        <v>651</v>
      </c>
    </row>
    <row r="58" spans="3:19" x14ac:dyDescent="0.35">
      <c r="C58" s="139" t="s">
        <v>380</v>
      </c>
      <c r="D58" s="139" t="s">
        <v>0</v>
      </c>
      <c r="E58" s="139" t="s">
        <v>124</v>
      </c>
      <c r="F58" s="139" t="s">
        <v>86</v>
      </c>
      <c r="G58" s="139" t="s">
        <v>92</v>
      </c>
      <c r="K58" s="139" t="s">
        <v>380</v>
      </c>
      <c r="L58" s="139" t="s">
        <v>0</v>
      </c>
      <c r="M58" s="139" t="s">
        <v>124</v>
      </c>
      <c r="N58" s="139" t="s">
        <v>86</v>
      </c>
      <c r="O58" s="139" t="s">
        <v>92</v>
      </c>
    </row>
    <row r="59" spans="3:19" x14ac:dyDescent="0.35">
      <c r="C59" t="s">
        <v>381</v>
      </c>
      <c r="D59" s="2">
        <v>0.38050879218472111</v>
      </c>
      <c r="E59">
        <v>0.49228801274227707</v>
      </c>
      <c r="F59">
        <v>0.28647313739557945</v>
      </c>
      <c r="G59">
        <v>0.4393887441313441</v>
      </c>
      <c r="K59" t="s">
        <v>381</v>
      </c>
      <c r="L59" s="2">
        <v>0.61949120781527889</v>
      </c>
      <c r="M59">
        <v>0.50771198725772293</v>
      </c>
      <c r="N59">
        <v>0.71352686260442055</v>
      </c>
      <c r="O59">
        <v>0.56061125586865601</v>
      </c>
    </row>
    <row r="60" spans="3:19" x14ac:dyDescent="0.35">
      <c r="C60" t="s">
        <v>382</v>
      </c>
      <c r="D60">
        <v>0.24161638101656321</v>
      </c>
      <c r="E60">
        <v>0.35681640458461422</v>
      </c>
      <c r="F60">
        <v>0.24514525697299591</v>
      </c>
      <c r="G60">
        <v>0.33705269510046643</v>
      </c>
      <c r="K60" t="s">
        <v>382</v>
      </c>
      <c r="L60">
        <v>0.75838361898343687</v>
      </c>
      <c r="M60">
        <v>0.64318359541538583</v>
      </c>
      <c r="N60">
        <v>0.75485474302700417</v>
      </c>
      <c r="O60">
        <v>0.66294730489953368</v>
      </c>
    </row>
    <row r="61" spans="3:19" x14ac:dyDescent="0.35">
      <c r="C61" t="s">
        <v>383</v>
      </c>
      <c r="D61" s="2">
        <v>0.25082981136912907</v>
      </c>
      <c r="E61">
        <v>0.36639957883525665</v>
      </c>
      <c r="F61">
        <v>0.32610401819319462</v>
      </c>
      <c r="G61">
        <v>0.47110014119060623</v>
      </c>
      <c r="K61" t="s">
        <v>383</v>
      </c>
      <c r="L61" s="2">
        <v>0.74917018863087093</v>
      </c>
      <c r="M61">
        <v>0.63360042116474347</v>
      </c>
      <c r="N61">
        <v>0.67389598180680543</v>
      </c>
      <c r="O61">
        <v>0.52889985880939372</v>
      </c>
    </row>
    <row r="62" spans="3:19" x14ac:dyDescent="0.35">
      <c r="C62" t="s">
        <v>384</v>
      </c>
      <c r="D62">
        <v>0.22618999370392637</v>
      </c>
      <c r="E62">
        <v>0.23537923693936127</v>
      </c>
      <c r="F62">
        <v>0.22325721749655969</v>
      </c>
      <c r="G62">
        <v>0.35922472378244674</v>
      </c>
      <c r="K62" t="s">
        <v>384</v>
      </c>
      <c r="L62">
        <v>0.77381000629607355</v>
      </c>
      <c r="M62">
        <v>0.76462076306063875</v>
      </c>
      <c r="N62">
        <v>0.77674278250344042</v>
      </c>
      <c r="O62">
        <v>0.64077527621755326</v>
      </c>
    </row>
    <row r="63" spans="3:19" x14ac:dyDescent="0.35">
      <c r="C63" t="s">
        <v>385</v>
      </c>
      <c r="D63">
        <v>0.24375296203030283</v>
      </c>
      <c r="E63">
        <v>0.24739014251610708</v>
      </c>
      <c r="F63">
        <v>0.22372355327329832</v>
      </c>
      <c r="G63">
        <v>0.3824701951168889</v>
      </c>
      <c r="K63" t="s">
        <v>385</v>
      </c>
      <c r="L63">
        <v>0.75624703796969706</v>
      </c>
      <c r="M63">
        <v>0.75260985748389286</v>
      </c>
      <c r="N63">
        <v>0.7762764467267016</v>
      </c>
      <c r="O63">
        <v>0.61752980488311093</v>
      </c>
    </row>
    <row r="64" spans="3:19" x14ac:dyDescent="0.35">
      <c r="C64" t="s">
        <v>386</v>
      </c>
      <c r="D64">
        <v>0.45321150556167938</v>
      </c>
      <c r="E64">
        <v>0.46492013718671865</v>
      </c>
      <c r="F64">
        <v>0.45386317451162889</v>
      </c>
      <c r="G64">
        <v>0.51545700630813629</v>
      </c>
      <c r="K64" t="s">
        <v>386</v>
      </c>
      <c r="L64">
        <v>0.54678849443832067</v>
      </c>
      <c r="M64">
        <v>0.53507986281328135</v>
      </c>
      <c r="N64">
        <v>0.54613682548837106</v>
      </c>
      <c r="O64">
        <v>0.48454299369186377</v>
      </c>
    </row>
    <row r="65" spans="3:15" x14ac:dyDescent="0.35">
      <c r="D65" s="46"/>
      <c r="F65" s="13"/>
      <c r="L65" s="46"/>
      <c r="N65" s="13"/>
    </row>
    <row r="66" spans="3:15" x14ac:dyDescent="0.35">
      <c r="C66" t="s">
        <v>548</v>
      </c>
      <c r="D66">
        <f>AVERAGE(D59:D64)</f>
        <v>0.29935157431105369</v>
      </c>
      <c r="E66">
        <f>AVERAGE(E59:E64)</f>
        <v>0.36053225213405576</v>
      </c>
      <c r="F66">
        <f>AVERAGE(F59:F64)</f>
        <v>0.29309439297387613</v>
      </c>
      <c r="G66">
        <f>AVERAGE(G59:G64)</f>
        <v>0.41744891760498143</v>
      </c>
      <c r="K66" t="s">
        <v>548</v>
      </c>
      <c r="L66">
        <f>AVERAGE(L59:L64)</f>
        <v>0.70064842568894636</v>
      </c>
      <c r="M66">
        <f>AVERAGE(M59:M64)</f>
        <v>0.63946774786594418</v>
      </c>
      <c r="N66">
        <f>AVERAGE(N59:N64)</f>
        <v>0.70690560702612382</v>
      </c>
      <c r="O66">
        <f>AVERAGE(O59:O64)</f>
        <v>0.58255108239501863</v>
      </c>
    </row>
    <row r="67" spans="3:15" x14ac:dyDescent="0.35">
      <c r="C67" t="s">
        <v>94</v>
      </c>
      <c r="D67">
        <f>_xlfn.STDEV.S(D59:D64)</f>
        <v>9.4224104183233293E-2</v>
      </c>
      <c r="E67">
        <f>_xlfn.STDEV.S(E59:E64)</f>
        <v>0.1065542661989388</v>
      </c>
      <c r="F67">
        <f>_xlfn.STDEV.S(F59:F64)</f>
        <v>8.8282208425401687E-2</v>
      </c>
      <c r="G67">
        <f>_xlfn.STDEV.S(G59:G64)</f>
        <v>6.9343371128991943E-2</v>
      </c>
      <c r="K67" t="s">
        <v>94</v>
      </c>
      <c r="L67">
        <f>_xlfn.STDEV.S(L59:L64)</f>
        <v>9.4224104183232821E-2</v>
      </c>
      <c r="M67">
        <f>_xlfn.STDEV.S(M59:M64)</f>
        <v>0.1065542661989389</v>
      </c>
      <c r="N67">
        <f>_xlfn.STDEV.S(N59:N64)</f>
        <v>8.82822084254027E-2</v>
      </c>
      <c r="O67">
        <f>_xlfn.STDEV.S(O59:O64)</f>
        <v>6.9343371128991305E-2</v>
      </c>
    </row>
  </sheetData>
  <mergeCells count="2">
    <mergeCell ref="Q36:S38"/>
    <mergeCell ref="Q48:S50"/>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V252"/>
  <sheetViews>
    <sheetView zoomScale="50" zoomScaleNormal="50" workbookViewId="0">
      <selection activeCell="AL42" sqref="AL42"/>
    </sheetView>
  </sheetViews>
  <sheetFormatPr defaultRowHeight="14.5" x14ac:dyDescent="0.35"/>
  <cols>
    <col min="4" max="4" width="11.54296875" customWidth="1"/>
    <col min="5" max="5" width="14.1796875" customWidth="1"/>
    <col min="6" max="6" width="11.7265625" customWidth="1"/>
    <col min="9" max="9" width="13" customWidth="1"/>
    <col min="10" max="10" width="12.54296875" customWidth="1"/>
    <col min="12" max="12" width="9.81640625" customWidth="1"/>
    <col min="13" max="13" width="16.81640625" customWidth="1"/>
    <col min="14" max="14" width="14.1796875" customWidth="1"/>
    <col min="16" max="16" width="15.54296875" customWidth="1"/>
    <col min="20" max="20" width="18.1796875" customWidth="1"/>
    <col min="21" max="21" width="13.453125" customWidth="1"/>
    <col min="22" max="22" width="12" customWidth="1"/>
    <col min="32" max="32" width="11.81640625" customWidth="1"/>
    <col min="33" max="33" width="9.7265625" customWidth="1"/>
    <col min="107" max="107" width="9.1796875" style="143"/>
    <col min="115" max="115" width="12.54296875" customWidth="1"/>
    <col min="116" max="116" width="14.7265625" customWidth="1"/>
    <col min="132" max="133" width="12.453125" customWidth="1"/>
  </cols>
  <sheetData>
    <row r="2" spans="3:178" ht="59.25" customHeight="1" x14ac:dyDescent="0.85">
      <c r="C2" s="2"/>
      <c r="D2" s="2"/>
      <c r="E2" s="2"/>
      <c r="F2" s="348" t="s">
        <v>632</v>
      </c>
      <c r="G2" s="324"/>
      <c r="H2" s="324"/>
      <c r="I2" s="324"/>
      <c r="J2" s="324"/>
      <c r="K2" s="324"/>
      <c r="L2" s="324"/>
      <c r="M2" s="324"/>
      <c r="N2" s="2"/>
      <c r="O2" s="2"/>
      <c r="DJ2" s="348" t="s">
        <v>633</v>
      </c>
      <c r="DK2" s="348"/>
      <c r="DL2" s="348"/>
      <c r="DM2" s="348"/>
      <c r="DN2" s="348"/>
      <c r="DO2" s="348"/>
      <c r="DP2" s="348"/>
      <c r="DQ2" s="348"/>
      <c r="DR2" s="348"/>
      <c r="DS2" s="348"/>
      <c r="DT2" s="348"/>
      <c r="DU2" s="348"/>
    </row>
    <row r="3" spans="3:178" ht="21.5" thickBot="1" x14ac:dyDescent="0.55000000000000004">
      <c r="C3" s="2"/>
      <c r="D3" s="2"/>
      <c r="E3" s="2"/>
      <c r="F3" s="2"/>
      <c r="G3" s="2"/>
      <c r="H3" s="2"/>
      <c r="I3" s="2"/>
      <c r="J3" s="2"/>
      <c r="K3" s="2"/>
      <c r="L3" s="2"/>
      <c r="M3" s="2"/>
      <c r="N3" s="2"/>
      <c r="O3" s="2"/>
      <c r="X3" s="347"/>
      <c r="Y3" s="347"/>
      <c r="Z3" s="347"/>
      <c r="AA3" s="347"/>
      <c r="AB3" s="347"/>
      <c r="AC3" s="2"/>
      <c r="AD3" s="2"/>
      <c r="AE3" s="2"/>
    </row>
    <row r="4" spans="3:178" x14ac:dyDescent="0.35">
      <c r="C4" s="123"/>
      <c r="D4" s="124"/>
      <c r="E4" s="124"/>
      <c r="F4" s="124"/>
      <c r="G4" s="124"/>
      <c r="H4" s="124"/>
      <c r="I4" s="124"/>
      <c r="J4" s="124"/>
      <c r="K4" s="124"/>
      <c r="L4" s="124"/>
      <c r="M4" s="124"/>
      <c r="N4" s="124"/>
      <c r="O4" s="124"/>
      <c r="P4" s="125"/>
      <c r="T4" s="123"/>
      <c r="U4" s="124"/>
      <c r="V4" s="124"/>
      <c r="W4" s="124"/>
      <c r="X4" s="124"/>
      <c r="Y4" s="124"/>
      <c r="Z4" s="124"/>
      <c r="AA4" s="124"/>
      <c r="AB4" s="124"/>
      <c r="AC4" s="124"/>
      <c r="AD4" s="124"/>
      <c r="AE4" s="124"/>
      <c r="AF4" s="124"/>
      <c r="AG4" s="125"/>
      <c r="AK4" s="123"/>
      <c r="AL4" s="124"/>
      <c r="AM4" s="124"/>
      <c r="AN4" s="124"/>
      <c r="AO4" s="124"/>
      <c r="AP4" s="124"/>
      <c r="AQ4" s="124"/>
      <c r="AR4" s="124"/>
      <c r="AS4" s="124"/>
      <c r="AT4" s="124"/>
      <c r="AU4" s="124"/>
      <c r="AV4" s="124"/>
      <c r="AW4" s="124"/>
      <c r="AX4" s="125"/>
      <c r="BB4" s="123"/>
      <c r="BC4" s="124"/>
      <c r="BD4" s="124"/>
      <c r="BE4" s="124"/>
      <c r="BF4" s="124"/>
      <c r="BG4" s="124"/>
      <c r="BH4" s="124"/>
      <c r="BI4" s="124"/>
      <c r="BJ4" s="124"/>
      <c r="BK4" s="124"/>
      <c r="BL4" s="124"/>
      <c r="BM4" s="124"/>
      <c r="BN4" s="124"/>
      <c r="BO4" s="125"/>
      <c r="BS4" s="123"/>
      <c r="BT4" s="124"/>
      <c r="BU4" s="124"/>
      <c r="BV4" s="124"/>
      <c r="BW4" s="124"/>
      <c r="BX4" s="124"/>
      <c r="BY4" s="124"/>
      <c r="BZ4" s="124"/>
      <c r="CA4" s="124"/>
      <c r="CB4" s="124"/>
      <c r="CC4" s="124"/>
      <c r="CD4" s="124"/>
      <c r="CE4" s="124"/>
      <c r="CF4" s="125"/>
      <c r="CJ4" s="123"/>
      <c r="CK4" s="124"/>
      <c r="CL4" s="124"/>
      <c r="CM4" s="124"/>
      <c r="CN4" s="124"/>
      <c r="CO4" s="124"/>
      <c r="CP4" s="124"/>
      <c r="CQ4" s="124"/>
      <c r="CR4" s="124"/>
      <c r="CS4" s="124"/>
      <c r="CT4" s="124"/>
      <c r="CU4" s="124"/>
      <c r="CV4" s="124"/>
      <c r="CW4" s="125"/>
      <c r="DJ4" s="123"/>
      <c r="DK4" s="124"/>
      <c r="DL4" s="124"/>
      <c r="DM4" s="124"/>
      <c r="DN4" s="124"/>
      <c r="DO4" s="124"/>
      <c r="DP4" s="124"/>
      <c r="DQ4" s="124"/>
      <c r="DR4" s="124"/>
      <c r="DS4" s="124"/>
      <c r="DT4" s="124"/>
      <c r="DU4" s="124"/>
      <c r="DV4" s="124"/>
      <c r="DW4" s="125"/>
      <c r="EA4" s="123"/>
      <c r="EB4" s="124"/>
      <c r="EC4" s="124"/>
      <c r="ED4" s="124"/>
      <c r="EE4" s="124"/>
      <c r="EF4" s="124"/>
      <c r="EG4" s="124"/>
      <c r="EH4" s="124"/>
      <c r="EI4" s="124"/>
      <c r="EJ4" s="124"/>
      <c r="EK4" s="124"/>
      <c r="EL4" s="124"/>
      <c r="EM4" s="124"/>
      <c r="EN4" s="125"/>
      <c r="ER4" s="123"/>
      <c r="ES4" s="124"/>
      <c r="ET4" s="124"/>
      <c r="EU4" s="124"/>
      <c r="EV4" s="124"/>
      <c r="EW4" s="124"/>
      <c r="EX4" s="124"/>
      <c r="EY4" s="124"/>
      <c r="EZ4" s="124"/>
      <c r="FA4" s="124"/>
      <c r="FB4" s="124"/>
      <c r="FC4" s="124"/>
      <c r="FD4" s="124"/>
      <c r="FE4" s="125"/>
      <c r="FI4" s="123"/>
      <c r="FJ4" s="124"/>
      <c r="FK4" s="124"/>
      <c r="FL4" s="124"/>
      <c r="FM4" s="124"/>
      <c r="FN4" s="124"/>
      <c r="FO4" s="124"/>
      <c r="FP4" s="124"/>
      <c r="FQ4" s="124"/>
      <c r="FR4" s="124"/>
      <c r="FS4" s="124"/>
      <c r="FT4" s="124"/>
      <c r="FU4" s="124"/>
      <c r="FV4" s="125"/>
    </row>
    <row r="5" spans="3:178" ht="26.5" thickBot="1" x14ac:dyDescent="0.65">
      <c r="C5" s="126"/>
      <c r="D5" s="2"/>
      <c r="E5" s="2"/>
      <c r="F5" s="2"/>
      <c r="G5" s="110" t="s">
        <v>0</v>
      </c>
      <c r="H5" s="20"/>
      <c r="I5" s="2"/>
      <c r="J5" s="2"/>
      <c r="K5" s="2"/>
      <c r="L5" s="2"/>
      <c r="M5" s="2"/>
      <c r="N5" s="2"/>
      <c r="O5" s="2"/>
      <c r="P5" s="127"/>
      <c r="T5" s="126"/>
      <c r="U5" s="2"/>
      <c r="V5" s="2"/>
      <c r="W5" s="2"/>
      <c r="X5" s="110" t="s">
        <v>0</v>
      </c>
      <c r="Y5" s="20"/>
      <c r="Z5" s="2"/>
      <c r="AA5" s="2"/>
      <c r="AB5" s="2"/>
      <c r="AC5" s="2"/>
      <c r="AD5" s="2"/>
      <c r="AE5" s="2"/>
      <c r="AF5" s="2"/>
      <c r="AG5" s="127"/>
      <c r="AK5" s="126"/>
      <c r="AL5" s="2"/>
      <c r="AM5" s="2"/>
      <c r="AN5" s="2"/>
      <c r="AO5" s="110" t="s">
        <v>86</v>
      </c>
      <c r="AP5" s="20"/>
      <c r="AQ5" s="2"/>
      <c r="AR5" s="2"/>
      <c r="AS5" s="2"/>
      <c r="AT5" s="2"/>
      <c r="AU5" s="2"/>
      <c r="AV5" s="2"/>
      <c r="AW5" s="2"/>
      <c r="AX5" s="127"/>
      <c r="BB5" s="126"/>
      <c r="BC5" s="2"/>
      <c r="BD5" s="2"/>
      <c r="BE5" s="2"/>
      <c r="BF5" s="110" t="s">
        <v>86</v>
      </c>
      <c r="BG5" s="20"/>
      <c r="BH5" s="2"/>
      <c r="BI5" s="2"/>
      <c r="BJ5" s="2"/>
      <c r="BK5" s="2"/>
      <c r="BL5" s="2"/>
      <c r="BM5" s="2"/>
      <c r="BN5" s="2"/>
      <c r="BO5" s="127"/>
      <c r="BS5" s="126"/>
      <c r="BT5" s="2"/>
      <c r="BU5" s="2"/>
      <c r="BV5" s="2"/>
      <c r="BW5" s="110" t="s">
        <v>86</v>
      </c>
      <c r="BX5" s="20"/>
      <c r="BY5" s="2"/>
      <c r="BZ5" s="2"/>
      <c r="CA5" s="2"/>
      <c r="CB5" s="2"/>
      <c r="CC5" s="2"/>
      <c r="CD5" s="2"/>
      <c r="CE5" s="2"/>
      <c r="CF5" s="127"/>
      <c r="CJ5" s="126"/>
      <c r="CK5" s="2"/>
      <c r="CL5" s="2"/>
      <c r="CM5" s="2"/>
      <c r="CN5" s="110" t="s">
        <v>86</v>
      </c>
      <c r="CO5" s="20"/>
      <c r="CP5" s="2"/>
      <c r="CQ5" s="2"/>
      <c r="CR5" s="2"/>
      <c r="CS5" s="2"/>
      <c r="CT5" s="2"/>
      <c r="CU5" s="2"/>
      <c r="CV5" s="2"/>
      <c r="CW5" s="127"/>
      <c r="DJ5" s="126"/>
      <c r="DK5" s="2"/>
      <c r="DL5" s="2"/>
      <c r="DM5" s="2"/>
      <c r="DN5" s="110" t="s">
        <v>0</v>
      </c>
      <c r="DO5" s="20"/>
      <c r="DP5" s="2"/>
      <c r="DQ5" s="2"/>
      <c r="DR5" s="2"/>
      <c r="DS5" s="2"/>
      <c r="DT5" s="2"/>
      <c r="DU5" s="2"/>
      <c r="DV5" s="2"/>
      <c r="DW5" s="127"/>
      <c r="EA5" s="126"/>
      <c r="EB5" s="2"/>
      <c r="EC5" s="2"/>
      <c r="ED5" s="2"/>
      <c r="EE5" s="110" t="s">
        <v>0</v>
      </c>
      <c r="EF5" s="20"/>
      <c r="EG5" s="2"/>
      <c r="EH5" s="2"/>
      <c r="EI5" s="2"/>
      <c r="EJ5" s="2"/>
      <c r="EK5" s="2"/>
      <c r="EL5" s="2"/>
      <c r="EM5" s="2"/>
      <c r="EN5" s="127"/>
      <c r="ER5" s="126"/>
      <c r="ES5" s="2"/>
      <c r="ET5" s="2"/>
      <c r="EU5" s="2"/>
      <c r="EV5" s="110" t="s">
        <v>86</v>
      </c>
      <c r="EW5" s="20"/>
      <c r="EX5" s="2"/>
      <c r="EY5" s="2"/>
      <c r="EZ5" s="2"/>
      <c r="FA5" s="2"/>
      <c r="FB5" s="2"/>
      <c r="FC5" s="2"/>
      <c r="FD5" s="2"/>
      <c r="FE5" s="127"/>
      <c r="FI5" s="126"/>
      <c r="FJ5" s="2"/>
      <c r="FK5" s="2"/>
      <c r="FL5" s="2"/>
      <c r="FM5" s="110" t="s">
        <v>86</v>
      </c>
      <c r="FN5" s="20"/>
      <c r="FO5" s="2"/>
      <c r="FP5" s="2"/>
      <c r="FQ5" s="2"/>
      <c r="FR5" s="2"/>
      <c r="FS5" s="2"/>
      <c r="FT5" s="2"/>
      <c r="FU5" s="2"/>
      <c r="FV5" s="127"/>
    </row>
    <row r="6" spans="3:178" x14ac:dyDescent="0.35">
      <c r="C6" s="126"/>
      <c r="D6" s="2"/>
      <c r="E6" s="2"/>
      <c r="F6" s="2"/>
      <c r="G6" s="2"/>
      <c r="H6" s="2"/>
      <c r="I6" s="2"/>
      <c r="J6" s="2"/>
      <c r="K6" s="2"/>
      <c r="L6" s="2"/>
      <c r="M6" s="2"/>
      <c r="N6" s="2"/>
      <c r="O6" s="2"/>
      <c r="P6" s="127"/>
      <c r="T6" s="126"/>
      <c r="U6" s="2"/>
      <c r="V6" s="3"/>
      <c r="W6" s="2"/>
      <c r="X6" s="2"/>
      <c r="Y6" s="2"/>
      <c r="Z6" s="2"/>
      <c r="AA6" s="2"/>
      <c r="AB6" s="2"/>
      <c r="AC6" s="2"/>
      <c r="AD6" s="2"/>
      <c r="AE6" s="2"/>
      <c r="AF6" s="2"/>
      <c r="AG6" s="127"/>
      <c r="AK6" s="126"/>
      <c r="AL6" s="2"/>
      <c r="AM6" s="2"/>
      <c r="AN6" s="2"/>
      <c r="AO6" s="2"/>
      <c r="AP6" s="2"/>
      <c r="AQ6" s="2"/>
      <c r="AR6" s="2"/>
      <c r="AS6" s="2"/>
      <c r="AT6" s="2"/>
      <c r="AU6" s="2"/>
      <c r="AV6" s="2"/>
      <c r="AW6" s="2"/>
      <c r="AX6" s="127"/>
      <c r="BB6" s="126"/>
      <c r="BC6" s="2"/>
      <c r="BD6" s="2"/>
      <c r="BE6" s="2"/>
      <c r="BF6" s="2"/>
      <c r="BG6" s="2"/>
      <c r="BH6" s="2"/>
      <c r="BI6" s="2"/>
      <c r="BJ6" s="2"/>
      <c r="BK6" s="2"/>
      <c r="BL6" s="2"/>
      <c r="BM6" s="2"/>
      <c r="BN6" s="2"/>
      <c r="BO6" s="127"/>
      <c r="BS6" s="126"/>
      <c r="BT6" s="2"/>
      <c r="BU6" s="2"/>
      <c r="BV6" s="2"/>
      <c r="BW6" s="2"/>
      <c r="BX6" s="2"/>
      <c r="BY6" s="2"/>
      <c r="BZ6" s="2"/>
      <c r="CA6" s="2"/>
      <c r="CB6" s="2"/>
      <c r="CC6" s="2"/>
      <c r="CD6" s="2"/>
      <c r="CE6" s="2"/>
      <c r="CF6" s="127"/>
      <c r="CJ6" s="126"/>
      <c r="CK6" s="2"/>
      <c r="CL6" s="2"/>
      <c r="CM6" s="2"/>
      <c r="CN6" s="2"/>
      <c r="CO6" s="2"/>
      <c r="CP6" s="2"/>
      <c r="CQ6" s="2"/>
      <c r="CR6" s="2"/>
      <c r="CS6" s="2"/>
      <c r="CT6" s="2"/>
      <c r="CU6" s="2"/>
      <c r="CV6" s="2"/>
      <c r="CW6" s="127"/>
      <c r="DJ6" s="126"/>
      <c r="DK6" s="2"/>
      <c r="DL6" s="2"/>
      <c r="DM6" s="2"/>
      <c r="DN6" s="2"/>
      <c r="DO6" s="2"/>
      <c r="DP6" s="2"/>
      <c r="DQ6" s="2"/>
      <c r="DR6" s="2"/>
      <c r="DS6" s="2"/>
      <c r="DT6" s="2"/>
      <c r="DU6" s="2"/>
      <c r="DV6" s="2"/>
      <c r="DW6" s="127"/>
      <c r="EA6" s="126"/>
      <c r="EB6" s="2"/>
      <c r="EC6" s="3"/>
      <c r="ED6" s="2"/>
      <c r="EE6" s="2"/>
      <c r="EF6" s="2"/>
      <c r="EG6" s="2"/>
      <c r="EH6" s="2"/>
      <c r="EI6" s="2"/>
      <c r="EJ6" s="2"/>
      <c r="EK6" s="2"/>
      <c r="EL6" s="2"/>
      <c r="EM6" s="2"/>
      <c r="EN6" s="127"/>
      <c r="ER6" s="126"/>
      <c r="ES6" s="2"/>
      <c r="ET6" s="2"/>
      <c r="EU6" s="2"/>
      <c r="EV6" s="2"/>
      <c r="EW6" s="2"/>
      <c r="EX6" s="2"/>
      <c r="EY6" s="2"/>
      <c r="EZ6" s="2"/>
      <c r="FA6" s="2"/>
      <c r="FB6" s="2"/>
      <c r="FC6" s="2"/>
      <c r="FD6" s="2"/>
      <c r="FE6" s="127"/>
      <c r="FI6" s="126"/>
      <c r="FJ6" s="2"/>
      <c r="FK6" s="2"/>
      <c r="FL6" s="2"/>
      <c r="FM6" s="2"/>
      <c r="FN6" s="2"/>
      <c r="FO6" s="2"/>
      <c r="FP6" s="2"/>
      <c r="FQ6" s="2"/>
      <c r="FR6" s="2"/>
      <c r="FS6" s="2"/>
      <c r="FT6" s="2"/>
      <c r="FU6" s="2"/>
      <c r="FV6" s="127"/>
    </row>
    <row r="7" spans="3:178" ht="16" thickBot="1" x14ac:dyDescent="0.4">
      <c r="C7" s="126"/>
      <c r="D7" s="49" t="s">
        <v>130</v>
      </c>
      <c r="E7" s="3" t="s">
        <v>131</v>
      </c>
      <c r="F7" s="2"/>
      <c r="G7" s="9" t="s">
        <v>3</v>
      </c>
      <c r="H7" s="9" t="s">
        <v>4</v>
      </c>
      <c r="I7" s="9" t="s">
        <v>5</v>
      </c>
      <c r="J7" s="9" t="s">
        <v>6</v>
      </c>
      <c r="K7" s="9" t="s">
        <v>7</v>
      </c>
      <c r="L7" s="9" t="s">
        <v>8</v>
      </c>
      <c r="M7" s="9" t="s">
        <v>9</v>
      </c>
      <c r="N7" s="9" t="s">
        <v>10</v>
      </c>
      <c r="O7" s="122" t="s">
        <v>297</v>
      </c>
      <c r="P7" s="127"/>
      <c r="T7" s="126"/>
      <c r="U7" s="49" t="s">
        <v>130</v>
      </c>
      <c r="V7" s="2"/>
      <c r="W7" s="2"/>
      <c r="X7" s="9" t="s">
        <v>3</v>
      </c>
      <c r="Y7" s="9" t="s">
        <v>4</v>
      </c>
      <c r="Z7" s="9" t="s">
        <v>5</v>
      </c>
      <c r="AA7" s="9" t="s">
        <v>6</v>
      </c>
      <c r="AB7" s="9" t="s">
        <v>7</v>
      </c>
      <c r="AC7" s="9" t="s">
        <v>8</v>
      </c>
      <c r="AD7" s="9" t="s">
        <v>9</v>
      </c>
      <c r="AE7" s="9" t="s">
        <v>10</v>
      </c>
      <c r="AF7" s="163" t="s">
        <v>297</v>
      </c>
      <c r="AG7" s="127"/>
      <c r="AK7" s="126"/>
      <c r="AL7" s="49" t="s">
        <v>130</v>
      </c>
      <c r="AM7" s="3"/>
      <c r="AN7" s="2"/>
      <c r="AO7" s="9" t="s">
        <v>3</v>
      </c>
      <c r="AP7" s="9" t="s">
        <v>4</v>
      </c>
      <c r="AQ7" s="9" t="s">
        <v>5</v>
      </c>
      <c r="AR7" s="9" t="s">
        <v>6</v>
      </c>
      <c r="AS7" s="9" t="s">
        <v>7</v>
      </c>
      <c r="AT7" s="9" t="s">
        <v>8</v>
      </c>
      <c r="AU7" s="9" t="s">
        <v>9</v>
      </c>
      <c r="AV7" s="9" t="s">
        <v>10</v>
      </c>
      <c r="AW7" s="122" t="s">
        <v>297</v>
      </c>
      <c r="AX7" s="127"/>
      <c r="BB7" s="126"/>
      <c r="BC7" s="49" t="s">
        <v>130</v>
      </c>
      <c r="BD7" s="3"/>
      <c r="BE7" s="2"/>
      <c r="BF7" s="9" t="s">
        <v>3</v>
      </c>
      <c r="BG7" s="9" t="s">
        <v>4</v>
      </c>
      <c r="BH7" s="9" t="s">
        <v>5</v>
      </c>
      <c r="BI7" s="9" t="s">
        <v>6</v>
      </c>
      <c r="BJ7" s="9" t="s">
        <v>7</v>
      </c>
      <c r="BK7" s="9" t="s">
        <v>8</v>
      </c>
      <c r="BL7" s="9" t="s">
        <v>9</v>
      </c>
      <c r="BM7" s="9" t="s">
        <v>10</v>
      </c>
      <c r="BN7" s="122" t="s">
        <v>297</v>
      </c>
      <c r="BO7" s="127"/>
      <c r="BS7" s="126"/>
      <c r="BT7" s="49" t="s">
        <v>130</v>
      </c>
      <c r="BU7" s="3"/>
      <c r="BV7" s="2"/>
      <c r="BW7" s="9" t="s">
        <v>3</v>
      </c>
      <c r="BX7" s="9" t="s">
        <v>4</v>
      </c>
      <c r="BY7" s="9" t="s">
        <v>5</v>
      </c>
      <c r="BZ7" s="9" t="s">
        <v>6</v>
      </c>
      <c r="CA7" s="9" t="s">
        <v>7</v>
      </c>
      <c r="CB7" s="9" t="s">
        <v>8</v>
      </c>
      <c r="CC7" s="9" t="s">
        <v>9</v>
      </c>
      <c r="CD7" s="9" t="s">
        <v>10</v>
      </c>
      <c r="CE7" s="122" t="s">
        <v>297</v>
      </c>
      <c r="CF7" s="127"/>
      <c r="CJ7" s="126"/>
      <c r="CK7" s="49" t="s">
        <v>130</v>
      </c>
      <c r="CL7" s="3"/>
      <c r="CM7" s="2"/>
      <c r="CN7" s="9" t="s">
        <v>3</v>
      </c>
      <c r="CO7" s="9" t="s">
        <v>4</v>
      </c>
      <c r="CP7" s="9" t="s">
        <v>5</v>
      </c>
      <c r="CQ7" s="9" t="s">
        <v>6</v>
      </c>
      <c r="CR7" s="9" t="s">
        <v>7</v>
      </c>
      <c r="CS7" s="9" t="s">
        <v>8</v>
      </c>
      <c r="CT7" s="9" t="s">
        <v>9</v>
      </c>
      <c r="CU7" s="9" t="s">
        <v>10</v>
      </c>
      <c r="CV7" s="122" t="s">
        <v>297</v>
      </c>
      <c r="CW7" s="127"/>
      <c r="DJ7" s="126"/>
      <c r="DK7" s="49" t="s">
        <v>130</v>
      </c>
      <c r="DL7" s="3" t="s">
        <v>131</v>
      </c>
      <c r="DM7" s="2"/>
      <c r="DN7" s="9" t="s">
        <v>3</v>
      </c>
      <c r="DO7" s="9" t="s">
        <v>4</v>
      </c>
      <c r="DP7" s="9" t="s">
        <v>5</v>
      </c>
      <c r="DQ7" s="9" t="s">
        <v>6</v>
      </c>
      <c r="DR7" s="9" t="s">
        <v>7</v>
      </c>
      <c r="DS7" s="9" t="s">
        <v>8</v>
      </c>
      <c r="DT7" s="9" t="s">
        <v>9</v>
      </c>
      <c r="DU7" s="9" t="s">
        <v>10</v>
      </c>
      <c r="DV7" s="122" t="s">
        <v>297</v>
      </c>
      <c r="DW7" s="127"/>
      <c r="EA7" s="126"/>
      <c r="EB7" s="49" t="s">
        <v>130</v>
      </c>
      <c r="EC7" s="2"/>
      <c r="ED7" s="2"/>
      <c r="EE7" s="9" t="s">
        <v>3</v>
      </c>
      <c r="EF7" s="9" t="s">
        <v>4</v>
      </c>
      <c r="EG7" s="9" t="s">
        <v>5</v>
      </c>
      <c r="EH7" s="9" t="s">
        <v>6</v>
      </c>
      <c r="EI7" s="9" t="s">
        <v>7</v>
      </c>
      <c r="EJ7" s="9" t="s">
        <v>8</v>
      </c>
      <c r="EK7" s="9" t="s">
        <v>9</v>
      </c>
      <c r="EL7" s="9" t="s">
        <v>10</v>
      </c>
      <c r="EM7" s="163" t="s">
        <v>297</v>
      </c>
      <c r="EN7" s="127"/>
      <c r="ER7" s="126"/>
      <c r="ES7" s="49" t="s">
        <v>130</v>
      </c>
      <c r="ET7" s="3"/>
      <c r="EU7" s="2"/>
      <c r="EV7" s="9" t="s">
        <v>3</v>
      </c>
      <c r="EW7" s="9" t="s">
        <v>4</v>
      </c>
      <c r="EX7" s="9" t="s">
        <v>5</v>
      </c>
      <c r="EY7" s="9" t="s">
        <v>6</v>
      </c>
      <c r="EZ7" s="9" t="s">
        <v>7</v>
      </c>
      <c r="FA7" s="9" t="s">
        <v>8</v>
      </c>
      <c r="FB7" s="9" t="s">
        <v>9</v>
      </c>
      <c r="FC7" s="9" t="s">
        <v>10</v>
      </c>
      <c r="FD7" s="122" t="s">
        <v>297</v>
      </c>
      <c r="FE7" s="127"/>
      <c r="FI7" s="126"/>
      <c r="FJ7" s="49" t="s">
        <v>130</v>
      </c>
      <c r="FK7" s="3"/>
      <c r="FL7" s="2"/>
      <c r="FM7" s="9" t="s">
        <v>3</v>
      </c>
      <c r="FN7" s="9" t="s">
        <v>4</v>
      </c>
      <c r="FO7" s="9" t="s">
        <v>5</v>
      </c>
      <c r="FP7" s="9" t="s">
        <v>6</v>
      </c>
      <c r="FQ7" s="9" t="s">
        <v>7</v>
      </c>
      <c r="FR7" s="9" t="s">
        <v>8</v>
      </c>
      <c r="FS7" s="9" t="s">
        <v>9</v>
      </c>
      <c r="FT7" s="9" t="s">
        <v>10</v>
      </c>
      <c r="FU7" s="122" t="s">
        <v>297</v>
      </c>
      <c r="FV7" s="127"/>
    </row>
    <row r="8" spans="3:178" ht="15.5" x14ac:dyDescent="0.35">
      <c r="C8" s="126"/>
      <c r="D8" s="3" t="s">
        <v>19</v>
      </c>
      <c r="E8" s="3">
        <v>8022017</v>
      </c>
      <c r="F8" s="2"/>
      <c r="G8" s="164">
        <v>7.1090000000000062</v>
      </c>
      <c r="H8" s="164">
        <v>7.4399999999999915</v>
      </c>
      <c r="I8" s="164">
        <v>0.49138555778251891</v>
      </c>
      <c r="J8" s="164">
        <v>0.50861444221748109</v>
      </c>
      <c r="K8" s="164">
        <v>0.14404162949262864</v>
      </c>
      <c r="L8" s="164">
        <v>7.0698509031698956E-2</v>
      </c>
      <c r="M8" s="164">
        <v>14.402222222222219</v>
      </c>
      <c r="N8" s="4">
        <v>55.333333333333336</v>
      </c>
      <c r="O8" s="4">
        <v>7.2872052358885684</v>
      </c>
      <c r="P8" s="127"/>
      <c r="T8" s="128"/>
      <c r="U8" s="49" t="s">
        <v>107</v>
      </c>
      <c r="V8" s="3">
        <v>7292016</v>
      </c>
      <c r="W8" s="2"/>
      <c r="X8" s="164">
        <f>AVERAGE(4.53,4.56,4.31,4.58,4.31)</f>
        <v>4.4579999999999993</v>
      </c>
      <c r="Y8" s="164">
        <f>AVERAGE(11.12,6.68,9.91,6.52,9.79)</f>
        <v>8.8039999999999985</v>
      </c>
      <c r="Z8" s="164">
        <f>X8/AD8</f>
        <v>0.33630054315027152</v>
      </c>
      <c r="AA8" s="164">
        <f>Y8/AD8</f>
        <v>0.66415208207604093</v>
      </c>
      <c r="AB8" s="164">
        <f>1/X8</f>
        <v>0.22431583669807093</v>
      </c>
      <c r="AC8" s="164">
        <f>1/AD8</f>
        <v>7.5437537718768863E-2</v>
      </c>
      <c r="AD8" s="164">
        <f>AVERAGE(15.62,11.19,14.25,11.1,14.12)</f>
        <v>13.256</v>
      </c>
      <c r="AE8" s="164">
        <v>17.533333333333335</v>
      </c>
      <c r="AF8" s="164">
        <v>5.5521789289718955</v>
      </c>
      <c r="AG8" s="127"/>
      <c r="AK8" s="126"/>
      <c r="AL8" s="3" t="s">
        <v>389</v>
      </c>
      <c r="AM8" s="3"/>
      <c r="AN8" s="2"/>
      <c r="AO8" s="164">
        <v>6.6381377777777795</v>
      </c>
      <c r="AP8" s="164">
        <v>8.710661111111115</v>
      </c>
      <c r="AQ8" s="164">
        <v>0.43272297985196412</v>
      </c>
      <c r="AR8" s="164">
        <v>0.56727702014803583</v>
      </c>
      <c r="AS8" s="164">
        <v>0.15552291469526816</v>
      </c>
      <c r="AT8" s="164">
        <v>6.5612260719798796E-2</v>
      </c>
      <c r="AU8" s="164">
        <v>15.348798888888894</v>
      </c>
      <c r="AV8" s="164">
        <v>38.111111111111114</v>
      </c>
      <c r="AW8" s="164">
        <v>5.6811802474843045</v>
      </c>
      <c r="AX8" s="127"/>
      <c r="BB8" s="126"/>
      <c r="BC8" s="3" t="s">
        <v>389</v>
      </c>
      <c r="BD8" s="3"/>
      <c r="BE8" s="2"/>
      <c r="BF8" s="164">
        <v>7.4123377777777808</v>
      </c>
      <c r="BG8" s="164">
        <v>10.897124444444437</v>
      </c>
      <c r="BH8" s="164">
        <v>0.40876771405999424</v>
      </c>
      <c r="BI8" s="164">
        <v>0.59123228594000576</v>
      </c>
      <c r="BJ8" s="164">
        <v>0.13587885156463064</v>
      </c>
      <c r="BK8" s="164">
        <v>5.4938206324854605E-2</v>
      </c>
      <c r="BL8" s="164">
        <v>18.309462222222219</v>
      </c>
      <c r="BM8" s="164">
        <v>45.111111111111114</v>
      </c>
      <c r="BN8" s="164">
        <v>6.0767294629334163</v>
      </c>
      <c r="BO8" s="127"/>
      <c r="BS8" s="126"/>
      <c r="BT8" s="3" t="s">
        <v>858</v>
      </c>
      <c r="BU8" s="3"/>
      <c r="BV8" s="2"/>
      <c r="BW8" s="164">
        <v>6.4468066666666646</v>
      </c>
      <c r="BX8" s="164">
        <v>7.2881722222222276</v>
      </c>
      <c r="BY8" s="164">
        <v>0.47182540520061145</v>
      </c>
      <c r="BZ8" s="164">
        <v>0.52817459479938855</v>
      </c>
      <c r="CA8" s="164">
        <v>0.15819378151068295</v>
      </c>
      <c r="CB8" s="164">
        <v>7.3076577950748497E-2</v>
      </c>
      <c r="CC8" s="164">
        <v>13.734978888888893</v>
      </c>
      <c r="CD8" s="164">
        <v>23.333333333333332</v>
      </c>
      <c r="CE8" s="164">
        <v>3.6131937781776662</v>
      </c>
      <c r="CF8" s="127"/>
      <c r="CJ8" s="126"/>
      <c r="CK8" s="3" t="s">
        <v>858</v>
      </c>
      <c r="CL8" s="3"/>
      <c r="CM8" s="2"/>
      <c r="CN8" s="164">
        <v>6.4468066666666646</v>
      </c>
      <c r="CO8" s="164">
        <v>7.2881722222222276</v>
      </c>
      <c r="CP8" s="164">
        <v>0.47182540520061145</v>
      </c>
      <c r="CQ8" s="164">
        <v>0.52817459479938855</v>
      </c>
      <c r="CR8" s="164">
        <v>0.15819378151068295</v>
      </c>
      <c r="CS8" s="164">
        <v>7.3076577950748497E-2</v>
      </c>
      <c r="CT8" s="164">
        <v>13.734978888888893</v>
      </c>
      <c r="CU8" s="164">
        <v>23.333333333333332</v>
      </c>
      <c r="CV8" s="164">
        <v>3.6131937781776662</v>
      </c>
      <c r="CW8" s="127"/>
      <c r="DJ8" s="126"/>
      <c r="DK8" s="3" t="s">
        <v>19</v>
      </c>
      <c r="DL8" s="3">
        <v>8022017</v>
      </c>
      <c r="DM8" s="2"/>
      <c r="DN8" s="164">
        <f t="shared" ref="DN8:DV8" si="0">1-((G8-G8)/(G8+G8))</f>
        <v>1</v>
      </c>
      <c r="DO8" s="164">
        <f t="shared" si="0"/>
        <v>1</v>
      </c>
      <c r="DP8" s="164">
        <f t="shared" si="0"/>
        <v>1</v>
      </c>
      <c r="DQ8" s="164">
        <f t="shared" si="0"/>
        <v>1</v>
      </c>
      <c r="DR8" s="164">
        <f t="shared" si="0"/>
        <v>1</v>
      </c>
      <c r="DS8" s="164">
        <f t="shared" si="0"/>
        <v>1</v>
      </c>
      <c r="DT8" s="164">
        <f t="shared" si="0"/>
        <v>1</v>
      </c>
      <c r="DU8" s="164">
        <f t="shared" si="0"/>
        <v>1</v>
      </c>
      <c r="DV8" s="164">
        <f t="shared" si="0"/>
        <v>1</v>
      </c>
      <c r="DW8" s="127"/>
      <c r="EA8" s="128"/>
      <c r="EB8" s="49" t="s">
        <v>107</v>
      </c>
      <c r="EC8" s="2"/>
      <c r="ED8" s="2"/>
      <c r="EE8" s="164">
        <f t="shared" ref="EE8:EM8" si="1">1-((X8-X8)/(X8+X8))</f>
        <v>1</v>
      </c>
      <c r="EF8" s="164">
        <f t="shared" si="1"/>
        <v>1</v>
      </c>
      <c r="EG8" s="164">
        <f t="shared" si="1"/>
        <v>1</v>
      </c>
      <c r="EH8" s="164">
        <f t="shared" si="1"/>
        <v>1</v>
      </c>
      <c r="EI8" s="164">
        <f t="shared" si="1"/>
        <v>1</v>
      </c>
      <c r="EJ8" s="164">
        <f t="shared" si="1"/>
        <v>1</v>
      </c>
      <c r="EK8" s="164">
        <f t="shared" si="1"/>
        <v>1</v>
      </c>
      <c r="EL8" s="164">
        <f t="shared" si="1"/>
        <v>1</v>
      </c>
      <c r="EM8" s="164">
        <f t="shared" si="1"/>
        <v>1</v>
      </c>
      <c r="EN8" s="127"/>
      <c r="ER8" s="126"/>
      <c r="ES8" s="3" t="s">
        <v>389</v>
      </c>
      <c r="ET8" s="3"/>
      <c r="EU8" s="2"/>
      <c r="EV8" s="164">
        <f t="shared" ref="EV8:EV13" si="2">1-((AO8-AO8)/(AO8+AO8))</f>
        <v>1</v>
      </c>
      <c r="EW8" s="164">
        <f t="shared" ref="EW8:FD13" si="3">1-((AP8-AP8)/(AP8+AP8))</f>
        <v>1</v>
      </c>
      <c r="EX8" s="164">
        <f t="shared" si="3"/>
        <v>1</v>
      </c>
      <c r="EY8" s="164">
        <f t="shared" si="3"/>
        <v>1</v>
      </c>
      <c r="EZ8" s="164">
        <f t="shared" si="3"/>
        <v>1</v>
      </c>
      <c r="FA8" s="164">
        <f t="shared" si="3"/>
        <v>1</v>
      </c>
      <c r="FB8" s="164">
        <f t="shared" si="3"/>
        <v>1</v>
      </c>
      <c r="FC8" s="164">
        <f t="shared" si="3"/>
        <v>1</v>
      </c>
      <c r="FD8" s="164">
        <f t="shared" si="3"/>
        <v>1</v>
      </c>
      <c r="FE8" s="127"/>
      <c r="FI8" s="126"/>
      <c r="FJ8" s="3" t="s">
        <v>389</v>
      </c>
      <c r="FK8" s="3"/>
      <c r="FL8" s="2"/>
      <c r="FM8" s="164">
        <f t="shared" ref="FM8:FM13" si="4">1-((BF8-BF8)/(BF8+BF8))</f>
        <v>1</v>
      </c>
      <c r="FN8" s="164">
        <f t="shared" ref="FN8:FU13" si="5">1-((BG8-BG8)/(BG8+BG8))</f>
        <v>1</v>
      </c>
      <c r="FO8" s="164">
        <f t="shared" si="5"/>
        <v>1</v>
      </c>
      <c r="FP8" s="164">
        <f t="shared" si="5"/>
        <v>1</v>
      </c>
      <c r="FQ8" s="164">
        <f t="shared" si="5"/>
        <v>1</v>
      </c>
      <c r="FR8" s="164">
        <f t="shared" si="5"/>
        <v>1</v>
      </c>
      <c r="FS8" s="164">
        <f t="shared" si="5"/>
        <v>1</v>
      </c>
      <c r="FT8" s="164">
        <f t="shared" si="5"/>
        <v>1</v>
      </c>
      <c r="FU8" s="164">
        <f t="shared" si="5"/>
        <v>1</v>
      </c>
      <c r="FV8" s="127"/>
    </row>
    <row r="9" spans="3:178" ht="15.5" x14ac:dyDescent="0.35">
      <c r="C9" s="126"/>
      <c r="D9" s="3" t="s">
        <v>33</v>
      </c>
      <c r="E9" s="3">
        <v>8042017</v>
      </c>
      <c r="F9" s="2"/>
      <c r="G9" s="4">
        <v>6.3561538461538456</v>
      </c>
      <c r="H9" s="4">
        <v>3.9161538461538461</v>
      </c>
      <c r="I9" s="4">
        <v>0.61843497981481643</v>
      </c>
      <c r="J9" s="4">
        <v>0.38156502018518357</v>
      </c>
      <c r="K9" s="4">
        <v>0.16265017140884044</v>
      </c>
      <c r="L9" s="4">
        <v>9.8454387709915922E-2</v>
      </c>
      <c r="M9" s="4">
        <v>10.272307692307693</v>
      </c>
      <c r="N9" s="4">
        <v>41.384615384615387</v>
      </c>
      <c r="O9" s="4">
        <v>6.7987478403403205</v>
      </c>
      <c r="P9" s="127"/>
      <c r="T9" s="128"/>
      <c r="U9" s="49" t="s">
        <v>113</v>
      </c>
      <c r="V9" s="2"/>
      <c r="W9" s="2"/>
      <c r="X9" s="164">
        <f>AVERAGE(2.9,4.48,3.59,3.25,3.58)</f>
        <v>3.56</v>
      </c>
      <c r="Y9" s="164">
        <f>AVERAGE(8.8,11.91,7.34,12.04,7.39)</f>
        <v>9.4960000000000004</v>
      </c>
      <c r="Z9" s="164">
        <f>X9/AD9</f>
        <v>0.27338350483796653</v>
      </c>
      <c r="AA9" s="164">
        <f>Y9/AD9</f>
        <v>0.72922746121947479</v>
      </c>
      <c r="AB9" s="164">
        <f>1/X9</f>
        <v>0.2808988764044944</v>
      </c>
      <c r="AC9" s="164">
        <f>1/AD9</f>
        <v>7.6793119336507454E-2</v>
      </c>
      <c r="AD9" s="164">
        <f>AVERAGE(11.7,16.31,10.89,15.24,10.97)</f>
        <v>13.022</v>
      </c>
      <c r="AE9" s="164">
        <v>10.444444444444445</v>
      </c>
      <c r="AF9" s="164">
        <v>3.0739863647271863</v>
      </c>
      <c r="AG9" s="127"/>
      <c r="AK9" s="126"/>
      <c r="AL9" s="3" t="s">
        <v>390</v>
      </c>
      <c r="AM9" s="3"/>
      <c r="AN9" s="2"/>
      <c r="AO9" s="4">
        <v>6.3625566666666673</v>
      </c>
      <c r="AP9" s="4">
        <v>7.5497949999999996</v>
      </c>
      <c r="AQ9" s="4">
        <v>0.43736487070210028</v>
      </c>
      <c r="AR9" s="4">
        <v>0.56263512929789961</v>
      </c>
      <c r="AS9" s="4">
        <v>0.15476375313190874</v>
      </c>
      <c r="AT9" s="4">
        <v>6.7815526325000208E-2</v>
      </c>
      <c r="AU9" s="4">
        <v>15.328244285714286</v>
      </c>
      <c r="AV9" s="4">
        <v>24.285714285714285</v>
      </c>
      <c r="AW9" s="4">
        <v>3.7298489751671347</v>
      </c>
      <c r="AX9" s="127"/>
      <c r="BB9" s="126"/>
      <c r="BC9" s="3" t="s">
        <v>390</v>
      </c>
      <c r="BD9" s="3"/>
      <c r="BE9" s="2"/>
      <c r="BF9" s="4">
        <v>6.3625566666666673</v>
      </c>
      <c r="BG9" s="4">
        <v>7.5497949999999996</v>
      </c>
      <c r="BH9" s="4">
        <v>0.43736487070210028</v>
      </c>
      <c r="BI9" s="4">
        <v>0.56263512929789961</v>
      </c>
      <c r="BJ9" s="4">
        <v>0.15476375313190874</v>
      </c>
      <c r="BK9" s="4">
        <v>6.7815526325000208E-2</v>
      </c>
      <c r="BL9" s="4">
        <v>15.328244285714286</v>
      </c>
      <c r="BM9" s="4">
        <v>24.285714285714285</v>
      </c>
      <c r="BN9" s="4">
        <v>3.7298489751671347</v>
      </c>
      <c r="BO9" s="127"/>
      <c r="BS9" s="126"/>
      <c r="BT9" s="3" t="s">
        <v>869</v>
      </c>
      <c r="BU9" s="3"/>
      <c r="BV9" s="2"/>
      <c r="BW9" s="4">
        <v>4.9758654545454553</v>
      </c>
      <c r="BX9" s="4">
        <v>8.4710640909090866</v>
      </c>
      <c r="BY9" s="4">
        <v>0.37752884487892796</v>
      </c>
      <c r="BZ9" s="4">
        <v>0.62247115512107198</v>
      </c>
      <c r="CA9" s="4">
        <v>0.21261378082043877</v>
      </c>
      <c r="CB9" s="4">
        <v>7.8210120561004084E-2</v>
      </c>
      <c r="CC9" s="4">
        <v>13.446929545454543</v>
      </c>
      <c r="CD9" s="4">
        <v>10.227272727272727</v>
      </c>
      <c r="CE9" s="4">
        <v>2.0216490782869561</v>
      </c>
      <c r="CF9" s="127"/>
      <c r="CJ9" s="126"/>
      <c r="CK9" s="3" t="s">
        <v>869</v>
      </c>
      <c r="CL9" s="3"/>
      <c r="CM9" s="2"/>
      <c r="CN9" s="4">
        <v>4.9758654545454553</v>
      </c>
      <c r="CO9" s="4">
        <v>8.4710640909090866</v>
      </c>
      <c r="CP9" s="4">
        <v>0.37752884487892796</v>
      </c>
      <c r="CQ9" s="4">
        <v>0.62247115512107198</v>
      </c>
      <c r="CR9" s="4">
        <v>0.21261378082043877</v>
      </c>
      <c r="CS9" s="4">
        <v>7.8210120561004084E-2</v>
      </c>
      <c r="CT9" s="4">
        <v>13.446929545454543</v>
      </c>
      <c r="CU9" s="4">
        <v>10.227272727272727</v>
      </c>
      <c r="CV9" s="4">
        <v>2.0216490782869561</v>
      </c>
      <c r="CW9" s="127"/>
      <c r="DJ9" s="126"/>
      <c r="DK9" s="3" t="s">
        <v>33</v>
      </c>
      <c r="DL9" s="3">
        <v>8042017</v>
      </c>
      <c r="DM9" s="2"/>
      <c r="DN9" s="164">
        <f t="shared" ref="DN9:DN23" si="6">1-((G9-G9)/(G9+G9))</f>
        <v>1</v>
      </c>
      <c r="DO9" s="164">
        <f t="shared" ref="DO9:DO23" si="7">1-((H9-H9)/(H9+H9))</f>
        <v>1</v>
      </c>
      <c r="DP9" s="164">
        <f t="shared" ref="DP9:DP23" si="8">1-((I9-I9)/(I9+I9))</f>
        <v>1</v>
      </c>
      <c r="DQ9" s="164">
        <f t="shared" ref="DQ9:DQ23" si="9">1-((J9-J9)/(J9+J9))</f>
        <v>1</v>
      </c>
      <c r="DR9" s="164">
        <f t="shared" ref="DR9:DR23" si="10">1-((K9-K9)/(K9+K9))</f>
        <v>1</v>
      </c>
      <c r="DS9" s="164">
        <f t="shared" ref="DS9:DS23" si="11">1-((L9-L9)/(L9+L9))</f>
        <v>1</v>
      </c>
      <c r="DT9" s="164">
        <f t="shared" ref="DT9:DT23" si="12">1-((M9-M9)/(M9+M9))</f>
        <v>1</v>
      </c>
      <c r="DU9" s="164">
        <f t="shared" ref="DU9:DU23" si="13">1-((N9-N9)/(N9+N9))</f>
        <v>1</v>
      </c>
      <c r="DV9" s="164">
        <f t="shared" ref="DV9:DV23" si="14">1-((O9-O9)/(O9+O9))</f>
        <v>1</v>
      </c>
      <c r="DW9" s="127"/>
      <c r="EA9" s="128"/>
      <c r="EB9" s="49" t="s">
        <v>113</v>
      </c>
      <c r="EC9" s="2"/>
      <c r="ED9" s="2"/>
      <c r="EE9" s="164">
        <f t="shared" ref="EE9:EE23" si="15">1-((X9-X9)/(X9+X9))</f>
        <v>1</v>
      </c>
      <c r="EF9" s="164">
        <f t="shared" ref="EF9:EF23" si="16">1-((Y9-Y9)/(Y9+Y9))</f>
        <v>1</v>
      </c>
      <c r="EG9" s="164">
        <f t="shared" ref="EG9:EG23" si="17">1-((Z9-Z9)/(Z9+Z9))</f>
        <v>1</v>
      </c>
      <c r="EH9" s="164">
        <f t="shared" ref="EH9:EH23" si="18">1-((AA9-AA9)/(AA9+AA9))</f>
        <v>1</v>
      </c>
      <c r="EI9" s="164">
        <f t="shared" ref="EI9:EI23" si="19">1-((AB9-AB9)/(AB9+AB9))</f>
        <v>1</v>
      </c>
      <c r="EJ9" s="164">
        <f t="shared" ref="EJ9:EJ23" si="20">1-((AC9-AC9)/(AC9+AC9))</f>
        <v>1</v>
      </c>
      <c r="EK9" s="164">
        <f t="shared" ref="EK9:EK23" si="21">1-((AD9-AD9)/(AD9+AD9))</f>
        <v>1</v>
      </c>
      <c r="EL9" s="164">
        <f t="shared" ref="EL9:EL23" si="22">1-((AE9-AE9)/(AE9+AE9))</f>
        <v>1</v>
      </c>
      <c r="EM9" s="164">
        <f t="shared" ref="EM9:EM23" si="23">1-((AF9-AF9)/(AF9+AF9))</f>
        <v>1</v>
      </c>
      <c r="EN9" s="127"/>
      <c r="ER9" s="126"/>
      <c r="ES9" s="3" t="s">
        <v>390</v>
      </c>
      <c r="ET9" s="3"/>
      <c r="EU9" s="2"/>
      <c r="EV9" s="164">
        <f t="shared" si="2"/>
        <v>1</v>
      </c>
      <c r="EW9" s="164">
        <f t="shared" si="3"/>
        <v>1</v>
      </c>
      <c r="EX9" s="164">
        <f t="shared" si="3"/>
        <v>1</v>
      </c>
      <c r="EY9" s="164">
        <f t="shared" si="3"/>
        <v>1</v>
      </c>
      <c r="EZ9" s="164">
        <f t="shared" si="3"/>
        <v>1</v>
      </c>
      <c r="FA9" s="164">
        <f t="shared" si="3"/>
        <v>1</v>
      </c>
      <c r="FB9" s="164">
        <f t="shared" si="3"/>
        <v>1</v>
      </c>
      <c r="FC9" s="164">
        <f t="shared" si="3"/>
        <v>1</v>
      </c>
      <c r="FD9" s="164">
        <f t="shared" si="3"/>
        <v>1</v>
      </c>
      <c r="FE9" s="127"/>
      <c r="FI9" s="126"/>
      <c r="FJ9" s="3" t="s">
        <v>390</v>
      </c>
      <c r="FK9" s="3"/>
      <c r="FL9" s="2"/>
      <c r="FM9" s="164">
        <f t="shared" si="4"/>
        <v>1</v>
      </c>
      <c r="FN9" s="164">
        <f t="shared" si="5"/>
        <v>1</v>
      </c>
      <c r="FO9" s="164">
        <f t="shared" si="5"/>
        <v>1</v>
      </c>
      <c r="FP9" s="164">
        <f t="shared" si="5"/>
        <v>1</v>
      </c>
      <c r="FQ9" s="164">
        <f t="shared" si="5"/>
        <v>1</v>
      </c>
      <c r="FR9" s="164">
        <f t="shared" si="5"/>
        <v>1</v>
      </c>
      <c r="FS9" s="164">
        <f t="shared" si="5"/>
        <v>1</v>
      </c>
      <c r="FT9" s="164">
        <f t="shared" si="5"/>
        <v>1</v>
      </c>
      <c r="FU9" s="164">
        <f t="shared" si="5"/>
        <v>1</v>
      </c>
      <c r="FV9" s="127"/>
    </row>
    <row r="10" spans="3:178" ht="15.5" x14ac:dyDescent="0.35">
      <c r="C10" s="126"/>
      <c r="D10" s="3" t="s">
        <v>57</v>
      </c>
      <c r="E10" s="3">
        <v>8062107</v>
      </c>
      <c r="F10" s="2"/>
      <c r="G10" s="4">
        <v>13.483999999999991</v>
      </c>
      <c r="H10" s="4">
        <v>18.965999999999998</v>
      </c>
      <c r="I10" s="4">
        <v>0.41561938495106865</v>
      </c>
      <c r="J10" s="4">
        <v>0.58438061504893135</v>
      </c>
      <c r="K10" s="4">
        <v>7.4370679335394735E-2</v>
      </c>
      <c r="L10" s="4">
        <v>3.0823754871990516E-2</v>
      </c>
      <c r="M10" s="4">
        <v>32.449999999999989</v>
      </c>
      <c r="N10" s="4">
        <v>28</v>
      </c>
      <c r="O10" s="4">
        <v>2.0721010888391813</v>
      </c>
      <c r="P10" s="127"/>
      <c r="T10" s="128"/>
      <c r="U10" s="49" t="s">
        <v>117</v>
      </c>
      <c r="V10" s="2"/>
      <c r="W10" s="46"/>
      <c r="X10" s="164">
        <f>AVERAGE(6.66,9.38,6.87,6.62)</f>
        <v>7.3825000000000003</v>
      </c>
      <c r="Y10" s="164">
        <f>AVERAGE(10.78,10.69,9.25,11.54)</f>
        <v>10.565</v>
      </c>
      <c r="Z10" s="164">
        <f>X10/AD10</f>
        <v>0.41185495118549514</v>
      </c>
      <c r="AA10" s="164">
        <f>Y10/AD10</f>
        <v>0.58940027894002789</v>
      </c>
      <c r="AB10" s="164">
        <f>1/X10</f>
        <v>0.13545546901456146</v>
      </c>
      <c r="AC10" s="164">
        <f>1/AD10</f>
        <v>5.5788005578800558E-2</v>
      </c>
      <c r="AD10" s="164">
        <f>AVERAGE(17.35,20.03,16.16,18.16)</f>
        <v>17.925000000000001</v>
      </c>
      <c r="AE10" s="164">
        <v>33.5</v>
      </c>
      <c r="AF10" s="164">
        <v>5.4545959636632846</v>
      </c>
      <c r="AG10" s="127"/>
      <c r="AK10" s="126"/>
      <c r="AL10" s="3" t="s">
        <v>256</v>
      </c>
      <c r="AM10" s="3"/>
      <c r="AN10" s="2"/>
      <c r="AO10" s="4">
        <v>3.6991900000000015</v>
      </c>
      <c r="AP10" s="4">
        <v>9.0676799999999957</v>
      </c>
      <c r="AQ10" s="4">
        <v>0.28974917109675297</v>
      </c>
      <c r="AR10" s="4">
        <v>0.71025082890324709</v>
      </c>
      <c r="AS10" s="4">
        <v>0.27032945050132584</v>
      </c>
      <c r="AT10" s="4">
        <v>7.8327734205799873E-2</v>
      </c>
      <c r="AU10" s="4">
        <v>12.766869999999997</v>
      </c>
      <c r="AV10" s="4">
        <v>17.5</v>
      </c>
      <c r="AW10" s="4">
        <v>4.834577301251791</v>
      </c>
      <c r="AX10" s="127"/>
      <c r="BB10" s="126"/>
      <c r="BC10" s="3" t="s">
        <v>256</v>
      </c>
      <c r="BD10" s="3"/>
      <c r="BE10" s="2"/>
      <c r="BF10" s="4">
        <v>3.6991900000000015</v>
      </c>
      <c r="BG10" s="4">
        <v>9.0676799999999957</v>
      </c>
      <c r="BH10" s="4">
        <v>0.28974917109675297</v>
      </c>
      <c r="BI10" s="4">
        <v>0.71025082890324709</v>
      </c>
      <c r="BJ10" s="4">
        <v>0.27032945050132584</v>
      </c>
      <c r="BK10" s="4">
        <v>7.8327734205799873E-2</v>
      </c>
      <c r="BL10" s="4">
        <v>12.766869999999997</v>
      </c>
      <c r="BM10" s="4">
        <v>17.5</v>
      </c>
      <c r="BN10" s="4">
        <v>4.834577301251791</v>
      </c>
      <c r="BO10" s="127"/>
      <c r="BS10" s="126"/>
      <c r="BT10" s="3" t="s">
        <v>876</v>
      </c>
      <c r="BU10" s="3"/>
      <c r="BV10" s="2"/>
      <c r="BW10" s="4">
        <v>5.2809177777777734</v>
      </c>
      <c r="BX10" s="4">
        <v>2.333164444444447</v>
      </c>
      <c r="BY10" s="4">
        <v>0.69775201705772794</v>
      </c>
      <c r="BZ10" s="4">
        <v>0.30224798294227223</v>
      </c>
      <c r="CA10" s="4">
        <v>0.19319428529464491</v>
      </c>
      <c r="CB10" s="4">
        <v>0.13340874150685181</v>
      </c>
      <c r="CC10" s="4">
        <v>7.61408222222222</v>
      </c>
      <c r="CD10" s="4">
        <v>21.851851851851851</v>
      </c>
      <c r="CE10" s="4">
        <v>4.1576408215648017</v>
      </c>
      <c r="CF10" s="127"/>
      <c r="CJ10" s="126"/>
      <c r="CK10" s="3" t="s">
        <v>876</v>
      </c>
      <c r="CL10" s="3"/>
      <c r="CM10" s="2"/>
      <c r="CN10" s="4">
        <v>5.2809177777777734</v>
      </c>
      <c r="CO10" s="4">
        <v>2.333164444444447</v>
      </c>
      <c r="CP10" s="4">
        <v>0.69775201705772794</v>
      </c>
      <c r="CQ10" s="4">
        <v>0.30224798294227223</v>
      </c>
      <c r="CR10" s="4">
        <v>0.19319428529464491</v>
      </c>
      <c r="CS10" s="4">
        <v>0.13340874150685181</v>
      </c>
      <c r="CT10" s="4">
        <v>7.61408222222222</v>
      </c>
      <c r="CU10" s="4">
        <v>21.851851851851851</v>
      </c>
      <c r="CV10" s="4">
        <v>4.1576408215648017</v>
      </c>
      <c r="CW10" s="127"/>
      <c r="DJ10" s="126"/>
      <c r="DK10" s="3" t="s">
        <v>57</v>
      </c>
      <c r="DL10" s="3">
        <v>8062107</v>
      </c>
      <c r="DM10" s="2"/>
      <c r="DN10" s="164">
        <f t="shared" si="6"/>
        <v>1</v>
      </c>
      <c r="DO10" s="164">
        <f t="shared" si="7"/>
        <v>1</v>
      </c>
      <c r="DP10" s="164">
        <f t="shared" si="8"/>
        <v>1</v>
      </c>
      <c r="DQ10" s="164">
        <f t="shared" si="9"/>
        <v>1</v>
      </c>
      <c r="DR10" s="164">
        <f t="shared" si="10"/>
        <v>1</v>
      </c>
      <c r="DS10" s="164">
        <f t="shared" si="11"/>
        <v>1</v>
      </c>
      <c r="DT10" s="164">
        <f t="shared" si="12"/>
        <v>1</v>
      </c>
      <c r="DU10" s="164">
        <f t="shared" si="13"/>
        <v>1</v>
      </c>
      <c r="DV10" s="164">
        <f t="shared" si="14"/>
        <v>1</v>
      </c>
      <c r="DW10" s="127"/>
      <c r="EA10" s="128"/>
      <c r="EB10" s="49" t="s">
        <v>117</v>
      </c>
      <c r="EC10" s="2"/>
      <c r="ED10" s="46"/>
      <c r="EE10" s="164">
        <f t="shared" si="15"/>
        <v>1</v>
      </c>
      <c r="EF10" s="164">
        <f t="shared" si="16"/>
        <v>1</v>
      </c>
      <c r="EG10" s="164">
        <f t="shared" si="17"/>
        <v>1</v>
      </c>
      <c r="EH10" s="164">
        <f t="shared" si="18"/>
        <v>1</v>
      </c>
      <c r="EI10" s="164">
        <f t="shared" si="19"/>
        <v>1</v>
      </c>
      <c r="EJ10" s="164">
        <f t="shared" si="20"/>
        <v>1</v>
      </c>
      <c r="EK10" s="164">
        <f t="shared" si="21"/>
        <v>1</v>
      </c>
      <c r="EL10" s="164">
        <f t="shared" si="22"/>
        <v>1</v>
      </c>
      <c r="EM10" s="164">
        <f t="shared" si="23"/>
        <v>1</v>
      </c>
      <c r="EN10" s="127"/>
      <c r="ER10" s="126"/>
      <c r="ES10" s="3" t="s">
        <v>256</v>
      </c>
      <c r="ET10" s="3"/>
      <c r="EU10" s="2"/>
      <c r="EV10" s="164">
        <f t="shared" si="2"/>
        <v>1</v>
      </c>
      <c r="EW10" s="164">
        <f t="shared" si="3"/>
        <v>1</v>
      </c>
      <c r="EX10" s="164">
        <f t="shared" si="3"/>
        <v>1</v>
      </c>
      <c r="EY10" s="164">
        <f t="shared" si="3"/>
        <v>1</v>
      </c>
      <c r="EZ10" s="164">
        <f t="shared" si="3"/>
        <v>1</v>
      </c>
      <c r="FA10" s="164">
        <f t="shared" si="3"/>
        <v>1</v>
      </c>
      <c r="FB10" s="164">
        <f t="shared" si="3"/>
        <v>1</v>
      </c>
      <c r="FC10" s="164">
        <f t="shared" si="3"/>
        <v>1</v>
      </c>
      <c r="FD10" s="164">
        <f t="shared" si="3"/>
        <v>1</v>
      </c>
      <c r="FE10" s="127"/>
      <c r="FI10" s="126"/>
      <c r="FJ10" s="3" t="s">
        <v>256</v>
      </c>
      <c r="FK10" s="3"/>
      <c r="FL10" s="2"/>
      <c r="FM10" s="164">
        <f t="shared" si="4"/>
        <v>1</v>
      </c>
      <c r="FN10" s="164">
        <f t="shared" si="5"/>
        <v>1</v>
      </c>
      <c r="FO10" s="164">
        <f t="shared" si="5"/>
        <v>1</v>
      </c>
      <c r="FP10" s="164">
        <f t="shared" si="5"/>
        <v>1</v>
      </c>
      <c r="FQ10" s="164">
        <f t="shared" si="5"/>
        <v>1</v>
      </c>
      <c r="FR10" s="164">
        <f t="shared" si="5"/>
        <v>1</v>
      </c>
      <c r="FS10" s="164">
        <f t="shared" si="5"/>
        <v>1</v>
      </c>
      <c r="FT10" s="164">
        <f t="shared" si="5"/>
        <v>1</v>
      </c>
      <c r="FU10" s="164">
        <f t="shared" si="5"/>
        <v>1</v>
      </c>
      <c r="FV10" s="127"/>
    </row>
    <row r="11" spans="3:178" ht="15.5" x14ac:dyDescent="0.35">
      <c r="C11" s="126"/>
      <c r="D11" s="3" t="s">
        <v>61</v>
      </c>
      <c r="E11" s="3">
        <v>8082017</v>
      </c>
      <c r="F11" s="2"/>
      <c r="G11" s="4">
        <v>8.0030769230769074</v>
      </c>
      <c r="H11" s="4">
        <v>10.81307692307694</v>
      </c>
      <c r="I11" s="4">
        <v>0.42495691207037023</v>
      </c>
      <c r="J11" s="4">
        <v>0.57504308792962966</v>
      </c>
      <c r="K11" s="4">
        <v>0.12700694080222621</v>
      </c>
      <c r="L11" s="4">
        <v>5.3421875751986321E-2</v>
      </c>
      <c r="M11" s="4">
        <v>18.816153846153846</v>
      </c>
      <c r="N11" s="4">
        <v>19.46153846153846</v>
      </c>
      <c r="O11" s="4">
        <v>2.3321919306273804</v>
      </c>
      <c r="P11" s="127"/>
      <c r="T11" s="128"/>
      <c r="U11" s="49" t="s">
        <v>118</v>
      </c>
      <c r="V11" s="2"/>
      <c r="W11" s="46"/>
      <c r="X11" s="164">
        <v>2.3875000000000024</v>
      </c>
      <c r="Y11" s="164">
        <v>10.886305294117646</v>
      </c>
      <c r="Z11" s="164">
        <v>0.1805453525784024</v>
      </c>
      <c r="AA11" s="164">
        <v>0.81945464742159757</v>
      </c>
      <c r="AB11" s="164">
        <v>0.42229275741529337</v>
      </c>
      <c r="AC11" s="164">
        <v>7.5957755155297332E-2</v>
      </c>
      <c r="AD11" s="164">
        <v>13.273805294117647</v>
      </c>
      <c r="AE11" s="164">
        <v>13.470588235294118</v>
      </c>
      <c r="AF11" s="164">
        <v>5.6675605080107196</v>
      </c>
      <c r="AG11" s="127"/>
      <c r="AK11" s="126"/>
      <c r="AL11" s="3" t="s">
        <v>304</v>
      </c>
      <c r="AM11" s="3"/>
      <c r="AN11" s="2"/>
      <c r="AO11" s="4">
        <v>8.5856764285714426</v>
      </c>
      <c r="AP11" s="4">
        <v>14.053192857142875</v>
      </c>
      <c r="AQ11" s="4">
        <v>0.38858977681260853</v>
      </c>
      <c r="AR11" s="4">
        <v>0.61141022318739147</v>
      </c>
      <c r="AS11" s="4">
        <v>0.11765416742571701</v>
      </c>
      <c r="AT11" s="4">
        <v>4.5550645860317047E-2</v>
      </c>
      <c r="AU11" s="4">
        <v>22.638869285714318</v>
      </c>
      <c r="AV11" s="4">
        <v>85.928571428571431</v>
      </c>
      <c r="AW11" s="4">
        <v>10.083954501407144</v>
      </c>
      <c r="AX11" s="127"/>
      <c r="BB11" s="126"/>
      <c r="BC11" s="3" t="s">
        <v>304</v>
      </c>
      <c r="BD11" s="3"/>
      <c r="BE11" s="2"/>
      <c r="BF11" s="4">
        <v>8.5856764285714426</v>
      </c>
      <c r="BG11" s="4">
        <v>14.053192857142875</v>
      </c>
      <c r="BH11" s="4">
        <v>0.38858977681260853</v>
      </c>
      <c r="BI11" s="4">
        <v>0.61141022318739147</v>
      </c>
      <c r="BJ11" s="4">
        <v>0.11765416742571701</v>
      </c>
      <c r="BK11" s="4">
        <v>4.5550645860317047E-2</v>
      </c>
      <c r="BL11" s="4">
        <v>22.638869285714318</v>
      </c>
      <c r="BM11" s="4">
        <v>85.928571428571431</v>
      </c>
      <c r="BN11" s="4">
        <v>10.083954501407144</v>
      </c>
      <c r="BO11" s="127"/>
      <c r="BS11" s="126"/>
      <c r="BT11" s="3" t="s">
        <v>884</v>
      </c>
      <c r="BU11" s="3"/>
      <c r="BV11" s="2"/>
      <c r="BW11" s="4">
        <v>5.0359836842105228</v>
      </c>
      <c r="BX11" s="4">
        <v>7.3056968421052684</v>
      </c>
      <c r="BY11" s="4">
        <v>0.42171156929275383</v>
      </c>
      <c r="BZ11" s="4">
        <v>0.578288430707246</v>
      </c>
      <c r="CA11" s="4">
        <v>0.20289890364090835</v>
      </c>
      <c r="CB11" s="4">
        <v>8.3936406714395465E-2</v>
      </c>
      <c r="CC11" s="4">
        <v>12.341680526315789</v>
      </c>
      <c r="CD11" s="4">
        <v>33.631578947368418</v>
      </c>
      <c r="CE11" s="4">
        <v>6.6579508961107878</v>
      </c>
      <c r="CF11" s="127"/>
      <c r="CJ11" s="126"/>
      <c r="CK11" s="3" t="s">
        <v>884</v>
      </c>
      <c r="CL11" s="3"/>
      <c r="CM11" s="2"/>
      <c r="CN11" s="4">
        <v>5.0359836842105228</v>
      </c>
      <c r="CO11" s="4">
        <v>7.3056968421052684</v>
      </c>
      <c r="CP11" s="4">
        <v>0.42171156929275383</v>
      </c>
      <c r="CQ11" s="4">
        <v>0.578288430707246</v>
      </c>
      <c r="CR11" s="4">
        <v>0.20289890364090835</v>
      </c>
      <c r="CS11" s="4">
        <v>8.3936406714395465E-2</v>
      </c>
      <c r="CT11" s="4">
        <v>12.341680526315789</v>
      </c>
      <c r="CU11" s="4">
        <v>33.631578947368418</v>
      </c>
      <c r="CV11" s="4">
        <v>6.6579508961107878</v>
      </c>
      <c r="CW11" s="127"/>
      <c r="DJ11" s="126"/>
      <c r="DK11" s="3" t="s">
        <v>61</v>
      </c>
      <c r="DL11" s="3">
        <v>8082017</v>
      </c>
      <c r="DM11" s="2"/>
      <c r="DN11" s="164">
        <f t="shared" si="6"/>
        <v>1</v>
      </c>
      <c r="DO11" s="164">
        <f t="shared" si="7"/>
        <v>1</v>
      </c>
      <c r="DP11" s="164">
        <f t="shared" si="8"/>
        <v>1</v>
      </c>
      <c r="DQ11" s="164">
        <f t="shared" si="9"/>
        <v>1</v>
      </c>
      <c r="DR11" s="164">
        <f t="shared" si="10"/>
        <v>1</v>
      </c>
      <c r="DS11" s="164">
        <f t="shared" si="11"/>
        <v>1</v>
      </c>
      <c r="DT11" s="164">
        <f t="shared" si="12"/>
        <v>1</v>
      </c>
      <c r="DU11" s="164">
        <f t="shared" si="13"/>
        <v>1</v>
      </c>
      <c r="DV11" s="164">
        <f t="shared" si="14"/>
        <v>1</v>
      </c>
      <c r="DW11" s="127"/>
      <c r="EA11" s="128"/>
      <c r="EB11" s="49" t="s">
        <v>118</v>
      </c>
      <c r="EC11" s="2"/>
      <c r="ED11" s="46"/>
      <c r="EE11" s="164">
        <f t="shared" si="15"/>
        <v>1</v>
      </c>
      <c r="EF11" s="164">
        <f t="shared" si="16"/>
        <v>1</v>
      </c>
      <c r="EG11" s="164">
        <f t="shared" si="17"/>
        <v>1</v>
      </c>
      <c r="EH11" s="164">
        <f t="shared" si="18"/>
        <v>1</v>
      </c>
      <c r="EI11" s="164">
        <f t="shared" si="19"/>
        <v>1</v>
      </c>
      <c r="EJ11" s="164">
        <f t="shared" si="20"/>
        <v>1</v>
      </c>
      <c r="EK11" s="164">
        <f t="shared" si="21"/>
        <v>1</v>
      </c>
      <c r="EL11" s="164">
        <f t="shared" si="22"/>
        <v>1</v>
      </c>
      <c r="EM11" s="164">
        <f t="shared" si="23"/>
        <v>1</v>
      </c>
      <c r="EN11" s="127"/>
      <c r="ER11" s="126"/>
      <c r="ES11" s="3" t="s">
        <v>304</v>
      </c>
      <c r="ET11" s="3"/>
      <c r="EU11" s="2"/>
      <c r="EV11" s="164">
        <f t="shared" si="2"/>
        <v>1</v>
      </c>
      <c r="EW11" s="164">
        <f t="shared" si="3"/>
        <v>1</v>
      </c>
      <c r="EX11" s="164">
        <f t="shared" si="3"/>
        <v>1</v>
      </c>
      <c r="EY11" s="164">
        <f t="shared" si="3"/>
        <v>1</v>
      </c>
      <c r="EZ11" s="164">
        <f t="shared" si="3"/>
        <v>1</v>
      </c>
      <c r="FA11" s="164">
        <f t="shared" si="3"/>
        <v>1</v>
      </c>
      <c r="FB11" s="164">
        <f t="shared" si="3"/>
        <v>1</v>
      </c>
      <c r="FC11" s="164">
        <f t="shared" si="3"/>
        <v>1</v>
      </c>
      <c r="FD11" s="164">
        <f t="shared" si="3"/>
        <v>1</v>
      </c>
      <c r="FE11" s="127"/>
      <c r="FI11" s="126"/>
      <c r="FJ11" s="3" t="s">
        <v>304</v>
      </c>
      <c r="FK11" s="3"/>
      <c r="FL11" s="2"/>
      <c r="FM11" s="164">
        <f t="shared" si="4"/>
        <v>1</v>
      </c>
      <c r="FN11" s="164">
        <f t="shared" si="5"/>
        <v>1</v>
      </c>
      <c r="FO11" s="164">
        <f t="shared" si="5"/>
        <v>1</v>
      </c>
      <c r="FP11" s="164">
        <f t="shared" si="5"/>
        <v>1</v>
      </c>
      <c r="FQ11" s="164">
        <f t="shared" si="5"/>
        <v>1</v>
      </c>
      <c r="FR11" s="164">
        <f t="shared" si="5"/>
        <v>1</v>
      </c>
      <c r="FS11" s="164">
        <f t="shared" si="5"/>
        <v>1</v>
      </c>
      <c r="FT11" s="164">
        <f t="shared" si="5"/>
        <v>1</v>
      </c>
      <c r="FU11" s="164">
        <f t="shared" si="5"/>
        <v>1</v>
      </c>
      <c r="FV11" s="127"/>
    </row>
    <row r="12" spans="3:178" ht="15.5" x14ac:dyDescent="0.35">
      <c r="C12" s="126"/>
      <c r="D12" s="3" t="s">
        <v>88</v>
      </c>
      <c r="E12" s="3">
        <v>8112017</v>
      </c>
      <c r="F12" s="2"/>
      <c r="G12" s="4">
        <v>6.8369999999999891</v>
      </c>
      <c r="H12" s="4">
        <v>11.019000000000011</v>
      </c>
      <c r="I12" s="4">
        <v>0.39808211843561991</v>
      </c>
      <c r="J12" s="4">
        <v>0.60191788156438009</v>
      </c>
      <c r="K12" s="4">
        <v>0.14767172758772829</v>
      </c>
      <c r="L12" s="4">
        <v>5.8290532001550911E-2</v>
      </c>
      <c r="M12" s="4">
        <v>17.856000000000002</v>
      </c>
      <c r="N12" s="4">
        <v>29.5</v>
      </c>
      <c r="O12" s="4">
        <v>4.3006479086608707</v>
      </c>
      <c r="P12" s="127"/>
      <c r="T12" s="128"/>
      <c r="U12" s="49" t="s">
        <v>19</v>
      </c>
      <c r="V12" s="3">
        <v>8022017</v>
      </c>
      <c r="W12" s="45"/>
      <c r="X12" s="164">
        <v>7.1090000000000062</v>
      </c>
      <c r="Y12" s="164">
        <v>7.4399999999999915</v>
      </c>
      <c r="Z12" s="164">
        <v>0.49138555778251891</v>
      </c>
      <c r="AA12" s="164">
        <v>0.50861444221748109</v>
      </c>
      <c r="AB12" s="164">
        <v>0.14404162949262864</v>
      </c>
      <c r="AC12" s="164">
        <v>7.0698509031698956E-2</v>
      </c>
      <c r="AD12" s="164">
        <v>14.402222222222219</v>
      </c>
      <c r="AE12" s="164">
        <v>47.666666666666664</v>
      </c>
      <c r="AF12" s="164">
        <v>6.8541328758214224</v>
      </c>
      <c r="AG12" s="127"/>
      <c r="AK12" s="126"/>
      <c r="AL12" s="3" t="s">
        <v>445</v>
      </c>
      <c r="AM12" s="3"/>
      <c r="AN12" s="2"/>
      <c r="AO12" s="4">
        <v>5.2338811111111134</v>
      </c>
      <c r="AP12" s="4">
        <v>6.8237233333333318</v>
      </c>
      <c r="AQ12" s="4">
        <v>0.43313357364362504</v>
      </c>
      <c r="AR12" s="4">
        <v>0.56686642635637485</v>
      </c>
      <c r="AS12" s="4">
        <v>0.19497204811240978</v>
      </c>
      <c r="AT12" s="4">
        <v>8.3144539556367691E-2</v>
      </c>
      <c r="AU12" s="4">
        <v>12.057604444444443</v>
      </c>
      <c r="AV12" s="4">
        <v>20.333333333333332</v>
      </c>
      <c r="AW12" s="4">
        <v>3.9077553775123977</v>
      </c>
      <c r="AX12" s="127"/>
      <c r="BB12" s="126"/>
      <c r="BC12" s="3" t="s">
        <v>445</v>
      </c>
      <c r="BD12" s="3"/>
      <c r="BE12" s="2"/>
      <c r="BF12" s="4">
        <v>5.2338811111111134</v>
      </c>
      <c r="BG12" s="4">
        <v>6.8237233333333318</v>
      </c>
      <c r="BH12" s="4">
        <v>0.43313357364362504</v>
      </c>
      <c r="BI12" s="4">
        <v>0.56686642635637485</v>
      </c>
      <c r="BJ12" s="4">
        <v>0.19497204811240978</v>
      </c>
      <c r="BK12" s="4">
        <v>8.3144539556367691E-2</v>
      </c>
      <c r="BL12" s="4">
        <v>12.057604444444443</v>
      </c>
      <c r="BM12" s="4">
        <v>20.333333333333332</v>
      </c>
      <c r="BN12" s="4">
        <v>3.9077553775123977</v>
      </c>
      <c r="BO12" s="127"/>
      <c r="BS12" s="126"/>
      <c r="BT12" s="3"/>
      <c r="BU12" s="3"/>
      <c r="BV12" s="2"/>
      <c r="BW12" s="4"/>
      <c r="BX12" s="4"/>
      <c r="BY12" s="4"/>
      <c r="BZ12" s="4"/>
      <c r="CA12" s="4"/>
      <c r="CB12" s="4"/>
      <c r="CC12" s="4"/>
      <c r="CD12" s="4"/>
      <c r="CE12" s="4"/>
      <c r="CF12" s="127"/>
      <c r="CJ12" s="126"/>
      <c r="CK12" s="3"/>
      <c r="CL12" s="3"/>
      <c r="CM12" s="2"/>
      <c r="CN12" s="4"/>
      <c r="CO12" s="4"/>
      <c r="CP12" s="4"/>
      <c r="CQ12" s="4"/>
      <c r="CR12" s="4"/>
      <c r="CS12" s="4"/>
      <c r="CT12" s="4"/>
      <c r="CU12" s="4"/>
      <c r="CV12" s="4"/>
      <c r="CW12" s="127"/>
      <c r="DJ12" s="126"/>
      <c r="DK12" s="3" t="s">
        <v>88</v>
      </c>
      <c r="DL12" s="3">
        <v>8112017</v>
      </c>
      <c r="DM12" s="2"/>
      <c r="DN12" s="164">
        <f t="shared" si="6"/>
        <v>1</v>
      </c>
      <c r="DO12" s="164">
        <f t="shared" si="7"/>
        <v>1</v>
      </c>
      <c r="DP12" s="164">
        <f t="shared" si="8"/>
        <v>1</v>
      </c>
      <c r="DQ12" s="164">
        <f t="shared" si="9"/>
        <v>1</v>
      </c>
      <c r="DR12" s="164">
        <f t="shared" si="10"/>
        <v>1</v>
      </c>
      <c r="DS12" s="164">
        <f t="shared" si="11"/>
        <v>1</v>
      </c>
      <c r="DT12" s="164">
        <f t="shared" si="12"/>
        <v>1</v>
      </c>
      <c r="DU12" s="164">
        <f t="shared" si="13"/>
        <v>1</v>
      </c>
      <c r="DV12" s="164">
        <f t="shared" si="14"/>
        <v>1</v>
      </c>
      <c r="DW12" s="127"/>
      <c r="EA12" s="128"/>
      <c r="EB12" s="49" t="s">
        <v>19</v>
      </c>
      <c r="EC12" s="3">
        <v>8022017</v>
      </c>
      <c r="ED12" s="45"/>
      <c r="EE12" s="164">
        <f t="shared" si="15"/>
        <v>1</v>
      </c>
      <c r="EF12" s="164">
        <f t="shared" si="16"/>
        <v>1</v>
      </c>
      <c r="EG12" s="164">
        <f t="shared" si="17"/>
        <v>1</v>
      </c>
      <c r="EH12" s="164">
        <f t="shared" si="18"/>
        <v>1</v>
      </c>
      <c r="EI12" s="164">
        <f t="shared" si="19"/>
        <v>1</v>
      </c>
      <c r="EJ12" s="164">
        <f t="shared" si="20"/>
        <v>1</v>
      </c>
      <c r="EK12" s="164">
        <f t="shared" si="21"/>
        <v>1</v>
      </c>
      <c r="EL12" s="164">
        <f t="shared" si="22"/>
        <v>1</v>
      </c>
      <c r="EM12" s="164">
        <f t="shared" si="23"/>
        <v>1</v>
      </c>
      <c r="EN12" s="127"/>
      <c r="ER12" s="126"/>
      <c r="ES12" s="3" t="s">
        <v>445</v>
      </c>
      <c r="ET12" s="3"/>
      <c r="EU12" s="2"/>
      <c r="EV12" s="164">
        <f t="shared" si="2"/>
        <v>1</v>
      </c>
      <c r="EW12" s="164">
        <f t="shared" si="3"/>
        <v>1</v>
      </c>
      <c r="EX12" s="164">
        <f t="shared" si="3"/>
        <v>1</v>
      </c>
      <c r="EY12" s="164">
        <f t="shared" si="3"/>
        <v>1</v>
      </c>
      <c r="EZ12" s="164">
        <f t="shared" si="3"/>
        <v>1</v>
      </c>
      <c r="FA12" s="164">
        <f t="shared" si="3"/>
        <v>1</v>
      </c>
      <c r="FB12" s="164">
        <f t="shared" si="3"/>
        <v>1</v>
      </c>
      <c r="FC12" s="164">
        <f t="shared" si="3"/>
        <v>1</v>
      </c>
      <c r="FD12" s="164">
        <f t="shared" si="3"/>
        <v>1</v>
      </c>
      <c r="FE12" s="127"/>
      <c r="FI12" s="126"/>
      <c r="FJ12" s="3" t="s">
        <v>445</v>
      </c>
      <c r="FK12" s="3"/>
      <c r="FL12" s="2"/>
      <c r="FM12" s="164">
        <f t="shared" si="4"/>
        <v>1</v>
      </c>
      <c r="FN12" s="164">
        <f t="shared" si="5"/>
        <v>1</v>
      </c>
      <c r="FO12" s="164">
        <f t="shared" si="5"/>
        <v>1</v>
      </c>
      <c r="FP12" s="164">
        <f t="shared" si="5"/>
        <v>1</v>
      </c>
      <c r="FQ12" s="164">
        <f t="shared" si="5"/>
        <v>1</v>
      </c>
      <c r="FR12" s="164">
        <f t="shared" si="5"/>
        <v>1</v>
      </c>
      <c r="FS12" s="164">
        <f t="shared" si="5"/>
        <v>1</v>
      </c>
      <c r="FT12" s="164">
        <f t="shared" si="5"/>
        <v>1</v>
      </c>
      <c r="FU12" s="164">
        <f t="shared" si="5"/>
        <v>1</v>
      </c>
      <c r="FV12" s="127"/>
    </row>
    <row r="13" spans="3:178" ht="15.5" x14ac:dyDescent="0.35">
      <c r="C13" s="126"/>
      <c r="D13" s="3" t="s">
        <v>133</v>
      </c>
      <c r="E13" s="2"/>
      <c r="F13" s="13"/>
      <c r="G13" s="164">
        <v>6.52</v>
      </c>
      <c r="H13" s="164">
        <v>5.2949999999999999</v>
      </c>
      <c r="I13" s="164">
        <v>0.54797268541581734</v>
      </c>
      <c r="J13" s="164">
        <v>0.4520273145841826</v>
      </c>
      <c r="K13" s="164">
        <v>0.16055137099185871</v>
      </c>
      <c r="L13" s="164">
        <v>8.5538229102315483E-2</v>
      </c>
      <c r="M13" s="164">
        <v>11.867500000000001</v>
      </c>
      <c r="N13" s="4">
        <v>29.222222222222221</v>
      </c>
      <c r="O13" s="4">
        <v>4.5148517697547881</v>
      </c>
      <c r="P13" s="127"/>
      <c r="T13" s="126"/>
      <c r="U13" s="49" t="s">
        <v>33</v>
      </c>
      <c r="V13" s="3">
        <v>8042017</v>
      </c>
      <c r="W13" s="45"/>
      <c r="X13" s="164">
        <v>6.3561538461538456</v>
      </c>
      <c r="Y13" s="164">
        <v>3.9161538461538461</v>
      </c>
      <c r="Z13" s="164">
        <v>0.61843497981481643</v>
      </c>
      <c r="AA13" s="164">
        <v>0.38156502018518357</v>
      </c>
      <c r="AB13" s="164">
        <v>0.16265017140884044</v>
      </c>
      <c r="AC13" s="164">
        <v>9.8454387709915922E-2</v>
      </c>
      <c r="AD13" s="164">
        <v>10.272307692307693</v>
      </c>
      <c r="AE13" s="164">
        <v>41.384615384615387</v>
      </c>
      <c r="AF13" s="164">
        <v>6.7987478403403205</v>
      </c>
      <c r="AG13" s="127"/>
      <c r="AK13" s="126"/>
      <c r="AL13" s="3" t="s">
        <v>448</v>
      </c>
      <c r="AM13" s="2"/>
      <c r="AN13" s="13"/>
      <c r="AO13" s="164">
        <v>3.8657704761904754</v>
      </c>
      <c r="AP13" s="164">
        <v>6.6153014285714296</v>
      </c>
      <c r="AQ13" s="164">
        <v>0.38266219832302512</v>
      </c>
      <c r="AR13" s="164">
        <v>0.61733780167697483</v>
      </c>
      <c r="AS13" s="164">
        <v>0.26797680769913262</v>
      </c>
      <c r="AT13" s="164">
        <v>9.9161676371853857E-2</v>
      </c>
      <c r="AU13" s="164">
        <v>10.481071904761906</v>
      </c>
      <c r="AV13" s="4">
        <v>19.333333333333332</v>
      </c>
      <c r="AW13" s="4">
        <v>5.0328683516224357</v>
      </c>
      <c r="AX13" s="127"/>
      <c r="BB13" s="126"/>
      <c r="BC13" s="3" t="s">
        <v>448</v>
      </c>
      <c r="BD13" s="2"/>
      <c r="BE13" s="13"/>
      <c r="BF13" s="164">
        <v>3.8657704761904754</v>
      </c>
      <c r="BG13" s="164">
        <v>6.6153014285714296</v>
      </c>
      <c r="BH13" s="164">
        <v>0.38266219832302512</v>
      </c>
      <c r="BI13" s="164">
        <v>0.61733780167697483</v>
      </c>
      <c r="BJ13" s="164">
        <v>0.26797680769913262</v>
      </c>
      <c r="BK13" s="164">
        <v>9.9161676371853857E-2</v>
      </c>
      <c r="BL13" s="164">
        <v>10.481071904761906</v>
      </c>
      <c r="BM13" s="4">
        <v>19.333333333333332</v>
      </c>
      <c r="BN13" s="4">
        <v>5.0328683516224357</v>
      </c>
      <c r="BO13" s="127"/>
      <c r="BS13" s="126"/>
      <c r="BT13" s="3"/>
      <c r="BU13" s="2"/>
      <c r="BV13" s="13"/>
      <c r="BW13" s="164"/>
      <c r="BX13" s="164"/>
      <c r="BY13" s="164"/>
      <c r="BZ13" s="164"/>
      <c r="CA13" s="164"/>
      <c r="CB13" s="164"/>
      <c r="CC13" s="164"/>
      <c r="CD13" s="4"/>
      <c r="CE13" s="4"/>
      <c r="CF13" s="127"/>
      <c r="CJ13" s="126"/>
      <c r="CK13" s="3"/>
      <c r="CL13" s="2"/>
      <c r="CM13" s="13"/>
      <c r="CN13" s="164"/>
      <c r="CO13" s="164"/>
      <c r="CP13" s="164"/>
      <c r="CQ13" s="164"/>
      <c r="CR13" s="164"/>
      <c r="CS13" s="164"/>
      <c r="CT13" s="164"/>
      <c r="CU13" s="4"/>
      <c r="CV13" s="4"/>
      <c r="CW13" s="127"/>
      <c r="DJ13" s="126"/>
      <c r="DK13" s="3" t="s">
        <v>133</v>
      </c>
      <c r="DL13" s="2"/>
      <c r="DM13" s="13"/>
      <c r="DN13" s="164">
        <f t="shared" si="6"/>
        <v>1</v>
      </c>
      <c r="DO13" s="164">
        <f t="shared" si="7"/>
        <v>1</v>
      </c>
      <c r="DP13" s="164">
        <f t="shared" si="8"/>
        <v>1</v>
      </c>
      <c r="DQ13" s="164">
        <f t="shared" si="9"/>
        <v>1</v>
      </c>
      <c r="DR13" s="164">
        <f t="shared" si="10"/>
        <v>1</v>
      </c>
      <c r="DS13" s="164">
        <f t="shared" si="11"/>
        <v>1</v>
      </c>
      <c r="DT13" s="164">
        <f t="shared" si="12"/>
        <v>1</v>
      </c>
      <c r="DU13" s="164">
        <f t="shared" si="13"/>
        <v>1</v>
      </c>
      <c r="DV13" s="164">
        <f t="shared" si="14"/>
        <v>1</v>
      </c>
      <c r="DW13" s="127"/>
      <c r="EA13" s="126"/>
      <c r="EB13" s="49" t="s">
        <v>33</v>
      </c>
      <c r="EC13" s="3">
        <v>8042017</v>
      </c>
      <c r="ED13" s="45"/>
      <c r="EE13" s="164">
        <f t="shared" si="15"/>
        <v>1</v>
      </c>
      <c r="EF13" s="164">
        <f t="shared" si="16"/>
        <v>1</v>
      </c>
      <c r="EG13" s="164">
        <f t="shared" si="17"/>
        <v>1</v>
      </c>
      <c r="EH13" s="164">
        <f t="shared" si="18"/>
        <v>1</v>
      </c>
      <c r="EI13" s="164">
        <f t="shared" si="19"/>
        <v>1</v>
      </c>
      <c r="EJ13" s="164">
        <f t="shared" si="20"/>
        <v>1</v>
      </c>
      <c r="EK13" s="164">
        <f t="shared" si="21"/>
        <v>1</v>
      </c>
      <c r="EL13" s="164">
        <f t="shared" si="22"/>
        <v>1</v>
      </c>
      <c r="EM13" s="164">
        <f t="shared" si="23"/>
        <v>1</v>
      </c>
      <c r="EN13" s="127"/>
      <c r="ER13" s="126"/>
      <c r="ES13" s="3" t="s">
        <v>448</v>
      </c>
      <c r="ET13" s="2"/>
      <c r="EU13" s="13"/>
      <c r="EV13" s="164">
        <f t="shared" si="2"/>
        <v>1</v>
      </c>
      <c r="EW13" s="164">
        <f t="shared" si="3"/>
        <v>1</v>
      </c>
      <c r="EX13" s="164">
        <f t="shared" si="3"/>
        <v>1</v>
      </c>
      <c r="EY13" s="164">
        <f t="shared" si="3"/>
        <v>1</v>
      </c>
      <c r="EZ13" s="164">
        <f t="shared" si="3"/>
        <v>1</v>
      </c>
      <c r="FA13" s="164">
        <f t="shared" si="3"/>
        <v>1</v>
      </c>
      <c r="FB13" s="164">
        <f t="shared" si="3"/>
        <v>1</v>
      </c>
      <c r="FC13" s="164">
        <f t="shared" si="3"/>
        <v>1</v>
      </c>
      <c r="FD13" s="164">
        <f t="shared" si="3"/>
        <v>1</v>
      </c>
      <c r="FE13" s="127"/>
      <c r="FI13" s="126"/>
      <c r="FJ13" s="3" t="s">
        <v>448</v>
      </c>
      <c r="FK13" s="2"/>
      <c r="FL13" s="13"/>
      <c r="FM13" s="164">
        <f t="shared" si="4"/>
        <v>1</v>
      </c>
      <c r="FN13" s="164">
        <f t="shared" si="5"/>
        <v>1</v>
      </c>
      <c r="FO13" s="164">
        <f t="shared" si="5"/>
        <v>1</v>
      </c>
      <c r="FP13" s="164">
        <f t="shared" si="5"/>
        <v>1</v>
      </c>
      <c r="FQ13" s="164">
        <f t="shared" si="5"/>
        <v>1</v>
      </c>
      <c r="FR13" s="164">
        <f t="shared" si="5"/>
        <v>1</v>
      </c>
      <c r="FS13" s="164">
        <f t="shared" si="5"/>
        <v>1</v>
      </c>
      <c r="FT13" s="164">
        <f t="shared" si="5"/>
        <v>1</v>
      </c>
      <c r="FU13" s="164">
        <f t="shared" si="5"/>
        <v>1</v>
      </c>
      <c r="FV13" s="127"/>
    </row>
    <row r="14" spans="3:178" ht="15.5" x14ac:dyDescent="0.35">
      <c r="C14" s="126"/>
      <c r="D14" s="3" t="s">
        <v>148</v>
      </c>
      <c r="E14" s="2"/>
      <c r="F14" s="13"/>
      <c r="G14" s="4">
        <v>8.9711111111111155</v>
      </c>
      <c r="H14" s="4">
        <v>18.485555555555553</v>
      </c>
      <c r="I14" s="4">
        <v>0.32744751198048688</v>
      </c>
      <c r="J14" s="4">
        <v>0.67255248801951295</v>
      </c>
      <c r="K14" s="4">
        <v>0.11210758123081639</v>
      </c>
      <c r="L14" s="4">
        <v>3.6450393262411375E-2</v>
      </c>
      <c r="M14" s="4">
        <v>27.456666666666667</v>
      </c>
      <c r="N14" s="4">
        <v>69.111111111111114</v>
      </c>
      <c r="O14" s="4">
        <v>7.6959267916442435</v>
      </c>
      <c r="P14" s="127"/>
      <c r="T14" s="126"/>
      <c r="U14" s="49" t="s">
        <v>133</v>
      </c>
      <c r="V14" s="2"/>
      <c r="W14" s="45"/>
      <c r="X14" s="164">
        <v>6.52</v>
      </c>
      <c r="Y14" s="164">
        <v>5.2949999999999999</v>
      </c>
      <c r="Z14" s="164">
        <v>0.54797268541581734</v>
      </c>
      <c r="AA14" s="164">
        <v>0.4520273145841826</v>
      </c>
      <c r="AB14" s="164">
        <v>0.16055137099185871</v>
      </c>
      <c r="AC14" s="164">
        <v>8.5538229102315483E-2</v>
      </c>
      <c r="AD14" s="164">
        <v>11.867500000000001</v>
      </c>
      <c r="AE14" s="164">
        <v>29.222222222222221</v>
      </c>
      <c r="AF14" s="164">
        <v>4.5148517697547881</v>
      </c>
      <c r="AG14" s="127"/>
      <c r="AK14" s="126"/>
      <c r="AL14" s="3"/>
      <c r="AM14" s="2"/>
      <c r="AN14" s="13"/>
      <c r="AO14" s="4"/>
      <c r="AP14" s="4"/>
      <c r="AQ14" s="4"/>
      <c r="AR14" s="4"/>
      <c r="AS14" s="4"/>
      <c r="AT14" s="4"/>
      <c r="AU14" s="4"/>
      <c r="AV14" s="4"/>
      <c r="AW14" s="4"/>
      <c r="AX14" s="127"/>
      <c r="BB14" s="126"/>
      <c r="BC14" s="3"/>
      <c r="BD14" s="2"/>
      <c r="BE14" s="13"/>
      <c r="BF14" s="4"/>
      <c r="BG14" s="4"/>
      <c r="BH14" s="4"/>
      <c r="BI14" s="4"/>
      <c r="BJ14" s="4"/>
      <c r="BK14" s="4"/>
      <c r="BL14" s="4"/>
      <c r="BM14" s="4"/>
      <c r="BN14" s="4"/>
      <c r="BO14" s="127"/>
      <c r="BS14" s="126"/>
      <c r="BT14" s="3"/>
      <c r="BU14" s="2"/>
      <c r="BV14" s="13"/>
      <c r="BW14" s="4"/>
      <c r="BX14" s="4"/>
      <c r="BY14" s="4"/>
      <c r="BZ14" s="4"/>
      <c r="CA14" s="4"/>
      <c r="CB14" s="4"/>
      <c r="CC14" s="4"/>
      <c r="CD14" s="4"/>
      <c r="CE14" s="4"/>
      <c r="CF14" s="127"/>
      <c r="CJ14" s="126"/>
      <c r="CK14" s="3"/>
      <c r="CL14" s="2"/>
      <c r="CM14" s="13"/>
      <c r="CN14" s="4"/>
      <c r="CO14" s="4"/>
      <c r="CP14" s="4"/>
      <c r="CQ14" s="4"/>
      <c r="CR14" s="4"/>
      <c r="CS14" s="4"/>
      <c r="CT14" s="4"/>
      <c r="CU14" s="4"/>
      <c r="CV14" s="4"/>
      <c r="CW14" s="127"/>
      <c r="DJ14" s="126"/>
      <c r="DK14" s="3" t="s">
        <v>148</v>
      </c>
      <c r="DL14" s="2"/>
      <c r="DM14" s="13"/>
      <c r="DN14" s="164">
        <f t="shared" si="6"/>
        <v>1</v>
      </c>
      <c r="DO14" s="164">
        <f t="shared" si="7"/>
        <v>1</v>
      </c>
      <c r="DP14" s="164">
        <f t="shared" si="8"/>
        <v>1</v>
      </c>
      <c r="DQ14" s="164">
        <f t="shared" si="9"/>
        <v>1</v>
      </c>
      <c r="DR14" s="164">
        <f t="shared" si="10"/>
        <v>1</v>
      </c>
      <c r="DS14" s="164">
        <f t="shared" si="11"/>
        <v>1</v>
      </c>
      <c r="DT14" s="164">
        <f t="shared" si="12"/>
        <v>1</v>
      </c>
      <c r="DU14" s="164">
        <f t="shared" si="13"/>
        <v>1</v>
      </c>
      <c r="DV14" s="164">
        <f t="shared" si="14"/>
        <v>1</v>
      </c>
      <c r="DW14" s="127"/>
      <c r="EA14" s="126"/>
      <c r="EB14" s="49" t="s">
        <v>133</v>
      </c>
      <c r="EC14" s="2"/>
      <c r="ED14" s="45"/>
      <c r="EE14" s="164">
        <f t="shared" si="15"/>
        <v>1</v>
      </c>
      <c r="EF14" s="164">
        <f t="shared" si="16"/>
        <v>1</v>
      </c>
      <c r="EG14" s="164">
        <f t="shared" si="17"/>
        <v>1</v>
      </c>
      <c r="EH14" s="164">
        <f t="shared" si="18"/>
        <v>1</v>
      </c>
      <c r="EI14" s="164">
        <f t="shared" si="19"/>
        <v>1</v>
      </c>
      <c r="EJ14" s="164">
        <f t="shared" si="20"/>
        <v>1</v>
      </c>
      <c r="EK14" s="164">
        <f t="shared" si="21"/>
        <v>1</v>
      </c>
      <c r="EL14" s="164">
        <f t="shared" si="22"/>
        <v>1</v>
      </c>
      <c r="EM14" s="164">
        <f t="shared" si="23"/>
        <v>1</v>
      </c>
      <c r="EN14" s="127"/>
      <c r="ER14" s="126"/>
      <c r="ES14" s="3"/>
      <c r="ET14" s="2"/>
      <c r="EU14" s="13"/>
      <c r="EV14" s="4"/>
      <c r="EW14" s="4"/>
      <c r="EX14" s="4"/>
      <c r="EY14" s="4"/>
      <c r="EZ14" s="4"/>
      <c r="FA14" s="4"/>
      <c r="FB14" s="4"/>
      <c r="FC14" s="4"/>
      <c r="FD14" s="4"/>
      <c r="FE14" s="127"/>
      <c r="FI14" s="126"/>
      <c r="FJ14" s="3"/>
      <c r="FK14" s="2"/>
      <c r="FL14" s="13"/>
      <c r="FM14" s="4"/>
      <c r="FN14" s="4"/>
      <c r="FO14" s="4"/>
      <c r="FP14" s="4"/>
      <c r="FQ14" s="4"/>
      <c r="FR14" s="4"/>
      <c r="FS14" s="4"/>
      <c r="FT14" s="4"/>
      <c r="FU14" s="4"/>
      <c r="FV14" s="127"/>
    </row>
    <row r="15" spans="3:178" ht="15.5" x14ac:dyDescent="0.35">
      <c r="C15" s="131" t="s">
        <v>261</v>
      </c>
      <c r="D15" s="3" t="s">
        <v>167</v>
      </c>
      <c r="E15" s="2"/>
      <c r="F15" s="13"/>
      <c r="G15" s="4">
        <v>6.7987499999999992</v>
      </c>
      <c r="H15" s="4">
        <v>7.5450000000000008</v>
      </c>
      <c r="I15" s="4">
        <v>0.4745691251504075</v>
      </c>
      <c r="J15" s="4">
        <v>0.5254308748495925</v>
      </c>
      <c r="K15" s="4">
        <v>0.14780688891848348</v>
      </c>
      <c r="L15" s="4">
        <v>6.9995456799488598E-2</v>
      </c>
      <c r="M15" s="4">
        <v>14.34375</v>
      </c>
      <c r="N15" s="4">
        <v>17.875</v>
      </c>
      <c r="O15" s="4">
        <v>2.6362280174874222</v>
      </c>
      <c r="P15" s="127"/>
      <c r="T15" s="131" t="s">
        <v>261</v>
      </c>
      <c r="U15" s="49" t="s">
        <v>167</v>
      </c>
      <c r="V15" s="2"/>
      <c r="W15" s="45"/>
      <c r="X15" s="164">
        <v>6.7987499999999992</v>
      </c>
      <c r="Y15" s="164">
        <v>7.5450000000000008</v>
      </c>
      <c r="Z15" s="164">
        <v>0.4745691251504075</v>
      </c>
      <c r="AA15" s="164">
        <v>0.5254308748495925</v>
      </c>
      <c r="AB15" s="164">
        <v>0.14780688891848348</v>
      </c>
      <c r="AC15" s="164">
        <v>6.9995456799488598E-2</v>
      </c>
      <c r="AD15" s="164">
        <v>14.34375</v>
      </c>
      <c r="AE15" s="164">
        <v>17.875</v>
      </c>
      <c r="AF15" s="164">
        <v>2.6362280174874222</v>
      </c>
      <c r="AG15" s="127"/>
      <c r="AK15" s="126"/>
      <c r="AL15" s="3"/>
      <c r="AM15" s="2"/>
      <c r="AN15" s="13"/>
      <c r="AO15" s="4"/>
      <c r="AP15" s="4"/>
      <c r="AQ15" s="4"/>
      <c r="AR15" s="4"/>
      <c r="AS15" s="4"/>
      <c r="AT15" s="4"/>
      <c r="AU15" s="4"/>
      <c r="AV15" s="4"/>
      <c r="AW15" s="4"/>
      <c r="AX15" s="127"/>
      <c r="BB15" s="126"/>
      <c r="BC15" s="3"/>
      <c r="BD15" s="2"/>
      <c r="BE15" s="13"/>
      <c r="BF15" s="4"/>
      <c r="BG15" s="4"/>
      <c r="BH15" s="4"/>
      <c r="BI15" s="4"/>
      <c r="BJ15" s="4"/>
      <c r="BK15" s="4"/>
      <c r="BL15" s="4"/>
      <c r="BM15" s="4"/>
      <c r="BN15" s="4"/>
      <c r="BO15" s="127"/>
      <c r="BS15" s="126"/>
      <c r="BT15" s="3"/>
      <c r="BU15" s="2"/>
      <c r="BV15" s="13"/>
      <c r="BW15" s="4"/>
      <c r="BX15" s="4"/>
      <c r="BY15" s="4"/>
      <c r="BZ15" s="4"/>
      <c r="CA15" s="4"/>
      <c r="CB15" s="4"/>
      <c r="CC15" s="4"/>
      <c r="CD15" s="4"/>
      <c r="CE15" s="4"/>
      <c r="CF15" s="127"/>
      <c r="CJ15" s="126"/>
      <c r="CK15" s="3"/>
      <c r="CL15" s="2"/>
      <c r="CM15" s="13"/>
      <c r="CN15" s="4"/>
      <c r="CO15" s="4"/>
      <c r="CP15" s="4"/>
      <c r="CQ15" s="4"/>
      <c r="CR15" s="4"/>
      <c r="CS15" s="4"/>
      <c r="CT15" s="4"/>
      <c r="CU15" s="4"/>
      <c r="CV15" s="4"/>
      <c r="CW15" s="127"/>
      <c r="DJ15" s="131" t="s">
        <v>261</v>
      </c>
      <c r="DK15" s="3" t="s">
        <v>167</v>
      </c>
      <c r="DL15" s="2"/>
      <c r="DM15" s="13"/>
      <c r="DN15" s="164">
        <f t="shared" si="6"/>
        <v>1</v>
      </c>
      <c r="DO15" s="164">
        <f t="shared" si="7"/>
        <v>1</v>
      </c>
      <c r="DP15" s="164">
        <f t="shared" si="8"/>
        <v>1</v>
      </c>
      <c r="DQ15" s="164">
        <f t="shared" si="9"/>
        <v>1</v>
      </c>
      <c r="DR15" s="164">
        <f t="shared" si="10"/>
        <v>1</v>
      </c>
      <c r="DS15" s="164">
        <f t="shared" si="11"/>
        <v>1</v>
      </c>
      <c r="DT15" s="164">
        <f t="shared" si="12"/>
        <v>1</v>
      </c>
      <c r="DU15" s="164">
        <f t="shared" si="13"/>
        <v>1</v>
      </c>
      <c r="DV15" s="164">
        <f t="shared" si="14"/>
        <v>1</v>
      </c>
      <c r="DW15" s="127"/>
      <c r="EA15" s="131" t="s">
        <v>261</v>
      </c>
      <c r="EB15" s="49" t="s">
        <v>167</v>
      </c>
      <c r="EC15" s="2"/>
      <c r="ED15" s="45"/>
      <c r="EE15" s="164">
        <f t="shared" si="15"/>
        <v>1</v>
      </c>
      <c r="EF15" s="164">
        <f t="shared" si="16"/>
        <v>1</v>
      </c>
      <c r="EG15" s="164">
        <f t="shared" si="17"/>
        <v>1</v>
      </c>
      <c r="EH15" s="164">
        <f t="shared" si="18"/>
        <v>1</v>
      </c>
      <c r="EI15" s="164">
        <f t="shared" si="19"/>
        <v>1</v>
      </c>
      <c r="EJ15" s="164">
        <f t="shared" si="20"/>
        <v>1</v>
      </c>
      <c r="EK15" s="164">
        <f t="shared" si="21"/>
        <v>1</v>
      </c>
      <c r="EL15" s="164">
        <f t="shared" si="22"/>
        <v>1</v>
      </c>
      <c r="EM15" s="164">
        <f t="shared" si="23"/>
        <v>1</v>
      </c>
      <c r="EN15" s="127"/>
      <c r="ER15" s="126"/>
      <c r="ES15" s="3"/>
      <c r="ET15" s="2"/>
      <c r="EU15" s="13"/>
      <c r="EV15" s="4"/>
      <c r="EW15" s="4"/>
      <c r="EX15" s="4"/>
      <c r="EY15" s="4"/>
      <c r="EZ15" s="4"/>
      <c r="FA15" s="4"/>
      <c r="FB15" s="4"/>
      <c r="FC15" s="4"/>
      <c r="FD15" s="4"/>
      <c r="FE15" s="127"/>
      <c r="FI15" s="126"/>
      <c r="FJ15" s="3"/>
      <c r="FK15" s="2"/>
      <c r="FL15" s="13"/>
      <c r="FM15" s="4"/>
      <c r="FN15" s="4"/>
      <c r="FO15" s="4"/>
      <c r="FP15" s="4"/>
      <c r="FQ15" s="4"/>
      <c r="FR15" s="4"/>
      <c r="FS15" s="4"/>
      <c r="FT15" s="4"/>
      <c r="FU15" s="4"/>
      <c r="FV15" s="127"/>
    </row>
    <row r="16" spans="3:178" ht="15.5" x14ac:dyDescent="0.35">
      <c r="C16" s="126"/>
      <c r="D16" s="3" t="s">
        <v>188</v>
      </c>
      <c r="E16" s="2"/>
      <c r="F16" s="13"/>
      <c r="G16" s="4">
        <v>3.4114285714285697</v>
      </c>
      <c r="H16" s="4">
        <v>13.657142857142858</v>
      </c>
      <c r="I16" s="4">
        <v>0.20921240659813642</v>
      </c>
      <c r="J16" s="4">
        <v>0.79078759340186366</v>
      </c>
      <c r="K16" s="4">
        <v>0.29568936444400101</v>
      </c>
      <c r="L16" s="4">
        <v>6.2408728931490652E-2</v>
      </c>
      <c r="M16" s="4">
        <v>17.068571428571428</v>
      </c>
      <c r="N16" s="4">
        <v>21.714285714285715</v>
      </c>
      <c r="O16" s="4">
        <v>6.3927625134632047</v>
      </c>
      <c r="P16" s="127"/>
      <c r="T16" s="126"/>
      <c r="U16" s="49" t="s">
        <v>188</v>
      </c>
      <c r="V16" s="2"/>
      <c r="W16" s="45"/>
      <c r="X16" s="164">
        <v>3.4114285714285697</v>
      </c>
      <c r="Y16" s="164">
        <v>13.657142857142858</v>
      </c>
      <c r="Z16" s="164">
        <v>0.20921240659813642</v>
      </c>
      <c r="AA16" s="164">
        <v>0.79078759340186366</v>
      </c>
      <c r="AB16" s="164">
        <v>0.29568936444400101</v>
      </c>
      <c r="AC16" s="164">
        <v>6.2408728931490652E-2</v>
      </c>
      <c r="AD16" s="164">
        <v>17.068571428571428</v>
      </c>
      <c r="AE16" s="164">
        <v>21.714285714285715</v>
      </c>
      <c r="AF16" s="164">
        <v>6.3927625134632047</v>
      </c>
      <c r="AG16" s="127"/>
      <c r="AK16" s="126"/>
      <c r="AL16" s="3"/>
      <c r="AM16" s="2"/>
      <c r="AN16" s="13"/>
      <c r="AO16" s="4"/>
      <c r="AP16" s="4"/>
      <c r="AQ16" s="4"/>
      <c r="AR16" s="4"/>
      <c r="AS16" s="4"/>
      <c r="AT16" s="4"/>
      <c r="AU16" s="4"/>
      <c r="AV16" s="4"/>
      <c r="AW16" s="4"/>
      <c r="AX16" s="127"/>
      <c r="BB16" s="126"/>
      <c r="BC16" s="3"/>
      <c r="BD16" s="2"/>
      <c r="BE16" s="13"/>
      <c r="BF16" s="4"/>
      <c r="BG16" s="4"/>
      <c r="BH16" s="4"/>
      <c r="BI16" s="4"/>
      <c r="BJ16" s="4"/>
      <c r="BK16" s="4"/>
      <c r="BL16" s="4"/>
      <c r="BM16" s="4"/>
      <c r="BN16" s="4"/>
      <c r="BO16" s="127"/>
      <c r="BS16" s="126"/>
      <c r="BT16" s="3"/>
      <c r="BU16" s="2"/>
      <c r="BV16" s="13"/>
      <c r="BW16" s="4"/>
      <c r="BX16" s="4"/>
      <c r="BY16" s="4"/>
      <c r="BZ16" s="4"/>
      <c r="CA16" s="4"/>
      <c r="CB16" s="4"/>
      <c r="CC16" s="4"/>
      <c r="CD16" s="4"/>
      <c r="CE16" s="4"/>
      <c r="CF16" s="127"/>
      <c r="CJ16" s="126"/>
      <c r="CK16" s="3"/>
      <c r="CL16" s="2"/>
      <c r="CM16" s="13"/>
      <c r="CN16" s="4"/>
      <c r="CO16" s="4"/>
      <c r="CP16" s="4"/>
      <c r="CQ16" s="4"/>
      <c r="CR16" s="4"/>
      <c r="CS16" s="4"/>
      <c r="CT16" s="4"/>
      <c r="CU16" s="4"/>
      <c r="CV16" s="4"/>
      <c r="CW16" s="127"/>
      <c r="DJ16" s="126"/>
      <c r="DK16" s="3" t="s">
        <v>188</v>
      </c>
      <c r="DL16" s="2"/>
      <c r="DM16" s="13"/>
      <c r="DN16" s="164">
        <f t="shared" si="6"/>
        <v>1</v>
      </c>
      <c r="DO16" s="164">
        <f t="shared" si="7"/>
        <v>1</v>
      </c>
      <c r="DP16" s="164">
        <f t="shared" si="8"/>
        <v>1</v>
      </c>
      <c r="DQ16" s="164">
        <f t="shared" si="9"/>
        <v>1</v>
      </c>
      <c r="DR16" s="164">
        <f t="shared" si="10"/>
        <v>1</v>
      </c>
      <c r="DS16" s="164">
        <f t="shared" si="11"/>
        <v>1</v>
      </c>
      <c r="DT16" s="164">
        <f t="shared" si="12"/>
        <v>1</v>
      </c>
      <c r="DU16" s="164">
        <f t="shared" si="13"/>
        <v>1</v>
      </c>
      <c r="DV16" s="164">
        <f t="shared" si="14"/>
        <v>1</v>
      </c>
      <c r="DW16" s="127"/>
      <c r="EA16" s="126"/>
      <c r="EB16" s="49" t="s">
        <v>188</v>
      </c>
      <c r="EC16" s="2"/>
      <c r="ED16" s="45"/>
      <c r="EE16" s="164">
        <f t="shared" si="15"/>
        <v>1</v>
      </c>
      <c r="EF16" s="164">
        <f t="shared" si="16"/>
        <v>1</v>
      </c>
      <c r="EG16" s="164">
        <f t="shared" si="17"/>
        <v>1</v>
      </c>
      <c r="EH16" s="164">
        <f t="shared" si="18"/>
        <v>1</v>
      </c>
      <c r="EI16" s="164">
        <f t="shared" si="19"/>
        <v>1</v>
      </c>
      <c r="EJ16" s="164">
        <f t="shared" si="20"/>
        <v>1</v>
      </c>
      <c r="EK16" s="164">
        <f t="shared" si="21"/>
        <v>1</v>
      </c>
      <c r="EL16" s="164">
        <f t="shared" si="22"/>
        <v>1</v>
      </c>
      <c r="EM16" s="164">
        <f t="shared" si="23"/>
        <v>1</v>
      </c>
      <c r="EN16" s="127"/>
      <c r="ER16" s="126"/>
      <c r="ES16" s="3"/>
      <c r="ET16" s="2"/>
      <c r="EU16" s="13"/>
      <c r="EV16" s="4"/>
      <c r="EW16" s="4"/>
      <c r="EX16" s="4"/>
      <c r="EY16" s="4"/>
      <c r="EZ16" s="4"/>
      <c r="FA16" s="4"/>
      <c r="FB16" s="4"/>
      <c r="FC16" s="4"/>
      <c r="FD16" s="4"/>
      <c r="FE16" s="127"/>
      <c r="FI16" s="126"/>
      <c r="FJ16" s="3"/>
      <c r="FK16" s="2"/>
      <c r="FL16" s="13"/>
      <c r="FM16" s="4"/>
      <c r="FN16" s="4"/>
      <c r="FO16" s="4"/>
      <c r="FP16" s="4"/>
      <c r="FQ16" s="4"/>
      <c r="FR16" s="4"/>
      <c r="FS16" s="4"/>
      <c r="FT16" s="4"/>
      <c r="FU16" s="4"/>
      <c r="FV16" s="127"/>
    </row>
    <row r="17" spans="3:178" ht="15.5" x14ac:dyDescent="0.35">
      <c r="C17" s="126"/>
      <c r="D17" s="3" t="s">
        <v>181</v>
      </c>
      <c r="E17" s="2"/>
      <c r="F17" s="13"/>
      <c r="G17" s="4">
        <v>3.4446153846153846</v>
      </c>
      <c r="H17" s="4">
        <v>4.733076923076923</v>
      </c>
      <c r="I17" s="4">
        <v>0.42045670906712296</v>
      </c>
      <c r="J17" s="4">
        <v>0.57954329093287693</v>
      </c>
      <c r="K17" s="4">
        <v>0.29864655381536903</v>
      </c>
      <c r="L17" s="4">
        <v>0.12345998413426952</v>
      </c>
      <c r="M17" s="4">
        <v>8.1776923076923076</v>
      </c>
      <c r="N17" s="4">
        <v>15.538461538461538</v>
      </c>
      <c r="O17" s="4">
        <v>4.5295739088649718</v>
      </c>
      <c r="P17" s="127"/>
      <c r="T17" s="126"/>
      <c r="U17" s="49" t="s">
        <v>181</v>
      </c>
      <c r="V17" s="2"/>
      <c r="W17" s="45"/>
      <c r="X17" s="164">
        <v>3.4446153846153846</v>
      </c>
      <c r="Y17" s="164">
        <v>4.733076923076923</v>
      </c>
      <c r="Z17" s="164">
        <v>0.42045670906712296</v>
      </c>
      <c r="AA17" s="164">
        <v>0.57954329093287693</v>
      </c>
      <c r="AB17" s="164">
        <v>0.29864655381536903</v>
      </c>
      <c r="AC17" s="164">
        <v>0.12345998413426952</v>
      </c>
      <c r="AD17" s="164">
        <v>8.1776923076923076</v>
      </c>
      <c r="AE17" s="164">
        <v>15.538461538461538</v>
      </c>
      <c r="AF17" s="164">
        <v>4.5295739088649718</v>
      </c>
      <c r="AG17" s="127"/>
      <c r="AK17" s="126"/>
      <c r="AL17" s="3"/>
      <c r="AM17" s="2"/>
      <c r="AN17" s="13"/>
      <c r="AO17" s="4"/>
      <c r="AP17" s="4"/>
      <c r="AQ17" s="4"/>
      <c r="AR17" s="4"/>
      <c r="AS17" s="4"/>
      <c r="AT17" s="4"/>
      <c r="AU17" s="4"/>
      <c r="AV17" s="4"/>
      <c r="AW17" s="4"/>
      <c r="AX17" s="127"/>
      <c r="BB17" s="126"/>
      <c r="BC17" s="3"/>
      <c r="BD17" s="2"/>
      <c r="BE17" s="13"/>
      <c r="BF17" s="4"/>
      <c r="BG17" s="4"/>
      <c r="BH17" s="4"/>
      <c r="BI17" s="4"/>
      <c r="BJ17" s="4"/>
      <c r="BK17" s="4"/>
      <c r="BL17" s="4"/>
      <c r="BM17" s="4"/>
      <c r="BN17" s="4"/>
      <c r="BO17" s="127"/>
      <c r="BS17" s="126"/>
      <c r="BT17" s="3"/>
      <c r="BU17" s="2"/>
      <c r="BV17" s="13"/>
      <c r="BW17" s="4"/>
      <c r="BX17" s="4"/>
      <c r="BY17" s="4"/>
      <c r="BZ17" s="4"/>
      <c r="CA17" s="4"/>
      <c r="CB17" s="4"/>
      <c r="CC17" s="4"/>
      <c r="CD17" s="4"/>
      <c r="CE17" s="4"/>
      <c r="CF17" s="127"/>
      <c r="CJ17" s="126"/>
      <c r="CK17" s="3"/>
      <c r="CL17" s="2"/>
      <c r="CM17" s="13"/>
      <c r="CN17" s="4"/>
      <c r="CO17" s="4"/>
      <c r="CP17" s="4"/>
      <c r="CQ17" s="4"/>
      <c r="CR17" s="4"/>
      <c r="CS17" s="4"/>
      <c r="CT17" s="4"/>
      <c r="CU17" s="4"/>
      <c r="CV17" s="4"/>
      <c r="CW17" s="127"/>
      <c r="DJ17" s="126"/>
      <c r="DK17" s="3" t="s">
        <v>181</v>
      </c>
      <c r="DL17" s="2"/>
      <c r="DM17" s="13"/>
      <c r="DN17" s="164">
        <f t="shared" si="6"/>
        <v>1</v>
      </c>
      <c r="DO17" s="164">
        <f t="shared" si="7"/>
        <v>1</v>
      </c>
      <c r="DP17" s="164">
        <f t="shared" si="8"/>
        <v>1</v>
      </c>
      <c r="DQ17" s="164">
        <f t="shared" si="9"/>
        <v>1</v>
      </c>
      <c r="DR17" s="164">
        <f t="shared" si="10"/>
        <v>1</v>
      </c>
      <c r="DS17" s="164">
        <f t="shared" si="11"/>
        <v>1</v>
      </c>
      <c r="DT17" s="164">
        <f t="shared" si="12"/>
        <v>1</v>
      </c>
      <c r="DU17" s="164">
        <f t="shared" si="13"/>
        <v>1</v>
      </c>
      <c r="DV17" s="164">
        <f t="shared" si="14"/>
        <v>1</v>
      </c>
      <c r="DW17" s="127"/>
      <c r="EA17" s="126"/>
      <c r="EB17" s="49" t="s">
        <v>181</v>
      </c>
      <c r="EC17" s="2"/>
      <c r="ED17" s="45"/>
      <c r="EE17" s="164">
        <f t="shared" si="15"/>
        <v>1</v>
      </c>
      <c r="EF17" s="164">
        <f t="shared" si="16"/>
        <v>1</v>
      </c>
      <c r="EG17" s="164">
        <f t="shared" si="17"/>
        <v>1</v>
      </c>
      <c r="EH17" s="164">
        <f t="shared" si="18"/>
        <v>1</v>
      </c>
      <c r="EI17" s="164">
        <f t="shared" si="19"/>
        <v>1</v>
      </c>
      <c r="EJ17" s="164">
        <f t="shared" si="20"/>
        <v>1</v>
      </c>
      <c r="EK17" s="164">
        <f t="shared" si="21"/>
        <v>1</v>
      </c>
      <c r="EL17" s="164">
        <f t="shared" si="22"/>
        <v>1</v>
      </c>
      <c r="EM17" s="164">
        <f t="shared" si="23"/>
        <v>1</v>
      </c>
      <c r="EN17" s="127"/>
      <c r="ER17" s="126"/>
      <c r="ES17" s="3"/>
      <c r="ET17" s="2"/>
      <c r="EU17" s="13"/>
      <c r="EV17" s="4"/>
      <c r="EW17" s="4"/>
      <c r="EX17" s="4"/>
      <c r="EY17" s="4"/>
      <c r="EZ17" s="4"/>
      <c r="FA17" s="4"/>
      <c r="FB17" s="4"/>
      <c r="FC17" s="4"/>
      <c r="FD17" s="4"/>
      <c r="FE17" s="127"/>
      <c r="FI17" s="126"/>
      <c r="FJ17" s="3"/>
      <c r="FK17" s="2"/>
      <c r="FL17" s="13"/>
      <c r="FM17" s="4"/>
      <c r="FN17" s="4"/>
      <c r="FO17" s="4"/>
      <c r="FP17" s="4"/>
      <c r="FQ17" s="4"/>
      <c r="FR17" s="4"/>
      <c r="FS17" s="4"/>
      <c r="FT17" s="4"/>
      <c r="FU17" s="4"/>
      <c r="FV17" s="127"/>
    </row>
    <row r="18" spans="3:178" ht="15.5" x14ac:dyDescent="0.35">
      <c r="C18" s="126"/>
      <c r="D18" s="3" t="s">
        <v>305</v>
      </c>
      <c r="E18" s="2"/>
      <c r="F18" s="13"/>
      <c r="G18" s="4">
        <v>8.6559259999999991</v>
      </c>
      <c r="H18" s="4">
        <v>6.6871540000000014</v>
      </c>
      <c r="I18" s="4">
        <v>0.56216493886494212</v>
      </c>
      <c r="J18" s="4">
        <v>0.43783506113505799</v>
      </c>
      <c r="K18" s="4">
        <v>0.12417151673610463</v>
      </c>
      <c r="L18" s="4">
        <v>6.6209967259167973E-2</v>
      </c>
      <c r="M18" s="4">
        <v>15.34308</v>
      </c>
      <c r="N18" s="4">
        <v>51.4</v>
      </c>
      <c r="O18" s="4">
        <v>5.9614749927922572</v>
      </c>
      <c r="P18" s="127"/>
      <c r="T18" s="126"/>
      <c r="U18" s="3" t="s">
        <v>305</v>
      </c>
      <c r="V18" s="2"/>
      <c r="W18" s="45"/>
      <c r="X18" s="164">
        <v>8.6559259999999991</v>
      </c>
      <c r="Y18" s="164">
        <v>6.6871540000000014</v>
      </c>
      <c r="Z18" s="164">
        <v>0.56216493886494212</v>
      </c>
      <c r="AA18" s="164">
        <v>0.43783506113505799</v>
      </c>
      <c r="AB18" s="164">
        <v>0.12417151673610463</v>
      </c>
      <c r="AC18" s="164">
        <v>6.6209967259167973E-2</v>
      </c>
      <c r="AD18" s="164">
        <v>15.34308</v>
      </c>
      <c r="AE18" s="4">
        <v>51.4</v>
      </c>
      <c r="AF18" s="4">
        <v>5.9614749927922572</v>
      </c>
      <c r="AG18" s="127"/>
      <c r="AK18" s="126"/>
      <c r="AL18" s="3"/>
      <c r="AM18" s="2"/>
      <c r="AN18" s="13"/>
      <c r="AO18" s="4"/>
      <c r="AP18" s="4"/>
      <c r="AQ18" s="4"/>
      <c r="AR18" s="4"/>
      <c r="AS18" s="4"/>
      <c r="AT18" s="4"/>
      <c r="AU18" s="4"/>
      <c r="AV18" s="4"/>
      <c r="AW18" s="4"/>
      <c r="AX18" s="127"/>
      <c r="BB18" s="126"/>
      <c r="BC18" s="3"/>
      <c r="BD18" s="2"/>
      <c r="BE18" s="13"/>
      <c r="BF18" s="4"/>
      <c r="BG18" s="4"/>
      <c r="BH18" s="4"/>
      <c r="BI18" s="4"/>
      <c r="BJ18" s="4"/>
      <c r="BK18" s="4"/>
      <c r="BL18" s="4"/>
      <c r="BM18" s="4"/>
      <c r="BN18" s="4"/>
      <c r="BO18" s="127"/>
      <c r="BS18" s="126"/>
      <c r="BT18" s="3"/>
      <c r="BU18" s="2"/>
      <c r="BV18" s="13"/>
      <c r="BW18" s="4"/>
      <c r="BX18" s="4"/>
      <c r="BY18" s="4"/>
      <c r="BZ18" s="4"/>
      <c r="CA18" s="4"/>
      <c r="CB18" s="4"/>
      <c r="CC18" s="4"/>
      <c r="CD18" s="4"/>
      <c r="CE18" s="4"/>
      <c r="CF18" s="127"/>
      <c r="CJ18" s="126"/>
      <c r="CK18" s="3"/>
      <c r="CL18" s="2"/>
      <c r="CM18" s="13"/>
      <c r="CN18" s="4"/>
      <c r="CO18" s="4"/>
      <c r="CP18" s="4"/>
      <c r="CQ18" s="4"/>
      <c r="CR18" s="4"/>
      <c r="CS18" s="4"/>
      <c r="CT18" s="4"/>
      <c r="CU18" s="4"/>
      <c r="CV18" s="4"/>
      <c r="CW18" s="127"/>
      <c r="DJ18" s="126"/>
      <c r="DK18" s="3" t="s">
        <v>305</v>
      </c>
      <c r="DL18" s="2"/>
      <c r="DM18" s="13"/>
      <c r="DN18" s="164">
        <f t="shared" si="6"/>
        <v>1</v>
      </c>
      <c r="DO18" s="164">
        <f t="shared" si="7"/>
        <v>1</v>
      </c>
      <c r="DP18" s="164">
        <f t="shared" si="8"/>
        <v>1</v>
      </c>
      <c r="DQ18" s="164">
        <f t="shared" si="9"/>
        <v>1</v>
      </c>
      <c r="DR18" s="164">
        <f t="shared" si="10"/>
        <v>1</v>
      </c>
      <c r="DS18" s="164">
        <f t="shared" si="11"/>
        <v>1</v>
      </c>
      <c r="DT18" s="164">
        <f t="shared" si="12"/>
        <v>1</v>
      </c>
      <c r="DU18" s="164">
        <f t="shared" si="13"/>
        <v>1</v>
      </c>
      <c r="DV18" s="164">
        <f t="shared" si="14"/>
        <v>1</v>
      </c>
      <c r="DW18" s="127"/>
      <c r="EA18" s="126"/>
      <c r="EB18" s="3" t="s">
        <v>305</v>
      </c>
      <c r="EC18" s="2"/>
      <c r="ED18" s="45"/>
      <c r="EE18" s="164">
        <f t="shared" si="15"/>
        <v>1</v>
      </c>
      <c r="EF18" s="164">
        <f t="shared" si="16"/>
        <v>1</v>
      </c>
      <c r="EG18" s="164">
        <f t="shared" si="17"/>
        <v>1</v>
      </c>
      <c r="EH18" s="164">
        <f t="shared" si="18"/>
        <v>1</v>
      </c>
      <c r="EI18" s="164">
        <f t="shared" si="19"/>
        <v>1</v>
      </c>
      <c r="EJ18" s="164">
        <f t="shared" si="20"/>
        <v>1</v>
      </c>
      <c r="EK18" s="164">
        <f t="shared" si="21"/>
        <v>1</v>
      </c>
      <c r="EL18" s="164">
        <f t="shared" si="22"/>
        <v>1</v>
      </c>
      <c r="EM18" s="164">
        <f t="shared" si="23"/>
        <v>1</v>
      </c>
      <c r="EN18" s="127"/>
      <c r="ER18" s="126"/>
      <c r="ES18" s="3"/>
      <c r="ET18" s="2"/>
      <c r="EU18" s="13"/>
      <c r="EV18" s="4"/>
      <c r="EW18" s="4"/>
      <c r="EX18" s="4"/>
      <c r="EY18" s="4"/>
      <c r="EZ18" s="4"/>
      <c r="FA18" s="4"/>
      <c r="FB18" s="4"/>
      <c r="FC18" s="4"/>
      <c r="FD18" s="4"/>
      <c r="FE18" s="127"/>
      <c r="FI18" s="126"/>
      <c r="FJ18" s="3"/>
      <c r="FK18" s="2"/>
      <c r="FL18" s="13"/>
      <c r="FM18" s="4"/>
      <c r="FN18" s="4"/>
      <c r="FO18" s="4"/>
      <c r="FP18" s="4"/>
      <c r="FQ18" s="4"/>
      <c r="FR18" s="4"/>
      <c r="FS18" s="4"/>
      <c r="FT18" s="4"/>
      <c r="FU18" s="4"/>
      <c r="FV18" s="127"/>
    </row>
    <row r="19" spans="3:178" ht="15.5" x14ac:dyDescent="0.35">
      <c r="C19" s="126"/>
      <c r="D19" s="3" t="s">
        <v>298</v>
      </c>
      <c r="E19" s="2"/>
      <c r="F19" s="13"/>
      <c r="G19" s="4">
        <v>4.7135520555555548</v>
      </c>
      <c r="H19" s="4">
        <v>7.0656710555555566</v>
      </c>
      <c r="I19" s="4">
        <v>0.4073727427800391</v>
      </c>
      <c r="J19" s="4">
        <v>0.5926272572199609</v>
      </c>
      <c r="K19" s="4">
        <v>0.21593796317205113</v>
      </c>
      <c r="L19" s="4">
        <v>8.6611255636878048E-2</v>
      </c>
      <c r="M19" s="4">
        <v>11.779223111111111</v>
      </c>
      <c r="N19" s="4">
        <v>16.555555555555557</v>
      </c>
      <c r="O19" s="4">
        <v>3.5096157428262615</v>
      </c>
      <c r="P19" s="127"/>
      <c r="T19" s="126"/>
      <c r="U19" s="3" t="s">
        <v>298</v>
      </c>
      <c r="V19" s="2"/>
      <c r="W19" s="45"/>
      <c r="X19" s="164">
        <v>4.7135520555555548</v>
      </c>
      <c r="Y19" s="164">
        <v>7.0656710555555566</v>
      </c>
      <c r="Z19" s="164">
        <v>0.4073727427800391</v>
      </c>
      <c r="AA19" s="164">
        <v>0.5926272572199609</v>
      </c>
      <c r="AB19" s="164">
        <v>0.21593796317205113</v>
      </c>
      <c r="AC19" s="164">
        <v>8.6611255636878048E-2</v>
      </c>
      <c r="AD19" s="164">
        <v>11.779223111111111</v>
      </c>
      <c r="AE19" s="164">
        <v>16.555555555555557</v>
      </c>
      <c r="AF19" s="164">
        <v>3.5096157428262615</v>
      </c>
      <c r="AG19" s="127"/>
      <c r="AK19" s="126"/>
      <c r="AL19" s="3"/>
      <c r="AM19" s="2"/>
      <c r="AN19" s="13"/>
      <c r="AO19" s="4"/>
      <c r="AP19" s="4"/>
      <c r="AQ19" s="4"/>
      <c r="AR19" s="4"/>
      <c r="AS19" s="4"/>
      <c r="AT19" s="4"/>
      <c r="AU19" s="4"/>
      <c r="AV19" s="4"/>
      <c r="AW19" s="4"/>
      <c r="AX19" s="127"/>
      <c r="BB19" s="126"/>
      <c r="BC19" s="3"/>
      <c r="BD19" s="2"/>
      <c r="BE19" s="13"/>
      <c r="BF19" s="4"/>
      <c r="BG19" s="4"/>
      <c r="BH19" s="4"/>
      <c r="BI19" s="4"/>
      <c r="BJ19" s="4"/>
      <c r="BK19" s="4"/>
      <c r="BL19" s="4"/>
      <c r="BM19" s="4"/>
      <c r="BN19" s="4"/>
      <c r="BO19" s="127"/>
      <c r="BS19" s="126"/>
      <c r="BT19" s="3"/>
      <c r="BU19" s="2"/>
      <c r="BV19" s="13"/>
      <c r="BW19" s="4"/>
      <c r="BX19" s="4"/>
      <c r="BY19" s="4"/>
      <c r="BZ19" s="4"/>
      <c r="CA19" s="4"/>
      <c r="CB19" s="4"/>
      <c r="CC19" s="4"/>
      <c r="CD19" s="4"/>
      <c r="CE19" s="4"/>
      <c r="CF19" s="127"/>
      <c r="CJ19" s="126"/>
      <c r="CK19" s="3"/>
      <c r="CL19" s="2"/>
      <c r="CM19" s="13"/>
      <c r="CN19" s="4"/>
      <c r="CO19" s="4"/>
      <c r="CP19" s="4"/>
      <c r="CQ19" s="4"/>
      <c r="CR19" s="4"/>
      <c r="CS19" s="4"/>
      <c r="CT19" s="4"/>
      <c r="CU19" s="4"/>
      <c r="CV19" s="4"/>
      <c r="CW19" s="127"/>
      <c r="DJ19" s="126"/>
      <c r="DK19" s="3" t="s">
        <v>298</v>
      </c>
      <c r="DL19" s="2"/>
      <c r="DM19" s="13"/>
      <c r="DN19" s="164">
        <f t="shared" si="6"/>
        <v>1</v>
      </c>
      <c r="DO19" s="164">
        <f t="shared" si="7"/>
        <v>1</v>
      </c>
      <c r="DP19" s="164">
        <f t="shared" si="8"/>
        <v>1</v>
      </c>
      <c r="DQ19" s="164">
        <f t="shared" si="9"/>
        <v>1</v>
      </c>
      <c r="DR19" s="164">
        <f t="shared" si="10"/>
        <v>1</v>
      </c>
      <c r="DS19" s="164">
        <f t="shared" si="11"/>
        <v>1</v>
      </c>
      <c r="DT19" s="164">
        <f t="shared" si="12"/>
        <v>1</v>
      </c>
      <c r="DU19" s="164">
        <f t="shared" si="13"/>
        <v>1</v>
      </c>
      <c r="DV19" s="164">
        <f t="shared" si="14"/>
        <v>1</v>
      </c>
      <c r="DW19" s="127"/>
      <c r="EA19" s="126"/>
      <c r="EB19" s="3" t="s">
        <v>298</v>
      </c>
      <c r="EC19" s="2"/>
      <c r="ED19" s="45"/>
      <c r="EE19" s="164">
        <f t="shared" si="15"/>
        <v>1</v>
      </c>
      <c r="EF19" s="164">
        <f t="shared" si="16"/>
        <v>1</v>
      </c>
      <c r="EG19" s="164">
        <f t="shared" si="17"/>
        <v>1</v>
      </c>
      <c r="EH19" s="164">
        <f t="shared" si="18"/>
        <v>1</v>
      </c>
      <c r="EI19" s="164">
        <f t="shared" si="19"/>
        <v>1</v>
      </c>
      <c r="EJ19" s="164">
        <f t="shared" si="20"/>
        <v>1</v>
      </c>
      <c r="EK19" s="164">
        <f t="shared" si="21"/>
        <v>1</v>
      </c>
      <c r="EL19" s="164">
        <f t="shared" si="22"/>
        <v>1</v>
      </c>
      <c r="EM19" s="164">
        <f t="shared" si="23"/>
        <v>1</v>
      </c>
      <c r="EN19" s="127"/>
      <c r="ER19" s="126"/>
      <c r="ES19" s="3"/>
      <c r="ET19" s="2"/>
      <c r="EU19" s="13"/>
      <c r="EV19" s="4"/>
      <c r="EW19" s="4"/>
      <c r="EX19" s="4"/>
      <c r="EY19" s="4"/>
      <c r="EZ19" s="4"/>
      <c r="FA19" s="4"/>
      <c r="FB19" s="4"/>
      <c r="FC19" s="4"/>
      <c r="FD19" s="4"/>
      <c r="FE19" s="127"/>
      <c r="FI19" s="126"/>
      <c r="FJ19" s="3"/>
      <c r="FK19" s="2"/>
      <c r="FL19" s="13"/>
      <c r="FM19" s="4"/>
      <c r="FN19" s="4"/>
      <c r="FO19" s="4"/>
      <c r="FP19" s="4"/>
      <c r="FQ19" s="4"/>
      <c r="FR19" s="4"/>
      <c r="FS19" s="4"/>
      <c r="FT19" s="4"/>
      <c r="FU19" s="4"/>
      <c r="FV19" s="127"/>
    </row>
    <row r="20" spans="3:178" ht="15.5" x14ac:dyDescent="0.35">
      <c r="C20" s="131" t="s">
        <v>261</v>
      </c>
      <c r="D20" s="3" t="s">
        <v>231</v>
      </c>
      <c r="E20" s="2"/>
      <c r="F20" s="13"/>
      <c r="G20" s="4">
        <v>4.9064439999999987</v>
      </c>
      <c r="H20" s="4">
        <v>5.8889960000000006</v>
      </c>
      <c r="I20" s="4">
        <v>0.45638868377619285</v>
      </c>
      <c r="J20" s="4">
        <v>0.5436113162238071</v>
      </c>
      <c r="K20" s="4">
        <v>0.20403221331084725</v>
      </c>
      <c r="L20" s="4">
        <v>9.3057855876749127E-2</v>
      </c>
      <c r="M20" s="4">
        <v>10.795439999999999</v>
      </c>
      <c r="N20" s="4">
        <v>29.285714285714285</v>
      </c>
      <c r="O20" s="4">
        <v>5.7877767896992793</v>
      </c>
      <c r="P20" s="127"/>
      <c r="T20" s="131" t="s">
        <v>261</v>
      </c>
      <c r="U20" s="3" t="s">
        <v>231</v>
      </c>
      <c r="V20" s="2"/>
      <c r="W20" s="45"/>
      <c r="X20" s="164">
        <v>4.9064439999999987</v>
      </c>
      <c r="Y20" s="164">
        <v>5.8889960000000006</v>
      </c>
      <c r="Z20" s="164">
        <v>0.45638868377619285</v>
      </c>
      <c r="AA20" s="164">
        <v>0.5436113162238071</v>
      </c>
      <c r="AB20" s="164">
        <v>0.20403221331084725</v>
      </c>
      <c r="AC20" s="164">
        <v>9.3057855876749127E-2</v>
      </c>
      <c r="AD20" s="164">
        <v>10.795439999999999</v>
      </c>
      <c r="AE20" s="164">
        <v>29.285714285714285</v>
      </c>
      <c r="AF20" s="164">
        <v>5.7877767896992793</v>
      </c>
      <c r="AG20" s="127"/>
      <c r="AK20" s="126"/>
      <c r="AL20" s="3"/>
      <c r="AM20" s="2"/>
      <c r="AN20" s="13"/>
      <c r="AO20" s="4"/>
      <c r="AP20" s="4"/>
      <c r="AQ20" s="4"/>
      <c r="AR20" s="4"/>
      <c r="AS20" s="4"/>
      <c r="AT20" s="4"/>
      <c r="AU20" s="4"/>
      <c r="AV20" s="4"/>
      <c r="AW20" s="4"/>
      <c r="AX20" s="127"/>
      <c r="BB20" s="126"/>
      <c r="BC20" s="3"/>
      <c r="BD20" s="2"/>
      <c r="BE20" s="13"/>
      <c r="BF20" s="4"/>
      <c r="BG20" s="4"/>
      <c r="BH20" s="4"/>
      <c r="BI20" s="4"/>
      <c r="BJ20" s="4"/>
      <c r="BK20" s="4"/>
      <c r="BL20" s="4"/>
      <c r="BM20" s="4"/>
      <c r="BN20" s="4"/>
      <c r="BO20" s="127"/>
      <c r="BS20" s="126"/>
      <c r="BT20" s="3"/>
      <c r="BU20" s="2"/>
      <c r="BV20" s="13"/>
      <c r="BW20" s="4"/>
      <c r="BX20" s="4"/>
      <c r="BY20" s="4"/>
      <c r="BZ20" s="4"/>
      <c r="CA20" s="4"/>
      <c r="CB20" s="4"/>
      <c r="CC20" s="4"/>
      <c r="CD20" s="4"/>
      <c r="CE20" s="4"/>
      <c r="CF20" s="127"/>
      <c r="CJ20" s="126"/>
      <c r="CK20" s="3"/>
      <c r="CL20" s="2"/>
      <c r="CM20" s="13"/>
      <c r="CN20" s="4"/>
      <c r="CO20" s="4"/>
      <c r="CP20" s="4"/>
      <c r="CQ20" s="4"/>
      <c r="CR20" s="4"/>
      <c r="CS20" s="4"/>
      <c r="CT20" s="4"/>
      <c r="CU20" s="4"/>
      <c r="CV20" s="4"/>
      <c r="CW20" s="127"/>
      <c r="DJ20" s="131" t="s">
        <v>261</v>
      </c>
      <c r="DK20" s="3" t="s">
        <v>231</v>
      </c>
      <c r="DL20" s="2"/>
      <c r="DM20" s="13"/>
      <c r="DN20" s="164">
        <f t="shared" si="6"/>
        <v>1</v>
      </c>
      <c r="DO20" s="164">
        <f t="shared" si="7"/>
        <v>1</v>
      </c>
      <c r="DP20" s="164">
        <f t="shared" si="8"/>
        <v>1</v>
      </c>
      <c r="DQ20" s="164">
        <f t="shared" si="9"/>
        <v>1</v>
      </c>
      <c r="DR20" s="164">
        <f t="shared" si="10"/>
        <v>1</v>
      </c>
      <c r="DS20" s="164">
        <f t="shared" si="11"/>
        <v>1</v>
      </c>
      <c r="DT20" s="164">
        <f t="shared" si="12"/>
        <v>1</v>
      </c>
      <c r="DU20" s="164">
        <f t="shared" si="13"/>
        <v>1</v>
      </c>
      <c r="DV20" s="164">
        <f t="shared" si="14"/>
        <v>1</v>
      </c>
      <c r="DW20" s="127"/>
      <c r="EA20" s="131" t="s">
        <v>261</v>
      </c>
      <c r="EB20" s="3" t="s">
        <v>231</v>
      </c>
      <c r="EC20" s="2"/>
      <c r="ED20" s="45"/>
      <c r="EE20" s="164">
        <f t="shared" si="15"/>
        <v>1</v>
      </c>
      <c r="EF20" s="164">
        <f t="shared" si="16"/>
        <v>1</v>
      </c>
      <c r="EG20" s="164">
        <f t="shared" si="17"/>
        <v>1</v>
      </c>
      <c r="EH20" s="164">
        <f t="shared" si="18"/>
        <v>1</v>
      </c>
      <c r="EI20" s="164">
        <f t="shared" si="19"/>
        <v>1</v>
      </c>
      <c r="EJ20" s="164">
        <f t="shared" si="20"/>
        <v>1</v>
      </c>
      <c r="EK20" s="164">
        <f t="shared" si="21"/>
        <v>1</v>
      </c>
      <c r="EL20" s="164">
        <f t="shared" si="22"/>
        <v>1</v>
      </c>
      <c r="EM20" s="164">
        <f t="shared" si="23"/>
        <v>1</v>
      </c>
      <c r="EN20" s="127"/>
      <c r="ER20" s="126"/>
      <c r="ES20" s="3"/>
      <c r="ET20" s="2"/>
      <c r="EU20" s="13"/>
      <c r="EV20" s="4"/>
      <c r="EW20" s="4"/>
      <c r="EX20" s="4"/>
      <c r="EY20" s="4"/>
      <c r="EZ20" s="4"/>
      <c r="FA20" s="4"/>
      <c r="FB20" s="4"/>
      <c r="FC20" s="4"/>
      <c r="FD20" s="4"/>
      <c r="FE20" s="127"/>
      <c r="FI20" s="126"/>
      <c r="FJ20" s="3"/>
      <c r="FK20" s="2"/>
      <c r="FL20" s="13"/>
      <c r="FM20" s="4"/>
      <c r="FN20" s="4"/>
      <c r="FO20" s="4"/>
      <c r="FP20" s="4"/>
      <c r="FQ20" s="4"/>
      <c r="FR20" s="4"/>
      <c r="FS20" s="4"/>
      <c r="FT20" s="4"/>
      <c r="FU20" s="4"/>
      <c r="FV20" s="127"/>
    </row>
    <row r="21" spans="3:178" ht="15.5" x14ac:dyDescent="0.35">
      <c r="C21" s="131" t="s">
        <v>261</v>
      </c>
      <c r="D21" s="3" t="s">
        <v>210</v>
      </c>
      <c r="E21" s="2"/>
      <c r="F21" s="13"/>
      <c r="G21" s="4">
        <v>4.8598188888888911</v>
      </c>
      <c r="H21" s="4">
        <v>8.6737637499999973</v>
      </c>
      <c r="I21" s="4">
        <v>0.36854345948332534</v>
      </c>
      <c r="J21" s="4">
        <v>0.63145654051667455</v>
      </c>
      <c r="K21" s="4">
        <v>0.21598675666861694</v>
      </c>
      <c r="L21" s="4">
        <v>7.4812034457239829E-2</v>
      </c>
      <c r="M21" s="4">
        <v>13.6504575</v>
      </c>
      <c r="N21" s="4">
        <v>22.777777777777779</v>
      </c>
      <c r="O21" s="4">
        <v>4.6604584636217403</v>
      </c>
      <c r="P21" s="127"/>
      <c r="T21" s="131" t="s">
        <v>261</v>
      </c>
      <c r="U21" s="3" t="s">
        <v>210</v>
      </c>
      <c r="V21" s="2"/>
      <c r="W21" s="45"/>
      <c r="X21" s="164">
        <v>4.8598188888888911</v>
      </c>
      <c r="Y21" s="164">
        <v>8.6737637499999973</v>
      </c>
      <c r="Z21" s="164">
        <v>0.36854345948332534</v>
      </c>
      <c r="AA21" s="164">
        <v>0.63145654051667455</v>
      </c>
      <c r="AB21" s="164">
        <v>0.21598675666861694</v>
      </c>
      <c r="AC21" s="164">
        <v>7.4812034457239829E-2</v>
      </c>
      <c r="AD21" s="164">
        <v>13.6504575</v>
      </c>
      <c r="AE21" s="164">
        <v>22.777777777777779</v>
      </c>
      <c r="AF21" s="164">
        <v>4.6604584636217403</v>
      </c>
      <c r="AG21" s="127"/>
      <c r="AK21" s="126"/>
      <c r="AL21" s="3"/>
      <c r="AM21" s="2"/>
      <c r="AN21" s="13"/>
      <c r="AO21" s="4"/>
      <c r="AP21" s="4"/>
      <c r="AQ21" s="4"/>
      <c r="AR21" s="4"/>
      <c r="AS21" s="4"/>
      <c r="AT21" s="4"/>
      <c r="AU21" s="4"/>
      <c r="AV21" s="4"/>
      <c r="AW21" s="4"/>
      <c r="AX21" s="127"/>
      <c r="BB21" s="126"/>
      <c r="BC21" s="3"/>
      <c r="BD21" s="2"/>
      <c r="BE21" s="13"/>
      <c r="BF21" s="4"/>
      <c r="BG21" s="4"/>
      <c r="BH21" s="4"/>
      <c r="BI21" s="4"/>
      <c r="BJ21" s="4"/>
      <c r="BK21" s="4"/>
      <c r="BL21" s="4"/>
      <c r="BM21" s="4"/>
      <c r="BN21" s="4"/>
      <c r="BO21" s="127"/>
      <c r="BS21" s="126"/>
      <c r="BT21" s="3"/>
      <c r="BU21" s="2"/>
      <c r="BV21" s="13"/>
      <c r="BW21" s="4"/>
      <c r="BX21" s="4"/>
      <c r="BY21" s="4"/>
      <c r="BZ21" s="4"/>
      <c r="CA21" s="4"/>
      <c r="CB21" s="4"/>
      <c r="CC21" s="4"/>
      <c r="CD21" s="4"/>
      <c r="CE21" s="4"/>
      <c r="CF21" s="127"/>
      <c r="CJ21" s="126"/>
      <c r="CK21" s="3"/>
      <c r="CL21" s="2"/>
      <c r="CM21" s="13"/>
      <c r="CN21" s="4"/>
      <c r="CO21" s="4"/>
      <c r="CP21" s="4"/>
      <c r="CQ21" s="4"/>
      <c r="CR21" s="4"/>
      <c r="CS21" s="4"/>
      <c r="CT21" s="4"/>
      <c r="CU21" s="4"/>
      <c r="CV21" s="4"/>
      <c r="CW21" s="127"/>
      <c r="DJ21" s="131" t="s">
        <v>261</v>
      </c>
      <c r="DK21" s="3" t="s">
        <v>210</v>
      </c>
      <c r="DL21" s="2"/>
      <c r="DM21" s="13"/>
      <c r="DN21" s="164">
        <f t="shared" si="6"/>
        <v>1</v>
      </c>
      <c r="DO21" s="164">
        <f t="shared" si="7"/>
        <v>1</v>
      </c>
      <c r="DP21" s="164">
        <f t="shared" si="8"/>
        <v>1</v>
      </c>
      <c r="DQ21" s="164">
        <f t="shared" si="9"/>
        <v>1</v>
      </c>
      <c r="DR21" s="164">
        <f t="shared" si="10"/>
        <v>1</v>
      </c>
      <c r="DS21" s="164">
        <f t="shared" si="11"/>
        <v>1</v>
      </c>
      <c r="DT21" s="164">
        <f t="shared" si="12"/>
        <v>1</v>
      </c>
      <c r="DU21" s="164">
        <f t="shared" si="13"/>
        <v>1</v>
      </c>
      <c r="DV21" s="164">
        <f t="shared" si="14"/>
        <v>1</v>
      </c>
      <c r="DW21" s="127"/>
      <c r="EA21" s="131" t="s">
        <v>261</v>
      </c>
      <c r="EB21" s="3" t="s">
        <v>210</v>
      </c>
      <c r="EC21" s="2"/>
      <c r="ED21" s="45"/>
      <c r="EE21" s="164">
        <f t="shared" si="15"/>
        <v>1</v>
      </c>
      <c r="EF21" s="164">
        <f t="shared" si="16"/>
        <v>1</v>
      </c>
      <c r="EG21" s="164">
        <f t="shared" si="17"/>
        <v>1</v>
      </c>
      <c r="EH21" s="164">
        <f t="shared" si="18"/>
        <v>1</v>
      </c>
      <c r="EI21" s="164">
        <f t="shared" si="19"/>
        <v>1</v>
      </c>
      <c r="EJ21" s="164">
        <f t="shared" si="20"/>
        <v>1</v>
      </c>
      <c r="EK21" s="164">
        <f t="shared" si="21"/>
        <v>1</v>
      </c>
      <c r="EL21" s="164">
        <f t="shared" si="22"/>
        <v>1</v>
      </c>
      <c r="EM21" s="164">
        <f t="shared" si="23"/>
        <v>1</v>
      </c>
      <c r="EN21" s="127"/>
      <c r="ER21" s="126"/>
      <c r="ES21" s="3"/>
      <c r="ET21" s="2"/>
      <c r="EU21" s="13"/>
      <c r="EV21" s="4"/>
      <c r="EW21" s="4"/>
      <c r="EX21" s="4"/>
      <c r="EY21" s="4"/>
      <c r="EZ21" s="4"/>
      <c r="FA21" s="4"/>
      <c r="FB21" s="4"/>
      <c r="FC21" s="4"/>
      <c r="FD21" s="4"/>
      <c r="FE21" s="127"/>
      <c r="FI21" s="126"/>
      <c r="FJ21" s="3"/>
      <c r="FK21" s="2"/>
      <c r="FL21" s="13"/>
      <c r="FM21" s="4"/>
      <c r="FN21" s="4"/>
      <c r="FO21" s="4"/>
      <c r="FP21" s="4"/>
      <c r="FQ21" s="4"/>
      <c r="FR21" s="4"/>
      <c r="FS21" s="4"/>
      <c r="FT21" s="4"/>
      <c r="FU21" s="4"/>
      <c r="FV21" s="127"/>
    </row>
    <row r="22" spans="3:178" ht="15.5" x14ac:dyDescent="0.35">
      <c r="C22" s="131" t="s">
        <v>261</v>
      </c>
      <c r="D22" s="3" t="s">
        <v>256</v>
      </c>
      <c r="E22" s="2"/>
      <c r="F22" s="13"/>
      <c r="G22" s="4">
        <v>4.8113974999999982</v>
      </c>
      <c r="H22" s="4">
        <v>5.6872637500000023</v>
      </c>
      <c r="I22" s="4">
        <v>0.46467065414596342</v>
      </c>
      <c r="J22" s="4">
        <v>0.53532934585403658</v>
      </c>
      <c r="K22" s="4">
        <v>0.21027188377828288</v>
      </c>
      <c r="L22" s="4">
        <v>9.5912268111794305E-2</v>
      </c>
      <c r="M22" s="4">
        <v>10.49866125</v>
      </c>
      <c r="N22" s="4">
        <v>30.5</v>
      </c>
      <c r="O22" s="4">
        <v>6.3130754718344431</v>
      </c>
      <c r="P22" s="127"/>
      <c r="T22" s="131" t="s">
        <v>261</v>
      </c>
      <c r="U22" s="3" t="s">
        <v>256</v>
      </c>
      <c r="V22" s="2"/>
      <c r="W22" s="45"/>
      <c r="X22" s="164">
        <v>4.8113974999999982</v>
      </c>
      <c r="Y22" s="164">
        <v>5.6872637500000023</v>
      </c>
      <c r="Z22" s="164">
        <v>0.46467065414596342</v>
      </c>
      <c r="AA22" s="164">
        <v>0.53532934585403658</v>
      </c>
      <c r="AB22" s="164">
        <v>0.21027188377828288</v>
      </c>
      <c r="AC22" s="164">
        <v>9.5912268111794305E-2</v>
      </c>
      <c r="AD22" s="164">
        <v>10.49866125</v>
      </c>
      <c r="AE22" s="164">
        <v>30.5</v>
      </c>
      <c r="AF22" s="164">
        <v>6.3130754718344431</v>
      </c>
      <c r="AG22" s="127"/>
      <c r="AK22" s="126"/>
      <c r="AL22" s="3"/>
      <c r="AM22" s="2"/>
      <c r="AN22" s="13"/>
      <c r="AO22" s="4"/>
      <c r="AP22" s="4"/>
      <c r="AQ22" s="4"/>
      <c r="AR22" s="4"/>
      <c r="AS22" s="4"/>
      <c r="AT22" s="4"/>
      <c r="AU22" s="4"/>
      <c r="AV22" s="4"/>
      <c r="AW22" s="4"/>
      <c r="AX22" s="127"/>
      <c r="BB22" s="126"/>
      <c r="BC22" s="3"/>
      <c r="BD22" s="2"/>
      <c r="BE22" s="13"/>
      <c r="BF22" s="4"/>
      <c r="BG22" s="4"/>
      <c r="BH22" s="4"/>
      <c r="BI22" s="4"/>
      <c r="BJ22" s="4"/>
      <c r="BK22" s="4"/>
      <c r="BL22" s="4"/>
      <c r="BM22" s="4"/>
      <c r="BN22" s="4"/>
      <c r="BO22" s="127"/>
      <c r="BS22" s="126"/>
      <c r="BT22" s="3"/>
      <c r="BU22" s="2"/>
      <c r="BV22" s="13"/>
      <c r="BW22" s="4"/>
      <c r="BX22" s="4"/>
      <c r="BY22" s="4"/>
      <c r="BZ22" s="4"/>
      <c r="CA22" s="4"/>
      <c r="CB22" s="4"/>
      <c r="CC22" s="4"/>
      <c r="CD22" s="4"/>
      <c r="CE22" s="4"/>
      <c r="CF22" s="127"/>
      <c r="CJ22" s="126"/>
      <c r="CK22" s="3"/>
      <c r="CL22" s="2"/>
      <c r="CM22" s="13"/>
      <c r="CN22" s="4"/>
      <c r="CO22" s="4"/>
      <c r="CP22" s="4"/>
      <c r="CQ22" s="4"/>
      <c r="CR22" s="4"/>
      <c r="CS22" s="4"/>
      <c r="CT22" s="4"/>
      <c r="CU22" s="4"/>
      <c r="CV22" s="4"/>
      <c r="CW22" s="127"/>
      <c r="DJ22" s="131" t="s">
        <v>261</v>
      </c>
      <c r="DK22" s="3" t="s">
        <v>256</v>
      </c>
      <c r="DL22" s="2"/>
      <c r="DM22" s="13"/>
      <c r="DN22" s="164">
        <f t="shared" si="6"/>
        <v>1</v>
      </c>
      <c r="DO22" s="164">
        <f t="shared" si="7"/>
        <v>1</v>
      </c>
      <c r="DP22" s="164">
        <f t="shared" si="8"/>
        <v>1</v>
      </c>
      <c r="DQ22" s="164">
        <f t="shared" si="9"/>
        <v>1</v>
      </c>
      <c r="DR22" s="164">
        <f t="shared" si="10"/>
        <v>1</v>
      </c>
      <c r="DS22" s="164">
        <f t="shared" si="11"/>
        <v>1</v>
      </c>
      <c r="DT22" s="164">
        <f t="shared" si="12"/>
        <v>1</v>
      </c>
      <c r="DU22" s="164">
        <f t="shared" si="13"/>
        <v>1</v>
      </c>
      <c r="DV22" s="164">
        <f t="shared" si="14"/>
        <v>1</v>
      </c>
      <c r="DW22" s="127"/>
      <c r="EA22" s="131" t="s">
        <v>261</v>
      </c>
      <c r="EB22" s="3" t="s">
        <v>256</v>
      </c>
      <c r="EC22" s="2"/>
      <c r="ED22" s="45"/>
      <c r="EE22" s="164">
        <f t="shared" si="15"/>
        <v>1</v>
      </c>
      <c r="EF22" s="164">
        <f t="shared" si="16"/>
        <v>1</v>
      </c>
      <c r="EG22" s="164">
        <f t="shared" si="17"/>
        <v>1</v>
      </c>
      <c r="EH22" s="164">
        <f t="shared" si="18"/>
        <v>1</v>
      </c>
      <c r="EI22" s="164">
        <f t="shared" si="19"/>
        <v>1</v>
      </c>
      <c r="EJ22" s="164">
        <f t="shared" si="20"/>
        <v>1</v>
      </c>
      <c r="EK22" s="164">
        <f t="shared" si="21"/>
        <v>1</v>
      </c>
      <c r="EL22" s="164">
        <f t="shared" si="22"/>
        <v>1</v>
      </c>
      <c r="EM22" s="164">
        <f t="shared" si="23"/>
        <v>1</v>
      </c>
      <c r="EN22" s="127"/>
      <c r="ER22" s="126"/>
      <c r="ES22" s="3"/>
      <c r="ET22" s="2"/>
      <c r="EU22" s="13"/>
      <c r="EV22" s="4"/>
      <c r="EW22" s="4"/>
      <c r="EX22" s="4"/>
      <c r="EY22" s="4"/>
      <c r="EZ22" s="4"/>
      <c r="FA22" s="4"/>
      <c r="FB22" s="4"/>
      <c r="FC22" s="4"/>
      <c r="FD22" s="4"/>
      <c r="FE22" s="127"/>
      <c r="FI22" s="126"/>
      <c r="FJ22" s="3"/>
      <c r="FK22" s="2"/>
      <c r="FL22" s="13"/>
      <c r="FM22" s="4"/>
      <c r="FN22" s="4"/>
      <c r="FO22" s="4"/>
      <c r="FP22" s="4"/>
      <c r="FQ22" s="4"/>
      <c r="FR22" s="4"/>
      <c r="FS22" s="4"/>
      <c r="FT22" s="4"/>
      <c r="FU22" s="4"/>
      <c r="FV22" s="127"/>
    </row>
    <row r="23" spans="3:178" ht="15.5" x14ac:dyDescent="0.35">
      <c r="C23" s="131" t="s">
        <v>261</v>
      </c>
      <c r="D23" s="3" t="s">
        <v>304</v>
      </c>
      <c r="E23" s="2"/>
      <c r="F23" s="13"/>
      <c r="G23" s="4">
        <v>4.9070078571428564</v>
      </c>
      <c r="H23" s="4">
        <v>9.836944285714285</v>
      </c>
      <c r="I23" s="4">
        <v>0.33343489761723955</v>
      </c>
      <c r="J23" s="4">
        <v>0.66656510238276045</v>
      </c>
      <c r="K23" s="4">
        <v>0.20634475431003235</v>
      </c>
      <c r="L23" s="4">
        <v>6.7982352278660507E-2</v>
      </c>
      <c r="M23" s="4">
        <v>14.743952142857141</v>
      </c>
      <c r="N23" s="4">
        <v>85.928571428571431</v>
      </c>
      <c r="O23" s="4">
        <v>10.083954501407144</v>
      </c>
      <c r="P23" s="127"/>
      <c r="T23" s="131" t="s">
        <v>261</v>
      </c>
      <c r="U23" s="3" t="s">
        <v>304</v>
      </c>
      <c r="V23" s="2"/>
      <c r="W23" s="45"/>
      <c r="X23" s="164">
        <v>4.9070078571428564</v>
      </c>
      <c r="Y23" s="164">
        <v>9.836944285714285</v>
      </c>
      <c r="Z23" s="164">
        <v>0.33343489761723955</v>
      </c>
      <c r="AA23" s="164">
        <v>0.66656510238276045</v>
      </c>
      <c r="AB23" s="164">
        <v>0.20634475431003235</v>
      </c>
      <c r="AC23" s="164">
        <v>6.7982352278660507E-2</v>
      </c>
      <c r="AD23" s="164">
        <v>14.743952142857141</v>
      </c>
      <c r="AE23" s="164">
        <v>85.928571428571431</v>
      </c>
      <c r="AF23" s="164">
        <v>10.083954501407144</v>
      </c>
      <c r="AG23" s="127"/>
      <c r="AK23" s="126"/>
      <c r="AL23" s="3"/>
      <c r="AM23" s="2"/>
      <c r="AN23" s="13"/>
      <c r="AO23" s="4"/>
      <c r="AP23" s="4"/>
      <c r="AQ23" s="4"/>
      <c r="AR23" s="4"/>
      <c r="AS23" s="4"/>
      <c r="AT23" s="4"/>
      <c r="AU23" s="4"/>
      <c r="AV23" s="4"/>
      <c r="AW23" s="4"/>
      <c r="AX23" s="127"/>
      <c r="BB23" s="126"/>
      <c r="BC23" s="3"/>
      <c r="BD23" s="2"/>
      <c r="BE23" s="13"/>
      <c r="BF23" s="4"/>
      <c r="BG23" s="4"/>
      <c r="BH23" s="4"/>
      <c r="BI23" s="4"/>
      <c r="BJ23" s="4"/>
      <c r="BK23" s="4"/>
      <c r="BL23" s="4"/>
      <c r="BM23" s="4"/>
      <c r="BN23" s="4"/>
      <c r="BO23" s="127"/>
      <c r="BS23" s="126"/>
      <c r="BT23" s="3"/>
      <c r="BU23" s="2"/>
      <c r="BV23" s="13"/>
      <c r="BW23" s="4"/>
      <c r="BX23" s="4"/>
      <c r="BY23" s="4"/>
      <c r="BZ23" s="4"/>
      <c r="CA23" s="4"/>
      <c r="CB23" s="4"/>
      <c r="CC23" s="4"/>
      <c r="CD23" s="4"/>
      <c r="CE23" s="4"/>
      <c r="CF23" s="127"/>
      <c r="CJ23" s="126"/>
      <c r="CK23" s="3"/>
      <c r="CL23" s="2"/>
      <c r="CM23" s="13"/>
      <c r="CN23" s="4"/>
      <c r="CO23" s="4"/>
      <c r="CP23" s="4"/>
      <c r="CQ23" s="4"/>
      <c r="CR23" s="4"/>
      <c r="CS23" s="4"/>
      <c r="CT23" s="4"/>
      <c r="CU23" s="4"/>
      <c r="CV23" s="4"/>
      <c r="CW23" s="127"/>
      <c r="DJ23" s="131" t="s">
        <v>261</v>
      </c>
      <c r="DK23" s="3" t="s">
        <v>304</v>
      </c>
      <c r="DL23" s="2"/>
      <c r="DM23" s="13"/>
      <c r="DN23" s="164">
        <f t="shared" si="6"/>
        <v>1</v>
      </c>
      <c r="DO23" s="164">
        <f t="shared" si="7"/>
        <v>1</v>
      </c>
      <c r="DP23" s="164">
        <f t="shared" si="8"/>
        <v>1</v>
      </c>
      <c r="DQ23" s="164">
        <f t="shared" si="9"/>
        <v>1</v>
      </c>
      <c r="DR23" s="164">
        <f t="shared" si="10"/>
        <v>1</v>
      </c>
      <c r="DS23" s="164">
        <f t="shared" si="11"/>
        <v>1</v>
      </c>
      <c r="DT23" s="164">
        <f t="shared" si="12"/>
        <v>1</v>
      </c>
      <c r="DU23" s="164">
        <f t="shared" si="13"/>
        <v>1</v>
      </c>
      <c r="DV23" s="164">
        <f t="shared" si="14"/>
        <v>1</v>
      </c>
      <c r="DW23" s="127"/>
      <c r="EA23" s="131" t="s">
        <v>261</v>
      </c>
      <c r="EB23" s="3" t="s">
        <v>304</v>
      </c>
      <c r="EC23" s="2"/>
      <c r="ED23" s="45"/>
      <c r="EE23" s="164">
        <f t="shared" si="15"/>
        <v>1</v>
      </c>
      <c r="EF23" s="164">
        <f t="shared" si="16"/>
        <v>1</v>
      </c>
      <c r="EG23" s="164">
        <f t="shared" si="17"/>
        <v>1</v>
      </c>
      <c r="EH23" s="164">
        <f t="shared" si="18"/>
        <v>1</v>
      </c>
      <c r="EI23" s="164">
        <f t="shared" si="19"/>
        <v>1</v>
      </c>
      <c r="EJ23" s="164">
        <f t="shared" si="20"/>
        <v>1</v>
      </c>
      <c r="EK23" s="164">
        <f t="shared" si="21"/>
        <v>1</v>
      </c>
      <c r="EL23" s="164">
        <f t="shared" si="22"/>
        <v>1</v>
      </c>
      <c r="EM23" s="164">
        <f t="shared" si="23"/>
        <v>1</v>
      </c>
      <c r="EN23" s="127"/>
      <c r="ER23" s="126"/>
      <c r="ES23" s="3"/>
      <c r="ET23" s="2"/>
      <c r="EU23" s="13"/>
      <c r="EV23" s="4"/>
      <c r="EW23" s="4"/>
      <c r="EX23" s="4"/>
      <c r="EY23" s="4"/>
      <c r="EZ23" s="4"/>
      <c r="FA23" s="4"/>
      <c r="FB23" s="4"/>
      <c r="FC23" s="4"/>
      <c r="FD23" s="4"/>
      <c r="FE23" s="127"/>
      <c r="FI23" s="126"/>
      <c r="FJ23" s="3"/>
      <c r="FK23" s="2"/>
      <c r="FL23" s="13"/>
      <c r="FM23" s="4"/>
      <c r="FN23" s="4"/>
      <c r="FO23" s="4"/>
      <c r="FP23" s="4"/>
      <c r="FQ23" s="4"/>
      <c r="FR23" s="4"/>
      <c r="FS23" s="4"/>
      <c r="FT23" s="4"/>
      <c r="FU23" s="4"/>
      <c r="FV23" s="127"/>
    </row>
    <row r="24" spans="3:178" ht="15.5" x14ac:dyDescent="0.35">
      <c r="C24" s="126"/>
      <c r="D24" s="2"/>
      <c r="E24" s="2"/>
      <c r="F24" s="2"/>
      <c r="G24" s="4"/>
      <c r="H24" s="4"/>
      <c r="I24" s="4"/>
      <c r="J24" s="4"/>
      <c r="K24" s="4"/>
      <c r="L24" s="4"/>
      <c r="M24" s="4"/>
      <c r="N24" s="4"/>
      <c r="O24" s="4"/>
      <c r="P24" s="127"/>
      <c r="T24" s="126"/>
      <c r="U24" s="2"/>
      <c r="V24" s="13"/>
      <c r="W24" s="13"/>
      <c r="X24" s="13"/>
      <c r="Y24" s="13"/>
      <c r="Z24" s="13"/>
      <c r="AA24" s="13"/>
      <c r="AB24" s="13"/>
      <c r="AC24" s="13"/>
      <c r="AD24" s="13"/>
      <c r="AE24" s="13"/>
      <c r="AF24" s="13"/>
      <c r="AG24" s="127"/>
      <c r="AK24" s="126"/>
      <c r="AL24" s="2"/>
      <c r="AM24" s="2"/>
      <c r="AN24" s="2"/>
      <c r="AO24" s="4"/>
      <c r="AP24" s="4"/>
      <c r="AQ24" s="4"/>
      <c r="AR24" s="4"/>
      <c r="AS24" s="4"/>
      <c r="AT24" s="4"/>
      <c r="AU24" s="4"/>
      <c r="AV24" s="4"/>
      <c r="AW24" s="4"/>
      <c r="AX24" s="127"/>
      <c r="BB24" s="126"/>
      <c r="BC24" s="2"/>
      <c r="BD24" s="2"/>
      <c r="BE24" s="2"/>
      <c r="BF24" s="4"/>
      <c r="BG24" s="4"/>
      <c r="BH24" s="4"/>
      <c r="BI24" s="4"/>
      <c r="BJ24" s="4"/>
      <c r="BK24" s="4"/>
      <c r="BL24" s="4"/>
      <c r="BM24" s="4"/>
      <c r="BN24" s="4"/>
      <c r="BO24" s="127"/>
      <c r="BS24" s="126"/>
      <c r="BT24" s="2"/>
      <c r="BU24" s="2"/>
      <c r="BV24" s="2"/>
      <c r="BW24" s="4"/>
      <c r="BX24" s="4"/>
      <c r="BY24" s="4"/>
      <c r="BZ24" s="4"/>
      <c r="CA24" s="4"/>
      <c r="CB24" s="4"/>
      <c r="CC24" s="4"/>
      <c r="CD24" s="4"/>
      <c r="CE24" s="4"/>
      <c r="CF24" s="127"/>
      <c r="CJ24" s="126"/>
      <c r="CK24" s="2"/>
      <c r="CL24" s="2"/>
      <c r="CM24" s="2"/>
      <c r="CN24" s="4"/>
      <c r="CO24" s="4"/>
      <c r="CP24" s="4"/>
      <c r="CQ24" s="4"/>
      <c r="CR24" s="4"/>
      <c r="CS24" s="4"/>
      <c r="CT24" s="4"/>
      <c r="CU24" s="4"/>
      <c r="CV24" s="4"/>
      <c r="CW24" s="127"/>
      <c r="DJ24" s="126"/>
      <c r="DK24" s="2"/>
      <c r="DL24" s="2"/>
      <c r="DM24" s="2"/>
      <c r="DN24" s="4"/>
      <c r="DO24" s="4"/>
      <c r="DP24" s="4"/>
      <c r="DQ24" s="4"/>
      <c r="DR24" s="4"/>
      <c r="DS24" s="4"/>
      <c r="DT24" s="4"/>
      <c r="DU24" s="4"/>
      <c r="DV24" s="4"/>
      <c r="DW24" s="127"/>
      <c r="EA24" s="126"/>
      <c r="EB24" s="2"/>
      <c r="EC24" s="13"/>
      <c r="ED24" s="13"/>
      <c r="EE24" s="13"/>
      <c r="EF24" s="13"/>
      <c r="EG24" s="13"/>
      <c r="EH24" s="13"/>
      <c r="EI24" s="13"/>
      <c r="EJ24" s="13"/>
      <c r="EK24" s="13"/>
      <c r="EL24" s="13"/>
      <c r="EM24" s="13"/>
      <c r="EN24" s="127"/>
      <c r="ER24" s="126"/>
      <c r="ES24" s="2"/>
      <c r="ET24" s="2"/>
      <c r="EU24" s="2"/>
      <c r="EV24" s="4"/>
      <c r="EW24" s="4"/>
      <c r="EX24" s="4"/>
      <c r="EY24" s="4"/>
      <c r="EZ24" s="4"/>
      <c r="FA24" s="4"/>
      <c r="FB24" s="4"/>
      <c r="FC24" s="4"/>
      <c r="FD24" s="4"/>
      <c r="FE24" s="127"/>
      <c r="FI24" s="126"/>
      <c r="FJ24" s="2"/>
      <c r="FK24" s="2"/>
      <c r="FL24" s="2"/>
      <c r="FM24" s="4"/>
      <c r="FN24" s="4"/>
      <c r="FO24" s="4"/>
      <c r="FP24" s="4"/>
      <c r="FQ24" s="4"/>
      <c r="FR24" s="4"/>
      <c r="FS24" s="4"/>
      <c r="FT24" s="4"/>
      <c r="FU24" s="4"/>
      <c r="FV24" s="127"/>
    </row>
    <row r="25" spans="3:178" ht="18.5" x14ac:dyDescent="0.45">
      <c r="C25" s="126"/>
      <c r="D25" s="2"/>
      <c r="E25" s="1" t="s">
        <v>77</v>
      </c>
      <c r="F25" s="152"/>
      <c r="G25" s="1">
        <f>AVERAGE(G8:G23)</f>
        <v>6.486830133623319</v>
      </c>
      <c r="H25" s="1">
        <f t="shared" ref="H25:O25" si="24">AVERAGE(H8:H23)</f>
        <v>9.1068624341422488</v>
      </c>
      <c r="I25" s="1">
        <f t="shared" si="24"/>
        <v>0.43254454799587916</v>
      </c>
      <c r="J25" s="1">
        <f t="shared" si="24"/>
        <v>0.56745545200412073</v>
      </c>
      <c r="K25" s="1">
        <f t="shared" si="24"/>
        <v>0.17795549975020516</v>
      </c>
      <c r="L25" s="1">
        <f t="shared" si="24"/>
        <v>7.3382974076100491E-2</v>
      </c>
      <c r="M25" s="1">
        <f t="shared" si="24"/>
        <v>15.595104885473903</v>
      </c>
      <c r="N25" s="1">
        <f t="shared" si="24"/>
        <v>35.224261675824174</v>
      </c>
      <c r="O25" s="1">
        <f t="shared" si="24"/>
        <v>5.3047870604845047</v>
      </c>
      <c r="P25" s="127"/>
      <c r="T25" s="128"/>
      <c r="U25" s="2"/>
      <c r="V25" s="149" t="s">
        <v>121</v>
      </c>
      <c r="W25" s="149"/>
      <c r="X25" s="149">
        <f>AVERAGE(X8:X23)</f>
        <v>5.2676308814865687</v>
      </c>
      <c r="Y25" s="149">
        <f t="shared" ref="Y25:AF25" si="25">AVERAGE(Y8:Y23)</f>
        <v>7.8860919851100686</v>
      </c>
      <c r="Z25" s="149">
        <f t="shared" si="25"/>
        <v>0.40979319951554105</v>
      </c>
      <c r="AA25" s="149">
        <f t="shared" si="25"/>
        <v>0.59047672682253871</v>
      </c>
      <c r="AB25" s="149">
        <f t="shared" si="25"/>
        <v>0.21556837541122106</v>
      </c>
      <c r="AC25" s="149">
        <f t="shared" si="25"/>
        <v>7.9944840444940199E-2</v>
      </c>
      <c r="AD25" s="149">
        <f t="shared" si="25"/>
        <v>13.151228934304973</v>
      </c>
      <c r="AE25" s="149">
        <f t="shared" si="25"/>
        <v>30.299827286683904</v>
      </c>
      <c r="AF25" s="149">
        <f t="shared" si="25"/>
        <v>5.4869359158303954</v>
      </c>
      <c r="AG25" s="127"/>
      <c r="AK25" s="126"/>
      <c r="AL25" s="2"/>
      <c r="AM25" s="1" t="s">
        <v>77</v>
      </c>
      <c r="AN25" s="152"/>
      <c r="AO25" s="1">
        <f>AVERAGE(AO8:AO23)</f>
        <v>5.7308687433862469</v>
      </c>
      <c r="AP25" s="1">
        <f t="shared" ref="AP25:AW25" si="26">AVERAGE(AP8:AP23)</f>
        <v>8.8033922883597899</v>
      </c>
      <c r="AQ25" s="1">
        <f t="shared" si="26"/>
        <v>0.39403709507167933</v>
      </c>
      <c r="AR25" s="1">
        <f t="shared" si="26"/>
        <v>0.60596290492832061</v>
      </c>
      <c r="AS25" s="1">
        <f t="shared" si="26"/>
        <v>0.19353652359429371</v>
      </c>
      <c r="AT25" s="1">
        <f t="shared" si="26"/>
        <v>7.3268730506522911E-2</v>
      </c>
      <c r="AU25" s="1">
        <f t="shared" si="26"/>
        <v>14.770243134920639</v>
      </c>
      <c r="AV25" s="1">
        <f t="shared" si="26"/>
        <v>34.248677248677247</v>
      </c>
      <c r="AW25" s="1">
        <f t="shared" si="26"/>
        <v>5.5450307924075348</v>
      </c>
      <c r="AX25" s="127"/>
      <c r="BB25" s="126"/>
      <c r="BC25" s="2"/>
      <c r="BD25" s="1" t="s">
        <v>77</v>
      </c>
      <c r="BE25" s="152"/>
      <c r="BF25" s="1">
        <f>AVERAGE(BF8:BF23)</f>
        <v>5.8599020767195809</v>
      </c>
      <c r="BG25" s="1">
        <f t="shared" ref="BG25:BN25" si="27">AVERAGE(BG8:BG23)</f>
        <v>9.1678028439153447</v>
      </c>
      <c r="BH25" s="1">
        <f t="shared" si="27"/>
        <v>0.3900445507730177</v>
      </c>
      <c r="BI25" s="1">
        <f t="shared" si="27"/>
        <v>0.60995544922698219</v>
      </c>
      <c r="BJ25" s="1">
        <f t="shared" si="27"/>
        <v>0.19026251307252076</v>
      </c>
      <c r="BK25" s="1">
        <f t="shared" si="27"/>
        <v>7.1489721440698886E-2</v>
      </c>
      <c r="BL25" s="1">
        <f t="shared" si="27"/>
        <v>15.263687023809529</v>
      </c>
      <c r="BM25" s="1">
        <f t="shared" si="27"/>
        <v>35.415343915343918</v>
      </c>
      <c r="BN25" s="1">
        <f t="shared" si="27"/>
        <v>5.6109556616490535</v>
      </c>
      <c r="BO25" s="127"/>
      <c r="BS25" s="126"/>
      <c r="BT25" s="2"/>
      <c r="BU25" s="1" t="s">
        <v>77</v>
      </c>
      <c r="BV25" s="152"/>
      <c r="BW25" s="1">
        <f>AVERAGE(BW8:BW23)</f>
        <v>5.4348933958001044</v>
      </c>
      <c r="BX25" s="1">
        <f t="shared" ref="BX25:CE25" si="28">AVERAGE(BX8:BX23)</f>
        <v>6.3495243999202575</v>
      </c>
      <c r="BY25" s="1">
        <f t="shared" si="28"/>
        <v>0.49220445910750527</v>
      </c>
      <c r="BZ25" s="1">
        <f t="shared" si="28"/>
        <v>0.50779554089249468</v>
      </c>
      <c r="CA25" s="1">
        <f t="shared" si="28"/>
        <v>0.19172518781666875</v>
      </c>
      <c r="CB25" s="1">
        <f t="shared" si="28"/>
        <v>9.2157961683249953E-2</v>
      </c>
      <c r="CC25" s="1">
        <f t="shared" si="28"/>
        <v>11.784417795720362</v>
      </c>
      <c r="CD25" s="1">
        <f t="shared" si="28"/>
        <v>22.26100921495658</v>
      </c>
      <c r="CE25" s="1">
        <f t="shared" si="28"/>
        <v>4.1126086435350526</v>
      </c>
      <c r="CF25" s="127"/>
      <c r="CJ25" s="126"/>
      <c r="CK25" s="2"/>
      <c r="CL25" s="1" t="s">
        <v>77</v>
      </c>
      <c r="CM25" s="152"/>
      <c r="CN25" s="1">
        <f>AVERAGE(CN8:CN23)</f>
        <v>5.4348933958001044</v>
      </c>
      <c r="CO25" s="1">
        <f t="shared" ref="CO25:CV25" si="29">AVERAGE(CO8:CO23)</f>
        <v>6.3495243999202575</v>
      </c>
      <c r="CP25" s="1">
        <f t="shared" si="29"/>
        <v>0.49220445910750527</v>
      </c>
      <c r="CQ25" s="1">
        <f t="shared" si="29"/>
        <v>0.50779554089249468</v>
      </c>
      <c r="CR25" s="1">
        <f t="shared" si="29"/>
        <v>0.19172518781666875</v>
      </c>
      <c r="CS25" s="1">
        <f t="shared" si="29"/>
        <v>9.2157961683249953E-2</v>
      </c>
      <c r="CT25" s="1">
        <f t="shared" si="29"/>
        <v>11.784417795720362</v>
      </c>
      <c r="CU25" s="1">
        <f t="shared" si="29"/>
        <v>22.26100921495658</v>
      </c>
      <c r="CV25" s="1">
        <f t="shared" si="29"/>
        <v>4.1126086435350526</v>
      </c>
      <c r="CW25" s="127"/>
      <c r="DJ25" s="126"/>
      <c r="DK25" s="2"/>
      <c r="DL25" s="1" t="s">
        <v>77</v>
      </c>
      <c r="DM25" s="152"/>
      <c r="DN25" s="1">
        <f>AVERAGE(DN8:DN23)</f>
        <v>1</v>
      </c>
      <c r="DO25" s="1">
        <f t="shared" ref="DO25:DV25" si="30">AVERAGE(DO8:DO23)</f>
        <v>1</v>
      </c>
      <c r="DP25" s="1">
        <f t="shared" si="30"/>
        <v>1</v>
      </c>
      <c r="DQ25" s="1">
        <f t="shared" si="30"/>
        <v>1</v>
      </c>
      <c r="DR25" s="1">
        <f t="shared" si="30"/>
        <v>1</v>
      </c>
      <c r="DS25" s="1">
        <f t="shared" si="30"/>
        <v>1</v>
      </c>
      <c r="DT25" s="1">
        <f t="shared" si="30"/>
        <v>1</v>
      </c>
      <c r="DU25" s="1">
        <f t="shared" si="30"/>
        <v>1</v>
      </c>
      <c r="DV25" s="1">
        <f t="shared" si="30"/>
        <v>1</v>
      </c>
      <c r="DW25" s="127"/>
      <c r="EA25" s="128"/>
      <c r="EB25" s="2"/>
      <c r="EC25" s="149" t="s">
        <v>121</v>
      </c>
      <c r="ED25" s="149"/>
      <c r="EE25" s="149">
        <f>AVERAGE(EE8:EE23)</f>
        <v>1</v>
      </c>
      <c r="EF25" s="149">
        <f t="shared" ref="EF25:EM25" si="31">AVERAGE(EF8:EF23)</f>
        <v>1</v>
      </c>
      <c r="EG25" s="149">
        <f t="shared" si="31"/>
        <v>1</v>
      </c>
      <c r="EH25" s="149">
        <f t="shared" si="31"/>
        <v>1</v>
      </c>
      <c r="EI25" s="149">
        <f t="shared" si="31"/>
        <v>1</v>
      </c>
      <c r="EJ25" s="149">
        <f t="shared" si="31"/>
        <v>1</v>
      </c>
      <c r="EK25" s="149">
        <f t="shared" si="31"/>
        <v>1</v>
      </c>
      <c r="EL25" s="149">
        <f t="shared" si="31"/>
        <v>1</v>
      </c>
      <c r="EM25" s="149">
        <f t="shared" si="31"/>
        <v>1</v>
      </c>
      <c r="EN25" s="127"/>
      <c r="ER25" s="126"/>
      <c r="ES25" s="2"/>
      <c r="ET25" s="1" t="s">
        <v>77</v>
      </c>
      <c r="EU25" s="152"/>
      <c r="EV25" s="1">
        <f>AVERAGE(EV8:EV23)</f>
        <v>1</v>
      </c>
      <c r="EW25" s="1">
        <f t="shared" ref="EW25:FD25" si="32">AVERAGE(EW8:EW23)</f>
        <v>1</v>
      </c>
      <c r="EX25" s="1">
        <f t="shared" si="32"/>
        <v>1</v>
      </c>
      <c r="EY25" s="1">
        <f t="shared" si="32"/>
        <v>1</v>
      </c>
      <c r="EZ25" s="1">
        <f t="shared" si="32"/>
        <v>1</v>
      </c>
      <c r="FA25" s="1">
        <f t="shared" si="32"/>
        <v>1</v>
      </c>
      <c r="FB25" s="1">
        <f t="shared" si="32"/>
        <v>1</v>
      </c>
      <c r="FC25" s="1">
        <f t="shared" si="32"/>
        <v>1</v>
      </c>
      <c r="FD25" s="1">
        <f t="shared" si="32"/>
        <v>1</v>
      </c>
      <c r="FE25" s="127"/>
      <c r="FI25" s="126"/>
      <c r="FJ25" s="2"/>
      <c r="FK25" s="1" t="s">
        <v>77</v>
      </c>
      <c r="FL25" s="152"/>
      <c r="FM25" s="1">
        <f>AVERAGE(FM8:FM23)</f>
        <v>1</v>
      </c>
      <c r="FN25" s="1">
        <f t="shared" ref="FN25:FU25" si="33">AVERAGE(FN8:FN23)</f>
        <v>1</v>
      </c>
      <c r="FO25" s="1">
        <f t="shared" si="33"/>
        <v>1</v>
      </c>
      <c r="FP25" s="1">
        <f t="shared" si="33"/>
        <v>1</v>
      </c>
      <c r="FQ25" s="1">
        <f t="shared" si="33"/>
        <v>1</v>
      </c>
      <c r="FR25" s="1">
        <f t="shared" si="33"/>
        <v>1</v>
      </c>
      <c r="FS25" s="1">
        <f t="shared" si="33"/>
        <v>1</v>
      </c>
      <c r="FT25" s="1">
        <f t="shared" si="33"/>
        <v>1</v>
      </c>
      <c r="FU25" s="1">
        <f t="shared" si="33"/>
        <v>1</v>
      </c>
      <c r="FV25" s="127"/>
    </row>
    <row r="26" spans="3:178" ht="18.5" x14ac:dyDescent="0.45">
      <c r="C26" s="126"/>
      <c r="D26" s="2"/>
      <c r="E26" s="1" t="s">
        <v>89</v>
      </c>
      <c r="F26" s="152"/>
      <c r="G26" s="1">
        <f>_xlfn.STDEV.S(G8:G23)</f>
        <v>2.5174932436602959</v>
      </c>
      <c r="H26" s="1">
        <f t="shared" ref="H26:O26" si="34">_xlfn.STDEV.S(H8:H23)</f>
        <v>4.5537305436659228</v>
      </c>
      <c r="I26" s="1">
        <f t="shared" si="34"/>
        <v>9.9553079589343049E-2</v>
      </c>
      <c r="J26" s="1">
        <f t="shared" si="34"/>
        <v>9.95530795893423E-2</v>
      </c>
      <c r="K26" s="1">
        <f t="shared" si="34"/>
        <v>6.2136687896365228E-2</v>
      </c>
      <c r="L26" s="1">
        <f t="shared" si="34"/>
        <v>2.3631895109252943E-2</v>
      </c>
      <c r="M26" s="1">
        <f t="shared" si="34"/>
        <v>6.3813124304496327</v>
      </c>
      <c r="N26" s="1">
        <f t="shared" si="34"/>
        <v>20.371119219452108</v>
      </c>
      <c r="O26" s="1">
        <f t="shared" si="34"/>
        <v>2.158140886595211</v>
      </c>
      <c r="P26" s="127"/>
      <c r="T26" s="128"/>
      <c r="U26" s="2"/>
      <c r="V26" s="149" t="s">
        <v>94</v>
      </c>
      <c r="W26" s="149"/>
      <c r="X26" s="149">
        <f>_xlfn.STDEV.S(X8:X23)</f>
        <v>1.7130672575981429</v>
      </c>
      <c r="Y26" s="149">
        <f t="shared" ref="Y26:AF26" si="35">_xlfn.STDEV.S(Y8:Y23)</f>
        <v>2.5949728287331175</v>
      </c>
      <c r="Z26" s="149">
        <f t="shared" si="35"/>
        <v>0.12283592681694543</v>
      </c>
      <c r="AA26" s="149">
        <f t="shared" si="35"/>
        <v>0.1230477091991232</v>
      </c>
      <c r="AB26" s="149">
        <f t="shared" si="35"/>
        <v>7.786903831385171E-2</v>
      </c>
      <c r="AC26" s="149">
        <f t="shared" si="35"/>
        <v>1.6770212422675106E-2</v>
      </c>
      <c r="AD26" s="149">
        <f t="shared" si="35"/>
        <v>2.5546680607291496</v>
      </c>
      <c r="AE26" s="149">
        <f t="shared" si="35"/>
        <v>19.163576259541081</v>
      </c>
      <c r="AF26" s="149">
        <f t="shared" si="35"/>
        <v>1.7697931584639355</v>
      </c>
      <c r="AG26" s="127"/>
      <c r="AK26" s="126"/>
      <c r="AL26" s="2"/>
      <c r="AM26" s="1" t="s">
        <v>89</v>
      </c>
      <c r="AN26" s="152"/>
      <c r="AO26" s="1">
        <f>_xlfn.STDEV.S(AO8:AO23)</f>
        <v>1.8560926928273347</v>
      </c>
      <c r="AP26" s="1">
        <f t="shared" ref="AP26:AW26" si="36">_xlfn.STDEV.S(AP8:AP23)</f>
        <v>2.7538042784962471</v>
      </c>
      <c r="AQ26" s="1">
        <f t="shared" si="36"/>
        <v>5.6457880049287229E-2</v>
      </c>
      <c r="AR26" s="1">
        <f t="shared" si="36"/>
        <v>5.6457880049286979E-2</v>
      </c>
      <c r="AS26" s="1">
        <f t="shared" si="36"/>
        <v>6.3477656572610786E-2</v>
      </c>
      <c r="AT26" s="1">
        <f t="shared" si="36"/>
        <v>1.8167118375228782E-2</v>
      </c>
      <c r="AU26" s="1">
        <f t="shared" si="36"/>
        <v>4.2972147251470512</v>
      </c>
      <c r="AV26" s="1">
        <f t="shared" si="36"/>
        <v>26.387925112686503</v>
      </c>
      <c r="AW26" s="1">
        <f t="shared" si="36"/>
        <v>2.3393578372255495</v>
      </c>
      <c r="AX26" s="127"/>
      <c r="BB26" s="126"/>
      <c r="BC26" s="2"/>
      <c r="BD26" s="1" t="s">
        <v>89</v>
      </c>
      <c r="BE26" s="152"/>
      <c r="BF26" s="1">
        <f>_xlfn.STDEV.S(BF8:BF23)</f>
        <v>1.9560012182010689</v>
      </c>
      <c r="BG26" s="1">
        <f t="shared" ref="BG26:BN26" si="37">_xlfn.STDEV.S(BG8:BG23)</f>
        <v>2.8808170706765885</v>
      </c>
      <c r="BH26" s="1">
        <f t="shared" si="37"/>
        <v>5.3967049378270168E-2</v>
      </c>
      <c r="BI26" s="1">
        <f t="shared" si="37"/>
        <v>5.3967049378269995E-2</v>
      </c>
      <c r="BJ26" s="1">
        <f t="shared" si="37"/>
        <v>6.6275368324474324E-2</v>
      </c>
      <c r="BK26" s="1">
        <f t="shared" si="37"/>
        <v>1.9537749603984002E-2</v>
      </c>
      <c r="BL26" s="1">
        <f t="shared" si="37"/>
        <v>4.5400593768954565</v>
      </c>
      <c r="BM26" s="1">
        <f t="shared" si="37"/>
        <v>26.745169156956777</v>
      </c>
      <c r="BN26" s="1">
        <f t="shared" si="37"/>
        <v>2.3495133847142573</v>
      </c>
      <c r="BO26" s="127"/>
      <c r="BS26" s="126"/>
      <c r="BT26" s="2"/>
      <c r="BU26" s="1" t="s">
        <v>89</v>
      </c>
      <c r="BV26" s="152"/>
      <c r="BW26" s="1">
        <f>_xlfn.STDEV.S(BW8:BW23)</f>
        <v>0.68738940142012883</v>
      </c>
      <c r="BX26" s="1">
        <f t="shared" ref="BX26:CE26" si="38">_xlfn.STDEV.S(BX8:BX23)</f>
        <v>2.7341911312060159</v>
      </c>
      <c r="BY26" s="1">
        <f t="shared" si="38"/>
        <v>0.14234330382397856</v>
      </c>
      <c r="BZ26" s="1">
        <f t="shared" si="38"/>
        <v>0.14234330382397831</v>
      </c>
      <c r="CA26" s="1">
        <f t="shared" si="38"/>
        <v>2.3718478726195175E-2</v>
      </c>
      <c r="CB26" s="1">
        <f t="shared" si="38"/>
        <v>2.7855952561224473E-2</v>
      </c>
      <c r="CC26" s="1">
        <f t="shared" si="38"/>
        <v>2.8443437698164935</v>
      </c>
      <c r="CD26" s="1">
        <f t="shared" si="38"/>
        <v>9.5815440414943875</v>
      </c>
      <c r="CE26" s="1">
        <f t="shared" si="38"/>
        <v>1.9237396039180121</v>
      </c>
      <c r="CF26" s="127"/>
      <c r="CJ26" s="126"/>
      <c r="CK26" s="2"/>
      <c r="CL26" s="1" t="s">
        <v>89</v>
      </c>
      <c r="CM26" s="152"/>
      <c r="CN26" s="1">
        <f>_xlfn.STDEV.S(CN8:CN23)</f>
        <v>0.68738940142012883</v>
      </c>
      <c r="CO26" s="1">
        <f t="shared" ref="CO26:CV26" si="39">_xlfn.STDEV.S(CO8:CO23)</f>
        <v>2.7341911312060159</v>
      </c>
      <c r="CP26" s="1">
        <f t="shared" si="39"/>
        <v>0.14234330382397856</v>
      </c>
      <c r="CQ26" s="1">
        <f t="shared" si="39"/>
        <v>0.14234330382397831</v>
      </c>
      <c r="CR26" s="1">
        <f t="shared" si="39"/>
        <v>2.3718478726195175E-2</v>
      </c>
      <c r="CS26" s="1">
        <f t="shared" si="39"/>
        <v>2.7855952561224473E-2</v>
      </c>
      <c r="CT26" s="1">
        <f t="shared" si="39"/>
        <v>2.8443437698164935</v>
      </c>
      <c r="CU26" s="1">
        <f t="shared" si="39"/>
        <v>9.5815440414943875</v>
      </c>
      <c r="CV26" s="1">
        <f t="shared" si="39"/>
        <v>1.9237396039180121</v>
      </c>
      <c r="CW26" s="127"/>
      <c r="DJ26" s="126"/>
      <c r="DK26" s="2"/>
      <c r="DL26" s="1" t="s">
        <v>89</v>
      </c>
      <c r="DM26" s="152"/>
      <c r="DN26" s="1">
        <f>_xlfn.STDEV.S(DN8:DN23)</f>
        <v>0</v>
      </c>
      <c r="DO26" s="1">
        <f t="shared" ref="DO26:DV26" si="40">_xlfn.STDEV.S(DO8:DO23)</f>
        <v>0</v>
      </c>
      <c r="DP26" s="1">
        <f t="shared" si="40"/>
        <v>0</v>
      </c>
      <c r="DQ26" s="1">
        <f t="shared" si="40"/>
        <v>0</v>
      </c>
      <c r="DR26" s="1">
        <f t="shared" si="40"/>
        <v>0</v>
      </c>
      <c r="DS26" s="1">
        <f t="shared" si="40"/>
        <v>0</v>
      </c>
      <c r="DT26" s="1">
        <f t="shared" si="40"/>
        <v>0</v>
      </c>
      <c r="DU26" s="1">
        <f t="shared" si="40"/>
        <v>0</v>
      </c>
      <c r="DV26" s="1">
        <f t="shared" si="40"/>
        <v>0</v>
      </c>
      <c r="DW26" s="127"/>
      <c r="EA26" s="128"/>
      <c r="EB26" s="2"/>
      <c r="EC26" s="149" t="s">
        <v>94</v>
      </c>
      <c r="ED26" s="149"/>
      <c r="EE26" s="149">
        <f>_xlfn.STDEV.S(EE8:EE23)</f>
        <v>0</v>
      </c>
      <c r="EF26" s="149">
        <f t="shared" ref="EF26:EM26" si="41">_xlfn.STDEV.S(EF8:EF23)</f>
        <v>0</v>
      </c>
      <c r="EG26" s="149">
        <f t="shared" si="41"/>
        <v>0</v>
      </c>
      <c r="EH26" s="149">
        <f t="shared" si="41"/>
        <v>0</v>
      </c>
      <c r="EI26" s="149">
        <f t="shared" si="41"/>
        <v>0</v>
      </c>
      <c r="EJ26" s="149">
        <f t="shared" si="41"/>
        <v>0</v>
      </c>
      <c r="EK26" s="149">
        <f t="shared" si="41"/>
        <v>0</v>
      </c>
      <c r="EL26" s="149">
        <f t="shared" si="41"/>
        <v>0</v>
      </c>
      <c r="EM26" s="149">
        <f t="shared" si="41"/>
        <v>0</v>
      </c>
      <c r="EN26" s="127"/>
      <c r="ER26" s="126"/>
      <c r="ES26" s="2"/>
      <c r="ET26" s="1" t="s">
        <v>89</v>
      </c>
      <c r="EU26" s="152"/>
      <c r="EV26" s="1">
        <f>_xlfn.STDEV.S(EV8:EV23)</f>
        <v>0</v>
      </c>
      <c r="EW26" s="1">
        <f t="shared" ref="EW26:FD26" si="42">_xlfn.STDEV.S(EW8:EW23)</f>
        <v>0</v>
      </c>
      <c r="EX26" s="1">
        <f t="shared" si="42"/>
        <v>0</v>
      </c>
      <c r="EY26" s="1">
        <f t="shared" si="42"/>
        <v>0</v>
      </c>
      <c r="EZ26" s="1">
        <f t="shared" si="42"/>
        <v>0</v>
      </c>
      <c r="FA26" s="1">
        <f t="shared" si="42"/>
        <v>0</v>
      </c>
      <c r="FB26" s="1">
        <f t="shared" si="42"/>
        <v>0</v>
      </c>
      <c r="FC26" s="1">
        <f t="shared" si="42"/>
        <v>0</v>
      </c>
      <c r="FD26" s="1">
        <f t="shared" si="42"/>
        <v>0</v>
      </c>
      <c r="FE26" s="127"/>
      <c r="FI26" s="126"/>
      <c r="FJ26" s="2"/>
      <c r="FK26" s="1" t="s">
        <v>89</v>
      </c>
      <c r="FL26" s="152"/>
      <c r="FM26" s="1">
        <f>_xlfn.STDEV.S(FM8:FM23)</f>
        <v>0</v>
      </c>
      <c r="FN26" s="1">
        <f t="shared" ref="FN26:FU26" si="43">_xlfn.STDEV.S(FN8:FN23)</f>
        <v>0</v>
      </c>
      <c r="FO26" s="1">
        <f t="shared" si="43"/>
        <v>0</v>
      </c>
      <c r="FP26" s="1">
        <f t="shared" si="43"/>
        <v>0</v>
      </c>
      <c r="FQ26" s="1">
        <f t="shared" si="43"/>
        <v>0</v>
      </c>
      <c r="FR26" s="1">
        <f t="shared" si="43"/>
        <v>0</v>
      </c>
      <c r="FS26" s="1">
        <f t="shared" si="43"/>
        <v>0</v>
      </c>
      <c r="FT26" s="1">
        <f t="shared" si="43"/>
        <v>0</v>
      </c>
      <c r="FU26" s="1">
        <f t="shared" si="43"/>
        <v>0</v>
      </c>
      <c r="FV26" s="127"/>
    </row>
    <row r="27" spans="3:178" ht="18.5" x14ac:dyDescent="0.45">
      <c r="C27" s="126"/>
      <c r="D27" s="2"/>
      <c r="E27" s="1" t="s">
        <v>95</v>
      </c>
      <c r="F27" s="152"/>
      <c r="G27" s="1">
        <f>G26/(SQRT(COUNT(G8:G23)))</f>
        <v>0.62937331091507398</v>
      </c>
      <c r="H27" s="1">
        <f t="shared" ref="H27:O27" si="44">H26/(SQRT(COUNT(H8:H23)))</f>
        <v>1.1384326359164807</v>
      </c>
      <c r="I27" s="1">
        <f t="shared" si="44"/>
        <v>2.4888269897335762E-2</v>
      </c>
      <c r="J27" s="1">
        <f t="shared" si="44"/>
        <v>2.4888269897335575E-2</v>
      </c>
      <c r="K27" s="1">
        <f t="shared" si="44"/>
        <v>1.5534171974091307E-2</v>
      </c>
      <c r="L27" s="1">
        <f t="shared" si="44"/>
        <v>5.9079737773132359E-3</v>
      </c>
      <c r="M27" s="1">
        <f t="shared" si="44"/>
        <v>1.5953281076124082</v>
      </c>
      <c r="N27" s="1">
        <f t="shared" si="44"/>
        <v>5.0927798048630271</v>
      </c>
      <c r="O27" s="1">
        <f t="shared" si="44"/>
        <v>0.53953522164880274</v>
      </c>
      <c r="P27" s="127"/>
      <c r="T27" s="128"/>
      <c r="U27" s="2"/>
      <c r="V27" s="149" t="s">
        <v>95</v>
      </c>
      <c r="W27" s="149"/>
      <c r="X27" s="149">
        <f>X26/SQRT(16)</f>
        <v>0.42826681439953573</v>
      </c>
      <c r="Y27" s="149">
        <f t="shared" ref="Y27:AF27" si="45">Y26/SQRT(16)</f>
        <v>0.64874320718327938</v>
      </c>
      <c r="Z27" s="149">
        <f t="shared" si="45"/>
        <v>3.0708981704236357E-2</v>
      </c>
      <c r="AA27" s="149">
        <f t="shared" si="45"/>
        <v>3.0761927299780799E-2</v>
      </c>
      <c r="AB27" s="149">
        <f t="shared" si="45"/>
        <v>1.9467259578462928E-2</v>
      </c>
      <c r="AC27" s="149">
        <f t="shared" si="45"/>
        <v>4.1925531056687766E-3</v>
      </c>
      <c r="AD27" s="149">
        <f t="shared" si="45"/>
        <v>0.63866701518228741</v>
      </c>
      <c r="AE27" s="149">
        <f t="shared" si="45"/>
        <v>4.7908940648852703</v>
      </c>
      <c r="AF27" s="149">
        <f t="shared" si="45"/>
        <v>0.44244828961598387</v>
      </c>
      <c r="AG27" s="127"/>
      <c r="AK27" s="126"/>
      <c r="AL27" s="2"/>
      <c r="AM27" s="1" t="s">
        <v>95</v>
      </c>
      <c r="AN27" s="152"/>
      <c r="AO27" s="1">
        <f>AO26/(SQRT(COUNT(AO8:AO23)))</f>
        <v>0.75774666878922747</v>
      </c>
      <c r="AP27" s="1">
        <f t="shared" ref="AP27:AW27" si="46">AP26/(SQRT(COUNT(AP8:AP23)))</f>
        <v>1.1242358889681647</v>
      </c>
      <c r="AQ27" s="1">
        <f t="shared" si="46"/>
        <v>2.3048833013335351E-2</v>
      </c>
      <c r="AR27" s="1">
        <f t="shared" si="46"/>
        <v>2.3048833013335251E-2</v>
      </c>
      <c r="AS27" s="1">
        <f t="shared" si="46"/>
        <v>2.5914644778420554E-2</v>
      </c>
      <c r="AT27" s="1">
        <f t="shared" si="46"/>
        <v>7.4166950193417834E-3</v>
      </c>
      <c r="AU27" s="1">
        <f t="shared" si="46"/>
        <v>1.7543305652974228</v>
      </c>
      <c r="AV27" s="1">
        <f t="shared" si="46"/>
        <v>10.772825316142706</v>
      </c>
      <c r="AW27" s="1">
        <f t="shared" si="46"/>
        <v>0.95503883783057053</v>
      </c>
      <c r="AX27" s="127"/>
      <c r="BB27" s="126"/>
      <c r="BC27" s="2"/>
      <c r="BD27" s="1" t="s">
        <v>95</v>
      </c>
      <c r="BE27" s="152"/>
      <c r="BF27" s="1">
        <f>BF26/(SQRT(COUNT(BF8:BF23)))</f>
        <v>0.79853415347581991</v>
      </c>
      <c r="BG27" s="1">
        <f t="shared" ref="BG27:BN27" si="47">BG26/(SQRT(COUNT(BG8:BG23)))</f>
        <v>1.1760886442428311</v>
      </c>
      <c r="BH27" s="1">
        <f t="shared" si="47"/>
        <v>2.203195565005768E-2</v>
      </c>
      <c r="BI27" s="1">
        <f t="shared" si="47"/>
        <v>2.2031955650057607E-2</v>
      </c>
      <c r="BJ27" s="1">
        <f t="shared" si="47"/>
        <v>2.7056805818329501E-2</v>
      </c>
      <c r="BK27" s="1">
        <f t="shared" si="47"/>
        <v>7.9762528753374862E-3</v>
      </c>
      <c r="BL27" s="1">
        <f t="shared" si="47"/>
        <v>1.8534714792220015</v>
      </c>
      <c r="BM27" s="1">
        <f t="shared" si="47"/>
        <v>10.918669586494442</v>
      </c>
      <c r="BN27" s="1">
        <f t="shared" si="47"/>
        <v>0.95918482273156014</v>
      </c>
      <c r="BO27" s="127"/>
      <c r="BS27" s="126"/>
      <c r="BT27" s="2"/>
      <c r="BU27" s="1" t="s">
        <v>95</v>
      </c>
      <c r="BV27" s="152"/>
      <c r="BW27" s="1">
        <f>BW26/(SQRT(COUNT(BW8:BW23)))</f>
        <v>0.34369470071006442</v>
      </c>
      <c r="BX27" s="1">
        <f t="shared" ref="BX27:CE27" si="48">BX26/(SQRT(COUNT(BX8:BX23)))</f>
        <v>1.3670955656030079</v>
      </c>
      <c r="BY27" s="1">
        <f t="shared" si="48"/>
        <v>7.1171651911989278E-2</v>
      </c>
      <c r="BZ27" s="1">
        <f t="shared" si="48"/>
        <v>7.1171651911989153E-2</v>
      </c>
      <c r="CA27" s="1">
        <f t="shared" si="48"/>
        <v>1.1859239363097587E-2</v>
      </c>
      <c r="CB27" s="1">
        <f t="shared" si="48"/>
        <v>1.3927976280612236E-2</v>
      </c>
      <c r="CC27" s="1">
        <f t="shared" si="48"/>
        <v>1.4221718849082468</v>
      </c>
      <c r="CD27" s="1">
        <f t="shared" si="48"/>
        <v>4.7907720207471938</v>
      </c>
      <c r="CE27" s="1">
        <f t="shared" si="48"/>
        <v>0.96186980195900607</v>
      </c>
      <c r="CF27" s="127"/>
      <c r="CJ27" s="126"/>
      <c r="CK27" s="2"/>
      <c r="CL27" s="1" t="s">
        <v>95</v>
      </c>
      <c r="CM27" s="152"/>
      <c r="CN27" s="1">
        <f>CN26/(SQRT(COUNT(CN8:CN23)))</f>
        <v>0.34369470071006442</v>
      </c>
      <c r="CO27" s="1">
        <f t="shared" ref="CO27:CV27" si="49">CO26/(SQRT(COUNT(CO8:CO23)))</f>
        <v>1.3670955656030079</v>
      </c>
      <c r="CP27" s="1">
        <f t="shared" si="49"/>
        <v>7.1171651911989278E-2</v>
      </c>
      <c r="CQ27" s="1">
        <f t="shared" si="49"/>
        <v>7.1171651911989153E-2</v>
      </c>
      <c r="CR27" s="1">
        <f t="shared" si="49"/>
        <v>1.1859239363097587E-2</v>
      </c>
      <c r="CS27" s="1">
        <f t="shared" si="49"/>
        <v>1.3927976280612236E-2</v>
      </c>
      <c r="CT27" s="1">
        <f t="shared" si="49"/>
        <v>1.4221718849082468</v>
      </c>
      <c r="CU27" s="1">
        <f t="shared" si="49"/>
        <v>4.7907720207471938</v>
      </c>
      <c r="CV27" s="1">
        <f t="shared" si="49"/>
        <v>0.96186980195900607</v>
      </c>
      <c r="CW27" s="127"/>
      <c r="DJ27" s="126"/>
      <c r="DK27" s="2"/>
      <c r="DL27" s="1" t="s">
        <v>95</v>
      </c>
      <c r="DM27" s="152"/>
      <c r="DN27" s="1">
        <f>DN26/(SQRT(COUNT(DN8:DN23)))</f>
        <v>0</v>
      </c>
      <c r="DO27" s="1">
        <f t="shared" ref="DO27:DV27" si="50">DO26/(SQRT(COUNT(DO8:DO23)))</f>
        <v>0</v>
      </c>
      <c r="DP27" s="1">
        <f t="shared" si="50"/>
        <v>0</v>
      </c>
      <c r="DQ27" s="1">
        <f t="shared" si="50"/>
        <v>0</v>
      </c>
      <c r="DR27" s="1">
        <f t="shared" si="50"/>
        <v>0</v>
      </c>
      <c r="DS27" s="1">
        <f t="shared" si="50"/>
        <v>0</v>
      </c>
      <c r="DT27" s="1">
        <f t="shared" si="50"/>
        <v>0</v>
      </c>
      <c r="DU27" s="1">
        <f t="shared" si="50"/>
        <v>0</v>
      </c>
      <c r="DV27" s="1">
        <f t="shared" si="50"/>
        <v>0</v>
      </c>
      <c r="DW27" s="127"/>
      <c r="EA27" s="128"/>
      <c r="EB27" s="2"/>
      <c r="EC27" s="149" t="s">
        <v>95</v>
      </c>
      <c r="ED27" s="149"/>
      <c r="EE27" s="149">
        <f>EE26/SQRT(16)</f>
        <v>0</v>
      </c>
      <c r="EF27" s="149">
        <f t="shared" ref="EF27:EM27" si="51">EF26/SQRT(16)</f>
        <v>0</v>
      </c>
      <c r="EG27" s="149">
        <f t="shared" si="51"/>
        <v>0</v>
      </c>
      <c r="EH27" s="149">
        <f t="shared" si="51"/>
        <v>0</v>
      </c>
      <c r="EI27" s="149">
        <f t="shared" si="51"/>
        <v>0</v>
      </c>
      <c r="EJ27" s="149">
        <f t="shared" si="51"/>
        <v>0</v>
      </c>
      <c r="EK27" s="149">
        <f t="shared" si="51"/>
        <v>0</v>
      </c>
      <c r="EL27" s="149">
        <f t="shared" si="51"/>
        <v>0</v>
      </c>
      <c r="EM27" s="149">
        <f t="shared" si="51"/>
        <v>0</v>
      </c>
      <c r="EN27" s="127"/>
      <c r="ER27" s="126"/>
      <c r="ES27" s="2"/>
      <c r="ET27" s="1" t="s">
        <v>95</v>
      </c>
      <c r="EU27" s="152"/>
      <c r="EV27" s="1">
        <f>EV26/(SQRT(COUNT(EV8:EV23)))</f>
        <v>0</v>
      </c>
      <c r="EW27" s="1">
        <f t="shared" ref="EW27:FD27" si="52">EW26/(SQRT(COUNT(EW8:EW23)))</f>
        <v>0</v>
      </c>
      <c r="EX27" s="1">
        <f t="shared" si="52"/>
        <v>0</v>
      </c>
      <c r="EY27" s="1">
        <f t="shared" si="52"/>
        <v>0</v>
      </c>
      <c r="EZ27" s="1">
        <f t="shared" si="52"/>
        <v>0</v>
      </c>
      <c r="FA27" s="1">
        <f t="shared" si="52"/>
        <v>0</v>
      </c>
      <c r="FB27" s="1">
        <f t="shared" si="52"/>
        <v>0</v>
      </c>
      <c r="FC27" s="1">
        <f t="shared" si="52"/>
        <v>0</v>
      </c>
      <c r="FD27" s="1">
        <f t="shared" si="52"/>
        <v>0</v>
      </c>
      <c r="FE27" s="127"/>
      <c r="FI27" s="126"/>
      <c r="FJ27" s="2"/>
      <c r="FK27" s="1" t="s">
        <v>95</v>
      </c>
      <c r="FL27" s="152"/>
      <c r="FM27" s="1">
        <f>FM26/(SQRT(COUNT(FM8:FM23)))</f>
        <v>0</v>
      </c>
      <c r="FN27" s="1">
        <f t="shared" ref="FN27:FU27" si="53">FN26/(SQRT(COUNT(FN8:FN23)))</f>
        <v>0</v>
      </c>
      <c r="FO27" s="1">
        <f t="shared" si="53"/>
        <v>0</v>
      </c>
      <c r="FP27" s="1">
        <f t="shared" si="53"/>
        <v>0</v>
      </c>
      <c r="FQ27" s="1">
        <f t="shared" si="53"/>
        <v>0</v>
      </c>
      <c r="FR27" s="1">
        <f t="shared" si="53"/>
        <v>0</v>
      </c>
      <c r="FS27" s="1">
        <f t="shared" si="53"/>
        <v>0</v>
      </c>
      <c r="FT27" s="1">
        <f t="shared" si="53"/>
        <v>0</v>
      </c>
      <c r="FU27" s="1">
        <f t="shared" si="53"/>
        <v>0</v>
      </c>
      <c r="FV27" s="127"/>
    </row>
    <row r="28" spans="3:178" x14ac:dyDescent="0.35">
      <c r="C28" s="126"/>
      <c r="D28" s="2"/>
      <c r="E28" s="2"/>
      <c r="F28" s="2"/>
      <c r="G28" s="2"/>
      <c r="H28" s="2"/>
      <c r="I28" s="2"/>
      <c r="J28" s="2"/>
      <c r="K28" s="2"/>
      <c r="L28" s="2"/>
      <c r="M28" s="2"/>
      <c r="N28" s="2"/>
      <c r="O28" s="2"/>
      <c r="P28" s="127"/>
      <c r="T28" s="126"/>
      <c r="U28" s="2"/>
      <c r="V28" s="13"/>
      <c r="W28" s="13"/>
      <c r="X28" s="13"/>
      <c r="Y28" s="13"/>
      <c r="Z28" s="13"/>
      <c r="AA28" s="13"/>
      <c r="AB28" s="13"/>
      <c r="AC28" s="13"/>
      <c r="AD28" s="13"/>
      <c r="AE28" s="13"/>
      <c r="AF28" s="13"/>
      <c r="AG28" s="127"/>
      <c r="AK28" s="126"/>
      <c r="AL28" s="2"/>
      <c r="AM28" s="2"/>
      <c r="AN28" s="2"/>
      <c r="AO28" s="2"/>
      <c r="AP28" s="2"/>
      <c r="AQ28" s="2"/>
      <c r="AR28" s="2"/>
      <c r="AS28" s="2"/>
      <c r="AT28" s="2"/>
      <c r="AU28" s="2"/>
      <c r="AV28" s="2"/>
      <c r="AW28" s="2"/>
      <c r="AX28" s="127"/>
      <c r="BB28" s="126"/>
      <c r="BC28" s="2"/>
      <c r="BD28" s="2"/>
      <c r="BE28" s="2"/>
      <c r="BF28" s="2"/>
      <c r="BG28" s="2"/>
      <c r="BH28" s="2"/>
      <c r="BI28" s="2"/>
      <c r="BJ28" s="2"/>
      <c r="BK28" s="2"/>
      <c r="BL28" s="2"/>
      <c r="BM28" s="2"/>
      <c r="BN28" s="2"/>
      <c r="BO28" s="127"/>
      <c r="BS28" s="126"/>
      <c r="BT28" s="2"/>
      <c r="BU28" s="2"/>
      <c r="BV28" s="2"/>
      <c r="BW28" s="2"/>
      <c r="BX28" s="2"/>
      <c r="BY28" s="2"/>
      <c r="BZ28" s="2"/>
      <c r="CA28" s="2"/>
      <c r="CB28" s="2"/>
      <c r="CC28" s="2"/>
      <c r="CD28" s="2"/>
      <c r="CE28" s="2"/>
      <c r="CF28" s="127"/>
      <c r="CJ28" s="126"/>
      <c r="CK28" s="2"/>
      <c r="CL28" s="2"/>
      <c r="CM28" s="2"/>
      <c r="CN28" s="2"/>
      <c r="CO28" s="2"/>
      <c r="CP28" s="2"/>
      <c r="CQ28" s="2"/>
      <c r="CR28" s="2"/>
      <c r="CS28" s="2"/>
      <c r="CT28" s="2"/>
      <c r="CU28" s="2"/>
      <c r="CV28" s="2"/>
      <c r="CW28" s="127"/>
      <c r="DJ28" s="126"/>
      <c r="DK28" s="2"/>
      <c r="DL28" s="2"/>
      <c r="DM28" s="2"/>
      <c r="DN28" s="2"/>
      <c r="DO28" s="2"/>
      <c r="DP28" s="2"/>
      <c r="DQ28" s="2"/>
      <c r="DR28" s="2"/>
      <c r="DS28" s="2"/>
      <c r="DT28" s="2"/>
      <c r="DU28" s="2"/>
      <c r="DV28" s="2"/>
      <c r="DW28" s="127"/>
      <c r="EA28" s="126"/>
      <c r="EB28" s="2"/>
      <c r="EC28" s="13"/>
      <c r="ED28" s="13"/>
      <c r="EE28" s="13"/>
      <c r="EF28" s="13"/>
      <c r="EG28" s="13"/>
      <c r="EH28" s="13"/>
      <c r="EI28" s="13"/>
      <c r="EJ28" s="13"/>
      <c r="EK28" s="13"/>
      <c r="EL28" s="13"/>
      <c r="EM28" s="13"/>
      <c r="EN28" s="127"/>
      <c r="ER28" s="126"/>
      <c r="ES28" s="2"/>
      <c r="ET28" s="2"/>
      <c r="EU28" s="2"/>
      <c r="EV28" s="2"/>
      <c r="EW28" s="2"/>
      <c r="EX28" s="2"/>
      <c r="EY28" s="2"/>
      <c r="EZ28" s="2"/>
      <c r="FA28" s="2"/>
      <c r="FB28" s="2"/>
      <c r="FC28" s="2"/>
      <c r="FD28" s="2"/>
      <c r="FE28" s="127"/>
      <c r="FI28" s="126"/>
      <c r="FJ28" s="2"/>
      <c r="FK28" s="2"/>
      <c r="FL28" s="2"/>
      <c r="FM28" s="2"/>
      <c r="FN28" s="2"/>
      <c r="FO28" s="2"/>
      <c r="FP28" s="2"/>
      <c r="FQ28" s="2"/>
      <c r="FR28" s="2"/>
      <c r="FS28" s="2"/>
      <c r="FT28" s="2"/>
      <c r="FU28" s="2"/>
      <c r="FV28" s="127"/>
    </row>
    <row r="29" spans="3:178" x14ac:dyDescent="0.35">
      <c r="C29" s="126"/>
      <c r="D29" s="2"/>
      <c r="E29" s="2"/>
      <c r="F29" s="2"/>
      <c r="G29" s="2"/>
      <c r="H29" s="2"/>
      <c r="I29" s="2"/>
      <c r="J29" s="2"/>
      <c r="K29" s="2"/>
      <c r="L29" s="2"/>
      <c r="M29" s="2"/>
      <c r="N29" s="2"/>
      <c r="O29" s="2"/>
      <c r="P29" s="127"/>
      <c r="T29" s="126"/>
      <c r="U29" s="2"/>
      <c r="V29" s="49"/>
      <c r="W29" s="13"/>
      <c r="X29" s="13"/>
      <c r="Y29" s="13"/>
      <c r="Z29" s="13"/>
      <c r="AA29" s="13"/>
      <c r="AB29" s="13"/>
      <c r="AC29" s="13"/>
      <c r="AD29" s="13"/>
      <c r="AE29" s="13"/>
      <c r="AF29" s="13"/>
      <c r="AG29" s="127"/>
      <c r="AK29" s="126"/>
      <c r="AL29" s="2"/>
      <c r="AM29" s="2"/>
      <c r="AN29" s="2"/>
      <c r="AO29" s="2"/>
      <c r="AP29" s="2"/>
      <c r="AQ29" s="2"/>
      <c r="AR29" s="2"/>
      <c r="AS29" s="2"/>
      <c r="AT29" s="2"/>
      <c r="AU29" s="2"/>
      <c r="AV29" s="2"/>
      <c r="AW29" s="2"/>
      <c r="AX29" s="127"/>
      <c r="BB29" s="126"/>
      <c r="BC29" s="2"/>
      <c r="BD29" s="2"/>
      <c r="BE29" s="2"/>
      <c r="BF29" s="2"/>
      <c r="BG29" s="2"/>
      <c r="BH29" s="2"/>
      <c r="BI29" s="2"/>
      <c r="BJ29" s="2"/>
      <c r="BK29" s="2"/>
      <c r="BL29" s="2"/>
      <c r="BM29" s="2"/>
      <c r="BN29" s="2"/>
      <c r="BO29" s="127"/>
      <c r="BS29" s="126"/>
      <c r="BT29" s="2"/>
      <c r="BU29" s="2"/>
      <c r="BV29" s="2"/>
      <c r="BW29" s="2"/>
      <c r="BX29" s="2"/>
      <c r="BY29" s="2"/>
      <c r="BZ29" s="2"/>
      <c r="CA29" s="2"/>
      <c r="CB29" s="2"/>
      <c r="CC29" s="2"/>
      <c r="CD29" s="2"/>
      <c r="CE29" s="2"/>
      <c r="CF29" s="127"/>
      <c r="CJ29" s="126"/>
      <c r="CK29" s="2"/>
      <c r="CL29" s="2"/>
      <c r="CM29" s="2"/>
      <c r="CN29" s="2"/>
      <c r="CO29" s="2"/>
      <c r="CP29" s="2"/>
      <c r="CQ29" s="2"/>
      <c r="CR29" s="2"/>
      <c r="CS29" s="2"/>
      <c r="CT29" s="2"/>
      <c r="CU29" s="2"/>
      <c r="CV29" s="2"/>
      <c r="CW29" s="127"/>
      <c r="DJ29" s="126"/>
      <c r="DK29" s="2"/>
      <c r="DL29" s="2"/>
      <c r="DM29" s="2"/>
      <c r="DN29" s="2"/>
      <c r="DO29" s="2"/>
      <c r="DP29" s="2"/>
      <c r="DQ29" s="2"/>
      <c r="DR29" s="2"/>
      <c r="DS29" s="2"/>
      <c r="DT29" s="2"/>
      <c r="DU29" s="2"/>
      <c r="DV29" s="2"/>
      <c r="DW29" s="127"/>
      <c r="EA29" s="126"/>
      <c r="EB29" s="2"/>
      <c r="EC29" s="49"/>
      <c r="ED29" s="13"/>
      <c r="EE29" s="13"/>
      <c r="EF29" s="13"/>
      <c r="EG29" s="13"/>
      <c r="EH29" s="13"/>
      <c r="EI29" s="13"/>
      <c r="EJ29" s="13"/>
      <c r="EK29" s="13"/>
      <c r="EL29" s="13"/>
      <c r="EM29" s="13"/>
      <c r="EN29" s="127"/>
      <c r="ER29" s="126"/>
      <c r="ES29" s="2"/>
      <c r="ET29" s="2"/>
      <c r="EU29" s="2"/>
      <c r="EV29" s="2"/>
      <c r="EW29" s="2"/>
      <c r="EX29" s="2"/>
      <c r="EY29" s="2"/>
      <c r="EZ29" s="2"/>
      <c r="FA29" s="2"/>
      <c r="FB29" s="2"/>
      <c r="FC29" s="2"/>
      <c r="FD29" s="2"/>
      <c r="FE29" s="127"/>
      <c r="FI29" s="126"/>
      <c r="FJ29" s="2"/>
      <c r="FK29" s="2"/>
      <c r="FL29" s="2"/>
      <c r="FM29" s="2"/>
      <c r="FN29" s="2"/>
      <c r="FO29" s="2"/>
      <c r="FP29" s="2"/>
      <c r="FQ29" s="2"/>
      <c r="FR29" s="2"/>
      <c r="FS29" s="2"/>
      <c r="FT29" s="2"/>
      <c r="FU29" s="2"/>
      <c r="FV29" s="127"/>
    </row>
    <row r="30" spans="3:178" ht="26.5" thickBot="1" x14ac:dyDescent="0.65">
      <c r="C30" s="126"/>
      <c r="D30" s="2"/>
      <c r="E30" s="2"/>
      <c r="F30" s="2"/>
      <c r="G30" s="110" t="s">
        <v>84</v>
      </c>
      <c r="H30" s="20"/>
      <c r="I30" s="20"/>
      <c r="J30" s="20"/>
      <c r="K30" s="20"/>
      <c r="L30" s="2"/>
      <c r="M30" s="2"/>
      <c r="N30" s="2"/>
      <c r="O30" s="2"/>
      <c r="P30" s="127"/>
      <c r="T30" s="126"/>
      <c r="U30" s="2"/>
      <c r="V30" s="49"/>
      <c r="W30" s="49"/>
      <c r="X30" s="153" t="s">
        <v>85</v>
      </c>
      <c r="Y30" s="19"/>
      <c r="Z30" s="19"/>
      <c r="AA30" s="19"/>
      <c r="AB30" s="19"/>
      <c r="AC30" s="13"/>
      <c r="AD30" s="13"/>
      <c r="AE30" s="13"/>
      <c r="AF30" s="13"/>
      <c r="AG30" s="127"/>
      <c r="AK30" s="126"/>
      <c r="AL30" s="2"/>
      <c r="AM30" s="2"/>
      <c r="AN30" s="2"/>
      <c r="AO30" s="110" t="s">
        <v>601</v>
      </c>
      <c r="AP30" s="20"/>
      <c r="AQ30" s="20"/>
      <c r="AR30" s="20"/>
      <c r="AS30" s="20"/>
      <c r="AT30" s="2"/>
      <c r="AU30" s="2"/>
      <c r="AV30" s="2"/>
      <c r="AW30" s="2"/>
      <c r="AX30" s="127"/>
      <c r="BB30" s="126"/>
      <c r="BC30" s="2"/>
      <c r="BD30" s="2"/>
      <c r="BE30" s="2"/>
      <c r="BF30" s="110" t="s">
        <v>603</v>
      </c>
      <c r="BG30" s="20"/>
      <c r="BH30" s="20"/>
      <c r="BI30" s="20"/>
      <c r="BJ30" s="20"/>
      <c r="BK30" s="2"/>
      <c r="BL30" s="2"/>
      <c r="BM30" s="2"/>
      <c r="BN30" s="2"/>
      <c r="BO30" s="127"/>
      <c r="BS30" s="126"/>
      <c r="BT30" s="2"/>
      <c r="BU30" s="2"/>
      <c r="BV30" s="2"/>
      <c r="BW30" s="110" t="s">
        <v>891</v>
      </c>
      <c r="BX30" s="20"/>
      <c r="BY30" s="20"/>
      <c r="BZ30" s="20"/>
      <c r="CA30" s="20"/>
      <c r="CB30" s="2"/>
      <c r="CC30" s="2"/>
      <c r="CD30" s="2"/>
      <c r="CE30" s="2"/>
      <c r="CF30" s="127"/>
      <c r="CJ30" s="126"/>
      <c r="CK30" s="2"/>
      <c r="CL30" s="2"/>
      <c r="CM30" s="2"/>
      <c r="CN30" s="110" t="s">
        <v>890</v>
      </c>
      <c r="CO30" s="20"/>
      <c r="CP30" s="20"/>
      <c r="CQ30" s="20"/>
      <c r="CR30" s="20"/>
      <c r="CS30" s="2"/>
      <c r="CT30" s="2"/>
      <c r="CU30" s="2"/>
      <c r="CV30" s="2"/>
      <c r="CW30" s="127"/>
      <c r="DJ30" s="126"/>
      <c r="DK30" s="2"/>
      <c r="DL30" s="2"/>
      <c r="DM30" s="2"/>
      <c r="DN30" s="110" t="s">
        <v>84</v>
      </c>
      <c r="DO30" s="20"/>
      <c r="DP30" s="20"/>
      <c r="DQ30" s="20"/>
      <c r="DR30" s="20"/>
      <c r="DS30" s="2"/>
      <c r="DT30" s="2"/>
      <c r="DU30" s="2"/>
      <c r="DV30" s="2"/>
      <c r="DW30" s="127"/>
      <c r="EA30" s="126"/>
      <c r="EB30" s="2"/>
      <c r="EC30" s="49"/>
      <c r="ED30" s="49"/>
      <c r="EE30" s="153" t="s">
        <v>85</v>
      </c>
      <c r="EF30" s="19"/>
      <c r="EG30" s="19"/>
      <c r="EH30" s="19"/>
      <c r="EI30" s="19"/>
      <c r="EJ30" s="13"/>
      <c r="EK30" s="13"/>
      <c r="EL30" s="13"/>
      <c r="EM30" s="13"/>
      <c r="EN30" s="127"/>
      <c r="ER30" s="126"/>
      <c r="ES30" s="2"/>
      <c r="ET30" s="2"/>
      <c r="EU30" s="2"/>
      <c r="EV30" s="110" t="s">
        <v>601</v>
      </c>
      <c r="EW30" s="20"/>
      <c r="EX30" s="20"/>
      <c r="EY30" s="20"/>
      <c r="EZ30" s="20"/>
      <c r="FA30" s="2"/>
      <c r="FB30" s="2"/>
      <c r="FC30" s="2"/>
      <c r="FD30" s="2"/>
      <c r="FE30" s="127"/>
      <c r="FI30" s="126"/>
      <c r="FJ30" s="2"/>
      <c r="FK30" s="2"/>
      <c r="FL30" s="2"/>
      <c r="FM30" s="110" t="s">
        <v>603</v>
      </c>
      <c r="FN30" s="20"/>
      <c r="FO30" s="20"/>
      <c r="FP30" s="20"/>
      <c r="FQ30" s="20"/>
      <c r="FR30" s="2"/>
      <c r="FS30" s="2"/>
      <c r="FT30" s="2"/>
      <c r="FU30" s="2"/>
      <c r="FV30" s="127"/>
    </row>
    <row r="31" spans="3:178" ht="13.5" customHeight="1" x14ac:dyDescent="0.6">
      <c r="C31" s="126"/>
      <c r="D31" s="2"/>
      <c r="E31" s="2"/>
      <c r="F31" s="2"/>
      <c r="G31" s="2"/>
      <c r="H31" s="2"/>
      <c r="I31" s="2"/>
      <c r="J31" s="2"/>
      <c r="K31" s="2"/>
      <c r="L31" s="2"/>
      <c r="M31" s="2"/>
      <c r="N31" s="2"/>
      <c r="O31" s="2"/>
      <c r="P31" s="127"/>
      <c r="T31" s="126"/>
      <c r="U31" s="2"/>
      <c r="V31" s="49"/>
      <c r="W31" s="49"/>
      <c r="X31" s="49"/>
      <c r="Y31" s="154"/>
      <c r="Z31" s="13"/>
      <c r="AA31" s="13"/>
      <c r="AB31" s="13"/>
      <c r="AC31" s="13"/>
      <c r="AD31" s="13"/>
      <c r="AE31" s="13"/>
      <c r="AF31" s="13"/>
      <c r="AG31" s="127"/>
      <c r="AK31" s="126"/>
      <c r="AL31" s="2"/>
      <c r="AM31" s="2"/>
      <c r="AN31" s="2"/>
      <c r="AO31" s="2"/>
      <c r="AP31" s="2"/>
      <c r="AQ31" s="2"/>
      <c r="AR31" s="2"/>
      <c r="AS31" s="2"/>
      <c r="AT31" s="2"/>
      <c r="AU31" s="2"/>
      <c r="AV31" s="2"/>
      <c r="AW31" s="2"/>
      <c r="AX31" s="127"/>
      <c r="BB31" s="126"/>
      <c r="BC31" s="2"/>
      <c r="BD31" s="2"/>
      <c r="BE31" s="2"/>
      <c r="BF31" s="2"/>
      <c r="BG31" s="2"/>
      <c r="BH31" s="2"/>
      <c r="BI31" s="2"/>
      <c r="BJ31" s="2"/>
      <c r="BK31" s="2"/>
      <c r="BL31" s="2"/>
      <c r="BM31" s="2"/>
      <c r="BN31" s="2"/>
      <c r="BO31" s="127"/>
      <c r="BS31" s="126"/>
      <c r="BT31" s="2"/>
      <c r="BU31" s="2"/>
      <c r="BV31" s="2"/>
      <c r="BW31" s="2"/>
      <c r="BX31" s="2"/>
      <c r="BY31" s="2"/>
      <c r="BZ31" s="2"/>
      <c r="CA31" s="2"/>
      <c r="CB31" s="2"/>
      <c r="CC31" s="2"/>
      <c r="CD31" s="2"/>
      <c r="CE31" s="2"/>
      <c r="CF31" s="127"/>
      <c r="CJ31" s="126"/>
      <c r="CK31" s="2"/>
      <c r="CL31" s="2"/>
      <c r="CM31" s="2"/>
      <c r="CN31" s="2"/>
      <c r="CO31" s="2"/>
      <c r="CP31" s="2"/>
      <c r="CQ31" s="2"/>
      <c r="CR31" s="2"/>
      <c r="CS31" s="2"/>
      <c r="CT31" s="2"/>
      <c r="CU31" s="2"/>
      <c r="CV31" s="2"/>
      <c r="CW31" s="127"/>
      <c r="DJ31" s="126"/>
      <c r="DK31" s="2"/>
      <c r="DL31" s="2"/>
      <c r="DM31" s="2"/>
      <c r="DN31" s="2"/>
      <c r="DO31" s="2"/>
      <c r="DP31" s="2"/>
      <c r="DQ31" s="2"/>
      <c r="DR31" s="2"/>
      <c r="DS31" s="2"/>
      <c r="DT31" s="2"/>
      <c r="DU31" s="2"/>
      <c r="DV31" s="2"/>
      <c r="DW31" s="127"/>
      <c r="EA31" s="126"/>
      <c r="EB31" s="2"/>
      <c r="EC31" s="49"/>
      <c r="ED31" s="49"/>
      <c r="EE31" s="49"/>
      <c r="EF31" s="154"/>
      <c r="EG31" s="13"/>
      <c r="EH31" s="13"/>
      <c r="EI31" s="13"/>
      <c r="EJ31" s="13"/>
      <c r="EK31" s="13"/>
      <c r="EL31" s="13"/>
      <c r="EM31" s="13"/>
      <c r="EN31" s="127"/>
      <c r="ER31" s="126"/>
      <c r="ES31" s="2"/>
      <c r="ET31" s="2"/>
      <c r="EU31" s="2"/>
      <c r="EV31" s="2"/>
      <c r="EW31" s="2"/>
      <c r="EX31" s="2"/>
      <c r="EY31" s="2"/>
      <c r="EZ31" s="2"/>
      <c r="FA31" s="2"/>
      <c r="FB31" s="2"/>
      <c r="FC31" s="2"/>
      <c r="FD31" s="2"/>
      <c r="FE31" s="127"/>
      <c r="FI31" s="126"/>
      <c r="FJ31" s="2"/>
      <c r="FK31" s="2"/>
      <c r="FL31" s="2"/>
      <c r="FM31" s="2"/>
      <c r="FN31" s="2"/>
      <c r="FO31" s="2"/>
      <c r="FP31" s="2"/>
      <c r="FQ31" s="2"/>
      <c r="FR31" s="2"/>
      <c r="FS31" s="2"/>
      <c r="FT31" s="2"/>
      <c r="FU31" s="2"/>
      <c r="FV31" s="127"/>
    </row>
    <row r="32" spans="3:178" ht="16.5" customHeight="1" thickBot="1" x14ac:dyDescent="0.4">
      <c r="C32" s="126"/>
      <c r="D32" s="49" t="s">
        <v>130</v>
      </c>
      <c r="E32" s="2"/>
      <c r="F32" s="2"/>
      <c r="G32" s="9" t="s">
        <v>3</v>
      </c>
      <c r="H32" s="9" t="s">
        <v>4</v>
      </c>
      <c r="I32" s="9" t="s">
        <v>5</v>
      </c>
      <c r="J32" s="9" t="s">
        <v>6</v>
      </c>
      <c r="K32" s="9" t="s">
        <v>7</v>
      </c>
      <c r="L32" s="9" t="s">
        <v>8</v>
      </c>
      <c r="M32" s="9" t="s">
        <v>9</v>
      </c>
      <c r="N32" s="44" t="s">
        <v>10</v>
      </c>
      <c r="O32" s="122" t="s">
        <v>297</v>
      </c>
      <c r="P32" s="127"/>
      <c r="T32" s="126"/>
      <c r="U32" s="49" t="s">
        <v>130</v>
      </c>
      <c r="V32" s="2"/>
      <c r="W32" s="2"/>
      <c r="X32" s="9" t="s">
        <v>3</v>
      </c>
      <c r="Y32" s="9" t="s">
        <v>4</v>
      </c>
      <c r="Z32" s="9" t="s">
        <v>5</v>
      </c>
      <c r="AA32" s="9" t="s">
        <v>6</v>
      </c>
      <c r="AB32" s="9" t="s">
        <v>7</v>
      </c>
      <c r="AC32" s="9" t="s">
        <v>8</v>
      </c>
      <c r="AD32" s="9" t="s">
        <v>9</v>
      </c>
      <c r="AE32" s="9" t="s">
        <v>10</v>
      </c>
      <c r="AF32" s="163" t="s">
        <v>297</v>
      </c>
      <c r="AG32" s="230" t="s">
        <v>126</v>
      </c>
      <c r="AK32" s="126"/>
      <c r="AL32" s="49" t="s">
        <v>130</v>
      </c>
      <c r="AM32" s="2"/>
      <c r="AN32" s="2"/>
      <c r="AO32" s="9" t="s">
        <v>3</v>
      </c>
      <c r="AP32" s="9" t="s">
        <v>4</v>
      </c>
      <c r="AQ32" s="9" t="s">
        <v>5</v>
      </c>
      <c r="AR32" s="9" t="s">
        <v>6</v>
      </c>
      <c r="AS32" s="9" t="s">
        <v>7</v>
      </c>
      <c r="AT32" s="9" t="s">
        <v>8</v>
      </c>
      <c r="AU32" s="9" t="s">
        <v>9</v>
      </c>
      <c r="AV32" s="44" t="s">
        <v>10</v>
      </c>
      <c r="AW32" s="122" t="s">
        <v>297</v>
      </c>
      <c r="AX32" s="127"/>
      <c r="BB32" s="126"/>
      <c r="BC32" s="49" t="s">
        <v>130</v>
      </c>
      <c r="BD32" s="2"/>
      <c r="BE32" s="2"/>
      <c r="BF32" s="9" t="s">
        <v>3</v>
      </c>
      <c r="BG32" s="9" t="s">
        <v>4</v>
      </c>
      <c r="BH32" s="9" t="s">
        <v>5</v>
      </c>
      <c r="BI32" s="9" t="s">
        <v>6</v>
      </c>
      <c r="BJ32" s="9" t="s">
        <v>7</v>
      </c>
      <c r="BK32" s="9" t="s">
        <v>8</v>
      </c>
      <c r="BL32" s="9" t="s">
        <v>9</v>
      </c>
      <c r="BM32" s="44" t="s">
        <v>10</v>
      </c>
      <c r="BN32" s="122" t="s">
        <v>297</v>
      </c>
      <c r="BO32" s="127"/>
      <c r="BS32" s="126"/>
      <c r="BT32" s="49" t="s">
        <v>130</v>
      </c>
      <c r="BU32" s="2"/>
      <c r="BV32" s="2"/>
      <c r="BW32" s="9" t="s">
        <v>3</v>
      </c>
      <c r="BX32" s="9" t="s">
        <v>4</v>
      </c>
      <c r="BY32" s="9" t="s">
        <v>5</v>
      </c>
      <c r="BZ32" s="9" t="s">
        <v>6</v>
      </c>
      <c r="CA32" s="9" t="s">
        <v>7</v>
      </c>
      <c r="CB32" s="9" t="s">
        <v>8</v>
      </c>
      <c r="CC32" s="9" t="s">
        <v>9</v>
      </c>
      <c r="CD32" s="44" t="s">
        <v>10</v>
      </c>
      <c r="CE32" s="122" t="s">
        <v>297</v>
      </c>
      <c r="CF32" s="127"/>
      <c r="CJ32" s="126"/>
      <c r="CK32" s="49" t="s">
        <v>130</v>
      </c>
      <c r="CL32" s="2"/>
      <c r="CM32" s="2"/>
      <c r="CN32" s="9" t="s">
        <v>3</v>
      </c>
      <c r="CO32" s="9" t="s">
        <v>4</v>
      </c>
      <c r="CP32" s="9" t="s">
        <v>5</v>
      </c>
      <c r="CQ32" s="9" t="s">
        <v>6</v>
      </c>
      <c r="CR32" s="9" t="s">
        <v>7</v>
      </c>
      <c r="CS32" s="9" t="s">
        <v>8</v>
      </c>
      <c r="CT32" s="9" t="s">
        <v>9</v>
      </c>
      <c r="CU32" s="44" t="s">
        <v>10</v>
      </c>
      <c r="CV32" s="122" t="s">
        <v>297</v>
      </c>
      <c r="CW32" s="127"/>
      <c r="DJ32" s="126"/>
      <c r="DK32" s="49" t="s">
        <v>130</v>
      </c>
      <c r="DL32" s="2"/>
      <c r="DM32" s="2"/>
      <c r="DN32" s="9" t="s">
        <v>3</v>
      </c>
      <c r="DO32" s="9" t="s">
        <v>4</v>
      </c>
      <c r="DP32" s="9" t="s">
        <v>5</v>
      </c>
      <c r="DQ32" s="9" t="s">
        <v>6</v>
      </c>
      <c r="DR32" s="9" t="s">
        <v>7</v>
      </c>
      <c r="DS32" s="9" t="s">
        <v>8</v>
      </c>
      <c r="DT32" s="9" t="s">
        <v>9</v>
      </c>
      <c r="DU32" s="44" t="s">
        <v>10</v>
      </c>
      <c r="DV32" s="122" t="s">
        <v>297</v>
      </c>
      <c r="DW32" s="127"/>
      <c r="EA32" s="126"/>
      <c r="EB32" s="49" t="s">
        <v>130</v>
      </c>
      <c r="EC32" s="2"/>
      <c r="ED32" s="2"/>
      <c r="EE32" s="9" t="s">
        <v>3</v>
      </c>
      <c r="EF32" s="9" t="s">
        <v>4</v>
      </c>
      <c r="EG32" s="9" t="s">
        <v>5</v>
      </c>
      <c r="EH32" s="9" t="s">
        <v>6</v>
      </c>
      <c r="EI32" s="9" t="s">
        <v>7</v>
      </c>
      <c r="EJ32" s="9" t="s">
        <v>8</v>
      </c>
      <c r="EK32" s="9" t="s">
        <v>9</v>
      </c>
      <c r="EL32" s="9" t="s">
        <v>10</v>
      </c>
      <c r="EM32" s="163" t="s">
        <v>297</v>
      </c>
      <c r="EN32" s="230" t="s">
        <v>126</v>
      </c>
      <c r="ER32" s="126"/>
      <c r="ES32" s="49" t="s">
        <v>130</v>
      </c>
      <c r="ET32" s="2"/>
      <c r="EU32" s="2"/>
      <c r="EV32" s="9" t="s">
        <v>3</v>
      </c>
      <c r="EW32" s="9" t="s">
        <v>4</v>
      </c>
      <c r="EX32" s="9" t="s">
        <v>5</v>
      </c>
      <c r="EY32" s="9" t="s">
        <v>6</v>
      </c>
      <c r="EZ32" s="9" t="s">
        <v>7</v>
      </c>
      <c r="FA32" s="9" t="s">
        <v>8</v>
      </c>
      <c r="FB32" s="9" t="s">
        <v>9</v>
      </c>
      <c r="FC32" s="44" t="s">
        <v>10</v>
      </c>
      <c r="FD32" s="122" t="s">
        <v>297</v>
      </c>
      <c r="FE32" s="127"/>
      <c r="FI32" s="126"/>
      <c r="FJ32" s="49" t="s">
        <v>130</v>
      </c>
      <c r="FK32" s="2"/>
      <c r="FL32" s="2"/>
      <c r="FM32" s="9" t="s">
        <v>3</v>
      </c>
      <c r="FN32" s="9" t="s">
        <v>4</v>
      </c>
      <c r="FO32" s="9" t="s">
        <v>5</v>
      </c>
      <c r="FP32" s="9" t="s">
        <v>6</v>
      </c>
      <c r="FQ32" s="9" t="s">
        <v>7</v>
      </c>
      <c r="FR32" s="9" t="s">
        <v>8</v>
      </c>
      <c r="FS32" s="9" t="s">
        <v>9</v>
      </c>
      <c r="FT32" s="44" t="s">
        <v>10</v>
      </c>
      <c r="FU32" s="122" t="s">
        <v>297</v>
      </c>
      <c r="FV32" s="127"/>
    </row>
    <row r="33" spans="3:178" ht="15.5" x14ac:dyDescent="0.35">
      <c r="C33" s="126"/>
      <c r="D33" s="3" t="s">
        <v>19</v>
      </c>
      <c r="E33" s="3">
        <v>8022017</v>
      </c>
      <c r="F33" s="2"/>
      <c r="G33" s="164">
        <v>4.5199999999999978</v>
      </c>
      <c r="H33" s="164">
        <v>8.3771428571428714</v>
      </c>
      <c r="I33" s="164">
        <v>0.35125094315905153</v>
      </c>
      <c r="J33" s="164">
        <v>0.64874905684094852</v>
      </c>
      <c r="K33" s="164">
        <v>0.22340014983411002</v>
      </c>
      <c r="L33" s="164">
        <v>7.7737275020569513E-2</v>
      </c>
      <c r="M33" s="164">
        <v>12.897142857142869</v>
      </c>
      <c r="N33" s="4">
        <v>49.285714285714285</v>
      </c>
      <c r="O33" s="4">
        <v>11.230767804924838</v>
      </c>
      <c r="P33" s="127"/>
      <c r="T33" s="126"/>
      <c r="U33" s="49" t="s">
        <v>107</v>
      </c>
      <c r="V33" s="3">
        <v>7292016</v>
      </c>
      <c r="W33" s="2"/>
      <c r="X33" s="164">
        <f>AVERAGE(3.83,4)</f>
        <v>3.915</v>
      </c>
      <c r="Y33" s="164">
        <f>AVERAGE(10.83,11.65)</f>
        <v>11.24</v>
      </c>
      <c r="Z33" s="164">
        <f>X33/AD33</f>
        <v>0.25816023738872407</v>
      </c>
      <c r="AA33" s="164">
        <f>Y33/AD33</f>
        <v>0.74118034948895484</v>
      </c>
      <c r="AB33" s="164">
        <f>1/X33</f>
        <v>0.2554278416347382</v>
      </c>
      <c r="AC33" s="164">
        <f>1/AD33</f>
        <v>6.5941312232113428E-2</v>
      </c>
      <c r="AD33" s="164">
        <f>AVERAGE(14.68,15.65)</f>
        <v>15.164999999999999</v>
      </c>
      <c r="AE33" s="164">
        <v>22.117647058823529</v>
      </c>
      <c r="AF33" s="4">
        <v>5.621675571518467</v>
      </c>
      <c r="AG33" s="230" t="s">
        <v>127</v>
      </c>
      <c r="AK33" s="126"/>
      <c r="AL33" s="3" t="s">
        <v>389</v>
      </c>
      <c r="AM33" s="3"/>
      <c r="AN33" s="2"/>
      <c r="AO33" s="164">
        <v>3.6843137499999945</v>
      </c>
      <c r="AP33" s="164">
        <v>9.6467912499999997</v>
      </c>
      <c r="AQ33" s="164">
        <v>0.27908687668686022</v>
      </c>
      <c r="AR33" s="164">
        <v>0.72091312331313973</v>
      </c>
      <c r="AS33" s="164">
        <v>0.27684159602744746</v>
      </c>
      <c r="AT33" s="164">
        <v>7.577755810928366E-2</v>
      </c>
      <c r="AU33" s="164">
        <v>13.331104999999996</v>
      </c>
      <c r="AV33" s="4">
        <v>25.125</v>
      </c>
      <c r="AW33" s="4">
        <v>6.7837319550872976</v>
      </c>
      <c r="AX33" s="127"/>
      <c r="BB33" s="126"/>
      <c r="BC33" s="3" t="s">
        <v>389</v>
      </c>
      <c r="BD33" s="3"/>
      <c r="BE33" s="2"/>
      <c r="BF33" s="164">
        <v>6.9989212500000164</v>
      </c>
      <c r="BG33" s="164">
        <v>14.845892499999987</v>
      </c>
      <c r="BH33" s="164">
        <v>0.32382143351440612</v>
      </c>
      <c r="BI33" s="164">
        <v>0.67617856648559382</v>
      </c>
      <c r="BJ33" s="164">
        <v>0.14410664990690147</v>
      </c>
      <c r="BK33" s="164">
        <v>4.6089991395412075E-2</v>
      </c>
      <c r="BL33" s="164">
        <v>21.844813750000004</v>
      </c>
      <c r="BM33" s="4">
        <v>43</v>
      </c>
      <c r="BN33" s="4">
        <v>6.1167011291706759</v>
      </c>
      <c r="BO33" s="127"/>
      <c r="BS33" s="126"/>
      <c r="BT33" s="3" t="s">
        <v>858</v>
      </c>
      <c r="BU33" s="3"/>
      <c r="BV33" s="2"/>
      <c r="BW33" s="164">
        <v>5.1310819999999921</v>
      </c>
      <c r="BX33" s="164">
        <v>11.075076000000013</v>
      </c>
      <c r="BY33" s="164">
        <v>0.32762727978627715</v>
      </c>
      <c r="BZ33" s="164">
        <v>0.67237272021372285</v>
      </c>
      <c r="CA33" s="164">
        <v>0.20402067732590762</v>
      </c>
      <c r="CB33" s="164">
        <v>6.3484124779770404E-2</v>
      </c>
      <c r="CC33" s="164">
        <v>16.206158000000006</v>
      </c>
      <c r="CD33" s="4">
        <v>20.8</v>
      </c>
      <c r="CE33" s="4">
        <v>4.0494125317945127</v>
      </c>
      <c r="CF33" s="127"/>
      <c r="CJ33" s="126"/>
      <c r="CK33" s="3" t="s">
        <v>858</v>
      </c>
      <c r="CL33" s="3"/>
      <c r="CM33" s="2"/>
      <c r="CN33" s="164">
        <v>6.4199966666666688</v>
      </c>
      <c r="CO33" s="164">
        <v>18.749526666666661</v>
      </c>
      <c r="CP33" s="164">
        <v>0.25538615832068839</v>
      </c>
      <c r="CQ33" s="164">
        <v>0.74461384167931166</v>
      </c>
      <c r="CR33" s="164">
        <v>0.15753957131517096</v>
      </c>
      <c r="CS33" s="164">
        <v>3.973609990219111E-2</v>
      </c>
      <c r="CT33" s="164">
        <v>25.169523333333331</v>
      </c>
      <c r="CU33" s="4">
        <v>18.333333333333332</v>
      </c>
      <c r="CV33" s="4">
        <v>2.8674719370363086</v>
      </c>
      <c r="CW33" s="127"/>
      <c r="DJ33" s="126"/>
      <c r="DK33" s="3" t="s">
        <v>19</v>
      </c>
      <c r="DL33" s="3">
        <v>8022017</v>
      </c>
      <c r="DM33" s="2"/>
      <c r="DN33" s="164">
        <f t="shared" ref="DN33:DV33" si="54">1-((G8-G33)/(G8+G33))</f>
        <v>0.77736692750881353</v>
      </c>
      <c r="DO33" s="164">
        <f t="shared" si="54"/>
        <v>1.0592485549132962</v>
      </c>
      <c r="DP33" s="164">
        <f t="shared" si="54"/>
        <v>0.83369505775399055</v>
      </c>
      <c r="DQ33" s="164">
        <f t="shared" si="54"/>
        <v>1.121080900458217</v>
      </c>
      <c r="DR33" s="164">
        <f t="shared" si="54"/>
        <v>1.21597576760838</v>
      </c>
      <c r="DS33" s="164">
        <f t="shared" si="54"/>
        <v>1.0474196032567997</v>
      </c>
      <c r="DT33" s="164">
        <f t="shared" si="54"/>
        <v>0.94486760550277404</v>
      </c>
      <c r="DU33" s="164">
        <f t="shared" si="54"/>
        <v>0.9421939007737824</v>
      </c>
      <c r="DV33" s="164">
        <f t="shared" si="54"/>
        <v>1.2129586515945725</v>
      </c>
      <c r="DW33" s="127"/>
      <c r="EA33" s="126"/>
      <c r="EB33" s="49" t="s">
        <v>107</v>
      </c>
      <c r="EC33" s="2"/>
      <c r="ED33" s="2"/>
      <c r="EE33" s="164">
        <f t="shared" ref="EE33:EM33" si="55">1-((X8-X33)/(X8+X33))</f>
        <v>0.93514869222500907</v>
      </c>
      <c r="EF33" s="164">
        <f t="shared" si="55"/>
        <v>1.1215326282179208</v>
      </c>
      <c r="EG33" s="164">
        <f t="shared" si="55"/>
        <v>0.86855263068709443</v>
      </c>
      <c r="EH33" s="164">
        <f t="shared" si="55"/>
        <v>1.0548114209014121</v>
      </c>
      <c r="EI33" s="164">
        <f t="shared" si="55"/>
        <v>1.064851307774991</v>
      </c>
      <c r="EJ33" s="164">
        <f t="shared" si="55"/>
        <v>0.93283135709510578</v>
      </c>
      <c r="EK33" s="164">
        <f t="shared" si="55"/>
        <v>1.0671686429048943</v>
      </c>
      <c r="EL33" s="164">
        <f t="shared" si="55"/>
        <v>1.1156166551280782</v>
      </c>
      <c r="EM33" s="164">
        <f t="shared" si="55"/>
        <v>1.0062195764714426</v>
      </c>
      <c r="EN33" s="230" t="s">
        <v>127</v>
      </c>
      <c r="ER33" s="126"/>
      <c r="ES33" s="3" t="s">
        <v>389</v>
      </c>
      <c r="ET33" s="3"/>
      <c r="EU33" s="2"/>
      <c r="EV33" s="164">
        <f t="shared" ref="EV33:EV38" si="56">1-((AO8-AO33)/(AO8+AO33))</f>
        <v>0.71384471800821458</v>
      </c>
      <c r="EW33" s="164">
        <f t="shared" ref="EW33:FD38" si="57">1-((AP8-AP33)/(AP8+AP33))</f>
        <v>1.0509945563509677</v>
      </c>
      <c r="EX33" s="164">
        <f t="shared" si="57"/>
        <v>0.7841613153375544</v>
      </c>
      <c r="EY33" s="164">
        <f t="shared" si="57"/>
        <v>1.1192650820571461</v>
      </c>
      <c r="EZ33" s="164">
        <f t="shared" si="57"/>
        <v>1.2805935231117604</v>
      </c>
      <c r="FA33" s="164">
        <f t="shared" si="57"/>
        <v>1.0718955401008969</v>
      </c>
      <c r="FB33" s="164">
        <f t="shared" si="57"/>
        <v>0.92964781553293174</v>
      </c>
      <c r="FC33" s="164">
        <f t="shared" si="57"/>
        <v>0.79464089611245325</v>
      </c>
      <c r="FD33" s="164">
        <f t="shared" si="57"/>
        <v>1.0884524246689462</v>
      </c>
      <c r="FE33" s="127"/>
      <c r="FI33" s="126"/>
      <c r="FJ33" s="3" t="s">
        <v>389</v>
      </c>
      <c r="FK33" s="3"/>
      <c r="FL33" s="2"/>
      <c r="FM33" s="164">
        <f t="shared" ref="FM33:FM38" si="58">1-((BF8-BF33)/(BF8+BF33))</f>
        <v>0.97131294864793549</v>
      </c>
      <c r="FN33" s="164">
        <f t="shared" ref="FN33:FU38" si="59">1-((BG8-BG33)/(BG8+BG33))</f>
        <v>1.1533918135577241</v>
      </c>
      <c r="FO33" s="164">
        <f t="shared" si="59"/>
        <v>0.88404649341742925</v>
      </c>
      <c r="FP33" s="164">
        <f t="shared" si="59"/>
        <v>1.0670234757600632</v>
      </c>
      <c r="FQ33" s="164">
        <f t="shared" si="59"/>
        <v>1.0293865157268061</v>
      </c>
      <c r="FR33" s="164">
        <f t="shared" si="59"/>
        <v>0.91241836309955726</v>
      </c>
      <c r="FS33" s="164">
        <f t="shared" si="59"/>
        <v>1.0880442105399548</v>
      </c>
      <c r="FT33" s="164">
        <f t="shared" si="59"/>
        <v>0.97604035308953341</v>
      </c>
      <c r="FU33" s="164">
        <f t="shared" si="59"/>
        <v>1.0032781312802275</v>
      </c>
      <c r="FV33" s="127"/>
    </row>
    <row r="34" spans="3:178" ht="15.5" x14ac:dyDescent="0.35">
      <c r="C34" s="126"/>
      <c r="D34" s="3" t="s">
        <v>33</v>
      </c>
      <c r="E34" s="3">
        <v>8042017</v>
      </c>
      <c r="F34" s="2"/>
      <c r="G34" s="4">
        <v>4.5529199999999994</v>
      </c>
      <c r="H34" s="4">
        <v>5.2146291666666675</v>
      </c>
      <c r="I34" s="4">
        <v>0.46716676010135633</v>
      </c>
      <c r="J34" s="4">
        <v>0.53283323989864351</v>
      </c>
      <c r="K34" s="4">
        <v>0.22699762039975835</v>
      </c>
      <c r="L34" s="4">
        <v>0.10290864955271557</v>
      </c>
      <c r="M34" s="4">
        <v>9.7675491666666669</v>
      </c>
      <c r="N34" s="4">
        <v>31.25</v>
      </c>
      <c r="O34" s="4">
        <v>6.9854458407327344</v>
      </c>
      <c r="P34" s="127"/>
      <c r="T34" s="126"/>
      <c r="U34" s="49" t="s">
        <v>113</v>
      </c>
      <c r="V34" s="2"/>
      <c r="W34" s="2"/>
      <c r="X34" s="164">
        <v>5.8116374999999945</v>
      </c>
      <c r="Y34" s="164">
        <v>18.970363750000008</v>
      </c>
      <c r="Z34" s="164">
        <v>0.23097412760842639</v>
      </c>
      <c r="AA34" s="164">
        <v>0.76902587239157372</v>
      </c>
      <c r="AB34" s="164">
        <v>0.19813747475376906</v>
      </c>
      <c r="AC34" s="164">
        <v>4.0607639645480101E-2</v>
      </c>
      <c r="AD34" s="164">
        <v>24.78200125</v>
      </c>
      <c r="AE34" s="164">
        <v>27.125</v>
      </c>
      <c r="AF34" s="4">
        <v>4.8422061141651991</v>
      </c>
      <c r="AG34" s="230" t="s">
        <v>321</v>
      </c>
      <c r="AK34" s="126"/>
      <c r="AL34" s="3" t="s">
        <v>390</v>
      </c>
      <c r="AM34" s="3"/>
      <c r="AN34" s="2"/>
      <c r="AO34" s="4">
        <v>3.2703171428571474</v>
      </c>
      <c r="AP34" s="4">
        <v>11.918894285714279</v>
      </c>
      <c r="AQ34" s="4">
        <v>0.21537131112178418</v>
      </c>
      <c r="AR34" s="4">
        <v>0.7846286888782158</v>
      </c>
      <c r="AS34" s="4">
        <v>0.30827100733196916</v>
      </c>
      <c r="AT34" s="4">
        <v>6.6246837974357028E-2</v>
      </c>
      <c r="AU34" s="4">
        <v>15.189211428571427</v>
      </c>
      <c r="AV34" s="4">
        <v>35.142857142857146</v>
      </c>
      <c r="AW34" s="4">
        <v>10.816992979898936</v>
      </c>
      <c r="AX34" s="127"/>
      <c r="BB34" s="126"/>
      <c r="BC34" s="3" t="s">
        <v>390</v>
      </c>
      <c r="BD34" s="3"/>
      <c r="BE34" s="2"/>
      <c r="BF34" s="4">
        <v>6.6501716666666688</v>
      </c>
      <c r="BG34" s="4">
        <v>13.862201666666669</v>
      </c>
      <c r="BH34" s="4">
        <v>0.32496044756581693</v>
      </c>
      <c r="BI34" s="4">
        <v>0.6750395524341829</v>
      </c>
      <c r="BJ34" s="4">
        <v>0.15055091964569206</v>
      </c>
      <c r="BK34" s="4">
        <v>4.8968895979212772E-2</v>
      </c>
      <c r="BL34" s="4">
        <v>20.512373333333336</v>
      </c>
      <c r="BM34" s="4">
        <v>56</v>
      </c>
      <c r="BN34" s="4">
        <v>8.4224936631419123</v>
      </c>
      <c r="BO34" s="127"/>
      <c r="BS34" s="126"/>
      <c r="BT34" s="3" t="s">
        <v>869</v>
      </c>
      <c r="BU34" s="3"/>
      <c r="BV34" s="2"/>
      <c r="BW34" s="4">
        <v>1.953552500000022</v>
      </c>
      <c r="BX34" s="4">
        <v>10.324654999999982</v>
      </c>
      <c r="BY34" s="4">
        <v>0.16073620531207367</v>
      </c>
      <c r="BZ34" s="4">
        <v>0.83926379468792633</v>
      </c>
      <c r="CA34" s="4">
        <v>0.57391680089594288</v>
      </c>
      <c r="CB34" s="4">
        <v>8.1638160364766066E-2</v>
      </c>
      <c r="CC34" s="4">
        <v>12.278207500000004</v>
      </c>
      <c r="CD34" s="4">
        <v>5.625</v>
      </c>
      <c r="CE34" s="4">
        <v>2.7577277778684461</v>
      </c>
      <c r="CF34" s="127"/>
      <c r="CJ34" s="126"/>
      <c r="CK34" s="3" t="s">
        <v>869</v>
      </c>
      <c r="CL34" s="3"/>
      <c r="CM34" s="2"/>
      <c r="CN34" s="4">
        <v>5.297769999999999</v>
      </c>
      <c r="CO34" s="4">
        <v>13.882017500000002</v>
      </c>
      <c r="CP34" s="4">
        <v>0.28054625774649328</v>
      </c>
      <c r="CQ34" s="4">
        <v>0.71945374225350678</v>
      </c>
      <c r="CR34" s="4">
        <v>0.19454324765177947</v>
      </c>
      <c r="CS34" s="4">
        <v>5.2423085995765263E-2</v>
      </c>
      <c r="CT34" s="4">
        <v>19.1797875</v>
      </c>
      <c r="CU34" s="4">
        <v>11.5</v>
      </c>
      <c r="CV34" s="4">
        <v>2.1318838380231702</v>
      </c>
      <c r="CW34" s="127"/>
      <c r="DJ34" s="126"/>
      <c r="DK34" s="3" t="s">
        <v>33</v>
      </c>
      <c r="DL34" s="3">
        <v>8042017</v>
      </c>
      <c r="DM34" s="2"/>
      <c r="DN34" s="164">
        <f t="shared" ref="DN34:DN48" si="60">1-((G9-G34)/(G9+G34))</f>
        <v>0.83470330556158046</v>
      </c>
      <c r="DO34" s="164">
        <f t="shared" ref="DO34:DO48" si="61">1-((H9-H34)/(H9+H34))</f>
        <v>1.1422085399126927</v>
      </c>
      <c r="DP34" s="164">
        <f t="shared" ref="DP34:DP48" si="62">1-((I9-I34)/(I9+I34))</f>
        <v>0.86065956404496857</v>
      </c>
      <c r="DQ34" s="164">
        <f t="shared" ref="DQ34:DQ48" si="63">1-((J9-J34)/(J9+J34))</f>
        <v>1.1654292514725395</v>
      </c>
      <c r="DR34" s="164">
        <f t="shared" ref="DR34:DR48" si="64">1-((K9-K34)/(K9+K34))</f>
        <v>1.1651425988897337</v>
      </c>
      <c r="DS34" s="164">
        <f t="shared" ref="DS34:DS48" si="65">1-((L9-L34)/(L9+L34))</f>
        <v>1.0221205535204065</v>
      </c>
      <c r="DT34" s="164">
        <f t="shared" ref="DT34:DT48" si="66">1-((M9-M34)/(M9+M34))</f>
        <v>0.97481226891024508</v>
      </c>
      <c r="DU34" s="164">
        <f t="shared" ref="DU34:DU48" si="67">1-((N9-N34)/(N9+N34))</f>
        <v>0.86047127349748476</v>
      </c>
      <c r="DV34" s="164">
        <f t="shared" ref="DV34:DV48" si="68">1-((O9-O34)/(O9+O34))</f>
        <v>1.0135443541139999</v>
      </c>
      <c r="DW34" s="127"/>
      <c r="EA34" s="126"/>
      <c r="EB34" s="49" t="s">
        <v>113</v>
      </c>
      <c r="EC34" s="2"/>
      <c r="ED34" s="2"/>
      <c r="EE34" s="164">
        <f t="shared" ref="EE34:EE48" si="69">1-((X9-X34)/(X9+X34))</f>
        <v>1.2402608402213589</v>
      </c>
      <c r="EF34" s="164">
        <f t="shared" ref="EF34:EF48" si="70">1-((Y9-Y34)/(Y9+Y34))</f>
        <v>1.3328266241943179</v>
      </c>
      <c r="EG34" s="164">
        <f t="shared" ref="EG34:EG48" si="71">1-((Z9-Z34)/(Z9+Z34))</f>
        <v>0.91591407663678459</v>
      </c>
      <c r="EH34" s="164">
        <f t="shared" ref="EH34:EH48" si="72">1-((AA9-AA34)/(AA9+AA34))</f>
        <v>1.0265632054868705</v>
      </c>
      <c r="EI34" s="164">
        <f t="shared" ref="EI34:EI48" si="73">1-((AB9-AB34)/(AB9+AB34))</f>
        <v>0.82723356703386641</v>
      </c>
      <c r="EJ34" s="164">
        <f t="shared" ref="EJ34:EJ48" si="74">1-((AC9-AC34)/(AC9+AC34))</f>
        <v>0.69177814517724556</v>
      </c>
      <c r="EK34" s="164">
        <f t="shared" ref="EK34:EK48" si="75">1-((AD9-AD34)/(AD9+AD34))</f>
        <v>1.311078215563227</v>
      </c>
      <c r="EL34" s="164">
        <f t="shared" ref="EL34:EL48" si="76">1-((AE9-AE34)/(AE9+AE34))</f>
        <v>1.4439926062846582</v>
      </c>
      <c r="EM34" s="164">
        <f t="shared" ref="EM34:EM48" si="77">1-((AF9-AF34)/(AF9+AF34))</f>
        <v>1.2233674527435716</v>
      </c>
      <c r="EN34" s="230" t="s">
        <v>321</v>
      </c>
      <c r="ER34" s="126"/>
      <c r="ES34" s="3" t="s">
        <v>390</v>
      </c>
      <c r="ET34" s="3"/>
      <c r="EU34" s="2"/>
      <c r="EV34" s="164">
        <f t="shared" si="56"/>
        <v>0.67899096521410995</v>
      </c>
      <c r="EW34" s="164">
        <f t="shared" si="57"/>
        <v>1.2244167145304554</v>
      </c>
      <c r="EX34" s="164">
        <f t="shared" si="57"/>
        <v>0.65990308831966593</v>
      </c>
      <c r="EY34" s="164">
        <f t="shared" si="57"/>
        <v>1.1647736371936748</v>
      </c>
      <c r="EZ34" s="164">
        <f t="shared" si="57"/>
        <v>1.3315242554279805</v>
      </c>
      <c r="FA34" s="164">
        <f t="shared" si="57"/>
        <v>0.98829881630954719</v>
      </c>
      <c r="FB34" s="164">
        <f t="shared" si="57"/>
        <v>0.99544415306293788</v>
      </c>
      <c r="FC34" s="164">
        <f t="shared" si="57"/>
        <v>1.1826923076923077</v>
      </c>
      <c r="FD34" s="164">
        <f t="shared" si="57"/>
        <v>1.4871946795478614</v>
      </c>
      <c r="FE34" s="127"/>
      <c r="FI34" s="126"/>
      <c r="FJ34" s="3" t="s">
        <v>390</v>
      </c>
      <c r="FK34" s="3"/>
      <c r="FL34" s="2"/>
      <c r="FM34" s="164">
        <f t="shared" si="58"/>
        <v>1.0221025900666234</v>
      </c>
      <c r="FN34" s="164">
        <f t="shared" si="59"/>
        <v>1.2948070077226179</v>
      </c>
      <c r="FO34" s="164">
        <f t="shared" si="59"/>
        <v>0.85255058379580262</v>
      </c>
      <c r="FP34" s="164">
        <f t="shared" si="59"/>
        <v>1.090819037341038</v>
      </c>
      <c r="FQ34" s="164">
        <f t="shared" si="59"/>
        <v>0.98620166712627855</v>
      </c>
      <c r="FR34" s="164">
        <f t="shared" si="59"/>
        <v>0.83862034016237508</v>
      </c>
      <c r="FS34" s="164">
        <f t="shared" si="59"/>
        <v>1.1446439651995262</v>
      </c>
      <c r="FT34" s="164">
        <f t="shared" si="59"/>
        <v>1.395017793594306</v>
      </c>
      <c r="FU34" s="164">
        <f t="shared" si="59"/>
        <v>1.3861514464858555</v>
      </c>
      <c r="FV34" s="127"/>
    </row>
    <row r="35" spans="3:178" ht="15.5" x14ac:dyDescent="0.35">
      <c r="C35" s="126"/>
      <c r="D35" s="3" t="s">
        <v>57</v>
      </c>
      <c r="E35" s="3">
        <v>8062107</v>
      </c>
      <c r="F35" s="2"/>
      <c r="G35" s="4">
        <v>1.0316666666666947</v>
      </c>
      <c r="H35" s="4">
        <v>23.108333333333309</v>
      </c>
      <c r="I35" s="4">
        <v>4.3020102086222256E-2</v>
      </c>
      <c r="J35" s="4">
        <v>0.95697989791377769</v>
      </c>
      <c r="K35" s="4">
        <v>1.2670330814155659</v>
      </c>
      <c r="L35" s="4">
        <v>4.4621010132180172E-2</v>
      </c>
      <c r="M35" s="4">
        <v>24.140000000000004</v>
      </c>
      <c r="N35" s="4">
        <v>4.5</v>
      </c>
      <c r="O35" s="4">
        <v>4.9404957317066298</v>
      </c>
      <c r="P35" s="127"/>
      <c r="T35" s="126"/>
      <c r="U35" s="49" t="s">
        <v>117</v>
      </c>
      <c r="V35" s="2"/>
      <c r="W35" s="2"/>
      <c r="X35" s="164">
        <v>7.155980000000004</v>
      </c>
      <c r="Y35" s="164">
        <v>13.428733333333332</v>
      </c>
      <c r="Z35" s="164">
        <v>0.35391596079489163</v>
      </c>
      <c r="AA35" s="164">
        <v>0.64608403920510837</v>
      </c>
      <c r="AB35" s="164">
        <v>0.14116271727125243</v>
      </c>
      <c r="AC35" s="164">
        <v>5.0240964943879605E-2</v>
      </c>
      <c r="AD35" s="164">
        <v>20.584713333333333</v>
      </c>
      <c r="AE35" s="164">
        <v>38</v>
      </c>
      <c r="AF35" s="4">
        <v>5.3111935484003707</v>
      </c>
      <c r="AG35" s="230" t="s">
        <v>129</v>
      </c>
      <c r="AK35" s="126"/>
      <c r="AL35" s="3" t="s">
        <v>256</v>
      </c>
      <c r="AM35" s="3"/>
      <c r="AN35" s="2"/>
      <c r="AO35" s="4">
        <v>2.5340100000000021</v>
      </c>
      <c r="AP35" s="4">
        <v>11.112919999999997</v>
      </c>
      <c r="AQ35" s="4">
        <v>0.21006551275943508</v>
      </c>
      <c r="AR35" s="4">
        <v>0.78993448724056492</v>
      </c>
      <c r="AS35" s="4">
        <v>0.39618494674537302</v>
      </c>
      <c r="AT35" s="4">
        <v>8.345928849580031E-2</v>
      </c>
      <c r="AU35" s="4">
        <v>13.646929999999999</v>
      </c>
      <c r="AV35" s="4">
        <v>14.666666666666666</v>
      </c>
      <c r="AW35" s="4">
        <v>5.8221450477680561</v>
      </c>
      <c r="AX35" s="127"/>
      <c r="BB35" s="126"/>
      <c r="BC35" s="3" t="s">
        <v>256</v>
      </c>
      <c r="BD35" s="3"/>
      <c r="BE35" s="2"/>
      <c r="BF35" s="4">
        <v>3.6866549999999982</v>
      </c>
      <c r="BG35" s="4">
        <v>12.566122500000001</v>
      </c>
      <c r="BH35" s="4">
        <v>0.229632707795281</v>
      </c>
      <c r="BI35" s="4">
        <v>0.770367292204719</v>
      </c>
      <c r="BJ35" s="4">
        <v>0.28177599643942558</v>
      </c>
      <c r="BK35" s="4">
        <v>6.2252760413656981E-2</v>
      </c>
      <c r="BL35" s="4">
        <v>16.252777500000001</v>
      </c>
      <c r="BM35" s="4">
        <v>16.75</v>
      </c>
      <c r="BN35" s="4">
        <v>4.7175317288459029</v>
      </c>
      <c r="BO35" s="127"/>
      <c r="BS35" s="126"/>
      <c r="BT35" s="3" t="s">
        <v>876</v>
      </c>
      <c r="BU35" s="3"/>
      <c r="BV35" s="2"/>
      <c r="BW35" s="4">
        <v>1.262367500000007</v>
      </c>
      <c r="BX35" s="4">
        <v>6.2901199999999804</v>
      </c>
      <c r="BY35" s="4">
        <v>0.15764922877028612</v>
      </c>
      <c r="BZ35" s="4">
        <v>0.84235077122971391</v>
      </c>
      <c r="CA35" s="4">
        <v>1.4591552146200171</v>
      </c>
      <c r="CB35" s="4">
        <v>0.13626915710681331</v>
      </c>
      <c r="CC35" s="4">
        <v>7.5524874999999874</v>
      </c>
      <c r="CD35" s="4">
        <v>6.875</v>
      </c>
      <c r="CE35" s="4">
        <v>6.6676524536279889</v>
      </c>
      <c r="CF35" s="127"/>
      <c r="CJ35" s="126"/>
      <c r="CK35" s="3" t="s">
        <v>876</v>
      </c>
      <c r="CL35" s="3"/>
      <c r="CM35" s="2"/>
      <c r="CN35" s="4">
        <v>4.9815689999999968</v>
      </c>
      <c r="CO35" s="4">
        <v>8.0676590000000026</v>
      </c>
      <c r="CP35" s="4">
        <v>0.38419541613885855</v>
      </c>
      <c r="CQ35" s="4">
        <v>0.61580458386114134</v>
      </c>
      <c r="CR35" s="4">
        <v>0.22410388469222431</v>
      </c>
      <c r="CS35" s="4">
        <v>8.0596274334186604E-2</v>
      </c>
      <c r="CT35" s="4">
        <v>13.049227999999999</v>
      </c>
      <c r="CU35" s="4">
        <v>24.6</v>
      </c>
      <c r="CV35" s="4">
        <v>4.9599605061069454</v>
      </c>
      <c r="CW35" s="127"/>
      <c r="DJ35" s="126"/>
      <c r="DK35" s="3" t="s">
        <v>57</v>
      </c>
      <c r="DL35" s="3">
        <v>8062107</v>
      </c>
      <c r="DM35" s="2"/>
      <c r="DN35" s="164">
        <f t="shared" si="60"/>
        <v>0.14214526833077268</v>
      </c>
      <c r="DO35" s="164">
        <f t="shared" si="61"/>
        <v>1.0984527384074214</v>
      </c>
      <c r="DP35" s="164">
        <f t="shared" si="62"/>
        <v>0.18759877115737478</v>
      </c>
      <c r="DQ35" s="164">
        <f t="shared" si="63"/>
        <v>1.2417340263561434</v>
      </c>
      <c r="DR35" s="164">
        <f t="shared" si="64"/>
        <v>1.8891151471146024</v>
      </c>
      <c r="DS35" s="164">
        <f t="shared" si="65"/>
        <v>1.182878895035685</v>
      </c>
      <c r="DT35" s="164">
        <f t="shared" si="66"/>
        <v>0.8531542675384346</v>
      </c>
      <c r="DU35" s="164">
        <f t="shared" si="67"/>
        <v>0.27692307692307694</v>
      </c>
      <c r="DV35" s="164">
        <f t="shared" si="68"/>
        <v>1.4090345867972192</v>
      </c>
      <c r="DW35" s="127"/>
      <c r="EA35" s="126"/>
      <c r="EB35" s="49" t="s">
        <v>117</v>
      </c>
      <c r="EC35" s="2"/>
      <c r="ED35" s="2"/>
      <c r="EE35" s="164">
        <f t="shared" si="69"/>
        <v>0.98441927904430204</v>
      </c>
      <c r="EF35" s="164">
        <f t="shared" si="70"/>
        <v>1.1193533867176428</v>
      </c>
      <c r="EG35" s="164">
        <f t="shared" si="71"/>
        <v>0.92433900337012609</v>
      </c>
      <c r="EH35" s="164">
        <f t="shared" si="72"/>
        <v>1.0458797893527141</v>
      </c>
      <c r="EI35" s="164">
        <f t="shared" si="73"/>
        <v>1.020632223547276</v>
      </c>
      <c r="EJ35" s="164">
        <f t="shared" si="74"/>
        <v>0.94768372636670639</v>
      </c>
      <c r="EK35" s="164">
        <f t="shared" si="75"/>
        <v>1.0690660382307009</v>
      </c>
      <c r="EL35" s="164">
        <f t="shared" si="76"/>
        <v>1.0629370629370629</v>
      </c>
      <c r="EM35" s="164">
        <f t="shared" si="77"/>
        <v>0.98667980503406427</v>
      </c>
      <c r="EN35" s="230" t="s">
        <v>129</v>
      </c>
      <c r="ER35" s="126"/>
      <c r="ES35" s="3" t="s">
        <v>256</v>
      </c>
      <c r="ET35" s="3"/>
      <c r="EU35" s="2"/>
      <c r="EV35" s="164">
        <f t="shared" si="56"/>
        <v>0.81306872874286107</v>
      </c>
      <c r="EW35" s="164">
        <f t="shared" si="57"/>
        <v>1.101346838052387</v>
      </c>
      <c r="EX35" s="164">
        <f t="shared" si="57"/>
        <v>0.8405735947520796</v>
      </c>
      <c r="EY35" s="164">
        <f t="shared" si="57"/>
        <v>1.0531158767385769</v>
      </c>
      <c r="EZ35" s="164">
        <f t="shared" si="57"/>
        <v>1.1888263730895283</v>
      </c>
      <c r="FA35" s="164">
        <f t="shared" si="57"/>
        <v>1.0317179598481461</v>
      </c>
      <c r="FB35" s="164">
        <f t="shared" si="57"/>
        <v>1.0333181897341541</v>
      </c>
      <c r="FC35" s="164">
        <f t="shared" si="57"/>
        <v>0.91191709844559588</v>
      </c>
      <c r="FD35" s="164">
        <f t="shared" si="57"/>
        <v>1.0926708714154589</v>
      </c>
      <c r="FE35" s="127"/>
      <c r="FI35" s="126"/>
      <c r="FJ35" s="3" t="s">
        <v>256</v>
      </c>
      <c r="FK35" s="3"/>
      <c r="FL35" s="2"/>
      <c r="FM35" s="164">
        <f t="shared" si="58"/>
        <v>0.99830283467903769</v>
      </c>
      <c r="FN35" s="164">
        <f t="shared" si="59"/>
        <v>1.1617118627203888</v>
      </c>
      <c r="FO35" s="164">
        <f t="shared" si="59"/>
        <v>0.88425382989927415</v>
      </c>
      <c r="FP35" s="164">
        <f t="shared" si="59"/>
        <v>1.0406022744450041</v>
      </c>
      <c r="FQ35" s="164">
        <f t="shared" si="59"/>
        <v>1.020732535789179</v>
      </c>
      <c r="FR35" s="164">
        <f t="shared" si="59"/>
        <v>0.88565288637191875</v>
      </c>
      <c r="FS35" s="164">
        <f t="shared" si="59"/>
        <v>1.1201223240220268</v>
      </c>
      <c r="FT35" s="164">
        <f t="shared" si="59"/>
        <v>0.97810218978102192</v>
      </c>
      <c r="FU35" s="164">
        <f t="shared" si="59"/>
        <v>0.98774662516549072</v>
      </c>
      <c r="FV35" s="127"/>
    </row>
    <row r="36" spans="3:178" ht="15.5" x14ac:dyDescent="0.35">
      <c r="C36" s="126"/>
      <c r="D36" s="3" t="s">
        <v>61</v>
      </c>
      <c r="E36" s="3">
        <v>8082017</v>
      </c>
      <c r="F36" s="2"/>
      <c r="G36" s="4">
        <v>3.1433333333333358</v>
      </c>
      <c r="H36" s="4">
        <v>10.410000000000005</v>
      </c>
      <c r="I36" s="4">
        <v>0.23188827096880252</v>
      </c>
      <c r="J36" s="4">
        <v>0.76811172903119751</v>
      </c>
      <c r="K36" s="4">
        <v>0.33461124225819083</v>
      </c>
      <c r="L36" s="4">
        <v>7.3976089365062517E-2</v>
      </c>
      <c r="M36" s="4">
        <v>13.553333333333342</v>
      </c>
      <c r="N36" s="4">
        <v>11.833333333333334</v>
      </c>
      <c r="O36" s="4">
        <v>3.4421046644700102</v>
      </c>
      <c r="P36" s="127"/>
      <c r="T36" s="126"/>
      <c r="U36" s="49" t="s">
        <v>118</v>
      </c>
      <c r="V36" s="2"/>
      <c r="W36" s="2"/>
      <c r="X36" s="164">
        <v>2.7442855000000006</v>
      </c>
      <c r="Y36" s="164">
        <v>11.019509499999998</v>
      </c>
      <c r="Z36" s="164">
        <v>0.19830892487925092</v>
      </c>
      <c r="AA36" s="164">
        <v>0.80169107512074922</v>
      </c>
      <c r="AB36" s="164">
        <v>0.3839311227789845</v>
      </c>
      <c r="AC36" s="164">
        <v>7.3306909437121967E-2</v>
      </c>
      <c r="AD36" s="164">
        <v>13.763794999999998</v>
      </c>
      <c r="AE36" s="164">
        <v>15.8</v>
      </c>
      <c r="AF36" s="4">
        <v>5.8640484516637716</v>
      </c>
      <c r="AG36" s="230" t="s">
        <v>128</v>
      </c>
      <c r="AK36" s="126"/>
      <c r="AL36" s="3" t="s">
        <v>304</v>
      </c>
      <c r="AM36" s="3"/>
      <c r="AN36" s="2"/>
      <c r="AO36" s="4">
        <v>4.8373888888888938</v>
      </c>
      <c r="AP36" s="4">
        <v>20.729950000000002</v>
      </c>
      <c r="AQ36" s="4">
        <v>0.21327247132308025</v>
      </c>
      <c r="AR36" s="4">
        <v>0.78672752867691975</v>
      </c>
      <c r="AS36" s="4">
        <v>0.22145472206632141</v>
      </c>
      <c r="AT36" s="4">
        <v>4.3104213778568337E-2</v>
      </c>
      <c r="AU36" s="4">
        <v>25.567338888888898</v>
      </c>
      <c r="AV36" s="4">
        <v>54.555555555555557</v>
      </c>
      <c r="AW36" s="4">
        <v>11.29305128159384</v>
      </c>
      <c r="AX36" s="127"/>
      <c r="BB36" s="126"/>
      <c r="BC36" s="3" t="s">
        <v>304</v>
      </c>
      <c r="BD36" s="3"/>
      <c r="BE36" s="2"/>
      <c r="BF36" s="4">
        <v>7.7477637499999972</v>
      </c>
      <c r="BG36" s="4">
        <v>20.524520000000017</v>
      </c>
      <c r="BH36" s="4">
        <v>0.279403646118145</v>
      </c>
      <c r="BI36" s="4">
        <v>0.72059635388185495</v>
      </c>
      <c r="BJ36" s="4">
        <v>0.13654236482240323</v>
      </c>
      <c r="BK36" s="4">
        <v>3.6206301992322464E-2</v>
      </c>
      <c r="BL36" s="4">
        <v>28.272283750000014</v>
      </c>
      <c r="BM36" s="4">
        <v>85.875</v>
      </c>
      <c r="BN36" s="4">
        <v>11.120080270647852</v>
      </c>
      <c r="BO36" s="127"/>
      <c r="BS36" s="126"/>
      <c r="BT36" s="3" t="s">
        <v>884</v>
      </c>
      <c r="BU36" s="3"/>
      <c r="BV36" s="2"/>
      <c r="BW36" s="4">
        <v>1.6563300000000112</v>
      </c>
      <c r="BX36" s="4">
        <v>12.93243749999997</v>
      </c>
      <c r="BY36" s="4">
        <v>0.11097312719028067</v>
      </c>
      <c r="BZ36" s="4">
        <v>0.88902687280971926</v>
      </c>
      <c r="CA36" s="4">
        <v>0.82700202400061296</v>
      </c>
      <c r="CB36" s="4">
        <v>6.8812158419847752E-2</v>
      </c>
      <c r="CC36" s="4">
        <v>14.588767499999982</v>
      </c>
      <c r="CD36" s="4">
        <v>10.5</v>
      </c>
      <c r="CE36" s="4">
        <v>7.1580051140815719</v>
      </c>
      <c r="CF36" s="127"/>
      <c r="CJ36" s="126"/>
      <c r="CK36" s="3" t="s">
        <v>884</v>
      </c>
      <c r="CL36" s="3"/>
      <c r="CM36" s="2"/>
      <c r="CN36" s="4">
        <v>5.2700575000000018</v>
      </c>
      <c r="CO36" s="4">
        <v>16.062125000000009</v>
      </c>
      <c r="CP36" s="4">
        <v>0.24743415785997422</v>
      </c>
      <c r="CQ36" s="4">
        <v>0.75256584214002575</v>
      </c>
      <c r="CR36" s="4">
        <v>0.18979537732086116</v>
      </c>
      <c r="CS36" s="4">
        <v>4.6963437037733397E-2</v>
      </c>
      <c r="CT36" s="4">
        <v>21.332182500000009</v>
      </c>
      <c r="CU36" s="4">
        <v>36</v>
      </c>
      <c r="CV36" s="4">
        <v>6.8294233657213077</v>
      </c>
      <c r="CW36" s="127"/>
      <c r="DJ36" s="126"/>
      <c r="DK36" s="3" t="s">
        <v>61</v>
      </c>
      <c r="DL36" s="3">
        <v>8082017</v>
      </c>
      <c r="DM36" s="2"/>
      <c r="DN36" s="164">
        <f t="shared" si="60"/>
        <v>0.56400818936762553</v>
      </c>
      <c r="DO36" s="164">
        <f t="shared" si="61"/>
        <v>0.98100761145342463</v>
      </c>
      <c r="DP36" s="164">
        <f t="shared" si="62"/>
        <v>0.7060667474057527</v>
      </c>
      <c r="DQ36" s="164">
        <f t="shared" si="63"/>
        <v>1.1437426562177149</v>
      </c>
      <c r="DR36" s="164">
        <f t="shared" si="64"/>
        <v>1.4497316376915621</v>
      </c>
      <c r="DS36" s="164">
        <f t="shared" si="65"/>
        <v>1.1613386335817193</v>
      </c>
      <c r="DT36" s="164">
        <f t="shared" si="66"/>
        <v>0.83741415229600558</v>
      </c>
      <c r="DU36" s="164">
        <f t="shared" si="67"/>
        <v>0.75624743957394513</v>
      </c>
      <c r="DV36" s="164">
        <f t="shared" si="68"/>
        <v>1.1922160934346515</v>
      </c>
      <c r="DW36" s="127"/>
      <c r="EA36" s="126"/>
      <c r="EB36" s="49" t="s">
        <v>118</v>
      </c>
      <c r="EC36" s="2"/>
      <c r="ED36" s="2"/>
      <c r="EE36" s="164">
        <f t="shared" si="69"/>
        <v>1.0695246323136456</v>
      </c>
      <c r="EF36" s="164">
        <f t="shared" si="70"/>
        <v>1.0060807692904499</v>
      </c>
      <c r="EG36" s="164">
        <f t="shared" si="71"/>
        <v>1.0468876118280968</v>
      </c>
      <c r="EH36" s="164">
        <f t="shared" si="72"/>
        <v>0.98904258139546464</v>
      </c>
      <c r="EI36" s="164">
        <f t="shared" si="73"/>
        <v>0.95241813647709772</v>
      </c>
      <c r="EJ36" s="164">
        <f t="shared" si="74"/>
        <v>0.98224063461091915</v>
      </c>
      <c r="EK36" s="164">
        <f t="shared" si="75"/>
        <v>1.0181225293869351</v>
      </c>
      <c r="EL36" s="164">
        <f t="shared" si="76"/>
        <v>1.0795819935691318</v>
      </c>
      <c r="EM36" s="164">
        <f t="shared" si="77"/>
        <v>1.0170390744552786</v>
      </c>
      <c r="EN36" s="230" t="s">
        <v>128</v>
      </c>
      <c r="ER36" s="126"/>
      <c r="ES36" s="3" t="s">
        <v>304</v>
      </c>
      <c r="ET36" s="3"/>
      <c r="EU36" s="2"/>
      <c r="EV36" s="164">
        <f t="shared" si="56"/>
        <v>0.72075770689971352</v>
      </c>
      <c r="EW36" s="164">
        <f t="shared" si="57"/>
        <v>1.1919538199949067</v>
      </c>
      <c r="EX36" s="164">
        <f t="shared" si="57"/>
        <v>0.70870858567290751</v>
      </c>
      <c r="EY36" s="164">
        <f t="shared" si="57"/>
        <v>1.1253934422811742</v>
      </c>
      <c r="EZ36" s="164">
        <f t="shared" si="57"/>
        <v>1.3060980052634139</v>
      </c>
      <c r="FA36" s="164">
        <f t="shared" si="57"/>
        <v>0.97240498612581794</v>
      </c>
      <c r="FB36" s="164">
        <f t="shared" si="57"/>
        <v>1.0607488063065995</v>
      </c>
      <c r="FC36" s="164">
        <f t="shared" si="57"/>
        <v>0.77667928365629058</v>
      </c>
      <c r="FD36" s="164">
        <f t="shared" si="57"/>
        <v>1.05656062371224</v>
      </c>
      <c r="FE36" s="127"/>
      <c r="FI36" s="126"/>
      <c r="FJ36" s="3" t="s">
        <v>304</v>
      </c>
      <c r="FK36" s="3"/>
      <c r="FL36" s="2"/>
      <c r="FM36" s="164">
        <f t="shared" si="58"/>
        <v>0.94869955934508277</v>
      </c>
      <c r="FN36" s="164">
        <f t="shared" si="59"/>
        <v>1.1871531286523576</v>
      </c>
      <c r="FO36" s="164">
        <f t="shared" si="59"/>
        <v>0.83654609918849143</v>
      </c>
      <c r="FP36" s="164">
        <f t="shared" si="59"/>
        <v>1.0819711648381654</v>
      </c>
      <c r="FQ36" s="164">
        <f t="shared" si="59"/>
        <v>1.0743054880790015</v>
      </c>
      <c r="FR36" s="164">
        <f t="shared" si="59"/>
        <v>0.88570581322535391</v>
      </c>
      <c r="FS36" s="164">
        <f t="shared" si="59"/>
        <v>1.1106518734771895</v>
      </c>
      <c r="FT36" s="164">
        <f t="shared" si="59"/>
        <v>0.99968818210165267</v>
      </c>
      <c r="FU36" s="164">
        <f t="shared" si="59"/>
        <v>1.0488645571646689</v>
      </c>
      <c r="FV36" s="127"/>
    </row>
    <row r="37" spans="3:178" ht="15.5" x14ac:dyDescent="0.35">
      <c r="C37" s="126"/>
      <c r="D37" s="3" t="s">
        <v>88</v>
      </c>
      <c r="E37" s="3">
        <v>8112017</v>
      </c>
      <c r="F37" s="2"/>
      <c r="G37" s="4">
        <v>3.2366666666666597</v>
      </c>
      <c r="H37" s="4">
        <v>13.788333333333336</v>
      </c>
      <c r="I37" s="4">
        <v>0.18842758783704716</v>
      </c>
      <c r="J37" s="4">
        <v>0.81157241216295295</v>
      </c>
      <c r="K37" s="4">
        <v>0.33194140921933984</v>
      </c>
      <c r="L37" s="4">
        <v>6.0035165752826587E-2</v>
      </c>
      <c r="M37" s="4">
        <v>17.024999999999995</v>
      </c>
      <c r="N37" s="4">
        <v>29.5</v>
      </c>
      <c r="O37" s="4">
        <v>4.3006479086608707</v>
      </c>
      <c r="P37" s="127"/>
      <c r="T37" s="126"/>
      <c r="U37" s="3" t="s">
        <v>19</v>
      </c>
      <c r="V37" s="3">
        <v>8022017</v>
      </c>
      <c r="W37" s="2"/>
      <c r="X37" s="4">
        <v>7.5814285714285701</v>
      </c>
      <c r="Y37" s="4">
        <v>11.347142857142858</v>
      </c>
      <c r="Z37" s="4">
        <v>0.39920381261464766</v>
      </c>
      <c r="AA37" s="4">
        <v>0.60079618738535234</v>
      </c>
      <c r="AB37" s="4">
        <v>0.13477011097947253</v>
      </c>
      <c r="AC37" s="4">
        <v>5.3209052977826965E-2</v>
      </c>
      <c r="AD37" s="4">
        <v>18.928571428571427</v>
      </c>
      <c r="AE37" s="4">
        <v>57.857142857142854</v>
      </c>
      <c r="AF37" s="4">
        <v>7.5516411014337237</v>
      </c>
      <c r="AG37" s="231" t="s">
        <v>208</v>
      </c>
      <c r="AK37" s="126"/>
      <c r="AL37" s="3" t="s">
        <v>445</v>
      </c>
      <c r="AM37" s="3"/>
      <c r="AN37" s="2"/>
      <c r="AO37" s="4">
        <v>2.2787812500000015</v>
      </c>
      <c r="AP37" s="4">
        <v>7.5610762499999966</v>
      </c>
      <c r="AQ37" s="4">
        <v>0.23617447329007946</v>
      </c>
      <c r="AR37" s="4">
        <v>0.76382552670992054</v>
      </c>
      <c r="AS37" s="4">
        <v>0.44395723636460638</v>
      </c>
      <c r="AT37" s="4">
        <v>0.10333978066172997</v>
      </c>
      <c r="AU37" s="4">
        <v>9.8398574999999973</v>
      </c>
      <c r="AV37" s="4">
        <v>11.625</v>
      </c>
      <c r="AW37" s="4">
        <v>5.1563720840312648</v>
      </c>
      <c r="AX37" s="127"/>
      <c r="BB37" s="126"/>
      <c r="BC37" s="3" t="s">
        <v>445</v>
      </c>
      <c r="BD37" s="3"/>
      <c r="BE37" s="2"/>
      <c r="BF37" s="4">
        <v>3.7021579999999945</v>
      </c>
      <c r="BG37" s="4">
        <v>12.90117800000001</v>
      </c>
      <c r="BH37" s="4">
        <v>0.22347584339826559</v>
      </c>
      <c r="BI37" s="4">
        <v>0.77652415660173424</v>
      </c>
      <c r="BJ37" s="4">
        <v>0.27506706466904007</v>
      </c>
      <c r="BK37" s="4">
        <v>6.029776358334836E-2</v>
      </c>
      <c r="BL37" s="4">
        <v>16.603336000000006</v>
      </c>
      <c r="BM37" s="4">
        <v>15.2</v>
      </c>
      <c r="BN37" s="4">
        <v>4.0952514333418124</v>
      </c>
      <c r="BO37" s="127"/>
      <c r="BS37" s="126"/>
      <c r="BT37" s="3"/>
      <c r="BU37" s="3"/>
      <c r="BV37" s="2"/>
      <c r="BW37" s="4"/>
      <c r="BX37" s="4"/>
      <c r="BY37" s="4"/>
      <c r="BZ37" s="4"/>
      <c r="CA37" s="4"/>
      <c r="CB37" s="4"/>
      <c r="CC37" s="4"/>
      <c r="CD37" s="4"/>
      <c r="CE37" s="4"/>
      <c r="CF37" s="127"/>
      <c r="CJ37" s="126"/>
      <c r="CK37" s="3"/>
      <c r="CL37" s="3"/>
      <c r="CM37" s="2"/>
      <c r="CN37" s="4"/>
      <c r="CO37" s="4"/>
      <c r="CP37" s="4"/>
      <c r="CQ37" s="4"/>
      <c r="CR37" s="4"/>
      <c r="CS37" s="4"/>
      <c r="CT37" s="4"/>
      <c r="CU37" s="4"/>
      <c r="CV37" s="4"/>
      <c r="CW37" s="127"/>
      <c r="DJ37" s="126"/>
      <c r="DK37" s="3" t="s">
        <v>88</v>
      </c>
      <c r="DL37" s="3">
        <v>8112017</v>
      </c>
      <c r="DM37" s="2"/>
      <c r="DN37" s="164">
        <f t="shared" si="60"/>
        <v>0.64259951689222694</v>
      </c>
      <c r="DO37" s="164">
        <f t="shared" si="61"/>
        <v>1.1116336567144121</v>
      </c>
      <c r="DP37" s="164">
        <f t="shared" si="62"/>
        <v>0.64253868545339166</v>
      </c>
      <c r="DQ37" s="164">
        <f t="shared" si="63"/>
        <v>1.1483239973623873</v>
      </c>
      <c r="DR37" s="164">
        <f t="shared" si="64"/>
        <v>1.3842048257025472</v>
      </c>
      <c r="DS37" s="164">
        <f t="shared" si="65"/>
        <v>1.0147443352068561</v>
      </c>
      <c r="DT37" s="164">
        <f t="shared" si="66"/>
        <v>0.97617614173905543</v>
      </c>
      <c r="DU37" s="164">
        <f t="shared" si="67"/>
        <v>1</v>
      </c>
      <c r="DV37" s="164">
        <f t="shared" si="68"/>
        <v>1</v>
      </c>
      <c r="DW37" s="127"/>
      <c r="EA37" s="126"/>
      <c r="EB37" s="3" t="s">
        <v>19</v>
      </c>
      <c r="EC37" s="3">
        <v>8022017</v>
      </c>
      <c r="ED37" s="2"/>
      <c r="EE37" s="164">
        <f t="shared" si="69"/>
        <v>1.0321589373061171</v>
      </c>
      <c r="EF37" s="164">
        <f t="shared" si="70"/>
        <v>1.2079689757432901</v>
      </c>
      <c r="EG37" s="164">
        <f t="shared" si="71"/>
        <v>0.89649354884309707</v>
      </c>
      <c r="EH37" s="164">
        <f t="shared" si="72"/>
        <v>1.0830907354843644</v>
      </c>
      <c r="EI37" s="164">
        <f t="shared" si="73"/>
        <v>0.96674631241332587</v>
      </c>
      <c r="EJ37" s="164">
        <f t="shared" si="74"/>
        <v>0.8588507773841324</v>
      </c>
      <c r="EK37" s="164">
        <f t="shared" si="75"/>
        <v>1.1358008229198415</v>
      </c>
      <c r="EL37" s="164">
        <f t="shared" si="76"/>
        <v>1.0965703971119134</v>
      </c>
      <c r="EM37" s="164">
        <f t="shared" si="77"/>
        <v>1.0484186567631546</v>
      </c>
      <c r="EN37" s="231" t="s">
        <v>208</v>
      </c>
      <c r="ER37" s="126"/>
      <c r="ES37" s="3" t="s">
        <v>445</v>
      </c>
      <c r="ET37" s="3"/>
      <c r="EU37" s="2"/>
      <c r="EV37" s="164">
        <f t="shared" si="56"/>
        <v>0.60665078249649229</v>
      </c>
      <c r="EW37" s="164">
        <f t="shared" si="57"/>
        <v>1.0512591720444255</v>
      </c>
      <c r="EX37" s="164">
        <f t="shared" si="57"/>
        <v>0.70572727870840235</v>
      </c>
      <c r="EY37" s="164">
        <f t="shared" si="57"/>
        <v>1.1480125433235659</v>
      </c>
      <c r="EZ37" s="164">
        <f t="shared" si="57"/>
        <v>1.3896913074754413</v>
      </c>
      <c r="FA37" s="164">
        <f t="shared" si="57"/>
        <v>1.1082945798431927</v>
      </c>
      <c r="FB37" s="164">
        <f t="shared" si="57"/>
        <v>0.89872127874586372</v>
      </c>
      <c r="FC37" s="164">
        <f t="shared" si="57"/>
        <v>0.72750977835723596</v>
      </c>
      <c r="FD37" s="164">
        <f t="shared" si="57"/>
        <v>1.1377536571298636</v>
      </c>
      <c r="FE37" s="127"/>
      <c r="FI37" s="126"/>
      <c r="FJ37" s="3" t="s">
        <v>445</v>
      </c>
      <c r="FK37" s="3"/>
      <c r="FL37" s="2"/>
      <c r="FM37" s="164">
        <f t="shared" si="58"/>
        <v>0.82859037521371537</v>
      </c>
      <c r="FN37" s="164">
        <f t="shared" si="59"/>
        <v>1.3081107765236988</v>
      </c>
      <c r="FO37" s="164">
        <f t="shared" si="59"/>
        <v>0.68069643108395494</v>
      </c>
      <c r="FP37" s="164">
        <f t="shared" si="59"/>
        <v>1.1560661008831095</v>
      </c>
      <c r="FQ37" s="164">
        <f t="shared" si="59"/>
        <v>1.1704007483178775</v>
      </c>
      <c r="FR37" s="164">
        <f t="shared" si="59"/>
        <v>0.84072497810659064</v>
      </c>
      <c r="FS37" s="164">
        <f t="shared" si="59"/>
        <v>1.158603712406677</v>
      </c>
      <c r="FT37" s="164">
        <f t="shared" si="59"/>
        <v>0.85553470919324581</v>
      </c>
      <c r="FU37" s="164">
        <f t="shared" si="59"/>
        <v>1.0234282014573723</v>
      </c>
      <c r="FV37" s="127"/>
    </row>
    <row r="38" spans="3:178" ht="15.5" x14ac:dyDescent="0.35">
      <c r="C38" s="126"/>
      <c r="D38" s="3" t="s">
        <v>133</v>
      </c>
      <c r="E38" s="3"/>
      <c r="F38" s="2"/>
      <c r="G38" s="164">
        <v>3.3573333333333193</v>
      </c>
      <c r="H38" s="164">
        <v>7.0773333333333452</v>
      </c>
      <c r="I38" s="164">
        <v>0.32078956432678096</v>
      </c>
      <c r="J38" s="164">
        <v>0.67921043567321915</v>
      </c>
      <c r="K38" s="164">
        <v>0.31120136431145723</v>
      </c>
      <c r="L38" s="164">
        <v>9.6618306566658901E-2</v>
      </c>
      <c r="M38" s="164">
        <v>10.434666666666665</v>
      </c>
      <c r="N38" s="4">
        <v>26.6</v>
      </c>
      <c r="O38" s="4">
        <v>7.856204589524638</v>
      </c>
      <c r="P38" s="127"/>
      <c r="T38" s="126"/>
      <c r="U38" s="3" t="s">
        <v>33</v>
      </c>
      <c r="V38" s="3">
        <v>8042017</v>
      </c>
      <c r="W38" s="2"/>
      <c r="X38" s="4">
        <v>8.3528999999999911</v>
      </c>
      <c r="Y38" s="4">
        <v>9.6380500000000069</v>
      </c>
      <c r="Z38" s="4">
        <v>0.47979431547489637</v>
      </c>
      <c r="AA38" s="4">
        <v>0.52020568452510352</v>
      </c>
      <c r="AB38" s="4">
        <v>0.12067954534088865</v>
      </c>
      <c r="AC38" s="4">
        <v>5.863359658375935E-2</v>
      </c>
      <c r="AD38" s="4">
        <v>17.990949999999998</v>
      </c>
      <c r="AE38" s="4">
        <v>55</v>
      </c>
      <c r="AF38" s="4">
        <v>6.5620053594713106</v>
      </c>
      <c r="AG38" s="231" t="s">
        <v>129</v>
      </c>
      <c r="AK38" s="126"/>
      <c r="AL38" s="3" t="s">
        <v>448</v>
      </c>
      <c r="AM38" s="3"/>
      <c r="AN38" s="2"/>
      <c r="AO38" s="164">
        <v>3.0280916666666613</v>
      </c>
      <c r="AP38" s="164">
        <v>8.6825300000000034</v>
      </c>
      <c r="AQ38" s="164">
        <v>0.2547335883030854</v>
      </c>
      <c r="AR38" s="164">
        <v>0.74526641169691465</v>
      </c>
      <c r="AS38" s="164">
        <v>0.38916027819207205</v>
      </c>
      <c r="AT38" s="164">
        <v>8.8872388921499124E-2</v>
      </c>
      <c r="AU38" s="164">
        <v>11.710621666666663</v>
      </c>
      <c r="AV38" s="4">
        <v>21.5</v>
      </c>
      <c r="AW38" s="4">
        <v>7.3596365854066734</v>
      </c>
      <c r="AX38" s="127"/>
      <c r="BB38" s="126"/>
      <c r="BC38" s="3" t="s">
        <v>448</v>
      </c>
      <c r="BD38" s="3"/>
      <c r="BE38" s="2"/>
      <c r="BF38" s="164">
        <v>4.6593444444444456</v>
      </c>
      <c r="BG38" s="164">
        <v>13.1469</v>
      </c>
      <c r="BH38" s="164">
        <v>0.27480662911015596</v>
      </c>
      <c r="BI38" s="164">
        <v>0.72519337088984404</v>
      </c>
      <c r="BJ38" s="164">
        <v>0.23142744234030868</v>
      </c>
      <c r="BK38" s="164">
        <v>5.8328409994861552E-2</v>
      </c>
      <c r="BL38" s="164">
        <v>17.806244444444445</v>
      </c>
      <c r="BM38" s="4">
        <v>25.222222222222221</v>
      </c>
      <c r="BN38" s="4">
        <v>5.2827527717005314</v>
      </c>
      <c r="BO38" s="127"/>
      <c r="BS38" s="126"/>
      <c r="BT38" s="3"/>
      <c r="BU38" s="3"/>
      <c r="BV38" s="2"/>
      <c r="BW38" s="164"/>
      <c r="BX38" s="164"/>
      <c r="BY38" s="164"/>
      <c r="BZ38" s="164"/>
      <c r="CA38" s="164"/>
      <c r="CB38" s="164"/>
      <c r="CC38" s="164"/>
      <c r="CD38" s="4"/>
      <c r="CE38" s="4"/>
      <c r="CF38" s="127"/>
      <c r="CJ38" s="126"/>
      <c r="CK38" s="3"/>
      <c r="CL38" s="3"/>
      <c r="CM38" s="2"/>
      <c r="CN38" s="164"/>
      <c r="CO38" s="164"/>
      <c r="CP38" s="164"/>
      <c r="CQ38" s="164"/>
      <c r="CR38" s="164"/>
      <c r="CS38" s="164"/>
      <c r="CT38" s="164"/>
      <c r="CU38" s="4"/>
      <c r="CV38" s="4"/>
      <c r="CW38" s="127"/>
      <c r="DJ38" s="126"/>
      <c r="DK38" s="3" t="s">
        <v>133</v>
      </c>
      <c r="DL38" s="3"/>
      <c r="DM38" s="2"/>
      <c r="DN38" s="164">
        <f t="shared" si="60"/>
        <v>0.67980561555075414</v>
      </c>
      <c r="DO38" s="164">
        <f t="shared" si="61"/>
        <v>1.1440579788237204</v>
      </c>
      <c r="DP38" s="164">
        <f t="shared" si="62"/>
        <v>0.73849793639589256</v>
      </c>
      <c r="DQ38" s="164">
        <f t="shared" si="63"/>
        <v>1.2008270330771258</v>
      </c>
      <c r="DR38" s="164">
        <f t="shared" si="64"/>
        <v>1.3193410065184621</v>
      </c>
      <c r="DS38" s="164">
        <f t="shared" si="65"/>
        <v>1.0608272298528931</v>
      </c>
      <c r="DT38" s="164">
        <f t="shared" si="66"/>
        <v>0.93575362632928027</v>
      </c>
      <c r="DU38" s="164">
        <f t="shared" si="67"/>
        <v>0.95302547770700641</v>
      </c>
      <c r="DV38" s="164">
        <f t="shared" si="68"/>
        <v>1.2700943818159498</v>
      </c>
      <c r="DW38" s="127"/>
      <c r="EA38" s="126"/>
      <c r="EB38" s="3" t="s">
        <v>33</v>
      </c>
      <c r="EC38" s="3">
        <v>8042017</v>
      </c>
      <c r="ED38" s="2"/>
      <c r="EE38" s="164">
        <f t="shared" si="69"/>
        <v>1.1357494625236049</v>
      </c>
      <c r="EF38" s="164">
        <f t="shared" si="70"/>
        <v>1.422149188457853</v>
      </c>
      <c r="EG38" s="164">
        <f t="shared" si="71"/>
        <v>0.87375981961640659</v>
      </c>
      <c r="EH38" s="164">
        <f t="shared" si="72"/>
        <v>1.1537427015711952</v>
      </c>
      <c r="EI38" s="164">
        <f t="shared" si="73"/>
        <v>0.85186648774641138</v>
      </c>
      <c r="EJ38" s="164">
        <f t="shared" si="74"/>
        <v>0.74650644792976784</v>
      </c>
      <c r="EK38" s="164">
        <f t="shared" si="75"/>
        <v>1.2730981117506868</v>
      </c>
      <c r="EL38" s="164">
        <f t="shared" si="76"/>
        <v>1.1412609736632082</v>
      </c>
      <c r="EM38" s="164">
        <f t="shared" si="77"/>
        <v>0.982280753388039</v>
      </c>
      <c r="EN38" s="231" t="s">
        <v>129</v>
      </c>
      <c r="ER38" s="126"/>
      <c r="ES38" s="3" t="s">
        <v>448</v>
      </c>
      <c r="ET38" s="3"/>
      <c r="EU38" s="2"/>
      <c r="EV38" s="164">
        <f t="shared" si="56"/>
        <v>0.87848918470298254</v>
      </c>
      <c r="EW38" s="164">
        <f t="shared" si="57"/>
        <v>1.1351321317064362</v>
      </c>
      <c r="EX38" s="164">
        <f t="shared" si="57"/>
        <v>0.79929486089467794</v>
      </c>
      <c r="EY38" s="164">
        <f t="shared" si="57"/>
        <v>1.0938853768132575</v>
      </c>
      <c r="EZ38" s="164">
        <f t="shared" si="57"/>
        <v>1.1844112485731821</v>
      </c>
      <c r="FA38" s="164">
        <f t="shared" si="57"/>
        <v>0.94527966284033504</v>
      </c>
      <c r="FB38" s="164">
        <f t="shared" si="57"/>
        <v>1.0554058552560306</v>
      </c>
      <c r="FC38" s="164">
        <f t="shared" si="57"/>
        <v>1.0530612244897959</v>
      </c>
      <c r="FD38" s="164">
        <f t="shared" si="57"/>
        <v>1.1877560868934414</v>
      </c>
      <c r="FE38" s="127"/>
      <c r="FI38" s="126"/>
      <c r="FJ38" s="3" t="s">
        <v>448</v>
      </c>
      <c r="FK38" s="3"/>
      <c r="FL38" s="2"/>
      <c r="FM38" s="164">
        <f t="shared" si="58"/>
        <v>1.0930866006665947</v>
      </c>
      <c r="FN38" s="164">
        <f t="shared" si="59"/>
        <v>1.3305096648790067</v>
      </c>
      <c r="FO38" s="164">
        <f t="shared" si="59"/>
        <v>0.83595333388816739</v>
      </c>
      <c r="FP38" s="164">
        <f t="shared" si="59"/>
        <v>1.0803374785008959</v>
      </c>
      <c r="FQ38" s="164">
        <f t="shared" si="59"/>
        <v>0.92681406825044566</v>
      </c>
      <c r="FR38" s="164">
        <f t="shared" si="59"/>
        <v>0.74072484612198308</v>
      </c>
      <c r="FS38" s="164">
        <f t="shared" si="59"/>
        <v>1.2589560794404613</v>
      </c>
      <c r="FT38" s="164">
        <f t="shared" si="59"/>
        <v>1.1321695760598505</v>
      </c>
      <c r="FU38" s="164">
        <f t="shared" si="59"/>
        <v>1.0242238850274485</v>
      </c>
      <c r="FV38" s="127"/>
    </row>
    <row r="39" spans="3:178" ht="15.5" x14ac:dyDescent="0.35">
      <c r="C39" s="126"/>
      <c r="D39" s="3" t="s">
        <v>148</v>
      </c>
      <c r="E39" s="3"/>
      <c r="F39" s="2"/>
      <c r="G39" s="164">
        <v>6.2742857142857122</v>
      </c>
      <c r="H39" s="164">
        <v>20.169999999999998</v>
      </c>
      <c r="I39" s="164">
        <v>0.23787356458482445</v>
      </c>
      <c r="J39" s="164">
        <v>0.76212643541517555</v>
      </c>
      <c r="K39" s="164">
        <v>0.16042579711647922</v>
      </c>
      <c r="L39" s="164">
        <v>3.803469966179656E-2</v>
      </c>
      <c r="M39" s="164">
        <v>26.444285714285716</v>
      </c>
      <c r="N39" s="4">
        <v>51.571428571428569</v>
      </c>
      <c r="O39" s="4">
        <v>8.2325102144768607</v>
      </c>
      <c r="P39" s="127"/>
      <c r="T39" s="126"/>
      <c r="U39" s="3" t="s">
        <v>133</v>
      </c>
      <c r="V39" s="2"/>
      <c r="W39" s="2"/>
      <c r="X39" s="4">
        <v>7.4677777777777798</v>
      </c>
      <c r="Y39" s="4">
        <v>10.960000000000008</v>
      </c>
      <c r="Z39" s="4">
        <v>0.4028799875445358</v>
      </c>
      <c r="AA39" s="4">
        <v>0.5971200124554642</v>
      </c>
      <c r="AB39" s="4">
        <v>0.14041692040832421</v>
      </c>
      <c r="AC39" s="4">
        <v>5.501632242989072E-2</v>
      </c>
      <c r="AD39" s="4">
        <v>18.427777777777788</v>
      </c>
      <c r="AE39" s="4">
        <v>64.222222222222229</v>
      </c>
      <c r="AF39" s="4">
        <v>8.6862554682233828</v>
      </c>
      <c r="AG39" s="231" t="s">
        <v>207</v>
      </c>
      <c r="AK39" s="126"/>
      <c r="AL39" s="3"/>
      <c r="AM39" s="3"/>
      <c r="AN39" s="2"/>
      <c r="AO39" s="164"/>
      <c r="AP39" s="164"/>
      <c r="AQ39" s="164"/>
      <c r="AR39" s="164"/>
      <c r="AS39" s="164"/>
      <c r="AT39" s="164"/>
      <c r="AU39" s="164"/>
      <c r="AV39" s="4"/>
      <c r="AW39" s="4"/>
      <c r="AX39" s="127"/>
      <c r="BB39" s="126"/>
      <c r="BC39" s="3"/>
      <c r="BD39" s="3"/>
      <c r="BE39" s="2"/>
      <c r="BF39" s="164"/>
      <c r="BG39" s="164"/>
      <c r="BH39" s="164"/>
      <c r="BI39" s="164"/>
      <c r="BJ39" s="164"/>
      <c r="BK39" s="164"/>
      <c r="BL39" s="164"/>
      <c r="BM39" s="4"/>
      <c r="BN39" s="4"/>
      <c r="BO39" s="127"/>
      <c r="BS39" s="126"/>
      <c r="BT39" s="3"/>
      <c r="BU39" s="3"/>
      <c r="BV39" s="2"/>
      <c r="BW39" s="164"/>
      <c r="BX39" s="164"/>
      <c r="BY39" s="164"/>
      <c r="BZ39" s="164"/>
      <c r="CA39" s="164"/>
      <c r="CB39" s="164"/>
      <c r="CC39" s="164"/>
      <c r="CD39" s="4"/>
      <c r="CE39" s="4"/>
      <c r="CF39" s="127"/>
      <c r="CJ39" s="126"/>
      <c r="CK39" s="3"/>
      <c r="CL39" s="3"/>
      <c r="CM39" s="2"/>
      <c r="CN39" s="164"/>
      <c r="CO39" s="164"/>
      <c r="CP39" s="164"/>
      <c r="CQ39" s="164"/>
      <c r="CR39" s="164"/>
      <c r="CS39" s="164"/>
      <c r="CT39" s="164"/>
      <c r="CU39" s="4"/>
      <c r="CV39" s="4"/>
      <c r="CW39" s="127"/>
      <c r="DJ39" s="126"/>
      <c r="DK39" s="3" t="s">
        <v>148</v>
      </c>
      <c r="DL39" s="3"/>
      <c r="DM39" s="2"/>
      <c r="DN39" s="164">
        <f t="shared" si="60"/>
        <v>0.82310559523561588</v>
      </c>
      <c r="DO39" s="164">
        <f t="shared" si="61"/>
        <v>1.043575740155217</v>
      </c>
      <c r="DP39" s="164">
        <f t="shared" si="62"/>
        <v>0.84155208233189938</v>
      </c>
      <c r="DQ39" s="164">
        <f t="shared" si="63"/>
        <v>1.06243483885664</v>
      </c>
      <c r="DR39" s="164">
        <f t="shared" si="64"/>
        <v>1.1772928372248401</v>
      </c>
      <c r="DS39" s="164">
        <f t="shared" si="65"/>
        <v>1.021270113752792</v>
      </c>
      <c r="DT39" s="164">
        <f t="shared" si="66"/>
        <v>0.98121775390486965</v>
      </c>
      <c r="DU39" s="164">
        <f t="shared" si="67"/>
        <v>0.85466263317111668</v>
      </c>
      <c r="DV39" s="164">
        <f t="shared" si="68"/>
        <v>1.0336871359460074</v>
      </c>
      <c r="DW39" s="127"/>
      <c r="EA39" s="126"/>
      <c r="EB39" s="3" t="s">
        <v>133</v>
      </c>
      <c r="EC39" s="2"/>
      <c r="ED39" s="2"/>
      <c r="EE39" s="164">
        <f t="shared" si="69"/>
        <v>1.0677575661291605</v>
      </c>
      <c r="EF39" s="164">
        <f t="shared" si="70"/>
        <v>1.3485081513380501</v>
      </c>
      <c r="EG39" s="164">
        <f t="shared" si="71"/>
        <v>0.84740780354589029</v>
      </c>
      <c r="EH39" s="164">
        <f t="shared" si="72"/>
        <v>1.1382958276038182</v>
      </c>
      <c r="EI39" s="164">
        <f t="shared" si="73"/>
        <v>0.9331010901850697</v>
      </c>
      <c r="EJ39" s="164">
        <f t="shared" si="74"/>
        <v>0.78284654363945605</v>
      </c>
      <c r="EK39" s="164">
        <f t="shared" si="75"/>
        <v>1.216544565984798</v>
      </c>
      <c r="EL39" s="164">
        <f t="shared" si="76"/>
        <v>1.3745541022592151</v>
      </c>
      <c r="EM39" s="164">
        <f t="shared" si="77"/>
        <v>1.3159889260249256</v>
      </c>
      <c r="EN39" s="231" t="s">
        <v>207</v>
      </c>
      <c r="ER39" s="126"/>
      <c r="ES39" s="3"/>
      <c r="ET39" s="3"/>
      <c r="EU39" s="2"/>
      <c r="EV39" s="164"/>
      <c r="EW39" s="164"/>
      <c r="EX39" s="164"/>
      <c r="EY39" s="164"/>
      <c r="EZ39" s="164"/>
      <c r="FA39" s="164"/>
      <c r="FB39" s="164"/>
      <c r="FC39" s="4"/>
      <c r="FD39" s="4"/>
      <c r="FE39" s="127"/>
      <c r="FI39" s="126"/>
      <c r="FJ39" s="3"/>
      <c r="FK39" s="3"/>
      <c r="FL39" s="2"/>
      <c r="FM39" s="164"/>
      <c r="FN39" s="164"/>
      <c r="FO39" s="164"/>
      <c r="FP39" s="164"/>
      <c r="FQ39" s="164"/>
      <c r="FR39" s="164"/>
      <c r="FS39" s="164"/>
      <c r="FT39" s="4"/>
      <c r="FU39" s="4"/>
      <c r="FV39" s="127"/>
    </row>
    <row r="40" spans="3:178" ht="15.5" x14ac:dyDescent="0.35">
      <c r="C40" s="131" t="s">
        <v>261</v>
      </c>
      <c r="D40" s="3" t="s">
        <v>167</v>
      </c>
      <c r="E40" s="3"/>
      <c r="F40" s="2"/>
      <c r="G40" s="4">
        <v>3.1729999999999996</v>
      </c>
      <c r="H40" s="4">
        <v>13.126000000000005</v>
      </c>
      <c r="I40" s="4">
        <v>0.21088226806686042</v>
      </c>
      <c r="J40" s="4">
        <v>0.78911773193313961</v>
      </c>
      <c r="K40" s="4">
        <v>0.45465251918758443</v>
      </c>
      <c r="L40" s="4">
        <v>7.2504849169393232E-2</v>
      </c>
      <c r="M40" s="4">
        <v>16.299000000000007</v>
      </c>
      <c r="N40" s="164">
        <v>8.8888888888888893</v>
      </c>
      <c r="O40" s="4">
        <v>2.7891904614847705</v>
      </c>
      <c r="P40" s="127"/>
      <c r="T40" s="131" t="s">
        <v>261</v>
      </c>
      <c r="U40" s="3" t="s">
        <v>167</v>
      </c>
      <c r="V40" s="2"/>
      <c r="W40" s="2"/>
      <c r="X40" s="4">
        <v>6.6757142857142844</v>
      </c>
      <c r="Y40" s="4">
        <v>34.381428571428565</v>
      </c>
      <c r="Z40" s="4">
        <v>0.20609414480659871</v>
      </c>
      <c r="AA40" s="4">
        <v>0.79390585519340129</v>
      </c>
      <c r="AB40" s="4">
        <v>0.15107659019295688</v>
      </c>
      <c r="AC40" s="4">
        <v>3.1839891306647682E-2</v>
      </c>
      <c r="AD40" s="4">
        <v>41.057142857142857</v>
      </c>
      <c r="AE40" s="4">
        <v>19.142857142857142</v>
      </c>
      <c r="AF40" s="4">
        <v>2.9076264077629381</v>
      </c>
      <c r="AG40" s="230" t="s">
        <v>209</v>
      </c>
      <c r="AK40" s="126"/>
      <c r="AL40" s="3"/>
      <c r="AM40" s="3"/>
      <c r="AN40" s="2"/>
      <c r="AO40" s="4"/>
      <c r="AP40" s="4"/>
      <c r="AQ40" s="4"/>
      <c r="AR40" s="4"/>
      <c r="AS40" s="4"/>
      <c r="AT40" s="4"/>
      <c r="AU40" s="4"/>
      <c r="AV40" s="164"/>
      <c r="AW40" s="4"/>
      <c r="AX40" s="127"/>
      <c r="BB40" s="126"/>
      <c r="BC40" s="3"/>
      <c r="BD40" s="3"/>
      <c r="BE40" s="2"/>
      <c r="BF40" s="4"/>
      <c r="BG40" s="4"/>
      <c r="BH40" s="4"/>
      <c r="BI40" s="4"/>
      <c r="BJ40" s="4"/>
      <c r="BK40" s="4"/>
      <c r="BL40" s="4"/>
      <c r="BM40" s="164"/>
      <c r="BN40" s="4"/>
      <c r="BO40" s="127"/>
      <c r="BS40" s="126"/>
      <c r="BT40" s="3"/>
      <c r="BU40" s="3"/>
      <c r="BV40" s="2"/>
      <c r="BW40" s="4"/>
      <c r="BX40" s="4"/>
      <c r="BY40" s="4"/>
      <c r="BZ40" s="4"/>
      <c r="CA40" s="4"/>
      <c r="CB40" s="4"/>
      <c r="CC40" s="4"/>
      <c r="CD40" s="164"/>
      <c r="CE40" s="4"/>
      <c r="CF40" s="127"/>
      <c r="CJ40" s="126"/>
      <c r="CK40" s="3"/>
      <c r="CL40" s="3"/>
      <c r="CM40" s="2"/>
      <c r="CN40" s="4"/>
      <c r="CO40" s="4"/>
      <c r="CP40" s="4"/>
      <c r="CQ40" s="4"/>
      <c r="CR40" s="4"/>
      <c r="CS40" s="4"/>
      <c r="CT40" s="4"/>
      <c r="CU40" s="164"/>
      <c r="CV40" s="4"/>
      <c r="CW40" s="127"/>
      <c r="DJ40" s="131" t="s">
        <v>261</v>
      </c>
      <c r="DK40" s="3" t="s">
        <v>167</v>
      </c>
      <c r="DL40" s="3"/>
      <c r="DM40" s="2"/>
      <c r="DN40" s="164">
        <f t="shared" si="60"/>
        <v>0.63639782385238297</v>
      </c>
      <c r="DO40" s="164">
        <f t="shared" si="61"/>
        <v>1.2699917759179529</v>
      </c>
      <c r="DP40" s="164">
        <f t="shared" si="62"/>
        <v>0.61530918210568708</v>
      </c>
      <c r="DQ40" s="164">
        <f t="shared" si="63"/>
        <v>1.200591180670681</v>
      </c>
      <c r="DR40" s="164">
        <f t="shared" si="64"/>
        <v>1.5093216673862253</v>
      </c>
      <c r="DS40" s="164">
        <f t="shared" si="65"/>
        <v>1.0176097332061351</v>
      </c>
      <c r="DT40" s="164">
        <f t="shared" si="66"/>
        <v>1.0638079154122919</v>
      </c>
      <c r="DU40" s="164">
        <f t="shared" si="67"/>
        <v>0.66424494032174364</v>
      </c>
      <c r="DV40" s="164">
        <f t="shared" si="68"/>
        <v>1.028193667380719</v>
      </c>
      <c r="DW40" s="127"/>
      <c r="EA40" s="131" t="s">
        <v>261</v>
      </c>
      <c r="EB40" s="3" t="s">
        <v>167</v>
      </c>
      <c r="EC40" s="2"/>
      <c r="ED40" s="2"/>
      <c r="EE40" s="164">
        <f t="shared" si="69"/>
        <v>0.99086897173224486</v>
      </c>
      <c r="EF40" s="164">
        <f t="shared" si="70"/>
        <v>1.6400838202974597</v>
      </c>
      <c r="EG40" s="164">
        <f t="shared" si="71"/>
        <v>0.60556857965794619</v>
      </c>
      <c r="EH40" s="164">
        <f t="shared" si="72"/>
        <v>1.2034923869170684</v>
      </c>
      <c r="EI40" s="164">
        <f t="shared" si="73"/>
        <v>1.0109397189974969</v>
      </c>
      <c r="EJ40" s="164">
        <f t="shared" si="74"/>
        <v>0.62532100883993758</v>
      </c>
      <c r="EK40" s="164">
        <f t="shared" si="75"/>
        <v>1.4821834356718078</v>
      </c>
      <c r="EL40" s="164">
        <f t="shared" si="76"/>
        <v>1.0342498794018331</v>
      </c>
      <c r="EM40" s="164">
        <f t="shared" si="77"/>
        <v>1.04895481905863</v>
      </c>
      <c r="EN40" s="230" t="s">
        <v>209</v>
      </c>
      <c r="ER40" s="126"/>
      <c r="ES40" s="3"/>
      <c r="ET40" s="3"/>
      <c r="EU40" s="2"/>
      <c r="EV40" s="4"/>
      <c r="EW40" s="4"/>
      <c r="EX40" s="4"/>
      <c r="EY40" s="4"/>
      <c r="EZ40" s="4"/>
      <c r="FA40" s="4"/>
      <c r="FB40" s="4"/>
      <c r="FC40" s="164"/>
      <c r="FD40" s="4"/>
      <c r="FE40" s="127"/>
      <c r="FI40" s="126"/>
      <c r="FJ40" s="3"/>
      <c r="FK40" s="3"/>
      <c r="FL40" s="2"/>
      <c r="FM40" s="4"/>
      <c r="FN40" s="4"/>
      <c r="FO40" s="4"/>
      <c r="FP40" s="4"/>
      <c r="FQ40" s="4"/>
      <c r="FR40" s="4"/>
      <c r="FS40" s="4"/>
      <c r="FT40" s="164"/>
      <c r="FU40" s="4"/>
      <c r="FV40" s="127"/>
    </row>
    <row r="41" spans="3:178" ht="15.5" x14ac:dyDescent="0.35">
      <c r="C41" s="126"/>
      <c r="D41" s="3" t="s">
        <v>188</v>
      </c>
      <c r="E41" s="3"/>
      <c r="F41" s="2"/>
      <c r="G41" s="4">
        <v>2.4070000000000018</v>
      </c>
      <c r="H41" s="4">
        <v>17.222999999999995</v>
      </c>
      <c r="I41" s="4">
        <v>0.13970062325307217</v>
      </c>
      <c r="J41" s="4">
        <v>0.86029937674692791</v>
      </c>
      <c r="K41" s="4">
        <v>0.4197531576521511</v>
      </c>
      <c r="L41" s="4">
        <v>5.7556030588056216E-2</v>
      </c>
      <c r="M41" s="4">
        <v>19.629999999999995</v>
      </c>
      <c r="N41" s="4">
        <v>15.9</v>
      </c>
      <c r="O41" s="164">
        <v>6.6021661209973406</v>
      </c>
      <c r="P41" s="127"/>
      <c r="T41" s="126"/>
      <c r="U41" s="3" t="s">
        <v>188</v>
      </c>
      <c r="V41" s="2"/>
      <c r="W41" s="2"/>
      <c r="X41" s="4">
        <v>3.8914285714285688</v>
      </c>
      <c r="Y41" s="4">
        <v>36.955714285714294</v>
      </c>
      <c r="Z41" s="4">
        <v>0.12682828042185104</v>
      </c>
      <c r="AA41" s="4">
        <v>0.87317171957814887</v>
      </c>
      <c r="AB41" s="4">
        <v>0.25875189092570522</v>
      </c>
      <c r="AC41" s="4">
        <v>3.2964397310235961E-2</v>
      </c>
      <c r="AD41" s="4">
        <v>40.847142857142856</v>
      </c>
      <c r="AE41" s="4">
        <v>24</v>
      </c>
      <c r="AF41" s="4">
        <v>6.1624288361467459</v>
      </c>
      <c r="AG41" s="230" t="s">
        <v>208</v>
      </c>
      <c r="AK41" s="126"/>
      <c r="AL41" s="3"/>
      <c r="AM41" s="3"/>
      <c r="AN41" s="2"/>
      <c r="AO41" s="4"/>
      <c r="AP41" s="4"/>
      <c r="AQ41" s="4"/>
      <c r="AR41" s="4"/>
      <c r="AS41" s="4"/>
      <c r="AT41" s="4"/>
      <c r="AU41" s="4"/>
      <c r="AV41" s="4"/>
      <c r="AW41" s="164"/>
      <c r="AX41" s="127"/>
      <c r="BB41" s="126"/>
      <c r="BC41" s="3"/>
      <c r="BD41" s="3"/>
      <c r="BE41" s="2"/>
      <c r="BF41" s="4"/>
      <c r="BG41" s="4"/>
      <c r="BH41" s="4"/>
      <c r="BI41" s="4"/>
      <c r="BJ41" s="4"/>
      <c r="BK41" s="4"/>
      <c r="BL41" s="4"/>
      <c r="BM41" s="4"/>
      <c r="BN41" s="164"/>
      <c r="BO41" s="127"/>
      <c r="BS41" s="126"/>
      <c r="BT41" s="3"/>
      <c r="BU41" s="3"/>
      <c r="BV41" s="2"/>
      <c r="BW41" s="4"/>
      <c r="BX41" s="4"/>
      <c r="BY41" s="4"/>
      <c r="BZ41" s="4"/>
      <c r="CA41" s="4"/>
      <c r="CB41" s="4"/>
      <c r="CC41" s="4"/>
      <c r="CD41" s="4"/>
      <c r="CE41" s="164"/>
      <c r="CF41" s="127"/>
      <c r="CJ41" s="126"/>
      <c r="CK41" s="3"/>
      <c r="CL41" s="3"/>
      <c r="CM41" s="2"/>
      <c r="CN41" s="4"/>
      <c r="CO41" s="4"/>
      <c r="CP41" s="4"/>
      <c r="CQ41" s="4"/>
      <c r="CR41" s="4"/>
      <c r="CS41" s="4"/>
      <c r="CT41" s="4"/>
      <c r="CU41" s="4"/>
      <c r="CV41" s="164"/>
      <c r="CW41" s="127"/>
      <c r="DJ41" s="126"/>
      <c r="DK41" s="3" t="s">
        <v>188</v>
      </c>
      <c r="DL41" s="3"/>
      <c r="DM41" s="2"/>
      <c r="DN41" s="164">
        <f t="shared" si="60"/>
        <v>0.82737116059810023</v>
      </c>
      <c r="DO41" s="164">
        <f t="shared" si="61"/>
        <v>1.1154741142019142</v>
      </c>
      <c r="DP41" s="164">
        <f t="shared" si="62"/>
        <v>0.80077618948565199</v>
      </c>
      <c r="DQ41" s="164">
        <f t="shared" si="63"/>
        <v>1.0421006189266941</v>
      </c>
      <c r="DR41" s="164">
        <f t="shared" si="64"/>
        <v>1.1734084701097434</v>
      </c>
      <c r="DS41" s="164">
        <f t="shared" si="65"/>
        <v>0.9595489678563166</v>
      </c>
      <c r="DT41" s="164">
        <f t="shared" si="66"/>
        <v>1.0697964109151776</v>
      </c>
      <c r="DU41" s="164">
        <f t="shared" si="67"/>
        <v>0.84542347132548423</v>
      </c>
      <c r="DV41" s="164">
        <f t="shared" si="68"/>
        <v>1.0161142560628482</v>
      </c>
      <c r="DW41" s="127"/>
      <c r="EA41" s="126"/>
      <c r="EB41" s="3" t="s">
        <v>188</v>
      </c>
      <c r="EC41" s="2"/>
      <c r="ED41" s="2"/>
      <c r="EE41" s="164">
        <f t="shared" si="69"/>
        <v>1.0657276995305163</v>
      </c>
      <c r="EF41" s="164">
        <f t="shared" si="70"/>
        <v>1.4603291089220696</v>
      </c>
      <c r="EG41" s="164">
        <f t="shared" si="71"/>
        <v>0.754838835419399</v>
      </c>
      <c r="EH41" s="164">
        <f t="shared" si="72"/>
        <v>1.0495109018193132</v>
      </c>
      <c r="EI41" s="164">
        <f t="shared" si="73"/>
        <v>0.93337892308597137</v>
      </c>
      <c r="EJ41" s="164">
        <f t="shared" si="74"/>
        <v>0.69127224007917099</v>
      </c>
      <c r="EK41" s="164">
        <f t="shared" si="75"/>
        <v>1.4105720135171802</v>
      </c>
      <c r="EL41" s="164">
        <f t="shared" si="76"/>
        <v>1.05</v>
      </c>
      <c r="EM41" s="164">
        <f t="shared" si="77"/>
        <v>0.98165430769610573</v>
      </c>
      <c r="EN41" s="230" t="s">
        <v>208</v>
      </c>
      <c r="ER41" s="126"/>
      <c r="ES41" s="3"/>
      <c r="ET41" s="3"/>
      <c r="EU41" s="2"/>
      <c r="EV41" s="4"/>
      <c r="EW41" s="4"/>
      <c r="EX41" s="4"/>
      <c r="EY41" s="4"/>
      <c r="EZ41" s="4"/>
      <c r="FA41" s="4"/>
      <c r="FB41" s="4"/>
      <c r="FC41" s="4"/>
      <c r="FD41" s="164"/>
      <c r="FE41" s="127"/>
      <c r="FI41" s="126"/>
      <c r="FJ41" s="3"/>
      <c r="FK41" s="3"/>
      <c r="FL41" s="2"/>
      <c r="FM41" s="4"/>
      <c r="FN41" s="4"/>
      <c r="FO41" s="4"/>
      <c r="FP41" s="4"/>
      <c r="FQ41" s="4"/>
      <c r="FR41" s="4"/>
      <c r="FS41" s="4"/>
      <c r="FT41" s="4"/>
      <c r="FU41" s="164"/>
      <c r="FV41" s="127"/>
    </row>
    <row r="42" spans="3:178" ht="15.5" x14ac:dyDescent="0.35">
      <c r="C42" s="126"/>
      <c r="D42" s="3" t="s">
        <v>181</v>
      </c>
      <c r="E42" s="3"/>
      <c r="F42" s="2"/>
      <c r="G42" s="4">
        <v>2.5912499999999987</v>
      </c>
      <c r="H42" s="4">
        <v>6.0912500000000023</v>
      </c>
      <c r="I42" s="4">
        <v>0.29673615939313408</v>
      </c>
      <c r="J42" s="4">
        <v>0.70326384060686598</v>
      </c>
      <c r="K42" s="4">
        <v>0.41213018769911952</v>
      </c>
      <c r="L42" s="4">
        <v>0.11582465677331551</v>
      </c>
      <c r="M42" s="4">
        <v>8.682500000000001</v>
      </c>
      <c r="N42" s="4">
        <v>13.375</v>
      </c>
      <c r="O42" s="4">
        <v>5.2556900446490866</v>
      </c>
      <c r="P42" s="127"/>
      <c r="T42" s="126"/>
      <c r="U42" s="3" t="s">
        <v>181</v>
      </c>
      <c r="V42" s="2"/>
      <c r="W42" s="2"/>
      <c r="X42" s="164">
        <v>4.600000000000005</v>
      </c>
      <c r="Y42" s="164">
        <v>7.7063636363636325</v>
      </c>
      <c r="Z42" s="164">
        <v>0.37324805312492426</v>
      </c>
      <c r="AA42" s="164">
        <v>0.62675194687507563</v>
      </c>
      <c r="AB42" s="164">
        <v>0.22314256487171677</v>
      </c>
      <c r="AC42" s="164">
        <v>8.1490885852337089E-2</v>
      </c>
      <c r="AD42" s="164">
        <v>12.306363636363637</v>
      </c>
      <c r="AE42" s="4">
        <v>23.818181818181817</v>
      </c>
      <c r="AF42" s="4">
        <v>5.1626742246308766</v>
      </c>
      <c r="AG42" s="230" t="s">
        <v>129</v>
      </c>
      <c r="AK42" s="126"/>
      <c r="AL42" s="3"/>
      <c r="AM42" s="3"/>
      <c r="AN42" s="2"/>
      <c r="AO42" s="4"/>
      <c r="AP42" s="4"/>
      <c r="AQ42" s="4"/>
      <c r="AR42" s="4"/>
      <c r="AS42" s="4"/>
      <c r="AT42" s="4"/>
      <c r="AU42" s="4"/>
      <c r="AV42" s="4"/>
      <c r="AW42" s="4"/>
      <c r="AX42" s="127"/>
      <c r="BB42" s="126"/>
      <c r="BC42" s="3"/>
      <c r="BD42" s="3"/>
      <c r="BE42" s="2"/>
      <c r="BF42" s="4"/>
      <c r="BG42" s="4"/>
      <c r="BH42" s="4"/>
      <c r="BI42" s="4"/>
      <c r="BJ42" s="4"/>
      <c r="BK42" s="4"/>
      <c r="BL42" s="4"/>
      <c r="BM42" s="4"/>
      <c r="BN42" s="4"/>
      <c r="BO42" s="127"/>
      <c r="BS42" s="126"/>
      <c r="BT42" s="3"/>
      <c r="BU42" s="3"/>
      <c r="BV42" s="2"/>
      <c r="BW42" s="4"/>
      <c r="BX42" s="4"/>
      <c r="BY42" s="4"/>
      <c r="BZ42" s="4"/>
      <c r="CA42" s="4"/>
      <c r="CB42" s="4"/>
      <c r="CC42" s="4"/>
      <c r="CD42" s="4"/>
      <c r="CE42" s="4"/>
      <c r="CF42" s="127"/>
      <c r="CJ42" s="126"/>
      <c r="CK42" s="3"/>
      <c r="CL42" s="3"/>
      <c r="CM42" s="2"/>
      <c r="CN42" s="4"/>
      <c r="CO42" s="4"/>
      <c r="CP42" s="4"/>
      <c r="CQ42" s="4"/>
      <c r="CR42" s="4"/>
      <c r="CS42" s="4"/>
      <c r="CT42" s="4"/>
      <c r="CU42" s="4"/>
      <c r="CV42" s="4"/>
      <c r="CW42" s="127"/>
      <c r="DJ42" s="126"/>
      <c r="DK42" s="3" t="s">
        <v>181</v>
      </c>
      <c r="DL42" s="3"/>
      <c r="DM42" s="2"/>
      <c r="DN42" s="164">
        <f t="shared" si="60"/>
        <v>0.85861755850445232</v>
      </c>
      <c r="DO42" s="164">
        <f t="shared" si="61"/>
        <v>1.1254741367823549</v>
      </c>
      <c r="DP42" s="164">
        <f t="shared" si="62"/>
        <v>0.8274933353149414</v>
      </c>
      <c r="DQ42" s="164">
        <f t="shared" si="63"/>
        <v>1.0964451682814456</v>
      </c>
      <c r="DR42" s="164">
        <f t="shared" si="64"/>
        <v>1.1596614341121307</v>
      </c>
      <c r="DS42" s="164">
        <f t="shared" si="65"/>
        <v>0.96809102610182618</v>
      </c>
      <c r="DT42" s="164">
        <f t="shared" si="66"/>
        <v>1.0299408027556944</v>
      </c>
      <c r="DU42" s="164">
        <f t="shared" si="67"/>
        <v>0.92517459261722645</v>
      </c>
      <c r="DV42" s="164">
        <f t="shared" si="68"/>
        <v>1.0742050637809677</v>
      </c>
      <c r="DW42" s="127"/>
      <c r="EA42" s="126"/>
      <c r="EB42" s="3" t="s">
        <v>181</v>
      </c>
      <c r="EC42" s="2"/>
      <c r="ED42" s="2"/>
      <c r="EE42" s="164">
        <f t="shared" si="69"/>
        <v>1.1436221074775297</v>
      </c>
      <c r="EF42" s="164">
        <f t="shared" si="70"/>
        <v>1.2390209349913424</v>
      </c>
      <c r="EG42" s="164">
        <f t="shared" si="71"/>
        <v>0.94052113809696913</v>
      </c>
      <c r="EH42" s="164">
        <f t="shared" si="72"/>
        <v>1.0391352419064384</v>
      </c>
      <c r="EI42" s="164">
        <f t="shared" si="73"/>
        <v>0.8552978852191595</v>
      </c>
      <c r="EJ42" s="164">
        <f t="shared" si="74"/>
        <v>0.7952236148854841</v>
      </c>
      <c r="EK42" s="164">
        <f t="shared" si="75"/>
        <v>1.2015553628611029</v>
      </c>
      <c r="EL42" s="164">
        <f t="shared" si="76"/>
        <v>1.2103766879886282</v>
      </c>
      <c r="EM42" s="164">
        <f t="shared" si="77"/>
        <v>1.0653202752391313</v>
      </c>
      <c r="EN42" s="230" t="s">
        <v>129</v>
      </c>
      <c r="ER42" s="126"/>
      <c r="ES42" s="3"/>
      <c r="ET42" s="3"/>
      <c r="EU42" s="2"/>
      <c r="EV42" s="4"/>
      <c r="EW42" s="4"/>
      <c r="EX42" s="4"/>
      <c r="EY42" s="4"/>
      <c r="EZ42" s="4"/>
      <c r="FA42" s="4"/>
      <c r="FB42" s="4"/>
      <c r="FC42" s="4"/>
      <c r="FD42" s="4"/>
      <c r="FE42" s="127"/>
      <c r="FI42" s="126"/>
      <c r="FJ42" s="3"/>
      <c r="FK42" s="3"/>
      <c r="FL42" s="2"/>
      <c r="FM42" s="4"/>
      <c r="FN42" s="4"/>
      <c r="FO42" s="4"/>
      <c r="FP42" s="4"/>
      <c r="FQ42" s="4"/>
      <c r="FR42" s="4"/>
      <c r="FS42" s="4"/>
      <c r="FT42" s="4"/>
      <c r="FU42" s="4"/>
      <c r="FV42" s="127"/>
    </row>
    <row r="43" spans="3:178" ht="15.5" x14ac:dyDescent="0.35">
      <c r="C43" s="126"/>
      <c r="D43" s="3" t="s">
        <v>305</v>
      </c>
      <c r="E43" s="3"/>
      <c r="F43" s="2"/>
      <c r="G43" s="4">
        <v>2.152709999999999</v>
      </c>
      <c r="H43" s="4">
        <v>6.2597400000000034</v>
      </c>
      <c r="I43" s="4">
        <v>0.251305203106231</v>
      </c>
      <c r="J43" s="4">
        <v>0.74869479689376905</v>
      </c>
      <c r="K43" s="4">
        <v>0.52675191383952835</v>
      </c>
      <c r="L43" s="4">
        <v>0.12032947121135346</v>
      </c>
      <c r="M43" s="4">
        <v>8.4124500000000015</v>
      </c>
      <c r="N43" s="4">
        <v>19.166666666666668</v>
      </c>
      <c r="O43" s="4">
        <v>9.0121597477264199</v>
      </c>
      <c r="P43" s="127"/>
      <c r="T43" s="126"/>
      <c r="U43" s="3" t="s">
        <v>305</v>
      </c>
      <c r="V43" s="2"/>
      <c r="W43" s="2"/>
      <c r="X43" s="164">
        <v>2.7910219999999866</v>
      </c>
      <c r="Y43" s="164">
        <v>9.6544460000000178</v>
      </c>
      <c r="Z43" s="164">
        <v>0.22422741772745614</v>
      </c>
      <c r="AA43" s="164">
        <v>0.77577258227254398</v>
      </c>
      <c r="AB43" s="164">
        <v>0.39447400738797117</v>
      </c>
      <c r="AC43" s="164">
        <v>8.0911789333729361E-2</v>
      </c>
      <c r="AD43" s="164">
        <v>12.445468000000005</v>
      </c>
      <c r="AE43" s="4">
        <v>19</v>
      </c>
      <c r="AF43" s="4">
        <v>6.8626699480832656</v>
      </c>
      <c r="AG43" s="230"/>
      <c r="AK43" s="126"/>
      <c r="AL43" s="3"/>
      <c r="AM43" s="3"/>
      <c r="AN43" s="2"/>
      <c r="AO43" s="4"/>
      <c r="AP43" s="4"/>
      <c r="AQ43" s="4"/>
      <c r="AR43" s="4"/>
      <c r="AS43" s="4"/>
      <c r="AT43" s="4"/>
      <c r="AU43" s="4"/>
      <c r="AV43" s="4"/>
      <c r="AW43" s="4"/>
      <c r="AX43" s="127"/>
      <c r="BB43" s="126"/>
      <c r="BC43" s="3"/>
      <c r="BD43" s="3"/>
      <c r="BE43" s="2"/>
      <c r="BF43" s="4"/>
      <c r="BG43" s="4"/>
      <c r="BH43" s="4"/>
      <c r="BI43" s="4"/>
      <c r="BJ43" s="4"/>
      <c r="BK43" s="4"/>
      <c r="BL43" s="4"/>
      <c r="BM43" s="4"/>
      <c r="BN43" s="4"/>
      <c r="BO43" s="127"/>
      <c r="BS43" s="126"/>
      <c r="BT43" s="3"/>
      <c r="BU43" s="3"/>
      <c r="BV43" s="2"/>
      <c r="BW43" s="4"/>
      <c r="BX43" s="4"/>
      <c r="BY43" s="4"/>
      <c r="BZ43" s="4"/>
      <c r="CA43" s="4"/>
      <c r="CB43" s="4"/>
      <c r="CC43" s="4"/>
      <c r="CD43" s="4"/>
      <c r="CE43" s="4"/>
      <c r="CF43" s="127"/>
      <c r="CJ43" s="126"/>
      <c r="CK43" s="3"/>
      <c r="CL43" s="3"/>
      <c r="CM43" s="2"/>
      <c r="CN43" s="4"/>
      <c r="CO43" s="4"/>
      <c r="CP43" s="4"/>
      <c r="CQ43" s="4"/>
      <c r="CR43" s="4"/>
      <c r="CS43" s="4"/>
      <c r="CT43" s="4"/>
      <c r="CU43" s="4"/>
      <c r="CV43" s="4"/>
      <c r="CW43" s="127"/>
      <c r="DJ43" s="126"/>
      <c r="DK43" s="3" t="s">
        <v>305</v>
      </c>
      <c r="DL43" s="3"/>
      <c r="DM43" s="2"/>
      <c r="DN43" s="164">
        <f t="shared" si="60"/>
        <v>0.39833148234430305</v>
      </c>
      <c r="DO43" s="164">
        <f t="shared" si="61"/>
        <v>0.9669871399271518</v>
      </c>
      <c r="DP43" s="164">
        <f t="shared" si="62"/>
        <v>0.61785968566043936</v>
      </c>
      <c r="DQ43" s="164">
        <f t="shared" si="63"/>
        <v>1.2619906559074205</v>
      </c>
      <c r="DR43" s="164">
        <f t="shared" si="64"/>
        <v>1.6184758117362725</v>
      </c>
      <c r="DS43" s="164">
        <f t="shared" si="65"/>
        <v>1.2901236564016885</v>
      </c>
      <c r="DT43" s="164">
        <f t="shared" si="66"/>
        <v>0.70825193123453789</v>
      </c>
      <c r="DU43" s="164">
        <f t="shared" si="67"/>
        <v>0.54322153991497402</v>
      </c>
      <c r="DV43" s="164">
        <f t="shared" si="68"/>
        <v>1.2037370890769097</v>
      </c>
      <c r="DW43" s="127"/>
      <c r="EA43" s="126"/>
      <c r="EB43" s="3" t="s">
        <v>305</v>
      </c>
      <c r="EC43" s="2"/>
      <c r="ED43" s="2"/>
      <c r="EE43" s="164">
        <f t="shared" si="69"/>
        <v>0.4876447416376819</v>
      </c>
      <c r="EF43" s="164">
        <f t="shared" si="70"/>
        <v>1.1815790375483437</v>
      </c>
      <c r="EG43" s="164">
        <f t="shared" si="71"/>
        <v>0.57026855830359335</v>
      </c>
      <c r="EH43" s="164">
        <f t="shared" si="72"/>
        <v>1.2784569815237941</v>
      </c>
      <c r="EI43" s="164">
        <f t="shared" si="73"/>
        <v>1.5211700054837491</v>
      </c>
      <c r="EJ43" s="164">
        <f t="shared" si="74"/>
        <v>1.0999296257401481</v>
      </c>
      <c r="EK43" s="164">
        <f t="shared" si="75"/>
        <v>0.89572639779523588</v>
      </c>
      <c r="EL43" s="164">
        <f t="shared" si="76"/>
        <v>0.53977272727272729</v>
      </c>
      <c r="EM43" s="164">
        <f t="shared" si="77"/>
        <v>1.0702732977088047</v>
      </c>
      <c r="EN43" s="230"/>
      <c r="ER43" s="126"/>
      <c r="ES43" s="3"/>
      <c r="ET43" s="3"/>
      <c r="EU43" s="2"/>
      <c r="EV43" s="4"/>
      <c r="EW43" s="4"/>
      <c r="EX43" s="4"/>
      <c r="EY43" s="4"/>
      <c r="EZ43" s="4"/>
      <c r="FA43" s="4"/>
      <c r="FB43" s="4"/>
      <c r="FC43" s="4"/>
      <c r="FD43" s="4"/>
      <c r="FE43" s="127"/>
      <c r="FI43" s="126"/>
      <c r="FJ43" s="3"/>
      <c r="FK43" s="3"/>
      <c r="FL43" s="2"/>
      <c r="FM43" s="4"/>
      <c r="FN43" s="4"/>
      <c r="FO43" s="4"/>
      <c r="FP43" s="4"/>
      <c r="FQ43" s="4"/>
      <c r="FR43" s="4"/>
      <c r="FS43" s="4"/>
      <c r="FT43" s="4"/>
      <c r="FU43" s="4"/>
      <c r="FV43" s="127"/>
    </row>
    <row r="44" spans="3:178" ht="15.5" x14ac:dyDescent="0.35">
      <c r="C44" s="126"/>
      <c r="D44" s="3" t="s">
        <v>298</v>
      </c>
      <c r="E44" s="3"/>
      <c r="F44" s="2"/>
      <c r="G44" s="4">
        <v>3.1733893749999984</v>
      </c>
      <c r="H44" s="4">
        <v>9.0727802500000063</v>
      </c>
      <c r="I44" s="4">
        <v>0.26941003667929592</v>
      </c>
      <c r="J44" s="4">
        <v>0.73058996332070403</v>
      </c>
      <c r="K44" s="4">
        <v>0.32272564265721898</v>
      </c>
      <c r="L44" s="4">
        <v>8.565482476211525E-2</v>
      </c>
      <c r="M44" s="4">
        <v>12.246169625000006</v>
      </c>
      <c r="N44" s="164">
        <v>16.5</v>
      </c>
      <c r="O44" s="164">
        <v>5.2088567085327933</v>
      </c>
      <c r="P44" s="233" t="s">
        <v>637</v>
      </c>
      <c r="T44" s="126"/>
      <c r="U44" s="3" t="s">
        <v>298</v>
      </c>
      <c r="V44" s="2"/>
      <c r="W44" s="2"/>
      <c r="X44" s="164">
        <v>4.8088438181818196</v>
      </c>
      <c r="Y44" s="164">
        <v>9.2503703999999907</v>
      </c>
      <c r="Z44" s="164">
        <v>0.34989078149223884</v>
      </c>
      <c r="AA44" s="164">
        <v>0.65010921850776138</v>
      </c>
      <c r="AB44" s="164">
        <v>0.21125677226165393</v>
      </c>
      <c r="AC44" s="164">
        <v>7.2053887707709485E-2</v>
      </c>
      <c r="AD44" s="164">
        <v>14.069508499999994</v>
      </c>
      <c r="AE44" s="4">
        <v>18.636363636363637</v>
      </c>
      <c r="AF44" s="4">
        <v>3.8635509177842313</v>
      </c>
      <c r="AG44" s="230"/>
      <c r="AK44" s="126"/>
      <c r="AL44" s="3"/>
      <c r="AM44" s="3"/>
      <c r="AN44" s="2"/>
      <c r="AO44" s="4"/>
      <c r="AP44" s="4"/>
      <c r="AQ44" s="4"/>
      <c r="AR44" s="4"/>
      <c r="AS44" s="4"/>
      <c r="AT44" s="4"/>
      <c r="AU44" s="4"/>
      <c r="AV44" s="4"/>
      <c r="AW44" s="4"/>
      <c r="AX44" s="127"/>
      <c r="BB44" s="126"/>
      <c r="BC44" s="3"/>
      <c r="BD44" s="3"/>
      <c r="BE44" s="2"/>
      <c r="BF44" s="4"/>
      <c r="BG44" s="4"/>
      <c r="BH44" s="4"/>
      <c r="BI44" s="4"/>
      <c r="BJ44" s="4"/>
      <c r="BK44" s="4"/>
      <c r="BL44" s="4"/>
      <c r="BM44" s="4"/>
      <c r="BN44" s="4"/>
      <c r="BO44" s="127"/>
      <c r="BS44" s="126"/>
      <c r="BT44" s="3"/>
      <c r="BU44" s="3"/>
      <c r="BV44" s="2"/>
      <c r="BW44" s="4"/>
      <c r="BX44" s="4"/>
      <c r="BY44" s="4"/>
      <c r="BZ44" s="4"/>
      <c r="CA44" s="4"/>
      <c r="CB44" s="4"/>
      <c r="CC44" s="4"/>
      <c r="CD44" s="4"/>
      <c r="CE44" s="4"/>
      <c r="CF44" s="127"/>
      <c r="CJ44" s="126"/>
      <c r="CK44" s="3"/>
      <c r="CL44" s="3"/>
      <c r="CM44" s="2"/>
      <c r="CN44" s="4"/>
      <c r="CO44" s="4"/>
      <c r="CP44" s="4"/>
      <c r="CQ44" s="4"/>
      <c r="CR44" s="4"/>
      <c r="CS44" s="4"/>
      <c r="CT44" s="4"/>
      <c r="CU44" s="4"/>
      <c r="CV44" s="4"/>
      <c r="CW44" s="127"/>
      <c r="DJ44" s="126"/>
      <c r="DK44" s="3" t="s">
        <v>298</v>
      </c>
      <c r="DL44" s="3"/>
      <c r="DM44" s="2"/>
      <c r="DN44" s="164">
        <f t="shared" si="60"/>
        <v>0.80471990389219006</v>
      </c>
      <c r="DO44" s="164">
        <f t="shared" si="61"/>
        <v>1.1243681414308642</v>
      </c>
      <c r="DP44" s="164">
        <f t="shared" si="62"/>
        <v>0.79614920726712612</v>
      </c>
      <c r="DQ44" s="164">
        <f t="shared" si="63"/>
        <v>1.1042630824018234</v>
      </c>
      <c r="DR44" s="164">
        <f t="shared" si="64"/>
        <v>1.1982455809702768</v>
      </c>
      <c r="DS44" s="164">
        <f t="shared" si="65"/>
        <v>0.99444794429322614</v>
      </c>
      <c r="DT44" s="164">
        <f t="shared" si="66"/>
        <v>1.0194355413465128</v>
      </c>
      <c r="DU44" s="164">
        <f t="shared" si="67"/>
        <v>0.99831932773109244</v>
      </c>
      <c r="DV44" s="164">
        <f t="shared" si="68"/>
        <v>1.1949012255514613</v>
      </c>
      <c r="DW44" s="127"/>
      <c r="EA44" s="126"/>
      <c r="EB44" s="3" t="s">
        <v>298</v>
      </c>
      <c r="EC44" s="2"/>
      <c r="ED44" s="2"/>
      <c r="EE44" s="164">
        <f t="shared" si="69"/>
        <v>1.0100071204652474</v>
      </c>
      <c r="EF44" s="164">
        <f t="shared" si="70"/>
        <v>1.1338988596220165</v>
      </c>
      <c r="EG44" s="164">
        <f t="shared" si="71"/>
        <v>0.92409252598949643</v>
      </c>
      <c r="EH44" s="164">
        <f t="shared" si="72"/>
        <v>1.0462543446744332</v>
      </c>
      <c r="EI44" s="164">
        <f t="shared" si="73"/>
        <v>0.98904202106881145</v>
      </c>
      <c r="EJ44" s="164">
        <f t="shared" si="74"/>
        <v>0.90825100193838415</v>
      </c>
      <c r="EK44" s="164">
        <f t="shared" si="75"/>
        <v>1.0886033954526573</v>
      </c>
      <c r="EL44" s="164">
        <f t="shared" si="76"/>
        <v>1.0591274397244546</v>
      </c>
      <c r="EM44" s="164">
        <f t="shared" si="77"/>
        <v>1.0480031431879588</v>
      </c>
      <c r="EN44" s="230"/>
      <c r="ER44" s="126"/>
      <c r="ES44" s="3"/>
      <c r="ET44" s="3"/>
      <c r="EU44" s="2"/>
      <c r="EV44" s="4"/>
      <c r="EW44" s="4"/>
      <c r="EX44" s="4"/>
      <c r="EY44" s="4"/>
      <c r="EZ44" s="4"/>
      <c r="FA44" s="4"/>
      <c r="FB44" s="4"/>
      <c r="FC44" s="4"/>
      <c r="FD44" s="4"/>
      <c r="FE44" s="127"/>
      <c r="FI44" s="126"/>
      <c r="FJ44" s="3"/>
      <c r="FK44" s="3"/>
      <c r="FL44" s="2"/>
      <c r="FM44" s="4"/>
      <c r="FN44" s="4"/>
      <c r="FO44" s="4"/>
      <c r="FP44" s="4"/>
      <c r="FQ44" s="4"/>
      <c r="FR44" s="4"/>
      <c r="FS44" s="4"/>
      <c r="FT44" s="4"/>
      <c r="FU44" s="4"/>
      <c r="FV44" s="127"/>
    </row>
    <row r="45" spans="3:178" ht="15.5" x14ac:dyDescent="0.35">
      <c r="C45" s="131" t="s">
        <v>261</v>
      </c>
      <c r="D45" s="3" t="s">
        <v>231</v>
      </c>
      <c r="E45" s="3"/>
      <c r="F45" s="2"/>
      <c r="G45" s="4">
        <v>3.0267825000000004</v>
      </c>
      <c r="H45" s="4">
        <v>8.1102175000000063</v>
      </c>
      <c r="I45" s="4">
        <v>0.27382116799274386</v>
      </c>
      <c r="J45" s="4">
        <v>0.72617883200725619</v>
      </c>
      <c r="K45" s="4">
        <v>0.33360736563326177</v>
      </c>
      <c r="L45" s="4">
        <v>9.0319502034997071E-2</v>
      </c>
      <c r="M45" s="4">
        <v>11.137000000000008</v>
      </c>
      <c r="N45" s="4">
        <v>20.875</v>
      </c>
      <c r="O45" s="4">
        <v>6.9092320174515232</v>
      </c>
      <c r="P45" s="127"/>
      <c r="T45" s="131" t="s">
        <v>261</v>
      </c>
      <c r="U45" s="3" t="s">
        <v>231</v>
      </c>
      <c r="V45" s="2"/>
      <c r="W45" s="2"/>
      <c r="X45" s="164">
        <v>5.1412249999999959</v>
      </c>
      <c r="Y45" s="164">
        <v>11.568400000000002</v>
      </c>
      <c r="Z45" s="164">
        <v>0.30809935162137714</v>
      </c>
      <c r="AA45" s="164">
        <v>0.69190064837862286</v>
      </c>
      <c r="AB45" s="164">
        <v>0.195814879920028</v>
      </c>
      <c r="AC45" s="164">
        <v>5.9942124795960929E-2</v>
      </c>
      <c r="AD45" s="164">
        <v>16.709624999999999</v>
      </c>
      <c r="AE45" s="4">
        <v>31.666666666666668</v>
      </c>
      <c r="AF45" s="193">
        <v>6.187430547496632</v>
      </c>
      <c r="AG45" s="127"/>
      <c r="AK45" s="126"/>
      <c r="AL45" s="3"/>
      <c r="AM45" s="3"/>
      <c r="AN45" s="2"/>
      <c r="AO45" s="4"/>
      <c r="AP45" s="4"/>
      <c r="AQ45" s="4"/>
      <c r="AR45" s="4"/>
      <c r="AS45" s="4"/>
      <c r="AT45" s="4"/>
      <c r="AU45" s="4"/>
      <c r="AV45" s="4"/>
      <c r="AW45" s="4"/>
      <c r="AX45" s="127"/>
      <c r="BB45" s="126"/>
      <c r="BC45" s="3"/>
      <c r="BD45" s="3"/>
      <c r="BE45" s="2"/>
      <c r="BF45" s="4"/>
      <c r="BG45" s="4"/>
      <c r="BH45" s="4"/>
      <c r="BI45" s="4"/>
      <c r="BJ45" s="4"/>
      <c r="BK45" s="4"/>
      <c r="BL45" s="4"/>
      <c r="BM45" s="4"/>
      <c r="BN45" s="4"/>
      <c r="BO45" s="127"/>
      <c r="BS45" s="126"/>
      <c r="BT45" s="3"/>
      <c r="BU45" s="3"/>
      <c r="BV45" s="2"/>
      <c r="BW45" s="4"/>
      <c r="BX45" s="4"/>
      <c r="BY45" s="4"/>
      <c r="BZ45" s="4"/>
      <c r="CA45" s="4"/>
      <c r="CB45" s="4"/>
      <c r="CC45" s="4"/>
      <c r="CD45" s="4"/>
      <c r="CE45" s="4"/>
      <c r="CF45" s="127"/>
      <c r="CJ45" s="126"/>
      <c r="CK45" s="3"/>
      <c r="CL45" s="3"/>
      <c r="CM45" s="2"/>
      <c r="CN45" s="4"/>
      <c r="CO45" s="4"/>
      <c r="CP45" s="4"/>
      <c r="CQ45" s="4"/>
      <c r="CR45" s="4"/>
      <c r="CS45" s="4"/>
      <c r="CT45" s="4"/>
      <c r="CU45" s="4"/>
      <c r="CV45" s="4"/>
      <c r="CW45" s="127"/>
      <c r="DJ45" s="131" t="s">
        <v>261</v>
      </c>
      <c r="DK45" s="3" t="s">
        <v>231</v>
      </c>
      <c r="DL45" s="3"/>
      <c r="DM45" s="2"/>
      <c r="DN45" s="164">
        <f t="shared" si="60"/>
        <v>0.763064687488754</v>
      </c>
      <c r="DO45" s="164">
        <f t="shared" si="61"/>
        <v>1.1586675922900957</v>
      </c>
      <c r="DP45" s="164">
        <f t="shared" si="62"/>
        <v>0.74997938559555399</v>
      </c>
      <c r="DQ45" s="164">
        <f t="shared" si="63"/>
        <v>1.1437777069209292</v>
      </c>
      <c r="DR45" s="164">
        <f t="shared" si="64"/>
        <v>1.2410074655904093</v>
      </c>
      <c r="DS45" s="164">
        <f t="shared" si="65"/>
        <v>0.98506711039500339</v>
      </c>
      <c r="DT45" s="164">
        <f t="shared" si="66"/>
        <v>1.0155732786684932</v>
      </c>
      <c r="DU45" s="164">
        <f t="shared" si="67"/>
        <v>0.83232467070131722</v>
      </c>
      <c r="DV45" s="164">
        <f t="shared" si="68"/>
        <v>1.0883243640124636</v>
      </c>
      <c r="DW45" s="127"/>
      <c r="EA45" s="131" t="s">
        <v>261</v>
      </c>
      <c r="EB45" s="3" t="s">
        <v>231</v>
      </c>
      <c r="EC45" s="2"/>
      <c r="ED45" s="2"/>
      <c r="EE45" s="164">
        <f t="shared" si="69"/>
        <v>1.0233667132147761</v>
      </c>
      <c r="EF45" s="164">
        <f t="shared" si="70"/>
        <v>1.325329390477251</v>
      </c>
      <c r="EG45" s="164">
        <f t="shared" si="71"/>
        <v>0.80602792288606817</v>
      </c>
      <c r="EH45" s="164">
        <f t="shared" si="72"/>
        <v>1.1200225788202165</v>
      </c>
      <c r="EI45" s="164">
        <f t="shared" si="73"/>
        <v>0.97944881048297505</v>
      </c>
      <c r="EJ45" s="164">
        <f t="shared" si="74"/>
        <v>0.7835572858559523</v>
      </c>
      <c r="EK45" s="164">
        <f t="shared" si="75"/>
        <v>1.215021669645209</v>
      </c>
      <c r="EL45" s="164">
        <f t="shared" si="76"/>
        <v>1.0390625</v>
      </c>
      <c r="EM45" s="164">
        <f t="shared" si="77"/>
        <v>1.0333734311685776</v>
      </c>
      <c r="EN45" s="127"/>
      <c r="ER45" s="126"/>
      <c r="ES45" s="3"/>
      <c r="ET45" s="3"/>
      <c r="EU45" s="2"/>
      <c r="EV45" s="4"/>
      <c r="EW45" s="4"/>
      <c r="EX45" s="4"/>
      <c r="EY45" s="4"/>
      <c r="EZ45" s="4"/>
      <c r="FA45" s="4"/>
      <c r="FB45" s="4"/>
      <c r="FC45" s="4"/>
      <c r="FD45" s="4"/>
      <c r="FE45" s="127"/>
      <c r="FI45" s="126"/>
      <c r="FJ45" s="3"/>
      <c r="FK45" s="3"/>
      <c r="FL45" s="2"/>
      <c r="FM45" s="4"/>
      <c r="FN45" s="4"/>
      <c r="FO45" s="4"/>
      <c r="FP45" s="4"/>
      <c r="FQ45" s="4"/>
      <c r="FR45" s="4"/>
      <c r="FS45" s="4"/>
      <c r="FT45" s="4"/>
      <c r="FU45" s="4"/>
      <c r="FV45" s="127"/>
    </row>
    <row r="46" spans="3:178" ht="15.5" x14ac:dyDescent="0.35">
      <c r="C46" s="131" t="s">
        <v>261</v>
      </c>
      <c r="D46" s="3" t="s">
        <v>210</v>
      </c>
      <c r="E46" s="3"/>
      <c r="F46" s="2"/>
      <c r="G46" s="4">
        <v>2.8173059999999976</v>
      </c>
      <c r="H46" s="4">
        <v>9.5694520000000018</v>
      </c>
      <c r="I46" s="4">
        <v>0.22822485889165689</v>
      </c>
      <c r="J46" s="4">
        <v>0.77177514110834311</v>
      </c>
      <c r="K46" s="4">
        <v>0.35800746997613492</v>
      </c>
      <c r="L46" s="4">
        <v>8.0964932883784743E-2</v>
      </c>
      <c r="M46" s="4">
        <v>12.386757999999999</v>
      </c>
      <c r="N46" s="4">
        <v>14</v>
      </c>
      <c r="O46" s="4">
        <v>5.0983084739022164</v>
      </c>
      <c r="P46" s="127"/>
      <c r="T46" s="131" t="s">
        <v>261</v>
      </c>
      <c r="U46" s="3" t="s">
        <v>210</v>
      </c>
      <c r="V46" s="2"/>
      <c r="W46" s="2"/>
      <c r="X46" s="164">
        <v>5.319003999999997</v>
      </c>
      <c r="Y46" s="164">
        <v>10.207502000000003</v>
      </c>
      <c r="Z46" s="164">
        <v>0.34521997536082544</v>
      </c>
      <c r="AA46" s="164">
        <v>0.65478002463917462</v>
      </c>
      <c r="AB46" s="164">
        <v>0.1883182381078006</v>
      </c>
      <c r="AC46" s="164">
        <v>6.4833885501468735E-2</v>
      </c>
      <c r="AD46" s="164">
        <v>15.526506000000001</v>
      </c>
      <c r="AE46" s="4">
        <v>28.4</v>
      </c>
      <c r="AF46" s="193">
        <v>5.3398565977716395</v>
      </c>
      <c r="AG46" s="127"/>
      <c r="AK46" s="126"/>
      <c r="AL46" s="3"/>
      <c r="AM46" s="3"/>
      <c r="AN46" s="2"/>
      <c r="AO46" s="4"/>
      <c r="AP46" s="4"/>
      <c r="AQ46" s="4"/>
      <c r="AR46" s="4"/>
      <c r="AS46" s="4"/>
      <c r="AT46" s="4"/>
      <c r="AU46" s="4"/>
      <c r="AV46" s="4"/>
      <c r="AW46" s="4"/>
      <c r="AX46" s="127"/>
      <c r="BB46" s="126"/>
      <c r="BC46" s="3"/>
      <c r="BD46" s="3"/>
      <c r="BE46" s="2"/>
      <c r="BF46" s="4"/>
      <c r="BG46" s="4"/>
      <c r="BH46" s="4"/>
      <c r="BI46" s="4"/>
      <c r="BJ46" s="4"/>
      <c r="BK46" s="4"/>
      <c r="BL46" s="4"/>
      <c r="BM46" s="4"/>
      <c r="BN46" s="4"/>
      <c r="BO46" s="127"/>
      <c r="BS46" s="126"/>
      <c r="BT46" s="3"/>
      <c r="BU46" s="3"/>
      <c r="BV46" s="2"/>
      <c r="BW46" s="4"/>
      <c r="BX46" s="4"/>
      <c r="BY46" s="4"/>
      <c r="BZ46" s="4"/>
      <c r="CA46" s="4"/>
      <c r="CB46" s="4"/>
      <c r="CC46" s="4"/>
      <c r="CD46" s="4"/>
      <c r="CE46" s="4"/>
      <c r="CF46" s="127"/>
      <c r="CJ46" s="126"/>
      <c r="CK46" s="3"/>
      <c r="CL46" s="3"/>
      <c r="CM46" s="2"/>
      <c r="CN46" s="4"/>
      <c r="CO46" s="4"/>
      <c r="CP46" s="4"/>
      <c r="CQ46" s="4"/>
      <c r="CR46" s="4"/>
      <c r="CS46" s="4"/>
      <c r="CT46" s="4"/>
      <c r="CU46" s="4"/>
      <c r="CV46" s="4"/>
      <c r="CW46" s="127"/>
      <c r="DJ46" s="131" t="s">
        <v>261</v>
      </c>
      <c r="DK46" s="3" t="s">
        <v>210</v>
      </c>
      <c r="DL46" s="3"/>
      <c r="DM46" s="2"/>
      <c r="DN46" s="164">
        <f t="shared" si="60"/>
        <v>0.73394820086292656</v>
      </c>
      <c r="DO46" s="164">
        <f t="shared" si="61"/>
        <v>1.0490970595466429</v>
      </c>
      <c r="DP46" s="164">
        <f t="shared" si="62"/>
        <v>0.7648692193081561</v>
      </c>
      <c r="DQ46" s="164">
        <f t="shared" si="63"/>
        <v>1.0999967449631498</v>
      </c>
      <c r="DR46" s="164">
        <f t="shared" si="64"/>
        <v>1.2474253341147548</v>
      </c>
      <c r="DS46" s="164">
        <f t="shared" si="65"/>
        <v>1.0394981269154835</v>
      </c>
      <c r="DT46" s="164">
        <f t="shared" si="66"/>
        <v>0.95146564347481777</v>
      </c>
      <c r="DU46" s="164">
        <f t="shared" si="67"/>
        <v>0.76132930513595165</v>
      </c>
      <c r="DV46" s="164">
        <f t="shared" si="68"/>
        <v>1.0448673498489729</v>
      </c>
      <c r="DW46" s="127"/>
      <c r="EA46" s="131" t="s">
        <v>261</v>
      </c>
      <c r="EB46" s="3" t="s">
        <v>210</v>
      </c>
      <c r="EC46" s="2"/>
      <c r="ED46" s="2"/>
      <c r="EE46" s="164">
        <f t="shared" si="69"/>
        <v>1.0451118087153621</v>
      </c>
      <c r="EF46" s="164">
        <f t="shared" si="70"/>
        <v>1.08123069026768</v>
      </c>
      <c r="EG46" s="164">
        <f t="shared" si="71"/>
        <v>0.9673232292606968</v>
      </c>
      <c r="EH46" s="164">
        <f t="shared" si="72"/>
        <v>1.0181331216623235</v>
      </c>
      <c r="EI46" s="164">
        <f t="shared" si="73"/>
        <v>0.93156523189599194</v>
      </c>
      <c r="EJ46" s="164">
        <f t="shared" si="74"/>
        <v>0.92854679206724056</v>
      </c>
      <c r="EK46" s="164">
        <f t="shared" si="75"/>
        <v>1.0642989631186262</v>
      </c>
      <c r="EL46" s="164">
        <f t="shared" si="76"/>
        <v>1.109856708640903</v>
      </c>
      <c r="EM46" s="164">
        <f t="shared" si="77"/>
        <v>1.0679376729611993</v>
      </c>
      <c r="EN46" s="127"/>
      <c r="ER46" s="126"/>
      <c r="ES46" s="3"/>
      <c r="ET46" s="3"/>
      <c r="EU46" s="2"/>
      <c r="EV46" s="4"/>
      <c r="EW46" s="4"/>
      <c r="EX46" s="4"/>
      <c r="EY46" s="4"/>
      <c r="EZ46" s="4"/>
      <c r="FA46" s="4"/>
      <c r="FB46" s="4"/>
      <c r="FC46" s="4"/>
      <c r="FD46" s="4"/>
      <c r="FE46" s="127"/>
      <c r="FI46" s="126"/>
      <c r="FJ46" s="3"/>
      <c r="FK46" s="3"/>
      <c r="FL46" s="2"/>
      <c r="FM46" s="4"/>
      <c r="FN46" s="4"/>
      <c r="FO46" s="4"/>
      <c r="FP46" s="4"/>
      <c r="FQ46" s="4"/>
      <c r="FR46" s="4"/>
      <c r="FS46" s="4"/>
      <c r="FT46" s="4"/>
      <c r="FU46" s="4"/>
      <c r="FV46" s="127"/>
    </row>
    <row r="47" spans="3:178" ht="15.5" x14ac:dyDescent="0.35">
      <c r="C47" s="131" t="s">
        <v>261</v>
      </c>
      <c r="D47" s="3" t="s">
        <v>256</v>
      </c>
      <c r="E47" s="3"/>
      <c r="F47" s="2"/>
      <c r="G47" s="4">
        <v>3.9229466666666659</v>
      </c>
      <c r="H47" s="4">
        <v>9.28595333333333</v>
      </c>
      <c r="I47" s="4">
        <v>0.29700050033308556</v>
      </c>
      <c r="J47" s="4">
        <v>0.70299949966691455</v>
      </c>
      <c r="K47" s="4">
        <v>0.25493148524782699</v>
      </c>
      <c r="L47" s="4">
        <v>7.5707137565821772E-2</v>
      </c>
      <c r="M47" s="4">
        <v>13.208899999999995</v>
      </c>
      <c r="N47" s="4">
        <v>26.666666666666668</v>
      </c>
      <c r="O47" s="4">
        <v>6.7940520232177626</v>
      </c>
      <c r="P47" s="127"/>
      <c r="T47" s="131" t="s">
        <v>261</v>
      </c>
      <c r="U47" s="3" t="s">
        <v>256</v>
      </c>
      <c r="V47" s="2"/>
      <c r="W47" s="2"/>
      <c r="X47" s="164">
        <v>3.5767183333333326</v>
      </c>
      <c r="Y47" s="164">
        <v>7.4755983333333331</v>
      </c>
      <c r="Z47" s="164">
        <v>0.32877343788141311</v>
      </c>
      <c r="AA47" s="164">
        <v>0.671226562118587</v>
      </c>
      <c r="AB47" s="164">
        <v>0.28013482182681176</v>
      </c>
      <c r="AC47" s="164">
        <v>9.2409715689251812E-2</v>
      </c>
      <c r="AD47" s="164">
        <v>11.052316666666664</v>
      </c>
      <c r="AE47" s="4">
        <v>28.5</v>
      </c>
      <c r="AF47" s="193">
        <v>7.9139086156450231</v>
      </c>
      <c r="AG47" s="127"/>
      <c r="AK47" s="126"/>
      <c r="AL47" s="3"/>
      <c r="AM47" s="3"/>
      <c r="AN47" s="2"/>
      <c r="AO47" s="4"/>
      <c r="AP47" s="4"/>
      <c r="AQ47" s="4"/>
      <c r="AR47" s="4"/>
      <c r="AS47" s="4"/>
      <c r="AT47" s="4"/>
      <c r="AU47" s="4"/>
      <c r="AV47" s="4"/>
      <c r="AW47" s="4"/>
      <c r="AX47" s="127"/>
      <c r="BB47" s="126"/>
      <c r="BC47" s="3"/>
      <c r="BD47" s="3"/>
      <c r="BE47" s="2"/>
      <c r="BF47" s="4"/>
      <c r="BG47" s="4"/>
      <c r="BH47" s="4"/>
      <c r="BI47" s="4"/>
      <c r="BJ47" s="4"/>
      <c r="BK47" s="4"/>
      <c r="BL47" s="4"/>
      <c r="BM47" s="4"/>
      <c r="BN47" s="4"/>
      <c r="BO47" s="127"/>
      <c r="BS47" s="126"/>
      <c r="BT47" s="3"/>
      <c r="BU47" s="3"/>
      <c r="BV47" s="2"/>
      <c r="BW47" s="4"/>
      <c r="BX47" s="4"/>
      <c r="BY47" s="4"/>
      <c r="BZ47" s="4"/>
      <c r="CA47" s="4"/>
      <c r="CB47" s="4"/>
      <c r="CC47" s="4"/>
      <c r="CD47" s="4"/>
      <c r="CE47" s="4"/>
      <c r="CF47" s="127"/>
      <c r="CJ47" s="126"/>
      <c r="CK47" s="3"/>
      <c r="CL47" s="3"/>
      <c r="CM47" s="2"/>
      <c r="CN47" s="4"/>
      <c r="CO47" s="4"/>
      <c r="CP47" s="4"/>
      <c r="CQ47" s="4"/>
      <c r="CR47" s="4"/>
      <c r="CS47" s="4"/>
      <c r="CT47" s="4"/>
      <c r="CU47" s="4"/>
      <c r="CV47" s="4"/>
      <c r="CW47" s="127"/>
      <c r="DJ47" s="131" t="s">
        <v>261</v>
      </c>
      <c r="DK47" s="3" t="s">
        <v>256</v>
      </c>
      <c r="DL47" s="3"/>
      <c r="DM47" s="2"/>
      <c r="DN47" s="164">
        <f t="shared" si="60"/>
        <v>0.89828076196905848</v>
      </c>
      <c r="DO47" s="164">
        <f t="shared" si="61"/>
        <v>1.2403417758057502</v>
      </c>
      <c r="DP47" s="164">
        <f t="shared" si="62"/>
        <v>0.77986542771524914</v>
      </c>
      <c r="DQ47" s="164">
        <f t="shared" si="63"/>
        <v>1.135400345731542</v>
      </c>
      <c r="DR47" s="164">
        <f t="shared" si="64"/>
        <v>1.0960001677611186</v>
      </c>
      <c r="DS47" s="164">
        <f t="shared" si="65"/>
        <v>0.88226779794397203</v>
      </c>
      <c r="DT47" s="164">
        <f t="shared" si="66"/>
        <v>1.1143195928682879</v>
      </c>
      <c r="DU47" s="164">
        <f t="shared" si="67"/>
        <v>0.93294460641399424</v>
      </c>
      <c r="DV47" s="164">
        <f t="shared" si="68"/>
        <v>1.0366958016975789</v>
      </c>
      <c r="DW47" s="127"/>
      <c r="EA47" s="131" t="s">
        <v>261</v>
      </c>
      <c r="EB47" s="3" t="s">
        <v>256</v>
      </c>
      <c r="EC47" s="2"/>
      <c r="ED47" s="2"/>
      <c r="EE47" s="164">
        <f t="shared" si="69"/>
        <v>0.85280613773116909</v>
      </c>
      <c r="EF47" s="164">
        <f t="shared" si="70"/>
        <v>1.1358621378854754</v>
      </c>
      <c r="EG47" s="164">
        <f t="shared" si="71"/>
        <v>0.82872489992670917</v>
      </c>
      <c r="EH47" s="164">
        <f t="shared" si="72"/>
        <v>1.1126323408360732</v>
      </c>
      <c r="EI47" s="164">
        <f t="shared" si="73"/>
        <v>1.1424591818383225</v>
      </c>
      <c r="EJ47" s="164">
        <f t="shared" si="74"/>
        <v>0.98140125570128456</v>
      </c>
      <c r="EK47" s="164">
        <f t="shared" si="75"/>
        <v>1.0256905008583619</v>
      </c>
      <c r="EL47" s="164">
        <f t="shared" si="76"/>
        <v>0.96610169491525422</v>
      </c>
      <c r="EM47" s="164">
        <f t="shared" si="77"/>
        <v>1.1125209063261272</v>
      </c>
      <c r="EN47" s="127"/>
      <c r="ER47" s="126"/>
      <c r="ES47" s="3"/>
      <c r="ET47" s="3"/>
      <c r="EU47" s="2"/>
      <c r="EV47" s="4"/>
      <c r="EW47" s="4"/>
      <c r="EX47" s="4"/>
      <c r="EY47" s="4"/>
      <c r="EZ47" s="4"/>
      <c r="FA47" s="4"/>
      <c r="FB47" s="4"/>
      <c r="FC47" s="4"/>
      <c r="FD47" s="4"/>
      <c r="FE47" s="127"/>
      <c r="FI47" s="126"/>
      <c r="FJ47" s="3"/>
      <c r="FK47" s="3"/>
      <c r="FL47" s="2"/>
      <c r="FM47" s="4"/>
      <c r="FN47" s="4"/>
      <c r="FO47" s="4"/>
      <c r="FP47" s="4"/>
      <c r="FQ47" s="4"/>
      <c r="FR47" s="4"/>
      <c r="FS47" s="4"/>
      <c r="FT47" s="4"/>
      <c r="FU47" s="4"/>
      <c r="FV47" s="127"/>
    </row>
    <row r="48" spans="3:178" ht="15.5" x14ac:dyDescent="0.35">
      <c r="C48" s="131" t="s">
        <v>261</v>
      </c>
      <c r="D48" s="3" t="s">
        <v>304</v>
      </c>
      <c r="E48" s="3"/>
      <c r="F48" s="2"/>
      <c r="G48" s="4">
        <v>4.4288081818181846</v>
      </c>
      <c r="H48" s="4">
        <v>12.091582727272721</v>
      </c>
      <c r="I48" s="4">
        <v>0.2761888079849808</v>
      </c>
      <c r="J48" s="4">
        <v>0.7238111920150192</v>
      </c>
      <c r="K48" s="4">
        <v>0.23443122376130712</v>
      </c>
      <c r="L48" s="4">
        <v>6.1971056327194546E-2</v>
      </c>
      <c r="M48" s="4">
        <v>16.520390909090906</v>
      </c>
      <c r="N48" s="4">
        <v>54.555555555555557</v>
      </c>
      <c r="O48" s="4">
        <v>11.29305128159384</v>
      </c>
      <c r="P48" s="127"/>
      <c r="T48" s="131" t="s">
        <v>261</v>
      </c>
      <c r="U48" s="3" t="s">
        <v>304</v>
      </c>
      <c r="V48" s="2"/>
      <c r="W48" s="2"/>
      <c r="X48" s="164">
        <v>7.0632271428571425</v>
      </c>
      <c r="Y48" s="164">
        <v>13.315464285714281</v>
      </c>
      <c r="Z48" s="164">
        <v>0.35283928173381918</v>
      </c>
      <c r="AA48" s="164">
        <v>0.64716071826618093</v>
      </c>
      <c r="AB48" s="164">
        <v>0.14252783490043935</v>
      </c>
      <c r="AC48" s="164">
        <v>4.975172868428248E-2</v>
      </c>
      <c r="AD48" s="164">
        <v>20.378691428571422</v>
      </c>
      <c r="AE48" s="4">
        <v>85.875</v>
      </c>
      <c r="AF48" s="193">
        <v>11.120080270647852</v>
      </c>
      <c r="AG48" s="127"/>
      <c r="AK48" s="126"/>
      <c r="AL48" s="3"/>
      <c r="AM48" s="3"/>
      <c r="AN48" s="2"/>
      <c r="AO48" s="4"/>
      <c r="AP48" s="4"/>
      <c r="AQ48" s="4"/>
      <c r="AR48" s="4"/>
      <c r="AS48" s="4"/>
      <c r="AT48" s="4"/>
      <c r="AU48" s="4"/>
      <c r="AV48" s="4"/>
      <c r="AW48" s="4"/>
      <c r="AX48" s="127"/>
      <c r="BB48" s="126"/>
      <c r="BC48" s="3"/>
      <c r="BD48" s="3"/>
      <c r="BE48" s="2"/>
      <c r="BF48" s="4"/>
      <c r="BG48" s="4"/>
      <c r="BH48" s="4"/>
      <c r="BI48" s="4"/>
      <c r="BJ48" s="4"/>
      <c r="BK48" s="4"/>
      <c r="BL48" s="4"/>
      <c r="BM48" s="4"/>
      <c r="BN48" s="4"/>
      <c r="BO48" s="127"/>
      <c r="BS48" s="126"/>
      <c r="BT48" s="3"/>
      <c r="BU48" s="3"/>
      <c r="BV48" s="2"/>
      <c r="BW48" s="4"/>
      <c r="BX48" s="4"/>
      <c r="BY48" s="4"/>
      <c r="BZ48" s="4"/>
      <c r="CA48" s="4"/>
      <c r="CB48" s="4"/>
      <c r="CC48" s="4"/>
      <c r="CD48" s="4"/>
      <c r="CE48" s="4"/>
      <c r="CF48" s="127"/>
      <c r="CJ48" s="126"/>
      <c r="CK48" s="3"/>
      <c r="CL48" s="3"/>
      <c r="CM48" s="2"/>
      <c r="CN48" s="4"/>
      <c r="CO48" s="4"/>
      <c r="CP48" s="4"/>
      <c r="CQ48" s="4"/>
      <c r="CR48" s="4"/>
      <c r="CS48" s="4"/>
      <c r="CT48" s="4"/>
      <c r="CU48" s="4"/>
      <c r="CV48" s="4"/>
      <c r="CW48" s="127"/>
      <c r="DJ48" s="131" t="s">
        <v>261</v>
      </c>
      <c r="DK48" s="3" t="s">
        <v>304</v>
      </c>
      <c r="DL48" s="3"/>
      <c r="DM48" s="2"/>
      <c r="DN48" s="164">
        <f t="shared" si="60"/>
        <v>0.94877794578117147</v>
      </c>
      <c r="DO48" s="164">
        <f t="shared" si="61"/>
        <v>1.1028175964679772</v>
      </c>
      <c r="DP48" s="164">
        <f t="shared" si="62"/>
        <v>0.90609602430780167</v>
      </c>
      <c r="DQ48" s="164">
        <f t="shared" si="63"/>
        <v>1.041173090955966</v>
      </c>
      <c r="DR48" s="164">
        <f t="shared" si="64"/>
        <v>1.0637205084863517</v>
      </c>
      <c r="DS48" s="164">
        <f t="shared" si="65"/>
        <v>0.95374268350514724</v>
      </c>
      <c r="DT48" s="164">
        <f t="shared" si="66"/>
        <v>1.0568199614264109</v>
      </c>
      <c r="DU48" s="164">
        <f t="shared" si="67"/>
        <v>0.77667928365629058</v>
      </c>
      <c r="DV48" s="164">
        <f t="shared" si="68"/>
        <v>1.05656062371224</v>
      </c>
      <c r="DW48" s="127"/>
      <c r="EA48" s="131" t="s">
        <v>261</v>
      </c>
      <c r="EB48" s="3" t="s">
        <v>304</v>
      </c>
      <c r="EC48" s="2"/>
      <c r="ED48" s="2"/>
      <c r="EE48" s="164">
        <f t="shared" si="69"/>
        <v>1.1801317422518678</v>
      </c>
      <c r="EF48" s="164">
        <f t="shared" si="70"/>
        <v>1.1502444114731412</v>
      </c>
      <c r="EG48" s="164">
        <f t="shared" si="71"/>
        <v>1.0282749733276115</v>
      </c>
      <c r="EH48" s="164">
        <f t="shared" si="72"/>
        <v>0.98522950237288143</v>
      </c>
      <c r="EI48" s="164">
        <f t="shared" si="73"/>
        <v>0.81707671687817007</v>
      </c>
      <c r="EJ48" s="164">
        <f t="shared" si="74"/>
        <v>0.84515423702915604</v>
      </c>
      <c r="EK48" s="164">
        <f t="shared" si="75"/>
        <v>1.1604303865754002</v>
      </c>
      <c r="EL48" s="164">
        <f t="shared" si="76"/>
        <v>0.99968818210165267</v>
      </c>
      <c r="EM48" s="164">
        <f t="shared" si="77"/>
        <v>1.0488645571646689</v>
      </c>
      <c r="EN48" s="127"/>
      <c r="ER48" s="126"/>
      <c r="ES48" s="3"/>
      <c r="ET48" s="3"/>
      <c r="EU48" s="2"/>
      <c r="EV48" s="4"/>
      <c r="EW48" s="4"/>
      <c r="EX48" s="4"/>
      <c r="EY48" s="4"/>
      <c r="EZ48" s="4"/>
      <c r="FA48" s="4"/>
      <c r="FB48" s="4"/>
      <c r="FC48" s="4"/>
      <c r="FD48" s="4"/>
      <c r="FE48" s="127"/>
      <c r="FI48" s="126"/>
      <c r="FJ48" s="3"/>
      <c r="FK48" s="3"/>
      <c r="FL48" s="2"/>
      <c r="FM48" s="4"/>
      <c r="FN48" s="4"/>
      <c r="FO48" s="4"/>
      <c r="FP48" s="4"/>
      <c r="FQ48" s="4"/>
      <c r="FR48" s="4"/>
      <c r="FS48" s="4"/>
      <c r="FT48" s="4"/>
      <c r="FU48" s="4"/>
      <c r="FV48" s="127"/>
    </row>
    <row r="49" spans="3:178" x14ac:dyDescent="0.35">
      <c r="C49" s="126"/>
      <c r="D49" s="2"/>
      <c r="E49" s="2"/>
      <c r="F49" s="2"/>
      <c r="G49" s="2"/>
      <c r="H49" s="2"/>
      <c r="I49" s="2"/>
      <c r="J49" s="2"/>
      <c r="K49" s="2"/>
      <c r="L49" s="2"/>
      <c r="M49" s="2"/>
      <c r="N49" s="3"/>
      <c r="O49" s="2"/>
      <c r="P49" s="127"/>
      <c r="T49" s="126"/>
      <c r="U49" s="2"/>
      <c r="V49" s="3"/>
      <c r="W49" s="2"/>
      <c r="X49" s="2"/>
      <c r="Y49" s="2"/>
      <c r="Z49" s="2"/>
      <c r="AA49" s="2"/>
      <c r="AB49" s="3"/>
      <c r="AC49" s="2"/>
      <c r="AD49" s="2"/>
      <c r="AE49" s="2"/>
      <c r="AF49" s="2"/>
      <c r="AG49" s="127"/>
      <c r="AK49" s="126"/>
      <c r="AL49" s="2"/>
      <c r="AM49" s="2"/>
      <c r="AN49" s="2"/>
      <c r="AO49" s="2"/>
      <c r="AP49" s="2"/>
      <c r="AQ49" s="2"/>
      <c r="AR49" s="2"/>
      <c r="AS49" s="2"/>
      <c r="AT49" s="2"/>
      <c r="AU49" s="2"/>
      <c r="AV49" s="3"/>
      <c r="AW49" s="2"/>
      <c r="AX49" s="127"/>
      <c r="BB49" s="126"/>
      <c r="BC49" s="2"/>
      <c r="BD49" s="2"/>
      <c r="BE49" s="2"/>
      <c r="BF49" s="2"/>
      <c r="BG49" s="2"/>
      <c r="BH49" s="2"/>
      <c r="BI49" s="2"/>
      <c r="BJ49" s="2"/>
      <c r="BK49" s="2"/>
      <c r="BL49" s="2"/>
      <c r="BM49" s="3"/>
      <c r="BN49" s="2"/>
      <c r="BO49" s="127"/>
      <c r="BS49" s="126"/>
      <c r="BT49" s="2"/>
      <c r="BU49" s="2"/>
      <c r="BV49" s="2"/>
      <c r="BW49" s="2"/>
      <c r="BX49" s="2"/>
      <c r="BY49" s="2"/>
      <c r="BZ49" s="2"/>
      <c r="CA49" s="2"/>
      <c r="CB49" s="2"/>
      <c r="CC49" s="2"/>
      <c r="CD49" s="3"/>
      <c r="CE49" s="2"/>
      <c r="CF49" s="127"/>
      <c r="CJ49" s="126"/>
      <c r="CK49" s="2"/>
      <c r="CL49" s="2"/>
      <c r="CM49" s="2"/>
      <c r="CN49" s="2"/>
      <c r="CO49" s="2"/>
      <c r="CP49" s="2"/>
      <c r="CQ49" s="2"/>
      <c r="CR49" s="2"/>
      <c r="CS49" s="2"/>
      <c r="CT49" s="2"/>
      <c r="CU49" s="3"/>
      <c r="CV49" s="2"/>
      <c r="CW49" s="127"/>
      <c r="DJ49" s="126"/>
      <c r="DK49" s="2"/>
      <c r="DL49" s="2"/>
      <c r="DM49" s="2"/>
      <c r="DN49" s="2"/>
      <c r="DO49" s="2"/>
      <c r="DP49" s="2"/>
      <c r="DQ49" s="2"/>
      <c r="DR49" s="2"/>
      <c r="DS49" s="2"/>
      <c r="DT49" s="2"/>
      <c r="DU49" s="3"/>
      <c r="DV49" s="2"/>
      <c r="DW49" s="127"/>
      <c r="EA49" s="126"/>
      <c r="EB49" s="2"/>
      <c r="EC49" s="3"/>
      <c r="ED49" s="2"/>
      <c r="EE49" s="2"/>
      <c r="EF49" s="2"/>
      <c r="EG49" s="2"/>
      <c r="EH49" s="2"/>
      <c r="EI49" s="3"/>
      <c r="EJ49" s="2"/>
      <c r="EK49" s="2"/>
      <c r="EL49" s="2"/>
      <c r="EM49" s="2"/>
      <c r="EN49" s="127"/>
      <c r="ER49" s="126"/>
      <c r="ES49" s="2"/>
      <c r="ET49" s="2"/>
      <c r="EU49" s="2"/>
      <c r="EV49" s="2"/>
      <c r="EW49" s="2"/>
      <c r="EX49" s="2"/>
      <c r="EY49" s="2"/>
      <c r="EZ49" s="2"/>
      <c r="FA49" s="2"/>
      <c r="FB49" s="2"/>
      <c r="FC49" s="3"/>
      <c r="FD49" s="2"/>
      <c r="FE49" s="127"/>
      <c r="FI49" s="126"/>
      <c r="FJ49" s="2"/>
      <c r="FK49" s="2"/>
      <c r="FL49" s="2"/>
      <c r="FM49" s="2"/>
      <c r="FN49" s="2"/>
      <c r="FO49" s="2"/>
      <c r="FP49" s="2"/>
      <c r="FQ49" s="2"/>
      <c r="FR49" s="2"/>
      <c r="FS49" s="2"/>
      <c r="FT49" s="3"/>
      <c r="FU49" s="2"/>
      <c r="FV49" s="127"/>
    </row>
    <row r="50" spans="3:178" ht="18.5" x14ac:dyDescent="0.45">
      <c r="C50" s="126"/>
      <c r="D50" s="2"/>
      <c r="E50" s="1" t="s">
        <v>77</v>
      </c>
      <c r="F50" s="152"/>
      <c r="G50" s="1">
        <f>AVERAGE(G33:G48)</f>
        <v>3.3630874023606601</v>
      </c>
      <c r="H50" s="1">
        <f t="shared" ref="H50:O50" si="78">AVERAGE(H33:H48)</f>
        <v>11.185984239650974</v>
      </c>
      <c r="I50" s="1">
        <f t="shared" si="78"/>
        <v>0.25523040117282159</v>
      </c>
      <c r="J50" s="1">
        <f t="shared" si="78"/>
        <v>0.7447695988271783</v>
      </c>
      <c r="K50" s="1">
        <f t="shared" si="78"/>
        <v>0.38578760188806466</v>
      </c>
      <c r="L50" s="1">
        <f t="shared" si="78"/>
        <v>7.8422728585490098E-2</v>
      </c>
      <c r="M50" s="1">
        <f t="shared" si="78"/>
        <v>14.549071642011635</v>
      </c>
      <c r="N50" s="1">
        <f t="shared" si="78"/>
        <v>24.654265873015873</v>
      </c>
      <c r="O50" s="1">
        <f t="shared" si="78"/>
        <v>6.6219302271282707</v>
      </c>
      <c r="P50" s="127"/>
      <c r="T50" s="126"/>
      <c r="U50" s="2"/>
      <c r="V50" s="1" t="s">
        <v>121</v>
      </c>
      <c r="W50" s="1"/>
      <c r="X50" s="1">
        <f>AVERAGE(X33:X48)</f>
        <v>5.4310120312950918</v>
      </c>
      <c r="Y50" s="1">
        <f t="shared" ref="Y50:AF50" si="79">AVERAGE(Y33:Y48)</f>
        <v>14.194942934564393</v>
      </c>
      <c r="Z50" s="1">
        <f t="shared" si="79"/>
        <v>0.30865363065474227</v>
      </c>
      <c r="AA50" s="1">
        <f t="shared" si="79"/>
        <v>0.69130515602511267</v>
      </c>
      <c r="AB50" s="1">
        <f t="shared" si="79"/>
        <v>0.2137514583476571</v>
      </c>
      <c r="AC50" s="1">
        <f t="shared" si="79"/>
        <v>6.0197131526980981E-2</v>
      </c>
      <c r="AD50" s="1">
        <f t="shared" si="79"/>
        <v>19.627223358473124</v>
      </c>
      <c r="AE50" s="1">
        <f t="shared" si="79"/>
        <v>34.947567587641117</v>
      </c>
      <c r="AF50" s="1">
        <f t="shared" si="79"/>
        <v>6.2474532488028407</v>
      </c>
      <c r="AG50" s="127"/>
      <c r="AK50" s="126"/>
      <c r="AL50" s="2"/>
      <c r="AM50" s="1" t="s">
        <v>77</v>
      </c>
      <c r="AN50" s="152"/>
      <c r="AO50" s="1">
        <f>AVERAGE(AO33:AO48)</f>
        <v>3.2721504497354501</v>
      </c>
      <c r="AP50" s="1">
        <f t="shared" ref="AP50:AW50" si="80">AVERAGE(AP33:AP48)</f>
        <v>11.608693630952381</v>
      </c>
      <c r="AQ50" s="1">
        <f t="shared" si="80"/>
        <v>0.23478403891405411</v>
      </c>
      <c r="AR50" s="1">
        <f t="shared" si="80"/>
        <v>0.76521596108594592</v>
      </c>
      <c r="AS50" s="1">
        <f t="shared" si="80"/>
        <v>0.33931163112129825</v>
      </c>
      <c r="AT50" s="1">
        <f t="shared" si="80"/>
        <v>7.6800011323539738E-2</v>
      </c>
      <c r="AU50" s="1">
        <f t="shared" si="80"/>
        <v>14.880844080687831</v>
      </c>
      <c r="AV50" s="1">
        <f t="shared" si="80"/>
        <v>27.102513227513228</v>
      </c>
      <c r="AW50" s="1">
        <f t="shared" si="80"/>
        <v>7.8719883222976774</v>
      </c>
      <c r="AX50" s="127"/>
      <c r="BB50" s="126"/>
      <c r="BC50" s="2"/>
      <c r="BD50" s="1" t="s">
        <v>77</v>
      </c>
      <c r="BE50" s="152"/>
      <c r="BF50" s="1">
        <f>AVERAGE(BF33:BF48)</f>
        <v>5.5741690185185204</v>
      </c>
      <c r="BG50" s="1">
        <f t="shared" ref="BG50:BN50" si="81">AVERAGE(BG33:BG48)</f>
        <v>14.641135777777782</v>
      </c>
      <c r="BH50" s="1">
        <f t="shared" si="81"/>
        <v>0.27601678458367845</v>
      </c>
      <c r="BI50" s="1">
        <f t="shared" si="81"/>
        <v>0.7239832154163216</v>
      </c>
      <c r="BJ50" s="1">
        <f t="shared" si="81"/>
        <v>0.20324507297062852</v>
      </c>
      <c r="BK50" s="1">
        <f t="shared" si="81"/>
        <v>5.2024020559802368E-2</v>
      </c>
      <c r="BL50" s="1">
        <f t="shared" si="81"/>
        <v>20.215304796296305</v>
      </c>
      <c r="BM50" s="1">
        <f t="shared" si="81"/>
        <v>40.341203703703705</v>
      </c>
      <c r="BN50" s="1">
        <f t="shared" si="81"/>
        <v>6.625801832808115</v>
      </c>
      <c r="BO50" s="127"/>
      <c r="BS50" s="126"/>
      <c r="BT50" s="2"/>
      <c r="BU50" s="1" t="s">
        <v>77</v>
      </c>
      <c r="BV50" s="152"/>
      <c r="BW50" s="1">
        <f>AVERAGE(BW33:BW48)</f>
        <v>2.5008330000000081</v>
      </c>
      <c r="BX50" s="1">
        <f t="shared" ref="BX50:CE50" si="82">AVERAGE(BX33:BX48)</f>
        <v>10.155572124999987</v>
      </c>
      <c r="BY50" s="1">
        <f t="shared" si="82"/>
        <v>0.18924646026472938</v>
      </c>
      <c r="BZ50" s="1">
        <f t="shared" si="82"/>
        <v>0.81075353973527053</v>
      </c>
      <c r="CA50" s="1">
        <f t="shared" si="82"/>
        <v>0.76602367921062009</v>
      </c>
      <c r="CB50" s="1">
        <f t="shared" si="82"/>
        <v>8.7550900167799373E-2</v>
      </c>
      <c r="CC50" s="1">
        <f t="shared" si="82"/>
        <v>12.656405124999994</v>
      </c>
      <c r="CD50" s="1">
        <f t="shared" si="82"/>
        <v>10.95</v>
      </c>
      <c r="CE50" s="1">
        <f t="shared" si="82"/>
        <v>5.1581994693431295</v>
      </c>
      <c r="CF50" s="127"/>
      <c r="CJ50" s="126"/>
      <c r="CK50" s="2"/>
      <c r="CL50" s="1" t="s">
        <v>77</v>
      </c>
      <c r="CM50" s="152"/>
      <c r="CN50" s="1">
        <f>AVERAGE(CN33:CN48)</f>
        <v>5.4923482916666657</v>
      </c>
      <c r="CO50" s="1">
        <f t="shared" ref="CO50:CV50" si="83">AVERAGE(CO33:CO48)</f>
        <v>14.190332041666668</v>
      </c>
      <c r="CP50" s="1">
        <f t="shared" si="83"/>
        <v>0.29189049751650359</v>
      </c>
      <c r="CQ50" s="1">
        <f t="shared" si="83"/>
        <v>0.70810950248349647</v>
      </c>
      <c r="CR50" s="1">
        <f t="shared" si="83"/>
        <v>0.19149552024500899</v>
      </c>
      <c r="CS50" s="1">
        <f t="shared" si="83"/>
        <v>5.4929724317469099E-2</v>
      </c>
      <c r="CT50" s="1">
        <f t="shared" si="83"/>
        <v>19.682680333333337</v>
      </c>
      <c r="CU50" s="1">
        <f t="shared" si="83"/>
        <v>22.608333333333334</v>
      </c>
      <c r="CV50" s="1">
        <f t="shared" si="83"/>
        <v>4.1971849117219335</v>
      </c>
      <c r="CW50" s="127"/>
      <c r="DJ50" s="126"/>
      <c r="DK50" s="2"/>
      <c r="DL50" s="1" t="s">
        <v>77</v>
      </c>
      <c r="DM50" s="152"/>
      <c r="DN50" s="1">
        <f>AVERAGE(DN33:DN48)</f>
        <v>0.7083277464837956</v>
      </c>
      <c r="DO50" s="1">
        <f t="shared" ref="DO50:DV50" si="84">AVERAGE(DO33:DO48)</f>
        <v>1.1083377595469304</v>
      </c>
      <c r="DP50" s="1">
        <f t="shared" si="84"/>
        <v>0.72931290633149237</v>
      </c>
      <c r="DQ50" s="1">
        <f t="shared" si="84"/>
        <v>1.1380819561600262</v>
      </c>
      <c r="DR50" s="1">
        <f t="shared" si="84"/>
        <v>1.3067543913135882</v>
      </c>
      <c r="DS50" s="1">
        <f t="shared" si="84"/>
        <v>1.0375622756766218</v>
      </c>
      <c r="DT50" s="1">
        <f t="shared" si="84"/>
        <v>0.97080043089518042</v>
      </c>
      <c r="DU50" s="1">
        <f t="shared" si="84"/>
        <v>0.80769909621653035</v>
      </c>
      <c r="DV50" s="1">
        <f t="shared" si="84"/>
        <v>1.11719591530166</v>
      </c>
      <c r="DW50" s="127"/>
      <c r="EA50" s="126"/>
      <c r="EB50" s="2"/>
      <c r="EC50" s="1" t="s">
        <v>121</v>
      </c>
      <c r="ED50" s="1"/>
      <c r="EE50" s="1">
        <f>AVERAGE(EE33:EE48)</f>
        <v>1.0165191532824744</v>
      </c>
      <c r="EF50" s="1">
        <f t="shared" ref="EF50:EM50" si="85">AVERAGE(EF33:EF48)</f>
        <v>1.2441248822152691</v>
      </c>
      <c r="EG50" s="1">
        <f t="shared" si="85"/>
        <v>0.86243719733724911</v>
      </c>
      <c r="EH50" s="1">
        <f t="shared" si="85"/>
        <v>1.0840183538955239</v>
      </c>
      <c r="EI50" s="1">
        <f t="shared" si="85"/>
        <v>0.98732672625804296</v>
      </c>
      <c r="EJ50" s="1">
        <f t="shared" si="85"/>
        <v>0.85008716839625564</v>
      </c>
      <c r="EK50" s="1">
        <f t="shared" si="85"/>
        <v>1.1646850657647914</v>
      </c>
      <c r="EL50" s="1">
        <f t="shared" si="85"/>
        <v>1.08267185068742</v>
      </c>
      <c r="EM50" s="1">
        <f t="shared" si="85"/>
        <v>1.0660560409619801</v>
      </c>
      <c r="EN50" s="127"/>
      <c r="ER50" s="126"/>
      <c r="ES50" s="2"/>
      <c r="ET50" s="1" t="s">
        <v>77</v>
      </c>
      <c r="EU50" s="152"/>
      <c r="EV50" s="1">
        <f>AVERAGE(EV33:EV48)</f>
        <v>0.73530034767739572</v>
      </c>
      <c r="EW50" s="1">
        <f t="shared" ref="EW50:FD50" si="86">AVERAGE(EW33:EW48)</f>
        <v>1.1258505387799298</v>
      </c>
      <c r="EX50" s="1">
        <f t="shared" si="86"/>
        <v>0.74972812061421468</v>
      </c>
      <c r="EY50" s="1">
        <f t="shared" si="86"/>
        <v>1.1174076597345659</v>
      </c>
      <c r="EZ50" s="1">
        <f t="shared" si="86"/>
        <v>1.2801907854902177</v>
      </c>
      <c r="FA50" s="1">
        <f t="shared" si="86"/>
        <v>1.019648590844656</v>
      </c>
      <c r="FB50" s="1">
        <f t="shared" si="86"/>
        <v>0.99554768310641961</v>
      </c>
      <c r="FC50" s="1">
        <f t="shared" si="86"/>
        <v>0.90775009812561336</v>
      </c>
      <c r="FD50" s="1">
        <f t="shared" si="86"/>
        <v>1.1750647238946352</v>
      </c>
      <c r="FE50" s="127"/>
      <c r="FI50" s="126"/>
      <c r="FJ50" s="2"/>
      <c r="FK50" s="1" t="s">
        <v>77</v>
      </c>
      <c r="FL50" s="152"/>
      <c r="FM50" s="1">
        <f>AVERAGE(FM33:FM48)</f>
        <v>0.97701581810316485</v>
      </c>
      <c r="FN50" s="1">
        <f t="shared" ref="FN50:FU50" si="87">AVERAGE(FN33:FN48)</f>
        <v>1.239280709009299</v>
      </c>
      <c r="FO50" s="1">
        <f t="shared" si="87"/>
        <v>0.8290077952121867</v>
      </c>
      <c r="FP50" s="1">
        <f t="shared" si="87"/>
        <v>1.0861365886280459</v>
      </c>
      <c r="FQ50" s="1">
        <f t="shared" si="87"/>
        <v>1.0346401705482648</v>
      </c>
      <c r="FR50" s="1">
        <f t="shared" si="87"/>
        <v>0.85064120451462977</v>
      </c>
      <c r="FS50" s="1">
        <f t="shared" si="87"/>
        <v>1.1468370275143061</v>
      </c>
      <c r="FT50" s="1">
        <f t="shared" si="87"/>
        <v>1.056092133969935</v>
      </c>
      <c r="FU50" s="1">
        <f t="shared" si="87"/>
        <v>1.0789488077635105</v>
      </c>
      <c r="FV50" s="127"/>
    </row>
    <row r="51" spans="3:178" ht="18.5" x14ac:dyDescent="0.45">
      <c r="C51" s="126"/>
      <c r="D51" s="2"/>
      <c r="E51" s="1" t="s">
        <v>89</v>
      </c>
      <c r="F51" s="152"/>
      <c r="G51" s="1">
        <f>_xlfn.STDEV.S(G33:G48)</f>
        <v>1.2010052291518636</v>
      </c>
      <c r="H51" s="1">
        <f t="shared" ref="H51:O51" si="88">_xlfn.STDEV.S(H33:H48)</f>
        <v>5.177256657328611</v>
      </c>
      <c r="I51" s="1">
        <f t="shared" si="88"/>
        <v>9.2839971976460905E-2</v>
      </c>
      <c r="J51" s="1">
        <f t="shared" si="88"/>
        <v>9.2839971976461613E-2</v>
      </c>
      <c r="K51" s="1">
        <f t="shared" si="88"/>
        <v>0.25351020031570137</v>
      </c>
      <c r="L51" s="1">
        <f t="shared" si="88"/>
        <v>2.3333215567884036E-2</v>
      </c>
      <c r="M51" s="1">
        <f t="shared" si="88"/>
        <v>5.2369209503599468</v>
      </c>
      <c r="N51" s="1">
        <f t="shared" si="88"/>
        <v>15.378618064069045</v>
      </c>
      <c r="O51" s="1">
        <f t="shared" si="88"/>
        <v>2.4810968941398701</v>
      </c>
      <c r="P51" s="127"/>
      <c r="T51" s="126"/>
      <c r="U51" s="2"/>
      <c r="V51" s="1" t="s">
        <v>94</v>
      </c>
      <c r="W51" s="1"/>
      <c r="X51" s="1">
        <f>_xlfn.STDEV.S(X33:X48)</f>
        <v>1.7909623794209304</v>
      </c>
      <c r="Y51" s="1">
        <f t="shared" ref="Y51:AF51" si="89">_xlfn.STDEV.S(Y33:Y48)</f>
        <v>8.8052327409898812</v>
      </c>
      <c r="Z51" s="1">
        <f t="shared" si="89"/>
        <v>9.2897654487009235E-2</v>
      </c>
      <c r="AA51" s="1">
        <f t="shared" si="89"/>
        <v>9.2873903322249193E-2</v>
      </c>
      <c r="AB51" s="1">
        <f t="shared" si="89"/>
        <v>8.3922864872399916E-2</v>
      </c>
      <c r="AC51" s="1">
        <f t="shared" si="89"/>
        <v>1.7326346237937083E-2</v>
      </c>
      <c r="AD51" s="1">
        <f t="shared" si="89"/>
        <v>9.0605119177266271</v>
      </c>
      <c r="AE51" s="1">
        <f t="shared" si="89"/>
        <v>20.146780182066262</v>
      </c>
      <c r="AF51" s="1">
        <f t="shared" si="89"/>
        <v>1.9473795356321855</v>
      </c>
      <c r="AG51" s="127"/>
      <c r="AK51" s="126"/>
      <c r="AL51" s="2"/>
      <c r="AM51" s="1" t="s">
        <v>89</v>
      </c>
      <c r="AN51" s="152"/>
      <c r="AO51" s="1">
        <f>_xlfn.STDEV.S(AO33:AO48)</f>
        <v>0.91772018596239868</v>
      </c>
      <c r="AP51" s="1">
        <f t="shared" ref="AP51:AW51" si="90">_xlfn.STDEV.S(AP33:AP48)</f>
        <v>4.7399163431296323</v>
      </c>
      <c r="AQ51" s="1">
        <f t="shared" si="90"/>
        <v>2.7616177646869695E-2</v>
      </c>
      <c r="AR51" s="1">
        <f t="shared" si="90"/>
        <v>2.7616177646869963E-2</v>
      </c>
      <c r="AS51" s="1">
        <f t="shared" si="90"/>
        <v>8.4174153946982036E-2</v>
      </c>
      <c r="AT51" s="1">
        <f t="shared" si="90"/>
        <v>2.0699126939820362E-2</v>
      </c>
      <c r="AU51" s="1">
        <f t="shared" si="90"/>
        <v>5.5440482094714252</v>
      </c>
      <c r="AV51" s="1">
        <f t="shared" si="90"/>
        <v>15.797588877828852</v>
      </c>
      <c r="AW51" s="1">
        <f t="shared" si="90"/>
        <v>2.5845680270211897</v>
      </c>
      <c r="AX51" s="127"/>
      <c r="BB51" s="126"/>
      <c r="BC51" s="2"/>
      <c r="BD51" s="1" t="s">
        <v>89</v>
      </c>
      <c r="BE51" s="152"/>
      <c r="BF51" s="1">
        <f>_xlfn.STDEV.S(BF33:BF48)</f>
        <v>1.7785529568469922</v>
      </c>
      <c r="BG51" s="1">
        <f t="shared" ref="BG51:BN51" si="91">_xlfn.STDEV.S(BG33:BG48)</f>
        <v>2.994286135359669</v>
      </c>
      <c r="BH51" s="1">
        <f t="shared" si="91"/>
        <v>4.3830890917214885E-2</v>
      </c>
      <c r="BI51" s="1">
        <f t="shared" si="91"/>
        <v>4.3830890917214968E-2</v>
      </c>
      <c r="BJ51" s="1">
        <f t="shared" si="91"/>
        <v>6.7591461778957668E-2</v>
      </c>
      <c r="BK51" s="1">
        <f t="shared" si="91"/>
        <v>1.0075455104094815E-2</v>
      </c>
      <c r="BL51" s="1">
        <f t="shared" si="91"/>
        <v>4.5212823832292921</v>
      </c>
      <c r="BM51" s="1">
        <f t="shared" si="91"/>
        <v>27.359833044976195</v>
      </c>
      <c r="BN51" s="1">
        <f t="shared" si="91"/>
        <v>2.6658876432033107</v>
      </c>
      <c r="BO51" s="127"/>
      <c r="BS51" s="126"/>
      <c r="BT51" s="2"/>
      <c r="BU51" s="1" t="s">
        <v>89</v>
      </c>
      <c r="BV51" s="152"/>
      <c r="BW51" s="1">
        <f>_xlfn.STDEV.S(BW33:BW48)</f>
        <v>1.7762045546032885</v>
      </c>
      <c r="BX51" s="1">
        <f t="shared" ref="BX51:CE51" si="92">_xlfn.STDEV.S(BX33:BX48)</f>
        <v>2.8004034135756926</v>
      </c>
      <c r="BY51" s="1">
        <f t="shared" si="92"/>
        <v>9.5021375766399102E-2</v>
      </c>
      <c r="BZ51" s="1">
        <f t="shared" si="92"/>
        <v>9.502137576639974E-2</v>
      </c>
      <c r="CA51" s="1">
        <f t="shared" si="92"/>
        <v>0.52817361752096703</v>
      </c>
      <c r="CB51" s="1">
        <f t="shared" si="92"/>
        <v>3.3360551409453772E-2</v>
      </c>
      <c r="CC51" s="1">
        <f t="shared" si="92"/>
        <v>3.7650931103240031</v>
      </c>
      <c r="CD51" s="1">
        <f t="shared" si="92"/>
        <v>6.8844329226644883</v>
      </c>
      <c r="CE51" s="1">
        <f t="shared" si="92"/>
        <v>2.1031202012679469</v>
      </c>
      <c r="CF51" s="127"/>
      <c r="CJ51" s="126"/>
      <c r="CK51" s="2"/>
      <c r="CL51" s="1" t="s">
        <v>89</v>
      </c>
      <c r="CM51" s="152"/>
      <c r="CN51" s="1">
        <f>_xlfn.STDEV.S(CN33:CN48)</f>
        <v>0.6347442792399054</v>
      </c>
      <c r="CO51" s="1">
        <f t="shared" ref="CO51:CV51" si="93">_xlfn.STDEV.S(CO33:CO48)</f>
        <v>4.541367178110205</v>
      </c>
      <c r="CP51" s="1">
        <f t="shared" si="93"/>
        <v>6.3134308405754971E-2</v>
      </c>
      <c r="CQ51" s="1">
        <f t="shared" si="93"/>
        <v>6.3134308405754874E-2</v>
      </c>
      <c r="CR51" s="1">
        <f t="shared" si="93"/>
        <v>2.7254914100987758E-2</v>
      </c>
      <c r="CS51" s="1">
        <f t="shared" si="93"/>
        <v>1.7882607764084651E-2</v>
      </c>
      <c r="CT51" s="1">
        <f t="shared" si="93"/>
        <v>5.0689214686134259</v>
      </c>
      <c r="CU51" s="1">
        <f t="shared" si="93"/>
        <v>10.407916324712753</v>
      </c>
      <c r="CV51" s="1">
        <f t="shared" si="93"/>
        <v>2.1247832051114437</v>
      </c>
      <c r="CW51" s="127"/>
      <c r="DJ51" s="126"/>
      <c r="DK51" s="2"/>
      <c r="DL51" s="1" t="s">
        <v>89</v>
      </c>
      <c r="DM51" s="152"/>
      <c r="DN51" s="1">
        <f>_xlfn.STDEV.S(DN33:DN48)</f>
        <v>0.20417443272740093</v>
      </c>
      <c r="DO51" s="1">
        <f t="shared" ref="DO51:DV51" si="94">_xlfn.STDEV.S(DO33:DO48)</f>
        <v>7.9816554715839858E-2</v>
      </c>
      <c r="DP51" s="1">
        <f t="shared" si="94"/>
        <v>0.16782635273913771</v>
      </c>
      <c r="DQ51" s="1">
        <f t="shared" si="94"/>
        <v>6.5222186717459191E-2</v>
      </c>
      <c r="DR51" s="1">
        <f t="shared" si="94"/>
        <v>0.21779489954175485</v>
      </c>
      <c r="DS51" s="1">
        <f t="shared" si="94"/>
        <v>9.9652259175801172E-2</v>
      </c>
      <c r="DT51" s="1">
        <f t="shared" si="94"/>
        <v>0.10240691467397094</v>
      </c>
      <c r="DU51" s="1">
        <f t="shared" si="94"/>
        <v>0.18744627468464692</v>
      </c>
      <c r="DV51" s="1">
        <f t="shared" si="94"/>
        <v>0.11677186446961997</v>
      </c>
      <c r="DW51" s="127"/>
      <c r="EA51" s="126"/>
      <c r="EB51" s="2"/>
      <c r="EC51" s="1" t="s">
        <v>94</v>
      </c>
      <c r="ED51" s="1"/>
      <c r="EE51" s="1">
        <f>_xlfn.STDEV.S(EE33:EE48)</f>
        <v>0.16951458245943321</v>
      </c>
      <c r="EF51" s="1">
        <f t="shared" ref="EF51:EM51" si="95">_xlfn.STDEV.S(EF33:EF48)</f>
        <v>0.16579187102246212</v>
      </c>
      <c r="EG51" s="1">
        <f t="shared" si="95"/>
        <v>0.13112501560899209</v>
      </c>
      <c r="EH51" s="1">
        <f t="shared" si="95"/>
        <v>7.9734745292933201E-2</v>
      </c>
      <c r="EI51" s="1">
        <f t="shared" si="95"/>
        <v>0.16689215848720523</v>
      </c>
      <c r="EJ51" s="1">
        <f t="shared" si="95"/>
        <v>0.12822667587483155</v>
      </c>
      <c r="EK51" s="1">
        <f t="shared" si="95"/>
        <v>0.15265255176213283</v>
      </c>
      <c r="EL51" s="1">
        <f t="shared" si="95"/>
        <v>0.19304374355167631</v>
      </c>
      <c r="EM51" s="1">
        <f t="shared" si="95"/>
        <v>8.8736658416288944E-2</v>
      </c>
      <c r="EN51" s="127"/>
      <c r="ER51" s="126"/>
      <c r="ES51" s="2"/>
      <c r="ET51" s="1" t="s">
        <v>89</v>
      </c>
      <c r="EU51" s="152"/>
      <c r="EV51" s="1">
        <f>_xlfn.STDEV.S(EV33:EV48)</f>
        <v>9.6896082234736877E-2</v>
      </c>
      <c r="EW51" s="1">
        <f t="shared" ref="EW51:FD51" si="96">_xlfn.STDEV.S(EW33:EW48)</f>
        <v>7.2026112213479557E-2</v>
      </c>
      <c r="EX51" s="1">
        <f t="shared" si="96"/>
        <v>6.8676953301901725E-2</v>
      </c>
      <c r="EY51" s="1">
        <f t="shared" si="96"/>
        <v>3.9835031355209466E-2</v>
      </c>
      <c r="EZ51" s="1">
        <f t="shared" si="96"/>
        <v>8.1016061654737515E-2</v>
      </c>
      <c r="FA51" s="1">
        <f t="shared" si="96"/>
        <v>6.2416390063827237E-2</v>
      </c>
      <c r="FB51" s="1">
        <f t="shared" si="96"/>
        <v>6.7792262473884521E-2</v>
      </c>
      <c r="FC51" s="1">
        <f t="shared" si="96"/>
        <v>0.17842966614003475</v>
      </c>
      <c r="FD51" s="1">
        <f t="shared" si="96"/>
        <v>0.15956939222641628</v>
      </c>
      <c r="FE51" s="127"/>
      <c r="FI51" s="126"/>
      <c r="FJ51" s="2"/>
      <c r="FK51" s="1" t="s">
        <v>89</v>
      </c>
      <c r="FL51" s="152"/>
      <c r="FM51" s="1">
        <f>_xlfn.STDEV.S(FM33:FM48)</f>
        <v>8.8116770223017921E-2</v>
      </c>
      <c r="FN51" s="1">
        <f t="shared" ref="FN51:FU51" si="97">_xlfn.STDEV.S(FN33:FN48)</f>
        <v>8.0317598746810326E-2</v>
      </c>
      <c r="FO51" s="1">
        <f t="shared" si="97"/>
        <v>7.5811572740556096E-2</v>
      </c>
      <c r="FP51" s="1">
        <f t="shared" si="97"/>
        <v>3.847525775201828E-2</v>
      </c>
      <c r="FQ51" s="1">
        <f t="shared" si="97"/>
        <v>8.2701937142040313E-2</v>
      </c>
      <c r="FR51" s="1">
        <f t="shared" si="97"/>
        <v>6.098557295228281E-2</v>
      </c>
      <c r="FS51" s="1">
        <f t="shared" si="97"/>
        <v>6.0321774316812932E-2</v>
      </c>
      <c r="FT51" s="1">
        <f t="shared" si="97"/>
        <v>0.18791156717077828</v>
      </c>
      <c r="FU51" s="1">
        <f t="shared" si="97"/>
        <v>0.15192087918071906</v>
      </c>
      <c r="FV51" s="127"/>
    </row>
    <row r="52" spans="3:178" ht="18.5" x14ac:dyDescent="0.45">
      <c r="C52" s="126"/>
      <c r="D52" s="2"/>
      <c r="E52" s="1" t="s">
        <v>95</v>
      </c>
      <c r="F52" s="152"/>
      <c r="G52" s="1">
        <f>G51/(SQRT(16))</f>
        <v>0.3002513072879659</v>
      </c>
      <c r="H52" s="1">
        <f t="shared" ref="H52:O52" si="98">H51/(SQRT(16))</f>
        <v>1.2943141643321527</v>
      </c>
      <c r="I52" s="1">
        <f t="shared" si="98"/>
        <v>2.3209992994115226E-2</v>
      </c>
      <c r="J52" s="1">
        <f t="shared" si="98"/>
        <v>2.3209992994115403E-2</v>
      </c>
      <c r="K52" s="1">
        <f t="shared" si="98"/>
        <v>6.3377550078925343E-2</v>
      </c>
      <c r="L52" s="1">
        <f t="shared" si="98"/>
        <v>5.833303891971009E-3</v>
      </c>
      <c r="M52" s="1">
        <f t="shared" si="98"/>
        <v>1.3092302375899867</v>
      </c>
      <c r="N52" s="1">
        <f t="shared" si="98"/>
        <v>3.8446545160172612</v>
      </c>
      <c r="O52" s="1">
        <f t="shared" si="98"/>
        <v>0.62027422353496753</v>
      </c>
      <c r="P52" s="127"/>
      <c r="T52" s="126"/>
      <c r="U52" s="2"/>
      <c r="V52" s="149" t="s">
        <v>95</v>
      </c>
      <c r="W52" s="1"/>
      <c r="X52" s="1">
        <f>X51/SQRT(16)</f>
        <v>0.4477405948552326</v>
      </c>
      <c r="Y52" s="1">
        <f t="shared" ref="Y52:AF52" si="99">Y51/SQRT(16)</f>
        <v>2.2013081852474703</v>
      </c>
      <c r="Z52" s="1">
        <f t="shared" si="99"/>
        <v>2.3224413621752309E-2</v>
      </c>
      <c r="AA52" s="1">
        <f t="shared" si="99"/>
        <v>2.3218475830562298E-2</v>
      </c>
      <c r="AB52" s="1">
        <f t="shared" si="99"/>
        <v>2.0980716218099979E-2</v>
      </c>
      <c r="AC52" s="1">
        <f t="shared" si="99"/>
        <v>4.3315865594842707E-3</v>
      </c>
      <c r="AD52" s="1">
        <f t="shared" si="99"/>
        <v>2.2651279794316568</v>
      </c>
      <c r="AE52" s="1">
        <f t="shared" si="99"/>
        <v>5.0366950455165655</v>
      </c>
      <c r="AF52" s="1">
        <f t="shared" si="99"/>
        <v>0.48684488390804637</v>
      </c>
      <c r="AG52" s="127"/>
      <c r="AK52" s="126"/>
      <c r="AL52" s="2"/>
      <c r="AM52" s="1" t="s">
        <v>95</v>
      </c>
      <c r="AN52" s="152"/>
      <c r="AO52" s="1">
        <f>AO51/(SQRT(16))</f>
        <v>0.22943004649059967</v>
      </c>
      <c r="AP52" s="1">
        <f t="shared" ref="AP52:AW52" si="100">AP51/(SQRT(16))</f>
        <v>1.1849790857824081</v>
      </c>
      <c r="AQ52" s="1">
        <f t="shared" si="100"/>
        <v>6.9040444117174238E-3</v>
      </c>
      <c r="AR52" s="1">
        <f t="shared" si="100"/>
        <v>6.9040444117174906E-3</v>
      </c>
      <c r="AS52" s="1">
        <f t="shared" si="100"/>
        <v>2.1043538486745509E-2</v>
      </c>
      <c r="AT52" s="1">
        <f t="shared" si="100"/>
        <v>5.1747817349550905E-3</v>
      </c>
      <c r="AU52" s="1">
        <f t="shared" si="100"/>
        <v>1.3860120523678563</v>
      </c>
      <c r="AV52" s="1">
        <f t="shared" si="100"/>
        <v>3.9493972194572131</v>
      </c>
      <c r="AW52" s="1">
        <f t="shared" si="100"/>
        <v>0.64614200675529743</v>
      </c>
      <c r="AX52" s="127"/>
      <c r="BB52" s="126"/>
      <c r="BC52" s="2"/>
      <c r="BD52" s="1" t="s">
        <v>95</v>
      </c>
      <c r="BE52" s="152"/>
      <c r="BF52" s="1">
        <f>BF51/(SQRT(16))</f>
        <v>0.44463823921174805</v>
      </c>
      <c r="BG52" s="1">
        <f t="shared" ref="BG52:BN52" si="101">BG51/(SQRT(16))</f>
        <v>0.74857153383991726</v>
      </c>
      <c r="BH52" s="1">
        <f t="shared" si="101"/>
        <v>1.0957722729303721E-2</v>
      </c>
      <c r="BI52" s="1">
        <f t="shared" si="101"/>
        <v>1.0957722729303742E-2</v>
      </c>
      <c r="BJ52" s="1">
        <f t="shared" si="101"/>
        <v>1.6897865444739417E-2</v>
      </c>
      <c r="BK52" s="1">
        <f t="shared" si="101"/>
        <v>2.5188637760237037E-3</v>
      </c>
      <c r="BL52" s="1">
        <f t="shared" si="101"/>
        <v>1.130320595807323</v>
      </c>
      <c r="BM52" s="1">
        <f t="shared" si="101"/>
        <v>6.8399582612440488</v>
      </c>
      <c r="BN52" s="1">
        <f t="shared" si="101"/>
        <v>0.66647191080082768</v>
      </c>
      <c r="BO52" s="127"/>
      <c r="BS52" s="126"/>
      <c r="BT52" s="2"/>
      <c r="BU52" s="1" t="s">
        <v>95</v>
      </c>
      <c r="BV52" s="152"/>
      <c r="BW52" s="1">
        <f>BW51/(SQRT(16))</f>
        <v>0.44405113865082213</v>
      </c>
      <c r="BX52" s="1">
        <f t="shared" ref="BX52:CE52" si="102">BX51/(SQRT(16))</f>
        <v>0.70010085339392314</v>
      </c>
      <c r="BY52" s="1">
        <f t="shared" si="102"/>
        <v>2.3755343941599776E-2</v>
      </c>
      <c r="BZ52" s="1">
        <f t="shared" si="102"/>
        <v>2.3755343941599935E-2</v>
      </c>
      <c r="CA52" s="1">
        <f t="shared" si="102"/>
        <v>0.13204340438024176</v>
      </c>
      <c r="CB52" s="1">
        <f t="shared" si="102"/>
        <v>8.3401378523634429E-3</v>
      </c>
      <c r="CC52" s="1">
        <f t="shared" si="102"/>
        <v>0.94127327758100077</v>
      </c>
      <c r="CD52" s="1">
        <f t="shared" si="102"/>
        <v>1.7211082306661221</v>
      </c>
      <c r="CE52" s="1">
        <f t="shared" si="102"/>
        <v>0.52578005031698671</v>
      </c>
      <c r="CF52" s="127"/>
      <c r="CJ52" s="126"/>
      <c r="CK52" s="2"/>
      <c r="CL52" s="1" t="s">
        <v>95</v>
      </c>
      <c r="CM52" s="152"/>
      <c r="CN52" s="1">
        <f>CN51/(SQRT(16))</f>
        <v>0.15868606980997635</v>
      </c>
      <c r="CO52" s="1">
        <f t="shared" ref="CO52:CV52" si="103">CO51/(SQRT(16))</f>
        <v>1.1353417945275512</v>
      </c>
      <c r="CP52" s="1">
        <f t="shared" si="103"/>
        <v>1.5783577101438743E-2</v>
      </c>
      <c r="CQ52" s="1">
        <f t="shared" si="103"/>
        <v>1.5783577101438719E-2</v>
      </c>
      <c r="CR52" s="1">
        <f t="shared" si="103"/>
        <v>6.8137285252469395E-3</v>
      </c>
      <c r="CS52" s="1">
        <f t="shared" si="103"/>
        <v>4.4706519410211629E-3</v>
      </c>
      <c r="CT52" s="1">
        <f t="shared" si="103"/>
        <v>1.2672303671533565</v>
      </c>
      <c r="CU52" s="1">
        <f t="shared" si="103"/>
        <v>2.6019790811781882</v>
      </c>
      <c r="CV52" s="1">
        <f t="shared" si="103"/>
        <v>0.53119580127786092</v>
      </c>
      <c r="CW52" s="127"/>
      <c r="DJ52" s="126"/>
      <c r="DK52" s="2"/>
      <c r="DL52" s="1" t="s">
        <v>95</v>
      </c>
      <c r="DM52" s="152"/>
      <c r="DN52" s="1">
        <f>DN51/(SQRT(16))</f>
        <v>5.1043608181850234E-2</v>
      </c>
      <c r="DO52" s="1">
        <f t="shared" ref="DO52:DV52" si="104">DO51/(SQRT(16))</f>
        <v>1.9954138678959964E-2</v>
      </c>
      <c r="DP52" s="1">
        <f t="shared" si="104"/>
        <v>4.1956588184784427E-2</v>
      </c>
      <c r="DQ52" s="1">
        <f t="shared" si="104"/>
        <v>1.6305546679364798E-2</v>
      </c>
      <c r="DR52" s="1">
        <f t="shared" si="104"/>
        <v>5.4448724885438712E-2</v>
      </c>
      <c r="DS52" s="1">
        <f t="shared" si="104"/>
        <v>2.4913064793950293E-2</v>
      </c>
      <c r="DT52" s="1">
        <f t="shared" si="104"/>
        <v>2.5601728668492734E-2</v>
      </c>
      <c r="DU52" s="1">
        <f t="shared" si="104"/>
        <v>4.686156867116173E-2</v>
      </c>
      <c r="DV52" s="1">
        <f t="shared" si="104"/>
        <v>2.9192966117404993E-2</v>
      </c>
      <c r="DW52" s="127"/>
      <c r="EA52" s="126"/>
      <c r="EB52" s="2"/>
      <c r="EC52" s="149" t="s">
        <v>95</v>
      </c>
      <c r="ED52" s="1"/>
      <c r="EE52" s="1">
        <f>EE51/SQRT(16)</f>
        <v>4.2378645614858303E-2</v>
      </c>
      <c r="EF52" s="1">
        <f t="shared" ref="EF52:EM52" si="105">EF51/SQRT(16)</f>
        <v>4.1447967755615531E-2</v>
      </c>
      <c r="EG52" s="1">
        <f t="shared" si="105"/>
        <v>3.2781253902248023E-2</v>
      </c>
      <c r="EH52" s="1">
        <f t="shared" si="105"/>
        <v>1.99336863232333E-2</v>
      </c>
      <c r="EI52" s="1">
        <f t="shared" si="105"/>
        <v>4.1723039621801308E-2</v>
      </c>
      <c r="EJ52" s="1">
        <f t="shared" si="105"/>
        <v>3.2056668968707888E-2</v>
      </c>
      <c r="EK52" s="1">
        <f t="shared" si="105"/>
        <v>3.8163137940533207E-2</v>
      </c>
      <c r="EL52" s="1">
        <f t="shared" si="105"/>
        <v>4.8260935887919076E-2</v>
      </c>
      <c r="EM52" s="1">
        <f t="shared" si="105"/>
        <v>2.2184164604072236E-2</v>
      </c>
      <c r="EN52" s="127"/>
      <c r="ER52" s="126"/>
      <c r="ES52" s="2"/>
      <c r="ET52" s="1" t="s">
        <v>95</v>
      </c>
      <c r="EU52" s="152"/>
      <c r="EV52" s="1">
        <f>EV51/(SQRT(16))</f>
        <v>2.4224020558684219E-2</v>
      </c>
      <c r="EW52" s="1">
        <f t="shared" ref="EW52:FD52" si="106">EW51/(SQRT(16))</f>
        <v>1.8006528053369889E-2</v>
      </c>
      <c r="EX52" s="1">
        <f t="shared" si="106"/>
        <v>1.7169238325475431E-2</v>
      </c>
      <c r="EY52" s="1">
        <f t="shared" si="106"/>
        <v>9.9587578388023665E-3</v>
      </c>
      <c r="EZ52" s="1">
        <f t="shared" si="106"/>
        <v>2.0254015413684379E-2</v>
      </c>
      <c r="FA52" s="1">
        <f t="shared" si="106"/>
        <v>1.5604097515956809E-2</v>
      </c>
      <c r="FB52" s="1">
        <f t="shared" si="106"/>
        <v>1.694806561847113E-2</v>
      </c>
      <c r="FC52" s="1">
        <f t="shared" si="106"/>
        <v>4.4607416535008687E-2</v>
      </c>
      <c r="FD52" s="1">
        <f t="shared" si="106"/>
        <v>3.989234805660407E-2</v>
      </c>
      <c r="FE52" s="127"/>
      <c r="FI52" s="126"/>
      <c r="FJ52" s="2"/>
      <c r="FK52" s="1" t="s">
        <v>95</v>
      </c>
      <c r="FL52" s="152"/>
      <c r="FM52" s="1">
        <f>FM51/(SQRT(16))</f>
        <v>2.202919255575448E-2</v>
      </c>
      <c r="FN52" s="1">
        <f t="shared" ref="FN52:FU52" si="107">FN51/(SQRT(16))</f>
        <v>2.0079399686702581E-2</v>
      </c>
      <c r="FO52" s="1">
        <f t="shared" si="107"/>
        <v>1.8952893185139024E-2</v>
      </c>
      <c r="FP52" s="1">
        <f t="shared" si="107"/>
        <v>9.6188144380045699E-3</v>
      </c>
      <c r="FQ52" s="1">
        <f t="shared" si="107"/>
        <v>2.0675484285510078E-2</v>
      </c>
      <c r="FR52" s="1">
        <f t="shared" si="107"/>
        <v>1.5246393238070702E-2</v>
      </c>
      <c r="FS52" s="1">
        <f t="shared" si="107"/>
        <v>1.5080443579203233E-2</v>
      </c>
      <c r="FT52" s="1">
        <f t="shared" si="107"/>
        <v>4.697789179269457E-2</v>
      </c>
      <c r="FU52" s="1">
        <f t="shared" si="107"/>
        <v>3.7980219795179765E-2</v>
      </c>
      <c r="FV52" s="127"/>
    </row>
    <row r="53" spans="3:178" ht="18.5" x14ac:dyDescent="0.45">
      <c r="C53" s="126"/>
      <c r="D53" s="2"/>
      <c r="E53" s="1"/>
      <c r="F53" s="152"/>
      <c r="G53" s="1"/>
      <c r="H53" s="1"/>
      <c r="I53" s="1"/>
      <c r="J53" s="1"/>
      <c r="K53" s="1"/>
      <c r="L53" s="1"/>
      <c r="M53" s="1"/>
      <c r="N53" s="2"/>
      <c r="O53" s="2"/>
      <c r="P53" s="127"/>
      <c r="T53" s="126"/>
      <c r="U53" s="2"/>
      <c r="V53" s="149"/>
      <c r="W53" s="1"/>
      <c r="X53" s="1"/>
      <c r="Y53" s="1"/>
      <c r="Z53" s="1"/>
      <c r="AA53" s="1"/>
      <c r="AB53" s="1"/>
      <c r="AC53" s="1"/>
      <c r="AD53" s="1"/>
      <c r="AE53" s="2"/>
      <c r="AF53" s="2"/>
      <c r="AG53" s="127"/>
      <c r="AK53" s="126"/>
      <c r="AL53" s="2"/>
      <c r="AM53" s="1"/>
      <c r="AN53" s="152"/>
      <c r="AO53" s="1"/>
      <c r="AP53" s="1"/>
      <c r="AQ53" s="1"/>
      <c r="AR53" s="1"/>
      <c r="AS53" s="1"/>
      <c r="AT53" s="1"/>
      <c r="AU53" s="1"/>
      <c r="AV53" s="2"/>
      <c r="AW53" s="2"/>
      <c r="AX53" s="127"/>
      <c r="BB53" s="126"/>
      <c r="BC53" s="2"/>
      <c r="BD53" s="1"/>
      <c r="BE53" s="152"/>
      <c r="BF53" s="1"/>
      <c r="BG53" s="1"/>
      <c r="BH53" s="1"/>
      <c r="BI53" s="1"/>
      <c r="BJ53" s="1"/>
      <c r="BK53" s="1"/>
      <c r="BL53" s="1"/>
      <c r="BM53" s="2"/>
      <c r="BN53" s="2"/>
      <c r="BO53" s="127"/>
      <c r="BS53" s="126"/>
      <c r="BT53" s="2"/>
      <c r="BU53" s="1"/>
      <c r="BV53" s="152"/>
      <c r="BW53" s="1"/>
      <c r="BX53" s="1"/>
      <c r="BY53" s="1"/>
      <c r="BZ53" s="1"/>
      <c r="CA53" s="1"/>
      <c r="CB53" s="1"/>
      <c r="CC53" s="1"/>
      <c r="CD53" s="2"/>
      <c r="CE53" s="2"/>
      <c r="CF53" s="127"/>
      <c r="CJ53" s="126"/>
      <c r="CK53" s="2"/>
      <c r="CL53" s="1"/>
      <c r="CM53" s="152"/>
      <c r="CN53" s="1"/>
      <c r="CO53" s="1"/>
      <c r="CP53" s="1"/>
      <c r="CQ53" s="1"/>
      <c r="CR53" s="1"/>
      <c r="CS53" s="1"/>
      <c r="CT53" s="1"/>
      <c r="CU53" s="2"/>
      <c r="CV53" s="2"/>
      <c r="CW53" s="127"/>
      <c r="DJ53" s="126"/>
      <c r="DK53" s="2"/>
      <c r="DL53" s="1"/>
      <c r="DM53" s="152"/>
      <c r="DN53" s="1"/>
      <c r="DO53" s="1"/>
      <c r="DP53" s="1"/>
      <c r="DQ53" s="1"/>
      <c r="DR53" s="1"/>
      <c r="DS53" s="1"/>
      <c r="DT53" s="1"/>
      <c r="DU53" s="2"/>
      <c r="DV53" s="2"/>
      <c r="DW53" s="127"/>
      <c r="EA53" s="126"/>
      <c r="EB53" s="2"/>
      <c r="EC53" s="149"/>
      <c r="ED53" s="1"/>
      <c r="EE53" s="1"/>
      <c r="EF53" s="1"/>
      <c r="EG53" s="1"/>
      <c r="EH53" s="1"/>
      <c r="EI53" s="1"/>
      <c r="EJ53" s="1"/>
      <c r="EK53" s="1"/>
      <c r="EL53" s="2"/>
      <c r="EM53" s="2"/>
      <c r="EN53" s="127"/>
      <c r="ER53" s="126"/>
      <c r="ES53" s="2"/>
      <c r="ET53" s="1"/>
      <c r="EU53" s="152"/>
      <c r="EV53" s="1"/>
      <c r="EW53" s="1"/>
      <c r="EX53" s="1"/>
      <c r="EY53" s="1"/>
      <c r="EZ53" s="1"/>
      <c r="FA53" s="1"/>
      <c r="FB53" s="1"/>
      <c r="FC53" s="2"/>
      <c r="FD53" s="2"/>
      <c r="FE53" s="127"/>
      <c r="FI53" s="126"/>
      <c r="FJ53" s="2"/>
      <c r="FK53" s="1"/>
      <c r="FL53" s="152"/>
      <c r="FM53" s="1"/>
      <c r="FN53" s="1"/>
      <c r="FO53" s="1"/>
      <c r="FP53" s="1"/>
      <c r="FQ53" s="1"/>
      <c r="FR53" s="1"/>
      <c r="FS53" s="1"/>
      <c r="FT53" s="2"/>
      <c r="FU53" s="2"/>
      <c r="FV53" s="127"/>
    </row>
    <row r="54" spans="3:178" ht="18.5" x14ac:dyDescent="0.45">
      <c r="C54" s="126"/>
      <c r="D54" s="2"/>
      <c r="E54" s="1"/>
      <c r="F54" s="152"/>
      <c r="G54" s="1"/>
      <c r="H54" s="1"/>
      <c r="I54" s="1"/>
      <c r="J54" s="1"/>
      <c r="K54" s="1"/>
      <c r="L54" s="1"/>
      <c r="M54" s="1"/>
      <c r="N54" s="2"/>
      <c r="O54" s="2"/>
      <c r="P54" s="127"/>
      <c r="T54" s="126"/>
      <c r="U54" s="2"/>
      <c r="V54" s="149"/>
      <c r="W54" s="1"/>
      <c r="X54" s="1"/>
      <c r="Y54" s="1"/>
      <c r="Z54" s="1"/>
      <c r="AA54" s="1"/>
      <c r="AB54" s="1"/>
      <c r="AC54" s="1"/>
      <c r="AD54" s="1"/>
      <c r="AE54" s="2"/>
      <c r="AF54" s="2"/>
      <c r="AG54" s="127"/>
      <c r="AK54" s="126"/>
      <c r="AL54" s="2"/>
      <c r="AM54" s="1"/>
      <c r="AN54" s="152"/>
      <c r="AO54" s="1"/>
      <c r="AP54" s="1"/>
      <c r="AQ54" s="1"/>
      <c r="AR54" s="1"/>
      <c r="AS54" s="1"/>
      <c r="AT54" s="1"/>
      <c r="AU54" s="1"/>
      <c r="AV54" s="2"/>
      <c r="AW54" s="2"/>
      <c r="AX54" s="127"/>
      <c r="BB54" s="126"/>
      <c r="BC54" s="2"/>
      <c r="BD54" s="1"/>
      <c r="BE54" s="152"/>
      <c r="BF54" s="1"/>
      <c r="BG54" s="1"/>
      <c r="BH54" s="1"/>
      <c r="BI54" s="1"/>
      <c r="BJ54" s="1"/>
      <c r="BK54" s="1"/>
      <c r="BL54" s="1"/>
      <c r="BM54" s="2"/>
      <c r="BN54" s="2"/>
      <c r="BO54" s="127"/>
      <c r="BS54" s="126"/>
      <c r="BT54" s="2"/>
      <c r="BU54" s="1"/>
      <c r="BV54" s="152"/>
      <c r="BW54" s="1"/>
      <c r="BX54" s="1"/>
      <c r="BY54" s="1"/>
      <c r="BZ54" s="1"/>
      <c r="CA54" s="1"/>
      <c r="CB54" s="1"/>
      <c r="CC54" s="1"/>
      <c r="CD54" s="2"/>
      <c r="CE54" s="2"/>
      <c r="CF54" s="127"/>
      <c r="CJ54" s="126"/>
      <c r="CK54" s="2"/>
      <c r="CL54" s="1"/>
      <c r="CM54" s="152"/>
      <c r="CN54" s="1"/>
      <c r="CO54" s="1"/>
      <c r="CP54" s="1"/>
      <c r="CQ54" s="1"/>
      <c r="CR54" s="1"/>
      <c r="CS54" s="1"/>
      <c r="CT54" s="1"/>
      <c r="CU54" s="2"/>
      <c r="CV54" s="2"/>
      <c r="CW54" s="127"/>
      <c r="DJ54" s="126"/>
      <c r="DK54" s="2"/>
      <c r="DL54" s="1"/>
      <c r="DM54" s="152"/>
      <c r="DN54" s="1"/>
      <c r="DO54" s="1"/>
      <c r="DP54" s="1"/>
      <c r="DQ54" s="1"/>
      <c r="DR54" s="1"/>
      <c r="DS54" s="1"/>
      <c r="DT54" s="1"/>
      <c r="DU54" s="2"/>
      <c r="DV54" s="2"/>
      <c r="DW54" s="127"/>
      <c r="EA54" s="126"/>
      <c r="EB54" s="2"/>
      <c r="EC54" s="149"/>
      <c r="ED54" s="1"/>
      <c r="EE54" s="1"/>
      <c r="EF54" s="1"/>
      <c r="EG54" s="1"/>
      <c r="EH54" s="1"/>
      <c r="EI54" s="1"/>
      <c r="EJ54" s="1"/>
      <c r="EK54" s="1"/>
      <c r="EL54" s="2"/>
      <c r="EM54" s="2"/>
      <c r="EN54" s="127"/>
      <c r="ER54" s="126"/>
      <c r="ES54" s="2"/>
      <c r="ET54" s="1"/>
      <c r="EU54" s="152"/>
      <c r="EV54" s="1"/>
      <c r="EW54" s="1"/>
      <c r="EX54" s="1"/>
      <c r="EY54" s="1"/>
      <c r="EZ54" s="1"/>
      <c r="FA54" s="1"/>
      <c r="FB54" s="1"/>
      <c r="FC54" s="2"/>
      <c r="FD54" s="2"/>
      <c r="FE54" s="127"/>
      <c r="FI54" s="126"/>
      <c r="FJ54" s="2"/>
      <c r="FK54" s="1"/>
      <c r="FL54" s="152"/>
      <c r="FM54" s="1"/>
      <c r="FN54" s="1"/>
      <c r="FO54" s="1"/>
      <c r="FP54" s="1"/>
      <c r="FQ54" s="1"/>
      <c r="FR54" s="1"/>
      <c r="FS54" s="1"/>
      <c r="FT54" s="2"/>
      <c r="FU54" s="2"/>
      <c r="FV54" s="127"/>
    </row>
    <row r="55" spans="3:178" ht="18.5" x14ac:dyDescent="0.45">
      <c r="C55" s="126"/>
      <c r="D55" s="2"/>
      <c r="E55" s="1"/>
      <c r="F55" s="152"/>
      <c r="G55" s="1"/>
      <c r="H55" s="1"/>
      <c r="I55" s="1"/>
      <c r="J55" s="1"/>
      <c r="K55" s="1"/>
      <c r="L55" s="1"/>
      <c r="M55" s="1"/>
      <c r="N55" s="2"/>
      <c r="O55" s="2"/>
      <c r="P55" s="127"/>
      <c r="T55" s="126"/>
      <c r="U55" s="2"/>
      <c r="V55" s="149"/>
      <c r="W55" s="1"/>
      <c r="X55" s="1"/>
      <c r="Y55" s="1"/>
      <c r="Z55" s="1"/>
      <c r="AA55" s="1"/>
      <c r="AB55" s="1"/>
      <c r="AC55" s="1"/>
      <c r="AD55" s="1"/>
      <c r="AE55" s="2"/>
      <c r="AF55" s="2"/>
      <c r="AG55" s="127"/>
      <c r="AK55" s="126"/>
      <c r="AL55" s="2"/>
      <c r="AM55" s="1"/>
      <c r="AN55" s="152"/>
      <c r="AO55" s="1"/>
      <c r="AP55" s="1"/>
      <c r="AQ55" s="1"/>
      <c r="AR55" s="1"/>
      <c r="AS55" s="1"/>
      <c r="AT55" s="1"/>
      <c r="AU55" s="1"/>
      <c r="AV55" s="2"/>
      <c r="AW55" s="2"/>
      <c r="AX55" s="127"/>
      <c r="BB55" s="126"/>
      <c r="BC55" s="2"/>
      <c r="BD55" s="1"/>
      <c r="BE55" s="152"/>
      <c r="BF55" s="1"/>
      <c r="BG55" s="1"/>
      <c r="BH55" s="1"/>
      <c r="BI55" s="1"/>
      <c r="BJ55" s="1"/>
      <c r="BK55" s="1"/>
      <c r="BL55" s="1"/>
      <c r="BM55" s="2"/>
      <c r="BN55" s="2"/>
      <c r="BO55" s="127"/>
      <c r="BS55" s="126"/>
      <c r="BT55" s="2"/>
      <c r="BU55" s="1"/>
      <c r="BV55" s="152"/>
      <c r="BW55" s="1"/>
      <c r="BX55" s="1"/>
      <c r="BY55" s="1"/>
      <c r="BZ55" s="1"/>
      <c r="CA55" s="1"/>
      <c r="CB55" s="1"/>
      <c r="CC55" s="1"/>
      <c r="CD55" s="2"/>
      <c r="CE55" s="2"/>
      <c r="CF55" s="127"/>
      <c r="CJ55" s="126"/>
      <c r="CK55" s="2"/>
      <c r="CL55" s="1"/>
      <c r="CM55" s="152"/>
      <c r="CN55" s="1"/>
      <c r="CO55" s="1"/>
      <c r="CP55" s="1"/>
      <c r="CQ55" s="1"/>
      <c r="CR55" s="1"/>
      <c r="CS55" s="1"/>
      <c r="CT55" s="1"/>
      <c r="CU55" s="2"/>
      <c r="CV55" s="2"/>
      <c r="CW55" s="127"/>
      <c r="DJ55" s="126"/>
      <c r="DK55" s="2"/>
      <c r="DL55" s="1"/>
      <c r="DM55" s="152"/>
      <c r="DN55" s="1"/>
      <c r="DO55" s="1"/>
      <c r="DP55" s="1"/>
      <c r="DQ55" s="1"/>
      <c r="DR55" s="1"/>
      <c r="DS55" s="1"/>
      <c r="DT55" s="1"/>
      <c r="DU55" s="2"/>
      <c r="DV55" s="2"/>
      <c r="DW55" s="127"/>
      <c r="EA55" s="126"/>
      <c r="EB55" s="2"/>
      <c r="EC55" s="149"/>
      <c r="ED55" s="1"/>
      <c r="EE55" s="1"/>
      <c r="EF55" s="1"/>
      <c r="EG55" s="1"/>
      <c r="EH55" s="1"/>
      <c r="EI55" s="1"/>
      <c r="EJ55" s="1"/>
      <c r="EK55" s="1"/>
      <c r="EL55" s="2"/>
      <c r="EM55" s="2"/>
      <c r="EN55" s="127"/>
      <c r="ER55" s="126"/>
      <c r="ES55" s="2"/>
      <c r="ET55" s="1"/>
      <c r="EU55" s="152"/>
      <c r="EV55" s="1"/>
      <c r="EW55" s="1"/>
      <c r="EX55" s="1"/>
      <c r="EY55" s="1"/>
      <c r="EZ55" s="1"/>
      <c r="FA55" s="1"/>
      <c r="FB55" s="1"/>
      <c r="FC55" s="2"/>
      <c r="FD55" s="2"/>
      <c r="FE55" s="127"/>
      <c r="FI55" s="126"/>
      <c r="FJ55" s="2"/>
      <c r="FK55" s="1"/>
      <c r="FL55" s="152"/>
      <c r="FM55" s="1"/>
      <c r="FN55" s="1"/>
      <c r="FO55" s="1"/>
      <c r="FP55" s="1"/>
      <c r="FQ55" s="1"/>
      <c r="FR55" s="1"/>
      <c r="FS55" s="1"/>
      <c r="FT55" s="2"/>
      <c r="FU55" s="2"/>
      <c r="FV55" s="127"/>
    </row>
    <row r="56" spans="3:178" ht="18.5" x14ac:dyDescent="0.45">
      <c r="C56" s="126"/>
      <c r="D56" s="2"/>
      <c r="E56" s="1"/>
      <c r="F56" s="152"/>
      <c r="G56" s="1"/>
      <c r="H56" s="1"/>
      <c r="I56" s="1"/>
      <c r="J56" s="1"/>
      <c r="K56" s="1"/>
      <c r="L56" s="1"/>
      <c r="M56" s="1"/>
      <c r="N56" s="2"/>
      <c r="O56" s="2"/>
      <c r="P56" s="127"/>
      <c r="T56" s="126"/>
      <c r="U56" s="2"/>
      <c r="V56" s="149"/>
      <c r="W56" s="1"/>
      <c r="X56" s="1"/>
      <c r="Y56" s="1"/>
      <c r="Z56" s="1"/>
      <c r="AA56" s="1"/>
      <c r="AB56" s="1"/>
      <c r="AC56" s="1"/>
      <c r="AD56" s="1"/>
      <c r="AE56" s="2"/>
      <c r="AF56" s="2"/>
      <c r="AG56" s="127"/>
      <c r="AK56" s="126"/>
      <c r="AL56" s="2"/>
      <c r="AM56" s="1"/>
      <c r="AN56" s="152"/>
      <c r="AO56" s="1"/>
      <c r="AP56" s="1"/>
      <c r="AQ56" s="1"/>
      <c r="AR56" s="1"/>
      <c r="AS56" s="1"/>
      <c r="AT56" s="1"/>
      <c r="AU56" s="1"/>
      <c r="AV56" s="2"/>
      <c r="AW56" s="2"/>
      <c r="AX56" s="127"/>
      <c r="BB56" s="126"/>
      <c r="BC56" s="2"/>
      <c r="BD56" s="1"/>
      <c r="BE56" s="152"/>
      <c r="BF56" s="1"/>
      <c r="BG56" s="1"/>
      <c r="BH56" s="1"/>
      <c r="BI56" s="1"/>
      <c r="BJ56" s="1"/>
      <c r="BK56" s="1"/>
      <c r="BL56" s="1"/>
      <c r="BM56" s="2"/>
      <c r="BN56" s="2"/>
      <c r="BO56" s="127"/>
      <c r="BS56" s="126"/>
      <c r="BT56" s="2"/>
      <c r="BU56" s="1"/>
      <c r="BV56" s="152"/>
      <c r="BW56" s="1"/>
      <c r="BX56" s="1"/>
      <c r="BY56" s="1"/>
      <c r="BZ56" s="1"/>
      <c r="CA56" s="1"/>
      <c r="CB56" s="1"/>
      <c r="CC56" s="1"/>
      <c r="CD56" s="2"/>
      <c r="CE56" s="2"/>
      <c r="CF56" s="127"/>
      <c r="CJ56" s="126"/>
      <c r="CK56" s="2"/>
      <c r="CL56" s="1"/>
      <c r="CM56" s="152"/>
      <c r="CN56" s="1"/>
      <c r="CO56" s="1"/>
      <c r="CP56" s="1"/>
      <c r="CQ56" s="1"/>
      <c r="CR56" s="1"/>
      <c r="CS56" s="1"/>
      <c r="CT56" s="1"/>
      <c r="CU56" s="2"/>
      <c r="CV56" s="2"/>
      <c r="CW56" s="127"/>
      <c r="DJ56" s="126"/>
      <c r="DK56" s="2"/>
      <c r="DL56" s="1"/>
      <c r="DM56" s="152"/>
      <c r="DN56" s="1"/>
      <c r="DO56" s="1"/>
      <c r="DP56" s="1"/>
      <c r="DQ56" s="1"/>
      <c r="DR56" s="1"/>
      <c r="DS56" s="1"/>
      <c r="DT56" s="1"/>
      <c r="DU56" s="2"/>
      <c r="DV56" s="2"/>
      <c r="DW56" s="127"/>
      <c r="EA56" s="126"/>
      <c r="EB56" s="2"/>
      <c r="EC56" s="149"/>
      <c r="ED56" s="1"/>
      <c r="EE56" s="1"/>
      <c r="EF56" s="1"/>
      <c r="EG56" s="1"/>
      <c r="EH56" s="1"/>
      <c r="EI56" s="1"/>
      <c r="EJ56" s="1"/>
      <c r="EK56" s="1"/>
      <c r="EL56" s="2"/>
      <c r="EM56" s="2"/>
      <c r="EN56" s="127"/>
      <c r="ER56" s="126"/>
      <c r="ES56" s="2"/>
      <c r="ET56" s="1"/>
      <c r="EU56" s="152"/>
      <c r="EV56" s="1"/>
      <c r="EW56" s="1"/>
      <c r="EX56" s="1"/>
      <c r="EY56" s="1"/>
      <c r="EZ56" s="1"/>
      <c r="FA56" s="1"/>
      <c r="FB56" s="1"/>
      <c r="FC56" s="2"/>
      <c r="FD56" s="2"/>
      <c r="FE56" s="127"/>
      <c r="FI56" s="126"/>
      <c r="FJ56" s="2"/>
      <c r="FK56" s="1"/>
      <c r="FL56" s="152"/>
      <c r="FM56" s="1"/>
      <c r="FN56" s="1"/>
      <c r="FO56" s="1"/>
      <c r="FP56" s="1"/>
      <c r="FQ56" s="1"/>
      <c r="FR56" s="1"/>
      <c r="FS56" s="1"/>
      <c r="FT56" s="2"/>
      <c r="FU56" s="2"/>
      <c r="FV56" s="127"/>
    </row>
    <row r="57" spans="3:178" ht="26.5" thickBot="1" x14ac:dyDescent="0.65">
      <c r="C57" s="126"/>
      <c r="D57" s="2"/>
      <c r="E57" s="2"/>
      <c r="F57" s="2"/>
      <c r="G57" s="110" t="s">
        <v>295</v>
      </c>
      <c r="H57" s="20"/>
      <c r="I57" s="20"/>
      <c r="J57" s="20"/>
      <c r="K57" s="20"/>
      <c r="L57" s="2"/>
      <c r="M57" s="2"/>
      <c r="N57" s="2"/>
      <c r="O57" s="2"/>
      <c r="P57" s="127"/>
      <c r="T57" s="126"/>
      <c r="U57" s="2"/>
      <c r="V57" s="2"/>
      <c r="W57" s="2"/>
      <c r="X57" s="110" t="s">
        <v>296</v>
      </c>
      <c r="Y57" s="20"/>
      <c r="Z57" s="20"/>
      <c r="AA57" s="20"/>
      <c r="AB57" s="20"/>
      <c r="AC57" s="2"/>
      <c r="AD57" s="2"/>
      <c r="AE57" s="2"/>
      <c r="AF57" s="2"/>
      <c r="AG57" s="127"/>
      <c r="AK57" s="126"/>
      <c r="AL57" s="2"/>
      <c r="AM57" s="2"/>
      <c r="AN57" s="2"/>
      <c r="AO57" s="110" t="s">
        <v>602</v>
      </c>
      <c r="AP57" s="20"/>
      <c r="AQ57" s="20"/>
      <c r="AR57" s="20"/>
      <c r="AS57" s="20"/>
      <c r="AT57" s="2"/>
      <c r="AU57" s="2"/>
      <c r="AV57" s="2"/>
      <c r="AW57" s="2"/>
      <c r="AX57" s="127"/>
      <c r="BB57" s="126"/>
      <c r="BC57" s="2"/>
      <c r="BD57" s="2"/>
      <c r="BE57" s="2"/>
      <c r="BF57" s="110" t="s">
        <v>604</v>
      </c>
      <c r="BG57" s="20"/>
      <c r="BH57" s="20"/>
      <c r="BI57" s="20"/>
      <c r="BJ57" s="20"/>
      <c r="BK57" s="2"/>
      <c r="BL57" s="2"/>
      <c r="BM57" s="2"/>
      <c r="BN57" s="2"/>
      <c r="BO57" s="127"/>
      <c r="BS57" s="126"/>
      <c r="BT57" s="2"/>
      <c r="BU57" s="2"/>
      <c r="BV57" s="2"/>
      <c r="BW57" s="110" t="s">
        <v>602</v>
      </c>
      <c r="BX57" s="20"/>
      <c r="BY57" s="20"/>
      <c r="BZ57" s="20"/>
      <c r="CA57" s="20"/>
      <c r="CB57" s="2"/>
      <c r="CC57" s="2"/>
      <c r="CD57" s="2"/>
      <c r="CE57" s="2"/>
      <c r="CF57" s="127"/>
      <c r="CJ57" s="126"/>
      <c r="CK57" s="2"/>
      <c r="CL57" s="2"/>
      <c r="CM57" s="2"/>
      <c r="CN57" s="110" t="s">
        <v>604</v>
      </c>
      <c r="CO57" s="20"/>
      <c r="CP57" s="20"/>
      <c r="CQ57" s="20"/>
      <c r="CR57" s="20"/>
      <c r="CS57" s="2"/>
      <c r="CT57" s="2"/>
      <c r="CU57" s="2"/>
      <c r="CV57" s="2"/>
      <c r="CW57" s="127"/>
      <c r="DJ57" s="126"/>
      <c r="DK57" s="2"/>
      <c r="DL57" s="2"/>
      <c r="DM57" s="2"/>
      <c r="DN57" s="110" t="s">
        <v>295</v>
      </c>
      <c r="DO57" s="20"/>
      <c r="DP57" s="20"/>
      <c r="DQ57" s="20"/>
      <c r="DR57" s="20"/>
      <c r="DS57" s="2"/>
      <c r="DT57" s="2"/>
      <c r="DU57" s="2"/>
      <c r="DV57" s="2"/>
      <c r="DW57" s="127"/>
      <c r="EA57" s="126"/>
      <c r="EB57" s="2"/>
      <c r="EC57" s="2"/>
      <c r="ED57" s="2"/>
      <c r="EE57" s="110" t="s">
        <v>296</v>
      </c>
      <c r="EF57" s="20"/>
      <c r="EG57" s="20"/>
      <c r="EH57" s="20"/>
      <c r="EI57" s="20"/>
      <c r="EJ57" s="2"/>
      <c r="EK57" s="2"/>
      <c r="EL57" s="2"/>
      <c r="EM57" s="2"/>
      <c r="EN57" s="127"/>
      <c r="ER57" s="126"/>
      <c r="ES57" s="2"/>
      <c r="ET57" s="2"/>
      <c r="EU57" s="2"/>
      <c r="EV57" s="110" t="s">
        <v>602</v>
      </c>
      <c r="EW57" s="20"/>
      <c r="EX57" s="20"/>
      <c r="EY57" s="20"/>
      <c r="EZ57" s="20"/>
      <c r="FA57" s="2"/>
      <c r="FB57" s="2"/>
      <c r="FC57" s="2"/>
      <c r="FD57" s="2"/>
      <c r="FE57" s="127"/>
      <c r="FI57" s="126"/>
      <c r="FJ57" s="2"/>
      <c r="FK57" s="2"/>
      <c r="FL57" s="2"/>
      <c r="FM57" s="110" t="s">
        <v>604</v>
      </c>
      <c r="FN57" s="20"/>
      <c r="FO57" s="20"/>
      <c r="FP57" s="20"/>
      <c r="FQ57" s="20"/>
      <c r="FR57" s="2"/>
      <c r="FS57" s="2"/>
      <c r="FT57" s="2"/>
      <c r="FU57" s="2"/>
      <c r="FV57" s="127"/>
    </row>
    <row r="58" spans="3:178" x14ac:dyDescent="0.35">
      <c r="C58" s="126"/>
      <c r="D58" s="2"/>
      <c r="E58" s="2"/>
      <c r="F58" s="2"/>
      <c r="G58" s="2"/>
      <c r="H58" s="2"/>
      <c r="I58" s="2"/>
      <c r="J58" s="2"/>
      <c r="K58" s="2"/>
      <c r="L58" s="2"/>
      <c r="M58" s="2"/>
      <c r="N58" s="2"/>
      <c r="O58" s="2"/>
      <c r="P58" s="127"/>
      <c r="T58" s="126"/>
      <c r="U58" s="2"/>
      <c r="V58" s="2"/>
      <c r="W58" s="2"/>
      <c r="X58" s="2"/>
      <c r="Y58" s="2"/>
      <c r="Z58" s="2"/>
      <c r="AA58" s="2"/>
      <c r="AB58" s="2"/>
      <c r="AC58" s="2"/>
      <c r="AD58" s="2"/>
      <c r="AE58" s="2"/>
      <c r="AF58" s="2"/>
      <c r="AG58" s="127"/>
      <c r="AK58" s="126"/>
      <c r="AL58" s="2"/>
      <c r="AM58" s="2"/>
      <c r="AN58" s="2"/>
      <c r="AO58" s="2"/>
      <c r="AP58" s="2"/>
      <c r="AQ58" s="2"/>
      <c r="AR58" s="2"/>
      <c r="AS58" s="2"/>
      <c r="AT58" s="2"/>
      <c r="AU58" s="2"/>
      <c r="AV58" s="2"/>
      <c r="AW58" s="2"/>
      <c r="AX58" s="127"/>
      <c r="BB58" s="126"/>
      <c r="BC58" s="2"/>
      <c r="BD58" s="2"/>
      <c r="BE58" s="2"/>
      <c r="BF58" s="2"/>
      <c r="BG58" s="2"/>
      <c r="BH58" s="2"/>
      <c r="BI58" s="2"/>
      <c r="BJ58" s="2"/>
      <c r="BK58" s="2"/>
      <c r="BL58" s="2"/>
      <c r="BM58" s="2"/>
      <c r="BN58" s="2"/>
      <c r="BO58" s="127"/>
      <c r="BS58" s="126"/>
      <c r="BT58" s="2"/>
      <c r="BU58" s="2"/>
      <c r="BV58" s="2"/>
      <c r="BW58" s="2"/>
      <c r="BX58" s="2"/>
      <c r="BY58" s="2"/>
      <c r="BZ58" s="2"/>
      <c r="CA58" s="2"/>
      <c r="CB58" s="2"/>
      <c r="CC58" s="2"/>
      <c r="CD58" s="2"/>
      <c r="CE58" s="2"/>
      <c r="CF58" s="127"/>
      <c r="CJ58" s="126"/>
      <c r="CK58" s="2"/>
      <c r="CL58" s="2"/>
      <c r="CM58" s="2"/>
      <c r="CN58" s="2"/>
      <c r="CO58" s="2"/>
      <c r="CP58" s="2"/>
      <c r="CQ58" s="2"/>
      <c r="CR58" s="2"/>
      <c r="CS58" s="2"/>
      <c r="CT58" s="2"/>
      <c r="CU58" s="2"/>
      <c r="CV58" s="2"/>
      <c r="CW58" s="127"/>
      <c r="DJ58" s="126"/>
      <c r="DK58" s="2"/>
      <c r="DL58" s="2"/>
      <c r="DM58" s="2"/>
      <c r="DN58" s="2"/>
      <c r="DO58" s="2"/>
      <c r="DP58" s="2"/>
      <c r="DQ58" s="2"/>
      <c r="DR58" s="2"/>
      <c r="DS58" s="2"/>
      <c r="DT58" s="2"/>
      <c r="DU58" s="2"/>
      <c r="DV58" s="2"/>
      <c r="DW58" s="127"/>
      <c r="EA58" s="126"/>
      <c r="EB58" s="2"/>
      <c r="EC58" s="2"/>
      <c r="ED58" s="2"/>
      <c r="EE58" s="2"/>
      <c r="EF58" s="2"/>
      <c r="EG58" s="2"/>
      <c r="EH58" s="2"/>
      <c r="EI58" s="2"/>
      <c r="EJ58" s="2"/>
      <c r="EK58" s="2"/>
      <c r="EL58" s="2"/>
      <c r="EM58" s="2"/>
      <c r="EN58" s="127"/>
      <c r="ER58" s="126"/>
      <c r="ES58" s="2"/>
      <c r="ET58" s="2"/>
      <c r="EU58" s="2"/>
      <c r="EV58" s="2"/>
      <c r="EW58" s="2"/>
      <c r="EX58" s="2"/>
      <c r="EY58" s="2"/>
      <c r="EZ58" s="2"/>
      <c r="FA58" s="2"/>
      <c r="FB58" s="2"/>
      <c r="FC58" s="2"/>
      <c r="FD58" s="2"/>
      <c r="FE58" s="127"/>
      <c r="FI58" s="126"/>
      <c r="FJ58" s="2"/>
      <c r="FK58" s="2"/>
      <c r="FL58" s="2"/>
      <c r="FM58" s="2"/>
      <c r="FN58" s="2"/>
      <c r="FO58" s="2"/>
      <c r="FP58" s="2"/>
      <c r="FQ58" s="2"/>
      <c r="FR58" s="2"/>
      <c r="FS58" s="2"/>
      <c r="FT58" s="2"/>
      <c r="FU58" s="2"/>
      <c r="FV58" s="127"/>
    </row>
    <row r="59" spans="3:178" ht="16" thickBot="1" x14ac:dyDescent="0.4">
      <c r="C59" s="126"/>
      <c r="D59" s="49" t="s">
        <v>130</v>
      </c>
      <c r="E59" s="2"/>
      <c r="F59" s="2"/>
      <c r="G59" s="9" t="s">
        <v>3</v>
      </c>
      <c r="H59" s="9" t="s">
        <v>4</v>
      </c>
      <c r="I59" s="9" t="s">
        <v>5</v>
      </c>
      <c r="J59" s="9" t="s">
        <v>6</v>
      </c>
      <c r="K59" s="9" t="s">
        <v>7</v>
      </c>
      <c r="L59" s="9" t="s">
        <v>8</v>
      </c>
      <c r="M59" s="9" t="s">
        <v>9</v>
      </c>
      <c r="N59" s="44" t="s">
        <v>10</v>
      </c>
      <c r="O59" s="122" t="s">
        <v>297</v>
      </c>
      <c r="P59" s="127"/>
      <c r="T59" s="126"/>
      <c r="U59" s="3" t="s">
        <v>132</v>
      </c>
      <c r="V59" s="2"/>
      <c r="W59" s="2"/>
      <c r="X59" s="9" t="s">
        <v>3</v>
      </c>
      <c r="Y59" s="9" t="s">
        <v>4</v>
      </c>
      <c r="Z59" s="9" t="s">
        <v>5</v>
      </c>
      <c r="AA59" s="9" t="s">
        <v>6</v>
      </c>
      <c r="AB59" s="9" t="s">
        <v>7</v>
      </c>
      <c r="AC59" s="9" t="s">
        <v>8</v>
      </c>
      <c r="AD59" s="9" t="s">
        <v>9</v>
      </c>
      <c r="AE59" s="9" t="s">
        <v>10</v>
      </c>
      <c r="AF59" s="163" t="s">
        <v>297</v>
      </c>
      <c r="AG59" s="127"/>
      <c r="AK59" s="126"/>
      <c r="AL59" s="49" t="s">
        <v>130</v>
      </c>
      <c r="AM59" s="2"/>
      <c r="AN59" s="2"/>
      <c r="AO59" s="9" t="s">
        <v>3</v>
      </c>
      <c r="AP59" s="9" t="s">
        <v>4</v>
      </c>
      <c r="AQ59" s="9" t="s">
        <v>5</v>
      </c>
      <c r="AR59" s="9" t="s">
        <v>6</v>
      </c>
      <c r="AS59" s="9" t="s">
        <v>7</v>
      </c>
      <c r="AT59" s="9" t="s">
        <v>8</v>
      </c>
      <c r="AU59" s="9" t="s">
        <v>9</v>
      </c>
      <c r="AV59" s="44" t="s">
        <v>10</v>
      </c>
      <c r="AW59" s="122" t="s">
        <v>297</v>
      </c>
      <c r="AX59" s="127"/>
      <c r="BB59" s="126"/>
      <c r="BC59" s="49" t="s">
        <v>130</v>
      </c>
      <c r="BD59" s="2"/>
      <c r="BE59" s="2"/>
      <c r="BF59" s="9" t="s">
        <v>3</v>
      </c>
      <c r="BG59" s="9" t="s">
        <v>4</v>
      </c>
      <c r="BH59" s="9" t="s">
        <v>5</v>
      </c>
      <c r="BI59" s="9" t="s">
        <v>6</v>
      </c>
      <c r="BJ59" s="9" t="s">
        <v>7</v>
      </c>
      <c r="BK59" s="9" t="s">
        <v>8</v>
      </c>
      <c r="BL59" s="9" t="s">
        <v>9</v>
      </c>
      <c r="BM59" s="44" t="s">
        <v>10</v>
      </c>
      <c r="BN59" s="122" t="s">
        <v>297</v>
      </c>
      <c r="BO59" s="127"/>
      <c r="BS59" s="126"/>
      <c r="BT59" s="49" t="s">
        <v>130</v>
      </c>
      <c r="BU59" s="2"/>
      <c r="BV59" s="2"/>
      <c r="BW59" s="9" t="s">
        <v>3</v>
      </c>
      <c r="BX59" s="9" t="s">
        <v>4</v>
      </c>
      <c r="BY59" s="9" t="s">
        <v>5</v>
      </c>
      <c r="BZ59" s="9" t="s">
        <v>6</v>
      </c>
      <c r="CA59" s="9" t="s">
        <v>7</v>
      </c>
      <c r="CB59" s="9" t="s">
        <v>8</v>
      </c>
      <c r="CC59" s="9" t="s">
        <v>9</v>
      </c>
      <c r="CD59" s="44" t="s">
        <v>10</v>
      </c>
      <c r="CE59" s="122" t="s">
        <v>297</v>
      </c>
      <c r="CF59" s="127"/>
      <c r="CJ59" s="126"/>
      <c r="CK59" s="49" t="s">
        <v>130</v>
      </c>
      <c r="CL59" s="2"/>
      <c r="CM59" s="2"/>
      <c r="CN59" s="9" t="s">
        <v>3</v>
      </c>
      <c r="CO59" s="9" t="s">
        <v>4</v>
      </c>
      <c r="CP59" s="9" t="s">
        <v>5</v>
      </c>
      <c r="CQ59" s="9" t="s">
        <v>6</v>
      </c>
      <c r="CR59" s="9" t="s">
        <v>7</v>
      </c>
      <c r="CS59" s="9" t="s">
        <v>8</v>
      </c>
      <c r="CT59" s="9" t="s">
        <v>9</v>
      </c>
      <c r="CU59" s="44" t="s">
        <v>10</v>
      </c>
      <c r="CV59" s="122" t="s">
        <v>297</v>
      </c>
      <c r="CW59" s="127"/>
      <c r="DJ59" s="126"/>
      <c r="DK59" s="49" t="s">
        <v>130</v>
      </c>
      <c r="DL59" s="2"/>
      <c r="DM59" s="2"/>
      <c r="DN59" s="9" t="s">
        <v>3</v>
      </c>
      <c r="DO59" s="9" t="s">
        <v>4</v>
      </c>
      <c r="DP59" s="9" t="s">
        <v>5</v>
      </c>
      <c r="DQ59" s="9" t="s">
        <v>6</v>
      </c>
      <c r="DR59" s="9" t="s">
        <v>7</v>
      </c>
      <c r="DS59" s="9" t="s">
        <v>8</v>
      </c>
      <c r="DT59" s="9" t="s">
        <v>9</v>
      </c>
      <c r="DU59" s="44" t="s">
        <v>10</v>
      </c>
      <c r="DV59" s="122" t="s">
        <v>297</v>
      </c>
      <c r="DW59" s="127"/>
      <c r="EA59" s="126"/>
      <c r="EB59" s="3" t="s">
        <v>132</v>
      </c>
      <c r="EC59" s="2"/>
      <c r="ED59" s="2"/>
      <c r="EE59" s="9" t="s">
        <v>3</v>
      </c>
      <c r="EF59" s="9" t="s">
        <v>4</v>
      </c>
      <c r="EG59" s="9" t="s">
        <v>5</v>
      </c>
      <c r="EH59" s="9" t="s">
        <v>6</v>
      </c>
      <c r="EI59" s="9" t="s">
        <v>7</v>
      </c>
      <c r="EJ59" s="9" t="s">
        <v>8</v>
      </c>
      <c r="EK59" s="9" t="s">
        <v>9</v>
      </c>
      <c r="EL59" s="9" t="s">
        <v>10</v>
      </c>
      <c r="EM59" s="163" t="s">
        <v>297</v>
      </c>
      <c r="EN59" s="127"/>
      <c r="ER59" s="126"/>
      <c r="ES59" s="49" t="s">
        <v>130</v>
      </c>
      <c r="ET59" s="2"/>
      <c r="EU59" s="2"/>
      <c r="EV59" s="9" t="s">
        <v>3</v>
      </c>
      <c r="EW59" s="9" t="s">
        <v>4</v>
      </c>
      <c r="EX59" s="9" t="s">
        <v>5</v>
      </c>
      <c r="EY59" s="9" t="s">
        <v>6</v>
      </c>
      <c r="EZ59" s="9" t="s">
        <v>7</v>
      </c>
      <c r="FA59" s="9" t="s">
        <v>8</v>
      </c>
      <c r="FB59" s="9" t="s">
        <v>9</v>
      </c>
      <c r="FC59" s="44" t="s">
        <v>10</v>
      </c>
      <c r="FD59" s="122" t="s">
        <v>297</v>
      </c>
      <c r="FE59" s="127"/>
      <c r="FI59" s="126"/>
      <c r="FJ59" s="49" t="s">
        <v>130</v>
      </c>
      <c r="FK59" s="2"/>
      <c r="FL59" s="2"/>
      <c r="FM59" s="9" t="s">
        <v>3</v>
      </c>
      <c r="FN59" s="9" t="s">
        <v>4</v>
      </c>
      <c r="FO59" s="9" t="s">
        <v>5</v>
      </c>
      <c r="FP59" s="9" t="s">
        <v>6</v>
      </c>
      <c r="FQ59" s="9" t="s">
        <v>7</v>
      </c>
      <c r="FR59" s="9" t="s">
        <v>8</v>
      </c>
      <c r="FS59" s="9" t="s">
        <v>9</v>
      </c>
      <c r="FT59" s="44" t="s">
        <v>10</v>
      </c>
      <c r="FU59" s="122" t="s">
        <v>297</v>
      </c>
      <c r="FV59" s="127"/>
    </row>
    <row r="60" spans="3:178" ht="15.5" x14ac:dyDescent="0.35">
      <c r="C60" s="126"/>
      <c r="D60" s="3" t="s">
        <v>19</v>
      </c>
      <c r="E60" s="3">
        <v>8022017</v>
      </c>
      <c r="F60" s="2"/>
      <c r="G60" s="4">
        <v>8.4462500000000063</v>
      </c>
      <c r="H60" s="4">
        <v>8.2714285714285527</v>
      </c>
      <c r="I60" s="4">
        <v>0.5064940369329336</v>
      </c>
      <c r="J60" s="4">
        <v>0.4935059630670664</v>
      </c>
      <c r="K60" s="4">
        <v>0.1187176073435775</v>
      </c>
      <c r="L60" s="4">
        <v>5.9829118036422782E-2</v>
      </c>
      <c r="M60" s="4">
        <v>16.75571428571428</v>
      </c>
      <c r="N60" s="164">
        <v>66.714285714285708</v>
      </c>
      <c r="O60" s="46">
        <v>7.8602489578385768</v>
      </c>
      <c r="P60" s="127"/>
      <c r="T60" s="126"/>
      <c r="U60" s="49" t="s">
        <v>107</v>
      </c>
      <c r="V60" s="3">
        <v>7292016</v>
      </c>
      <c r="W60" s="2"/>
      <c r="X60" s="4">
        <v>8.7566666666666695</v>
      </c>
      <c r="Y60" s="4">
        <v>6.6433333333333069</v>
      </c>
      <c r="Z60" s="4">
        <v>0.56538141095756955</v>
      </c>
      <c r="AA60" s="4">
        <v>0.4346185890424305</v>
      </c>
      <c r="AB60" s="4">
        <v>0.1205197424044695</v>
      </c>
      <c r="AC60" s="4">
        <v>6.7051082615873711E-2</v>
      </c>
      <c r="AD60" s="4">
        <v>15.399999999999977</v>
      </c>
      <c r="AE60" s="164">
        <v>17.181818181818183</v>
      </c>
      <c r="AF60" s="46">
        <v>5.8030469208975752</v>
      </c>
      <c r="AG60" s="127"/>
      <c r="AK60" s="126"/>
      <c r="AL60" s="3" t="s">
        <v>389</v>
      </c>
      <c r="AM60" s="3"/>
      <c r="AN60" s="2"/>
      <c r="AO60" s="4">
        <v>7.1462033333333359</v>
      </c>
      <c r="AP60" s="4">
        <v>9.1636783333333387</v>
      </c>
      <c r="AQ60" s="4">
        <v>0.4384970945257658</v>
      </c>
      <c r="AR60" s="4">
        <v>0.5615029054742342</v>
      </c>
      <c r="AS60" s="4">
        <v>0.1430299237744711</v>
      </c>
      <c r="AT60" s="4">
        <v>6.1660578938350787E-2</v>
      </c>
      <c r="AU60" s="4">
        <v>16.309881666666673</v>
      </c>
      <c r="AV60" s="164">
        <v>44.666666666666664</v>
      </c>
      <c r="AW60" s="4">
        <v>6.2119132881728207</v>
      </c>
      <c r="AX60" s="127"/>
      <c r="BB60" s="126"/>
      <c r="BC60" s="3" t="s">
        <v>389</v>
      </c>
      <c r="BD60" s="3"/>
      <c r="BE60" s="2"/>
      <c r="BF60" s="4">
        <v>7.3706099999999992</v>
      </c>
      <c r="BG60" s="4">
        <v>11.070227499999994</v>
      </c>
      <c r="BH60" s="4">
        <v>0.40375959950629003</v>
      </c>
      <c r="BI60" s="4">
        <v>0.59624040049370997</v>
      </c>
      <c r="BJ60" s="4">
        <v>0.13672668011509764</v>
      </c>
      <c r="BK60" s="4">
        <v>5.4562657437013877E-2</v>
      </c>
      <c r="BL60" s="4">
        <v>18.440837499999994</v>
      </c>
      <c r="BM60" s="164">
        <v>45.375</v>
      </c>
      <c r="BN60" s="4">
        <v>6.1424284463102845</v>
      </c>
      <c r="BO60" s="127"/>
      <c r="BS60" s="126"/>
      <c r="BT60" s="3" t="s">
        <v>858</v>
      </c>
      <c r="BU60" s="3"/>
      <c r="BV60" s="2"/>
      <c r="BW60" s="4">
        <v>6.4641219999999864</v>
      </c>
      <c r="BX60" s="4">
        <v>8.1084940000000074</v>
      </c>
      <c r="BY60" s="4">
        <v>0.44416892925441287</v>
      </c>
      <c r="BZ60" s="4">
        <v>0.55583107074558724</v>
      </c>
      <c r="CA60" s="4">
        <v>0.15953884902820636</v>
      </c>
      <c r="CB60" s="4">
        <v>6.8722635095102819E-2</v>
      </c>
      <c r="CC60" s="4">
        <v>14.572615999999993</v>
      </c>
      <c r="CD60" s="164">
        <v>27</v>
      </c>
      <c r="CE60" s="4">
        <v>4.185238001202654</v>
      </c>
      <c r="CF60" s="127"/>
      <c r="CJ60" s="126"/>
      <c r="CK60" s="3" t="s">
        <v>858</v>
      </c>
      <c r="CL60" s="3"/>
      <c r="CM60" s="2"/>
      <c r="CN60" s="4">
        <v>6.9953133333333355</v>
      </c>
      <c r="CO60" s="4">
        <v>10.198955</v>
      </c>
      <c r="CP60" s="4">
        <v>0.40206400501546158</v>
      </c>
      <c r="CQ60" s="4">
        <v>0.59793599498453842</v>
      </c>
      <c r="CR60" s="4">
        <v>0.1567057071169233</v>
      </c>
      <c r="CS60" s="4">
        <v>5.8435183202249323E-2</v>
      </c>
      <c r="CT60" s="4">
        <v>17.194268333333337</v>
      </c>
      <c r="CU60" s="164">
        <v>20.666666666666668</v>
      </c>
      <c r="CV60" s="4">
        <v>2.9842324951076651</v>
      </c>
      <c r="CW60" s="127"/>
      <c r="DJ60" s="126"/>
      <c r="DK60" s="3" t="s">
        <v>19</v>
      </c>
      <c r="DL60" s="3">
        <v>8022017</v>
      </c>
      <c r="DM60" s="2"/>
      <c r="DN60" s="164">
        <f t="shared" ref="DN60:DV60" si="108">1-((G60-G8)/(G60+G8))</f>
        <v>0.91403223991899851</v>
      </c>
      <c r="DO60" s="164">
        <f t="shared" si="108"/>
        <v>0.94708128750681997</v>
      </c>
      <c r="DP60" s="164">
        <f t="shared" si="108"/>
        <v>0.98485941667669541</v>
      </c>
      <c r="DQ60" s="164">
        <f t="shared" si="108"/>
        <v>1.0150765108371631</v>
      </c>
      <c r="DR60" s="164">
        <f t="shared" si="108"/>
        <v>1.0963772861192969</v>
      </c>
      <c r="DS60" s="164">
        <f t="shared" si="108"/>
        <v>1.0832727234794783</v>
      </c>
      <c r="DT60" s="164">
        <f t="shared" si="108"/>
        <v>0.92446572760386159</v>
      </c>
      <c r="DU60" s="164">
        <f t="shared" si="108"/>
        <v>0.90674990245805698</v>
      </c>
      <c r="DV60" s="164">
        <f t="shared" si="108"/>
        <v>0.96216897475832497</v>
      </c>
      <c r="DW60" s="127"/>
      <c r="EA60" s="126"/>
      <c r="EB60" s="49" t="s">
        <v>107</v>
      </c>
      <c r="EC60" s="3"/>
      <c r="ED60" s="2"/>
      <c r="EE60" s="164">
        <f t="shared" ref="EE60:EM60" si="109">1-((X60-X8)/(X60+X8))</f>
        <v>0.67470487337301965</v>
      </c>
      <c r="EF60" s="164">
        <f t="shared" si="109"/>
        <v>1.1398731172586443</v>
      </c>
      <c r="EG60" s="164">
        <f t="shared" si="109"/>
        <v>0.74594049846105714</v>
      </c>
      <c r="EH60" s="164">
        <f t="shared" si="109"/>
        <v>1.2089002728840237</v>
      </c>
      <c r="EI60" s="164">
        <f t="shared" si="109"/>
        <v>1.3010016964135147</v>
      </c>
      <c r="EJ60" s="164">
        <f t="shared" si="109"/>
        <v>1.058857016674027</v>
      </c>
      <c r="EK60" s="164">
        <f t="shared" si="109"/>
        <v>0.92518146286990577</v>
      </c>
      <c r="EL60" s="164">
        <f t="shared" si="109"/>
        <v>1.0101256983240223</v>
      </c>
      <c r="EM60" s="164">
        <f t="shared" si="109"/>
        <v>0.97790726532061323</v>
      </c>
      <c r="EN60" s="127"/>
      <c r="ER60" s="126"/>
      <c r="ES60" s="3" t="s">
        <v>389</v>
      </c>
      <c r="ET60" s="3"/>
      <c r="EU60" s="2"/>
      <c r="EV60" s="164">
        <f t="shared" ref="EV60:EV65" si="110">1-((AO60-AO8)/(AO60+AO8))</f>
        <v>0.96314183235453876</v>
      </c>
      <c r="EW60" s="164">
        <f t="shared" ref="EW60:FD65" si="111">1-((AP60-AP8)/(AP60+AP8))</f>
        <v>0.97465544258962666</v>
      </c>
      <c r="EX60" s="164">
        <f t="shared" si="111"/>
        <v>0.99337238105087755</v>
      </c>
      <c r="EY60" s="164">
        <f t="shared" si="111"/>
        <v>1.0051153591083031</v>
      </c>
      <c r="EZ60" s="164">
        <f t="shared" si="111"/>
        <v>1.0418451587492219</v>
      </c>
      <c r="FA60" s="164">
        <f t="shared" si="111"/>
        <v>1.0310489008657471</v>
      </c>
      <c r="FB60" s="164">
        <f t="shared" si="111"/>
        <v>0.96964236156048123</v>
      </c>
      <c r="FC60" s="164">
        <f t="shared" si="111"/>
        <v>0.92080536912751687</v>
      </c>
      <c r="FD60" s="164">
        <f t="shared" si="111"/>
        <v>0.95537468539221471</v>
      </c>
      <c r="FE60" s="127"/>
      <c r="FI60" s="126"/>
      <c r="FJ60" s="3" t="s">
        <v>389</v>
      </c>
      <c r="FK60" s="3"/>
      <c r="FL60" s="2"/>
      <c r="FM60" s="164">
        <f t="shared" ref="FM60:FM65" si="112">1-((BF60-BF8)/(BF60+BF8))</f>
        <v>1.0028226966911504</v>
      </c>
      <c r="FN60" s="164">
        <f t="shared" ref="FN60:FU65" si="113">1-((BG60-BG8)/(BG60+BG8))</f>
        <v>0.99211998533126178</v>
      </c>
      <c r="FO60" s="164">
        <f t="shared" si="113"/>
        <v>1.006163626096116</v>
      </c>
      <c r="FP60" s="164">
        <f t="shared" si="113"/>
        <v>0.99578254337053862</v>
      </c>
      <c r="FQ60" s="164">
        <f t="shared" si="113"/>
        <v>0.99688990701970392</v>
      </c>
      <c r="FR60" s="164">
        <f t="shared" si="113"/>
        <v>1.0034296431547558</v>
      </c>
      <c r="FS60" s="164">
        <f t="shared" si="113"/>
        <v>0.99642519166453669</v>
      </c>
      <c r="FT60" s="164">
        <f t="shared" si="113"/>
        <v>0.9970836531082119</v>
      </c>
      <c r="FU60" s="164">
        <f t="shared" si="113"/>
        <v>0.99462328060044403</v>
      </c>
      <c r="FV60" s="127"/>
    </row>
    <row r="61" spans="3:178" ht="15.5" x14ac:dyDescent="0.35">
      <c r="C61" s="126"/>
      <c r="D61" s="3" t="s">
        <v>33</v>
      </c>
      <c r="E61" s="3">
        <v>8042017</v>
      </c>
      <c r="F61" s="2"/>
      <c r="G61" s="4">
        <v>7.9514074999999949</v>
      </c>
      <c r="H61" s="4">
        <v>4.9502350000000028</v>
      </c>
      <c r="I61" s="4">
        <v>0.62172092310474514</v>
      </c>
      <c r="J61" s="4">
        <v>0.37827907689525486</v>
      </c>
      <c r="K61" s="4">
        <v>0.1258542576646958</v>
      </c>
      <c r="L61" s="4">
        <v>7.8278727570157858E-2</v>
      </c>
      <c r="M61" s="4">
        <v>12.901642499999998</v>
      </c>
      <c r="N61" s="164">
        <v>51</v>
      </c>
      <c r="O61" s="4">
        <v>6.4122453033571887</v>
      </c>
      <c r="P61" s="127"/>
      <c r="T61" s="126"/>
      <c r="U61" s="49" t="s">
        <v>113</v>
      </c>
      <c r="V61" s="3"/>
      <c r="W61" s="2"/>
      <c r="X61" s="4">
        <v>6.3253875000000095</v>
      </c>
      <c r="Y61" s="4">
        <v>6.6418899999999965</v>
      </c>
      <c r="Z61" s="4">
        <v>0.48666078240601229</v>
      </c>
      <c r="AA61" s="4">
        <v>0.51333921759398782</v>
      </c>
      <c r="AB61" s="4">
        <v>0.16153065151346499</v>
      </c>
      <c r="AC61" s="4">
        <v>7.8123945477373433E-2</v>
      </c>
      <c r="AD61" s="4">
        <v>12.967277500000005</v>
      </c>
      <c r="AE61" s="164">
        <v>27.5</v>
      </c>
      <c r="AF61" s="46">
        <v>4.3886823684470837</v>
      </c>
      <c r="AG61" s="127"/>
      <c r="AK61" s="126"/>
      <c r="AL61" s="3" t="s">
        <v>390</v>
      </c>
      <c r="AM61" s="3"/>
      <c r="AN61" s="2"/>
      <c r="AO61" s="4">
        <v>6.4639500000000014</v>
      </c>
      <c r="AP61" s="4">
        <v>12.993026000000004</v>
      </c>
      <c r="AQ61" s="4">
        <v>0.33495179487514182</v>
      </c>
      <c r="AR61" s="4">
        <v>0.66504820512485818</v>
      </c>
      <c r="AS61" s="4">
        <v>0.1561394851117249</v>
      </c>
      <c r="AT61" s="4">
        <v>5.2047852694539355E-2</v>
      </c>
      <c r="AU61" s="4">
        <v>19.456976000000004</v>
      </c>
      <c r="AV61" s="164">
        <v>51.6</v>
      </c>
      <c r="AW61" s="4">
        <v>8.029754394883728</v>
      </c>
      <c r="AX61" s="127"/>
      <c r="BB61" s="126"/>
      <c r="BC61" s="3" t="s">
        <v>390</v>
      </c>
      <c r="BD61" s="3"/>
      <c r="BE61" s="2"/>
      <c r="BF61" s="4">
        <v>6.9821759999999928</v>
      </c>
      <c r="BG61" s="4">
        <v>8.5225000000000026</v>
      </c>
      <c r="BH61" s="4">
        <v>0.45146414555255487</v>
      </c>
      <c r="BI61" s="4">
        <v>0.54853585444744524</v>
      </c>
      <c r="BJ61" s="4">
        <v>0.14389757845832266</v>
      </c>
      <c r="BK61" s="4">
        <v>6.479434190411186E-2</v>
      </c>
      <c r="BL61" s="4">
        <v>15.504675999999995</v>
      </c>
      <c r="BM61" s="164">
        <v>55.6</v>
      </c>
      <c r="BN61" s="4">
        <v>7.9768787886243242</v>
      </c>
      <c r="BO61" s="127"/>
      <c r="BS61" s="126"/>
      <c r="BT61" s="3" t="s">
        <v>869</v>
      </c>
      <c r="BU61" s="3"/>
      <c r="BV61" s="2"/>
      <c r="BW61" s="4">
        <v>5.1409600000000237</v>
      </c>
      <c r="BX61" s="4">
        <v>7.1961659999999883</v>
      </c>
      <c r="BY61" s="4">
        <v>0.41866346091845219</v>
      </c>
      <c r="BZ61" s="4">
        <v>0.58133653908154781</v>
      </c>
      <c r="CA61" s="4">
        <v>0.20012985558594015</v>
      </c>
      <c r="CB61" s="4">
        <v>8.3214718119321143E-2</v>
      </c>
      <c r="CC61" s="4">
        <v>12.337126000000012</v>
      </c>
      <c r="CD61" s="164">
        <v>10.6</v>
      </c>
      <c r="CE61" s="4">
        <v>2.0359875455864556</v>
      </c>
      <c r="CF61" s="127"/>
      <c r="CJ61" s="126"/>
      <c r="CK61" s="3" t="s">
        <v>869</v>
      </c>
      <c r="CL61" s="3"/>
      <c r="CM61" s="2"/>
      <c r="CN61" s="4">
        <v>5.7073325000000015</v>
      </c>
      <c r="CO61" s="4">
        <v>6.7703450000000007</v>
      </c>
      <c r="CP61" s="4">
        <v>0.45949968022568421</v>
      </c>
      <c r="CQ61" s="4">
        <v>0.54050031977431579</v>
      </c>
      <c r="CR61" s="4">
        <v>0.17902441460285168</v>
      </c>
      <c r="CS61" s="4">
        <v>8.0880167090376473E-2</v>
      </c>
      <c r="CT61" s="4">
        <v>12.477677500000002</v>
      </c>
      <c r="CU61" s="164">
        <v>12.25</v>
      </c>
      <c r="CV61" s="4">
        <v>2.1420861653624383</v>
      </c>
      <c r="CW61" s="127"/>
      <c r="DJ61" s="126"/>
      <c r="DK61" s="3" t="s">
        <v>33</v>
      </c>
      <c r="DL61" s="3">
        <v>8042017</v>
      </c>
      <c r="DM61" s="2"/>
      <c r="DN61" s="164">
        <f t="shared" ref="DN61:DN75" si="114">1-((G61-G9)/(G61+G9))</f>
        <v>0.88850275632227249</v>
      </c>
      <c r="DO61" s="164">
        <f t="shared" ref="DO61:DO75" si="115">1-((H61-H9)/(H61+H9))</f>
        <v>0.88337065159343531</v>
      </c>
      <c r="DP61" s="164">
        <f t="shared" ref="DP61:DP75" si="116">1-((I61-I9)/(I61+I9))</f>
        <v>0.99735037886592082</v>
      </c>
      <c r="DQ61" s="164">
        <f t="shared" ref="DQ61:DQ75" si="117">1-((J61-J9)/(J61+J9))</f>
        <v>1.0043244966994602</v>
      </c>
      <c r="DR61" s="164">
        <f t="shared" ref="DR61:DR75" si="118">1-((K61-K9)/(K61+K9))</f>
        <v>1.127540204018032</v>
      </c>
      <c r="DS61" s="164">
        <f t="shared" ref="DS61:DS75" si="119">1-((L61-L9)/(L61+L9))</f>
        <v>1.1141589119152069</v>
      </c>
      <c r="DT61" s="164">
        <f t="shared" ref="DT61:DT75" si="120">1-((M61-M9)/(M61+M9))</f>
        <v>0.88653920519061613</v>
      </c>
      <c r="DU61" s="164">
        <f t="shared" ref="DU61:DU75" si="121">1-((N61-N9)/(N61+N9))</f>
        <v>0.89592006661115742</v>
      </c>
      <c r="DV61" s="164">
        <f t="shared" ref="DV61:DV75" si="122">1-((O61-O9)/(O61+O9))</f>
        <v>1.0292561303135275</v>
      </c>
      <c r="DW61" s="127"/>
      <c r="EA61" s="126"/>
      <c r="EB61" s="49" t="s">
        <v>113</v>
      </c>
      <c r="EC61" s="3"/>
      <c r="ED61" s="2"/>
      <c r="EE61" s="164">
        <f t="shared" ref="EE61:EE75" si="123">1-((X61-X9)/(X61+X9))</f>
        <v>0.72025502288099408</v>
      </c>
      <c r="EF61" s="164">
        <f t="shared" ref="EF61:EF75" si="124">1-((Y61-Y9)/(Y61+Y9))</f>
        <v>1.1768576932919981</v>
      </c>
      <c r="EG61" s="164">
        <f t="shared" ref="EG61:EG75" si="125">1-((Z61-Z9)/(Z61+Z9))</f>
        <v>0.7193883551951723</v>
      </c>
      <c r="EH61" s="164">
        <f t="shared" ref="EH61:EH75" si="126">1-((AA61-AA9)/(AA61+AA9))</f>
        <v>1.1737437896142848</v>
      </c>
      <c r="EI61" s="164">
        <f t="shared" ref="EI61:EI75" si="127">1-((AB61-AB9)/(AB61+AB9))</f>
        <v>1.2698016686471345</v>
      </c>
      <c r="EJ61" s="164">
        <f t="shared" ref="EJ61:EJ75" si="128">1-((AC61-AC9)/(AC61+AC9))</f>
        <v>0.99140942837727497</v>
      </c>
      <c r="EK61" s="164">
        <f t="shared" ref="EK61:EK75" si="129">1-((AD61-AD9)/(AD61+AD9))</f>
        <v>1.0021055798877054</v>
      </c>
      <c r="EL61" s="164">
        <f t="shared" ref="EL61:EL75" si="130">1-((AE61-AE9)/(AE61+AE9))</f>
        <v>0.55051244509516839</v>
      </c>
      <c r="EM61" s="164">
        <f t="shared" ref="EM61:EM75" si="131">1-((AF61-AF9)/(AF61+AF9))</f>
        <v>0.82383031449920907</v>
      </c>
      <c r="EN61" s="127"/>
      <c r="ER61" s="126"/>
      <c r="ES61" s="3" t="s">
        <v>390</v>
      </c>
      <c r="ET61" s="3"/>
      <c r="EU61" s="2"/>
      <c r="EV61" s="164">
        <f t="shared" si="110"/>
        <v>0.99209501573824199</v>
      </c>
      <c r="EW61" s="164">
        <f t="shared" si="111"/>
        <v>0.73503001364807674</v>
      </c>
      <c r="EX61" s="164">
        <f t="shared" si="111"/>
        <v>1.1326050315778351</v>
      </c>
      <c r="EY61" s="164">
        <f t="shared" si="111"/>
        <v>0.91658021824079583</v>
      </c>
      <c r="EZ61" s="164">
        <f t="shared" si="111"/>
        <v>0.99557504776216543</v>
      </c>
      <c r="FA61" s="164">
        <f t="shared" si="111"/>
        <v>1.131547047642387</v>
      </c>
      <c r="FB61" s="164">
        <f t="shared" si="111"/>
        <v>0.88130787500054097</v>
      </c>
      <c r="FC61" s="164">
        <f t="shared" si="111"/>
        <v>0.64006024096385539</v>
      </c>
      <c r="FD61" s="164">
        <f t="shared" si="111"/>
        <v>0.63434945172832014</v>
      </c>
      <c r="FE61" s="127"/>
      <c r="FI61" s="126"/>
      <c r="FJ61" s="3" t="s">
        <v>390</v>
      </c>
      <c r="FK61" s="3"/>
      <c r="FL61" s="2"/>
      <c r="FM61" s="164">
        <f t="shared" si="112"/>
        <v>0.95356824682737551</v>
      </c>
      <c r="FN61" s="164">
        <f t="shared" si="113"/>
        <v>0.93947939606633635</v>
      </c>
      <c r="FO61" s="164">
        <f t="shared" si="113"/>
        <v>0.98413724733035146</v>
      </c>
      <c r="FP61" s="164">
        <f t="shared" si="113"/>
        <v>1.012688663632064</v>
      </c>
      <c r="FQ61" s="164">
        <f t="shared" si="113"/>
        <v>1.0363829311807082</v>
      </c>
      <c r="FR61" s="164">
        <f t="shared" si="113"/>
        <v>1.0227825007386977</v>
      </c>
      <c r="FS61" s="164">
        <f t="shared" si="113"/>
        <v>0.9942778136922874</v>
      </c>
      <c r="FT61" s="164">
        <f t="shared" si="113"/>
        <v>0.60801144492131609</v>
      </c>
      <c r="FU61" s="164">
        <f t="shared" si="113"/>
        <v>0.63721460862931156</v>
      </c>
      <c r="FV61" s="127"/>
    </row>
    <row r="62" spans="3:178" ht="15.5" x14ac:dyDescent="0.35">
      <c r="C62" s="126"/>
      <c r="D62" s="3" t="s">
        <v>57</v>
      </c>
      <c r="E62" s="3">
        <v>8062107</v>
      </c>
      <c r="F62" s="2"/>
      <c r="G62" s="4">
        <v>13.692499999999995</v>
      </c>
      <c r="H62" s="4">
        <v>18.212500000000006</v>
      </c>
      <c r="I62" s="4">
        <v>0.42998629564977997</v>
      </c>
      <c r="J62" s="4">
        <v>0.57001370435022003</v>
      </c>
      <c r="K62" s="4">
        <v>7.3218879879039772E-2</v>
      </c>
      <c r="L62" s="4">
        <v>3.1460492182941849E-2</v>
      </c>
      <c r="M62" s="4">
        <v>31.905000000000001</v>
      </c>
      <c r="N62" s="164">
        <v>28.75</v>
      </c>
      <c r="O62" s="4">
        <v>2.1233374109300027</v>
      </c>
      <c r="P62" s="127"/>
      <c r="T62" s="126"/>
      <c r="U62" s="49" t="s">
        <v>117</v>
      </c>
      <c r="V62" s="3"/>
      <c r="W62" s="2"/>
      <c r="X62" s="4">
        <v>7.2156999999999982</v>
      </c>
      <c r="Y62" s="4">
        <v>12.833519999999993</v>
      </c>
      <c r="Z62" s="4">
        <v>0.35989928785259484</v>
      </c>
      <c r="AA62" s="4">
        <v>0.64010071214740516</v>
      </c>
      <c r="AB62" s="4">
        <v>0.13858669290574721</v>
      </c>
      <c r="AC62" s="4">
        <v>4.9877252082624682E-2</v>
      </c>
      <c r="AD62" s="4">
        <v>20.049219999999991</v>
      </c>
      <c r="AE62" s="164">
        <v>38</v>
      </c>
      <c r="AF62" s="46">
        <v>5.2662943304183942</v>
      </c>
      <c r="AG62" s="127"/>
      <c r="AK62" s="126"/>
      <c r="AL62" s="3" t="s">
        <v>256</v>
      </c>
      <c r="AM62" s="3"/>
      <c r="AN62" s="2"/>
      <c r="AO62" s="4">
        <v>3.6294399999999967</v>
      </c>
      <c r="AP62" s="4">
        <v>10.892000000000005</v>
      </c>
      <c r="AQ62" s="4">
        <v>0.25609975356949866</v>
      </c>
      <c r="AR62" s="4">
        <v>0.74390024643050123</v>
      </c>
      <c r="AS62" s="4">
        <v>0.27675105739840877</v>
      </c>
      <c r="AT62" s="4">
        <v>7.0334383634828829E-2</v>
      </c>
      <c r="AU62" s="4">
        <v>14.521440000000002</v>
      </c>
      <c r="AV62" s="164">
        <v>19.2</v>
      </c>
      <c r="AW62" s="4">
        <v>5.3121434116856561</v>
      </c>
      <c r="AX62" s="127"/>
      <c r="BB62" s="126"/>
      <c r="BC62" s="3" t="s">
        <v>256</v>
      </c>
      <c r="BD62" s="3"/>
      <c r="BE62" s="2"/>
      <c r="BF62" s="4">
        <v>3.6633266666666642</v>
      </c>
      <c r="BG62" s="4">
        <v>10.782383333333341</v>
      </c>
      <c r="BH62" s="4">
        <v>0.25578148706518283</v>
      </c>
      <c r="BI62" s="4">
        <v>0.74421851293481733</v>
      </c>
      <c r="BJ62" s="4">
        <v>0.27377274175116406</v>
      </c>
      <c r="BK62" s="4">
        <v>6.9582217210145722E-2</v>
      </c>
      <c r="BL62" s="4">
        <v>14.445710000000005</v>
      </c>
      <c r="BM62" s="164">
        <v>17.666666666666668</v>
      </c>
      <c r="BN62" s="4">
        <v>4.8061527921696179</v>
      </c>
      <c r="BO62" s="127"/>
      <c r="BS62" s="126"/>
      <c r="BT62" s="3" t="s">
        <v>876</v>
      </c>
      <c r="BU62" s="3"/>
      <c r="BV62" s="2"/>
      <c r="BW62" s="4">
        <v>5.2229314285714405</v>
      </c>
      <c r="BX62" s="4">
        <v>2.9272800000000081</v>
      </c>
      <c r="BY62" s="4">
        <v>0.64021576756681264</v>
      </c>
      <c r="BZ62" s="4">
        <v>0.35978423243318736</v>
      </c>
      <c r="CA62" s="4">
        <v>0.19470108550189227</v>
      </c>
      <c r="CB62" s="4">
        <v>0.12440065428524336</v>
      </c>
      <c r="CC62" s="4">
        <v>8.1502114285714491</v>
      </c>
      <c r="CD62" s="164">
        <v>24.142857142857142</v>
      </c>
      <c r="CE62" s="4">
        <v>4.6554380144754743</v>
      </c>
      <c r="CF62" s="127"/>
      <c r="CJ62" s="126"/>
      <c r="CK62" s="3" t="s">
        <v>876</v>
      </c>
      <c r="CL62" s="3"/>
      <c r="CM62" s="2"/>
      <c r="CN62" s="4">
        <v>5.4473842857142873</v>
      </c>
      <c r="CO62" s="4">
        <v>3.1835585714285695</v>
      </c>
      <c r="CP62" s="4">
        <v>0.63220053323100001</v>
      </c>
      <c r="CQ62" s="4">
        <v>0.36779946676900011</v>
      </c>
      <c r="CR62" s="4">
        <v>0.18876415390762094</v>
      </c>
      <c r="CS62" s="4">
        <v>0.11701484364730345</v>
      </c>
      <c r="CT62" s="4">
        <v>8.6309428571428572</v>
      </c>
      <c r="CU62" s="164">
        <v>27.523809523809526</v>
      </c>
      <c r="CV62" s="4">
        <v>5.0086441584270274</v>
      </c>
      <c r="CW62" s="127"/>
      <c r="DJ62" s="126"/>
      <c r="DK62" s="3" t="s">
        <v>57</v>
      </c>
      <c r="DL62" s="3">
        <v>8062107</v>
      </c>
      <c r="DM62" s="2"/>
      <c r="DN62" s="164">
        <f t="shared" si="114"/>
        <v>0.99232793038102751</v>
      </c>
      <c r="DO62" s="164">
        <f t="shared" si="115"/>
        <v>1.0202670898503166</v>
      </c>
      <c r="DP62" s="164">
        <f t="shared" si="116"/>
        <v>0.98300991699996287</v>
      </c>
      <c r="DQ62" s="164">
        <f t="shared" si="117"/>
        <v>1.0124454100797977</v>
      </c>
      <c r="DR62" s="164">
        <f t="shared" si="118"/>
        <v>1.007804071388827</v>
      </c>
      <c r="DS62" s="164">
        <f t="shared" si="119"/>
        <v>0.98977691244481525</v>
      </c>
      <c r="DT62" s="164">
        <f t="shared" si="120"/>
        <v>1.00846865045451</v>
      </c>
      <c r="DU62" s="164">
        <f t="shared" si="121"/>
        <v>0.986784140969163</v>
      </c>
      <c r="DV62" s="164">
        <f t="shared" si="122"/>
        <v>0.9877876121664898</v>
      </c>
      <c r="DW62" s="127"/>
      <c r="EA62" s="126"/>
      <c r="EB62" s="49" t="s">
        <v>117</v>
      </c>
      <c r="EC62" s="3"/>
      <c r="ED62" s="2"/>
      <c r="EE62" s="164">
        <f t="shared" si="123"/>
        <v>1.0114260662273433</v>
      </c>
      <c r="EF62" s="164">
        <f t="shared" si="124"/>
        <v>0.90304856888384422</v>
      </c>
      <c r="EG62" s="164">
        <f t="shared" si="125"/>
        <v>1.0673215133844389</v>
      </c>
      <c r="EH62" s="164">
        <f t="shared" si="126"/>
        <v>0.95876340598755005</v>
      </c>
      <c r="EI62" s="164">
        <f t="shared" si="127"/>
        <v>0.98857393377265679</v>
      </c>
      <c r="EJ62" s="164">
        <f t="shared" si="128"/>
        <v>1.0559384761556654</v>
      </c>
      <c r="EK62" s="164">
        <f t="shared" si="129"/>
        <v>0.94406152384433462</v>
      </c>
      <c r="EL62" s="164">
        <f t="shared" si="130"/>
        <v>0.93706293706293708</v>
      </c>
      <c r="EM62" s="164">
        <f t="shared" si="131"/>
        <v>1.0175639921759894</v>
      </c>
      <c r="EN62" s="127"/>
      <c r="ER62" s="126"/>
      <c r="ES62" s="3" t="s">
        <v>256</v>
      </c>
      <c r="ET62" s="3"/>
      <c r="EU62" s="2"/>
      <c r="EV62" s="164">
        <f t="shared" si="110"/>
        <v>1.0095174677941177</v>
      </c>
      <c r="EW62" s="164">
        <f t="shared" si="111"/>
        <v>0.90859973706993258</v>
      </c>
      <c r="EX62" s="164">
        <f t="shared" si="111"/>
        <v>1.061646026962183</v>
      </c>
      <c r="EY62" s="164">
        <f t="shared" si="111"/>
        <v>0.97685975130229774</v>
      </c>
      <c r="EZ62" s="164">
        <f t="shared" si="111"/>
        <v>0.98826204406050633</v>
      </c>
      <c r="FA62" s="164">
        <f t="shared" si="111"/>
        <v>1.0537685772749465</v>
      </c>
      <c r="FB62" s="164">
        <f t="shared" si="111"/>
        <v>0.93570250411256672</v>
      </c>
      <c r="FC62" s="164">
        <f t="shared" si="111"/>
        <v>0.9536784741144414</v>
      </c>
      <c r="FD62" s="164">
        <f t="shared" si="111"/>
        <v>0.9529339454642769</v>
      </c>
      <c r="FE62" s="127"/>
      <c r="FI62" s="126"/>
      <c r="FJ62" s="3" t="s">
        <v>256</v>
      </c>
      <c r="FK62" s="3"/>
      <c r="FL62" s="2"/>
      <c r="FM62" s="164">
        <f t="shared" si="112"/>
        <v>1.0048710699013703</v>
      </c>
      <c r="FN62" s="164">
        <f t="shared" si="113"/>
        <v>0.91361723614987567</v>
      </c>
      <c r="FO62" s="164">
        <f t="shared" si="113"/>
        <v>1.0622653988797219</v>
      </c>
      <c r="FP62" s="164">
        <f t="shared" si="113"/>
        <v>0.97664599517192707</v>
      </c>
      <c r="FQ62" s="164">
        <f t="shared" si="113"/>
        <v>0.99367160930636289</v>
      </c>
      <c r="FR62" s="164">
        <f t="shared" si="113"/>
        <v>1.0591273062558206</v>
      </c>
      <c r="FS62" s="164">
        <f t="shared" si="113"/>
        <v>0.93830647443204551</v>
      </c>
      <c r="FT62" s="164">
        <f t="shared" si="113"/>
        <v>0.99526066350710896</v>
      </c>
      <c r="FU62" s="164">
        <f t="shared" si="113"/>
        <v>1.0029483772293937</v>
      </c>
      <c r="FV62" s="127"/>
    </row>
    <row r="63" spans="3:178" ht="15.5" x14ac:dyDescent="0.35">
      <c r="C63" s="126"/>
      <c r="D63" s="3" t="s">
        <v>61</v>
      </c>
      <c r="E63" s="3">
        <v>8082017</v>
      </c>
      <c r="F63" s="2"/>
      <c r="G63" s="4">
        <v>11.788469999999961</v>
      </c>
      <c r="H63" s="4">
        <v>13.952620000000024</v>
      </c>
      <c r="I63" s="4">
        <v>0.45796312432767872</v>
      </c>
      <c r="J63" s="4">
        <v>0.54203687567232128</v>
      </c>
      <c r="K63" s="4">
        <v>8.4828650367690064E-2</v>
      </c>
      <c r="L63" s="4">
        <v>3.8848393754887633E-2</v>
      </c>
      <c r="M63" s="4">
        <v>25.741089999999986</v>
      </c>
      <c r="N63" s="164">
        <v>19.25</v>
      </c>
      <c r="O63" s="4">
        <v>2.3781457848347634</v>
      </c>
      <c r="P63" s="127"/>
      <c r="T63" s="126"/>
      <c r="U63" s="49" t="s">
        <v>118</v>
      </c>
      <c r="V63" s="3"/>
      <c r="W63" s="2"/>
      <c r="X63" s="4">
        <v>2.1120400000000004</v>
      </c>
      <c r="Y63" s="4">
        <v>10.838169999999998</v>
      </c>
      <c r="Z63" s="4">
        <v>0.16308924720139678</v>
      </c>
      <c r="AA63" s="4">
        <v>0.83691075279860327</v>
      </c>
      <c r="AB63" s="4">
        <v>0.47347588113861472</v>
      </c>
      <c r="AC63" s="4">
        <v>7.7218825022914689E-2</v>
      </c>
      <c r="AD63" s="4">
        <v>12.950209999999998</v>
      </c>
      <c r="AE63" s="164">
        <v>15</v>
      </c>
      <c r="AF63" s="46">
        <v>7.1021382170791965</v>
      </c>
      <c r="AG63" s="127"/>
      <c r="AK63" s="126"/>
      <c r="AL63" s="3" t="s">
        <v>304</v>
      </c>
      <c r="AM63" s="3"/>
      <c r="AN63" s="2"/>
      <c r="AO63" s="4">
        <v>8.2263728571428487</v>
      </c>
      <c r="AP63" s="4">
        <v>17.847257142857153</v>
      </c>
      <c r="AQ63" s="4">
        <v>0.35026718658214245</v>
      </c>
      <c r="AR63" s="4">
        <v>0.6497328134178576</v>
      </c>
      <c r="AS63" s="4">
        <v>0.12276571657404789</v>
      </c>
      <c r="AT63" s="4">
        <v>4.3360414728183007E-2</v>
      </c>
      <c r="AU63" s="4">
        <v>26.073630000000001</v>
      </c>
      <c r="AV63" s="164">
        <v>88.285714285714292</v>
      </c>
      <c r="AW63" s="4">
        <v>10.786518959404875</v>
      </c>
      <c r="AX63" s="127"/>
      <c r="BB63" s="126"/>
      <c r="BC63" s="3" t="s">
        <v>304</v>
      </c>
      <c r="BD63" s="3"/>
      <c r="BE63" s="2"/>
      <c r="BF63" s="4">
        <v>8.4404314285713919</v>
      </c>
      <c r="BG63" s="4">
        <v>12.01363571428571</v>
      </c>
      <c r="BH63" s="4">
        <v>0.41666964341713036</v>
      </c>
      <c r="BI63" s="4">
        <v>0.58333035658286969</v>
      </c>
      <c r="BJ63" s="4">
        <v>0.11899067905792415</v>
      </c>
      <c r="BK63" s="4">
        <v>4.9206902728654682E-2</v>
      </c>
      <c r="BL63" s="4">
        <v>20.454067142857102</v>
      </c>
      <c r="BM63" s="164">
        <v>93.666666666666671</v>
      </c>
      <c r="BN63" s="4">
        <v>11.164769672080782</v>
      </c>
      <c r="BO63" s="127"/>
      <c r="BS63" s="126"/>
      <c r="BT63" s="3" t="s">
        <v>884</v>
      </c>
      <c r="BU63" s="3"/>
      <c r="BV63" s="2"/>
      <c r="BW63" s="4">
        <v>5.0425175000000202</v>
      </c>
      <c r="BX63" s="4">
        <v>8.3344324999999913</v>
      </c>
      <c r="BY63" s="4">
        <v>0.39019598570857517</v>
      </c>
      <c r="BZ63" s="4">
        <v>0.60980401429142483</v>
      </c>
      <c r="CA63" s="4">
        <v>0.19954347966432021</v>
      </c>
      <c r="CB63" s="4">
        <v>7.656990693922823E-2</v>
      </c>
      <c r="CC63" s="4">
        <v>13.376950000000011</v>
      </c>
      <c r="CD63" s="164">
        <v>36.5</v>
      </c>
      <c r="CE63" s="4">
        <v>7.261109240451276</v>
      </c>
      <c r="CF63" s="127"/>
      <c r="CJ63" s="126"/>
      <c r="CK63" s="3" t="s">
        <v>884</v>
      </c>
      <c r="CL63" s="3"/>
      <c r="CM63" s="2"/>
      <c r="CN63" s="4">
        <v>4.8412081818181827</v>
      </c>
      <c r="CO63" s="4">
        <v>8.1380336363636339</v>
      </c>
      <c r="CP63" s="4">
        <v>0.34394586659790138</v>
      </c>
      <c r="CQ63" s="4">
        <v>0.56514504249300757</v>
      </c>
      <c r="CR63" s="4">
        <v>0.17255807616180735</v>
      </c>
      <c r="CS63" s="4">
        <v>6.4793100911043608E-2</v>
      </c>
      <c r="CT63" s="4">
        <v>12.979241818181817</v>
      </c>
      <c r="CU63" s="164">
        <v>33.909090909090907</v>
      </c>
      <c r="CV63" s="4">
        <v>6.3675319052486836</v>
      </c>
      <c r="CW63" s="127"/>
      <c r="DJ63" s="126"/>
      <c r="DK63" s="3" t="s">
        <v>61</v>
      </c>
      <c r="DL63" s="3">
        <v>8082017</v>
      </c>
      <c r="DM63" s="2"/>
      <c r="DN63" s="164">
        <f t="shared" si="114"/>
        <v>0.80873687682748541</v>
      </c>
      <c r="DO63" s="164">
        <f t="shared" si="115"/>
        <v>0.87323017451620266</v>
      </c>
      <c r="DP63" s="164">
        <f t="shared" si="116"/>
        <v>0.96261698580093358</v>
      </c>
      <c r="DQ63" s="164">
        <f t="shared" si="117"/>
        <v>1.0295468662340717</v>
      </c>
      <c r="DR63" s="164">
        <f t="shared" si="118"/>
        <v>1.1991086115491534</v>
      </c>
      <c r="DS63" s="164">
        <f t="shared" si="119"/>
        <v>1.1579434207246246</v>
      </c>
      <c r="DT63" s="164">
        <f t="shared" si="120"/>
        <v>0.84458338182324755</v>
      </c>
      <c r="DU63" s="164">
        <f t="shared" si="121"/>
        <v>1.0054644808743169</v>
      </c>
      <c r="DV63" s="164">
        <f t="shared" si="122"/>
        <v>0.99024404257543253</v>
      </c>
      <c r="DW63" s="127"/>
      <c r="EA63" s="126"/>
      <c r="EB63" s="49" t="s">
        <v>118</v>
      </c>
      <c r="EC63" s="3"/>
      <c r="ED63" s="2"/>
      <c r="EE63" s="164">
        <f t="shared" si="123"/>
        <v>1.0612195913360036</v>
      </c>
      <c r="EF63" s="164">
        <f t="shared" si="124"/>
        <v>1.0022157172252018</v>
      </c>
      <c r="EG63" s="164">
        <f t="shared" si="125"/>
        <v>1.0507984509947237</v>
      </c>
      <c r="EH63" s="164">
        <f t="shared" si="126"/>
        <v>0.98946119897536799</v>
      </c>
      <c r="EI63" s="164">
        <f t="shared" si="127"/>
        <v>0.94286122384687499</v>
      </c>
      <c r="EJ63" s="164">
        <f t="shared" si="128"/>
        <v>0.9917672148957094</v>
      </c>
      <c r="EK63" s="164">
        <f t="shared" si="129"/>
        <v>1.0123396547206192</v>
      </c>
      <c r="EL63" s="164">
        <f t="shared" si="130"/>
        <v>0.94628099173553715</v>
      </c>
      <c r="EM63" s="164">
        <f t="shared" si="131"/>
        <v>0.88765766993000261</v>
      </c>
      <c r="EN63" s="127"/>
      <c r="ER63" s="126"/>
      <c r="ES63" s="3" t="s">
        <v>304</v>
      </c>
      <c r="ET63" s="3"/>
      <c r="EU63" s="2"/>
      <c r="EV63" s="164">
        <f t="shared" si="110"/>
        <v>1.021371789085457</v>
      </c>
      <c r="EW63" s="164">
        <f t="shared" si="111"/>
        <v>0.88106549325434991</v>
      </c>
      <c r="EX63" s="164">
        <f t="shared" si="111"/>
        <v>1.0518674007677875</v>
      </c>
      <c r="EY63" s="164">
        <f t="shared" si="111"/>
        <v>0.96961281225195273</v>
      </c>
      <c r="EZ63" s="164">
        <f t="shared" si="111"/>
        <v>0.97873907489142664</v>
      </c>
      <c r="FA63" s="164">
        <f t="shared" si="111"/>
        <v>1.024633955749003</v>
      </c>
      <c r="FB63" s="164">
        <f t="shared" si="111"/>
        <v>0.92948912979932075</v>
      </c>
      <c r="FC63" s="164">
        <f t="shared" si="111"/>
        <v>0.98646986469864695</v>
      </c>
      <c r="FD63" s="164">
        <f t="shared" si="111"/>
        <v>0.96633691807150812</v>
      </c>
      <c r="FE63" s="127"/>
      <c r="FI63" s="126"/>
      <c r="FJ63" s="3" t="s">
        <v>304</v>
      </c>
      <c r="FK63" s="3"/>
      <c r="FL63" s="2"/>
      <c r="FM63" s="164">
        <f t="shared" si="112"/>
        <v>1.0085307224186952</v>
      </c>
      <c r="FN63" s="164">
        <f t="shared" si="113"/>
        <v>1.078243394176946</v>
      </c>
      <c r="FO63" s="164">
        <f t="shared" si="113"/>
        <v>0.96512941556584253</v>
      </c>
      <c r="FP63" s="164">
        <f t="shared" si="113"/>
        <v>1.0235028985203811</v>
      </c>
      <c r="FQ63" s="164">
        <f t="shared" si="113"/>
        <v>0.99435224703995595</v>
      </c>
      <c r="FR63" s="164">
        <f t="shared" si="113"/>
        <v>0.96141461104911741</v>
      </c>
      <c r="FS63" s="164">
        <f t="shared" si="113"/>
        <v>1.0506997741144568</v>
      </c>
      <c r="FT63" s="164">
        <f t="shared" si="113"/>
        <v>0.956913694816386</v>
      </c>
      <c r="FU63" s="164">
        <f t="shared" si="113"/>
        <v>0.94913505574032664</v>
      </c>
      <c r="FV63" s="127"/>
    </row>
    <row r="64" spans="3:178" ht="15.5" x14ac:dyDescent="0.35">
      <c r="C64" s="126"/>
      <c r="D64" s="3" t="s">
        <v>88</v>
      </c>
      <c r="E64" s="3">
        <v>8112017</v>
      </c>
      <c r="F64" s="2"/>
      <c r="G64" s="4">
        <v>5.3299999999999841</v>
      </c>
      <c r="H64" s="4">
        <v>10.575000000000017</v>
      </c>
      <c r="I64" s="4">
        <v>0.3365412933227977</v>
      </c>
      <c r="J64" s="4">
        <v>0.66345870667720219</v>
      </c>
      <c r="K64" s="4">
        <v>0.18878951562915147</v>
      </c>
      <c r="L64" s="4">
        <v>6.2958482631296442E-2</v>
      </c>
      <c r="M64" s="4">
        <v>15.905000000000001</v>
      </c>
      <c r="N64">
        <v>23</v>
      </c>
      <c r="O64">
        <v>4.3124059151687018</v>
      </c>
      <c r="P64" s="127"/>
      <c r="T64" s="126"/>
      <c r="U64" s="3" t="s">
        <v>19</v>
      </c>
      <c r="V64" s="3">
        <v>8022017</v>
      </c>
      <c r="W64" s="2"/>
      <c r="X64" s="4">
        <v>7.5966666666666738</v>
      </c>
      <c r="Y64" s="4">
        <v>6.4533333333333376</v>
      </c>
      <c r="Z64" s="4">
        <v>0.54057700507082385</v>
      </c>
      <c r="AA64" s="4">
        <v>0.45942299492917615</v>
      </c>
      <c r="AB64" s="4">
        <v>0.13221404634688361</v>
      </c>
      <c r="AC64" s="4">
        <v>7.1403861405264113E-2</v>
      </c>
      <c r="AD64" s="4">
        <v>14.050000000000011</v>
      </c>
      <c r="AE64" s="164">
        <v>55.333333333333336</v>
      </c>
      <c r="AF64" s="46">
        <v>7.2872052358885684</v>
      </c>
      <c r="AG64" s="127"/>
      <c r="AK64" s="126"/>
      <c r="AL64" s="3" t="s">
        <v>445</v>
      </c>
      <c r="AM64" s="3"/>
      <c r="AN64" s="2"/>
      <c r="AO64" s="4">
        <v>3.4582199999999945</v>
      </c>
      <c r="AP64" s="4">
        <v>6.166554000000005</v>
      </c>
      <c r="AQ64" s="4">
        <v>0.36003732867040938</v>
      </c>
      <c r="AR64" s="4">
        <v>0.6399626713295905</v>
      </c>
      <c r="AS64" s="4">
        <v>0.29254142710964348</v>
      </c>
      <c r="AT64" s="4">
        <v>0.10502090811564942</v>
      </c>
      <c r="AU64" s="4">
        <v>9.6247739999999986</v>
      </c>
      <c r="AV64" s="164">
        <v>15.8</v>
      </c>
      <c r="AW64" s="4">
        <v>4.600790835326249</v>
      </c>
      <c r="AX64" s="127"/>
      <c r="BB64" s="126"/>
      <c r="BC64" s="3" t="s">
        <v>445</v>
      </c>
      <c r="BD64" s="3"/>
      <c r="BE64" s="2"/>
      <c r="BF64" s="4">
        <v>4.566585999999992</v>
      </c>
      <c r="BG64" s="4">
        <v>7.0493440000000005</v>
      </c>
      <c r="BH64" s="4">
        <v>0.40222955232537261</v>
      </c>
      <c r="BI64" s="4">
        <v>0.5977704476746275</v>
      </c>
      <c r="BJ64" s="4">
        <v>0.22154961948708984</v>
      </c>
      <c r="BK64" s="4">
        <v>8.8756234394458094E-2</v>
      </c>
      <c r="BL64" s="4">
        <v>11.615929999999993</v>
      </c>
      <c r="BM64" s="164">
        <v>18</v>
      </c>
      <c r="BN64" s="4">
        <v>3.955215026450559</v>
      </c>
      <c r="BO64" s="127"/>
      <c r="BS64" s="126"/>
      <c r="BT64" s="3"/>
      <c r="BU64" s="3"/>
      <c r="BV64" s="2"/>
      <c r="BW64" s="4"/>
      <c r="BX64" s="4"/>
      <c r="BY64" s="4"/>
      <c r="BZ64" s="4"/>
      <c r="CA64" s="4"/>
      <c r="CB64" s="4"/>
      <c r="CC64" s="4"/>
      <c r="CD64" s="164"/>
      <c r="CE64" s="4"/>
      <c r="CF64" s="127"/>
      <c r="CJ64" s="126"/>
      <c r="CK64" s="3"/>
      <c r="CL64" s="3"/>
      <c r="CM64" s="2"/>
      <c r="CN64" s="4"/>
      <c r="CO64" s="4"/>
      <c r="CP64" s="4"/>
      <c r="CQ64" s="4"/>
      <c r="CR64" s="4"/>
      <c r="CS64" s="4"/>
      <c r="CT64" s="4"/>
      <c r="CU64" s="164"/>
      <c r="CV64" s="4"/>
      <c r="CW64" s="127"/>
      <c r="DJ64" s="126"/>
      <c r="DK64" s="3" t="s">
        <v>88</v>
      </c>
      <c r="DL64" s="3">
        <v>8112017</v>
      </c>
      <c r="DM64" s="2"/>
      <c r="DN64" s="164">
        <f t="shared" si="114"/>
        <v>1.1238596202843765</v>
      </c>
      <c r="DO64" s="164">
        <f t="shared" si="115"/>
        <v>1.0205612670186159</v>
      </c>
      <c r="DP64" s="164">
        <f t="shared" si="116"/>
        <v>1.0837719355628976</v>
      </c>
      <c r="DQ64" s="164">
        <f t="shared" si="117"/>
        <v>0.95136560476565979</v>
      </c>
      <c r="DR64" s="164">
        <f t="shared" si="118"/>
        <v>0.87779338966860132</v>
      </c>
      <c r="DS64" s="164">
        <f t="shared" si="119"/>
        <v>0.96150112523486897</v>
      </c>
      <c r="DT64" s="164">
        <f t="shared" si="120"/>
        <v>1.0577885726133704</v>
      </c>
      <c r="DU64" s="164">
        <f t="shared" si="121"/>
        <v>1.1238095238095238</v>
      </c>
      <c r="DV64" s="164">
        <f t="shared" si="122"/>
        <v>0.99863486206538032</v>
      </c>
      <c r="DW64" s="127"/>
      <c r="EA64" s="126"/>
      <c r="EB64" s="3" t="s">
        <v>19</v>
      </c>
      <c r="EC64" s="3">
        <v>8022017</v>
      </c>
      <c r="ED64" s="2"/>
      <c r="EE64" s="164">
        <f t="shared" si="123"/>
        <v>0.96683818029331092</v>
      </c>
      <c r="EF64" s="164">
        <f t="shared" si="124"/>
        <v>1.071017274472168</v>
      </c>
      <c r="EG64" s="164">
        <f t="shared" si="125"/>
        <v>0.9523321396928468</v>
      </c>
      <c r="EH64" s="164">
        <f t="shared" si="126"/>
        <v>1.0508156455532334</v>
      </c>
      <c r="EI64" s="164">
        <f t="shared" si="127"/>
        <v>1.0428139009625856</v>
      </c>
      <c r="EJ64" s="164">
        <f t="shared" si="128"/>
        <v>0.99503630818123434</v>
      </c>
      <c r="EK64" s="164">
        <f t="shared" si="129"/>
        <v>1.0123794275002924</v>
      </c>
      <c r="EL64" s="164">
        <f t="shared" si="130"/>
        <v>0.92556634304207119</v>
      </c>
      <c r="EM64" s="164">
        <f t="shared" si="131"/>
        <v>0.96937543274575033</v>
      </c>
      <c r="EN64" s="127"/>
      <c r="ER64" s="126"/>
      <c r="ES64" s="3" t="s">
        <v>445</v>
      </c>
      <c r="ET64" s="3"/>
      <c r="EU64" s="2"/>
      <c r="EV64" s="164">
        <f t="shared" si="110"/>
        <v>1.2042844518733558</v>
      </c>
      <c r="EW64" s="164">
        <f t="shared" si="111"/>
        <v>1.0505893228042957</v>
      </c>
      <c r="EX64" s="164">
        <f t="shared" si="111"/>
        <v>1.0921569925976371</v>
      </c>
      <c r="EY64" s="164">
        <f t="shared" si="111"/>
        <v>0.93943115465696503</v>
      </c>
      <c r="EZ64" s="164">
        <f t="shared" si="111"/>
        <v>0.79986321618537271</v>
      </c>
      <c r="FA64" s="164">
        <f t="shared" si="111"/>
        <v>0.88373865218117276</v>
      </c>
      <c r="FB64" s="164">
        <f t="shared" si="111"/>
        <v>1.1122031169540718</v>
      </c>
      <c r="FC64" s="164">
        <f t="shared" si="111"/>
        <v>1.125461254612546</v>
      </c>
      <c r="FD64" s="164">
        <f t="shared" si="111"/>
        <v>0.9185483112534405</v>
      </c>
      <c r="FE64" s="127"/>
      <c r="FI64" s="126"/>
      <c r="FJ64" s="3" t="s">
        <v>445</v>
      </c>
      <c r="FK64" s="3"/>
      <c r="FL64" s="2"/>
      <c r="FM64" s="164">
        <f t="shared" si="112"/>
        <v>1.0680880924904679</v>
      </c>
      <c r="FN64" s="164">
        <f t="shared" si="113"/>
        <v>0.98373678572693424</v>
      </c>
      <c r="FO64" s="164">
        <f t="shared" si="113"/>
        <v>1.0369947156602162</v>
      </c>
      <c r="FP64" s="164">
        <f t="shared" si="113"/>
        <v>0.97346467211596288</v>
      </c>
      <c r="FQ64" s="164">
        <f t="shared" si="113"/>
        <v>0.93619162352860996</v>
      </c>
      <c r="FR64" s="164">
        <f t="shared" si="113"/>
        <v>0.96735503448230142</v>
      </c>
      <c r="FS64" s="164">
        <f t="shared" si="113"/>
        <v>1.0186568864687673</v>
      </c>
      <c r="FT64" s="164">
        <f t="shared" si="113"/>
        <v>1.0608695652173912</v>
      </c>
      <c r="FU64" s="164">
        <f t="shared" si="113"/>
        <v>0.99396415775465186</v>
      </c>
      <c r="FV64" s="127"/>
    </row>
    <row r="65" spans="3:178" ht="15.5" x14ac:dyDescent="0.35">
      <c r="C65" s="126"/>
      <c r="D65" s="3" t="s">
        <v>133</v>
      </c>
      <c r="E65" s="3"/>
      <c r="F65" s="2"/>
      <c r="G65" s="4">
        <v>9.5424999999999969</v>
      </c>
      <c r="H65" s="4">
        <v>5.8358333333333405</v>
      </c>
      <c r="I65" s="4">
        <v>0.61936699887736024</v>
      </c>
      <c r="J65" s="4">
        <v>0.38063300112263976</v>
      </c>
      <c r="K65" s="4">
        <v>0.10611953821632086</v>
      </c>
      <c r="L65" s="4">
        <v>6.5345329556738108E-2</v>
      </c>
      <c r="M65" s="4">
        <v>15.378333333333337</v>
      </c>
      <c r="N65" s="164">
        <v>75.583333333333329</v>
      </c>
      <c r="O65" s="4">
        <v>7.9919593842809427</v>
      </c>
      <c r="P65" s="127"/>
      <c r="T65" s="126"/>
      <c r="U65" s="3" t="s">
        <v>33</v>
      </c>
      <c r="V65" s="3">
        <v>8042017</v>
      </c>
      <c r="W65" s="2"/>
      <c r="X65" s="4">
        <v>9.6893700000000109</v>
      </c>
      <c r="Y65" s="4">
        <v>4.9254999999999995</v>
      </c>
      <c r="Z65" s="4">
        <v>0.6646812012089709</v>
      </c>
      <c r="AA65" s="4">
        <v>0.33531879879102899</v>
      </c>
      <c r="AB65" s="4">
        <v>0.10326622060278309</v>
      </c>
      <c r="AC65" s="4">
        <v>6.8705395878055547E-2</v>
      </c>
      <c r="AD65" s="4">
        <v>14.61487000000001</v>
      </c>
      <c r="AE65" s="164">
        <v>62.5</v>
      </c>
      <c r="AF65" s="46">
        <v>6.4429061774141214</v>
      </c>
      <c r="AG65" s="127"/>
      <c r="AK65" s="126"/>
      <c r="AL65" s="3" t="s">
        <v>448</v>
      </c>
      <c r="AM65" s="3"/>
      <c r="AN65" s="2"/>
      <c r="AO65" s="4">
        <v>4.4242816666666647</v>
      </c>
      <c r="AP65" s="4">
        <v>6.700485000000004</v>
      </c>
      <c r="AQ65" s="4">
        <v>0.40125218701228854</v>
      </c>
      <c r="AR65" s="4">
        <v>0.5987478129877114</v>
      </c>
      <c r="AS65" s="4">
        <v>0.22817052725179013</v>
      </c>
      <c r="AT65" s="4">
        <v>9.0647071743416838E-2</v>
      </c>
      <c r="AU65" s="4">
        <v>11.124766666666668</v>
      </c>
      <c r="AV65" s="164">
        <v>27.5</v>
      </c>
      <c r="AW65" s="4">
        <v>6.2782294772324034</v>
      </c>
      <c r="AX65" s="127"/>
      <c r="BB65" s="126"/>
      <c r="BC65" s="3" t="s">
        <v>448</v>
      </c>
      <c r="BD65" s="3"/>
      <c r="BE65" s="2"/>
      <c r="BF65" s="4">
        <v>5.0850359999999997</v>
      </c>
      <c r="BG65" s="4">
        <v>5.985497999999998</v>
      </c>
      <c r="BH65" s="4">
        <v>0.4597146916341166</v>
      </c>
      <c r="BI65" s="4">
        <v>0.5402853083658834</v>
      </c>
      <c r="BJ65" s="4">
        <v>0.20491996484302755</v>
      </c>
      <c r="BK65" s="4">
        <v>9.055508684906742E-2</v>
      </c>
      <c r="BL65" s="4">
        <v>11.070533999999999</v>
      </c>
      <c r="BM65" s="164">
        <v>30.8</v>
      </c>
      <c r="BN65" s="4">
        <v>6.1366302251296245</v>
      </c>
      <c r="BO65" s="127"/>
      <c r="BS65" s="126"/>
      <c r="BT65" s="3"/>
      <c r="BU65" s="3"/>
      <c r="BV65" s="2"/>
      <c r="BW65" s="4"/>
      <c r="BX65" s="4"/>
      <c r="BY65" s="4"/>
      <c r="BZ65" s="4"/>
      <c r="CA65" s="4"/>
      <c r="CB65" s="4"/>
      <c r="CC65" s="4"/>
      <c r="CD65" s="164"/>
      <c r="CE65" s="4"/>
      <c r="CF65" s="127"/>
      <c r="CJ65" s="126"/>
      <c r="CK65" s="3"/>
      <c r="CL65" s="3"/>
      <c r="CM65" s="2"/>
      <c r="CN65" s="4"/>
      <c r="CO65" s="4"/>
      <c r="CP65" s="4"/>
      <c r="CQ65" s="4"/>
      <c r="CR65" s="4"/>
      <c r="CS65" s="4"/>
      <c r="CT65" s="4"/>
      <c r="CU65" s="164"/>
      <c r="CV65" s="4"/>
      <c r="CW65" s="127"/>
      <c r="DJ65" s="126"/>
      <c r="DK65" s="3" t="s">
        <v>133</v>
      </c>
      <c r="DL65" s="3"/>
      <c r="DM65" s="2"/>
      <c r="DN65" s="164">
        <f t="shared" si="114"/>
        <v>0.81182879377431916</v>
      </c>
      <c r="DO65" s="164">
        <f t="shared" si="115"/>
        <v>0.95141124504005326</v>
      </c>
      <c r="DP65" s="164">
        <f t="shared" si="116"/>
        <v>0.93884015559295231</v>
      </c>
      <c r="DQ65" s="164">
        <f t="shared" si="117"/>
        <v>1.0857424235487172</v>
      </c>
      <c r="DR65" s="164">
        <f t="shared" si="118"/>
        <v>1.2041161255165069</v>
      </c>
      <c r="DS65" s="164">
        <f t="shared" si="119"/>
        <v>1.1338310132995111</v>
      </c>
      <c r="DT65" s="164">
        <f t="shared" si="120"/>
        <v>0.87114237651016968</v>
      </c>
      <c r="DU65" s="164">
        <f t="shared" si="121"/>
        <v>0.5576464351974556</v>
      </c>
      <c r="DV65" s="164">
        <f t="shared" si="122"/>
        <v>0.72198288023209245</v>
      </c>
      <c r="DW65" s="127"/>
      <c r="EA65" s="126"/>
      <c r="EB65" s="3" t="s">
        <v>33</v>
      </c>
      <c r="EC65" s="3">
        <v>8042017</v>
      </c>
      <c r="ED65" s="2"/>
      <c r="EE65" s="164">
        <f t="shared" si="123"/>
        <v>0.79226504626427985</v>
      </c>
      <c r="EF65" s="164">
        <f t="shared" si="124"/>
        <v>0.88584192828525821</v>
      </c>
      <c r="EG65" s="164">
        <f t="shared" si="125"/>
        <v>0.96395788465760368</v>
      </c>
      <c r="EH65" s="164">
        <f t="shared" si="126"/>
        <v>1.0645100644902254</v>
      </c>
      <c r="EI65" s="164">
        <f t="shared" si="127"/>
        <v>1.2233181277649916</v>
      </c>
      <c r="EJ65" s="164">
        <f t="shared" si="128"/>
        <v>1.1779673985770884</v>
      </c>
      <c r="EK65" s="164">
        <f t="shared" si="129"/>
        <v>0.82551005335432048</v>
      </c>
      <c r="EL65" s="164">
        <f t="shared" si="130"/>
        <v>0.79674194742687898</v>
      </c>
      <c r="EM65" s="164">
        <f t="shared" si="131"/>
        <v>1.0268729014101323</v>
      </c>
      <c r="EN65" s="127"/>
      <c r="ER65" s="126"/>
      <c r="ES65" s="3" t="s">
        <v>448</v>
      </c>
      <c r="ET65" s="3"/>
      <c r="EU65" s="2"/>
      <c r="EV65" s="164">
        <f t="shared" si="110"/>
        <v>0.93262874818496622</v>
      </c>
      <c r="EW65" s="164">
        <f t="shared" si="111"/>
        <v>0.99360281333096501</v>
      </c>
      <c r="EX65" s="164">
        <f t="shared" si="111"/>
        <v>0.97628569007403576</v>
      </c>
      <c r="EY65" s="164">
        <f t="shared" si="111"/>
        <v>1.0152867433551456</v>
      </c>
      <c r="EZ65" s="164">
        <f t="shared" si="111"/>
        <v>1.0802307654263223</v>
      </c>
      <c r="FA65" s="164">
        <f t="shared" si="111"/>
        <v>1.0448588630028059</v>
      </c>
      <c r="FB65" s="164">
        <f t="shared" si="111"/>
        <v>0.97020736965257259</v>
      </c>
      <c r="FC65" s="164">
        <f t="shared" si="111"/>
        <v>0.82562277580071175</v>
      </c>
      <c r="FD65" s="164">
        <f t="shared" si="111"/>
        <v>0.88989918180770866</v>
      </c>
      <c r="FE65" s="127"/>
      <c r="FI65" s="126"/>
      <c r="FJ65" s="3" t="s">
        <v>448</v>
      </c>
      <c r="FK65" s="3"/>
      <c r="FL65" s="2"/>
      <c r="FM65" s="164">
        <f t="shared" si="112"/>
        <v>0.86378148974030189</v>
      </c>
      <c r="FN65" s="164">
        <f t="shared" si="113"/>
        <v>1.0499812279483949</v>
      </c>
      <c r="FO65" s="164">
        <f t="shared" si="113"/>
        <v>0.90852966857268402</v>
      </c>
      <c r="FP65" s="164">
        <f t="shared" si="113"/>
        <v>1.0665609494511894</v>
      </c>
      <c r="FQ65" s="164">
        <f t="shared" si="113"/>
        <v>1.1333416646451808</v>
      </c>
      <c r="FR65" s="164">
        <f t="shared" si="113"/>
        <v>1.0453654667972816</v>
      </c>
      <c r="FS65" s="164">
        <f t="shared" si="113"/>
        <v>0.97264880873179627</v>
      </c>
      <c r="FT65" s="164">
        <f t="shared" si="113"/>
        <v>0.77127659574468077</v>
      </c>
      <c r="FU65" s="164">
        <f t="shared" si="113"/>
        <v>0.90118071407390354</v>
      </c>
      <c r="FV65" s="127"/>
    </row>
    <row r="66" spans="3:178" ht="15.5" x14ac:dyDescent="0.35">
      <c r="C66" s="126"/>
      <c r="D66" s="3" t="s">
        <v>148</v>
      </c>
      <c r="E66" s="3"/>
      <c r="F66" s="2"/>
      <c r="G66" s="4">
        <v>9.8583333333333325</v>
      </c>
      <c r="H66" s="4">
        <v>20.009999999999998</v>
      </c>
      <c r="I66" s="4">
        <v>0.33185945858338894</v>
      </c>
      <c r="J66" s="4">
        <v>0.66814054141661117</v>
      </c>
      <c r="K66" s="4">
        <v>0.10172767861314551</v>
      </c>
      <c r="L66" s="4">
        <v>3.3779537409043409E-2</v>
      </c>
      <c r="M66" s="4">
        <v>29.868333333333329</v>
      </c>
      <c r="N66" s="164">
        <v>76.5</v>
      </c>
      <c r="O66" s="4">
        <v>7.7703266743408577</v>
      </c>
      <c r="P66" s="127"/>
      <c r="T66" s="126"/>
      <c r="U66" s="3" t="s">
        <v>133</v>
      </c>
      <c r="V66" s="3"/>
      <c r="W66" s="2"/>
      <c r="X66" s="4">
        <v>9.1816666666666524</v>
      </c>
      <c r="Y66" s="4">
        <v>6.2833333333333359</v>
      </c>
      <c r="Z66" s="4">
        <v>0.59359022815832885</v>
      </c>
      <c r="AA66" s="4">
        <v>0.40640977184167121</v>
      </c>
      <c r="AB66" s="4">
        <v>0.10920828788373897</v>
      </c>
      <c r="AC66" s="4">
        <v>6.4802411624801257E-2</v>
      </c>
      <c r="AD66" s="4">
        <v>15.464999999999989</v>
      </c>
      <c r="AE66" s="164">
        <v>78</v>
      </c>
      <c r="AF66" s="4">
        <v>8.493995428943288</v>
      </c>
      <c r="AG66" s="127"/>
      <c r="AK66" s="126"/>
      <c r="AL66" s="3"/>
      <c r="AM66" s="3"/>
      <c r="AN66" s="2"/>
      <c r="AO66" s="4"/>
      <c r="AP66" s="4"/>
      <c r="AQ66" s="4"/>
      <c r="AR66" s="4"/>
      <c r="AS66" s="4"/>
      <c r="AT66" s="4"/>
      <c r="AU66" s="4"/>
      <c r="AV66" s="164"/>
      <c r="AW66" s="4"/>
      <c r="AX66" s="127"/>
      <c r="BB66" s="126"/>
      <c r="BC66" s="3"/>
      <c r="BD66" s="3"/>
      <c r="BE66" s="2"/>
      <c r="BF66" s="4"/>
      <c r="BG66" s="4"/>
      <c r="BH66" s="4"/>
      <c r="BI66" s="4"/>
      <c r="BJ66" s="4"/>
      <c r="BK66" s="4"/>
      <c r="BL66" s="4"/>
      <c r="BM66" s="164"/>
      <c r="BN66" s="4"/>
      <c r="BO66" s="127"/>
      <c r="BS66" s="126"/>
      <c r="BT66" s="3"/>
      <c r="BU66" s="3"/>
      <c r="BV66" s="2"/>
      <c r="BW66" s="4"/>
      <c r="BX66" s="4"/>
      <c r="BY66" s="4"/>
      <c r="BZ66" s="4"/>
      <c r="CA66" s="4"/>
      <c r="CB66" s="4"/>
      <c r="CC66" s="4"/>
      <c r="CD66" s="164"/>
      <c r="CE66" s="4"/>
      <c r="CF66" s="127"/>
      <c r="CJ66" s="126"/>
      <c r="CK66" s="3"/>
      <c r="CL66" s="3"/>
      <c r="CM66" s="2"/>
      <c r="CN66" s="4"/>
      <c r="CO66" s="4"/>
      <c r="CP66" s="4"/>
      <c r="CQ66" s="4"/>
      <c r="CR66" s="4"/>
      <c r="CS66" s="4"/>
      <c r="CT66" s="4"/>
      <c r="CU66" s="164"/>
      <c r="CV66" s="4"/>
      <c r="CW66" s="127"/>
      <c r="DJ66" s="126"/>
      <c r="DK66" s="3" t="s">
        <v>148</v>
      </c>
      <c r="DL66" s="3"/>
      <c r="DM66" s="2"/>
      <c r="DN66" s="164">
        <f t="shared" si="114"/>
        <v>0.952881125896203</v>
      </c>
      <c r="DO66" s="164">
        <f t="shared" si="115"/>
        <v>0.96039946891416039</v>
      </c>
      <c r="DP66" s="164">
        <f t="shared" si="116"/>
        <v>0.99330820573741441</v>
      </c>
      <c r="DQ66" s="164">
        <f t="shared" si="117"/>
        <v>1.0032907955110033</v>
      </c>
      <c r="DR66" s="164">
        <f t="shared" si="118"/>
        <v>1.0485415858228677</v>
      </c>
      <c r="DS66" s="164">
        <f t="shared" si="119"/>
        <v>1.0380301650283921</v>
      </c>
      <c r="DT66" s="164">
        <f t="shared" si="120"/>
        <v>0.95792993167611584</v>
      </c>
      <c r="DU66" s="164">
        <f t="shared" si="121"/>
        <v>0.94925600915681041</v>
      </c>
      <c r="DV66" s="164">
        <f t="shared" si="122"/>
        <v>0.99518953424239154</v>
      </c>
      <c r="DW66" s="127"/>
      <c r="EA66" s="126"/>
      <c r="EB66" s="3" t="s">
        <v>133</v>
      </c>
      <c r="EC66" s="3"/>
      <c r="ED66" s="2"/>
      <c r="EE66" s="164">
        <f t="shared" si="123"/>
        <v>0.83048508650886388</v>
      </c>
      <c r="EF66" s="164">
        <f t="shared" si="124"/>
        <v>0.91463941269612759</v>
      </c>
      <c r="EG66" s="164">
        <f t="shared" si="125"/>
        <v>0.96003939669020388</v>
      </c>
      <c r="EH66" s="164">
        <f t="shared" si="126"/>
        <v>1.0531402282867837</v>
      </c>
      <c r="EI66" s="164">
        <f t="shared" si="127"/>
        <v>1.1903289888566959</v>
      </c>
      <c r="EJ66" s="164">
        <f t="shared" si="128"/>
        <v>1.1379255627568583</v>
      </c>
      <c r="EK66" s="164">
        <f t="shared" si="129"/>
        <v>0.86838013354065713</v>
      </c>
      <c r="EL66" s="164">
        <f t="shared" si="130"/>
        <v>0.54507772020725387</v>
      </c>
      <c r="EM66" s="164">
        <f t="shared" si="131"/>
        <v>0.69412019386416257</v>
      </c>
      <c r="EN66" s="127"/>
      <c r="ER66" s="126"/>
      <c r="ES66" s="3"/>
      <c r="ET66" s="3"/>
      <c r="EU66" s="2"/>
      <c r="EV66" s="4"/>
      <c r="EW66" s="4"/>
      <c r="EX66" s="4"/>
      <c r="EY66" s="4"/>
      <c r="EZ66" s="4"/>
      <c r="FA66" s="4"/>
      <c r="FB66" s="4"/>
      <c r="FC66" s="164"/>
      <c r="FD66" s="4"/>
      <c r="FE66" s="127"/>
      <c r="FI66" s="126"/>
      <c r="FJ66" s="3"/>
      <c r="FK66" s="3"/>
      <c r="FL66" s="2"/>
      <c r="FM66" s="4"/>
      <c r="FN66" s="4"/>
      <c r="FO66" s="4"/>
      <c r="FP66" s="4"/>
      <c r="FQ66" s="4"/>
      <c r="FR66" s="4"/>
      <c r="FS66" s="4"/>
      <c r="FT66" s="164"/>
      <c r="FU66" s="4"/>
      <c r="FV66" s="127"/>
    </row>
    <row r="67" spans="3:178" ht="15.5" x14ac:dyDescent="0.35">
      <c r="C67" s="131" t="s">
        <v>261</v>
      </c>
      <c r="D67" s="3" t="s">
        <v>167</v>
      </c>
      <c r="E67" s="3"/>
      <c r="F67" s="2"/>
      <c r="G67" s="4">
        <v>6.3599999999999923</v>
      </c>
      <c r="H67" s="4">
        <v>10.235714285714286</v>
      </c>
      <c r="I67" s="4">
        <v>0.3873304953168174</v>
      </c>
      <c r="J67" s="4">
        <v>0.6126695046831826</v>
      </c>
      <c r="K67" s="4">
        <v>0.16030446975902032</v>
      </c>
      <c r="L67" s="4">
        <v>6.1876564286269066E-2</v>
      </c>
      <c r="M67" s="4">
        <v>16.499999999999996</v>
      </c>
      <c r="N67" s="164">
        <v>21.285714285714285</v>
      </c>
      <c r="O67" s="4">
        <v>3.4032787578427213</v>
      </c>
      <c r="P67" s="127"/>
      <c r="T67" s="131" t="s">
        <v>261</v>
      </c>
      <c r="U67" s="3" t="s">
        <v>167</v>
      </c>
      <c r="V67" s="3"/>
      <c r="W67" s="2"/>
      <c r="X67" s="4">
        <v>6.6450000000000058</v>
      </c>
      <c r="Y67" s="4">
        <v>14.149999999999993</v>
      </c>
      <c r="Z67" s="4">
        <v>0.34255017575285868</v>
      </c>
      <c r="AA67" s="4">
        <v>0.65744982424714127</v>
      </c>
      <c r="AB67" s="4">
        <v>0.1518293575386101</v>
      </c>
      <c r="AC67" s="4">
        <v>5.0678865820166542E-2</v>
      </c>
      <c r="AD67" s="4">
        <v>20.795000000000002</v>
      </c>
      <c r="AE67" s="164">
        <v>18.666666666666668</v>
      </c>
      <c r="AF67" s="4">
        <v>2.8501938681564809</v>
      </c>
      <c r="AG67" s="127"/>
      <c r="AK67" s="126"/>
      <c r="AL67" s="3"/>
      <c r="AM67" s="3"/>
      <c r="AN67" s="2"/>
      <c r="AO67" s="4"/>
      <c r="AP67" s="4"/>
      <c r="AQ67" s="4"/>
      <c r="AR67" s="4"/>
      <c r="AS67" s="4"/>
      <c r="AT67" s="4"/>
      <c r="AU67" s="4"/>
      <c r="AV67" s="164"/>
      <c r="AW67" s="4"/>
      <c r="AX67" s="127"/>
      <c r="BB67" s="126"/>
      <c r="BC67" s="3"/>
      <c r="BD67" s="3"/>
      <c r="BE67" s="2"/>
      <c r="BF67" s="4"/>
      <c r="BG67" s="4"/>
      <c r="BH67" s="4"/>
      <c r="BI67" s="4"/>
      <c r="BJ67" s="4"/>
      <c r="BK67" s="4"/>
      <c r="BL67" s="4"/>
      <c r="BM67" s="164"/>
      <c r="BN67" s="4"/>
      <c r="BO67" s="127"/>
      <c r="BS67" s="126"/>
      <c r="BT67" s="3"/>
      <c r="BU67" s="3"/>
      <c r="BV67" s="2"/>
      <c r="BW67" s="4"/>
      <c r="BX67" s="4"/>
      <c r="BY67" s="4"/>
      <c r="BZ67" s="4"/>
      <c r="CA67" s="4"/>
      <c r="CB67" s="4"/>
      <c r="CC67" s="4"/>
      <c r="CD67" s="164"/>
      <c r="CE67" s="4"/>
      <c r="CF67" s="127"/>
      <c r="CJ67" s="126"/>
      <c r="CK67" s="3"/>
      <c r="CL67" s="3"/>
      <c r="CM67" s="2"/>
      <c r="CN67" s="4"/>
      <c r="CO67" s="4"/>
      <c r="CP67" s="4"/>
      <c r="CQ67" s="4"/>
      <c r="CR67" s="4"/>
      <c r="CS67" s="4"/>
      <c r="CT67" s="4"/>
      <c r="CU67" s="164"/>
      <c r="CV67" s="4"/>
      <c r="CW67" s="127"/>
      <c r="DJ67" s="131" t="s">
        <v>261</v>
      </c>
      <c r="DK67" s="3" t="s">
        <v>167</v>
      </c>
      <c r="DL67" s="3"/>
      <c r="DM67" s="2"/>
      <c r="DN67" s="164">
        <f t="shared" si="114"/>
        <v>1.033342832715874</v>
      </c>
      <c r="DO67" s="164">
        <f t="shared" si="115"/>
        <v>0.84867231751898131</v>
      </c>
      <c r="DP67" s="164">
        <f t="shared" si="116"/>
        <v>1.1012166936403791</v>
      </c>
      <c r="DQ67" s="164">
        <f t="shared" si="117"/>
        <v>0.92334715689190416</v>
      </c>
      <c r="DR67" s="164">
        <f t="shared" si="118"/>
        <v>0.95943810415111019</v>
      </c>
      <c r="DS67" s="164">
        <f t="shared" si="119"/>
        <v>1.0615664524314807</v>
      </c>
      <c r="DT67" s="164">
        <f t="shared" si="120"/>
        <v>0.93009118541033442</v>
      </c>
      <c r="DU67" s="164">
        <f t="shared" si="121"/>
        <v>0.91290469676242592</v>
      </c>
      <c r="DV67" s="164">
        <f t="shared" si="122"/>
        <v>0.87299447307708844</v>
      </c>
      <c r="DW67" s="127"/>
      <c r="EA67" s="131" t="s">
        <v>261</v>
      </c>
      <c r="EB67" s="3" t="s">
        <v>167</v>
      </c>
      <c r="EC67" s="3"/>
      <c r="ED67" s="2"/>
      <c r="EE67" s="164">
        <f t="shared" si="123"/>
        <v>1.0114365411436537</v>
      </c>
      <c r="EF67" s="164">
        <f t="shared" si="124"/>
        <v>0.69555197050011541</v>
      </c>
      <c r="EG67" s="164">
        <f t="shared" si="125"/>
        <v>1.1615663089240598</v>
      </c>
      <c r="EH67" s="164">
        <f t="shared" si="126"/>
        <v>0.88839199971868632</v>
      </c>
      <c r="EI67" s="164">
        <f t="shared" si="127"/>
        <v>0.98657549389405197</v>
      </c>
      <c r="EJ67" s="164">
        <f t="shared" si="128"/>
        <v>1.1600720895712393</v>
      </c>
      <c r="EK67" s="164">
        <f t="shared" si="129"/>
        <v>0.81640638895805906</v>
      </c>
      <c r="EL67" s="164">
        <f t="shared" si="130"/>
        <v>0.97833523375142528</v>
      </c>
      <c r="EM67" s="164">
        <f t="shared" si="131"/>
        <v>0.96100083895681909</v>
      </c>
      <c r="EN67" s="127"/>
      <c r="ER67" s="126"/>
      <c r="ES67" s="3"/>
      <c r="ET67" s="3"/>
      <c r="EU67" s="2"/>
      <c r="EV67" s="4"/>
      <c r="EW67" s="4"/>
      <c r="EX67" s="4"/>
      <c r="EY67" s="4"/>
      <c r="EZ67" s="4"/>
      <c r="FA67" s="4"/>
      <c r="FB67" s="4"/>
      <c r="FC67" s="164"/>
      <c r="FD67" s="4"/>
      <c r="FE67" s="127"/>
      <c r="FI67" s="126"/>
      <c r="FJ67" s="3"/>
      <c r="FK67" s="3"/>
      <c r="FL67" s="2"/>
      <c r="FM67" s="4"/>
      <c r="FN67" s="4"/>
      <c r="FO67" s="4"/>
      <c r="FP67" s="4"/>
      <c r="FQ67" s="4"/>
      <c r="FR67" s="4"/>
      <c r="FS67" s="4"/>
      <c r="FT67" s="164"/>
      <c r="FU67" s="4"/>
      <c r="FV67" s="127"/>
    </row>
    <row r="68" spans="3:178" ht="15.5" x14ac:dyDescent="0.35">
      <c r="C68" s="126"/>
      <c r="D68" s="3" t="s">
        <v>188</v>
      </c>
      <c r="E68" s="3"/>
      <c r="F68" s="2"/>
      <c r="G68" s="4">
        <v>4.1120000000000037</v>
      </c>
      <c r="H68" s="4">
        <v>12.497999999999994</v>
      </c>
      <c r="I68" s="4">
        <v>0.25207923477281635</v>
      </c>
      <c r="J68" s="4">
        <v>0.74792076522718365</v>
      </c>
      <c r="K68" s="4">
        <v>0.24490075772630443</v>
      </c>
      <c r="L68" s="4">
        <v>6.0856589371539503E-2</v>
      </c>
      <c r="M68" s="4">
        <v>16.609999999999996</v>
      </c>
      <c r="N68" s="164">
        <v>28</v>
      </c>
      <c r="O68" s="4">
        <v>6.816243999635728</v>
      </c>
      <c r="P68" s="127"/>
      <c r="T68" s="126"/>
      <c r="U68" s="3" t="s">
        <v>188</v>
      </c>
      <c r="V68" s="3"/>
      <c r="W68" s="2"/>
      <c r="X68" s="4">
        <v>4.039999999999992</v>
      </c>
      <c r="Y68" s="4">
        <v>17.205000000000005</v>
      </c>
      <c r="Z68" s="4">
        <v>0.23775578317927534</v>
      </c>
      <c r="AA68" s="4">
        <v>0.76224421682072463</v>
      </c>
      <c r="AB68" s="4">
        <v>0.24762184956359762</v>
      </c>
      <c r="AC68" s="4">
        <v>5.9385975014563448E-2</v>
      </c>
      <c r="AD68" s="4">
        <v>21.244999999999997</v>
      </c>
      <c r="AE68" s="164">
        <v>23.5</v>
      </c>
      <c r="AF68" s="4">
        <v>5.8215651662253709</v>
      </c>
      <c r="AG68" s="127"/>
      <c r="AK68" s="126"/>
      <c r="AL68" s="3"/>
      <c r="AM68" s="3"/>
      <c r="AN68" s="2"/>
      <c r="AO68" s="4"/>
      <c r="AP68" s="4"/>
      <c r="AQ68" s="4"/>
      <c r="AR68" s="4"/>
      <c r="AS68" s="4"/>
      <c r="AT68" s="4"/>
      <c r="AU68" s="4"/>
      <c r="AV68" s="164"/>
      <c r="AW68" s="4"/>
      <c r="AX68" s="127"/>
      <c r="BB68" s="126"/>
      <c r="BC68" s="3"/>
      <c r="BD68" s="3"/>
      <c r="BE68" s="2"/>
      <c r="BF68" s="4"/>
      <c r="BG68" s="4"/>
      <c r="BH68" s="4"/>
      <c r="BI68" s="4"/>
      <c r="BJ68" s="4"/>
      <c r="BK68" s="4"/>
      <c r="BL68" s="4"/>
      <c r="BM68" s="164"/>
      <c r="BN68" s="4"/>
      <c r="BO68" s="127"/>
      <c r="BS68" s="126"/>
      <c r="BT68" s="3"/>
      <c r="BU68" s="3"/>
      <c r="BV68" s="2"/>
      <c r="BW68" s="4"/>
      <c r="BX68" s="4"/>
      <c r="BY68" s="4"/>
      <c r="BZ68" s="4"/>
      <c r="CA68" s="4"/>
      <c r="CB68" s="4"/>
      <c r="CC68" s="4"/>
      <c r="CD68" s="164"/>
      <c r="CE68" s="4"/>
      <c r="CF68" s="127"/>
      <c r="CJ68" s="126"/>
      <c r="CK68" s="3"/>
      <c r="CL68" s="3"/>
      <c r="CM68" s="2"/>
      <c r="CN68" s="4"/>
      <c r="CO68" s="4"/>
      <c r="CP68" s="4"/>
      <c r="CQ68" s="4"/>
      <c r="CR68" s="4"/>
      <c r="CS68" s="4"/>
      <c r="CT68" s="4"/>
      <c r="CU68" s="164"/>
      <c r="CV68" s="4"/>
      <c r="CW68" s="127"/>
      <c r="DJ68" s="126"/>
      <c r="DK68" s="3" t="s">
        <v>188</v>
      </c>
      <c r="DL68" s="3"/>
      <c r="DM68" s="2"/>
      <c r="DN68" s="164">
        <f t="shared" si="114"/>
        <v>0.90688136108157302</v>
      </c>
      <c r="DO68" s="164">
        <f t="shared" si="115"/>
        <v>1.0443179707896839</v>
      </c>
      <c r="DP68" s="164">
        <f t="shared" si="116"/>
        <v>0.90707217662284045</v>
      </c>
      <c r="DQ68" s="164">
        <f t="shared" si="117"/>
        <v>1.0278589688125652</v>
      </c>
      <c r="DR68" s="164">
        <f t="shared" si="118"/>
        <v>1.0939503047406707</v>
      </c>
      <c r="DS68" s="164">
        <f t="shared" si="119"/>
        <v>1.0125918594242009</v>
      </c>
      <c r="DT68" s="164">
        <f t="shared" si="120"/>
        <v>1.0136161187698836</v>
      </c>
      <c r="DU68" s="164">
        <f t="shared" si="121"/>
        <v>0.87356321839080464</v>
      </c>
      <c r="DV68" s="164">
        <f t="shared" si="122"/>
        <v>0.96793994417728757</v>
      </c>
      <c r="DW68" s="127"/>
      <c r="EA68" s="126"/>
      <c r="EB68" s="3" t="s">
        <v>188</v>
      </c>
      <c r="EC68" s="3"/>
      <c r="ED68" s="2"/>
      <c r="EE68" s="164">
        <f t="shared" si="123"/>
        <v>0.91564417177914181</v>
      </c>
      <c r="EF68" s="164">
        <f t="shared" si="124"/>
        <v>0.88504177563820663</v>
      </c>
      <c r="EG68" s="164">
        <f t="shared" si="125"/>
        <v>0.93614002688792375</v>
      </c>
      <c r="EH68" s="164">
        <f t="shared" si="126"/>
        <v>1.0183791319619191</v>
      </c>
      <c r="EI68" s="164">
        <f t="shared" si="127"/>
        <v>1.0884714205065738</v>
      </c>
      <c r="EJ68" s="164">
        <f t="shared" si="128"/>
        <v>1.024818434784045</v>
      </c>
      <c r="EK68" s="164">
        <f t="shared" si="129"/>
        <v>0.89099349354014801</v>
      </c>
      <c r="EL68" s="164">
        <f t="shared" si="130"/>
        <v>0.96050552922590837</v>
      </c>
      <c r="EM68" s="164">
        <f t="shared" si="131"/>
        <v>1.0467645344235923</v>
      </c>
      <c r="EN68" s="127"/>
      <c r="ER68" s="126"/>
      <c r="ES68" s="3"/>
      <c r="ET68" s="3"/>
      <c r="EU68" s="2"/>
      <c r="EV68" s="4"/>
      <c r="EW68" s="4"/>
      <c r="EX68" s="4"/>
      <c r="EY68" s="4"/>
      <c r="EZ68" s="4"/>
      <c r="FA68" s="4"/>
      <c r="FB68" s="4"/>
      <c r="FC68" s="164"/>
      <c r="FD68" s="4"/>
      <c r="FE68" s="127"/>
      <c r="FI68" s="126"/>
      <c r="FJ68" s="3"/>
      <c r="FK68" s="3"/>
      <c r="FL68" s="2"/>
      <c r="FM68" s="4"/>
      <c r="FN68" s="4"/>
      <c r="FO68" s="4"/>
      <c r="FP68" s="4"/>
      <c r="FQ68" s="4"/>
      <c r="FR68" s="4"/>
      <c r="FS68" s="4"/>
      <c r="FT68" s="164"/>
      <c r="FU68" s="4"/>
      <c r="FV68" s="127"/>
    </row>
    <row r="69" spans="3:178" ht="18.5" x14ac:dyDescent="0.45">
      <c r="C69" s="126"/>
      <c r="D69" s="3" t="s">
        <v>181</v>
      </c>
      <c r="E69" s="3"/>
      <c r="F69" s="152"/>
      <c r="G69" s="4">
        <v>5.6300000000000052</v>
      </c>
      <c r="H69" s="4">
        <v>4.6159999999999997</v>
      </c>
      <c r="I69" s="4">
        <v>0.55059793669053758</v>
      </c>
      <c r="J69" s="4">
        <v>0.44940206330946247</v>
      </c>
      <c r="K69" s="4">
        <v>0.17877713128408251</v>
      </c>
      <c r="L69" s="4">
        <v>9.801724371853697E-2</v>
      </c>
      <c r="M69" s="4">
        <v>10.246000000000006</v>
      </c>
      <c r="N69" s="4">
        <v>27</v>
      </c>
      <c r="O69" s="4">
        <v>4.7986354463376193</v>
      </c>
      <c r="P69" s="127"/>
      <c r="T69" s="126"/>
      <c r="U69" s="3" t="s">
        <v>181</v>
      </c>
      <c r="V69" s="3"/>
      <c r="W69" s="152"/>
      <c r="X69" s="4">
        <v>5.1380000000000026</v>
      </c>
      <c r="Y69" s="4">
        <v>5.1680000000000001</v>
      </c>
      <c r="Z69" s="4">
        <v>0.49847978218083622</v>
      </c>
      <c r="AA69" s="4">
        <v>0.50152021781916378</v>
      </c>
      <c r="AB69" s="4">
        <v>0.19746033484297712</v>
      </c>
      <c r="AC69" s="4">
        <v>9.7869256318802028E-2</v>
      </c>
      <c r="AD69" s="4">
        <v>10.306000000000003</v>
      </c>
      <c r="AE69" s="4">
        <v>25.8</v>
      </c>
      <c r="AF69" s="4">
        <v>5.0081787082573559</v>
      </c>
      <c r="AG69" s="127"/>
      <c r="AK69" s="126"/>
      <c r="AL69" s="3"/>
      <c r="AM69" s="3"/>
      <c r="AN69" s="152"/>
      <c r="AO69" s="4"/>
      <c r="AP69" s="4"/>
      <c r="AQ69" s="4"/>
      <c r="AR69" s="4"/>
      <c r="AS69" s="4"/>
      <c r="AT69" s="4"/>
      <c r="AU69" s="4"/>
      <c r="AV69" s="4"/>
      <c r="AW69" s="4"/>
      <c r="AX69" s="127"/>
      <c r="BB69" s="126"/>
      <c r="BC69" s="3"/>
      <c r="BD69" s="3"/>
      <c r="BE69" s="152"/>
      <c r="BF69" s="4"/>
      <c r="BG69" s="4"/>
      <c r="BH69" s="4"/>
      <c r="BI69" s="4"/>
      <c r="BJ69" s="4"/>
      <c r="BK69" s="4"/>
      <c r="BL69" s="4"/>
      <c r="BM69" s="4"/>
      <c r="BN69" s="4"/>
      <c r="BO69" s="127"/>
      <c r="BS69" s="126"/>
      <c r="BT69" s="3"/>
      <c r="BU69" s="3"/>
      <c r="BV69" s="152"/>
      <c r="BW69" s="4"/>
      <c r="BX69" s="4"/>
      <c r="BY69" s="4"/>
      <c r="BZ69" s="4"/>
      <c r="CA69" s="4"/>
      <c r="CB69" s="4"/>
      <c r="CC69" s="4"/>
      <c r="CD69" s="4"/>
      <c r="CE69" s="4"/>
      <c r="CF69" s="127"/>
      <c r="CJ69" s="126"/>
      <c r="CK69" s="3"/>
      <c r="CL69" s="3"/>
      <c r="CM69" s="152"/>
      <c r="CN69" s="4"/>
      <c r="CO69" s="4"/>
      <c r="CP69" s="4"/>
      <c r="CQ69" s="4"/>
      <c r="CR69" s="4"/>
      <c r="CS69" s="4"/>
      <c r="CT69" s="4"/>
      <c r="CU69" s="4"/>
      <c r="CV69" s="4"/>
      <c r="CW69" s="127"/>
      <c r="DJ69" s="126"/>
      <c r="DK69" s="3" t="s">
        <v>181</v>
      </c>
      <c r="DL69" s="3"/>
      <c r="DM69" s="152"/>
      <c r="DN69" s="164">
        <f t="shared" si="114"/>
        <v>0.75917606171060392</v>
      </c>
      <c r="DO69" s="164">
        <f t="shared" si="115"/>
        <v>1.0125228323651863</v>
      </c>
      <c r="DP69" s="164">
        <f t="shared" si="116"/>
        <v>0.86597950157390724</v>
      </c>
      <c r="DQ69" s="164">
        <f t="shared" si="117"/>
        <v>1.1264802130519784</v>
      </c>
      <c r="DR69" s="164">
        <f t="shared" si="118"/>
        <v>1.2510755672004765</v>
      </c>
      <c r="DS69" s="164">
        <f t="shared" si="119"/>
        <v>1.114877455630074</v>
      </c>
      <c r="DT69" s="164">
        <f t="shared" si="120"/>
        <v>0.88773652654608581</v>
      </c>
      <c r="DU69" s="164">
        <f t="shared" si="121"/>
        <v>0.73056057866184454</v>
      </c>
      <c r="DV69" s="164">
        <f t="shared" si="122"/>
        <v>0.97115614291797769</v>
      </c>
      <c r="DW69" s="127"/>
      <c r="EA69" s="126"/>
      <c r="EB69" s="3" t="s">
        <v>181</v>
      </c>
      <c r="EC69" s="3"/>
      <c r="ED69" s="152"/>
      <c r="EE69" s="164">
        <f t="shared" si="123"/>
        <v>0.80269596859483372</v>
      </c>
      <c r="EF69" s="164">
        <f t="shared" si="124"/>
        <v>0.95607315443541496</v>
      </c>
      <c r="EG69" s="164">
        <f t="shared" si="125"/>
        <v>0.91509416172193336</v>
      </c>
      <c r="EH69" s="164">
        <f t="shared" si="126"/>
        <v>1.0721725157514395</v>
      </c>
      <c r="EI69" s="164">
        <f t="shared" si="127"/>
        <v>1.2039605199718881</v>
      </c>
      <c r="EJ69" s="164">
        <f t="shared" si="128"/>
        <v>1.1156228962927901</v>
      </c>
      <c r="EK69" s="164">
        <f t="shared" si="129"/>
        <v>0.88485484085763733</v>
      </c>
      <c r="EL69" s="164">
        <f t="shared" si="130"/>
        <v>0.75176777074804613</v>
      </c>
      <c r="EM69" s="164">
        <f t="shared" si="131"/>
        <v>0.9498199608854202</v>
      </c>
      <c r="EN69" s="127"/>
      <c r="ER69" s="126"/>
      <c r="ES69" s="3"/>
      <c r="ET69" s="3"/>
      <c r="EU69" s="152"/>
      <c r="EV69" s="4"/>
      <c r="EW69" s="4"/>
      <c r="EX69" s="4"/>
      <c r="EY69" s="4"/>
      <c r="EZ69" s="4"/>
      <c r="FA69" s="4"/>
      <c r="FB69" s="4"/>
      <c r="FC69" s="4"/>
      <c r="FD69" s="4"/>
      <c r="FE69" s="127"/>
      <c r="FI69" s="126"/>
      <c r="FJ69" s="3"/>
      <c r="FK69" s="3"/>
      <c r="FL69" s="152"/>
      <c r="FM69" s="4"/>
      <c r="FN69" s="4"/>
      <c r="FO69" s="4"/>
      <c r="FP69" s="4"/>
      <c r="FQ69" s="4"/>
      <c r="FR69" s="4"/>
      <c r="FS69" s="4"/>
      <c r="FT69" s="4"/>
      <c r="FU69" s="4"/>
      <c r="FV69" s="127"/>
    </row>
    <row r="70" spans="3:178" ht="18.5" x14ac:dyDescent="0.45">
      <c r="C70" s="126"/>
      <c r="D70" s="3" t="s">
        <v>305</v>
      </c>
      <c r="E70" s="3"/>
      <c r="F70" s="152"/>
      <c r="G70" s="4">
        <v>8.2284024999999872</v>
      </c>
      <c r="H70" s="4">
        <v>5.5198699999999974</v>
      </c>
      <c r="I70" s="4">
        <v>0.58870508539231792</v>
      </c>
      <c r="J70" s="4">
        <v>0.41129491460768214</v>
      </c>
      <c r="K70" s="4">
        <v>0.12993380824272102</v>
      </c>
      <c r="L70" s="4">
        <v>7.3913933919556044E-2</v>
      </c>
      <c r="M70" s="4">
        <v>13.748272499999985</v>
      </c>
      <c r="N70" s="4">
        <v>58.5</v>
      </c>
      <c r="O70" s="4">
        <v>7.2607309239863653</v>
      </c>
      <c r="P70" s="127"/>
      <c r="T70" s="126"/>
      <c r="U70" s="3" t="s">
        <v>305</v>
      </c>
      <c r="V70" s="3"/>
      <c r="W70" s="152"/>
      <c r="X70" s="4">
        <v>4.714300000000005</v>
      </c>
      <c r="Y70" s="4">
        <v>2.3807988888888949</v>
      </c>
      <c r="Z70" s="4">
        <v>0.66480576656047174</v>
      </c>
      <c r="AA70" s="4">
        <v>0.33519423343952831</v>
      </c>
      <c r="AB70" s="4">
        <v>0.21464042565257049</v>
      </c>
      <c r="AC70" s="4">
        <v>0.14155944605091483</v>
      </c>
      <c r="AD70" s="4">
        <v>7.0950988888889004</v>
      </c>
      <c r="AE70" s="4">
        <v>33.666666666666664</v>
      </c>
      <c r="AF70" s="4">
        <v>7.1728920780794816</v>
      </c>
      <c r="AG70" s="127"/>
      <c r="AK70" s="126"/>
      <c r="AL70" s="3"/>
      <c r="AM70" s="3"/>
      <c r="AN70" s="152"/>
      <c r="AO70" s="4"/>
      <c r="AP70" s="4"/>
      <c r="AQ70" s="4"/>
      <c r="AR70" s="4"/>
      <c r="AS70" s="4"/>
      <c r="AT70" s="4"/>
      <c r="AU70" s="4"/>
      <c r="AV70" s="4"/>
      <c r="AW70" s="4"/>
      <c r="AX70" s="127"/>
      <c r="BB70" s="126"/>
      <c r="BC70" s="3"/>
      <c r="BD70" s="3"/>
      <c r="BE70" s="152"/>
      <c r="BF70" s="4"/>
      <c r="BG70" s="4"/>
      <c r="BH70" s="4"/>
      <c r="BI70" s="4"/>
      <c r="BJ70" s="4"/>
      <c r="BK70" s="4"/>
      <c r="BL70" s="4"/>
      <c r="BM70" s="4"/>
      <c r="BN70" s="4"/>
      <c r="BO70" s="127"/>
      <c r="BS70" s="126"/>
      <c r="BT70" s="3"/>
      <c r="BU70" s="3"/>
      <c r="BV70" s="152"/>
      <c r="BW70" s="4"/>
      <c r="BX70" s="4"/>
      <c r="BY70" s="4"/>
      <c r="BZ70" s="4"/>
      <c r="CA70" s="4"/>
      <c r="CB70" s="4"/>
      <c r="CC70" s="4"/>
      <c r="CD70" s="4"/>
      <c r="CE70" s="4"/>
      <c r="CF70" s="127"/>
      <c r="CJ70" s="126"/>
      <c r="CK70" s="3"/>
      <c r="CL70" s="3"/>
      <c r="CM70" s="152"/>
      <c r="CN70" s="4"/>
      <c r="CO70" s="4"/>
      <c r="CP70" s="4"/>
      <c r="CQ70" s="4"/>
      <c r="CR70" s="4"/>
      <c r="CS70" s="4"/>
      <c r="CT70" s="4"/>
      <c r="CU70" s="4"/>
      <c r="CV70" s="4"/>
      <c r="CW70" s="127"/>
      <c r="DJ70" s="126"/>
      <c r="DK70" s="3" t="s">
        <v>305</v>
      </c>
      <c r="DL70" s="3"/>
      <c r="DM70" s="152"/>
      <c r="DN70" s="164">
        <f t="shared" si="114"/>
        <v>1.0253207286271415</v>
      </c>
      <c r="DO70" s="164">
        <f t="shared" si="115"/>
        <v>1.095623962072984</v>
      </c>
      <c r="DP70" s="164">
        <f t="shared" si="116"/>
        <v>0.97693905830547279</v>
      </c>
      <c r="DQ70" s="164">
        <f t="shared" si="117"/>
        <v>1.0312556938107866</v>
      </c>
      <c r="DR70" s="164">
        <f t="shared" si="118"/>
        <v>0.97732321624075935</v>
      </c>
      <c r="DS70" s="164">
        <f t="shared" si="119"/>
        <v>0.94502032418750692</v>
      </c>
      <c r="DT70" s="164">
        <f t="shared" si="120"/>
        <v>1.0548206722255355</v>
      </c>
      <c r="DU70" s="164">
        <f t="shared" si="121"/>
        <v>0.93539581437670605</v>
      </c>
      <c r="DV70" s="164">
        <f t="shared" si="122"/>
        <v>0.90173682520362297</v>
      </c>
      <c r="DW70" s="127"/>
      <c r="EA70" s="126"/>
      <c r="EB70" s="3" t="s">
        <v>305</v>
      </c>
      <c r="EC70" s="3"/>
      <c r="ED70" s="152"/>
      <c r="EE70" s="164">
        <f t="shared" si="123"/>
        <v>1.2948062358856158</v>
      </c>
      <c r="EF70" s="164">
        <f t="shared" si="124"/>
        <v>1.4748982668831188</v>
      </c>
      <c r="EG70" s="164">
        <f t="shared" si="125"/>
        <v>0.91634614645510859</v>
      </c>
      <c r="EH70" s="164">
        <f t="shared" si="126"/>
        <v>1.1327774101394372</v>
      </c>
      <c r="EI70" s="164">
        <f t="shared" si="127"/>
        <v>0.73298193600070161</v>
      </c>
      <c r="EJ70" s="164">
        <f t="shared" si="128"/>
        <v>0.63734085016983477</v>
      </c>
      <c r="EK70" s="164">
        <f t="shared" si="129"/>
        <v>1.3675869219134977</v>
      </c>
      <c r="EL70" s="164">
        <f t="shared" si="130"/>
        <v>1.2084639498432601</v>
      </c>
      <c r="EM70" s="164">
        <f t="shared" si="131"/>
        <v>0.90776738012950775</v>
      </c>
      <c r="EN70" s="127"/>
      <c r="ER70" s="126"/>
      <c r="ES70" s="3"/>
      <c r="ET70" s="3"/>
      <c r="EU70" s="152"/>
      <c r="EV70" s="4"/>
      <c r="EW70" s="4"/>
      <c r="EX70" s="4"/>
      <c r="EY70" s="4"/>
      <c r="EZ70" s="4"/>
      <c r="FA70" s="4"/>
      <c r="FB70" s="4"/>
      <c r="FC70" s="4"/>
      <c r="FD70" s="4"/>
      <c r="FE70" s="127"/>
      <c r="FI70" s="126"/>
      <c r="FJ70" s="3"/>
      <c r="FK70" s="3"/>
      <c r="FL70" s="152"/>
      <c r="FM70" s="4"/>
      <c r="FN70" s="4"/>
      <c r="FO70" s="4"/>
      <c r="FP70" s="4"/>
      <c r="FQ70" s="4"/>
      <c r="FR70" s="4"/>
      <c r="FS70" s="4"/>
      <c r="FT70" s="4"/>
      <c r="FU70" s="4"/>
      <c r="FV70" s="127"/>
    </row>
    <row r="71" spans="3:178" ht="18.5" x14ac:dyDescent="0.45">
      <c r="C71" s="126"/>
      <c r="D71" s="3" t="s">
        <v>298</v>
      </c>
      <c r="E71" s="3"/>
      <c r="F71" s="152"/>
      <c r="G71" s="4">
        <v>4.5287284999999926</v>
      </c>
      <c r="H71" s="4">
        <v>11.713972500000002</v>
      </c>
      <c r="I71" s="4">
        <v>0.32450426845358521</v>
      </c>
      <c r="J71" s="4">
        <v>0.67549573154641485</v>
      </c>
      <c r="K71" s="4">
        <v>0.22196406227018192</v>
      </c>
      <c r="L71" s="4">
        <v>7.0343702095812796E-2</v>
      </c>
      <c r="M71" s="4">
        <v>16.242700999999997</v>
      </c>
      <c r="N71" s="4">
        <v>17</v>
      </c>
      <c r="O71" s="4">
        <v>3.7456924721001039</v>
      </c>
      <c r="P71" s="127"/>
      <c r="T71" s="126"/>
      <c r="U71" s="3" t="s">
        <v>298</v>
      </c>
      <c r="V71" s="3"/>
      <c r="W71" s="152"/>
      <c r="X71" s="4">
        <v>5.2745947500000128</v>
      </c>
      <c r="Y71" s="4">
        <v>6.9536817500000012</v>
      </c>
      <c r="Z71" s="4">
        <v>0.44189873030870885</v>
      </c>
      <c r="AA71" s="4">
        <v>0.55810126969129104</v>
      </c>
      <c r="AB71" s="4">
        <v>0.19070960695192729</v>
      </c>
      <c r="AC71" s="4">
        <v>8.4310082314113466E-2</v>
      </c>
      <c r="AD71" s="4">
        <v>12.228276500000014</v>
      </c>
      <c r="AE71" s="4">
        <v>18</v>
      </c>
      <c r="AF71" s="4">
        <v>3.4099294894625665</v>
      </c>
      <c r="AG71" s="127"/>
      <c r="AK71" s="126"/>
      <c r="AL71" s="3"/>
      <c r="AM71" s="3"/>
      <c r="AN71" s="152"/>
      <c r="AO71" s="4"/>
      <c r="AP71" s="4"/>
      <c r="AQ71" s="4"/>
      <c r="AR71" s="4"/>
      <c r="AS71" s="4"/>
      <c r="AT71" s="4"/>
      <c r="AU71" s="4"/>
      <c r="AV71" s="4"/>
      <c r="AW71" s="4"/>
      <c r="AX71" s="127"/>
      <c r="BB71" s="126"/>
      <c r="BC71" s="3"/>
      <c r="BD71" s="3"/>
      <c r="BE71" s="152"/>
      <c r="BF71" s="4"/>
      <c r="BG71" s="4"/>
      <c r="BH71" s="4"/>
      <c r="BI71" s="4"/>
      <c r="BJ71" s="4"/>
      <c r="BK71" s="4"/>
      <c r="BL71" s="4"/>
      <c r="BM71" s="4"/>
      <c r="BN71" s="4"/>
      <c r="BO71" s="127"/>
      <c r="BS71" s="126"/>
      <c r="BT71" s="3"/>
      <c r="BU71" s="3"/>
      <c r="BV71" s="152"/>
      <c r="BW71" s="4"/>
      <c r="BX71" s="4"/>
      <c r="BY71" s="4"/>
      <c r="BZ71" s="4"/>
      <c r="CA71" s="4"/>
      <c r="CB71" s="4"/>
      <c r="CC71" s="4"/>
      <c r="CD71" s="4"/>
      <c r="CE71" s="4"/>
      <c r="CF71" s="127"/>
      <c r="CJ71" s="126"/>
      <c r="CK71" s="3"/>
      <c r="CL71" s="3"/>
      <c r="CM71" s="152"/>
      <c r="CN71" s="4"/>
      <c r="CO71" s="4"/>
      <c r="CP71" s="4"/>
      <c r="CQ71" s="4"/>
      <c r="CR71" s="4"/>
      <c r="CS71" s="4"/>
      <c r="CT71" s="4"/>
      <c r="CU71" s="4"/>
      <c r="CV71" s="4"/>
      <c r="CW71" s="127"/>
      <c r="DJ71" s="126"/>
      <c r="DK71" s="3" t="s">
        <v>298</v>
      </c>
      <c r="DL71" s="3"/>
      <c r="DM71" s="152"/>
      <c r="DN71" s="164">
        <f t="shared" si="114"/>
        <v>1.0199976136241033</v>
      </c>
      <c r="DO71" s="164">
        <f t="shared" si="115"/>
        <v>0.75248191315807245</v>
      </c>
      <c r="DP71" s="164">
        <f t="shared" si="116"/>
        <v>1.1132273224250806</v>
      </c>
      <c r="DQ71" s="164">
        <f t="shared" si="117"/>
        <v>0.93465265194264158</v>
      </c>
      <c r="DR71" s="164">
        <f t="shared" si="118"/>
        <v>0.98623870466905217</v>
      </c>
      <c r="DS71" s="164">
        <f t="shared" si="119"/>
        <v>1.103644725697486</v>
      </c>
      <c r="DT71" s="164">
        <f t="shared" si="120"/>
        <v>0.84071479634337276</v>
      </c>
      <c r="DU71" s="164">
        <f t="shared" si="121"/>
        <v>0.98675496688741726</v>
      </c>
      <c r="DV71" s="164">
        <f t="shared" si="122"/>
        <v>0.96746151613681119</v>
      </c>
      <c r="DW71" s="127"/>
      <c r="EA71" s="126"/>
      <c r="EB71" s="3" t="s">
        <v>298</v>
      </c>
      <c r="EC71" s="3"/>
      <c r="ED71" s="152"/>
      <c r="EE71" s="164">
        <f t="shared" si="123"/>
        <v>0.943829150155022</v>
      </c>
      <c r="EF71" s="164">
        <f t="shared" si="124"/>
        <v>1.0079881936854587</v>
      </c>
      <c r="EG71" s="164">
        <f t="shared" si="125"/>
        <v>0.9593463472838657</v>
      </c>
      <c r="EH71" s="164">
        <f t="shared" si="126"/>
        <v>1.0300035905265539</v>
      </c>
      <c r="EI71" s="164">
        <f t="shared" si="127"/>
        <v>1.0620398548365413</v>
      </c>
      <c r="EJ71" s="164">
        <f t="shared" si="128"/>
        <v>1.0134633472353487</v>
      </c>
      <c r="EK71" s="164">
        <f t="shared" si="129"/>
        <v>0.98129528704934055</v>
      </c>
      <c r="EL71" s="164">
        <f t="shared" si="130"/>
        <v>0.95819935691318336</v>
      </c>
      <c r="EM71" s="164">
        <f t="shared" si="131"/>
        <v>1.014406474705668</v>
      </c>
      <c r="EN71" s="127"/>
      <c r="ER71" s="126"/>
      <c r="ES71" s="3"/>
      <c r="ET71" s="3"/>
      <c r="EU71" s="152"/>
      <c r="EV71" s="4"/>
      <c r="EW71" s="4"/>
      <c r="EX71" s="4"/>
      <c r="EY71" s="4"/>
      <c r="EZ71" s="4"/>
      <c r="FA71" s="4"/>
      <c r="FB71" s="4"/>
      <c r="FC71" s="4"/>
      <c r="FD71" s="4"/>
      <c r="FE71" s="127"/>
      <c r="FI71" s="126"/>
      <c r="FJ71" s="3"/>
      <c r="FK71" s="3"/>
      <c r="FL71" s="152"/>
      <c r="FM71" s="4"/>
      <c r="FN71" s="4"/>
      <c r="FO71" s="4"/>
      <c r="FP71" s="4"/>
      <c r="FQ71" s="4"/>
      <c r="FR71" s="4"/>
      <c r="FS71" s="4"/>
      <c r="FT71" s="4"/>
      <c r="FU71" s="4"/>
      <c r="FV71" s="127"/>
    </row>
    <row r="72" spans="3:178" ht="18.5" x14ac:dyDescent="0.45">
      <c r="C72" s="131" t="s">
        <v>261</v>
      </c>
      <c r="D72" s="3" t="s">
        <v>231</v>
      </c>
      <c r="E72" s="3"/>
      <c r="F72" s="152"/>
      <c r="G72" s="4">
        <v>5.1464499999999873</v>
      </c>
      <c r="H72" s="4">
        <v>7.318858571428577</v>
      </c>
      <c r="I72" s="4">
        <v>0.41799643542993586</v>
      </c>
      <c r="J72" s="4">
        <v>0.58200356457006408</v>
      </c>
      <c r="K72" s="4">
        <v>0.19565258287088391</v>
      </c>
      <c r="L72" s="4">
        <v>8.167307116606011E-2</v>
      </c>
      <c r="M72" s="4">
        <v>12.465308571428565</v>
      </c>
      <c r="N72" s="4">
        <v>32</v>
      </c>
      <c r="O72" s="4">
        <v>6.2110965667259448</v>
      </c>
      <c r="P72" s="127"/>
      <c r="T72" s="131" t="s">
        <v>261</v>
      </c>
      <c r="U72" s="3" t="s">
        <v>231</v>
      </c>
      <c r="V72" s="3"/>
      <c r="W72" s="152"/>
      <c r="X72" s="164">
        <v>5.9214039999999954</v>
      </c>
      <c r="Y72" s="164">
        <v>7.6333079999999942</v>
      </c>
      <c r="Z72" s="164">
        <v>0.43696340980852905</v>
      </c>
      <c r="AA72" s="164">
        <v>0.5630365901914709</v>
      </c>
      <c r="AB72" s="164">
        <v>0.1708328239994662</v>
      </c>
      <c r="AC72" s="164">
        <v>7.4272124235857606E-2</v>
      </c>
      <c r="AD72" s="164">
        <v>13.55471199999999</v>
      </c>
      <c r="AE72" s="4">
        <v>34.200000000000003</v>
      </c>
      <c r="AF72" s="4">
        <v>5.8011349514839781</v>
      </c>
      <c r="AG72" s="127"/>
      <c r="AK72" s="126"/>
      <c r="AL72" s="3"/>
      <c r="AM72" s="3"/>
      <c r="AN72" s="152"/>
      <c r="AO72" s="4"/>
      <c r="AP72" s="4"/>
      <c r="AQ72" s="4"/>
      <c r="AR72" s="4"/>
      <c r="AS72" s="4"/>
      <c r="AT72" s="4"/>
      <c r="AU72" s="4"/>
      <c r="AV72" s="4"/>
      <c r="AW72" s="4"/>
      <c r="AX72" s="127"/>
      <c r="BB72" s="126"/>
      <c r="BC72" s="3"/>
      <c r="BD72" s="3"/>
      <c r="BE72" s="152"/>
      <c r="BF72" s="4"/>
      <c r="BG72" s="4"/>
      <c r="BH72" s="4"/>
      <c r="BI72" s="4"/>
      <c r="BJ72" s="4"/>
      <c r="BK72" s="4"/>
      <c r="BL72" s="4"/>
      <c r="BM72" s="4"/>
      <c r="BN72" s="4"/>
      <c r="BO72" s="127"/>
      <c r="BS72" s="126"/>
      <c r="BT72" s="3"/>
      <c r="BU72" s="3"/>
      <c r="BV72" s="152"/>
      <c r="BW72" s="4"/>
      <c r="BX72" s="4"/>
      <c r="BY72" s="4"/>
      <c r="BZ72" s="4"/>
      <c r="CA72" s="4"/>
      <c r="CB72" s="4"/>
      <c r="CC72" s="4"/>
      <c r="CD72" s="4"/>
      <c r="CE72" s="4"/>
      <c r="CF72" s="127"/>
      <c r="CJ72" s="126"/>
      <c r="CK72" s="3"/>
      <c r="CL72" s="3"/>
      <c r="CM72" s="152"/>
      <c r="CN72" s="4"/>
      <c r="CO72" s="4"/>
      <c r="CP72" s="4"/>
      <c r="CQ72" s="4"/>
      <c r="CR72" s="4"/>
      <c r="CS72" s="4"/>
      <c r="CT72" s="4"/>
      <c r="CU72" s="4"/>
      <c r="CV72" s="4"/>
      <c r="CW72" s="127"/>
      <c r="DJ72" s="131" t="s">
        <v>261</v>
      </c>
      <c r="DK72" s="3" t="s">
        <v>231</v>
      </c>
      <c r="DL72" s="3"/>
      <c r="DM72" s="152"/>
      <c r="DN72" s="164">
        <f t="shared" si="114"/>
        <v>0.97612568082385143</v>
      </c>
      <c r="DO72" s="164">
        <f t="shared" si="115"/>
        <v>0.89174149641822409</v>
      </c>
      <c r="DP72" s="164">
        <f t="shared" si="116"/>
        <v>1.0439077101187564</v>
      </c>
      <c r="DQ72" s="164">
        <f t="shared" si="117"/>
        <v>0.96589219900932743</v>
      </c>
      <c r="DR72" s="164">
        <f t="shared" si="118"/>
        <v>1.0209655971906253</v>
      </c>
      <c r="DS72" s="164">
        <f t="shared" si="119"/>
        <v>1.0651560940204921</v>
      </c>
      <c r="DT72" s="164">
        <f t="shared" si="120"/>
        <v>0.92821088425848497</v>
      </c>
      <c r="DU72" s="164">
        <f t="shared" si="121"/>
        <v>0.95571095571095566</v>
      </c>
      <c r="DV72" s="164">
        <f t="shared" si="122"/>
        <v>0.96472003958605135</v>
      </c>
      <c r="DW72" s="127"/>
      <c r="EA72" s="131" t="s">
        <v>261</v>
      </c>
      <c r="EB72" s="3" t="s">
        <v>231</v>
      </c>
      <c r="EC72" s="3"/>
      <c r="ED72" s="152"/>
      <c r="EE72" s="164">
        <f t="shared" si="123"/>
        <v>0.90626392243407949</v>
      </c>
      <c r="EF72" s="164">
        <f t="shared" si="124"/>
        <v>0.87100482284675795</v>
      </c>
      <c r="EG72" s="164">
        <f t="shared" si="125"/>
        <v>1.0217442530298628</v>
      </c>
      <c r="EH72" s="164">
        <f t="shared" si="126"/>
        <v>0.98244674403208576</v>
      </c>
      <c r="EI72" s="164">
        <f t="shared" si="127"/>
        <v>1.0885635789071963</v>
      </c>
      <c r="EJ72" s="164">
        <f t="shared" si="128"/>
        <v>1.1122675782800513</v>
      </c>
      <c r="EK72" s="164">
        <f t="shared" si="129"/>
        <v>0.88668358209837905</v>
      </c>
      <c r="EL72" s="164">
        <f t="shared" si="130"/>
        <v>0.92259225922592258</v>
      </c>
      <c r="EM72" s="164">
        <f t="shared" si="131"/>
        <v>0.99884733251205737</v>
      </c>
      <c r="EN72" s="127"/>
      <c r="ER72" s="126"/>
      <c r="ES72" s="3"/>
      <c r="ET72" s="3"/>
      <c r="EU72" s="152"/>
      <c r="EV72" s="4"/>
      <c r="EW72" s="4"/>
      <c r="EX72" s="4"/>
      <c r="EY72" s="4"/>
      <c r="EZ72" s="4"/>
      <c r="FA72" s="4"/>
      <c r="FB72" s="4"/>
      <c r="FC72" s="4"/>
      <c r="FD72" s="4"/>
      <c r="FE72" s="127"/>
      <c r="FI72" s="126"/>
      <c r="FJ72" s="3"/>
      <c r="FK72" s="3"/>
      <c r="FL72" s="152"/>
      <c r="FM72" s="4"/>
      <c r="FN72" s="4"/>
      <c r="FO72" s="4"/>
      <c r="FP72" s="4"/>
      <c r="FQ72" s="4"/>
      <c r="FR72" s="4"/>
      <c r="FS72" s="4"/>
      <c r="FT72" s="4"/>
      <c r="FU72" s="4"/>
      <c r="FV72" s="127"/>
    </row>
    <row r="73" spans="3:178" ht="18.5" x14ac:dyDescent="0.45">
      <c r="C73" s="131" t="s">
        <v>261</v>
      </c>
      <c r="D73" s="3" t="s">
        <v>210</v>
      </c>
      <c r="E73" s="3"/>
      <c r="F73" s="152"/>
      <c r="G73" s="4">
        <v>5.1604150000000004</v>
      </c>
      <c r="H73" s="4">
        <v>8.1005266666666618</v>
      </c>
      <c r="I73" s="4">
        <v>0.39107297833914573</v>
      </c>
      <c r="J73" s="4">
        <v>0.60892702166085433</v>
      </c>
      <c r="K73" s="4">
        <v>0.19357807206583519</v>
      </c>
      <c r="L73" s="4">
        <v>7.575790721889239E-2</v>
      </c>
      <c r="M73" s="4">
        <v>13.271079999999998</v>
      </c>
      <c r="N73" s="4">
        <v>28.666666666666668</v>
      </c>
      <c r="O73" s="4">
        <v>5.5604991411422402</v>
      </c>
      <c r="P73" s="127"/>
      <c r="T73" s="131" t="s">
        <v>261</v>
      </c>
      <c r="U73" s="3" t="s">
        <v>210</v>
      </c>
      <c r="V73" s="3"/>
      <c r="W73" s="152"/>
      <c r="X73" s="4">
        <v>5.2865066666666678</v>
      </c>
      <c r="Y73" s="4">
        <v>6.0962499999999977</v>
      </c>
      <c r="Z73" s="4">
        <v>0.47588863296177342</v>
      </c>
      <c r="AA73" s="4">
        <v>0.52411136703822647</v>
      </c>
      <c r="AB73" s="4">
        <v>0.18173052057977024</v>
      </c>
      <c r="AC73" s="4">
        <v>8.6464877144550978E-2</v>
      </c>
      <c r="AD73" s="4">
        <v>11.598979999999997</v>
      </c>
      <c r="AE73" s="4">
        <v>29.333333333333332</v>
      </c>
      <c r="AF73" s="4">
        <v>5.5573994445561281</v>
      </c>
      <c r="AG73" s="127"/>
      <c r="AK73" s="126"/>
      <c r="AL73" s="3"/>
      <c r="AM73" s="3"/>
      <c r="AN73" s="152"/>
      <c r="AO73" s="4"/>
      <c r="AP73" s="4"/>
      <c r="AQ73" s="4"/>
      <c r="AR73" s="4"/>
      <c r="AS73" s="4"/>
      <c r="AT73" s="4"/>
      <c r="AU73" s="4"/>
      <c r="AV73" s="4"/>
      <c r="AW73" s="4"/>
      <c r="AX73" s="127"/>
      <c r="BB73" s="126"/>
      <c r="BC73" s="3"/>
      <c r="BD73" s="3"/>
      <c r="BE73" s="152"/>
      <c r="BF73" s="4"/>
      <c r="BG73" s="4"/>
      <c r="BH73" s="4"/>
      <c r="BI73" s="4"/>
      <c r="BJ73" s="4"/>
      <c r="BK73" s="4"/>
      <c r="BL73" s="4"/>
      <c r="BM73" s="4"/>
      <c r="BN73" s="4"/>
      <c r="BO73" s="127"/>
      <c r="BS73" s="126"/>
      <c r="BT73" s="3"/>
      <c r="BU73" s="3"/>
      <c r="BV73" s="152"/>
      <c r="BW73" s="4"/>
      <c r="BX73" s="4"/>
      <c r="BY73" s="4"/>
      <c r="BZ73" s="4"/>
      <c r="CA73" s="4"/>
      <c r="CB73" s="4"/>
      <c r="CC73" s="4"/>
      <c r="CD73" s="4"/>
      <c r="CE73" s="4"/>
      <c r="CF73" s="127"/>
      <c r="CJ73" s="126"/>
      <c r="CK73" s="3"/>
      <c r="CL73" s="3"/>
      <c r="CM73" s="152"/>
      <c r="CN73" s="4"/>
      <c r="CO73" s="4"/>
      <c r="CP73" s="4"/>
      <c r="CQ73" s="4"/>
      <c r="CR73" s="4"/>
      <c r="CS73" s="4"/>
      <c r="CT73" s="4"/>
      <c r="CU73" s="4"/>
      <c r="CV73" s="4"/>
      <c r="CW73" s="127"/>
      <c r="DJ73" s="131" t="s">
        <v>261</v>
      </c>
      <c r="DK73" s="3" t="s">
        <v>210</v>
      </c>
      <c r="DL73" s="3"/>
      <c r="DM73" s="152"/>
      <c r="DN73" s="164">
        <f t="shared" si="114"/>
        <v>0.9700010883533936</v>
      </c>
      <c r="DO73" s="164">
        <f t="shared" si="115"/>
        <v>1.0341735518519326</v>
      </c>
      <c r="DP73" s="164">
        <f t="shared" si="116"/>
        <v>0.97034092769187053</v>
      </c>
      <c r="DQ73" s="164">
        <f t="shared" si="117"/>
        <v>1.0181633484534969</v>
      </c>
      <c r="DR73" s="164">
        <f t="shared" si="118"/>
        <v>1.0547134007381058</v>
      </c>
      <c r="DS73" s="164">
        <f t="shared" si="119"/>
        <v>0.99371805055429274</v>
      </c>
      <c r="DT73" s="164">
        <f t="shared" si="120"/>
        <v>1.0140919700444302</v>
      </c>
      <c r="DU73" s="164">
        <f t="shared" si="121"/>
        <v>0.8855291576673866</v>
      </c>
      <c r="DV73" s="164">
        <f t="shared" si="122"/>
        <v>0.9119416484908428</v>
      </c>
      <c r="DW73" s="127"/>
      <c r="EA73" s="131" t="s">
        <v>261</v>
      </c>
      <c r="EB73" s="3" t="s">
        <v>210</v>
      </c>
      <c r="EC73" s="3"/>
      <c r="ED73" s="152"/>
      <c r="EE73" s="164">
        <f t="shared" si="123"/>
        <v>0.95794657135319827</v>
      </c>
      <c r="EF73" s="164">
        <f t="shared" si="124"/>
        <v>1.1745099086316018</v>
      </c>
      <c r="EG73" s="164">
        <f t="shared" si="125"/>
        <v>0.87287885616992089</v>
      </c>
      <c r="EH73" s="164">
        <f t="shared" si="126"/>
        <v>1.0928938687000946</v>
      </c>
      <c r="EI73" s="164">
        <f t="shared" si="127"/>
        <v>1.0861321296521211</v>
      </c>
      <c r="EJ73" s="164">
        <f t="shared" si="128"/>
        <v>0.92774636758866502</v>
      </c>
      <c r="EK73" s="164">
        <f t="shared" si="129"/>
        <v>1.0812484436534477</v>
      </c>
      <c r="EL73" s="164">
        <f t="shared" si="130"/>
        <v>0.87420042643923246</v>
      </c>
      <c r="EM73" s="164">
        <f t="shared" si="131"/>
        <v>0.91221829575291702</v>
      </c>
      <c r="EN73" s="127"/>
      <c r="ER73" s="126"/>
      <c r="ES73" s="3"/>
      <c r="ET73" s="3"/>
      <c r="EU73" s="152"/>
      <c r="EV73" s="4"/>
      <c r="EW73" s="4"/>
      <c r="EX73" s="4"/>
      <c r="EY73" s="4"/>
      <c r="EZ73" s="4"/>
      <c r="FA73" s="4"/>
      <c r="FB73" s="4"/>
      <c r="FC73" s="4"/>
      <c r="FD73" s="4"/>
      <c r="FE73" s="127"/>
      <c r="FI73" s="126"/>
      <c r="FJ73" s="3"/>
      <c r="FK73" s="3"/>
      <c r="FL73" s="152"/>
      <c r="FM73" s="4"/>
      <c r="FN73" s="4"/>
      <c r="FO73" s="4"/>
      <c r="FP73" s="4"/>
      <c r="FQ73" s="4"/>
      <c r="FR73" s="4"/>
      <c r="FS73" s="4"/>
      <c r="FT73" s="4"/>
      <c r="FU73" s="4"/>
      <c r="FV73" s="127"/>
    </row>
    <row r="74" spans="3:178" ht="18.5" x14ac:dyDescent="0.45">
      <c r="C74" s="131" t="s">
        <v>261</v>
      </c>
      <c r="D74" s="3" t="s">
        <v>256</v>
      </c>
      <c r="E74" s="3"/>
      <c r="F74" s="152"/>
      <c r="G74" s="4">
        <v>4.1592433333333361</v>
      </c>
      <c r="H74" s="4">
        <v>8.5982016666666681</v>
      </c>
      <c r="I74" s="4">
        <v>0.32706382845146598</v>
      </c>
      <c r="J74" s="4">
        <v>0.67293617154853391</v>
      </c>
      <c r="K74" s="4">
        <v>0.24069826060654242</v>
      </c>
      <c r="L74" s="4">
        <v>7.8612222313140953E-2</v>
      </c>
      <c r="M74" s="4">
        <v>12.757445000000004</v>
      </c>
      <c r="N74" s="4">
        <v>27.5</v>
      </c>
      <c r="O74" s="4">
        <v>6.6354978308678589</v>
      </c>
      <c r="P74" s="127"/>
      <c r="T74" s="131" t="s">
        <v>261</v>
      </c>
      <c r="U74" s="3" t="s">
        <v>256</v>
      </c>
      <c r="V74" s="3"/>
      <c r="W74" s="152"/>
      <c r="X74" s="4">
        <v>4.0208050000000011</v>
      </c>
      <c r="Y74" s="4">
        <v>7.8083625000000012</v>
      </c>
      <c r="Z74" s="4">
        <v>0.3405149150986404</v>
      </c>
      <c r="AA74" s="4">
        <v>0.6594850849013596</v>
      </c>
      <c r="AB74" s="4">
        <v>0.2489871441275277</v>
      </c>
      <c r="AC74" s="4">
        <v>8.482919234973843E-2</v>
      </c>
      <c r="AD74" s="4">
        <v>11.829167500000002</v>
      </c>
      <c r="AE74" s="4">
        <v>27</v>
      </c>
      <c r="AF74" s="4">
        <v>6.7175850208651786</v>
      </c>
      <c r="AG74" s="127"/>
      <c r="AK74" s="126"/>
      <c r="AL74" s="3"/>
      <c r="AM74" s="3"/>
      <c r="AN74" s="152"/>
      <c r="AO74" s="4"/>
      <c r="AP74" s="4"/>
      <c r="AQ74" s="4"/>
      <c r="AR74" s="4"/>
      <c r="AS74" s="4"/>
      <c r="AT74" s="4"/>
      <c r="AU74" s="4"/>
      <c r="AV74" s="4"/>
      <c r="AW74" s="4"/>
      <c r="AX74" s="127"/>
      <c r="BB74" s="126"/>
      <c r="BC74" s="3"/>
      <c r="BD74" s="3"/>
      <c r="BE74" s="152"/>
      <c r="BF74" s="4"/>
      <c r="BG74" s="4"/>
      <c r="BH74" s="4"/>
      <c r="BI74" s="4"/>
      <c r="BJ74" s="4"/>
      <c r="BK74" s="4"/>
      <c r="BL74" s="4"/>
      <c r="BM74" s="4"/>
      <c r="BN74" s="4"/>
      <c r="BO74" s="127"/>
      <c r="BS74" s="126"/>
      <c r="BT74" s="3"/>
      <c r="BU74" s="3"/>
      <c r="BV74" s="152"/>
      <c r="BW74" s="4"/>
      <c r="BX74" s="4"/>
      <c r="BY74" s="4"/>
      <c r="BZ74" s="4"/>
      <c r="CA74" s="4"/>
      <c r="CB74" s="4"/>
      <c r="CC74" s="4"/>
      <c r="CD74" s="4"/>
      <c r="CE74" s="4"/>
      <c r="CF74" s="127"/>
      <c r="CJ74" s="126"/>
      <c r="CK74" s="3"/>
      <c r="CL74" s="3"/>
      <c r="CM74" s="152"/>
      <c r="CN74" s="4"/>
      <c r="CO74" s="4"/>
      <c r="CP74" s="4"/>
      <c r="CQ74" s="4"/>
      <c r="CR74" s="4"/>
      <c r="CS74" s="4"/>
      <c r="CT74" s="4"/>
      <c r="CU74" s="4"/>
      <c r="CV74" s="4"/>
      <c r="CW74" s="127"/>
      <c r="DJ74" s="131" t="s">
        <v>261</v>
      </c>
      <c r="DK74" s="3" t="s">
        <v>256</v>
      </c>
      <c r="DL74" s="3"/>
      <c r="DM74" s="152"/>
      <c r="DN74" s="164">
        <f t="shared" si="114"/>
        <v>1.0726987267446235</v>
      </c>
      <c r="DO74" s="164">
        <f t="shared" si="115"/>
        <v>0.79623079600399216</v>
      </c>
      <c r="DP74" s="164">
        <f t="shared" si="116"/>
        <v>1.1738042597854941</v>
      </c>
      <c r="DQ74" s="164">
        <f t="shared" si="117"/>
        <v>0.88611209728941609</v>
      </c>
      <c r="DR74" s="164">
        <f t="shared" si="118"/>
        <v>0.93253128348493086</v>
      </c>
      <c r="DS74" s="164">
        <f t="shared" si="119"/>
        <v>1.0991267515322973</v>
      </c>
      <c r="DT74" s="164">
        <f t="shared" si="120"/>
        <v>0.90287351950845152</v>
      </c>
      <c r="DU74" s="164">
        <f t="shared" si="121"/>
        <v>1.0517241379310345</v>
      </c>
      <c r="DV74" s="164">
        <f t="shared" si="122"/>
        <v>0.97509977728850417</v>
      </c>
      <c r="DW74" s="127"/>
      <c r="EA74" s="131" t="s">
        <v>261</v>
      </c>
      <c r="EB74" s="3" t="s">
        <v>256</v>
      </c>
      <c r="EC74" s="3"/>
      <c r="ED74" s="152"/>
      <c r="EE74" s="164">
        <f t="shared" si="123"/>
        <v>1.0895124970243828</v>
      </c>
      <c r="EF74" s="164">
        <f t="shared" si="124"/>
        <v>0.84283065411655145</v>
      </c>
      <c r="EG74" s="164">
        <f t="shared" si="125"/>
        <v>1.1541951865379325</v>
      </c>
      <c r="EH74" s="164">
        <f t="shared" si="126"/>
        <v>0.89608784774316108</v>
      </c>
      <c r="EI74" s="164">
        <f t="shared" si="127"/>
        <v>0.91570060032181899</v>
      </c>
      <c r="EJ74" s="164">
        <f t="shared" si="128"/>
        <v>1.0613200520442552</v>
      </c>
      <c r="EK74" s="164">
        <f t="shared" si="129"/>
        <v>0.94041040600510684</v>
      </c>
      <c r="EL74" s="164">
        <f t="shared" si="130"/>
        <v>1.0608695652173914</v>
      </c>
      <c r="EM74" s="164">
        <f t="shared" si="131"/>
        <v>0.96895709551658105</v>
      </c>
      <c r="EN74" s="127"/>
      <c r="ER74" s="126"/>
      <c r="ES74" s="3"/>
      <c r="ET74" s="3"/>
      <c r="EU74" s="152"/>
      <c r="EV74" s="4"/>
      <c r="EW74" s="4"/>
      <c r="EX74" s="4"/>
      <c r="EY74" s="4"/>
      <c r="EZ74" s="4"/>
      <c r="FA74" s="4"/>
      <c r="FB74" s="4"/>
      <c r="FC74" s="4"/>
      <c r="FD74" s="4"/>
      <c r="FE74" s="127"/>
      <c r="FI74" s="126"/>
      <c r="FJ74" s="3"/>
      <c r="FK74" s="3"/>
      <c r="FL74" s="152"/>
      <c r="FM74" s="4"/>
      <c r="FN74" s="4"/>
      <c r="FO74" s="4"/>
      <c r="FP74" s="4"/>
      <c r="FQ74" s="4"/>
      <c r="FR74" s="4"/>
      <c r="FS74" s="4"/>
      <c r="FT74" s="4"/>
      <c r="FU74" s="4"/>
      <c r="FV74" s="127"/>
    </row>
    <row r="75" spans="3:178" ht="18.5" x14ac:dyDescent="0.45">
      <c r="C75" s="131" t="s">
        <v>261</v>
      </c>
      <c r="D75" s="3" t="s">
        <v>304</v>
      </c>
      <c r="E75" s="3"/>
      <c r="F75" s="152"/>
      <c r="G75" s="4">
        <v>6.012892500000004</v>
      </c>
      <c r="H75" s="4">
        <v>10.052173749999998</v>
      </c>
      <c r="I75" s="4">
        <v>0.37737791792138359</v>
      </c>
      <c r="J75" s="4">
        <v>0.62262208207861647</v>
      </c>
      <c r="K75" s="4">
        <v>0.16725977822971844</v>
      </c>
      <c r="L75" s="4">
        <v>6.2830666957166076E-2</v>
      </c>
      <c r="M75" s="4">
        <v>16.065066250000001</v>
      </c>
      <c r="N75" s="4">
        <v>88.285714285714292</v>
      </c>
      <c r="O75" s="4">
        <v>10.786518959404875</v>
      </c>
      <c r="P75" s="127"/>
      <c r="T75" s="131" t="s">
        <v>261</v>
      </c>
      <c r="U75" s="3" t="s">
        <v>304</v>
      </c>
      <c r="V75" s="3"/>
      <c r="W75" s="152"/>
      <c r="X75" s="4">
        <v>7.0602850000000119</v>
      </c>
      <c r="Y75" s="4">
        <v>10.778040000000004</v>
      </c>
      <c r="Z75" s="4">
        <v>0.40055607379709762</v>
      </c>
      <c r="AA75" s="4">
        <v>0.59944392620290243</v>
      </c>
      <c r="AB75" s="4">
        <v>0.14217381661957573</v>
      </c>
      <c r="AC75" s="4">
        <v>5.6673916256128637E-2</v>
      </c>
      <c r="AD75" s="4">
        <v>17.838325000000015</v>
      </c>
      <c r="AE75" s="4">
        <v>93.666666666666671</v>
      </c>
      <c r="AF75" s="4">
        <v>11.164769672080782</v>
      </c>
      <c r="AG75" s="127"/>
      <c r="AK75" s="126"/>
      <c r="AL75" s="3"/>
      <c r="AM75" s="3"/>
      <c r="AN75" s="152"/>
      <c r="AO75" s="4"/>
      <c r="AP75" s="4"/>
      <c r="AQ75" s="4"/>
      <c r="AR75" s="4"/>
      <c r="AS75" s="4"/>
      <c r="AT75" s="4"/>
      <c r="AU75" s="4"/>
      <c r="AV75" s="4"/>
      <c r="AW75" s="4"/>
      <c r="AX75" s="127"/>
      <c r="BB75" s="126"/>
      <c r="BC75" s="3"/>
      <c r="BD75" s="3"/>
      <c r="BE75" s="152"/>
      <c r="BF75" s="4"/>
      <c r="BG75" s="4"/>
      <c r="BH75" s="4"/>
      <c r="BI75" s="4"/>
      <c r="BJ75" s="4"/>
      <c r="BK75" s="4"/>
      <c r="BL75" s="4"/>
      <c r="BM75" s="4"/>
      <c r="BN75" s="4"/>
      <c r="BO75" s="127"/>
      <c r="BS75" s="126"/>
      <c r="BT75" s="3"/>
      <c r="BU75" s="3"/>
      <c r="BV75" s="152"/>
      <c r="BW75" s="4"/>
      <c r="BX75" s="4"/>
      <c r="BY75" s="4"/>
      <c r="BZ75" s="4"/>
      <c r="CA75" s="4"/>
      <c r="CB75" s="4"/>
      <c r="CC75" s="4"/>
      <c r="CD75" s="4"/>
      <c r="CE75" s="4"/>
      <c r="CF75" s="127"/>
      <c r="CJ75" s="126"/>
      <c r="CK75" s="3"/>
      <c r="CL75" s="3"/>
      <c r="CM75" s="152"/>
      <c r="CN75" s="4"/>
      <c r="CO75" s="4"/>
      <c r="CP75" s="4"/>
      <c r="CQ75" s="4"/>
      <c r="CR75" s="4"/>
      <c r="CS75" s="4"/>
      <c r="CT75" s="4"/>
      <c r="CU75" s="4"/>
      <c r="CV75" s="4"/>
      <c r="CW75" s="127"/>
      <c r="DJ75" s="131" t="s">
        <v>261</v>
      </c>
      <c r="DK75" s="3" t="s">
        <v>304</v>
      </c>
      <c r="DL75" s="3"/>
      <c r="DM75" s="152"/>
      <c r="DN75" s="164">
        <f t="shared" si="114"/>
        <v>0.89872758846798706</v>
      </c>
      <c r="DO75" s="164">
        <f t="shared" si="115"/>
        <v>0.98917853150153612</v>
      </c>
      <c r="DP75" s="164">
        <f t="shared" si="116"/>
        <v>0.93817919522055049</v>
      </c>
      <c r="DQ75" s="164">
        <f t="shared" si="117"/>
        <v>1.0340858339532</v>
      </c>
      <c r="DR75" s="164">
        <f t="shared" si="118"/>
        <v>1.1046159044554829</v>
      </c>
      <c r="DS75" s="164">
        <f t="shared" si="119"/>
        <v>1.0393820534958151</v>
      </c>
      <c r="DT75" s="164">
        <f t="shared" si="120"/>
        <v>0.95711924053220887</v>
      </c>
      <c r="DU75" s="164">
        <f t="shared" si="121"/>
        <v>0.98646986469864695</v>
      </c>
      <c r="DV75" s="164">
        <f t="shared" si="122"/>
        <v>0.96633691807150812</v>
      </c>
      <c r="DW75" s="127"/>
      <c r="EA75" s="131" t="s">
        <v>261</v>
      </c>
      <c r="EB75" s="3" t="s">
        <v>304</v>
      </c>
      <c r="EC75" s="3"/>
      <c r="ED75" s="152"/>
      <c r="EE75" s="164">
        <f t="shared" si="123"/>
        <v>0.82006982125686534</v>
      </c>
      <c r="EF75" s="164">
        <f t="shared" si="124"/>
        <v>0.95434894825809413</v>
      </c>
      <c r="EG75" s="164">
        <f t="shared" si="125"/>
        <v>0.90855313104121516</v>
      </c>
      <c r="EH75" s="164">
        <f t="shared" si="126"/>
        <v>1.0530179285173371</v>
      </c>
      <c r="EI75" s="164">
        <f t="shared" si="127"/>
        <v>1.1841248732292591</v>
      </c>
      <c r="EJ75" s="164">
        <f t="shared" si="128"/>
        <v>1.0907169463313102</v>
      </c>
      <c r="EK75" s="164">
        <f t="shared" si="129"/>
        <v>0.90502895658349536</v>
      </c>
      <c r="EL75" s="164">
        <f t="shared" si="130"/>
        <v>0.956913694816386</v>
      </c>
      <c r="EM75" s="164">
        <f t="shared" si="131"/>
        <v>0.94913505574032664</v>
      </c>
      <c r="EN75" s="127"/>
      <c r="ER75" s="126"/>
      <c r="ES75" s="3"/>
      <c r="ET75" s="3"/>
      <c r="EU75" s="152"/>
      <c r="EV75" s="4"/>
      <c r="EW75" s="4"/>
      <c r="EX75" s="4"/>
      <c r="EY75" s="4"/>
      <c r="EZ75" s="4"/>
      <c r="FA75" s="4"/>
      <c r="FB75" s="4"/>
      <c r="FC75" s="4"/>
      <c r="FD75" s="4"/>
      <c r="FE75" s="127"/>
      <c r="FI75" s="126"/>
      <c r="FJ75" s="3"/>
      <c r="FK75" s="3"/>
      <c r="FL75" s="152"/>
      <c r="FM75" s="4"/>
      <c r="FN75" s="4"/>
      <c r="FO75" s="4"/>
      <c r="FP75" s="4"/>
      <c r="FQ75" s="4"/>
      <c r="FR75" s="4"/>
      <c r="FS75" s="4"/>
      <c r="FT75" s="4"/>
      <c r="FU75" s="4"/>
      <c r="FV75" s="127"/>
    </row>
    <row r="76" spans="3:178" ht="18.5" x14ac:dyDescent="0.45">
      <c r="C76" s="126"/>
      <c r="D76" s="2"/>
      <c r="E76" s="2"/>
      <c r="F76" s="152"/>
      <c r="G76" s="4"/>
      <c r="H76" s="4"/>
      <c r="I76" s="4"/>
      <c r="J76" s="4"/>
      <c r="K76" s="4"/>
      <c r="L76" s="4"/>
      <c r="M76" s="4"/>
      <c r="N76" s="4"/>
      <c r="O76" s="4"/>
      <c r="P76" s="127"/>
      <c r="T76" s="126"/>
      <c r="U76" s="2"/>
      <c r="V76" s="2"/>
      <c r="W76" s="152"/>
      <c r="X76" s="152"/>
      <c r="Y76" s="152"/>
      <c r="Z76" s="152"/>
      <c r="AA76" s="152"/>
      <c r="AB76" s="152"/>
      <c r="AC76" s="152"/>
      <c r="AD76" s="152"/>
      <c r="AE76" s="46"/>
      <c r="AF76" s="46"/>
      <c r="AG76" s="127"/>
      <c r="AK76" s="126"/>
      <c r="AL76" s="2"/>
      <c r="AM76" s="2"/>
      <c r="AN76" s="152"/>
      <c r="AO76" s="4"/>
      <c r="AP76" s="4"/>
      <c r="AQ76" s="4"/>
      <c r="AR76" s="4"/>
      <c r="AS76" s="4"/>
      <c r="AT76" s="4"/>
      <c r="AU76" s="4"/>
      <c r="AV76" s="4"/>
      <c r="AW76" s="4"/>
      <c r="AX76" s="127"/>
      <c r="BB76" s="126"/>
      <c r="BC76" s="2"/>
      <c r="BD76" s="2"/>
      <c r="BE76" s="152"/>
      <c r="BF76" s="4"/>
      <c r="BG76" s="4"/>
      <c r="BH76" s="4"/>
      <c r="BI76" s="4"/>
      <c r="BJ76" s="4"/>
      <c r="BK76" s="4"/>
      <c r="BL76" s="4"/>
      <c r="BM76" s="4"/>
      <c r="BN76" s="4"/>
      <c r="BO76" s="127"/>
      <c r="BS76" s="126"/>
      <c r="BT76" s="2"/>
      <c r="BU76" s="2"/>
      <c r="BV76" s="152"/>
      <c r="BW76" s="4"/>
      <c r="BX76" s="4"/>
      <c r="BY76" s="4"/>
      <c r="BZ76" s="4"/>
      <c r="CA76" s="4"/>
      <c r="CB76" s="4"/>
      <c r="CC76" s="4"/>
      <c r="CD76" s="4"/>
      <c r="CE76" s="4"/>
      <c r="CF76" s="127"/>
      <c r="CJ76" s="126"/>
      <c r="CK76" s="2"/>
      <c r="CL76" s="2"/>
      <c r="CM76" s="152"/>
      <c r="CN76" s="4"/>
      <c r="CO76" s="4"/>
      <c r="CP76" s="4"/>
      <c r="CQ76" s="4"/>
      <c r="CR76" s="4"/>
      <c r="CS76" s="4"/>
      <c r="CT76" s="4"/>
      <c r="CU76" s="4"/>
      <c r="CV76" s="4"/>
      <c r="CW76" s="127"/>
      <c r="DJ76" s="126"/>
      <c r="DK76" s="2"/>
      <c r="DL76" s="2"/>
      <c r="DM76" s="152"/>
      <c r="DN76" s="4"/>
      <c r="DO76" s="4"/>
      <c r="DP76" s="4"/>
      <c r="DQ76" s="4"/>
      <c r="DR76" s="4"/>
      <c r="DS76" s="4"/>
      <c r="DT76" s="4"/>
      <c r="DU76" s="4"/>
      <c r="DV76" s="4"/>
      <c r="DW76" s="127"/>
      <c r="EA76" s="126"/>
      <c r="EB76" s="2"/>
      <c r="EC76" s="2"/>
      <c r="ED76" s="152"/>
      <c r="EE76" s="152"/>
      <c r="EF76" s="152"/>
      <c r="EG76" s="152"/>
      <c r="EH76" s="152"/>
      <c r="EI76" s="152"/>
      <c r="EJ76" s="152"/>
      <c r="EK76" s="152"/>
      <c r="EL76" s="46"/>
      <c r="EM76" s="46"/>
      <c r="EN76" s="127"/>
      <c r="ER76" s="126"/>
      <c r="ES76" s="2"/>
      <c r="ET76" s="2"/>
      <c r="EU76" s="152"/>
      <c r="EV76" s="4"/>
      <c r="EW76" s="4"/>
      <c r="EX76" s="4"/>
      <c r="EY76" s="4"/>
      <c r="EZ76" s="4"/>
      <c r="FA76" s="4"/>
      <c r="FB76" s="4"/>
      <c r="FC76" s="4"/>
      <c r="FD76" s="4"/>
      <c r="FE76" s="127"/>
      <c r="FI76" s="126"/>
      <c r="FJ76" s="2"/>
      <c r="FK76" s="2"/>
      <c r="FL76" s="152"/>
      <c r="FM76" s="4"/>
      <c r="FN76" s="4"/>
      <c r="FO76" s="4"/>
      <c r="FP76" s="4"/>
      <c r="FQ76" s="4"/>
      <c r="FR76" s="4"/>
      <c r="FS76" s="4"/>
      <c r="FT76" s="4"/>
      <c r="FU76" s="4"/>
      <c r="FV76" s="127"/>
    </row>
    <row r="77" spans="3:178" ht="18.5" x14ac:dyDescent="0.45">
      <c r="C77" s="126"/>
      <c r="D77" s="2"/>
      <c r="E77" s="1" t="s">
        <v>77</v>
      </c>
      <c r="F77" s="152"/>
      <c r="G77" s="1">
        <f>AVERAGE(G60:G75)</f>
        <v>7.246724541666663</v>
      </c>
      <c r="H77" s="1">
        <f t="shared" ref="H77:O77" si="132">AVERAGE(H60:H75)</f>
        <v>10.028808396577382</v>
      </c>
      <c r="I77" s="1">
        <f t="shared" si="132"/>
        <v>0.4325412694729181</v>
      </c>
      <c r="J77" s="1">
        <f t="shared" si="132"/>
        <v>0.56745873052708184</v>
      </c>
      <c r="K77" s="1">
        <f t="shared" si="132"/>
        <v>0.15827031567305694</v>
      </c>
      <c r="L77" s="1">
        <f t="shared" si="132"/>
        <v>6.4648873886778868E-2</v>
      </c>
      <c r="M77" s="1">
        <f t="shared" si="132"/>
        <v>17.272561673363093</v>
      </c>
      <c r="N77" s="1">
        <f>AVERAGE(N60:N75)</f>
        <v>41.814732142857139</v>
      </c>
      <c r="O77" s="1">
        <f t="shared" si="132"/>
        <v>5.8791789705496562</v>
      </c>
      <c r="P77" s="127"/>
      <c r="T77" s="126"/>
      <c r="U77" s="2"/>
      <c r="V77" s="1" t="s">
        <v>77</v>
      </c>
      <c r="W77" s="152"/>
      <c r="X77" s="1">
        <f>AVERAGE(X60:X75)</f>
        <v>6.1861495572916683</v>
      </c>
      <c r="Y77" s="1">
        <f t="shared" ref="Y77:AF77" si="133">AVERAGE(Y60:Y75)</f>
        <v>8.2995325711805528</v>
      </c>
      <c r="Z77" s="1">
        <f t="shared" si="133"/>
        <v>0.45083077703149294</v>
      </c>
      <c r="AA77" s="1">
        <f t="shared" si="133"/>
        <v>0.5491692229685069</v>
      </c>
      <c r="AB77" s="1">
        <f t="shared" si="133"/>
        <v>0.18654921266698279</v>
      </c>
      <c r="AC77" s="1">
        <f t="shared" si="133"/>
        <v>7.5826656850733976E-2</v>
      </c>
      <c r="AD77" s="1">
        <f t="shared" si="133"/>
        <v>14.499196086805561</v>
      </c>
      <c r="AE77" s="1">
        <f t="shared" si="133"/>
        <v>37.334280303030305</v>
      </c>
      <c r="AF77" s="1">
        <f t="shared" si="133"/>
        <v>6.1429948173909708</v>
      </c>
      <c r="AG77" s="127"/>
      <c r="AK77" s="126"/>
      <c r="AL77" s="2"/>
      <c r="AM77" s="1" t="s">
        <v>77</v>
      </c>
      <c r="AN77" s="152"/>
      <c r="AO77" s="1">
        <f>AVERAGE(AO60:AO75)</f>
        <v>5.5580779761904724</v>
      </c>
      <c r="AP77" s="1">
        <f t="shared" ref="AP77:AU77" si="134">AVERAGE(AP60:AP75)</f>
        <v>10.627166746031753</v>
      </c>
      <c r="AQ77" s="1">
        <f t="shared" si="134"/>
        <v>0.35685089087254118</v>
      </c>
      <c r="AR77" s="1">
        <f t="shared" si="134"/>
        <v>0.64314910912745882</v>
      </c>
      <c r="AS77" s="1">
        <f t="shared" si="134"/>
        <v>0.20323302287001441</v>
      </c>
      <c r="AT77" s="1">
        <f t="shared" si="134"/>
        <v>7.0511868309161382E-2</v>
      </c>
      <c r="AU77" s="1">
        <f t="shared" si="134"/>
        <v>16.185244722222226</v>
      </c>
      <c r="AV77" s="1">
        <f>AVERAGE(AV60:AV75)</f>
        <v>41.175396825396831</v>
      </c>
      <c r="AW77" s="1">
        <f>AVERAGE(AW60:AW75)</f>
        <v>6.8698917277842888</v>
      </c>
      <c r="AX77" s="127"/>
      <c r="BB77" s="126"/>
      <c r="BC77" s="2"/>
      <c r="BD77" s="1" t="s">
        <v>77</v>
      </c>
      <c r="BE77" s="152"/>
      <c r="BF77" s="1">
        <f>AVERAGE(BF60:BF75)</f>
        <v>6.0180276825396737</v>
      </c>
      <c r="BG77" s="1">
        <f t="shared" ref="BG77:BL77" si="135">AVERAGE(BG60:BG75)</f>
        <v>9.2372647579365079</v>
      </c>
      <c r="BH77" s="1">
        <f t="shared" si="135"/>
        <v>0.39826985325010789</v>
      </c>
      <c r="BI77" s="1">
        <f t="shared" si="135"/>
        <v>0.60173014674989223</v>
      </c>
      <c r="BJ77" s="1">
        <f t="shared" si="135"/>
        <v>0.18330954395210433</v>
      </c>
      <c r="BK77" s="1">
        <f t="shared" si="135"/>
        <v>6.9576240087241947E-2</v>
      </c>
      <c r="BL77" s="1">
        <f t="shared" si="135"/>
        <v>15.255292440476181</v>
      </c>
      <c r="BM77" s="1">
        <f>AVERAGE(BM60:BM75)</f>
        <v>43.518055555555556</v>
      </c>
      <c r="BN77" s="1">
        <f>AVERAGE(BN60:BN75)</f>
        <v>6.6970124917941982</v>
      </c>
      <c r="BO77" s="127"/>
      <c r="BS77" s="126"/>
      <c r="BT77" s="2"/>
      <c r="BU77" s="1" t="s">
        <v>77</v>
      </c>
      <c r="BV77" s="152"/>
      <c r="BW77" s="1">
        <f>AVERAGE(BW60:BW75)</f>
        <v>5.4676327321428682</v>
      </c>
      <c r="BX77" s="1">
        <f t="shared" ref="BX77:CC77" si="136">AVERAGE(BX60:BX75)</f>
        <v>6.6415931249999982</v>
      </c>
      <c r="BY77" s="1">
        <f t="shared" si="136"/>
        <v>0.47331103586206325</v>
      </c>
      <c r="BZ77" s="1">
        <f t="shared" si="136"/>
        <v>0.52668896413793687</v>
      </c>
      <c r="CA77" s="1">
        <f t="shared" si="136"/>
        <v>0.18847831744508975</v>
      </c>
      <c r="CB77" s="1">
        <f t="shared" si="136"/>
        <v>8.822697860972388E-2</v>
      </c>
      <c r="CC77" s="1">
        <f t="shared" si="136"/>
        <v>12.109225857142867</v>
      </c>
      <c r="CD77" s="1">
        <f>AVERAGE(CD60:CD75)</f>
        <v>24.560714285714287</v>
      </c>
      <c r="CE77" s="1">
        <f>AVERAGE(CE60:CE75)</f>
        <v>4.5344432004289654</v>
      </c>
      <c r="CF77" s="127"/>
      <c r="CJ77" s="126"/>
      <c r="CK77" s="2"/>
      <c r="CL77" s="1" t="s">
        <v>77</v>
      </c>
      <c r="CM77" s="152"/>
      <c r="CN77" s="1">
        <f>AVERAGE(CN60:CN75)</f>
        <v>5.7478095752164515</v>
      </c>
      <c r="CO77" s="1">
        <f t="shared" ref="CO77:CT77" si="137">AVERAGE(CO60:CO75)</f>
        <v>7.0727230519480511</v>
      </c>
      <c r="CP77" s="1">
        <f t="shared" si="137"/>
        <v>0.4594275212675118</v>
      </c>
      <c r="CQ77" s="1">
        <f t="shared" si="137"/>
        <v>0.51784520600521544</v>
      </c>
      <c r="CR77" s="1">
        <f t="shared" si="137"/>
        <v>0.17426308794730083</v>
      </c>
      <c r="CS77" s="1">
        <f t="shared" si="137"/>
        <v>8.0280823712743213E-2</v>
      </c>
      <c r="CT77" s="1">
        <f t="shared" si="137"/>
        <v>12.820532627164503</v>
      </c>
      <c r="CU77" s="1">
        <f>AVERAGE(CU60:CU75)</f>
        <v>23.587391774891778</v>
      </c>
      <c r="CV77" s="1">
        <f>AVERAGE(CV60:CV75)</f>
        <v>4.125623681036453</v>
      </c>
      <c r="CW77" s="127"/>
      <c r="DJ77" s="126"/>
      <c r="DK77" s="2"/>
      <c r="DL77" s="1" t="s">
        <v>77</v>
      </c>
      <c r="DM77" s="152"/>
      <c r="DN77" s="1">
        <f>AVERAGE(DN60:DN75)</f>
        <v>0.94715256409711468</v>
      </c>
      <c r="DO77" s="1">
        <f t="shared" ref="DO77:DT77" si="138">AVERAGE(DO60:DO75)</f>
        <v>0.94507903475751254</v>
      </c>
      <c r="DP77" s="1">
        <f t="shared" si="138"/>
        <v>1.0021514900388204</v>
      </c>
      <c r="DQ77" s="1">
        <f t="shared" si="138"/>
        <v>1.0031025169306993</v>
      </c>
      <c r="DR77" s="1">
        <f t="shared" si="138"/>
        <v>1.058883334809656</v>
      </c>
      <c r="DS77" s="1">
        <f t="shared" si="138"/>
        <v>1.0570998774437841</v>
      </c>
      <c r="DT77" s="1">
        <f t="shared" si="138"/>
        <v>0.94251204746941752</v>
      </c>
      <c r="DU77" s="1">
        <f>AVERAGE(DU60:DU75)</f>
        <v>0.92151524688523168</v>
      </c>
      <c r="DV77" s="1">
        <f>AVERAGE(DV60:DV75)</f>
        <v>0.94904070758145831</v>
      </c>
      <c r="DW77" s="127"/>
      <c r="EA77" s="126"/>
      <c r="EB77" s="2"/>
      <c r="EC77" s="1" t="s">
        <v>77</v>
      </c>
      <c r="ED77" s="152"/>
      <c r="EE77" s="1">
        <f>AVERAGE(EE60:EE75)</f>
        <v>0.924962421656913</v>
      </c>
      <c r="EF77" s="1">
        <f t="shared" ref="EF77:EM77" si="139">AVERAGE(EF60:EF75)</f>
        <v>0.99723383794428522</v>
      </c>
      <c r="EG77" s="1">
        <f t="shared" si="139"/>
        <v>0.95660266607049182</v>
      </c>
      <c r="EH77" s="1">
        <f t="shared" si="139"/>
        <v>1.0415941026801365</v>
      </c>
      <c r="EI77" s="1">
        <f t="shared" si="139"/>
        <v>1.0817031217240378</v>
      </c>
      <c r="EJ77" s="1">
        <f t="shared" si="139"/>
        <v>1.0345168729947121</v>
      </c>
      <c r="EK77" s="1">
        <f t="shared" si="139"/>
        <v>0.959029134773559</v>
      </c>
      <c r="EL77" s="1">
        <f t="shared" si="139"/>
        <v>0.89895099181716409</v>
      </c>
      <c r="EM77" s="1">
        <f t="shared" si="139"/>
        <v>0.94414029616054673</v>
      </c>
      <c r="EN77" s="127"/>
      <c r="ER77" s="126"/>
      <c r="ES77" s="2"/>
      <c r="ET77" s="1" t="s">
        <v>77</v>
      </c>
      <c r="EU77" s="152"/>
      <c r="EV77" s="1">
        <f>AVERAGE(EV60:EV75)</f>
        <v>1.0205065508384461</v>
      </c>
      <c r="EW77" s="1">
        <f t="shared" ref="EW77:FB77" si="140">AVERAGE(EW60:EW75)</f>
        <v>0.92392380378287442</v>
      </c>
      <c r="EX77" s="1">
        <f t="shared" si="140"/>
        <v>1.0513222538383926</v>
      </c>
      <c r="EY77" s="1">
        <f t="shared" si="140"/>
        <v>0.97048100648590996</v>
      </c>
      <c r="EZ77" s="1">
        <f t="shared" si="140"/>
        <v>0.98075255117916926</v>
      </c>
      <c r="FA77" s="1">
        <f t="shared" si="140"/>
        <v>1.028265999452677</v>
      </c>
      <c r="FB77" s="1">
        <f t="shared" si="140"/>
        <v>0.96642539284659235</v>
      </c>
      <c r="FC77" s="1">
        <f>AVERAGE(FC60:FC75)</f>
        <v>0.90868299655295315</v>
      </c>
      <c r="FD77" s="1">
        <f>AVERAGE(FD60:FD75)</f>
        <v>0.88624041561957811</v>
      </c>
      <c r="FE77" s="127"/>
      <c r="FI77" s="126"/>
      <c r="FJ77" s="2"/>
      <c r="FK77" s="1" t="s">
        <v>77</v>
      </c>
      <c r="FL77" s="152"/>
      <c r="FM77" s="1">
        <f>AVERAGE(FM60:FM75)</f>
        <v>0.98361038634489351</v>
      </c>
      <c r="FN77" s="1">
        <f t="shared" ref="FN77:FS77" si="141">AVERAGE(FN60:FN75)</f>
        <v>0.99286300423329166</v>
      </c>
      <c r="FO77" s="1">
        <f t="shared" si="141"/>
        <v>0.9938700120174887</v>
      </c>
      <c r="FP77" s="1">
        <f t="shared" si="141"/>
        <v>1.0081076203770105</v>
      </c>
      <c r="FQ77" s="1">
        <f t="shared" si="141"/>
        <v>1.0151383304534203</v>
      </c>
      <c r="FR77" s="1">
        <f t="shared" si="141"/>
        <v>1.0099124270796624</v>
      </c>
      <c r="FS77" s="1">
        <f t="shared" si="141"/>
        <v>0.99516915818398166</v>
      </c>
      <c r="FT77" s="1">
        <f>AVERAGE(FT60:FT75)</f>
        <v>0.89823593621918241</v>
      </c>
      <c r="FU77" s="1">
        <f>AVERAGE(FU60:FU75)</f>
        <v>0.91317769900467172</v>
      </c>
      <c r="FV77" s="127"/>
    </row>
    <row r="78" spans="3:178" ht="18.5" x14ac:dyDescent="0.45">
      <c r="C78" s="126"/>
      <c r="D78" s="2"/>
      <c r="E78" s="1" t="s">
        <v>89</v>
      </c>
      <c r="F78" s="152"/>
      <c r="G78" s="1">
        <f>_xlfn.STDEV.S(G60:G75)</f>
        <v>2.8433820700794659</v>
      </c>
      <c r="H78" s="1">
        <f t="shared" ref="H78:O78" si="142">_xlfn.STDEV.S(H60:H75)</f>
        <v>4.475643297116668</v>
      </c>
      <c r="I78" s="1">
        <f t="shared" si="142"/>
        <v>0.11456414576151322</v>
      </c>
      <c r="J78" s="1">
        <f t="shared" si="142"/>
        <v>0.11456414576151336</v>
      </c>
      <c r="K78" s="1">
        <f t="shared" si="142"/>
        <v>5.4405537292580151E-2</v>
      </c>
      <c r="L78" s="1">
        <f t="shared" si="142"/>
        <v>1.7884252559806683E-2</v>
      </c>
      <c r="M78" s="1">
        <f t="shared" si="142"/>
        <v>6.2937194941857868</v>
      </c>
      <c r="N78" s="1">
        <f t="shared" si="142"/>
        <v>23.722266286694307</v>
      </c>
      <c r="O78" s="1">
        <f t="shared" si="142"/>
        <v>2.3176045579762059</v>
      </c>
      <c r="P78" s="127"/>
      <c r="T78" s="126"/>
      <c r="U78" s="2"/>
      <c r="V78" s="1" t="s">
        <v>89</v>
      </c>
      <c r="W78" s="152"/>
      <c r="X78" s="1">
        <f>_xlfn.STDEV.S(X60:X75)</f>
        <v>2.0455674477271804</v>
      </c>
      <c r="Y78" s="1">
        <f t="shared" ref="Y78:AF78" si="143">_xlfn.STDEV.S(Y60:Y75)</f>
        <v>3.8576089167139451</v>
      </c>
      <c r="Z78" s="1">
        <f t="shared" si="143"/>
        <v>0.14151901947441017</v>
      </c>
      <c r="AA78" s="1">
        <f t="shared" si="143"/>
        <v>0.14151901947441059</v>
      </c>
      <c r="AB78" s="1">
        <f t="shared" si="143"/>
        <v>8.8499276907760382E-2</v>
      </c>
      <c r="AC78" s="1">
        <f t="shared" si="143"/>
        <v>2.2051785334643543E-2</v>
      </c>
      <c r="AD78" s="1">
        <f t="shared" si="143"/>
        <v>3.8969565929392709</v>
      </c>
      <c r="AE78" s="1">
        <f t="shared" si="143"/>
        <v>23.133272804433052</v>
      </c>
      <c r="AF78" s="1">
        <f t="shared" si="143"/>
        <v>1.9761961541737085</v>
      </c>
      <c r="AG78" s="127"/>
      <c r="AK78" s="126"/>
      <c r="AL78" s="2"/>
      <c r="AM78" s="1" t="s">
        <v>89</v>
      </c>
      <c r="AN78" s="152"/>
      <c r="AO78" s="1">
        <f>_xlfn.STDEV.S(AO60:AO75)</f>
        <v>1.9938448224524532</v>
      </c>
      <c r="AP78" s="1">
        <f t="shared" ref="AP78:AW78" si="144">_xlfn.STDEV.S(AP60:AP75)</f>
        <v>4.3647411364044784</v>
      </c>
      <c r="AQ78" s="1">
        <f t="shared" si="144"/>
        <v>6.2163394841749091E-2</v>
      </c>
      <c r="AR78" s="1">
        <f t="shared" si="144"/>
        <v>6.216339484174959E-2</v>
      </c>
      <c r="AS78" s="1">
        <f t="shared" si="144"/>
        <v>7.2553391947401569E-2</v>
      </c>
      <c r="AT78" s="1">
        <f t="shared" si="144"/>
        <v>2.3464008072863817E-2</v>
      </c>
      <c r="AU78" s="1">
        <f t="shared" si="144"/>
        <v>5.9986062335390109</v>
      </c>
      <c r="AV78" s="1">
        <f t="shared" si="144"/>
        <v>27.03364065632482</v>
      </c>
      <c r="AW78" s="1">
        <f t="shared" si="144"/>
        <v>2.2380191598905754</v>
      </c>
      <c r="AX78" s="127"/>
      <c r="BB78" s="126"/>
      <c r="BC78" s="2"/>
      <c r="BD78" s="1" t="s">
        <v>89</v>
      </c>
      <c r="BE78" s="152"/>
      <c r="BF78" s="1">
        <f>_xlfn.STDEV.S(BF60:BF75)</f>
        <v>1.8519651251582263</v>
      </c>
      <c r="BG78" s="1">
        <f t="shared" ref="BG78:BN78" si="145">_xlfn.STDEV.S(BG60:BG75)</f>
        <v>2.4218692146070557</v>
      </c>
      <c r="BH78" s="1">
        <f t="shared" si="145"/>
        <v>7.388153247538766E-2</v>
      </c>
      <c r="BI78" s="1">
        <f t="shared" si="145"/>
        <v>7.388153247538766E-2</v>
      </c>
      <c r="BJ78" s="1">
        <f t="shared" si="145"/>
        <v>5.995512727474097E-2</v>
      </c>
      <c r="BK78" s="1">
        <f t="shared" si="145"/>
        <v>1.7153240786883295E-2</v>
      </c>
      <c r="BL78" s="1">
        <f t="shared" si="145"/>
        <v>3.7053942785713314</v>
      </c>
      <c r="BM78" s="1">
        <f t="shared" si="145"/>
        <v>28.794163382661552</v>
      </c>
      <c r="BN78" s="1">
        <f t="shared" si="145"/>
        <v>2.5812131819239803</v>
      </c>
      <c r="BO78" s="127"/>
      <c r="BS78" s="126"/>
      <c r="BT78" s="2"/>
      <c r="BU78" s="1" t="s">
        <v>89</v>
      </c>
      <c r="BV78" s="152"/>
      <c r="BW78" s="1">
        <f>_xlfn.STDEV.S(BW60:BW75)</f>
        <v>0.66840796510551959</v>
      </c>
      <c r="BX78" s="1">
        <f t="shared" ref="BX78:CE78" si="146">_xlfn.STDEV.S(BX60:BX75)</f>
        <v>2.5246238261609801</v>
      </c>
      <c r="BY78" s="1">
        <f t="shared" si="146"/>
        <v>0.11343268319756927</v>
      </c>
      <c r="BZ78" s="1">
        <f t="shared" si="146"/>
        <v>0.11343268319756879</v>
      </c>
      <c r="CA78" s="1">
        <f t="shared" si="146"/>
        <v>1.9445752154186351E-2</v>
      </c>
      <c r="CB78" s="1">
        <f t="shared" si="146"/>
        <v>2.4832534458976298E-2</v>
      </c>
      <c r="CC78" s="1">
        <f t="shared" si="146"/>
        <v>2.792916588983605</v>
      </c>
      <c r="CD78" s="1">
        <f t="shared" si="146"/>
        <v>10.701601221662253</v>
      </c>
      <c r="CE78" s="1">
        <f t="shared" si="146"/>
        <v>2.1458154913861454</v>
      </c>
      <c r="CF78" s="127"/>
      <c r="CJ78" s="126"/>
      <c r="CK78" s="2"/>
      <c r="CL78" s="1" t="s">
        <v>89</v>
      </c>
      <c r="CM78" s="152"/>
      <c r="CN78" s="1">
        <f>_xlfn.STDEV.S(CN60:CN75)</f>
        <v>0.90739286993341373</v>
      </c>
      <c r="CO78" s="1">
        <f t="shared" ref="CO78:CV78" si="147">_xlfn.STDEV.S(CO60:CO75)</f>
        <v>2.9510024103188388</v>
      </c>
      <c r="CP78" s="1">
        <f t="shared" si="147"/>
        <v>0.12446834193464784</v>
      </c>
      <c r="CQ78" s="1">
        <f t="shared" si="147"/>
        <v>0.10275989336626012</v>
      </c>
      <c r="CR78" s="1">
        <f t="shared" si="147"/>
        <v>1.34674896487553E-2</v>
      </c>
      <c r="CS78" s="1">
        <f t="shared" si="147"/>
        <v>2.6247850705235533E-2</v>
      </c>
      <c r="CT78" s="1">
        <f t="shared" si="147"/>
        <v>3.5035679296978919</v>
      </c>
      <c r="CU78" s="1">
        <f t="shared" si="147"/>
        <v>9.2933658259735985</v>
      </c>
      <c r="CV78" s="1">
        <f t="shared" si="147"/>
        <v>1.9185995382642775</v>
      </c>
      <c r="CW78" s="127"/>
      <c r="DJ78" s="126"/>
      <c r="DK78" s="2"/>
      <c r="DL78" s="1" t="s">
        <v>89</v>
      </c>
      <c r="DM78" s="152"/>
      <c r="DN78" s="1">
        <f>_xlfn.STDEV.S(DN60:DN75)</f>
        <v>0.10019243802956347</v>
      </c>
      <c r="DO78" s="1">
        <f t="shared" ref="DO78:DV78" si="148">_xlfn.STDEV.S(DO60:DO75)</f>
        <v>9.6239915293633654E-2</v>
      </c>
      <c r="DP78" s="1">
        <f t="shared" si="148"/>
        <v>8.1520058450534158E-2</v>
      </c>
      <c r="DQ78" s="1">
        <f t="shared" si="148"/>
        <v>6.0204962143153136E-2</v>
      </c>
      <c r="DR78" s="1">
        <f t="shared" si="148"/>
        <v>0.10388535753112553</v>
      </c>
      <c r="DS78" s="1">
        <f t="shared" si="148"/>
        <v>6.3383880906804066E-2</v>
      </c>
      <c r="DT78" s="1">
        <f t="shared" si="148"/>
        <v>7.0388478066748861E-2</v>
      </c>
      <c r="DU78" s="1">
        <f t="shared" si="148"/>
        <v>0.12992243468230594</v>
      </c>
      <c r="DV78" s="1">
        <f t="shared" si="148"/>
        <v>7.1998683657167384E-2</v>
      </c>
      <c r="DW78" s="127"/>
      <c r="EA78" s="126"/>
      <c r="EB78" s="2"/>
      <c r="EC78" s="1" t="s">
        <v>89</v>
      </c>
      <c r="ED78" s="152"/>
      <c r="EE78" s="1">
        <f>_xlfn.STDEV.S(EE60:EE75)</f>
        <v>0.15449594150490381</v>
      </c>
      <c r="EF78" s="1">
        <f t="shared" ref="EF78:EM78" si="149">_xlfn.STDEV.S(EF60:EF75)</f>
        <v>0.18125351834656261</v>
      </c>
      <c r="EG78" s="1">
        <f t="shared" si="149"/>
        <v>0.1211746357369996</v>
      </c>
      <c r="EH78" s="1">
        <f t="shared" si="149"/>
        <v>8.8167792165176159E-2</v>
      </c>
      <c r="EI78" s="1">
        <f t="shared" si="149"/>
        <v>0.1480852451559192</v>
      </c>
      <c r="EJ78" s="1">
        <f t="shared" si="149"/>
        <v>0.12636392231993535</v>
      </c>
      <c r="EK78" s="1">
        <f t="shared" si="149"/>
        <v>0.13071072639044237</v>
      </c>
      <c r="EL78" s="1">
        <f t="shared" si="149"/>
        <v>0.17042190828046955</v>
      </c>
      <c r="EM78" s="1">
        <f t="shared" si="149"/>
        <v>8.7919988045924893E-2</v>
      </c>
      <c r="EN78" s="127"/>
      <c r="ER78" s="126"/>
      <c r="ES78" s="2"/>
      <c r="ET78" s="1" t="s">
        <v>89</v>
      </c>
      <c r="EU78" s="152"/>
      <c r="EV78" s="1">
        <f>_xlfn.STDEV.S(EV60:EV75)</f>
        <v>9.5620353424224813E-2</v>
      </c>
      <c r="EW78" s="1">
        <f t="shared" ref="EW78:FD78" si="150">_xlfn.STDEV.S(EW60:EW75)</f>
        <v>0.11065761881593021</v>
      </c>
      <c r="EX78" s="1">
        <f t="shared" si="150"/>
        <v>5.8940507260988262E-2</v>
      </c>
      <c r="EY78" s="1">
        <f t="shared" si="150"/>
        <v>3.7730419707901447E-2</v>
      </c>
      <c r="EZ78" s="1">
        <f t="shared" si="150"/>
        <v>9.6570519620697889E-2</v>
      </c>
      <c r="FA78" s="1">
        <f t="shared" si="150"/>
        <v>8.0624772747112369E-2</v>
      </c>
      <c r="FB78" s="1">
        <f t="shared" si="150"/>
        <v>7.8522572992174605E-2</v>
      </c>
      <c r="FC78" s="1">
        <f t="shared" si="150"/>
        <v>0.16387332914954816</v>
      </c>
      <c r="FD78" s="1">
        <f t="shared" si="150"/>
        <v>0.12660905833750585</v>
      </c>
      <c r="FE78" s="127"/>
      <c r="FI78" s="126"/>
      <c r="FJ78" s="2"/>
      <c r="FK78" s="1" t="s">
        <v>89</v>
      </c>
      <c r="FL78" s="152"/>
      <c r="FM78" s="1">
        <f>_xlfn.STDEV.S(FM60:FM75)</f>
        <v>6.905089445914904E-2</v>
      </c>
      <c r="FN78" s="1">
        <f t="shared" ref="FN78:FU78" si="151">_xlfn.STDEV.S(FN60:FN75)</f>
        <v>6.2874229679046059E-2</v>
      </c>
      <c r="FO78" s="1">
        <f t="shared" si="151"/>
        <v>5.4575680971565753E-2</v>
      </c>
      <c r="FP78" s="1">
        <f t="shared" si="151"/>
        <v>3.468909763671834E-2</v>
      </c>
      <c r="FQ78" s="1">
        <f t="shared" si="151"/>
        <v>6.6154108181844654E-2</v>
      </c>
      <c r="FR78" s="1">
        <f t="shared" si="151"/>
        <v>4.0124450065683048E-2</v>
      </c>
      <c r="FS78" s="1">
        <f t="shared" si="151"/>
        <v>3.8414126942119244E-2</v>
      </c>
      <c r="FT78" s="1">
        <f t="shared" si="151"/>
        <v>0.17287358095291167</v>
      </c>
      <c r="FU78" s="1">
        <f t="shared" si="151"/>
        <v>0.14057816028681497</v>
      </c>
      <c r="FV78" s="127"/>
    </row>
    <row r="79" spans="3:178" ht="18.5" x14ac:dyDescent="0.45">
      <c r="C79" s="126"/>
      <c r="D79" s="2"/>
      <c r="E79" s="1" t="s">
        <v>95</v>
      </c>
      <c r="F79" s="152"/>
      <c r="G79" s="1">
        <f>G78/SQRT(16)</f>
        <v>0.71084551751986647</v>
      </c>
      <c r="H79" s="1">
        <f t="shared" ref="H79:O79" si="152">H78/SQRT(16)</f>
        <v>1.118910824279167</v>
      </c>
      <c r="I79" s="1">
        <f t="shared" si="152"/>
        <v>2.8641036440378305E-2</v>
      </c>
      <c r="J79" s="1">
        <f t="shared" si="152"/>
        <v>2.864103644037834E-2</v>
      </c>
      <c r="K79" s="1">
        <f t="shared" si="152"/>
        <v>1.3601384323145038E-2</v>
      </c>
      <c r="L79" s="1">
        <f t="shared" si="152"/>
        <v>4.4710631399516709E-3</v>
      </c>
      <c r="M79" s="1">
        <f t="shared" si="152"/>
        <v>1.5734298735464467</v>
      </c>
      <c r="N79" s="1">
        <f t="shared" si="152"/>
        <v>5.9305665716735767</v>
      </c>
      <c r="O79" s="1">
        <f t="shared" si="152"/>
        <v>0.57940113949405148</v>
      </c>
      <c r="P79" s="127"/>
      <c r="T79" s="126"/>
      <c r="U79" s="2"/>
      <c r="V79" s="1" t="s">
        <v>95</v>
      </c>
      <c r="W79" s="152"/>
      <c r="X79" s="1">
        <f>X78/SQRT(16)</f>
        <v>0.51139186193179509</v>
      </c>
      <c r="Y79" s="1">
        <f t="shared" ref="Y79:AF79" si="153">Y78/SQRT(16)</f>
        <v>0.96440222917848628</v>
      </c>
      <c r="Z79" s="1">
        <f t="shared" si="153"/>
        <v>3.5379754868602543E-2</v>
      </c>
      <c r="AA79" s="1">
        <f t="shared" si="153"/>
        <v>3.5379754868602648E-2</v>
      </c>
      <c r="AB79" s="1">
        <f t="shared" si="153"/>
        <v>2.2124819226940096E-2</v>
      </c>
      <c r="AC79" s="1">
        <f t="shared" si="153"/>
        <v>5.5129463336608857E-3</v>
      </c>
      <c r="AD79" s="1">
        <f t="shared" si="153"/>
        <v>0.97423914823481772</v>
      </c>
      <c r="AE79" s="1">
        <f t="shared" si="153"/>
        <v>5.7833182011082629</v>
      </c>
      <c r="AF79" s="1">
        <f t="shared" si="153"/>
        <v>0.49404903854342713</v>
      </c>
      <c r="AG79" s="127"/>
      <c r="AK79" s="126"/>
      <c r="AL79" s="2"/>
      <c r="AM79" s="1" t="s">
        <v>95</v>
      </c>
      <c r="AN79" s="152"/>
      <c r="AO79" s="1">
        <f>AO78/SQRT(16)</f>
        <v>0.4984612056131133</v>
      </c>
      <c r="AP79" s="1">
        <f t="shared" ref="AP79:AW79" si="154">AP78/SQRT(16)</f>
        <v>1.0911852841011196</v>
      </c>
      <c r="AQ79" s="1">
        <f t="shared" si="154"/>
        <v>1.5540848710437273E-2</v>
      </c>
      <c r="AR79" s="1">
        <f t="shared" si="154"/>
        <v>1.5540848710437398E-2</v>
      </c>
      <c r="AS79" s="1">
        <f t="shared" si="154"/>
        <v>1.8138347986850392E-2</v>
      </c>
      <c r="AT79" s="1">
        <f t="shared" si="154"/>
        <v>5.8660020182159543E-3</v>
      </c>
      <c r="AU79" s="1">
        <f t="shared" si="154"/>
        <v>1.4996515583847527</v>
      </c>
      <c r="AV79" s="1">
        <f t="shared" si="154"/>
        <v>6.7584101640812051</v>
      </c>
      <c r="AW79" s="1">
        <f t="shared" si="154"/>
        <v>0.55950478997264386</v>
      </c>
      <c r="AX79" s="127"/>
      <c r="BB79" s="126"/>
      <c r="BC79" s="2"/>
      <c r="BD79" s="1" t="s">
        <v>95</v>
      </c>
      <c r="BE79" s="152"/>
      <c r="BF79" s="1">
        <f>BF78/SQRT(16)</f>
        <v>0.46299128128955658</v>
      </c>
      <c r="BG79" s="1">
        <f t="shared" ref="BG79:BN79" si="155">BG78/SQRT(16)</f>
        <v>0.60546730365176393</v>
      </c>
      <c r="BH79" s="1">
        <f t="shared" si="155"/>
        <v>1.8470383118846915E-2</v>
      </c>
      <c r="BI79" s="1">
        <f t="shared" si="155"/>
        <v>1.8470383118846915E-2</v>
      </c>
      <c r="BJ79" s="1">
        <f t="shared" si="155"/>
        <v>1.4988781818685242E-2</v>
      </c>
      <c r="BK79" s="1">
        <f t="shared" si="155"/>
        <v>4.2883101967208237E-3</v>
      </c>
      <c r="BL79" s="1">
        <f t="shared" si="155"/>
        <v>0.92634856964283285</v>
      </c>
      <c r="BM79" s="1">
        <f t="shared" si="155"/>
        <v>7.1985408456653879</v>
      </c>
      <c r="BN79" s="1">
        <f t="shared" si="155"/>
        <v>0.64530329548099508</v>
      </c>
      <c r="BO79" s="127"/>
      <c r="BS79" s="126"/>
      <c r="BT79" s="2"/>
      <c r="BU79" s="1" t="s">
        <v>95</v>
      </c>
      <c r="BV79" s="152"/>
      <c r="BW79" s="1">
        <f>BW78/SQRT(16)</f>
        <v>0.1671019912763799</v>
      </c>
      <c r="BX79" s="1">
        <f t="shared" ref="BX79:CE79" si="156">BX78/SQRT(16)</f>
        <v>0.63115595654024503</v>
      </c>
      <c r="BY79" s="1">
        <f t="shared" si="156"/>
        <v>2.8358170799392318E-2</v>
      </c>
      <c r="BZ79" s="1">
        <f t="shared" si="156"/>
        <v>2.8358170799392197E-2</v>
      </c>
      <c r="CA79" s="1">
        <f t="shared" si="156"/>
        <v>4.8614380385465878E-3</v>
      </c>
      <c r="CB79" s="1">
        <f t="shared" si="156"/>
        <v>6.2081336147440744E-3</v>
      </c>
      <c r="CC79" s="1">
        <f t="shared" si="156"/>
        <v>0.69822914724590124</v>
      </c>
      <c r="CD79" s="1">
        <f t="shared" si="156"/>
        <v>2.6754003054155633</v>
      </c>
      <c r="CE79" s="1">
        <f t="shared" si="156"/>
        <v>0.53645387284653634</v>
      </c>
      <c r="CF79" s="127"/>
      <c r="CJ79" s="126"/>
      <c r="CK79" s="2"/>
      <c r="CL79" s="1" t="s">
        <v>95</v>
      </c>
      <c r="CM79" s="152"/>
      <c r="CN79" s="1">
        <f>CN78/SQRT(16)</f>
        <v>0.22684821748335343</v>
      </c>
      <c r="CO79" s="1">
        <f t="shared" ref="CO79:CV79" si="157">CO78/SQRT(16)</f>
        <v>0.7377506025797097</v>
      </c>
      <c r="CP79" s="1">
        <f t="shared" si="157"/>
        <v>3.111708548366196E-2</v>
      </c>
      <c r="CQ79" s="1">
        <f t="shared" si="157"/>
        <v>2.5689973341565031E-2</v>
      </c>
      <c r="CR79" s="1">
        <f t="shared" si="157"/>
        <v>3.3668724121888251E-3</v>
      </c>
      <c r="CS79" s="1">
        <f t="shared" si="157"/>
        <v>6.5619626763088832E-3</v>
      </c>
      <c r="CT79" s="1">
        <f t="shared" si="157"/>
        <v>0.87589198242447297</v>
      </c>
      <c r="CU79" s="1">
        <f t="shared" si="157"/>
        <v>2.3233414564933996</v>
      </c>
      <c r="CV79" s="1">
        <f t="shared" si="157"/>
        <v>0.47964988456606938</v>
      </c>
      <c r="CW79" s="127"/>
      <c r="DJ79" s="126"/>
      <c r="DK79" s="2"/>
      <c r="DL79" s="1" t="s">
        <v>95</v>
      </c>
      <c r="DM79" s="152"/>
      <c r="DN79" s="1">
        <f>DN78/SQRT(16)</f>
        <v>2.5048109507390868E-2</v>
      </c>
      <c r="DO79" s="1">
        <f t="shared" ref="DO79:DV79" si="158">DO78/SQRT(16)</f>
        <v>2.4059978823408414E-2</v>
      </c>
      <c r="DP79" s="1">
        <f t="shared" si="158"/>
        <v>2.038001461263354E-2</v>
      </c>
      <c r="DQ79" s="1">
        <f t="shared" si="158"/>
        <v>1.5051240535788284E-2</v>
      </c>
      <c r="DR79" s="1">
        <f t="shared" si="158"/>
        <v>2.5971339382781383E-2</v>
      </c>
      <c r="DS79" s="1">
        <f t="shared" si="158"/>
        <v>1.5845970226701016E-2</v>
      </c>
      <c r="DT79" s="1">
        <f t="shared" si="158"/>
        <v>1.7597119516687215E-2</v>
      </c>
      <c r="DU79" s="1">
        <f t="shared" si="158"/>
        <v>3.2480608670576484E-2</v>
      </c>
      <c r="DV79" s="1">
        <f t="shared" si="158"/>
        <v>1.7999670914291846E-2</v>
      </c>
      <c r="DW79" s="127"/>
      <c r="EA79" s="126"/>
      <c r="EB79" s="2"/>
      <c r="EC79" s="1" t="s">
        <v>95</v>
      </c>
      <c r="ED79" s="152"/>
      <c r="EE79" s="1">
        <f>EE78/SQRT(16)</f>
        <v>3.8623985376225953E-2</v>
      </c>
      <c r="EF79" s="1">
        <f t="shared" ref="EF79:EM79" si="159">EF78/SQRT(16)</f>
        <v>4.5313379586640654E-2</v>
      </c>
      <c r="EG79" s="1">
        <f t="shared" si="159"/>
        <v>3.0293658934249901E-2</v>
      </c>
      <c r="EH79" s="1">
        <f t="shared" si="159"/>
        <v>2.204194804129404E-2</v>
      </c>
      <c r="EI79" s="1">
        <f t="shared" si="159"/>
        <v>3.70213112889798E-2</v>
      </c>
      <c r="EJ79" s="1">
        <f t="shared" si="159"/>
        <v>3.1590980579983836E-2</v>
      </c>
      <c r="EK79" s="1">
        <f t="shared" si="159"/>
        <v>3.2677681597610593E-2</v>
      </c>
      <c r="EL79" s="1">
        <f t="shared" si="159"/>
        <v>4.2605477070117387E-2</v>
      </c>
      <c r="EM79" s="1">
        <f t="shared" si="159"/>
        <v>2.1979997011481223E-2</v>
      </c>
      <c r="EN79" s="127"/>
      <c r="ER79" s="126"/>
      <c r="ES79" s="2"/>
      <c r="ET79" s="1" t="s">
        <v>95</v>
      </c>
      <c r="EU79" s="152"/>
      <c r="EV79" s="1">
        <f>EV78/SQRT(16)</f>
        <v>2.3905088356056203E-2</v>
      </c>
      <c r="EW79" s="1">
        <f t="shared" ref="EW79:FD79" si="160">EW78/SQRT(16)</f>
        <v>2.7664404703982553E-2</v>
      </c>
      <c r="EX79" s="1">
        <f t="shared" si="160"/>
        <v>1.4735126815247065E-2</v>
      </c>
      <c r="EY79" s="1">
        <f t="shared" si="160"/>
        <v>9.4326049269753617E-3</v>
      </c>
      <c r="EZ79" s="1">
        <f t="shared" si="160"/>
        <v>2.4142629905174472E-2</v>
      </c>
      <c r="FA79" s="1">
        <f t="shared" si="160"/>
        <v>2.0156193186778092E-2</v>
      </c>
      <c r="FB79" s="1">
        <f t="shared" si="160"/>
        <v>1.9630643248043651E-2</v>
      </c>
      <c r="FC79" s="1">
        <f t="shared" si="160"/>
        <v>4.0968332287387041E-2</v>
      </c>
      <c r="FD79" s="1">
        <f t="shared" si="160"/>
        <v>3.1652264584376463E-2</v>
      </c>
      <c r="FE79" s="127"/>
      <c r="FI79" s="126"/>
      <c r="FJ79" s="2"/>
      <c r="FK79" s="1" t="s">
        <v>95</v>
      </c>
      <c r="FL79" s="152"/>
      <c r="FM79" s="1">
        <f>FM78/SQRT(16)</f>
        <v>1.726272361478726E-2</v>
      </c>
      <c r="FN79" s="1">
        <f t="shared" ref="FN79:FU79" si="161">FN78/SQRT(16)</f>
        <v>1.5718557419761515E-2</v>
      </c>
      <c r="FO79" s="1">
        <f t="shared" si="161"/>
        <v>1.3643920242891438E-2</v>
      </c>
      <c r="FP79" s="1">
        <f t="shared" si="161"/>
        <v>8.672274409179585E-3</v>
      </c>
      <c r="FQ79" s="1">
        <f t="shared" si="161"/>
        <v>1.6538527045461163E-2</v>
      </c>
      <c r="FR79" s="1">
        <f t="shared" si="161"/>
        <v>1.0031112516420762E-2</v>
      </c>
      <c r="FS79" s="1">
        <f t="shared" si="161"/>
        <v>9.6035317355298109E-3</v>
      </c>
      <c r="FT79" s="1">
        <f t="shared" si="161"/>
        <v>4.3218395238227916E-2</v>
      </c>
      <c r="FU79" s="1">
        <f t="shared" si="161"/>
        <v>3.5144540071703742E-2</v>
      </c>
      <c r="FV79" s="127"/>
    </row>
    <row r="80" spans="3:178" ht="18.5" x14ac:dyDescent="0.45">
      <c r="C80" s="126"/>
      <c r="D80" s="2"/>
      <c r="E80" s="152"/>
      <c r="F80" s="152"/>
      <c r="G80" s="152"/>
      <c r="H80" s="152"/>
      <c r="I80" s="152"/>
      <c r="J80" s="152"/>
      <c r="K80" s="152"/>
      <c r="L80" s="152"/>
      <c r="M80" s="152"/>
      <c r="N80" s="2"/>
      <c r="O80" s="2"/>
      <c r="P80" s="127"/>
      <c r="T80" s="126"/>
      <c r="U80" s="2"/>
      <c r="V80" s="2"/>
      <c r="W80" s="2"/>
      <c r="X80" s="2"/>
      <c r="Y80" s="2"/>
      <c r="Z80" s="2"/>
      <c r="AA80" s="2"/>
      <c r="AB80" s="2"/>
      <c r="AC80" s="2"/>
      <c r="AD80" s="2"/>
      <c r="AE80" s="2"/>
      <c r="AF80" s="2"/>
      <c r="AG80" s="127"/>
      <c r="AK80" s="126"/>
      <c r="AL80" s="2"/>
      <c r="AM80" s="152"/>
      <c r="AN80" s="152"/>
      <c r="AO80" s="152"/>
      <c r="AP80" s="152"/>
      <c r="AQ80" s="152"/>
      <c r="AR80" s="152"/>
      <c r="AS80" s="152"/>
      <c r="AT80" s="152"/>
      <c r="AU80" s="152"/>
      <c r="AV80" s="2"/>
      <c r="AW80" s="2"/>
      <c r="AX80" s="127"/>
      <c r="BB80" s="126"/>
      <c r="BC80" s="2"/>
      <c r="BD80" s="152"/>
      <c r="BE80" s="152"/>
      <c r="BF80" s="152"/>
      <c r="BG80" s="152"/>
      <c r="BH80" s="152"/>
      <c r="BI80" s="152"/>
      <c r="BJ80" s="152"/>
      <c r="BK80" s="152"/>
      <c r="BL80" s="152"/>
      <c r="BM80" s="2"/>
      <c r="BN80" s="2"/>
      <c r="BO80" s="127"/>
      <c r="BS80" s="126"/>
      <c r="BT80" s="2"/>
      <c r="BU80" s="152"/>
      <c r="BV80" s="152"/>
      <c r="BW80" s="152"/>
      <c r="BX80" s="152"/>
      <c r="BY80" s="152"/>
      <c r="BZ80" s="152"/>
      <c r="CA80" s="152"/>
      <c r="CB80" s="152"/>
      <c r="CC80" s="152"/>
      <c r="CD80" s="2"/>
      <c r="CE80" s="2"/>
      <c r="CF80" s="127"/>
      <c r="CJ80" s="126"/>
      <c r="CK80" s="2"/>
      <c r="CL80" s="152"/>
      <c r="CM80" s="152"/>
      <c r="CN80" s="152"/>
      <c r="CO80" s="152"/>
      <c r="CP80" s="152"/>
      <c r="CQ80" s="152"/>
      <c r="CR80" s="152"/>
      <c r="CS80" s="152"/>
      <c r="CT80" s="152"/>
      <c r="CU80" s="2"/>
      <c r="CV80" s="2"/>
      <c r="CW80" s="127"/>
      <c r="DJ80" s="126"/>
      <c r="DK80" s="2"/>
      <c r="DL80" s="152"/>
      <c r="DM80" s="152"/>
      <c r="DN80" s="152"/>
      <c r="DO80" s="152"/>
      <c r="DP80" s="152"/>
      <c r="DQ80" s="152"/>
      <c r="DR80" s="152"/>
      <c r="DS80" s="152"/>
      <c r="DT80" s="152"/>
      <c r="DU80" s="2"/>
      <c r="DV80" s="2"/>
      <c r="DW80" s="127"/>
      <c r="EA80" s="126"/>
      <c r="EB80" s="2"/>
      <c r="EC80" s="2"/>
      <c r="ED80" s="2"/>
      <c r="EE80" s="2"/>
      <c r="EF80" s="2"/>
      <c r="EG80" s="2"/>
      <c r="EH80" s="2"/>
      <c r="EI80" s="2"/>
      <c r="EJ80" s="2"/>
      <c r="EK80" s="2"/>
      <c r="EL80" s="2"/>
      <c r="EM80" s="2"/>
      <c r="EN80" s="127"/>
      <c r="ER80" s="126"/>
      <c r="ES80" s="2"/>
      <c r="ET80" s="152"/>
      <c r="EU80" s="152"/>
      <c r="EV80" s="152"/>
      <c r="EW80" s="152"/>
      <c r="EX80" s="152"/>
      <c r="EY80" s="152"/>
      <c r="EZ80" s="152"/>
      <c r="FA80" s="152"/>
      <c r="FB80" s="152"/>
      <c r="FC80" s="2"/>
      <c r="FD80" s="2"/>
      <c r="FE80" s="127"/>
      <c r="FI80" s="126"/>
      <c r="FJ80" s="2"/>
      <c r="FK80" s="152"/>
      <c r="FL80" s="152"/>
      <c r="FM80" s="152"/>
      <c r="FN80" s="152"/>
      <c r="FO80" s="152"/>
      <c r="FP80" s="152"/>
      <c r="FQ80" s="152"/>
      <c r="FR80" s="152"/>
      <c r="FS80" s="152"/>
      <c r="FT80" s="2"/>
      <c r="FU80" s="2"/>
      <c r="FV80" s="127"/>
    </row>
    <row r="81" spans="2:178" ht="15" thickBot="1" x14ac:dyDescent="0.4">
      <c r="B81" s="2"/>
      <c r="C81" s="129"/>
      <c r="D81" s="20"/>
      <c r="E81" s="20"/>
      <c r="F81" s="20"/>
      <c r="G81" s="20"/>
      <c r="H81" s="20"/>
      <c r="I81" s="20"/>
      <c r="J81" s="20"/>
      <c r="K81" s="20"/>
      <c r="L81" s="20"/>
      <c r="M81" s="20"/>
      <c r="N81" s="20"/>
      <c r="O81" s="20"/>
      <c r="P81" s="130"/>
      <c r="Q81" s="2"/>
      <c r="S81" s="2"/>
      <c r="T81" s="129"/>
      <c r="U81" s="20"/>
      <c r="V81" s="20"/>
      <c r="W81" s="20"/>
      <c r="X81" s="20"/>
      <c r="Y81" s="20"/>
      <c r="Z81" s="20"/>
      <c r="AA81" s="20"/>
      <c r="AB81" s="20"/>
      <c r="AC81" s="20"/>
      <c r="AD81" s="20"/>
      <c r="AE81" s="20"/>
      <c r="AF81" s="20"/>
      <c r="AG81" s="130"/>
      <c r="AH81" s="2"/>
      <c r="AK81" s="129"/>
      <c r="AL81" s="20"/>
      <c r="AM81" s="20"/>
      <c r="AN81" s="20"/>
      <c r="AO81" s="20"/>
      <c r="AP81" s="20"/>
      <c r="AQ81" s="20"/>
      <c r="AR81" s="20"/>
      <c r="AS81" s="20"/>
      <c r="AT81" s="20"/>
      <c r="AU81" s="20"/>
      <c r="AV81" s="20"/>
      <c r="AW81" s="20"/>
      <c r="AX81" s="130"/>
      <c r="BB81" s="129"/>
      <c r="BC81" s="20"/>
      <c r="BD81" s="20"/>
      <c r="BE81" s="20"/>
      <c r="BF81" s="20"/>
      <c r="BG81" s="20"/>
      <c r="BH81" s="20"/>
      <c r="BI81" s="20"/>
      <c r="BJ81" s="20"/>
      <c r="BK81" s="20"/>
      <c r="BL81" s="20"/>
      <c r="BM81" s="20"/>
      <c r="BN81" s="20"/>
      <c r="BO81" s="130"/>
      <c r="BS81" s="129"/>
      <c r="BT81" s="20"/>
      <c r="BU81" s="20"/>
      <c r="BV81" s="20"/>
      <c r="BW81" s="20"/>
      <c r="BX81" s="20"/>
      <c r="BY81" s="20"/>
      <c r="BZ81" s="20"/>
      <c r="CA81" s="20"/>
      <c r="CB81" s="20"/>
      <c r="CC81" s="20"/>
      <c r="CD81" s="20"/>
      <c r="CE81" s="20"/>
      <c r="CF81" s="130"/>
      <c r="CJ81" s="129"/>
      <c r="CK81" s="20"/>
      <c r="CL81" s="20"/>
      <c r="CM81" s="20"/>
      <c r="CN81" s="20"/>
      <c r="CO81" s="20"/>
      <c r="CP81" s="20"/>
      <c r="CQ81" s="20"/>
      <c r="CR81" s="20"/>
      <c r="CS81" s="20"/>
      <c r="CT81" s="20"/>
      <c r="CU81" s="20"/>
      <c r="CV81" s="20"/>
      <c r="CW81" s="130"/>
      <c r="DJ81" s="129"/>
      <c r="DK81" s="20"/>
      <c r="DL81" s="20"/>
      <c r="DM81" s="20"/>
      <c r="DN81" s="20"/>
      <c r="DO81" s="20"/>
      <c r="DP81" s="20"/>
      <c r="DQ81" s="20"/>
      <c r="DR81" s="20"/>
      <c r="DS81" s="20"/>
      <c r="DT81" s="20"/>
      <c r="DU81" s="20"/>
      <c r="DV81" s="20"/>
      <c r="DW81" s="130"/>
      <c r="DX81" s="2"/>
      <c r="DZ81" s="2"/>
      <c r="EA81" s="129"/>
      <c r="EB81" s="20"/>
      <c r="EC81" s="20"/>
      <c r="ED81" s="20"/>
      <c r="EE81" s="20"/>
      <c r="EF81" s="20"/>
      <c r="EG81" s="20"/>
      <c r="EH81" s="20"/>
      <c r="EI81" s="20"/>
      <c r="EJ81" s="20"/>
      <c r="EK81" s="20"/>
      <c r="EL81" s="20"/>
      <c r="EM81" s="20"/>
      <c r="EN81" s="130"/>
      <c r="EO81" s="2"/>
      <c r="ER81" s="129"/>
      <c r="ES81" s="20"/>
      <c r="ET81" s="20"/>
      <c r="EU81" s="20"/>
      <c r="EV81" s="20"/>
      <c r="EW81" s="20"/>
      <c r="EX81" s="20"/>
      <c r="EY81" s="20"/>
      <c r="EZ81" s="20"/>
      <c r="FA81" s="20"/>
      <c r="FB81" s="20"/>
      <c r="FC81" s="20"/>
      <c r="FD81" s="20"/>
      <c r="FE81" s="130"/>
      <c r="FI81" s="129"/>
      <c r="FJ81" s="20"/>
      <c r="FK81" s="20"/>
      <c r="FL81" s="20"/>
      <c r="FM81" s="20"/>
      <c r="FN81" s="20"/>
      <c r="FO81" s="20"/>
      <c r="FP81" s="20"/>
      <c r="FQ81" s="20"/>
      <c r="FR81" s="20"/>
      <c r="FS81" s="20"/>
      <c r="FT81" s="20"/>
      <c r="FU81" s="20"/>
      <c r="FV81" s="130"/>
    </row>
    <row r="82" spans="2:178" x14ac:dyDescent="0.35">
      <c r="B82" s="2"/>
      <c r="C82" s="2"/>
      <c r="D82" s="2"/>
      <c r="E82" s="2"/>
      <c r="F82" s="2"/>
      <c r="G82" s="2"/>
      <c r="H82" s="2"/>
      <c r="I82" s="2"/>
      <c r="J82" s="2"/>
      <c r="K82" s="2"/>
      <c r="L82" s="2"/>
      <c r="M82" s="2"/>
      <c r="N82" s="2"/>
      <c r="O82" s="2"/>
      <c r="P82" s="2"/>
      <c r="Q82" s="2"/>
      <c r="S82" s="2"/>
      <c r="T82" s="2"/>
      <c r="U82" s="2"/>
      <c r="V82" s="2"/>
      <c r="W82" s="2"/>
      <c r="X82" s="2"/>
      <c r="Y82" s="2"/>
      <c r="Z82" s="2"/>
      <c r="AA82" s="2"/>
      <c r="AB82" s="2"/>
      <c r="AC82" s="2"/>
      <c r="AD82" s="2"/>
      <c r="AE82" s="2"/>
      <c r="AF82" s="2"/>
      <c r="AG82" s="2"/>
      <c r="AH82" s="2"/>
    </row>
    <row r="83" spans="2:178" x14ac:dyDescent="0.35">
      <c r="B83" s="2"/>
      <c r="C83" s="2"/>
      <c r="D83" s="2"/>
      <c r="E83" s="2"/>
      <c r="F83" s="2"/>
      <c r="G83" s="2"/>
      <c r="H83" s="2"/>
      <c r="I83" s="2"/>
      <c r="J83" s="2"/>
      <c r="K83" s="2"/>
      <c r="L83" s="2"/>
      <c r="M83" s="2"/>
      <c r="N83" s="2"/>
      <c r="O83" s="2"/>
      <c r="P83" s="2"/>
      <c r="Q83" s="2"/>
      <c r="S83" s="2"/>
      <c r="T83" s="2"/>
      <c r="U83" s="2"/>
      <c r="V83" s="2"/>
      <c r="W83" s="2"/>
      <c r="X83" s="2"/>
      <c r="Y83" s="2"/>
      <c r="Z83" s="2"/>
      <c r="AA83" s="2"/>
      <c r="AB83" s="2"/>
      <c r="AC83" s="2"/>
      <c r="AD83" s="2"/>
      <c r="AE83" s="2"/>
      <c r="AF83" s="2"/>
      <c r="AG83" s="2"/>
      <c r="AH83" s="2"/>
    </row>
    <row r="84" spans="2:178" x14ac:dyDescent="0.35">
      <c r="B84" s="2"/>
      <c r="C84" s="2"/>
      <c r="D84" s="2"/>
      <c r="E84" s="2"/>
      <c r="F84" s="2"/>
      <c r="G84" s="2"/>
      <c r="H84" s="2"/>
      <c r="I84" s="2"/>
      <c r="J84" s="2"/>
      <c r="K84" s="2"/>
      <c r="L84" s="2"/>
      <c r="M84" s="2"/>
      <c r="N84" s="2"/>
      <c r="O84" s="2"/>
      <c r="P84" s="2"/>
      <c r="Q84" s="2"/>
      <c r="S84" s="2"/>
      <c r="T84" s="2"/>
      <c r="U84" s="2"/>
      <c r="V84" s="2"/>
      <c r="W84" s="2"/>
      <c r="X84" s="2"/>
      <c r="Y84" s="2"/>
      <c r="Z84" s="2"/>
      <c r="AA84" s="2"/>
      <c r="AB84" s="2"/>
      <c r="AC84" s="2"/>
      <c r="AD84" s="2"/>
      <c r="AE84" s="2"/>
      <c r="AF84" s="2"/>
      <c r="AG84" s="2"/>
      <c r="AH84" s="2"/>
    </row>
    <row r="85" spans="2:178" x14ac:dyDescent="0.35">
      <c r="B85" s="2"/>
      <c r="C85" s="2"/>
      <c r="D85" s="2"/>
      <c r="E85" s="2"/>
      <c r="F85" s="2"/>
      <c r="G85" s="2"/>
      <c r="H85" s="2"/>
      <c r="I85" s="2"/>
      <c r="J85" s="2"/>
      <c r="K85" s="2"/>
      <c r="L85" s="2"/>
      <c r="M85" s="2"/>
      <c r="N85" s="2"/>
      <c r="O85" s="2"/>
      <c r="P85" s="2"/>
      <c r="Q85" s="2"/>
      <c r="S85" s="2"/>
      <c r="T85" s="2"/>
      <c r="U85" s="2"/>
      <c r="V85" s="2"/>
      <c r="W85" s="2"/>
      <c r="X85" s="2"/>
      <c r="Y85" s="2"/>
      <c r="Z85" s="2"/>
      <c r="AA85" s="2"/>
      <c r="AB85" s="2"/>
      <c r="AC85" s="2"/>
      <c r="AD85" s="2"/>
      <c r="AE85" s="2"/>
      <c r="AF85" s="2"/>
      <c r="AG85" s="2"/>
      <c r="AH85" s="2"/>
    </row>
    <row r="86" spans="2:178" ht="19" thickBot="1" x14ac:dyDescent="0.5">
      <c r="B86" s="2"/>
      <c r="E86" s="192" t="s">
        <v>838</v>
      </c>
      <c r="F86" s="192"/>
      <c r="G86" s="192"/>
      <c r="O86" s="2"/>
      <c r="P86" s="2"/>
      <c r="Q86" s="2"/>
      <c r="S86" s="2"/>
      <c r="W86" s="192" t="s">
        <v>839</v>
      </c>
      <c r="X86" s="192"/>
      <c r="Y86" s="192"/>
      <c r="AF86" s="2"/>
      <c r="AG86" s="2"/>
      <c r="AH86" s="2"/>
      <c r="AM86" s="192" t="s">
        <v>838</v>
      </c>
      <c r="AN86" s="192"/>
      <c r="AO86" s="192"/>
      <c r="BE86" s="192" t="s">
        <v>839</v>
      </c>
      <c r="BF86" s="192"/>
      <c r="BG86" s="192"/>
      <c r="BU86" s="192" t="s">
        <v>838</v>
      </c>
      <c r="BV86" s="192"/>
      <c r="BW86" s="192"/>
      <c r="CM86" s="192" t="s">
        <v>839</v>
      </c>
      <c r="CN86" s="192"/>
      <c r="CO86" s="192"/>
    </row>
    <row r="87" spans="2:178" ht="15.5" x14ac:dyDescent="0.35">
      <c r="B87" s="2"/>
      <c r="C87" s="218"/>
      <c r="D87" s="219"/>
      <c r="E87" s="219"/>
      <c r="F87" s="219"/>
      <c r="G87" s="219"/>
      <c r="H87" s="219"/>
      <c r="I87" s="219"/>
      <c r="J87" s="219"/>
      <c r="K87" s="219"/>
      <c r="L87" s="219"/>
      <c r="M87" s="219"/>
      <c r="N87" s="220"/>
      <c r="O87" s="2"/>
      <c r="P87" s="2"/>
      <c r="Q87" s="2"/>
      <c r="S87" s="2"/>
      <c r="T87" s="218"/>
      <c r="U87" s="219"/>
      <c r="V87" s="219"/>
      <c r="W87" s="219"/>
      <c r="X87" s="219"/>
      <c r="Y87" s="219"/>
      <c r="Z87" s="219"/>
      <c r="AA87" s="219"/>
      <c r="AB87" s="219"/>
      <c r="AC87" s="219"/>
      <c r="AD87" s="219"/>
      <c r="AE87" s="220"/>
      <c r="AF87" s="2"/>
      <c r="AG87" s="2"/>
      <c r="AH87" s="2"/>
      <c r="AK87" s="218"/>
      <c r="AL87" s="219"/>
      <c r="AM87" s="219"/>
      <c r="AN87" s="219"/>
      <c r="AO87" s="219"/>
      <c r="AP87" s="219"/>
      <c r="AQ87" s="219"/>
      <c r="AR87" s="219"/>
      <c r="AS87" s="219"/>
      <c r="AT87" s="219"/>
      <c r="AU87" s="219"/>
      <c r="AV87" s="220"/>
      <c r="BB87" s="218"/>
      <c r="BC87" s="219"/>
      <c r="BD87" s="219"/>
      <c r="BE87" s="219"/>
      <c r="BF87" s="219"/>
      <c r="BG87" s="219"/>
      <c r="BH87" s="219"/>
      <c r="BI87" s="219"/>
      <c r="BJ87" s="219"/>
      <c r="BK87" s="219"/>
      <c r="BL87" s="219"/>
      <c r="BM87" s="220"/>
      <c r="BS87" s="218"/>
      <c r="BT87" s="219"/>
      <c r="BU87" s="219"/>
      <c r="BV87" s="219"/>
      <c r="BW87" s="219"/>
      <c r="BX87" s="219"/>
      <c r="BY87" s="219"/>
      <c r="BZ87" s="219"/>
      <c r="CA87" s="219"/>
      <c r="CB87" s="219"/>
      <c r="CC87" s="219"/>
      <c r="CD87" s="220"/>
      <c r="CJ87" s="218"/>
      <c r="CK87" s="219"/>
      <c r="CL87" s="219"/>
      <c r="CM87" s="219"/>
      <c r="CN87" s="219"/>
      <c r="CO87" s="219"/>
      <c r="CP87" s="219"/>
      <c r="CQ87" s="219"/>
      <c r="CR87" s="219"/>
      <c r="CS87" s="219"/>
      <c r="CT87" s="219"/>
      <c r="CU87" s="220"/>
    </row>
    <row r="88" spans="2:178" ht="15.5" x14ac:dyDescent="0.35">
      <c r="B88" s="2"/>
      <c r="C88" s="140"/>
      <c r="D88" s="4"/>
      <c r="E88" s="4"/>
      <c r="F88" s="4"/>
      <c r="G88" s="4"/>
      <c r="H88" s="4"/>
      <c r="I88" s="4"/>
      <c r="J88" s="4"/>
      <c r="K88" s="4"/>
      <c r="L88" s="4"/>
      <c r="M88" s="4"/>
      <c r="N88" s="136"/>
      <c r="O88" s="2"/>
      <c r="P88" s="2"/>
      <c r="Q88" s="2"/>
      <c r="S88" s="2"/>
      <c r="T88" s="140"/>
      <c r="U88" s="4"/>
      <c r="V88" s="4"/>
      <c r="W88" s="4"/>
      <c r="X88" s="4"/>
      <c r="Y88" s="4"/>
      <c r="Z88" s="4"/>
      <c r="AA88" s="4"/>
      <c r="AB88" s="4"/>
      <c r="AC88" s="4"/>
      <c r="AD88" s="4"/>
      <c r="AE88" s="136"/>
      <c r="AF88" s="2"/>
      <c r="AG88" s="2"/>
      <c r="AH88" s="2"/>
      <c r="AK88" s="140"/>
      <c r="AL88" s="4"/>
      <c r="AM88" s="4"/>
      <c r="AN88" s="4"/>
      <c r="AO88" s="4"/>
      <c r="AP88" s="4"/>
      <c r="AQ88" s="4"/>
      <c r="AR88" s="4"/>
      <c r="AS88" s="4"/>
      <c r="AT88" s="4"/>
      <c r="AU88" s="4"/>
      <c r="AV88" s="136"/>
      <c r="BB88" s="140"/>
      <c r="BC88" s="4"/>
      <c r="BD88" s="4"/>
      <c r="BE88" s="4"/>
      <c r="BF88" s="4"/>
      <c r="BG88" s="4"/>
      <c r="BH88" s="4"/>
      <c r="BI88" s="4"/>
      <c r="BJ88" s="4"/>
      <c r="BK88" s="4"/>
      <c r="BL88" s="4"/>
      <c r="BM88" s="136"/>
      <c r="BS88" s="140"/>
      <c r="BT88" s="4"/>
      <c r="BU88" s="4"/>
      <c r="BV88" s="4"/>
      <c r="BW88" s="4"/>
      <c r="BX88" s="4"/>
      <c r="BY88" s="4"/>
      <c r="BZ88" s="4"/>
      <c r="CA88" s="4"/>
      <c r="CB88" s="4"/>
      <c r="CC88" s="4"/>
      <c r="CD88" s="136"/>
      <c r="CJ88" s="140"/>
      <c r="CK88" s="4"/>
      <c r="CL88" s="4"/>
      <c r="CM88" s="4"/>
      <c r="CN88" s="4"/>
      <c r="CO88" s="4"/>
      <c r="CP88" s="4"/>
      <c r="CQ88" s="4"/>
      <c r="CR88" s="4"/>
      <c r="CS88" s="4"/>
      <c r="CT88" s="4"/>
      <c r="CU88" s="136"/>
    </row>
    <row r="89" spans="2:178" ht="15.5" x14ac:dyDescent="0.35">
      <c r="B89" s="2"/>
      <c r="C89" s="140"/>
      <c r="D89" s="4"/>
      <c r="E89" s="4" t="s">
        <v>580</v>
      </c>
      <c r="F89" s="4"/>
      <c r="G89" s="4"/>
      <c r="H89" s="4"/>
      <c r="I89" s="4"/>
      <c r="J89" s="4"/>
      <c r="K89" s="4"/>
      <c r="L89" s="4"/>
      <c r="M89" s="4"/>
      <c r="N89" s="136"/>
      <c r="O89" s="2"/>
      <c r="P89" s="2"/>
      <c r="Q89" s="2"/>
      <c r="S89" s="2"/>
      <c r="T89" s="140"/>
      <c r="U89" s="4"/>
      <c r="V89" s="4" t="s">
        <v>580</v>
      </c>
      <c r="W89" s="4"/>
      <c r="X89" s="4"/>
      <c r="Y89" s="4"/>
      <c r="Z89" s="4"/>
      <c r="AA89" s="4"/>
      <c r="AB89" s="4"/>
      <c r="AC89" s="4"/>
      <c r="AD89" s="4"/>
      <c r="AE89" s="136"/>
      <c r="AF89" s="2"/>
      <c r="AG89" s="2"/>
      <c r="AH89" s="2"/>
      <c r="AK89" s="140"/>
      <c r="AL89" s="4"/>
      <c r="AM89" s="4" t="s">
        <v>580</v>
      </c>
      <c r="AN89" s="4"/>
      <c r="AO89" s="4"/>
      <c r="AP89" s="4"/>
      <c r="AQ89" s="4"/>
      <c r="AR89" s="4"/>
      <c r="AS89" s="4"/>
      <c r="AT89" s="4"/>
      <c r="AU89" s="4"/>
      <c r="AV89" s="136"/>
      <c r="BB89" s="140"/>
      <c r="BC89" s="4"/>
      <c r="BD89" s="4" t="s">
        <v>580</v>
      </c>
      <c r="BE89" s="4"/>
      <c r="BF89" s="4"/>
      <c r="BG89" s="4"/>
      <c r="BH89" s="4"/>
      <c r="BI89" s="4"/>
      <c r="BJ89" s="4"/>
      <c r="BK89" s="4"/>
      <c r="BL89" s="4"/>
      <c r="BM89" s="136"/>
      <c r="BS89" s="140"/>
      <c r="BT89" s="4"/>
      <c r="BU89" s="4" t="s">
        <v>580</v>
      </c>
      <c r="BV89" s="4"/>
      <c r="BW89" s="4"/>
      <c r="BX89" s="4"/>
      <c r="BY89" s="4"/>
      <c r="BZ89" s="4"/>
      <c r="CA89" s="4"/>
      <c r="CB89" s="4"/>
      <c r="CC89" s="4"/>
      <c r="CD89" s="136"/>
      <c r="CJ89" s="140"/>
      <c r="CK89" s="4"/>
      <c r="CL89" s="4" t="s">
        <v>580</v>
      </c>
      <c r="CM89" s="4"/>
      <c r="CN89" s="4"/>
      <c r="CO89" s="4"/>
      <c r="CP89" s="4"/>
      <c r="CQ89" s="4"/>
      <c r="CR89" s="4"/>
      <c r="CS89" s="4"/>
      <c r="CT89" s="4"/>
      <c r="CU89" s="136"/>
    </row>
    <row r="90" spans="2:178" ht="15.5" x14ac:dyDescent="0.35">
      <c r="B90" s="2"/>
      <c r="C90" s="140"/>
      <c r="D90" s="4"/>
      <c r="E90" s="4" t="s">
        <v>832</v>
      </c>
      <c r="F90" s="4"/>
      <c r="G90" s="4"/>
      <c r="H90" s="4"/>
      <c r="I90" s="4"/>
      <c r="J90" s="4"/>
      <c r="K90" s="4"/>
      <c r="L90" s="4"/>
      <c r="M90" s="4"/>
      <c r="N90" s="136"/>
      <c r="O90" s="2"/>
      <c r="P90" s="2"/>
      <c r="Q90" s="2"/>
      <c r="S90" s="2"/>
      <c r="T90" s="140"/>
      <c r="U90" s="4"/>
      <c r="V90" s="4" t="s">
        <v>832</v>
      </c>
      <c r="W90" s="4"/>
      <c r="X90" s="4"/>
      <c r="Y90" s="4"/>
      <c r="Z90" s="4"/>
      <c r="AA90" s="4"/>
      <c r="AB90" s="4"/>
      <c r="AC90" s="4"/>
      <c r="AD90" s="4"/>
      <c r="AE90" s="136"/>
      <c r="AF90" s="2"/>
      <c r="AG90" s="2"/>
      <c r="AH90" s="2"/>
      <c r="AK90" s="140"/>
      <c r="AL90" s="4"/>
      <c r="AM90" s="4" t="s">
        <v>832</v>
      </c>
      <c r="AN90" s="4"/>
      <c r="AO90" s="4"/>
      <c r="AP90" s="4"/>
      <c r="AQ90" s="4"/>
      <c r="AR90" s="4"/>
      <c r="AS90" s="4"/>
      <c r="AT90" s="4"/>
      <c r="AU90" s="4"/>
      <c r="AV90" s="136"/>
      <c r="BB90" s="140"/>
      <c r="BC90" s="4"/>
      <c r="BD90" s="4" t="s">
        <v>832</v>
      </c>
      <c r="BE90" s="4"/>
      <c r="BF90" s="4"/>
      <c r="BG90" s="4"/>
      <c r="BH90" s="4"/>
      <c r="BI90" s="4"/>
      <c r="BJ90" s="4"/>
      <c r="BK90" s="4"/>
      <c r="BL90" s="4"/>
      <c r="BM90" s="136"/>
      <c r="BS90" s="140"/>
      <c r="BT90" s="4"/>
      <c r="BU90" s="4" t="s">
        <v>832</v>
      </c>
      <c r="BV90" s="4"/>
      <c r="BW90" s="4"/>
      <c r="BX90" s="4"/>
      <c r="BY90" s="4"/>
      <c r="BZ90" s="4"/>
      <c r="CA90" s="4"/>
      <c r="CB90" s="4"/>
      <c r="CC90" s="4"/>
      <c r="CD90" s="136"/>
      <c r="CJ90" s="140"/>
      <c r="CK90" s="4"/>
      <c r="CL90" s="4" t="s">
        <v>832</v>
      </c>
      <c r="CM90" s="4"/>
      <c r="CN90" s="4"/>
      <c r="CO90" s="4"/>
      <c r="CP90" s="4"/>
      <c r="CQ90" s="4"/>
      <c r="CR90" s="4"/>
      <c r="CS90" s="4"/>
      <c r="CT90" s="4"/>
      <c r="CU90" s="136"/>
    </row>
    <row r="91" spans="2:178" ht="15.5" x14ac:dyDescent="0.35">
      <c r="B91" s="2"/>
      <c r="C91" s="140"/>
      <c r="D91" s="4"/>
      <c r="E91" s="4"/>
      <c r="F91" s="4" t="s">
        <v>581</v>
      </c>
      <c r="G91" s="4" t="s">
        <v>582</v>
      </c>
      <c r="H91" s="4" t="s">
        <v>583</v>
      </c>
      <c r="I91" s="4" t="s">
        <v>584</v>
      </c>
      <c r="J91" s="4" t="s">
        <v>123</v>
      </c>
      <c r="K91" s="4"/>
      <c r="L91" s="4"/>
      <c r="M91" s="4"/>
      <c r="N91" s="136"/>
      <c r="O91" s="2"/>
      <c r="P91" s="2"/>
      <c r="Q91" s="2"/>
      <c r="S91" s="2"/>
      <c r="T91" s="140"/>
      <c r="U91" s="4"/>
      <c r="V91" s="4"/>
      <c r="W91" s="4" t="s">
        <v>581</v>
      </c>
      <c r="X91" s="4" t="s">
        <v>582</v>
      </c>
      <c r="Y91" s="4" t="s">
        <v>583</v>
      </c>
      <c r="Z91" s="4" t="s">
        <v>584</v>
      </c>
      <c r="AA91" s="4" t="s">
        <v>123</v>
      </c>
      <c r="AB91" s="4"/>
      <c r="AC91" s="4"/>
      <c r="AD91" s="4"/>
      <c r="AE91" s="136"/>
      <c r="AF91" s="2"/>
      <c r="AG91" s="2"/>
      <c r="AH91" s="2"/>
      <c r="AK91" s="140"/>
      <c r="AL91" s="4"/>
      <c r="AM91" s="4"/>
      <c r="AN91" s="4" t="s">
        <v>581</v>
      </c>
      <c r="AO91" s="4" t="s">
        <v>582</v>
      </c>
      <c r="AP91" s="4" t="s">
        <v>583</v>
      </c>
      <c r="AQ91" s="4" t="s">
        <v>584</v>
      </c>
      <c r="AR91" s="4" t="s">
        <v>123</v>
      </c>
      <c r="AS91" s="4"/>
      <c r="AT91" s="4"/>
      <c r="AU91" s="4"/>
      <c r="AV91" s="136"/>
      <c r="BB91" s="140"/>
      <c r="BC91" s="4"/>
      <c r="BD91" s="4"/>
      <c r="BE91" s="4" t="s">
        <v>581</v>
      </c>
      <c r="BF91" s="4" t="s">
        <v>582</v>
      </c>
      <c r="BG91" s="4" t="s">
        <v>583</v>
      </c>
      <c r="BH91" s="4" t="s">
        <v>584</v>
      </c>
      <c r="BI91" s="4" t="s">
        <v>123</v>
      </c>
      <c r="BJ91" s="4"/>
      <c r="BK91" s="4"/>
      <c r="BL91" s="4"/>
      <c r="BM91" s="136"/>
      <c r="BS91" s="140"/>
      <c r="BT91" s="4"/>
      <c r="BU91" s="4"/>
      <c r="BV91" s="4" t="s">
        <v>581</v>
      </c>
      <c r="BW91" s="4" t="s">
        <v>582</v>
      </c>
      <c r="BX91" s="4" t="s">
        <v>583</v>
      </c>
      <c r="BY91" s="4" t="s">
        <v>584</v>
      </c>
      <c r="BZ91" s="4" t="s">
        <v>123</v>
      </c>
      <c r="CA91" s="4"/>
      <c r="CB91" s="4"/>
      <c r="CC91" s="4"/>
      <c r="CD91" s="136"/>
      <c r="CJ91" s="140"/>
      <c r="CK91" s="4"/>
      <c r="CL91" s="4"/>
      <c r="CM91" s="4" t="s">
        <v>581</v>
      </c>
      <c r="CN91" s="4" t="s">
        <v>582</v>
      </c>
      <c r="CO91" s="4" t="s">
        <v>583</v>
      </c>
      <c r="CP91" s="4" t="s">
        <v>584</v>
      </c>
      <c r="CQ91" s="4" t="s">
        <v>123</v>
      </c>
      <c r="CR91" s="4"/>
      <c r="CS91" s="4"/>
      <c r="CT91" s="4"/>
      <c r="CU91" s="136"/>
    </row>
    <row r="92" spans="2:178" ht="15.5" x14ac:dyDescent="0.35">
      <c r="B92" s="2"/>
      <c r="C92" s="140"/>
      <c r="D92" s="4"/>
      <c r="E92" s="223" t="s">
        <v>672</v>
      </c>
      <c r="F92" s="4">
        <v>134.673</v>
      </c>
      <c r="G92" s="4">
        <v>15</v>
      </c>
      <c r="H92" s="4">
        <v>173.63300000000001</v>
      </c>
      <c r="I92" s="4">
        <v>19.684000000000001</v>
      </c>
      <c r="J92" s="307" t="s">
        <v>833</v>
      </c>
      <c r="K92" s="238"/>
      <c r="L92" s="238"/>
      <c r="M92" s="238"/>
      <c r="N92" s="136"/>
      <c r="O92" s="2"/>
      <c r="P92" s="2"/>
      <c r="Q92" s="2"/>
      <c r="S92" s="2"/>
      <c r="T92" s="140"/>
      <c r="U92" s="4"/>
      <c r="V92" s="223" t="s">
        <v>672</v>
      </c>
      <c r="W92" s="4">
        <v>7.6829999999999998</v>
      </c>
      <c r="X92" s="4">
        <v>15</v>
      </c>
      <c r="Y92" s="4">
        <v>3.8420000000000001</v>
      </c>
      <c r="Z92" s="4">
        <v>2.577</v>
      </c>
      <c r="AA92" s="307">
        <v>9.2999999999999999E-2</v>
      </c>
      <c r="AB92" s="238"/>
      <c r="AC92" s="238"/>
      <c r="AD92" s="238"/>
      <c r="AE92" s="136"/>
      <c r="AF92" s="2"/>
      <c r="AG92" s="2"/>
      <c r="AH92" s="2"/>
      <c r="AK92" s="140"/>
      <c r="AL92" s="4"/>
      <c r="AM92" s="223" t="s">
        <v>672</v>
      </c>
      <c r="AN92" s="4">
        <v>1.8440000000000001</v>
      </c>
      <c r="AO92" s="4">
        <v>5</v>
      </c>
      <c r="AP92" s="4">
        <v>0.36899999999999999</v>
      </c>
      <c r="AQ92" s="4">
        <v>19.481999999999999</v>
      </c>
      <c r="AR92" s="307" t="s">
        <v>833</v>
      </c>
      <c r="AS92" s="238"/>
      <c r="AT92" s="238"/>
      <c r="AU92" s="238"/>
      <c r="AV92" s="136"/>
      <c r="BB92" s="140"/>
      <c r="BC92" s="4"/>
      <c r="BD92" s="223" t="s">
        <v>672</v>
      </c>
      <c r="BE92" s="4">
        <v>50.058999999999997</v>
      </c>
      <c r="BF92" s="4">
        <v>5</v>
      </c>
      <c r="BG92" s="4">
        <v>10.012</v>
      </c>
      <c r="BH92" s="4">
        <v>1.492</v>
      </c>
      <c r="BI92" s="307">
        <v>0.27100000000000002</v>
      </c>
      <c r="BJ92" s="238"/>
      <c r="BK92" s="238"/>
      <c r="BL92" s="238"/>
      <c r="BM92" s="136"/>
      <c r="BS92" s="140"/>
      <c r="BT92" s="4"/>
      <c r="BU92" s="223" t="s">
        <v>672</v>
      </c>
      <c r="BV92" s="4">
        <v>239.53299999999999</v>
      </c>
      <c r="BW92" s="4">
        <v>3</v>
      </c>
      <c r="BX92" s="4">
        <v>239.53299999999999</v>
      </c>
      <c r="BY92" s="4">
        <v>74.959999999999994</v>
      </c>
      <c r="BZ92" s="307"/>
      <c r="CA92" s="238"/>
      <c r="CB92" s="238"/>
      <c r="CC92" s="238"/>
      <c r="CD92" s="136"/>
      <c r="CJ92" s="140"/>
      <c r="CK92" s="4"/>
      <c r="CL92" s="223" t="s">
        <v>672</v>
      </c>
      <c r="CM92" s="4">
        <v>4.6349999999999998</v>
      </c>
      <c r="CN92" s="4">
        <v>3</v>
      </c>
      <c r="CO92" s="4">
        <v>1.5449999999999999</v>
      </c>
      <c r="CP92" s="4">
        <v>239.965</v>
      </c>
      <c r="CQ92" s="239"/>
      <c r="CR92" s="238"/>
      <c r="CS92" s="238"/>
      <c r="CT92" s="238"/>
      <c r="CU92" s="136"/>
    </row>
    <row r="93" spans="2:178" ht="15.5" x14ac:dyDescent="0.35">
      <c r="B93" s="2"/>
      <c r="C93" s="140"/>
      <c r="D93" s="4"/>
      <c r="E93" s="223" t="s">
        <v>673</v>
      </c>
      <c r="F93" s="4">
        <v>135.56200000000001</v>
      </c>
      <c r="G93" s="4">
        <v>2</v>
      </c>
      <c r="H93" s="4">
        <v>67.781000000000006</v>
      </c>
      <c r="I93" s="4"/>
      <c r="J93" s="238"/>
      <c r="K93" s="238"/>
      <c r="L93" s="238"/>
      <c r="M93" s="4"/>
      <c r="N93" s="136"/>
      <c r="O93" s="2"/>
      <c r="P93" s="2"/>
      <c r="Q93" s="2"/>
      <c r="S93" s="2"/>
      <c r="T93" s="140"/>
      <c r="U93" s="4"/>
      <c r="V93" s="223" t="s">
        <v>673</v>
      </c>
      <c r="W93" s="4">
        <v>110.17400000000001</v>
      </c>
      <c r="X93" s="4">
        <v>2</v>
      </c>
      <c r="Y93" s="4">
        <v>7.3449999999999998</v>
      </c>
      <c r="Z93" s="4"/>
      <c r="AA93" s="238"/>
      <c r="AB93" s="238"/>
      <c r="AC93" s="238"/>
      <c r="AD93" s="4"/>
      <c r="AE93" s="136"/>
      <c r="AF93" s="2"/>
      <c r="AG93" s="2"/>
      <c r="AH93" s="2"/>
      <c r="AK93" s="140"/>
      <c r="AL93" s="4"/>
      <c r="AM93" s="223" t="s">
        <v>673</v>
      </c>
      <c r="AN93" s="4">
        <v>22.600999999999999</v>
      </c>
      <c r="AO93" s="4">
        <v>2</v>
      </c>
      <c r="AP93" s="4">
        <v>11.301</v>
      </c>
      <c r="AQ93" s="4"/>
      <c r="AR93" s="238"/>
      <c r="AS93" s="238"/>
      <c r="AT93" s="238"/>
      <c r="AU93" s="4"/>
      <c r="AV93" s="136"/>
      <c r="BB93" s="140"/>
      <c r="BC93" s="4"/>
      <c r="BD93" s="223" t="s">
        <v>673</v>
      </c>
      <c r="BE93" s="4">
        <v>0.60699999999999998</v>
      </c>
      <c r="BF93" s="4">
        <v>2</v>
      </c>
      <c r="BG93" s="4">
        <v>0.30399999999999999</v>
      </c>
      <c r="BH93" s="4"/>
      <c r="BI93" s="238"/>
      <c r="BJ93" s="238"/>
      <c r="BK93" s="238"/>
      <c r="BL93" s="4"/>
      <c r="BM93" s="136"/>
      <c r="BS93" s="140"/>
      <c r="BT93" s="4"/>
      <c r="BU93" s="223" t="s">
        <v>673</v>
      </c>
      <c r="BV93" s="4">
        <v>23.21</v>
      </c>
      <c r="BW93" s="4">
        <v>2</v>
      </c>
      <c r="BX93" s="4">
        <v>11.608000000000001</v>
      </c>
      <c r="BY93" s="4">
        <v>26.417000000000002</v>
      </c>
      <c r="BZ93" s="239">
        <v>1E-3</v>
      </c>
      <c r="CA93" s="238"/>
      <c r="CB93" s="238"/>
      <c r="CC93" s="4"/>
      <c r="CD93" s="136"/>
      <c r="CJ93" s="140"/>
      <c r="CK93" s="4"/>
      <c r="CL93" s="223" t="s">
        <v>673</v>
      </c>
      <c r="CM93" s="4">
        <v>0.222</v>
      </c>
      <c r="CN93" s="4">
        <v>2</v>
      </c>
      <c r="CO93" s="4">
        <v>0.111</v>
      </c>
      <c r="CP93" s="4">
        <v>1.4430000000000001</v>
      </c>
      <c r="CQ93" s="318">
        <v>0.308</v>
      </c>
      <c r="CR93" s="238"/>
      <c r="CS93" s="238"/>
      <c r="CT93" s="4"/>
      <c r="CU93" s="136"/>
    </row>
    <row r="94" spans="2:178" ht="15.5" x14ac:dyDescent="0.35">
      <c r="B94" s="2"/>
      <c r="C94" s="140"/>
      <c r="D94" s="4"/>
      <c r="E94" s="223" t="s">
        <v>674</v>
      </c>
      <c r="F94" s="4">
        <v>103.303</v>
      </c>
      <c r="G94" s="4">
        <v>30</v>
      </c>
      <c r="H94" s="4">
        <v>3.4430000000000001</v>
      </c>
      <c r="I94" s="4"/>
      <c r="J94" s="4"/>
      <c r="K94" s="4"/>
      <c r="L94" s="4"/>
      <c r="M94" s="4"/>
      <c r="N94" s="136"/>
      <c r="O94" s="2"/>
      <c r="P94" s="2"/>
      <c r="Q94" s="2"/>
      <c r="S94" s="2"/>
      <c r="T94" s="140"/>
      <c r="U94" s="4"/>
      <c r="V94" s="223" t="s">
        <v>674</v>
      </c>
      <c r="W94" s="4">
        <v>44.722999999999999</v>
      </c>
      <c r="X94" s="4">
        <v>30</v>
      </c>
      <c r="Y94" s="4">
        <v>1.4910000000000001</v>
      </c>
      <c r="Z94" s="4"/>
      <c r="AA94" s="4"/>
      <c r="AB94" s="4"/>
      <c r="AC94" s="4"/>
      <c r="AD94" s="4"/>
      <c r="AE94" s="136"/>
      <c r="AF94" s="2"/>
      <c r="AG94" s="2"/>
      <c r="AH94" s="2"/>
      <c r="AK94" s="140"/>
      <c r="AL94" s="4"/>
      <c r="AM94" s="223" t="s">
        <v>674</v>
      </c>
      <c r="AN94" s="4">
        <v>5.8010000000000002</v>
      </c>
      <c r="AO94" s="4">
        <v>10</v>
      </c>
      <c r="AP94" s="4">
        <v>0.57999999999999996</v>
      </c>
      <c r="AQ94" s="4"/>
      <c r="AR94" s="4"/>
      <c r="AS94" s="4"/>
      <c r="AT94" s="4"/>
      <c r="AU94" s="4"/>
      <c r="AV94" s="136"/>
      <c r="BB94" s="140"/>
      <c r="BC94" s="4"/>
      <c r="BD94" s="223" t="s">
        <v>674</v>
      </c>
      <c r="BE94" s="4">
        <v>2.036</v>
      </c>
      <c r="BF94" s="4">
        <v>10</v>
      </c>
      <c r="BG94" s="4">
        <v>0.20399999999999999</v>
      </c>
      <c r="BH94" s="4"/>
      <c r="BI94" s="4"/>
      <c r="BJ94" s="4"/>
      <c r="BK94" s="4"/>
      <c r="BL94" s="4"/>
      <c r="BM94" s="136"/>
      <c r="BS94" s="140"/>
      <c r="BT94" s="4"/>
      <c r="BU94" s="223" t="s">
        <v>674</v>
      </c>
      <c r="BV94" s="4">
        <v>2.6360000000000001</v>
      </c>
      <c r="BW94" s="4">
        <v>6</v>
      </c>
      <c r="BX94" s="4">
        <v>0.439</v>
      </c>
      <c r="BY94" s="4"/>
      <c r="BZ94" s="4"/>
      <c r="CA94" s="4"/>
      <c r="CB94" s="4"/>
      <c r="CC94" s="4"/>
      <c r="CD94" s="136"/>
      <c r="CJ94" s="140"/>
      <c r="CK94" s="4"/>
      <c r="CL94" s="223" t="s">
        <v>674</v>
      </c>
      <c r="CM94" s="4">
        <v>0.47410000000000002</v>
      </c>
      <c r="CN94" s="4">
        <v>6</v>
      </c>
      <c r="CO94" s="4">
        <v>7.6999999999999999E-2</v>
      </c>
      <c r="CP94" s="4"/>
      <c r="CQ94" s="4"/>
      <c r="CR94" s="4"/>
      <c r="CS94" s="4"/>
      <c r="CT94" s="4"/>
      <c r="CU94" s="136"/>
    </row>
    <row r="95" spans="2:178" ht="15.5" x14ac:dyDescent="0.35">
      <c r="B95" s="2"/>
      <c r="C95" s="140"/>
      <c r="D95" s="4"/>
      <c r="E95" s="223"/>
      <c r="F95" s="4"/>
      <c r="G95" s="4"/>
      <c r="H95" s="4"/>
      <c r="I95" s="4"/>
      <c r="J95" s="4"/>
      <c r="K95" s="4"/>
      <c r="L95" s="4"/>
      <c r="M95" s="4"/>
      <c r="N95" s="136"/>
      <c r="O95" s="2"/>
      <c r="P95" s="2"/>
      <c r="Q95" s="2"/>
      <c r="S95" s="2"/>
      <c r="T95" s="140"/>
      <c r="U95" s="4"/>
      <c r="V95" s="223"/>
      <c r="W95" s="4"/>
      <c r="X95" s="4"/>
      <c r="Y95" s="4"/>
      <c r="Z95" s="4"/>
      <c r="AA95" s="4"/>
      <c r="AB95" s="4"/>
      <c r="AC95" s="4"/>
      <c r="AD95" s="4"/>
      <c r="AE95" s="136"/>
      <c r="AF95" s="2"/>
      <c r="AG95" s="2"/>
      <c r="AH95" s="2"/>
      <c r="AK95" s="140"/>
      <c r="AL95" s="4"/>
      <c r="AM95" s="223"/>
      <c r="AN95" s="4"/>
      <c r="AO95" s="4"/>
      <c r="AP95" s="4"/>
      <c r="AQ95" s="4"/>
      <c r="AR95" s="4"/>
      <c r="AS95" s="4"/>
      <c r="AT95" s="4"/>
      <c r="AU95" s="4"/>
      <c r="AV95" s="136"/>
      <c r="BB95" s="140"/>
      <c r="BC95" s="4"/>
      <c r="BD95" s="223"/>
      <c r="BE95" s="4"/>
      <c r="BF95" s="4"/>
      <c r="BG95" s="4"/>
      <c r="BH95" s="4"/>
      <c r="BI95" s="4"/>
      <c r="BJ95" s="4"/>
      <c r="BK95" s="4"/>
      <c r="BL95" s="4"/>
      <c r="BM95" s="136"/>
      <c r="BS95" s="140"/>
      <c r="BT95" s="4"/>
      <c r="BU95" s="223"/>
      <c r="BV95" s="4"/>
      <c r="BW95" s="4"/>
      <c r="BX95" s="4"/>
      <c r="BY95" s="4"/>
      <c r="BZ95" s="4"/>
      <c r="CA95" s="4"/>
      <c r="CB95" s="4"/>
      <c r="CC95" s="4"/>
      <c r="CD95" s="136"/>
      <c r="CJ95" s="140"/>
      <c r="CK95" s="4"/>
      <c r="CL95" s="223"/>
      <c r="CM95" s="4"/>
      <c r="CN95" s="4"/>
      <c r="CO95" s="4"/>
      <c r="CP95" s="4"/>
      <c r="CQ95" s="4"/>
      <c r="CR95" s="4"/>
      <c r="CS95" s="4"/>
      <c r="CT95" s="4"/>
      <c r="CU95" s="136"/>
    </row>
    <row r="96" spans="2:178" ht="15.5" x14ac:dyDescent="0.35">
      <c r="B96" s="2"/>
      <c r="C96" s="140"/>
      <c r="D96" s="4"/>
      <c r="E96" s="240" t="s">
        <v>814</v>
      </c>
      <c r="F96" s="4"/>
      <c r="G96" s="4"/>
      <c r="H96" s="4"/>
      <c r="I96" s="4"/>
      <c r="J96" s="4"/>
      <c r="K96" s="4"/>
      <c r="L96" s="4"/>
      <c r="M96" s="4"/>
      <c r="N96" s="136"/>
      <c r="O96" s="2"/>
      <c r="P96" s="2"/>
      <c r="Q96" s="2"/>
      <c r="S96" s="2"/>
      <c r="T96" s="140"/>
      <c r="U96" s="4"/>
      <c r="V96" s="240" t="s">
        <v>814</v>
      </c>
      <c r="W96" s="4"/>
      <c r="X96" s="4"/>
      <c r="Y96" s="4"/>
      <c r="Z96" s="4"/>
      <c r="AA96" s="4"/>
      <c r="AB96" s="4"/>
      <c r="AC96" s="4"/>
      <c r="AD96" s="4"/>
      <c r="AE96" s="136"/>
      <c r="AF96" s="2"/>
      <c r="AG96" s="2"/>
      <c r="AH96" s="2"/>
      <c r="AK96" s="140"/>
      <c r="AL96" s="4"/>
      <c r="AM96" s="240" t="s">
        <v>814</v>
      </c>
      <c r="AN96" s="4"/>
      <c r="AO96" s="4"/>
      <c r="AP96" s="4"/>
      <c r="AQ96" s="4"/>
      <c r="AR96" s="4"/>
      <c r="AS96" s="4"/>
      <c r="AT96" s="4"/>
      <c r="AU96" s="4"/>
      <c r="AV96" s="136"/>
      <c r="BB96" s="140"/>
      <c r="BC96" s="4"/>
      <c r="BD96" s="240" t="s">
        <v>814</v>
      </c>
      <c r="BE96" s="4"/>
      <c r="BF96" s="4"/>
      <c r="BG96" s="4"/>
      <c r="BH96" s="4"/>
      <c r="BI96" s="4"/>
      <c r="BJ96" s="4"/>
      <c r="BK96" s="4"/>
      <c r="BL96" s="4"/>
      <c r="BM96" s="136"/>
      <c r="BS96" s="140"/>
      <c r="BT96" s="4"/>
      <c r="BU96" s="240" t="s">
        <v>814</v>
      </c>
      <c r="BV96" s="4"/>
      <c r="BW96" s="4"/>
      <c r="BX96" s="4"/>
      <c r="BY96" s="4"/>
      <c r="BZ96" s="4"/>
      <c r="CA96" s="4"/>
      <c r="CB96" s="4"/>
      <c r="CC96" s="4"/>
      <c r="CD96" s="136"/>
      <c r="CJ96" s="140"/>
      <c r="CK96" s="4"/>
      <c r="CL96" s="240" t="s">
        <v>814</v>
      </c>
      <c r="CM96" s="4"/>
      <c r="CN96" s="4"/>
      <c r="CO96" s="4"/>
      <c r="CP96" s="4"/>
      <c r="CQ96" s="4"/>
      <c r="CR96" s="4"/>
      <c r="CS96" s="4"/>
      <c r="CT96" s="4"/>
      <c r="CU96" s="136"/>
    </row>
    <row r="97" spans="2:99" ht="15.5" x14ac:dyDescent="0.35">
      <c r="B97" s="2"/>
      <c r="C97" s="140"/>
      <c r="D97" s="4"/>
      <c r="E97" s="4"/>
      <c r="F97" s="4"/>
      <c r="G97" s="4"/>
      <c r="H97" s="4"/>
      <c r="I97" s="4" t="s">
        <v>123</v>
      </c>
      <c r="J97" s="4"/>
      <c r="K97" s="4"/>
      <c r="L97" s="4"/>
      <c r="M97" s="4"/>
      <c r="N97" s="136"/>
      <c r="O97" s="2"/>
      <c r="P97" s="2"/>
      <c r="Q97" s="2"/>
      <c r="S97" s="2"/>
      <c r="T97" s="140"/>
      <c r="U97" s="4"/>
      <c r="V97" s="4"/>
      <c r="W97" s="4"/>
      <c r="X97" s="4"/>
      <c r="Y97" s="4"/>
      <c r="Z97" s="4" t="s">
        <v>123</v>
      </c>
      <c r="AA97" s="4"/>
      <c r="AB97" s="4"/>
      <c r="AC97" s="4"/>
      <c r="AD97" s="4"/>
      <c r="AE97" s="136"/>
      <c r="AF97" s="2"/>
      <c r="AG97" s="2"/>
      <c r="AH97" s="2"/>
      <c r="AK97" s="140"/>
      <c r="AL97" s="4"/>
      <c r="AM97" s="4"/>
      <c r="AN97" s="4"/>
      <c r="AO97" s="4"/>
      <c r="AP97" s="4"/>
      <c r="AQ97" s="4" t="s">
        <v>123</v>
      </c>
      <c r="AR97" s="4"/>
      <c r="AS97" s="4"/>
      <c r="AT97" s="4"/>
      <c r="AU97" s="4"/>
      <c r="AV97" s="136"/>
      <c r="BB97" s="140"/>
      <c r="BC97" s="4"/>
      <c r="BD97" s="4"/>
      <c r="BE97" s="4"/>
      <c r="BF97" s="4"/>
      <c r="BG97" s="4"/>
      <c r="BH97" s="4" t="s">
        <v>123</v>
      </c>
      <c r="BI97" s="4"/>
      <c r="BJ97" s="4"/>
      <c r="BK97" s="4"/>
      <c r="BL97" s="4"/>
      <c r="BM97" s="136"/>
      <c r="BS97" s="140"/>
      <c r="BT97" s="4"/>
      <c r="BU97" s="4"/>
      <c r="BV97" s="4"/>
      <c r="BW97" s="4"/>
      <c r="BX97" s="4"/>
      <c r="BY97" s="4" t="s">
        <v>123</v>
      </c>
      <c r="BZ97" s="4"/>
      <c r="CA97" s="4"/>
      <c r="CB97" s="4"/>
      <c r="CC97" s="4"/>
      <c r="CD97" s="136"/>
      <c r="CJ97" s="140"/>
      <c r="CK97" s="4"/>
      <c r="CL97" s="4"/>
      <c r="CM97" s="4"/>
      <c r="CN97" s="4"/>
      <c r="CO97" s="4"/>
      <c r="CP97" s="4" t="s">
        <v>123</v>
      </c>
      <c r="CQ97" s="4"/>
      <c r="CR97" s="4"/>
      <c r="CS97" s="4"/>
      <c r="CT97" s="4"/>
      <c r="CU97" s="136"/>
    </row>
    <row r="98" spans="2:99" ht="15.5" x14ac:dyDescent="0.35">
      <c r="B98" s="2"/>
      <c r="C98" s="140"/>
      <c r="D98" s="4"/>
      <c r="E98" s="164" t="s">
        <v>834</v>
      </c>
      <c r="F98" s="164"/>
      <c r="G98" s="164"/>
      <c r="H98" s="164"/>
      <c r="I98" s="14">
        <v>2E-3</v>
      </c>
      <c r="J98" s="14" t="s">
        <v>60</v>
      </c>
      <c r="K98" s="4"/>
      <c r="L98" s="4"/>
      <c r="M98" s="4"/>
      <c r="N98" s="136"/>
      <c r="O98" s="2"/>
      <c r="P98" s="2"/>
      <c r="Q98" s="2"/>
      <c r="S98" s="2"/>
      <c r="T98" s="140"/>
      <c r="U98" s="4"/>
      <c r="V98" s="164" t="s">
        <v>834</v>
      </c>
      <c r="W98" s="164"/>
      <c r="X98" s="164"/>
      <c r="Y98" s="164"/>
      <c r="Z98" s="164">
        <v>1</v>
      </c>
      <c r="AA98" s="14"/>
      <c r="AB98" s="4"/>
      <c r="AC98" s="4"/>
      <c r="AD98" s="4"/>
      <c r="AE98" s="136"/>
      <c r="AF98" s="2"/>
      <c r="AG98" s="2"/>
      <c r="AH98" s="2"/>
      <c r="AK98" s="140"/>
      <c r="AL98" s="4"/>
      <c r="AM98" s="164" t="s">
        <v>834</v>
      </c>
      <c r="AN98" s="164"/>
      <c r="AO98" s="164"/>
      <c r="AP98" s="164"/>
      <c r="AQ98" s="14">
        <v>1.0999999999999999E-2</v>
      </c>
      <c r="AR98" s="14" t="s">
        <v>60</v>
      </c>
      <c r="AS98" s="4"/>
      <c r="AT98" s="4"/>
      <c r="AU98" s="4"/>
      <c r="AV98" s="136"/>
      <c r="BB98" s="140"/>
      <c r="BC98" s="4"/>
      <c r="BD98" s="164" t="s">
        <v>834</v>
      </c>
      <c r="BE98" s="164"/>
      <c r="BF98" s="164"/>
      <c r="BG98" s="164"/>
      <c r="BH98" s="14">
        <v>1</v>
      </c>
      <c r="BI98" s="14"/>
      <c r="BJ98" s="4"/>
      <c r="BK98" s="4"/>
      <c r="BL98" s="4"/>
      <c r="BM98" s="136"/>
      <c r="BS98" s="140"/>
      <c r="BT98" s="4"/>
      <c r="BU98" s="164" t="s">
        <v>834</v>
      </c>
      <c r="BV98" s="164"/>
      <c r="BW98" s="164"/>
      <c r="BX98" s="164"/>
      <c r="BY98" s="14">
        <v>4.3999999999999997E-2</v>
      </c>
      <c r="BZ98" s="14"/>
      <c r="CA98" s="4"/>
      <c r="CB98" s="4"/>
      <c r="CC98" s="4"/>
      <c r="CD98" s="136"/>
      <c r="CJ98" s="140"/>
      <c r="CK98" s="4"/>
      <c r="CL98" s="164" t="s">
        <v>834</v>
      </c>
      <c r="CM98" s="164"/>
      <c r="CN98" s="164"/>
      <c r="CO98" s="164"/>
      <c r="CP98" s="164">
        <v>1</v>
      </c>
      <c r="CQ98" s="14"/>
      <c r="CR98" s="4"/>
      <c r="CS98" s="4"/>
      <c r="CT98" s="4"/>
      <c r="CU98" s="136"/>
    </row>
    <row r="99" spans="2:99" ht="15.5" x14ac:dyDescent="0.35">
      <c r="B99" s="2"/>
      <c r="C99" s="140"/>
      <c r="D99" s="4"/>
      <c r="E99" s="164" t="s">
        <v>836</v>
      </c>
      <c r="F99" s="164"/>
      <c r="G99" s="164"/>
      <c r="H99" s="164"/>
      <c r="I99" s="164">
        <v>0.13700000000000001</v>
      </c>
      <c r="J99" s="14"/>
      <c r="K99" s="4"/>
      <c r="L99" s="4"/>
      <c r="M99" s="4"/>
      <c r="N99" s="136"/>
      <c r="O99" s="2"/>
      <c r="P99" s="2"/>
      <c r="Q99" s="2"/>
      <c r="S99" s="2"/>
      <c r="T99" s="140"/>
      <c r="U99" s="4"/>
      <c r="V99" s="164" t="s">
        <v>836</v>
      </c>
      <c r="W99" s="164"/>
      <c r="X99" s="164"/>
      <c r="Y99" s="164"/>
      <c r="Z99" s="164">
        <v>0.23499999999999999</v>
      </c>
      <c r="AA99" s="14"/>
      <c r="AB99" s="4"/>
      <c r="AC99" s="4"/>
      <c r="AD99" s="4"/>
      <c r="AE99" s="136"/>
      <c r="AF99" s="2"/>
      <c r="AG99" s="2"/>
      <c r="AH99" s="2"/>
      <c r="AK99" s="140"/>
      <c r="AL99" s="4"/>
      <c r="AM99" s="164" t="s">
        <v>836</v>
      </c>
      <c r="AN99" s="164"/>
      <c r="AO99" s="164"/>
      <c r="AP99" s="164"/>
      <c r="AQ99" s="164">
        <v>1</v>
      </c>
      <c r="AR99" s="14"/>
      <c r="AS99" s="4"/>
      <c r="AT99" s="4"/>
      <c r="AU99" s="4"/>
      <c r="AV99" s="136"/>
      <c r="BB99" s="140"/>
      <c r="BC99" s="4"/>
      <c r="BD99" s="164" t="s">
        <v>836</v>
      </c>
      <c r="BE99" s="164"/>
      <c r="BF99" s="164"/>
      <c r="BG99" s="164"/>
      <c r="BH99" s="164">
        <v>1</v>
      </c>
      <c r="BI99" s="14"/>
      <c r="BJ99" s="4"/>
      <c r="BK99" s="4"/>
      <c r="BL99" s="4"/>
      <c r="BM99" s="136"/>
      <c r="BS99" s="140"/>
      <c r="BT99" s="4"/>
      <c r="BU99" s="164" t="s">
        <v>836</v>
      </c>
      <c r="BV99" s="164"/>
      <c r="BW99" s="164"/>
      <c r="BX99" s="164"/>
      <c r="BY99" s="164">
        <v>1</v>
      </c>
      <c r="BZ99" s="14"/>
      <c r="CA99" s="4"/>
      <c r="CB99" s="4"/>
      <c r="CC99" s="4"/>
      <c r="CD99" s="136"/>
      <c r="CJ99" s="140"/>
      <c r="CK99" s="4"/>
      <c r="CL99" s="164" t="s">
        <v>836</v>
      </c>
      <c r="CM99" s="164"/>
      <c r="CN99" s="164"/>
      <c r="CO99" s="164"/>
      <c r="CP99" s="164">
        <v>1</v>
      </c>
      <c r="CQ99" s="14"/>
      <c r="CR99" s="4"/>
      <c r="CS99" s="4"/>
      <c r="CT99" s="4"/>
      <c r="CU99" s="136"/>
    </row>
    <row r="100" spans="2:99" ht="15.5" x14ac:dyDescent="0.35">
      <c r="B100" s="2"/>
      <c r="C100" s="140"/>
      <c r="D100" s="4"/>
      <c r="E100" s="4" t="s">
        <v>835</v>
      </c>
      <c r="F100" s="4"/>
      <c r="G100" s="4"/>
      <c r="H100" s="4"/>
      <c r="I100" s="5">
        <v>1E-3</v>
      </c>
      <c r="J100" s="14" t="s">
        <v>60</v>
      </c>
      <c r="K100" s="4"/>
      <c r="L100" s="4"/>
      <c r="M100" s="4"/>
      <c r="N100" s="136"/>
      <c r="O100" s="2"/>
      <c r="P100" s="2"/>
      <c r="Q100" s="2"/>
      <c r="S100" s="2"/>
      <c r="T100" s="140"/>
      <c r="U100" s="4"/>
      <c r="V100" s="4" t="s">
        <v>835</v>
      </c>
      <c r="W100" s="4"/>
      <c r="X100" s="4"/>
      <c r="Y100" s="4"/>
      <c r="Z100" s="4">
        <v>0.98</v>
      </c>
      <c r="AA100" s="14"/>
      <c r="AB100" s="4"/>
      <c r="AC100" s="4"/>
      <c r="AD100" s="4"/>
      <c r="AE100" s="136"/>
      <c r="AF100" s="2"/>
      <c r="AG100" s="2"/>
      <c r="AH100" s="2"/>
      <c r="AK100" s="140"/>
      <c r="AL100" s="4"/>
      <c r="AM100" s="4" t="s">
        <v>835</v>
      </c>
      <c r="AN100" s="4"/>
      <c r="AO100" s="4"/>
      <c r="AP100" s="4"/>
      <c r="AQ100" s="5">
        <v>1.4999999999999999E-2</v>
      </c>
      <c r="AR100" s="14" t="s">
        <v>60</v>
      </c>
      <c r="AS100" s="4"/>
      <c r="AT100" s="4"/>
      <c r="AU100" s="4"/>
      <c r="AV100" s="136"/>
      <c r="BB100" s="140"/>
      <c r="BC100" s="4"/>
      <c r="BD100" s="4" t="s">
        <v>835</v>
      </c>
      <c r="BE100" s="4"/>
      <c r="BF100" s="4"/>
      <c r="BG100" s="4"/>
      <c r="BH100" s="5">
        <v>0.05</v>
      </c>
      <c r="BI100" s="14"/>
      <c r="BJ100" s="4"/>
      <c r="BK100" s="4"/>
      <c r="BL100" s="4"/>
      <c r="BM100" s="136"/>
      <c r="BS100" s="140"/>
      <c r="BT100" s="4"/>
      <c r="BU100" s="4" t="s">
        <v>835</v>
      </c>
      <c r="BV100" s="4"/>
      <c r="BW100" s="4"/>
      <c r="BX100" s="4"/>
      <c r="BY100" s="5">
        <v>4.1000000000000002E-2</v>
      </c>
      <c r="BZ100" s="14"/>
      <c r="CA100" s="4"/>
      <c r="CB100" s="4"/>
      <c r="CC100" s="4"/>
      <c r="CD100" s="136"/>
      <c r="CJ100" s="140"/>
      <c r="CK100" s="4"/>
      <c r="CL100" s="4" t="s">
        <v>835</v>
      </c>
      <c r="CM100" s="4"/>
      <c r="CN100" s="4"/>
      <c r="CO100" s="4"/>
      <c r="CP100" s="4">
        <v>0.67900000000000005</v>
      </c>
      <c r="CQ100" s="14"/>
      <c r="CR100" s="4"/>
      <c r="CS100" s="4"/>
      <c r="CT100" s="4"/>
      <c r="CU100" s="136"/>
    </row>
    <row r="101" spans="2:99" ht="16" thickBot="1" x14ac:dyDescent="0.4">
      <c r="B101" s="2"/>
      <c r="C101" s="221"/>
      <c r="D101" s="134"/>
      <c r="E101" s="134"/>
      <c r="F101" s="134"/>
      <c r="G101" s="134"/>
      <c r="H101" s="134"/>
      <c r="I101" s="134"/>
      <c r="J101" s="134"/>
      <c r="K101" s="134"/>
      <c r="L101" s="134"/>
      <c r="M101" s="134"/>
      <c r="N101" s="222"/>
      <c r="O101" s="2"/>
      <c r="P101" s="2"/>
      <c r="Q101" s="2"/>
      <c r="S101" s="2"/>
      <c r="T101" s="221"/>
      <c r="U101" s="134"/>
      <c r="V101" s="134"/>
      <c r="W101" s="134"/>
      <c r="X101" s="134"/>
      <c r="Y101" s="134"/>
      <c r="Z101" s="134"/>
      <c r="AA101" s="134"/>
      <c r="AB101" s="134"/>
      <c r="AC101" s="134"/>
      <c r="AD101" s="134"/>
      <c r="AE101" s="222"/>
      <c r="AF101" s="2"/>
      <c r="AG101" s="2"/>
      <c r="AH101" s="2"/>
      <c r="AK101" s="221"/>
      <c r="AL101" s="134"/>
      <c r="AM101" s="134"/>
      <c r="AN101" s="134"/>
      <c r="AO101" s="134"/>
      <c r="AP101" s="134"/>
      <c r="AQ101" s="134"/>
      <c r="AR101" s="134"/>
      <c r="AS101" s="134"/>
      <c r="AT101" s="134"/>
      <c r="AU101" s="134"/>
      <c r="AV101" s="222"/>
      <c r="BB101" s="221"/>
      <c r="BC101" s="134"/>
      <c r="BD101" s="134"/>
      <c r="BE101" s="134"/>
      <c r="BF101" s="134"/>
      <c r="BG101" s="134"/>
      <c r="BH101" s="134"/>
      <c r="BI101" s="134"/>
      <c r="BJ101" s="134"/>
      <c r="BK101" s="134"/>
      <c r="BL101" s="134"/>
      <c r="BM101" s="222"/>
      <c r="BS101" s="221"/>
      <c r="BT101" s="134"/>
      <c r="BU101" s="134"/>
      <c r="BV101" s="134"/>
      <c r="BW101" s="134"/>
      <c r="BX101" s="134"/>
      <c r="BY101" s="134"/>
      <c r="BZ101" s="134"/>
      <c r="CA101" s="134"/>
      <c r="CB101" s="134"/>
      <c r="CC101" s="134"/>
      <c r="CD101" s="222"/>
      <c r="CJ101" s="221"/>
      <c r="CK101" s="134"/>
      <c r="CL101" s="134"/>
      <c r="CM101" s="134"/>
      <c r="CN101" s="134"/>
      <c r="CO101" s="134"/>
      <c r="CP101" s="134"/>
      <c r="CQ101" s="134"/>
      <c r="CR101" s="134"/>
      <c r="CS101" s="134"/>
      <c r="CT101" s="134"/>
      <c r="CU101" s="222"/>
    </row>
    <row r="102" spans="2:99" ht="15.5" x14ac:dyDescent="0.35">
      <c r="B102" s="2"/>
      <c r="C102" s="4"/>
      <c r="D102" s="4"/>
      <c r="E102" s="4"/>
      <c r="F102" s="4"/>
      <c r="G102" s="4"/>
      <c r="H102" s="4"/>
      <c r="I102" s="4"/>
      <c r="J102" s="4"/>
      <c r="K102" s="4"/>
      <c r="L102" s="4"/>
      <c r="M102" s="4"/>
      <c r="N102" s="4"/>
      <c r="O102" s="2"/>
      <c r="P102" s="2"/>
      <c r="Q102" s="2"/>
      <c r="S102" s="2"/>
      <c r="T102" s="4"/>
      <c r="U102" s="4"/>
      <c r="V102" s="4"/>
      <c r="W102" s="4"/>
      <c r="X102" s="4"/>
      <c r="Y102" s="4"/>
      <c r="Z102" s="4"/>
      <c r="AA102" s="4"/>
      <c r="AB102" s="4"/>
      <c r="AC102" s="4"/>
      <c r="AD102" s="4"/>
      <c r="AE102" s="4"/>
      <c r="AF102" s="2"/>
      <c r="AG102" s="2"/>
      <c r="AH102" s="2"/>
      <c r="AJ102" s="2"/>
      <c r="AK102" s="4"/>
      <c r="AL102" s="4"/>
      <c r="AM102" s="4"/>
      <c r="AN102" s="4"/>
      <c r="AO102" s="4"/>
      <c r="AP102" s="4"/>
      <c r="AQ102" s="4"/>
      <c r="AR102" s="4"/>
      <c r="AS102" s="4"/>
      <c r="AT102" s="4"/>
      <c r="AU102" s="4"/>
      <c r="AV102" s="4"/>
      <c r="AW102" s="2"/>
      <c r="BB102" s="4"/>
      <c r="BC102" s="4"/>
      <c r="BD102" s="4"/>
      <c r="BE102" s="4"/>
      <c r="BF102" s="4"/>
      <c r="BG102" s="4"/>
      <c r="BH102" s="4"/>
      <c r="BI102" s="4"/>
      <c r="BJ102" s="4"/>
      <c r="BK102" s="4"/>
      <c r="BL102" s="4"/>
      <c r="BM102" s="4"/>
      <c r="BS102" s="4"/>
      <c r="BT102" s="4"/>
      <c r="BU102" s="4"/>
      <c r="BV102" s="4"/>
      <c r="BW102" s="4"/>
      <c r="BX102" s="4"/>
      <c r="BY102" s="4"/>
      <c r="BZ102" s="4"/>
      <c r="CA102" s="4"/>
      <c r="CB102" s="4"/>
      <c r="CC102" s="4"/>
      <c r="CD102" s="4"/>
      <c r="CE102" s="2"/>
      <c r="CJ102" s="4"/>
      <c r="CK102" s="4"/>
      <c r="CL102" s="4"/>
      <c r="CM102" s="4"/>
      <c r="CN102" s="4"/>
      <c r="CO102" s="4"/>
      <c r="CP102" s="4"/>
      <c r="CQ102" s="4"/>
      <c r="CR102" s="4"/>
      <c r="CS102" s="4"/>
      <c r="CT102" s="4"/>
      <c r="CU102" s="4"/>
    </row>
    <row r="103" spans="2:99" ht="16" thickBot="1" x14ac:dyDescent="0.4">
      <c r="B103" s="2"/>
      <c r="C103" s="4"/>
      <c r="D103" s="4"/>
      <c r="E103" s="4"/>
      <c r="F103" s="4"/>
      <c r="G103" s="4"/>
      <c r="H103" s="4"/>
      <c r="I103" s="4"/>
      <c r="J103" s="4"/>
      <c r="K103" s="4"/>
      <c r="L103" s="4"/>
      <c r="M103" s="4"/>
      <c r="N103" s="4"/>
      <c r="O103" s="2"/>
      <c r="P103" s="2"/>
      <c r="Q103" s="2"/>
      <c r="S103" s="2"/>
      <c r="T103" s="4"/>
      <c r="U103" s="4"/>
      <c r="V103" s="4"/>
      <c r="W103" s="4"/>
      <c r="X103" s="4"/>
      <c r="Y103" s="4"/>
      <c r="Z103" s="4"/>
      <c r="AA103" s="4"/>
      <c r="AB103" s="4"/>
      <c r="AC103" s="4"/>
      <c r="AD103" s="4"/>
      <c r="AE103" s="4"/>
      <c r="AF103" s="2"/>
      <c r="AG103" s="2"/>
      <c r="AH103" s="2"/>
      <c r="AJ103" s="2"/>
      <c r="AK103" s="4"/>
      <c r="AL103" s="4"/>
      <c r="AM103" s="4"/>
      <c r="AN103" s="4"/>
      <c r="AO103" s="4"/>
      <c r="AP103" s="4"/>
      <c r="AQ103" s="4"/>
      <c r="AR103" s="4"/>
      <c r="AS103" s="4"/>
      <c r="AT103" s="4"/>
      <c r="AU103" s="4"/>
      <c r="AV103" s="4"/>
      <c r="AW103" s="2"/>
      <c r="BB103" s="4"/>
      <c r="BC103" s="4"/>
      <c r="BD103" s="4"/>
      <c r="BE103" s="4"/>
      <c r="BF103" s="4"/>
      <c r="BG103" s="4"/>
      <c r="BH103" s="4"/>
      <c r="BI103" s="4"/>
      <c r="BJ103" s="4"/>
      <c r="BK103" s="4"/>
      <c r="BL103" s="4"/>
      <c r="BM103" s="4"/>
      <c r="BS103" s="4"/>
      <c r="BT103" s="4"/>
      <c r="BU103" s="4"/>
      <c r="BV103" s="4"/>
      <c r="BW103" s="4"/>
      <c r="BX103" s="4"/>
      <c r="BY103" s="4"/>
      <c r="BZ103" s="4"/>
      <c r="CA103" s="4"/>
      <c r="CB103" s="4"/>
      <c r="CC103" s="4"/>
      <c r="CD103" s="4"/>
      <c r="CE103" s="2"/>
      <c r="CJ103" s="4"/>
      <c r="CK103" s="4"/>
      <c r="CL103" s="4"/>
      <c r="CM103" s="4"/>
      <c r="CN103" s="4"/>
      <c r="CO103" s="4"/>
      <c r="CP103" s="4"/>
      <c r="CQ103" s="4"/>
      <c r="CR103" s="4"/>
      <c r="CS103" s="4"/>
      <c r="CT103" s="4"/>
      <c r="CU103" s="4"/>
    </row>
    <row r="104" spans="2:99" ht="15.5" x14ac:dyDescent="0.35">
      <c r="B104" s="2"/>
      <c r="C104" s="218"/>
      <c r="D104" s="219"/>
      <c r="E104" s="219"/>
      <c r="F104" s="219"/>
      <c r="G104" s="219"/>
      <c r="H104" s="219"/>
      <c r="I104" s="219"/>
      <c r="J104" s="219"/>
      <c r="K104" s="219"/>
      <c r="L104" s="219"/>
      <c r="M104" s="219"/>
      <c r="N104" s="220"/>
      <c r="O104" s="2"/>
      <c r="P104" s="2"/>
      <c r="Q104" s="2"/>
      <c r="S104" s="2"/>
      <c r="T104" s="218"/>
      <c r="U104" s="219"/>
      <c r="V104" s="219"/>
      <c r="W104" s="219"/>
      <c r="X104" s="219"/>
      <c r="Y104" s="219"/>
      <c r="Z104" s="219"/>
      <c r="AA104" s="219"/>
      <c r="AB104" s="219"/>
      <c r="AC104" s="219"/>
      <c r="AD104" s="219"/>
      <c r="AE104" s="220"/>
      <c r="AF104" s="2"/>
      <c r="AG104" s="2"/>
      <c r="AH104" s="2"/>
      <c r="AJ104" s="2"/>
      <c r="AK104" s="218"/>
      <c r="AL104" s="219"/>
      <c r="AM104" s="219"/>
      <c r="AN104" s="219"/>
      <c r="AO104" s="219"/>
      <c r="AP104" s="219"/>
      <c r="AQ104" s="219"/>
      <c r="AR104" s="219"/>
      <c r="AS104" s="219"/>
      <c r="AT104" s="219"/>
      <c r="AU104" s="219"/>
      <c r="AV104" s="220"/>
      <c r="AW104" s="2"/>
      <c r="BB104" s="218"/>
      <c r="BC104" s="219"/>
      <c r="BD104" s="219"/>
      <c r="BE104" s="219"/>
      <c r="BF104" s="219"/>
      <c r="BG104" s="219"/>
      <c r="BH104" s="219"/>
      <c r="BI104" s="219"/>
      <c r="BJ104" s="219"/>
      <c r="BK104" s="219"/>
      <c r="BL104" s="219"/>
      <c r="BM104" s="220"/>
      <c r="BS104" s="218"/>
      <c r="BT104" s="219"/>
      <c r="BU104" s="219"/>
      <c r="BV104" s="219"/>
      <c r="BW104" s="219"/>
      <c r="BX104" s="219"/>
      <c r="BY104" s="219"/>
      <c r="BZ104" s="219"/>
      <c r="CA104" s="219"/>
      <c r="CB104" s="219"/>
      <c r="CC104" s="219"/>
      <c r="CD104" s="220"/>
      <c r="CE104" s="2"/>
      <c r="CJ104" s="218"/>
      <c r="CK104" s="219"/>
      <c r="CL104" s="219"/>
      <c r="CM104" s="219"/>
      <c r="CN104" s="219"/>
      <c r="CO104" s="219"/>
      <c r="CP104" s="219"/>
      <c r="CQ104" s="219"/>
      <c r="CR104" s="219"/>
      <c r="CS104" s="219"/>
      <c r="CT104" s="219"/>
      <c r="CU104" s="220"/>
    </row>
    <row r="105" spans="2:99" ht="15.5" x14ac:dyDescent="0.35">
      <c r="B105" s="2"/>
      <c r="C105" s="140"/>
      <c r="D105" s="4"/>
      <c r="E105" s="4"/>
      <c r="F105" s="4"/>
      <c r="G105" s="4"/>
      <c r="H105" s="4"/>
      <c r="I105" s="4"/>
      <c r="J105" s="4"/>
      <c r="K105" s="4"/>
      <c r="L105" s="4"/>
      <c r="M105" s="4"/>
      <c r="N105" s="136"/>
      <c r="O105" s="2"/>
      <c r="P105" s="2"/>
      <c r="Q105" s="2"/>
      <c r="S105" s="2"/>
      <c r="T105" s="140"/>
      <c r="U105" s="4"/>
      <c r="V105" s="4"/>
      <c r="W105" s="4"/>
      <c r="X105" s="4"/>
      <c r="Y105" s="4"/>
      <c r="Z105" s="4"/>
      <c r="AA105" s="4"/>
      <c r="AB105" s="4"/>
      <c r="AC105" s="4"/>
      <c r="AD105" s="4"/>
      <c r="AE105" s="136"/>
      <c r="AF105" s="2"/>
      <c r="AG105" s="2"/>
      <c r="AH105" s="2"/>
      <c r="AJ105" s="2"/>
      <c r="AK105" s="140"/>
      <c r="AL105" s="4"/>
      <c r="AM105" s="4"/>
      <c r="AN105" s="4"/>
      <c r="AO105" s="4"/>
      <c r="AP105" s="4"/>
      <c r="AQ105" s="4"/>
      <c r="AR105" s="4"/>
      <c r="AS105" s="4"/>
      <c r="AT105" s="4"/>
      <c r="AU105" s="4"/>
      <c r="AV105" s="136"/>
      <c r="AW105" s="2"/>
      <c r="BB105" s="140"/>
      <c r="BC105" s="4"/>
      <c r="BD105" s="4"/>
      <c r="BE105" s="4"/>
      <c r="BF105" s="4"/>
      <c r="BG105" s="4"/>
      <c r="BH105" s="4"/>
      <c r="BI105" s="4"/>
      <c r="BJ105" s="4"/>
      <c r="BK105" s="4"/>
      <c r="BL105" s="4"/>
      <c r="BM105" s="136"/>
      <c r="BS105" s="140"/>
      <c r="BT105" s="4"/>
      <c r="BU105" s="4"/>
      <c r="BV105" s="4"/>
      <c r="BW105" s="4"/>
      <c r="BX105" s="4"/>
      <c r="BY105" s="4"/>
      <c r="BZ105" s="4"/>
      <c r="CA105" s="4"/>
      <c r="CB105" s="4"/>
      <c r="CC105" s="4"/>
      <c r="CD105" s="136"/>
      <c r="CE105" s="2"/>
      <c r="CJ105" s="140"/>
      <c r="CK105" s="4"/>
      <c r="CL105" s="4"/>
      <c r="CM105" s="4"/>
      <c r="CN105" s="4"/>
      <c r="CO105" s="4"/>
      <c r="CP105" s="4"/>
      <c r="CQ105" s="4"/>
      <c r="CR105" s="4"/>
      <c r="CS105" s="4"/>
      <c r="CT105" s="4"/>
      <c r="CU105" s="136"/>
    </row>
    <row r="106" spans="2:99" ht="15.5" x14ac:dyDescent="0.35">
      <c r="B106" s="2"/>
      <c r="C106" s="140"/>
      <c r="D106" s="4"/>
      <c r="E106" s="4" t="s">
        <v>580</v>
      </c>
      <c r="F106" s="4"/>
      <c r="G106" s="4"/>
      <c r="H106" s="4"/>
      <c r="I106" s="4"/>
      <c r="J106" s="4"/>
      <c r="K106" s="4"/>
      <c r="L106" s="4"/>
      <c r="M106" s="4"/>
      <c r="N106" s="136"/>
      <c r="O106" s="2"/>
      <c r="P106" s="2"/>
      <c r="Q106" s="2"/>
      <c r="S106" s="2"/>
      <c r="T106" s="140"/>
      <c r="U106" s="4"/>
      <c r="V106" s="4" t="s">
        <v>580</v>
      </c>
      <c r="W106" s="4"/>
      <c r="X106" s="4"/>
      <c r="Y106" s="4"/>
      <c r="Z106" s="4"/>
      <c r="AA106" s="4"/>
      <c r="AB106" s="4"/>
      <c r="AC106" s="4"/>
      <c r="AD106" s="4"/>
      <c r="AE106" s="136"/>
      <c r="AF106" s="2"/>
      <c r="AG106" s="2"/>
      <c r="AH106" s="2"/>
      <c r="AJ106" s="2"/>
      <c r="AK106" s="140"/>
      <c r="AL106" s="4"/>
      <c r="AM106" s="4" t="s">
        <v>580</v>
      </c>
      <c r="AN106" s="4"/>
      <c r="AO106" s="4"/>
      <c r="AP106" s="4"/>
      <c r="AQ106" s="4"/>
      <c r="AR106" s="4"/>
      <c r="AS106" s="4"/>
      <c r="AT106" s="4"/>
      <c r="AU106" s="4"/>
      <c r="AV106" s="136"/>
      <c r="AW106" s="2"/>
      <c r="BB106" s="140"/>
      <c r="BC106" s="4"/>
      <c r="BD106" s="4" t="s">
        <v>580</v>
      </c>
      <c r="BE106" s="4"/>
      <c r="BF106" s="4"/>
      <c r="BG106" s="4"/>
      <c r="BH106" s="4"/>
      <c r="BI106" s="4"/>
      <c r="BJ106" s="4"/>
      <c r="BK106" s="4"/>
      <c r="BL106" s="4"/>
      <c r="BM106" s="136"/>
      <c r="BS106" s="140"/>
      <c r="BT106" s="4"/>
      <c r="BU106" s="4" t="s">
        <v>580</v>
      </c>
      <c r="BV106" s="4"/>
      <c r="BW106" s="4"/>
      <c r="BX106" s="4"/>
      <c r="BY106" s="4"/>
      <c r="BZ106" s="4"/>
      <c r="CA106" s="4"/>
      <c r="CB106" s="4"/>
      <c r="CC106" s="4"/>
      <c r="CD106" s="136"/>
      <c r="CE106" s="2"/>
      <c r="CJ106" s="140"/>
      <c r="CK106" s="4"/>
      <c r="CL106" s="4" t="s">
        <v>580</v>
      </c>
      <c r="CM106" s="4"/>
      <c r="CN106" s="4"/>
      <c r="CO106" s="4"/>
      <c r="CP106" s="4"/>
      <c r="CQ106" s="4"/>
      <c r="CR106" s="4"/>
      <c r="CS106" s="4"/>
      <c r="CT106" s="4"/>
      <c r="CU106" s="136"/>
    </row>
    <row r="107" spans="2:99" ht="15.5" x14ac:dyDescent="0.35">
      <c r="B107" s="2"/>
      <c r="C107" s="140"/>
      <c r="D107" s="4"/>
      <c r="E107" s="4" t="s">
        <v>837</v>
      </c>
      <c r="F107" s="4"/>
      <c r="G107" s="4"/>
      <c r="H107" s="4"/>
      <c r="I107" s="4"/>
      <c r="J107" s="4"/>
      <c r="K107" s="4"/>
      <c r="L107" s="4"/>
      <c r="M107" s="4"/>
      <c r="N107" s="136"/>
      <c r="O107" s="2"/>
      <c r="P107" s="2"/>
      <c r="Q107" s="2"/>
      <c r="S107" s="2"/>
      <c r="T107" s="140"/>
      <c r="U107" s="4"/>
      <c r="V107" s="4" t="s">
        <v>837</v>
      </c>
      <c r="W107" s="4"/>
      <c r="X107" s="4"/>
      <c r="Y107" s="4"/>
      <c r="Z107" s="4"/>
      <c r="AA107" s="4"/>
      <c r="AB107" s="4"/>
      <c r="AC107" s="4"/>
      <c r="AD107" s="4"/>
      <c r="AE107" s="136"/>
      <c r="AF107" s="2"/>
      <c r="AG107" s="2"/>
      <c r="AH107" s="2"/>
      <c r="AJ107" s="2"/>
      <c r="AK107" s="140"/>
      <c r="AL107" s="4"/>
      <c r="AM107" s="4" t="s">
        <v>837</v>
      </c>
      <c r="AN107" s="4"/>
      <c r="AO107" s="4"/>
      <c r="AP107" s="4"/>
      <c r="AQ107" s="4"/>
      <c r="AR107" s="4"/>
      <c r="AS107" s="4"/>
      <c r="AT107" s="4"/>
      <c r="AU107" s="4"/>
      <c r="AV107" s="136"/>
      <c r="AW107" s="2"/>
      <c r="BB107" s="140"/>
      <c r="BC107" s="4"/>
      <c r="BD107" s="4" t="s">
        <v>837</v>
      </c>
      <c r="BE107" s="4"/>
      <c r="BF107" s="4"/>
      <c r="BG107" s="4"/>
      <c r="BH107" s="4"/>
      <c r="BI107" s="4"/>
      <c r="BJ107" s="4"/>
      <c r="BK107" s="4"/>
      <c r="BL107" s="4"/>
      <c r="BM107" s="136"/>
      <c r="BS107" s="140"/>
      <c r="BT107" s="4"/>
      <c r="BU107" s="4" t="s">
        <v>837</v>
      </c>
      <c r="BV107" s="4"/>
      <c r="BW107" s="4"/>
      <c r="BX107" s="4"/>
      <c r="BY107" s="4"/>
      <c r="BZ107" s="4"/>
      <c r="CA107" s="4"/>
      <c r="CB107" s="4"/>
      <c r="CC107" s="4"/>
      <c r="CD107" s="136"/>
      <c r="CE107" s="2"/>
      <c r="CJ107" s="140"/>
      <c r="CK107" s="4"/>
      <c r="CL107" s="4" t="s">
        <v>837</v>
      </c>
      <c r="CM107" s="4"/>
      <c r="CN107" s="4"/>
      <c r="CO107" s="4"/>
      <c r="CP107" s="4"/>
      <c r="CQ107" s="4"/>
      <c r="CR107" s="4"/>
      <c r="CS107" s="4"/>
      <c r="CT107" s="4"/>
      <c r="CU107" s="136"/>
    </row>
    <row r="108" spans="2:99" ht="15.5" x14ac:dyDescent="0.35">
      <c r="B108" s="2"/>
      <c r="C108" s="140"/>
      <c r="D108" s="4"/>
      <c r="E108" s="4"/>
      <c r="F108" s="4" t="s">
        <v>581</v>
      </c>
      <c r="G108" s="4" t="s">
        <v>582</v>
      </c>
      <c r="H108" s="4" t="s">
        <v>583</v>
      </c>
      <c r="I108" s="4" t="s">
        <v>584</v>
      </c>
      <c r="J108" s="4" t="s">
        <v>123</v>
      </c>
      <c r="K108" s="4"/>
      <c r="L108" s="4"/>
      <c r="M108" s="4"/>
      <c r="N108" s="136"/>
      <c r="O108" s="2"/>
      <c r="P108" s="2"/>
      <c r="Q108" s="2"/>
      <c r="S108" s="2"/>
      <c r="T108" s="140"/>
      <c r="U108" s="4"/>
      <c r="V108" s="4"/>
      <c r="W108" s="4" t="s">
        <v>581</v>
      </c>
      <c r="X108" s="4" t="s">
        <v>582</v>
      </c>
      <c r="Y108" s="4" t="s">
        <v>583</v>
      </c>
      <c r="Z108" s="4" t="s">
        <v>584</v>
      </c>
      <c r="AA108" s="4" t="s">
        <v>123</v>
      </c>
      <c r="AB108" s="4"/>
      <c r="AC108" s="4"/>
      <c r="AD108" s="4"/>
      <c r="AE108" s="136"/>
      <c r="AF108" s="2"/>
      <c r="AG108" s="2"/>
      <c r="AH108" s="2"/>
      <c r="AJ108" s="2"/>
      <c r="AK108" s="140"/>
      <c r="AL108" s="4"/>
      <c r="AM108" s="4"/>
      <c r="AN108" s="4" t="s">
        <v>581</v>
      </c>
      <c r="AO108" s="4" t="s">
        <v>582</v>
      </c>
      <c r="AP108" s="4" t="s">
        <v>583</v>
      </c>
      <c r="AQ108" s="4" t="s">
        <v>584</v>
      </c>
      <c r="AR108" s="4" t="s">
        <v>123</v>
      </c>
      <c r="AS108" s="4"/>
      <c r="AT108" s="4"/>
      <c r="AU108" s="4"/>
      <c r="AV108" s="136"/>
      <c r="AW108" s="2"/>
      <c r="BB108" s="140"/>
      <c r="BC108" s="4"/>
      <c r="BD108" s="4"/>
      <c r="BE108" s="4" t="s">
        <v>581</v>
      </c>
      <c r="BF108" s="4" t="s">
        <v>582</v>
      </c>
      <c r="BG108" s="4" t="s">
        <v>583</v>
      </c>
      <c r="BH108" s="4" t="s">
        <v>584</v>
      </c>
      <c r="BI108" s="4" t="s">
        <v>123</v>
      </c>
      <c r="BJ108" s="4"/>
      <c r="BK108" s="4"/>
      <c r="BL108" s="4"/>
      <c r="BM108" s="136"/>
      <c r="BS108" s="140"/>
      <c r="BT108" s="4"/>
      <c r="BU108" s="4"/>
      <c r="BV108" s="4" t="s">
        <v>581</v>
      </c>
      <c r="BW108" s="4" t="s">
        <v>582</v>
      </c>
      <c r="BX108" s="4" t="s">
        <v>583</v>
      </c>
      <c r="BY108" s="4" t="s">
        <v>584</v>
      </c>
      <c r="BZ108" s="4" t="s">
        <v>123</v>
      </c>
      <c r="CA108" s="4"/>
      <c r="CB108" s="4"/>
      <c r="CC108" s="4"/>
      <c r="CD108" s="136"/>
      <c r="CE108" s="2"/>
      <c r="CJ108" s="140"/>
      <c r="CK108" s="4"/>
      <c r="CL108" s="4"/>
      <c r="CM108" s="4" t="s">
        <v>581</v>
      </c>
      <c r="CN108" s="4" t="s">
        <v>582</v>
      </c>
      <c r="CO108" s="4" t="s">
        <v>583</v>
      </c>
      <c r="CP108" s="4" t="s">
        <v>584</v>
      </c>
      <c r="CQ108" s="4" t="s">
        <v>123</v>
      </c>
      <c r="CR108" s="4"/>
      <c r="CS108" s="4"/>
      <c r="CT108" s="4"/>
      <c r="CU108" s="136"/>
    </row>
    <row r="109" spans="2:99" ht="15.5" x14ac:dyDescent="0.35">
      <c r="B109" s="2"/>
      <c r="C109" s="140"/>
      <c r="D109" s="4"/>
      <c r="E109" s="223" t="s">
        <v>672</v>
      </c>
      <c r="F109" s="4">
        <v>961.30600000000004</v>
      </c>
      <c r="G109" s="4">
        <v>15</v>
      </c>
      <c r="H109" s="4">
        <v>64.087000000000003</v>
      </c>
      <c r="I109" s="4">
        <v>9.9659999999999993</v>
      </c>
      <c r="J109" s="307" t="s">
        <v>833</v>
      </c>
      <c r="K109" s="238"/>
      <c r="L109" s="238"/>
      <c r="M109" s="238"/>
      <c r="N109" s="136"/>
      <c r="O109" s="2"/>
      <c r="P109" s="2"/>
      <c r="Q109" s="2"/>
      <c r="S109" s="2"/>
      <c r="T109" s="140"/>
      <c r="U109" s="4"/>
      <c r="V109" s="223" t="s">
        <v>672</v>
      </c>
      <c r="W109" s="4">
        <v>960.82</v>
      </c>
      <c r="X109" s="4">
        <v>15</v>
      </c>
      <c r="Y109" s="4">
        <v>4922.5540000000001</v>
      </c>
      <c r="Z109" s="4">
        <v>11.356999999999999</v>
      </c>
      <c r="AA109" s="307" t="s">
        <v>833</v>
      </c>
      <c r="AB109" s="238"/>
      <c r="AC109" s="238"/>
      <c r="AD109" s="238"/>
      <c r="AE109" s="136"/>
      <c r="AF109" s="2"/>
      <c r="AG109" s="2"/>
      <c r="AH109" s="2"/>
      <c r="AJ109" s="2"/>
      <c r="AK109" s="140"/>
      <c r="AL109" s="4"/>
      <c r="AM109" s="223" t="s">
        <v>672</v>
      </c>
      <c r="AN109" s="4">
        <v>224.10499999999999</v>
      </c>
      <c r="AO109" s="4">
        <v>5</v>
      </c>
      <c r="AP109" s="4">
        <v>44.820999999999998</v>
      </c>
      <c r="AQ109" s="4">
        <v>5.6820000000000004</v>
      </c>
      <c r="AR109" s="307">
        <v>2.1999999999999999E-2</v>
      </c>
      <c r="AS109" s="238"/>
      <c r="AT109" s="238"/>
      <c r="AU109" s="238"/>
      <c r="AV109" s="136"/>
      <c r="AW109" s="2"/>
      <c r="BB109" s="140"/>
      <c r="BC109" s="4"/>
      <c r="BD109" s="223" t="s">
        <v>672</v>
      </c>
      <c r="BE109" s="4">
        <v>100.116</v>
      </c>
      <c r="BF109" s="4">
        <v>5</v>
      </c>
      <c r="BG109" s="4">
        <v>20.023</v>
      </c>
      <c r="BH109" s="4">
        <v>38.082000000000001</v>
      </c>
      <c r="BI109" s="307" t="s">
        <v>833</v>
      </c>
      <c r="BJ109" s="238"/>
      <c r="BK109" s="238"/>
      <c r="BL109" s="238"/>
      <c r="BM109" s="136"/>
      <c r="BS109" s="140"/>
      <c r="BT109" s="4"/>
      <c r="BU109" s="223" t="s">
        <v>672</v>
      </c>
      <c r="BV109" s="4">
        <v>61.02</v>
      </c>
      <c r="BW109" s="4">
        <v>3</v>
      </c>
      <c r="BX109" s="4">
        <v>20.34</v>
      </c>
      <c r="BY109" s="4">
        <v>35.121000000000002</v>
      </c>
      <c r="BZ109" s="307"/>
      <c r="CA109" s="238"/>
      <c r="CB109" s="238"/>
      <c r="CC109" s="238"/>
      <c r="CD109" s="136"/>
      <c r="CE109" s="2"/>
      <c r="CJ109" s="140"/>
      <c r="CK109" s="4"/>
      <c r="CL109" s="223" t="s">
        <v>672</v>
      </c>
      <c r="CM109" s="4">
        <v>96.2</v>
      </c>
      <c r="CN109" s="4">
        <v>3</v>
      </c>
      <c r="CO109" s="4">
        <v>32.06</v>
      </c>
      <c r="CP109" s="4">
        <v>31.702000000000002</v>
      </c>
      <c r="CQ109" s="307"/>
      <c r="CR109" s="238"/>
      <c r="CS109" s="238"/>
      <c r="CT109" s="238"/>
      <c r="CU109" s="136"/>
    </row>
    <row r="110" spans="2:99" ht="15.5" x14ac:dyDescent="0.35">
      <c r="B110" s="2"/>
      <c r="C110" s="140"/>
      <c r="D110" s="4"/>
      <c r="E110" s="223" t="s">
        <v>673</v>
      </c>
      <c r="F110" s="4">
        <v>34.729999999999997</v>
      </c>
      <c r="G110" s="4">
        <v>2</v>
      </c>
      <c r="H110" s="4">
        <v>17.364999999999998</v>
      </c>
      <c r="I110" s="4"/>
      <c r="J110" s="238"/>
      <c r="K110" s="238"/>
      <c r="L110" s="238"/>
      <c r="M110" s="4"/>
      <c r="N110" s="136"/>
      <c r="O110" s="2"/>
      <c r="P110" s="2"/>
      <c r="Q110" s="2"/>
      <c r="S110" s="2"/>
      <c r="T110" s="140"/>
      <c r="U110" s="4"/>
      <c r="V110" s="223" t="s">
        <v>673</v>
      </c>
      <c r="W110" s="4">
        <v>398.55099999999999</v>
      </c>
      <c r="X110" s="4">
        <v>2</v>
      </c>
      <c r="Y110" s="4">
        <v>199.27600000000001</v>
      </c>
      <c r="Z110" s="4"/>
      <c r="AA110" s="238"/>
      <c r="AB110" s="238"/>
      <c r="AC110" s="238"/>
      <c r="AD110" s="4"/>
      <c r="AE110" s="136"/>
      <c r="AF110" s="2"/>
      <c r="AG110" s="2"/>
      <c r="AH110" s="2"/>
      <c r="AJ110" s="2"/>
      <c r="AK110" s="140"/>
      <c r="AL110" s="4"/>
      <c r="AM110" s="223" t="s">
        <v>673</v>
      </c>
      <c r="AN110" s="4">
        <v>24.318999999999999</v>
      </c>
      <c r="AO110" s="4">
        <v>2</v>
      </c>
      <c r="AP110" s="4">
        <v>12.159000000000001</v>
      </c>
      <c r="AQ110" s="4"/>
      <c r="AR110" s="238"/>
      <c r="AS110" s="238"/>
      <c r="AT110" s="238"/>
      <c r="AU110" s="4"/>
      <c r="AV110" s="136"/>
      <c r="AW110" s="2"/>
      <c r="BB110" s="140"/>
      <c r="BC110" s="4"/>
      <c r="BD110" s="223" t="s">
        <v>673</v>
      </c>
      <c r="BE110" s="4">
        <v>118.328</v>
      </c>
      <c r="BF110" s="4">
        <v>2</v>
      </c>
      <c r="BG110" s="4">
        <v>59.164000000000001</v>
      </c>
      <c r="BH110" s="4"/>
      <c r="BI110" s="238"/>
      <c r="BJ110" s="238"/>
      <c r="BK110" s="238"/>
      <c r="BL110" s="4"/>
      <c r="BM110" s="136"/>
      <c r="BS110" s="140"/>
      <c r="BT110" s="4"/>
      <c r="BU110" s="223" t="s">
        <v>673</v>
      </c>
      <c r="BV110" s="4">
        <v>35.892000000000003</v>
      </c>
      <c r="BW110" s="4">
        <v>2</v>
      </c>
      <c r="BX110" s="4">
        <v>17.946000000000002</v>
      </c>
      <c r="BY110" s="4">
        <v>26.555</v>
      </c>
      <c r="BZ110" s="239">
        <v>1E-3</v>
      </c>
      <c r="CA110" s="238"/>
      <c r="CB110" s="238"/>
      <c r="CC110" s="4"/>
      <c r="CD110" s="136"/>
      <c r="CE110" s="2"/>
      <c r="CJ110" s="140"/>
      <c r="CK110" s="4"/>
      <c r="CL110" s="223" t="s">
        <v>673</v>
      </c>
      <c r="CM110" s="4">
        <v>150.21600000000001</v>
      </c>
      <c r="CN110" s="4">
        <v>2</v>
      </c>
      <c r="CO110" s="4">
        <v>75.108000000000004</v>
      </c>
      <c r="CP110" s="4">
        <v>31.684000000000001</v>
      </c>
      <c r="CQ110" s="239">
        <v>1E-3</v>
      </c>
      <c r="CR110" s="238"/>
      <c r="CS110" s="238"/>
      <c r="CT110" s="4"/>
      <c r="CU110" s="136"/>
    </row>
    <row r="111" spans="2:99" ht="15.5" x14ac:dyDescent="0.35">
      <c r="B111" s="2"/>
      <c r="C111" s="140"/>
      <c r="D111" s="4"/>
      <c r="E111" s="223" t="s">
        <v>674</v>
      </c>
      <c r="F111" s="4">
        <v>52.271999999999998</v>
      </c>
      <c r="G111" s="4">
        <v>30</v>
      </c>
      <c r="H111" s="4">
        <v>1.742</v>
      </c>
      <c r="I111" s="4"/>
      <c r="J111" s="4"/>
      <c r="K111" s="4"/>
      <c r="L111" s="4"/>
      <c r="M111" s="4"/>
      <c r="N111" s="136"/>
      <c r="O111" s="2"/>
      <c r="P111" s="2"/>
      <c r="Q111" s="2"/>
      <c r="S111" s="2"/>
      <c r="T111" s="140"/>
      <c r="U111" s="4"/>
      <c r="V111" s="223" t="s">
        <v>674</v>
      </c>
      <c r="W111" s="4">
        <v>526.38800000000003</v>
      </c>
      <c r="X111" s="4">
        <v>30</v>
      </c>
      <c r="Y111" s="4">
        <v>17.545999999999999</v>
      </c>
      <c r="Z111" s="4"/>
      <c r="AA111" s="4"/>
      <c r="AB111" s="4"/>
      <c r="AC111" s="4"/>
      <c r="AD111" s="4"/>
      <c r="AE111" s="136"/>
      <c r="AF111" s="2"/>
      <c r="AG111" s="2"/>
      <c r="AH111" s="2"/>
      <c r="AK111" s="140"/>
      <c r="AL111" s="4"/>
      <c r="AM111" s="223" t="s">
        <v>674</v>
      </c>
      <c r="AN111" s="4">
        <v>21.401</v>
      </c>
      <c r="AO111" s="4">
        <v>10</v>
      </c>
      <c r="AP111" s="4">
        <v>2.14</v>
      </c>
      <c r="AQ111" s="4"/>
      <c r="AR111" s="4"/>
      <c r="AS111" s="4"/>
      <c r="AT111" s="4"/>
      <c r="AU111" s="4"/>
      <c r="AV111" s="136"/>
      <c r="BB111" s="140"/>
      <c r="BC111" s="4"/>
      <c r="BD111" s="223" t="s">
        <v>674</v>
      </c>
      <c r="BE111" s="4">
        <v>15.536</v>
      </c>
      <c r="BF111" s="4">
        <v>10</v>
      </c>
      <c r="BG111" s="4">
        <v>1.554</v>
      </c>
      <c r="BH111" s="4"/>
      <c r="BI111" s="4"/>
      <c r="BJ111" s="4"/>
      <c r="BK111" s="4"/>
      <c r="BL111" s="4"/>
      <c r="BM111" s="136"/>
      <c r="BS111" s="140"/>
      <c r="BT111" s="4"/>
      <c r="BU111" s="223" t="s">
        <v>674</v>
      </c>
      <c r="BV111" s="4">
        <v>4.0549999999999997</v>
      </c>
      <c r="BW111" s="4">
        <v>6</v>
      </c>
      <c r="BX111" s="4">
        <v>0.67600000000000005</v>
      </c>
      <c r="BY111" s="4"/>
      <c r="BZ111" s="4"/>
      <c r="CA111" s="4"/>
      <c r="CB111" s="4"/>
      <c r="CC111" s="4"/>
      <c r="CD111" s="136"/>
      <c r="CJ111" s="140"/>
      <c r="CK111" s="4"/>
      <c r="CL111" s="223" t="s">
        <v>674</v>
      </c>
      <c r="CM111" s="4">
        <v>14.223000000000001</v>
      </c>
      <c r="CN111" s="4">
        <v>6</v>
      </c>
      <c r="CO111" s="4">
        <v>2.37</v>
      </c>
      <c r="CP111" s="4"/>
      <c r="CQ111" s="4"/>
      <c r="CR111" s="4"/>
      <c r="CS111" s="4"/>
      <c r="CT111" s="4"/>
      <c r="CU111" s="136"/>
    </row>
    <row r="112" spans="2:99" ht="15.5" x14ac:dyDescent="0.35">
      <c r="B112" s="2"/>
      <c r="C112" s="140"/>
      <c r="D112" s="4"/>
      <c r="E112" s="223"/>
      <c r="F112" s="4"/>
      <c r="G112" s="4"/>
      <c r="H112" s="4"/>
      <c r="I112" s="4"/>
      <c r="J112" s="4"/>
      <c r="K112" s="4"/>
      <c r="L112" s="4"/>
      <c r="M112" s="4"/>
      <c r="N112" s="136"/>
      <c r="O112" s="2"/>
      <c r="P112" s="2"/>
      <c r="Q112" s="2"/>
      <c r="S112" s="2"/>
      <c r="T112" s="140"/>
      <c r="U112" s="4"/>
      <c r="V112" s="223"/>
      <c r="W112" s="4"/>
      <c r="X112" s="4"/>
      <c r="Y112" s="4"/>
      <c r="Z112" s="4"/>
      <c r="AA112" s="4"/>
      <c r="AB112" s="4"/>
      <c r="AC112" s="4"/>
      <c r="AD112" s="4"/>
      <c r="AE112" s="136"/>
      <c r="AF112" s="2"/>
      <c r="AG112" s="2"/>
      <c r="AH112" s="2"/>
      <c r="AK112" s="140"/>
      <c r="AL112" s="4"/>
      <c r="AM112" s="223"/>
      <c r="AN112" s="4"/>
      <c r="AO112" s="4"/>
      <c r="AP112" s="4"/>
      <c r="AQ112" s="4"/>
      <c r="AR112" s="4"/>
      <c r="AS112" s="4"/>
      <c r="AT112" s="4"/>
      <c r="AU112" s="4"/>
      <c r="AV112" s="136"/>
      <c r="BB112" s="140"/>
      <c r="BC112" s="4"/>
      <c r="BD112" s="223"/>
      <c r="BE112" s="4"/>
      <c r="BF112" s="4"/>
      <c r="BG112" s="4"/>
      <c r="BH112" s="4"/>
      <c r="BI112" s="4"/>
      <c r="BJ112" s="4"/>
      <c r="BK112" s="4"/>
      <c r="BL112" s="4"/>
      <c r="BM112" s="136"/>
      <c r="BS112" s="140"/>
      <c r="BT112" s="4"/>
      <c r="BU112" s="223"/>
      <c r="BV112" s="4"/>
      <c r="BW112" s="4"/>
      <c r="BX112" s="4"/>
      <c r="BY112" s="4"/>
      <c r="BZ112" s="4"/>
      <c r="CA112" s="4"/>
      <c r="CB112" s="4"/>
      <c r="CC112" s="4"/>
      <c r="CD112" s="136"/>
      <c r="CJ112" s="140"/>
      <c r="CK112" s="4"/>
      <c r="CL112" s="223"/>
      <c r="CM112" s="4"/>
      <c r="CN112" s="4"/>
      <c r="CO112" s="4"/>
      <c r="CP112" s="4"/>
      <c r="CQ112" s="4"/>
      <c r="CR112" s="4"/>
      <c r="CS112" s="4"/>
      <c r="CT112" s="4"/>
      <c r="CU112" s="136"/>
    </row>
    <row r="113" spans="2:99" ht="15.5" x14ac:dyDescent="0.35">
      <c r="B113" s="2"/>
      <c r="C113" s="140"/>
      <c r="D113" s="4"/>
      <c r="E113" s="240" t="s">
        <v>814</v>
      </c>
      <c r="F113" s="4"/>
      <c r="G113" s="4"/>
      <c r="H113" s="4"/>
      <c r="I113" s="4"/>
      <c r="J113" s="4"/>
      <c r="K113" s="4"/>
      <c r="L113" s="4"/>
      <c r="M113" s="4"/>
      <c r="N113" s="136"/>
      <c r="O113" s="2"/>
      <c r="P113" s="2"/>
      <c r="Q113" s="2"/>
      <c r="S113" s="2"/>
      <c r="T113" s="140"/>
      <c r="U113" s="4"/>
      <c r="V113" s="240" t="s">
        <v>814</v>
      </c>
      <c r="W113" s="4"/>
      <c r="X113" s="4"/>
      <c r="Y113" s="4"/>
      <c r="Z113" s="4"/>
      <c r="AA113" s="4"/>
      <c r="AB113" s="4"/>
      <c r="AC113" s="4"/>
      <c r="AD113" s="4"/>
      <c r="AE113" s="136"/>
      <c r="AF113" s="2"/>
      <c r="AG113" s="2"/>
      <c r="AH113" s="2"/>
      <c r="AK113" s="140"/>
      <c r="AL113" s="4"/>
      <c r="AM113" s="240" t="s">
        <v>814</v>
      </c>
      <c r="AN113" s="4"/>
      <c r="AO113" s="4"/>
      <c r="AP113" s="4"/>
      <c r="AQ113" s="4"/>
      <c r="AR113" s="4"/>
      <c r="AS113" s="4"/>
      <c r="AT113" s="4"/>
      <c r="AU113" s="4"/>
      <c r="AV113" s="136"/>
      <c r="BB113" s="140"/>
      <c r="BC113" s="4"/>
      <c r="BD113" s="240" t="s">
        <v>814</v>
      </c>
      <c r="BE113" s="4"/>
      <c r="BF113" s="4"/>
      <c r="BG113" s="4"/>
      <c r="BH113" s="4"/>
      <c r="BI113" s="4"/>
      <c r="BJ113" s="4"/>
      <c r="BK113" s="4"/>
      <c r="BL113" s="4"/>
      <c r="BM113" s="136"/>
      <c r="BS113" s="140"/>
      <c r="BT113" s="4"/>
      <c r="BU113" s="240" t="s">
        <v>814</v>
      </c>
      <c r="BV113" s="4"/>
      <c r="BW113" s="4"/>
      <c r="BX113" s="4"/>
      <c r="BY113" s="4"/>
      <c r="BZ113" s="4"/>
      <c r="CA113" s="4"/>
      <c r="CB113" s="4"/>
      <c r="CC113" s="4"/>
      <c r="CD113" s="136"/>
      <c r="CJ113" s="140"/>
      <c r="CK113" s="4"/>
      <c r="CL113" s="240" t="s">
        <v>814</v>
      </c>
      <c r="CM113" s="4"/>
      <c r="CN113" s="4"/>
      <c r="CO113" s="4"/>
      <c r="CP113" s="4"/>
      <c r="CQ113" s="4"/>
      <c r="CR113" s="4"/>
      <c r="CS113" s="4"/>
      <c r="CT113" s="4"/>
      <c r="CU113" s="136"/>
    </row>
    <row r="114" spans="2:99" ht="15.5" x14ac:dyDescent="0.35">
      <c r="B114" s="2"/>
      <c r="C114" s="140"/>
      <c r="D114" s="4"/>
      <c r="E114" s="4"/>
      <c r="F114" s="4"/>
      <c r="G114" s="4"/>
      <c r="H114" s="4"/>
      <c r="I114" s="4" t="s">
        <v>123</v>
      </c>
      <c r="J114" s="14"/>
      <c r="K114" s="4"/>
      <c r="L114" s="4"/>
      <c r="M114" s="4"/>
      <c r="N114" s="136"/>
      <c r="O114" s="2"/>
      <c r="P114" s="2"/>
      <c r="Q114" s="2"/>
      <c r="S114" s="2"/>
      <c r="T114" s="140"/>
      <c r="U114" s="4"/>
      <c r="V114" s="4"/>
      <c r="W114" s="4"/>
      <c r="X114" s="4"/>
      <c r="Y114" s="4"/>
      <c r="Z114" s="4" t="s">
        <v>123</v>
      </c>
      <c r="AA114" s="4"/>
      <c r="AB114" s="4"/>
      <c r="AC114" s="4"/>
      <c r="AD114" s="4"/>
      <c r="AE114" s="136"/>
      <c r="AF114" s="2"/>
      <c r="AG114" s="2"/>
      <c r="AH114" s="2"/>
      <c r="AK114" s="140"/>
      <c r="AL114" s="4"/>
      <c r="AM114" s="4"/>
      <c r="AN114" s="4"/>
      <c r="AO114" s="4"/>
      <c r="AP114" s="4"/>
      <c r="AQ114" s="4" t="s">
        <v>123</v>
      </c>
      <c r="AR114" s="4"/>
      <c r="AS114" s="4"/>
      <c r="AT114" s="4"/>
      <c r="AU114" s="4"/>
      <c r="AV114" s="136"/>
      <c r="BB114" s="140"/>
      <c r="BC114" s="4"/>
      <c r="BD114" s="4"/>
      <c r="BE114" s="4"/>
      <c r="BF114" s="4"/>
      <c r="BG114" s="4"/>
      <c r="BH114" s="4" t="s">
        <v>123</v>
      </c>
      <c r="BI114" s="4"/>
      <c r="BJ114" s="4"/>
      <c r="BK114" s="4"/>
      <c r="BL114" s="4"/>
      <c r="BM114" s="136"/>
      <c r="BS114" s="140"/>
      <c r="BT114" s="4"/>
      <c r="BU114" s="4"/>
      <c r="BV114" s="4"/>
      <c r="BW114" s="4"/>
      <c r="BX114" s="4"/>
      <c r="BY114" s="4" t="s">
        <v>123</v>
      </c>
      <c r="BZ114" s="4"/>
      <c r="CA114" s="4"/>
      <c r="CB114" s="4"/>
      <c r="CC114" s="4"/>
      <c r="CD114" s="136"/>
      <c r="CJ114" s="140"/>
      <c r="CK114" s="4"/>
      <c r="CL114" s="4"/>
      <c r="CM114" s="4"/>
      <c r="CN114" s="4"/>
      <c r="CO114" s="4"/>
      <c r="CP114" s="4" t="s">
        <v>123</v>
      </c>
      <c r="CQ114" s="4"/>
      <c r="CR114" s="4"/>
      <c r="CS114" s="4"/>
      <c r="CT114" s="4"/>
      <c r="CU114" s="136"/>
    </row>
    <row r="115" spans="2:99" ht="15.5" x14ac:dyDescent="0.35">
      <c r="B115" s="2"/>
      <c r="C115" s="140"/>
      <c r="D115" s="4"/>
      <c r="E115" s="164" t="s">
        <v>834</v>
      </c>
      <c r="F115" s="164"/>
      <c r="G115" s="164"/>
      <c r="H115" s="164"/>
      <c r="I115" s="14">
        <v>1E-3</v>
      </c>
      <c r="J115" s="14" t="s">
        <v>60</v>
      </c>
      <c r="K115" s="4"/>
      <c r="L115" s="4"/>
      <c r="M115" s="4"/>
      <c r="N115" s="136"/>
      <c r="O115" s="2"/>
      <c r="P115" s="2"/>
      <c r="Q115" s="2"/>
      <c r="S115" s="2"/>
      <c r="T115" s="140"/>
      <c r="U115" s="4"/>
      <c r="V115" s="164" t="s">
        <v>834</v>
      </c>
      <c r="W115" s="164"/>
      <c r="X115" s="164"/>
      <c r="Y115" s="164"/>
      <c r="Z115" s="14">
        <v>1.4999999999999999E-2</v>
      </c>
      <c r="AA115" s="14" t="s">
        <v>60</v>
      </c>
      <c r="AB115" s="4"/>
      <c r="AC115" s="4"/>
      <c r="AD115" s="4"/>
      <c r="AE115" s="136"/>
      <c r="AF115" s="2"/>
      <c r="AG115" s="2"/>
      <c r="AH115" s="2"/>
      <c r="AK115" s="140"/>
      <c r="AL115" s="4"/>
      <c r="AM115" s="164" t="s">
        <v>834</v>
      </c>
      <c r="AN115" s="164"/>
      <c r="AO115" s="164"/>
      <c r="AP115" s="164"/>
      <c r="AQ115" s="164">
        <v>9.0999999999999998E-2</v>
      </c>
      <c r="AR115" s="164"/>
      <c r="AS115" s="4"/>
      <c r="AT115" s="4"/>
      <c r="AU115" s="4"/>
      <c r="AV115" s="136"/>
      <c r="BB115" s="140"/>
      <c r="BC115" s="4"/>
      <c r="BD115" s="164" t="s">
        <v>834</v>
      </c>
      <c r="BE115" s="164"/>
      <c r="BF115" s="164"/>
      <c r="BG115" s="164"/>
      <c r="BH115" s="164">
        <v>1E-3</v>
      </c>
      <c r="BI115" s="164"/>
      <c r="BJ115" s="4"/>
      <c r="BK115" s="4"/>
      <c r="BL115" s="4"/>
      <c r="BM115" s="136"/>
      <c r="BS115" s="140"/>
      <c r="BT115" s="4"/>
      <c r="BU115" s="164" t="s">
        <v>834</v>
      </c>
      <c r="BV115" s="164"/>
      <c r="BW115" s="164"/>
      <c r="BX115" s="164"/>
      <c r="BY115" s="14">
        <v>4.8000000000000001E-2</v>
      </c>
      <c r="BZ115" s="164"/>
      <c r="CA115" s="4"/>
      <c r="CB115" s="4"/>
      <c r="CC115" s="4"/>
      <c r="CD115" s="136"/>
      <c r="CJ115" s="140"/>
      <c r="CK115" s="4"/>
      <c r="CL115" s="164" t="s">
        <v>834</v>
      </c>
      <c r="CM115" s="164"/>
      <c r="CN115" s="164"/>
      <c r="CO115" s="164"/>
      <c r="CP115" s="14">
        <v>3.5000000000000003E-2</v>
      </c>
      <c r="CQ115" s="164"/>
      <c r="CR115" s="4"/>
      <c r="CS115" s="4"/>
      <c r="CT115" s="4"/>
      <c r="CU115" s="136"/>
    </row>
    <row r="116" spans="2:99" ht="15.5" x14ac:dyDescent="0.35">
      <c r="B116" s="2"/>
      <c r="C116" s="140"/>
      <c r="D116" s="4"/>
      <c r="E116" s="164" t="s">
        <v>836</v>
      </c>
      <c r="F116" s="164"/>
      <c r="G116" s="164"/>
      <c r="H116" s="164"/>
      <c r="I116" s="164">
        <v>0.14299999999999999</v>
      </c>
      <c r="J116" s="164"/>
      <c r="K116" s="4"/>
      <c r="L116" s="4"/>
      <c r="M116" s="4"/>
      <c r="N116" s="136"/>
      <c r="O116" s="2"/>
      <c r="P116" s="2"/>
      <c r="Q116" s="2"/>
      <c r="S116" s="2"/>
      <c r="T116" s="140"/>
      <c r="U116" s="4"/>
      <c r="V116" s="164" t="s">
        <v>836</v>
      </c>
      <c r="W116" s="164"/>
      <c r="X116" s="164"/>
      <c r="Y116" s="164"/>
      <c r="Z116" s="164">
        <v>1</v>
      </c>
      <c r="AA116" s="14"/>
      <c r="AB116" s="4"/>
      <c r="AC116" s="4"/>
      <c r="AD116" s="4"/>
      <c r="AE116" s="136"/>
      <c r="AF116" s="2"/>
      <c r="AG116" s="2"/>
      <c r="AH116" s="2"/>
      <c r="AK116" s="140"/>
      <c r="AL116" s="4"/>
      <c r="AM116" s="164" t="s">
        <v>836</v>
      </c>
      <c r="AN116" s="164"/>
      <c r="AO116" s="164"/>
      <c r="AP116" s="164"/>
      <c r="AQ116" s="164">
        <v>0.35399999999999998</v>
      </c>
      <c r="AR116" s="164"/>
      <c r="AS116" s="4"/>
      <c r="AT116" s="4"/>
      <c r="AU116" s="4"/>
      <c r="AV116" s="136"/>
      <c r="BB116" s="140"/>
      <c r="BC116" s="4"/>
      <c r="BD116" s="164" t="s">
        <v>836</v>
      </c>
      <c r="BE116" s="164"/>
      <c r="BF116" s="164"/>
      <c r="BG116" s="164"/>
      <c r="BH116" s="164">
        <v>1</v>
      </c>
      <c r="BI116" s="164"/>
      <c r="BJ116" s="4"/>
      <c r="BK116" s="4"/>
      <c r="BL116" s="4"/>
      <c r="BM116" s="136"/>
      <c r="BS116" s="140"/>
      <c r="BT116" s="4"/>
      <c r="BU116" s="164" t="s">
        <v>836</v>
      </c>
      <c r="BV116" s="164"/>
      <c r="BW116" s="164"/>
      <c r="BX116" s="164"/>
      <c r="BY116" s="164">
        <v>1</v>
      </c>
      <c r="BZ116" s="164"/>
      <c r="CA116" s="4"/>
      <c r="CB116" s="4"/>
      <c r="CC116" s="4"/>
      <c r="CD116" s="136"/>
      <c r="CJ116" s="140"/>
      <c r="CK116" s="4"/>
      <c r="CL116" s="164" t="s">
        <v>836</v>
      </c>
      <c r="CM116" s="164"/>
      <c r="CN116" s="164"/>
      <c r="CO116" s="164"/>
      <c r="CP116" s="164">
        <v>1</v>
      </c>
      <c r="CQ116" s="164"/>
      <c r="CR116" s="4"/>
      <c r="CS116" s="4"/>
      <c r="CT116" s="4"/>
      <c r="CU116" s="136"/>
    </row>
    <row r="117" spans="2:99" ht="15.5" x14ac:dyDescent="0.35">
      <c r="B117" s="2"/>
      <c r="C117" s="140"/>
      <c r="D117" s="4"/>
      <c r="E117" s="4" t="s">
        <v>835</v>
      </c>
      <c r="F117" s="4"/>
      <c r="G117" s="4"/>
      <c r="H117" s="4"/>
      <c r="I117" s="4">
        <v>0.16800000000000001</v>
      </c>
      <c r="J117" s="164"/>
      <c r="K117" s="4"/>
      <c r="L117" s="4"/>
      <c r="M117" s="4"/>
      <c r="N117" s="136"/>
      <c r="O117" s="2"/>
      <c r="P117" s="2"/>
      <c r="Q117" s="2"/>
      <c r="S117" s="2"/>
      <c r="T117" s="140"/>
      <c r="U117" s="4"/>
      <c r="V117" s="4" t="s">
        <v>835</v>
      </c>
      <c r="W117" s="4"/>
      <c r="X117" s="4"/>
      <c r="Y117" s="4"/>
      <c r="Z117" s="5">
        <v>6.0000000000000001E-3</v>
      </c>
      <c r="AA117" s="14" t="s">
        <v>60</v>
      </c>
      <c r="AB117" s="4"/>
      <c r="AC117" s="4"/>
      <c r="AD117" s="4"/>
      <c r="AE117" s="136"/>
      <c r="AF117" s="2"/>
      <c r="AG117" s="2"/>
      <c r="AH117" s="2"/>
      <c r="AK117" s="140"/>
      <c r="AL117" s="4"/>
      <c r="AM117" s="4" t="s">
        <v>835</v>
      </c>
      <c r="AN117" s="4"/>
      <c r="AO117" s="4"/>
      <c r="AP117" s="4"/>
      <c r="AQ117" s="4">
        <v>0.442</v>
      </c>
      <c r="AR117" s="164"/>
      <c r="AS117" s="4"/>
      <c r="AT117" s="4"/>
      <c r="AU117" s="4"/>
      <c r="AV117" s="136"/>
      <c r="BB117" s="140"/>
      <c r="BC117" s="4"/>
      <c r="BD117" s="4" t="s">
        <v>835</v>
      </c>
      <c r="BE117" s="4"/>
      <c r="BF117" s="4"/>
      <c r="BG117" s="4"/>
      <c r="BH117" s="4">
        <v>8.0000000000000002E-3</v>
      </c>
      <c r="BI117" s="164"/>
      <c r="BJ117" s="4"/>
      <c r="BK117" s="4"/>
      <c r="BL117" s="4"/>
      <c r="BM117" s="136"/>
      <c r="BS117" s="140"/>
      <c r="BT117" s="4"/>
      <c r="BU117" s="4" t="s">
        <v>835</v>
      </c>
      <c r="BV117" s="4"/>
      <c r="BW117" s="4"/>
      <c r="BX117" s="4"/>
      <c r="BY117" s="5">
        <v>7.0000000000000001E-3</v>
      </c>
      <c r="BZ117" s="164"/>
      <c r="CA117" s="4"/>
      <c r="CB117" s="4"/>
      <c r="CC117" s="4"/>
      <c r="CD117" s="136"/>
      <c r="CJ117" s="140"/>
      <c r="CK117" s="4"/>
      <c r="CL117" s="4" t="s">
        <v>835</v>
      </c>
      <c r="CM117" s="4"/>
      <c r="CN117" s="4"/>
      <c r="CO117" s="4"/>
      <c r="CP117" s="5">
        <v>8.9999999999999993E-3</v>
      </c>
      <c r="CQ117" s="164"/>
      <c r="CR117" s="4"/>
      <c r="CS117" s="4"/>
      <c r="CT117" s="4"/>
      <c r="CU117" s="136"/>
    </row>
    <row r="118" spans="2:99" ht="16" thickBot="1" x14ac:dyDescent="0.4">
      <c r="B118" s="2"/>
      <c r="C118" s="221"/>
      <c r="D118" s="134"/>
      <c r="E118" s="134"/>
      <c r="F118" s="134"/>
      <c r="G118" s="134"/>
      <c r="H118" s="134"/>
      <c r="I118" s="134"/>
      <c r="J118" s="134"/>
      <c r="K118" s="134"/>
      <c r="L118" s="134"/>
      <c r="M118" s="134"/>
      <c r="N118" s="222"/>
      <c r="O118" s="2"/>
      <c r="P118" s="2"/>
      <c r="Q118" s="2"/>
      <c r="S118" s="2"/>
      <c r="T118" s="221"/>
      <c r="U118" s="134"/>
      <c r="V118" s="134"/>
      <c r="W118" s="134"/>
      <c r="X118" s="134"/>
      <c r="Y118" s="134"/>
      <c r="Z118" s="134"/>
      <c r="AA118" s="134"/>
      <c r="AB118" s="134"/>
      <c r="AC118" s="134"/>
      <c r="AD118" s="134"/>
      <c r="AE118" s="222"/>
      <c r="AF118" s="2"/>
      <c r="AG118" s="2"/>
      <c r="AH118" s="2"/>
      <c r="AK118" s="221"/>
      <c r="AL118" s="134"/>
      <c r="AM118" s="134"/>
      <c r="AN118" s="134"/>
      <c r="AO118" s="134"/>
      <c r="AP118" s="134"/>
      <c r="AQ118" s="134"/>
      <c r="AR118" s="134"/>
      <c r="AS118" s="134"/>
      <c r="AT118" s="134"/>
      <c r="AU118" s="134"/>
      <c r="AV118" s="222"/>
      <c r="BB118" s="221"/>
      <c r="BC118" s="134"/>
      <c r="BD118" s="134"/>
      <c r="BE118" s="134"/>
      <c r="BF118" s="134"/>
      <c r="BG118" s="134"/>
      <c r="BH118" s="134"/>
      <c r="BI118" s="134"/>
      <c r="BJ118" s="134"/>
      <c r="BK118" s="134"/>
      <c r="BL118" s="134"/>
      <c r="BM118" s="222"/>
      <c r="BS118" s="221"/>
      <c r="BT118" s="134"/>
      <c r="BU118" s="134"/>
      <c r="BV118" s="134"/>
      <c r="BW118" s="134"/>
      <c r="BX118" s="134"/>
      <c r="BY118" s="134"/>
      <c r="BZ118" s="134"/>
      <c r="CA118" s="134"/>
      <c r="CB118" s="134"/>
      <c r="CC118" s="134"/>
      <c r="CD118" s="222"/>
      <c r="CJ118" s="221"/>
      <c r="CK118" s="134"/>
      <c r="CL118" s="134"/>
      <c r="CM118" s="134"/>
      <c r="CN118" s="134"/>
      <c r="CO118" s="134"/>
      <c r="CP118" s="134"/>
      <c r="CQ118" s="134"/>
      <c r="CR118" s="134"/>
      <c r="CS118" s="134"/>
      <c r="CT118" s="134"/>
      <c r="CU118" s="222"/>
    </row>
    <row r="119" spans="2:99" x14ac:dyDescent="0.35">
      <c r="B119" s="2"/>
      <c r="C119" s="2"/>
      <c r="D119" s="2"/>
      <c r="E119" s="2"/>
      <c r="F119" s="2"/>
      <c r="G119" s="2"/>
      <c r="H119" s="2"/>
      <c r="I119" s="2"/>
      <c r="J119" s="2"/>
      <c r="K119" s="2"/>
      <c r="L119" s="2"/>
      <c r="M119" s="2"/>
      <c r="N119" s="2"/>
      <c r="O119" s="2"/>
      <c r="P119" s="2"/>
      <c r="Q119" s="2"/>
      <c r="S119" s="2"/>
      <c r="T119" s="2"/>
      <c r="U119" s="2"/>
      <c r="V119" s="2"/>
      <c r="W119" s="2"/>
      <c r="X119" s="2"/>
      <c r="Y119" s="2"/>
      <c r="Z119" s="2"/>
      <c r="AA119" s="2"/>
      <c r="AB119" s="2"/>
      <c r="AC119" s="2"/>
      <c r="AD119" s="2"/>
      <c r="AE119" s="2"/>
      <c r="AF119" s="2"/>
      <c r="AG119" s="2"/>
      <c r="AH119" s="2"/>
    </row>
    <row r="120" spans="2:99" x14ac:dyDescent="0.35">
      <c r="B120" s="2"/>
      <c r="C120" s="2"/>
      <c r="D120" s="2"/>
      <c r="E120" s="2"/>
      <c r="F120" s="2"/>
      <c r="G120" s="2"/>
      <c r="H120" s="2"/>
      <c r="I120" s="2"/>
      <c r="J120" s="2"/>
      <c r="K120" s="2"/>
      <c r="L120" s="2"/>
      <c r="M120" s="2"/>
      <c r="N120" s="2"/>
      <c r="O120" s="2"/>
      <c r="P120" s="2"/>
      <c r="Q120" s="2"/>
      <c r="S120" s="2"/>
      <c r="T120" s="2"/>
      <c r="U120" s="2"/>
      <c r="V120" s="2"/>
      <c r="W120" s="2"/>
      <c r="X120" s="2"/>
      <c r="Y120" s="2"/>
      <c r="Z120" s="2"/>
      <c r="AA120" s="2"/>
      <c r="AB120" s="2"/>
      <c r="AC120" s="2"/>
      <c r="AD120" s="2"/>
      <c r="AE120" s="2"/>
      <c r="AF120" s="2"/>
      <c r="AG120" s="2"/>
      <c r="AH120" s="2"/>
    </row>
    <row r="121" spans="2:99" ht="23.25" customHeight="1" x14ac:dyDescent="0.35">
      <c r="B121" s="2"/>
      <c r="C121" s="2"/>
      <c r="D121" s="2"/>
      <c r="E121" s="2"/>
      <c r="F121" s="2"/>
      <c r="G121" s="2"/>
      <c r="H121" s="2"/>
      <c r="I121" s="2"/>
      <c r="J121" s="2"/>
      <c r="K121" s="2"/>
      <c r="L121" s="2"/>
      <c r="M121" s="2"/>
      <c r="N121" s="2"/>
      <c r="O121" s="2"/>
      <c r="P121" s="2"/>
      <c r="Q121" s="2"/>
      <c r="S121" s="2"/>
      <c r="T121" s="349" t="s">
        <v>848</v>
      </c>
      <c r="U121" s="349"/>
      <c r="V121" s="349"/>
      <c r="W121" s="349"/>
      <c r="X121" s="349"/>
      <c r="Y121" s="349"/>
      <c r="Z121" s="349"/>
      <c r="AA121" s="349"/>
      <c r="AB121" s="349"/>
      <c r="AC121" s="349"/>
      <c r="AD121" s="349"/>
      <c r="AE121" s="349"/>
      <c r="AF121" s="2"/>
      <c r="AG121" s="2"/>
      <c r="AH121" s="2"/>
    </row>
    <row r="122" spans="2:99" x14ac:dyDescent="0.35">
      <c r="B122" s="2"/>
      <c r="C122" s="2"/>
      <c r="D122" s="2"/>
      <c r="E122" s="3" t="s">
        <v>841</v>
      </c>
      <c r="F122" s="2"/>
      <c r="G122" s="2"/>
      <c r="H122" s="2"/>
      <c r="I122" s="3" t="s">
        <v>842</v>
      </c>
      <c r="J122" s="2"/>
      <c r="K122" s="2"/>
      <c r="L122" s="2"/>
      <c r="M122" s="2"/>
      <c r="N122" s="2"/>
      <c r="O122" s="2"/>
      <c r="P122" s="2"/>
      <c r="Q122" s="2"/>
      <c r="S122" s="2"/>
      <c r="T122" s="349"/>
      <c r="U122" s="349"/>
      <c r="V122" s="349"/>
      <c r="W122" s="349"/>
      <c r="X122" s="349"/>
      <c r="Y122" s="349"/>
      <c r="Z122" s="349"/>
      <c r="AA122" s="349"/>
      <c r="AB122" s="349"/>
      <c r="AC122" s="349"/>
      <c r="AD122" s="349"/>
      <c r="AE122" s="349"/>
      <c r="AF122" s="2"/>
      <c r="AG122" s="2"/>
      <c r="AH122" s="2"/>
    </row>
    <row r="123" spans="2:99" x14ac:dyDescent="0.35">
      <c r="B123" s="2"/>
      <c r="C123" s="2"/>
      <c r="D123" s="101"/>
      <c r="J123" s="2"/>
      <c r="K123" s="2"/>
      <c r="L123" s="2"/>
      <c r="M123" s="2"/>
      <c r="N123" s="2"/>
      <c r="O123" s="2"/>
      <c r="P123" s="2"/>
      <c r="Q123" s="2"/>
      <c r="S123" s="2"/>
      <c r="T123" s="349"/>
      <c r="U123" s="349"/>
      <c r="V123" s="349"/>
      <c r="W123" s="349"/>
      <c r="X123" s="349"/>
      <c r="Y123" s="349"/>
      <c r="Z123" s="349"/>
      <c r="AA123" s="349"/>
      <c r="AB123" s="349"/>
      <c r="AC123" s="349"/>
      <c r="AD123" s="349"/>
      <c r="AE123" s="349"/>
      <c r="AF123" s="2"/>
      <c r="AG123" s="2"/>
      <c r="AH123" s="2"/>
    </row>
    <row r="124" spans="2:99" x14ac:dyDescent="0.35">
      <c r="B124" s="2"/>
      <c r="C124" s="2"/>
      <c r="D124" s="101" t="s">
        <v>844</v>
      </c>
      <c r="E124" s="3" t="s">
        <v>845</v>
      </c>
      <c r="F124" s="2"/>
      <c r="G124" s="2"/>
      <c r="H124" s="2"/>
      <c r="I124" s="3" t="s">
        <v>846</v>
      </c>
      <c r="J124" s="350" t="s">
        <v>847</v>
      </c>
      <c r="K124" s="350"/>
      <c r="L124" s="350"/>
      <c r="M124" s="350"/>
      <c r="N124" s="350"/>
      <c r="O124" s="350"/>
      <c r="P124" s="2"/>
      <c r="Q124" s="2"/>
      <c r="S124" s="2"/>
      <c r="T124" s="2"/>
      <c r="Z124" s="2"/>
      <c r="AA124" s="2"/>
      <c r="AB124" s="2"/>
      <c r="AC124" s="2"/>
      <c r="AD124" s="2"/>
      <c r="AE124" s="2"/>
      <c r="AF124" s="2"/>
      <c r="AG124" s="2"/>
      <c r="AH124" s="2"/>
    </row>
    <row r="125" spans="2:99" x14ac:dyDescent="0.35">
      <c r="B125" s="2"/>
      <c r="C125" s="2"/>
      <c r="D125" s="2"/>
      <c r="E125" s="2"/>
      <c r="F125" s="2"/>
      <c r="G125" s="2"/>
      <c r="H125" s="2"/>
      <c r="I125" s="2"/>
      <c r="J125" s="350"/>
      <c r="K125" s="350"/>
      <c r="L125" s="350"/>
      <c r="M125" s="350"/>
      <c r="N125" s="350"/>
      <c r="O125" s="350"/>
      <c r="P125" s="2"/>
      <c r="Q125" s="2"/>
      <c r="S125" s="2"/>
      <c r="T125" s="2"/>
      <c r="U125" s="3" t="s">
        <v>841</v>
      </c>
      <c r="V125" s="2"/>
      <c r="W125" s="2"/>
      <c r="X125" s="2"/>
      <c r="Y125" s="3" t="s">
        <v>842</v>
      </c>
      <c r="Z125" s="2"/>
      <c r="AA125" s="2"/>
      <c r="AB125" s="2"/>
      <c r="AC125" s="2"/>
      <c r="AD125" s="2"/>
      <c r="AE125" s="2"/>
      <c r="AF125" s="2"/>
      <c r="AG125" s="2"/>
      <c r="AH125" s="2"/>
    </row>
    <row r="126" spans="2:99" x14ac:dyDescent="0.35">
      <c r="B126" s="2"/>
      <c r="C126" s="2"/>
      <c r="D126" s="2"/>
      <c r="E126" s="2"/>
      <c r="F126" s="2"/>
      <c r="G126" s="2"/>
      <c r="H126" s="2"/>
      <c r="I126" s="2"/>
      <c r="J126" s="2"/>
      <c r="K126" s="2"/>
      <c r="L126" s="2"/>
      <c r="M126" s="2"/>
      <c r="N126" s="2"/>
      <c r="O126" s="2"/>
      <c r="P126" s="2"/>
      <c r="Q126" s="2"/>
      <c r="S126" s="2"/>
      <c r="T126" s="101" t="s">
        <v>843</v>
      </c>
      <c r="Z126" s="2"/>
      <c r="AA126" s="2"/>
      <c r="AB126" s="2"/>
      <c r="AC126" s="2"/>
      <c r="AD126" s="2"/>
      <c r="AE126" s="2"/>
      <c r="AF126" s="2"/>
      <c r="AG126" s="2"/>
      <c r="AH126" s="2"/>
    </row>
    <row r="127" spans="2:99" x14ac:dyDescent="0.35">
      <c r="B127" s="2"/>
      <c r="C127" s="2"/>
      <c r="D127" s="2"/>
      <c r="E127" s="2"/>
      <c r="F127" s="2"/>
      <c r="G127" s="2"/>
      <c r="H127" s="2"/>
      <c r="I127" s="2"/>
      <c r="J127" s="2"/>
      <c r="K127" s="2"/>
      <c r="L127" s="2"/>
      <c r="M127" s="2"/>
      <c r="N127" s="2"/>
      <c r="O127" s="2"/>
      <c r="P127" s="2"/>
      <c r="Q127" s="2"/>
      <c r="S127" s="2"/>
      <c r="T127" s="101" t="s">
        <v>849</v>
      </c>
      <c r="U127" s="3" t="s">
        <v>851</v>
      </c>
      <c r="V127" s="2"/>
      <c r="W127" s="2"/>
      <c r="X127" s="2"/>
      <c r="Y127" s="3" t="s">
        <v>850</v>
      </c>
      <c r="Z127" s="2"/>
      <c r="AA127" s="2"/>
      <c r="AB127" s="2"/>
      <c r="AC127" s="2"/>
      <c r="AD127" s="2"/>
      <c r="AE127" s="2"/>
      <c r="AF127" s="2"/>
      <c r="AG127" s="2"/>
      <c r="AH127" s="2"/>
    </row>
    <row r="128" spans="2:99" x14ac:dyDescent="0.35">
      <c r="B128" s="2"/>
      <c r="C128" s="2"/>
      <c r="D128" s="2"/>
      <c r="E128" s="2"/>
      <c r="F128" s="2"/>
      <c r="G128" s="2"/>
      <c r="H128" s="2"/>
      <c r="I128" s="2"/>
      <c r="J128" s="2"/>
      <c r="K128" s="2"/>
      <c r="L128" s="2"/>
      <c r="M128" s="2"/>
      <c r="N128" s="2"/>
      <c r="O128" s="2"/>
      <c r="P128" s="2"/>
      <c r="Q128" s="2"/>
      <c r="S128" s="2"/>
      <c r="T128" s="2"/>
      <c r="U128" s="2"/>
      <c r="V128" s="2"/>
      <c r="W128" s="2"/>
      <c r="X128" s="2"/>
      <c r="Y128" s="2"/>
      <c r="Z128" s="2"/>
      <c r="AA128" s="2"/>
      <c r="AB128" s="2"/>
      <c r="AC128" s="2"/>
      <c r="AD128" s="2"/>
      <c r="AE128" s="2"/>
      <c r="AF128" s="2"/>
      <c r="AG128" s="2"/>
      <c r="AH128" s="2"/>
    </row>
    <row r="131" spans="2:107" ht="26.5" thickBot="1" x14ac:dyDescent="0.65">
      <c r="G131" s="110" t="s">
        <v>634</v>
      </c>
      <c r="H131" s="20"/>
      <c r="I131" s="20"/>
      <c r="J131" s="20"/>
      <c r="K131" s="20"/>
      <c r="L131" s="20"/>
      <c r="M131" s="20"/>
    </row>
    <row r="134" spans="2:107" ht="23.5" x14ac:dyDescent="0.55000000000000004">
      <c r="D134" s="224"/>
      <c r="E134" s="226" t="s">
        <v>644</v>
      </c>
      <c r="F134" s="226" t="s">
        <v>644</v>
      </c>
      <c r="H134" s="227"/>
      <c r="I134" s="226" t="s">
        <v>590</v>
      </c>
      <c r="J134" s="227"/>
      <c r="K134" s="227"/>
      <c r="L134" s="227"/>
      <c r="M134" s="227"/>
      <c r="N134" s="227"/>
      <c r="O134" s="227"/>
      <c r="P134" s="226" t="s">
        <v>591</v>
      </c>
      <c r="Q134" s="227"/>
      <c r="R134" s="227"/>
      <c r="S134" s="227"/>
      <c r="T134" s="227"/>
      <c r="U134" s="227"/>
      <c r="V134" s="227"/>
      <c r="W134" s="227"/>
      <c r="AC134" s="226" t="s">
        <v>896</v>
      </c>
      <c r="AE134" s="226"/>
      <c r="AF134" s="226" t="s">
        <v>590</v>
      </c>
      <c r="AK134" s="226" t="s">
        <v>591</v>
      </c>
    </row>
    <row r="135" spans="2:107" s="192" customFormat="1" ht="23.5" x14ac:dyDescent="0.55000000000000004">
      <c r="B135" s="226" t="s">
        <v>380</v>
      </c>
      <c r="E135" s="226" t="s">
        <v>76</v>
      </c>
      <c r="F135" s="226" t="s">
        <v>20</v>
      </c>
      <c r="G135" s="226" t="s">
        <v>589</v>
      </c>
      <c r="H135" s="226"/>
      <c r="I135" s="226" t="s">
        <v>76</v>
      </c>
      <c r="J135" s="226" t="s">
        <v>20</v>
      </c>
      <c r="K135" s="226" t="s">
        <v>594</v>
      </c>
      <c r="L135" s="226"/>
      <c r="M135" s="229" t="s">
        <v>596</v>
      </c>
      <c r="N135" s="229" t="s">
        <v>597</v>
      </c>
      <c r="O135" s="226"/>
      <c r="P135" s="226" t="s">
        <v>76</v>
      </c>
      <c r="Q135" s="226" t="s">
        <v>20</v>
      </c>
      <c r="R135" s="226" t="s">
        <v>594</v>
      </c>
      <c r="S135" s="226"/>
      <c r="T135" s="229" t="s">
        <v>596</v>
      </c>
      <c r="U135" s="229" t="s">
        <v>597</v>
      </c>
      <c r="V135" s="226"/>
      <c r="W135" s="226" t="s">
        <v>595</v>
      </c>
      <c r="Y135" s="226" t="s">
        <v>599</v>
      </c>
      <c r="AF135" s="226" t="s">
        <v>76</v>
      </c>
      <c r="AG135" s="226" t="s">
        <v>897</v>
      </c>
      <c r="AH135" s="226" t="s">
        <v>594</v>
      </c>
      <c r="AK135" s="226" t="s">
        <v>76</v>
      </c>
      <c r="AL135" s="226" t="s">
        <v>897</v>
      </c>
      <c r="AM135" s="226" t="s">
        <v>594</v>
      </c>
      <c r="DC135" s="232"/>
    </row>
    <row r="136" spans="2:107" ht="23.5" x14ac:dyDescent="0.55000000000000004">
      <c r="B136" s="226" t="s">
        <v>592</v>
      </c>
      <c r="E136" s="224">
        <v>-33.69</v>
      </c>
      <c r="F136" s="224">
        <v>-37.11</v>
      </c>
      <c r="G136" s="224">
        <f>F136-E136</f>
        <v>-3.4200000000000017</v>
      </c>
      <c r="H136" s="224"/>
      <c r="I136" s="224" t="s">
        <v>593</v>
      </c>
      <c r="J136" s="224" t="s">
        <v>593</v>
      </c>
      <c r="K136" s="224" t="s">
        <v>593</v>
      </c>
      <c r="L136" s="224"/>
      <c r="M136" s="224" t="s">
        <v>593</v>
      </c>
      <c r="N136" s="224" t="s">
        <v>593</v>
      </c>
      <c r="O136" s="224"/>
      <c r="P136" s="224" t="s">
        <v>593</v>
      </c>
      <c r="Q136" s="224" t="s">
        <v>593</v>
      </c>
      <c r="R136" s="224" t="s">
        <v>593</v>
      </c>
      <c r="S136" s="224"/>
      <c r="T136" s="224" t="s">
        <v>593</v>
      </c>
      <c r="U136" s="224" t="s">
        <v>593</v>
      </c>
      <c r="V136" s="224"/>
      <c r="W136" s="224" t="s">
        <v>593</v>
      </c>
      <c r="Y136" s="224" t="s">
        <v>593</v>
      </c>
      <c r="AF136" s="224">
        <v>11</v>
      </c>
      <c r="AG136" s="224">
        <v>9</v>
      </c>
      <c r="AH136" s="224">
        <v>11.5</v>
      </c>
      <c r="AK136" s="224">
        <v>7.2367999999999997</v>
      </c>
      <c r="AL136" s="224">
        <v>6.16</v>
      </c>
      <c r="AM136" s="224">
        <v>7.9279999999999999</v>
      </c>
    </row>
    <row r="137" spans="2:107" ht="23.5" x14ac:dyDescent="0.55000000000000004">
      <c r="B137" s="227"/>
      <c r="E137" s="224">
        <v>-35.68</v>
      </c>
      <c r="F137" s="224">
        <v>-38.020000000000003</v>
      </c>
      <c r="G137" s="224">
        <f>F137-E137</f>
        <v>-2.3400000000000034</v>
      </c>
      <c r="H137" s="224"/>
      <c r="I137" s="224">
        <v>11</v>
      </c>
      <c r="J137" s="224">
        <v>4</v>
      </c>
      <c r="K137" s="224">
        <v>11.5</v>
      </c>
      <c r="L137" s="224"/>
      <c r="M137" s="224">
        <f>I137-J137</f>
        <v>7</v>
      </c>
      <c r="N137" s="224">
        <f>I137-K137</f>
        <v>-0.5</v>
      </c>
      <c r="O137" s="224"/>
      <c r="P137" s="224">
        <v>7.2367999999999997</v>
      </c>
      <c r="Q137" s="224">
        <v>3.07</v>
      </c>
      <c r="R137" s="224">
        <v>7.9279999999999999</v>
      </c>
      <c r="S137" s="224"/>
      <c r="T137" s="224">
        <f>P137-Q137</f>
        <v>4.1668000000000003</v>
      </c>
      <c r="U137" s="224">
        <f>P137-R137</f>
        <v>-0.69120000000000026</v>
      </c>
      <c r="V137" s="224"/>
      <c r="W137" s="224">
        <v>2</v>
      </c>
      <c r="Y137" s="224">
        <v>15</v>
      </c>
      <c r="AF137" s="224">
        <v>11</v>
      </c>
      <c r="AG137" s="224">
        <v>6</v>
      </c>
      <c r="AH137" s="224">
        <v>10.333</v>
      </c>
      <c r="AK137" s="224">
        <v>6.9020000000000001</v>
      </c>
      <c r="AL137" s="224">
        <v>4.01</v>
      </c>
      <c r="AM137" s="224">
        <v>6.8019999999999996</v>
      </c>
    </row>
    <row r="138" spans="2:107" ht="23.5" x14ac:dyDescent="0.55000000000000004">
      <c r="B138" s="227"/>
      <c r="E138" s="224">
        <v>-35.61</v>
      </c>
      <c r="F138" s="224">
        <v>-38.64</v>
      </c>
      <c r="G138" s="224">
        <f>F138-E138</f>
        <v>-3.0300000000000011</v>
      </c>
      <c r="H138" s="224"/>
      <c r="I138" s="224">
        <v>11</v>
      </c>
      <c r="J138" s="224">
        <v>6</v>
      </c>
      <c r="K138" s="224">
        <v>10.333</v>
      </c>
      <c r="L138" s="224"/>
      <c r="M138" s="224">
        <f>I138-J138</f>
        <v>5</v>
      </c>
      <c r="N138" s="224">
        <f>I138-K138</f>
        <v>0.66699999999999982</v>
      </c>
      <c r="O138" s="224"/>
      <c r="P138" s="224">
        <v>6.9020000000000001</v>
      </c>
      <c r="Q138" s="224">
        <v>4.1096000000000004</v>
      </c>
      <c r="R138" s="224">
        <v>6.8019999999999996</v>
      </c>
      <c r="S138" s="224"/>
      <c r="T138" s="224">
        <f>P138-Q138</f>
        <v>2.7923999999999998</v>
      </c>
      <c r="U138" s="224">
        <f>P138-R138</f>
        <v>0.10000000000000053</v>
      </c>
      <c r="V138" s="224"/>
      <c r="W138" s="224">
        <v>2</v>
      </c>
      <c r="Y138" s="224">
        <v>15</v>
      </c>
    </row>
    <row r="139" spans="2:107" ht="23.5" x14ac:dyDescent="0.55000000000000004">
      <c r="B139" s="227"/>
      <c r="E139" s="227"/>
      <c r="G139" s="224"/>
      <c r="H139" s="224"/>
      <c r="I139" s="224"/>
      <c r="J139" s="224"/>
      <c r="K139" s="224"/>
      <c r="L139" s="224"/>
      <c r="M139" s="224"/>
      <c r="N139" s="224"/>
      <c r="O139" s="224"/>
      <c r="P139" s="224"/>
      <c r="Q139" s="224"/>
      <c r="R139" s="224"/>
      <c r="S139" s="224"/>
      <c r="T139" s="224"/>
      <c r="U139" s="224"/>
      <c r="V139" s="224"/>
      <c r="W139" s="224"/>
      <c r="AF139" s="225">
        <f>AVERAGE(AF136:AF137)</f>
        <v>11</v>
      </c>
      <c r="AG139" s="225">
        <f t="shared" ref="AG139:AH139" si="162">AVERAGE(AG136:AG137)</f>
        <v>7.5</v>
      </c>
      <c r="AH139" s="225">
        <f t="shared" si="162"/>
        <v>10.916499999999999</v>
      </c>
      <c r="AK139" s="225">
        <f>AVERAGE(AK136:AK137)</f>
        <v>7.0693999999999999</v>
      </c>
      <c r="AL139" s="225">
        <f t="shared" ref="AL139:AM139" si="163">AVERAGE(AL136:AL137)</f>
        <v>5.085</v>
      </c>
      <c r="AM139" s="225">
        <f t="shared" si="163"/>
        <v>7.3650000000000002</v>
      </c>
    </row>
    <row r="140" spans="2:107" ht="23.5" x14ac:dyDescent="0.55000000000000004">
      <c r="B140" s="227"/>
      <c r="D140" s="226" t="s">
        <v>548</v>
      </c>
      <c r="E140" s="225">
        <f t="shared" ref="E140:F140" si="164">AVERAGE(E136:E138)</f>
        <v>-34.993333333333332</v>
      </c>
      <c r="F140" s="225">
        <f t="shared" si="164"/>
        <v>-37.923333333333332</v>
      </c>
      <c r="G140" s="225">
        <f>AVERAGE(G136:G138)</f>
        <v>-2.9300000000000019</v>
      </c>
      <c r="H140" s="225"/>
      <c r="I140" s="225">
        <f t="shared" ref="I140:U140" si="165">AVERAGE(I136:I138)</f>
        <v>11</v>
      </c>
      <c r="J140" s="225">
        <f t="shared" si="165"/>
        <v>5</v>
      </c>
      <c r="K140" s="225">
        <f t="shared" si="165"/>
        <v>10.916499999999999</v>
      </c>
      <c r="L140" s="225"/>
      <c r="M140" s="225">
        <f t="shared" si="165"/>
        <v>6</v>
      </c>
      <c r="N140" s="225">
        <f t="shared" si="165"/>
        <v>8.3499999999999908E-2</v>
      </c>
      <c r="O140" s="225"/>
      <c r="P140" s="225">
        <f t="shared" si="165"/>
        <v>7.0693999999999999</v>
      </c>
      <c r="Q140" s="225">
        <f t="shared" si="165"/>
        <v>3.5898000000000003</v>
      </c>
      <c r="R140" s="225">
        <f t="shared" si="165"/>
        <v>7.3650000000000002</v>
      </c>
      <c r="S140" s="225"/>
      <c r="T140" s="225">
        <f t="shared" si="165"/>
        <v>3.4796</v>
      </c>
      <c r="U140" s="225">
        <f t="shared" si="165"/>
        <v>-0.29559999999999986</v>
      </c>
      <c r="V140" s="225"/>
      <c r="W140" s="224"/>
      <c r="AF140" s="225">
        <f>_xlfn.STDEV.S(AF136:AF137)</f>
        <v>0</v>
      </c>
      <c r="AG140" s="225">
        <f t="shared" ref="AG140:AH140" si="166">_xlfn.STDEV.S(AG136:AG137)</f>
        <v>2.1213203435596424</v>
      </c>
      <c r="AH140" s="225">
        <f t="shared" si="166"/>
        <v>0.8251936136447009</v>
      </c>
      <c r="AK140" s="225">
        <f>_xlfn.STDEV.S(AK136:AK137)</f>
        <v>0.23673935034125579</v>
      </c>
      <c r="AL140" s="225">
        <f t="shared" ref="AL140:AM140" si="167">_xlfn.STDEV.S(AL136:AL137)</f>
        <v>1.5202795795510775</v>
      </c>
      <c r="AM140" s="225">
        <f t="shared" si="167"/>
        <v>0.79620223561605274</v>
      </c>
    </row>
    <row r="141" spans="2:107" ht="23.5" x14ac:dyDescent="0.55000000000000004">
      <c r="B141" s="227"/>
      <c r="D141" s="226" t="s">
        <v>94</v>
      </c>
      <c r="E141" s="225">
        <f t="shared" ref="E141:F141" si="168">_xlfn.STDEV.S(E136:E138)</f>
        <v>1.129262296073563</v>
      </c>
      <c r="F141" s="225">
        <f t="shared" si="168"/>
        <v>0.76956697780851702</v>
      </c>
      <c r="G141" s="225">
        <f>_xlfn.STDEV.S(G136:G138)</f>
        <v>0.54690035655501035</v>
      </c>
      <c r="H141" s="225"/>
      <c r="I141" s="225">
        <f t="shared" ref="I141:U141" si="169">_xlfn.STDEV.S(I136:I138)</f>
        <v>0</v>
      </c>
      <c r="J141" s="225">
        <f t="shared" si="169"/>
        <v>1.4142135623730951</v>
      </c>
      <c r="K141" s="225">
        <f t="shared" si="169"/>
        <v>0.8251936136447009</v>
      </c>
      <c r="L141" s="225"/>
      <c r="M141" s="225">
        <f t="shared" si="169"/>
        <v>1.4142135623730951</v>
      </c>
      <c r="N141" s="225">
        <f t="shared" si="169"/>
        <v>0.8251936136447009</v>
      </c>
      <c r="O141" s="225"/>
      <c r="P141" s="225">
        <f t="shared" si="169"/>
        <v>0.23673935034125579</v>
      </c>
      <c r="Q141" s="225">
        <f t="shared" si="169"/>
        <v>0.73510820972153179</v>
      </c>
      <c r="R141" s="225">
        <f t="shared" si="169"/>
        <v>0.79620223561605274</v>
      </c>
      <c r="S141" s="225"/>
      <c r="T141" s="225">
        <f t="shared" si="169"/>
        <v>0.97184756006278994</v>
      </c>
      <c r="U141" s="225">
        <f t="shared" si="169"/>
        <v>0.55946288527479693</v>
      </c>
      <c r="V141" s="225"/>
      <c r="W141" s="224"/>
    </row>
    <row r="142" spans="2:107" ht="23.5" x14ac:dyDescent="0.55000000000000004">
      <c r="B142" s="227"/>
      <c r="D142" s="226" t="s">
        <v>892</v>
      </c>
      <c r="E142" s="227"/>
      <c r="F142" s="226"/>
      <c r="G142" s="228"/>
      <c r="H142" s="224"/>
      <c r="I142" s="225">
        <f>MIN(I137:I138)</f>
        <v>11</v>
      </c>
      <c r="J142" s="225">
        <f t="shared" ref="J142:K142" si="170">MIN(J137:J138)</f>
        <v>4</v>
      </c>
      <c r="K142" s="225">
        <f t="shared" si="170"/>
        <v>10.333</v>
      </c>
      <c r="L142" s="225"/>
      <c r="M142" s="225"/>
      <c r="N142" s="225"/>
      <c r="O142" s="225"/>
      <c r="P142" s="225">
        <f>MIN(P137:P138)</f>
        <v>6.9020000000000001</v>
      </c>
      <c r="Q142" s="225">
        <f t="shared" ref="Q142:R142" si="171">MIN(Q137:Q138)</f>
        <v>3.07</v>
      </c>
      <c r="R142" s="225">
        <f t="shared" si="171"/>
        <v>6.8019999999999996</v>
      </c>
      <c r="S142" s="225"/>
      <c r="T142" s="225"/>
      <c r="U142" s="224"/>
      <c r="V142" s="224"/>
      <c r="W142" s="224"/>
    </row>
    <row r="143" spans="2:107" ht="21" x14ac:dyDescent="0.5">
      <c r="G143" s="224"/>
      <c r="H143" s="224"/>
      <c r="I143" s="225"/>
      <c r="J143" s="225"/>
      <c r="K143" s="225"/>
      <c r="L143" s="225"/>
      <c r="M143" s="225"/>
      <c r="N143" s="225"/>
      <c r="O143" s="225"/>
      <c r="P143" s="225"/>
      <c r="Q143" s="225"/>
      <c r="R143" s="225"/>
      <c r="S143" s="225"/>
      <c r="T143" s="225"/>
      <c r="U143" s="224"/>
      <c r="V143" s="224"/>
      <c r="W143" s="224"/>
    </row>
    <row r="144" spans="2:107" ht="21" x14ac:dyDescent="0.5">
      <c r="G144" s="224"/>
      <c r="H144" s="224"/>
      <c r="I144" s="224"/>
      <c r="J144" s="224"/>
      <c r="K144" s="224"/>
      <c r="L144" s="224"/>
      <c r="M144" s="224"/>
      <c r="N144" s="224"/>
      <c r="O144" s="224"/>
      <c r="P144" s="224"/>
      <c r="Q144" s="224"/>
      <c r="R144" s="224"/>
      <c r="S144" s="224"/>
      <c r="T144" s="224"/>
      <c r="U144" s="224"/>
      <c r="V144" s="224"/>
      <c r="W144" s="224"/>
    </row>
    <row r="145" spans="2:39" ht="23.5" x14ac:dyDescent="0.55000000000000004">
      <c r="E145" s="226" t="s">
        <v>644</v>
      </c>
      <c r="F145" s="226" t="s">
        <v>644</v>
      </c>
      <c r="H145" s="227"/>
      <c r="I145" s="226" t="s">
        <v>590</v>
      </c>
      <c r="J145" s="227"/>
      <c r="K145" s="227"/>
      <c r="L145" s="227"/>
      <c r="M145" s="227"/>
      <c r="N145" s="227"/>
      <c r="O145" s="227"/>
      <c r="P145" s="226" t="s">
        <v>591</v>
      </c>
      <c r="Q145" s="227"/>
      <c r="R145" s="227"/>
      <c r="S145" s="227"/>
      <c r="T145" s="227"/>
      <c r="U145" s="227"/>
      <c r="V145" s="227"/>
      <c r="W145" s="227"/>
      <c r="AC145" s="226" t="s">
        <v>896</v>
      </c>
      <c r="AE145" s="226"/>
      <c r="AF145" s="226" t="s">
        <v>590</v>
      </c>
      <c r="AK145" s="226" t="s">
        <v>591</v>
      </c>
    </row>
    <row r="146" spans="2:39" ht="23.5" x14ac:dyDescent="0.55000000000000004">
      <c r="E146" s="226" t="s">
        <v>76</v>
      </c>
      <c r="F146" s="226" t="s">
        <v>20</v>
      </c>
      <c r="G146" s="226" t="s">
        <v>589</v>
      </c>
      <c r="H146" s="226"/>
      <c r="I146" s="226" t="s">
        <v>76</v>
      </c>
      <c r="J146" s="226" t="s">
        <v>20</v>
      </c>
      <c r="K146" s="226" t="s">
        <v>594</v>
      </c>
      <c r="L146" s="226"/>
      <c r="M146" s="229" t="s">
        <v>596</v>
      </c>
      <c r="N146" s="229" t="s">
        <v>597</v>
      </c>
      <c r="O146" s="226"/>
      <c r="P146" s="226" t="s">
        <v>76</v>
      </c>
      <c r="Q146" s="226" t="s">
        <v>20</v>
      </c>
      <c r="R146" s="226" t="s">
        <v>594</v>
      </c>
      <c r="S146" s="226"/>
      <c r="T146" s="229" t="s">
        <v>596</v>
      </c>
      <c r="U146" s="229" t="s">
        <v>597</v>
      </c>
      <c r="V146" s="226"/>
      <c r="W146" s="226" t="s">
        <v>595</v>
      </c>
      <c r="Y146" s="226" t="s">
        <v>599</v>
      </c>
      <c r="AC146" s="192"/>
      <c r="AD146" s="192"/>
      <c r="AE146" s="192"/>
      <c r="AF146" s="226" t="s">
        <v>76</v>
      </c>
      <c r="AG146" s="226" t="s">
        <v>897</v>
      </c>
      <c r="AH146" s="226" t="s">
        <v>594</v>
      </c>
      <c r="AI146" s="192"/>
      <c r="AJ146" s="192"/>
      <c r="AK146" s="226" t="s">
        <v>76</v>
      </c>
      <c r="AL146" s="226" t="s">
        <v>897</v>
      </c>
      <c r="AM146" s="226" t="s">
        <v>594</v>
      </c>
    </row>
    <row r="147" spans="2:39" ht="23.5" x14ac:dyDescent="0.55000000000000004">
      <c r="B147" s="226" t="s">
        <v>598</v>
      </c>
      <c r="E147" s="224">
        <v>-53.99</v>
      </c>
      <c r="F147" s="224">
        <v>-58.14</v>
      </c>
      <c r="G147" s="224">
        <f>F147-E147</f>
        <v>-4.1499999999999986</v>
      </c>
      <c r="H147" s="224"/>
      <c r="I147" s="224">
        <v>5.6</v>
      </c>
      <c r="J147" s="224">
        <v>2</v>
      </c>
      <c r="K147" s="224">
        <v>6.5</v>
      </c>
      <c r="L147" s="224"/>
      <c r="M147" s="224">
        <f>I147-J147</f>
        <v>3.5999999999999996</v>
      </c>
      <c r="N147" s="224">
        <f>I147-K147</f>
        <v>-0.90000000000000036</v>
      </c>
      <c r="O147" s="224"/>
      <c r="P147" s="224">
        <v>4.9589999999999996</v>
      </c>
      <c r="Q147" s="224">
        <v>2</v>
      </c>
      <c r="R147" s="224">
        <v>4.4843900000000003</v>
      </c>
      <c r="S147" s="224"/>
      <c r="T147" s="224">
        <f>P147-Q147</f>
        <v>2.9589999999999996</v>
      </c>
      <c r="U147" s="224">
        <f>P147-R147</f>
        <v>0.47460999999999931</v>
      </c>
      <c r="V147" s="224"/>
      <c r="W147" s="224">
        <v>2.5</v>
      </c>
      <c r="Y147" s="224">
        <v>6</v>
      </c>
      <c r="AF147" s="224">
        <v>5.6</v>
      </c>
      <c r="AG147" s="224">
        <v>4</v>
      </c>
      <c r="AH147" s="224">
        <v>6.5</v>
      </c>
      <c r="AK147" s="224">
        <v>4.9589999999999996</v>
      </c>
      <c r="AL147" s="224">
        <v>3.3889999999999998</v>
      </c>
      <c r="AM147" s="224">
        <v>4.4843900000000003</v>
      </c>
    </row>
    <row r="148" spans="2:39" ht="21" x14ac:dyDescent="0.5">
      <c r="E148" s="224">
        <v>-54.32</v>
      </c>
      <c r="F148" s="224">
        <v>-59.08</v>
      </c>
      <c r="G148" s="224">
        <f>F148-E148</f>
        <v>-4.759999999999998</v>
      </c>
      <c r="H148" s="224"/>
      <c r="I148" s="224">
        <v>5.3330000000000002</v>
      </c>
      <c r="J148" s="224">
        <v>1</v>
      </c>
      <c r="K148" s="224">
        <v>6</v>
      </c>
      <c r="L148" s="224"/>
      <c r="M148" s="224">
        <f>I148-J148</f>
        <v>4.3330000000000002</v>
      </c>
      <c r="N148" s="224">
        <f>I148-K148</f>
        <v>-0.66699999999999982</v>
      </c>
      <c r="O148" s="224"/>
      <c r="P148" s="224">
        <v>3.87</v>
      </c>
      <c r="Q148" s="224">
        <v>2.6566999999999998</v>
      </c>
      <c r="R148" s="224">
        <v>4.7256</v>
      </c>
      <c r="S148" s="224"/>
      <c r="T148" s="224">
        <f>P148-Q148</f>
        <v>1.2133000000000003</v>
      </c>
      <c r="U148" s="224">
        <f>P148-R148</f>
        <v>-0.85559999999999992</v>
      </c>
      <c r="V148" s="224"/>
      <c r="W148" s="224">
        <v>2.5</v>
      </c>
      <c r="Y148" s="224">
        <v>6</v>
      </c>
      <c r="AF148" s="224">
        <v>5.3330000000000002</v>
      </c>
      <c r="AG148" s="224">
        <v>4</v>
      </c>
      <c r="AH148" s="224">
        <v>6</v>
      </c>
      <c r="AK148" s="224">
        <v>3.87</v>
      </c>
      <c r="AL148" s="224">
        <v>2.9</v>
      </c>
      <c r="AM148" s="224">
        <v>4.7256</v>
      </c>
    </row>
    <row r="149" spans="2:39" ht="21" x14ac:dyDescent="0.5">
      <c r="E149" s="224">
        <v>-53.99</v>
      </c>
      <c r="F149" s="224">
        <v>-57.74</v>
      </c>
      <c r="G149" s="224">
        <f>F149-E149</f>
        <v>-3.75</v>
      </c>
      <c r="H149" s="224"/>
      <c r="I149" s="224">
        <v>6</v>
      </c>
      <c r="J149" s="224">
        <v>4</v>
      </c>
      <c r="K149" s="224">
        <v>7</v>
      </c>
      <c r="L149" s="224"/>
      <c r="M149" s="224">
        <f>I149-J149</f>
        <v>2</v>
      </c>
      <c r="N149" s="224">
        <f>I149-K149</f>
        <v>-1</v>
      </c>
      <c r="O149" s="224"/>
      <c r="P149" s="224">
        <v>4.7256</v>
      </c>
      <c r="Q149" s="224">
        <v>3.1943999999999999</v>
      </c>
      <c r="R149" s="224">
        <v>4.5990000000000002</v>
      </c>
      <c r="S149" s="224"/>
      <c r="T149" s="224">
        <f>P149-Q149</f>
        <v>1.5312000000000001</v>
      </c>
      <c r="U149" s="224">
        <f>P149-R149</f>
        <v>0.12659999999999982</v>
      </c>
      <c r="V149" s="224"/>
      <c r="W149" s="224">
        <v>2.5</v>
      </c>
      <c r="Y149" s="224">
        <v>6</v>
      </c>
      <c r="AF149" s="224">
        <v>6</v>
      </c>
      <c r="AG149" s="224">
        <v>4</v>
      </c>
      <c r="AH149" s="224">
        <v>7</v>
      </c>
      <c r="AK149" s="224">
        <v>4.7256</v>
      </c>
      <c r="AL149" s="224">
        <v>2.85</v>
      </c>
      <c r="AM149" s="224">
        <v>4.5990000000000002</v>
      </c>
    </row>
    <row r="150" spans="2:39" ht="21" x14ac:dyDescent="0.5">
      <c r="G150" s="224"/>
      <c r="H150" s="224"/>
      <c r="I150" s="224"/>
      <c r="J150" s="224"/>
      <c r="K150" s="224"/>
      <c r="L150" s="224"/>
      <c r="M150" s="224"/>
      <c r="N150" s="224"/>
      <c r="O150" s="224"/>
      <c r="P150" s="224"/>
      <c r="Q150" s="224"/>
      <c r="R150" s="224"/>
      <c r="S150" s="224"/>
      <c r="T150" s="224"/>
      <c r="U150" s="224"/>
      <c r="V150" s="224"/>
      <c r="W150" s="224"/>
    </row>
    <row r="151" spans="2:39" ht="23.5" x14ac:dyDescent="0.55000000000000004">
      <c r="D151" s="226" t="s">
        <v>548</v>
      </c>
      <c r="E151" s="225">
        <f t="shared" ref="E151:F151" si="172">AVERAGE(E147:E149)</f>
        <v>-54.1</v>
      </c>
      <c r="F151" s="225">
        <f t="shared" si="172"/>
        <v>-58.32</v>
      </c>
      <c r="G151" s="225">
        <f>AVERAGE(G147:G149)</f>
        <v>-4.2199999999999989</v>
      </c>
      <c r="H151" s="225"/>
      <c r="I151" s="225">
        <f>AVERAGE(I147:I149)</f>
        <v>5.644333333333333</v>
      </c>
      <c r="J151" s="225">
        <f>AVERAGE(J147:J149)</f>
        <v>2.3333333333333335</v>
      </c>
      <c r="K151" s="225">
        <f>AVERAGE(K147:K149)</f>
        <v>6.5</v>
      </c>
      <c r="L151" s="225"/>
      <c r="M151" s="225">
        <f>AVERAGE(M147:M149)</f>
        <v>3.3109999999999999</v>
      </c>
      <c r="N151" s="225">
        <f>AVERAGE(N147:N149)</f>
        <v>-0.85566666666666669</v>
      </c>
      <c r="O151" s="225"/>
      <c r="P151" s="225">
        <f>AVERAGE(P147:P149)</f>
        <v>4.5182000000000002</v>
      </c>
      <c r="Q151" s="225">
        <f>AVERAGE(Q147:Q149)</f>
        <v>2.6170333333333331</v>
      </c>
      <c r="R151" s="225">
        <f>AVERAGE(R147:R149)</f>
        <v>4.6029966666666668</v>
      </c>
      <c r="S151" s="225"/>
      <c r="T151" s="225">
        <f>AVERAGE(T147:T149)</f>
        <v>1.9011666666666667</v>
      </c>
      <c r="U151" s="225">
        <f>AVERAGE(U147:U149)</f>
        <v>-8.4796666666666923E-2</v>
      </c>
      <c r="V151" s="224"/>
      <c r="W151" s="224"/>
      <c r="AF151" s="225">
        <f>AVERAGE(AF147:AF149)</f>
        <v>5.644333333333333</v>
      </c>
      <c r="AG151" s="225">
        <f t="shared" ref="AG151:AM151" si="173">AVERAGE(AG147:AG149)</f>
        <v>4</v>
      </c>
      <c r="AH151" s="225">
        <f t="shared" si="173"/>
        <v>6.5</v>
      </c>
      <c r="AI151" s="225"/>
      <c r="AJ151" s="225"/>
      <c r="AK151" s="225">
        <f t="shared" si="173"/>
        <v>4.5182000000000002</v>
      </c>
      <c r="AL151" s="225">
        <f t="shared" si="173"/>
        <v>3.0463333333333331</v>
      </c>
      <c r="AM151" s="225">
        <f t="shared" si="173"/>
        <v>4.6029966666666668</v>
      </c>
    </row>
    <row r="152" spans="2:39" ht="23.5" x14ac:dyDescent="0.55000000000000004">
      <c r="D152" s="226" t="s">
        <v>94</v>
      </c>
      <c r="E152" s="225">
        <f t="shared" ref="E152:F152" si="174">_xlfn.STDEV.S(E147:E149)</f>
        <v>0.1905255888325755</v>
      </c>
      <c r="F152" s="225">
        <f t="shared" si="174"/>
        <v>0.68789534087679172</v>
      </c>
      <c r="G152" s="225">
        <f>_xlfn.STDEV.S(G147:G149)</f>
        <v>0.50862559904117988</v>
      </c>
      <c r="H152" s="225"/>
      <c r="I152" s="225">
        <f>_xlfn.STDEV.S(I147:I149)</f>
        <v>0.33570274549567403</v>
      </c>
      <c r="J152" s="225">
        <f>_xlfn.STDEV.S(J147:J149)</f>
        <v>1.5275252316519468</v>
      </c>
      <c r="K152" s="225">
        <f>_xlfn.STDEV.S(K147:K149)</f>
        <v>0.5</v>
      </c>
      <c r="L152" s="225"/>
      <c r="M152" s="225">
        <f>_xlfn.STDEV.S(M147:M149)</f>
        <v>1.1930477777524244</v>
      </c>
      <c r="N152" s="225">
        <f>_xlfn.STDEV.S(N147:N149)</f>
        <v>0.17086934579769825</v>
      </c>
      <c r="O152" s="225"/>
      <c r="P152" s="225">
        <f>_xlfn.STDEV.S(P147:P149)</f>
        <v>0.57335967768931517</v>
      </c>
      <c r="Q152" s="225">
        <f>_xlfn.STDEV.S(Q147:Q149)</f>
        <v>0.59818719756722638</v>
      </c>
      <c r="R152" s="225">
        <f>_xlfn.STDEV.S(R147:R149)</f>
        <v>0.12065465607813607</v>
      </c>
      <c r="S152" s="225"/>
      <c r="T152" s="225">
        <f>_xlfn.STDEV.S(T147:T149)</f>
        <v>0.92979762493422868</v>
      </c>
      <c r="U152" s="225">
        <f>_xlfn.STDEV.S(U147:U149)</f>
        <v>0.68984133975381101</v>
      </c>
      <c r="V152" s="224"/>
      <c r="W152" s="224"/>
      <c r="AF152" s="225">
        <f>_xlfn.STDEV.S(AF147:AF149)</f>
        <v>0.33570274549567403</v>
      </c>
      <c r="AG152" s="225">
        <f t="shared" ref="AG152:AM152" si="175">_xlfn.STDEV.S(AG147:AG149)</f>
        <v>0</v>
      </c>
      <c r="AH152" s="225">
        <f t="shared" si="175"/>
        <v>0.5</v>
      </c>
      <c r="AI152" s="225"/>
      <c r="AJ152" s="225"/>
      <c r="AK152" s="225">
        <f t="shared" si="175"/>
        <v>0.57335967768931517</v>
      </c>
      <c r="AL152" s="225">
        <f t="shared" si="175"/>
        <v>0.29780922304947721</v>
      </c>
      <c r="AM152" s="225">
        <f t="shared" si="175"/>
        <v>0.12065465607813607</v>
      </c>
    </row>
    <row r="153" spans="2:39" ht="23.5" x14ac:dyDescent="0.55000000000000004">
      <c r="D153" s="226" t="s">
        <v>892</v>
      </c>
      <c r="E153" s="227"/>
      <c r="F153" s="226"/>
      <c r="G153" s="228"/>
      <c r="H153" s="224"/>
      <c r="I153" s="225">
        <f>MIN(I147:I149)</f>
        <v>5.3330000000000002</v>
      </c>
      <c r="J153" s="225">
        <f t="shared" ref="J153:K153" si="176">MIN(J147:J149)</f>
        <v>1</v>
      </c>
      <c r="K153" s="225">
        <f t="shared" si="176"/>
        <v>6</v>
      </c>
      <c r="L153" s="225"/>
      <c r="M153" s="225"/>
      <c r="N153" s="225"/>
      <c r="O153" s="225"/>
      <c r="P153" s="225">
        <f>MIN(P147:P149)</f>
        <v>3.87</v>
      </c>
      <c r="Q153" s="225">
        <f t="shared" ref="Q153:R153" si="177">MIN(Q147:Q149)</f>
        <v>2</v>
      </c>
      <c r="R153" s="225">
        <f t="shared" si="177"/>
        <v>4.4843900000000003</v>
      </c>
      <c r="S153" s="224"/>
      <c r="T153" s="224"/>
      <c r="U153" s="224"/>
      <c r="V153" s="224"/>
      <c r="W153" s="224"/>
    </row>
    <row r="154" spans="2:39" ht="21" x14ac:dyDescent="0.5">
      <c r="G154" s="224"/>
      <c r="H154" s="224"/>
      <c r="I154" s="224"/>
      <c r="J154" s="224"/>
      <c r="K154" s="224"/>
      <c r="L154" s="224"/>
      <c r="M154" s="224"/>
      <c r="N154" s="224"/>
      <c r="O154" s="224"/>
      <c r="P154" s="224"/>
      <c r="Q154" s="224"/>
      <c r="R154" s="224"/>
      <c r="S154" s="224"/>
      <c r="T154" s="224"/>
      <c r="U154" s="224"/>
      <c r="V154" s="224"/>
      <c r="W154" s="224"/>
    </row>
    <row r="155" spans="2:39" ht="21" x14ac:dyDescent="0.5">
      <c r="G155" s="224"/>
      <c r="H155" s="224"/>
      <c r="I155" s="224"/>
      <c r="J155" s="224"/>
      <c r="K155" s="224"/>
      <c r="L155" s="224"/>
      <c r="M155" s="224"/>
      <c r="N155" s="224"/>
      <c r="O155" s="224"/>
      <c r="P155" s="224"/>
      <c r="Q155" s="224"/>
      <c r="R155" s="224"/>
      <c r="S155" s="224"/>
      <c r="T155" s="224"/>
      <c r="U155" s="224"/>
      <c r="V155" s="224"/>
      <c r="W155" s="224"/>
    </row>
    <row r="156" spans="2:39" ht="23.5" x14ac:dyDescent="0.55000000000000004">
      <c r="E156" s="226" t="s">
        <v>644</v>
      </c>
      <c r="F156" s="226" t="s">
        <v>644</v>
      </c>
      <c r="H156" s="227"/>
      <c r="I156" s="226" t="s">
        <v>590</v>
      </c>
      <c r="J156" s="227"/>
      <c r="K156" s="227"/>
      <c r="L156" s="227"/>
      <c r="M156" s="227"/>
      <c r="N156" s="227"/>
      <c r="O156" s="227"/>
      <c r="P156" s="226" t="s">
        <v>591</v>
      </c>
      <c r="Q156" s="227"/>
      <c r="R156" s="227"/>
      <c r="S156" s="227"/>
      <c r="T156" s="227"/>
      <c r="U156" s="227"/>
      <c r="V156" s="227"/>
      <c r="W156" s="227"/>
      <c r="AC156" s="226" t="s">
        <v>896</v>
      </c>
      <c r="AE156" s="226"/>
      <c r="AF156" s="226" t="s">
        <v>590</v>
      </c>
      <c r="AK156" s="226" t="s">
        <v>591</v>
      </c>
    </row>
    <row r="157" spans="2:39" ht="23.5" x14ac:dyDescent="0.55000000000000004">
      <c r="E157" s="226" t="s">
        <v>76</v>
      </c>
      <c r="F157" s="226" t="s">
        <v>20</v>
      </c>
      <c r="G157" s="226" t="s">
        <v>589</v>
      </c>
      <c r="H157" s="226"/>
      <c r="I157" s="226" t="s">
        <v>76</v>
      </c>
      <c r="J157" s="226" t="s">
        <v>20</v>
      </c>
      <c r="K157" s="226" t="s">
        <v>594</v>
      </c>
      <c r="L157" s="226"/>
      <c r="M157" s="229" t="s">
        <v>596</v>
      </c>
      <c r="N157" s="229" t="s">
        <v>597</v>
      </c>
      <c r="O157" s="226"/>
      <c r="P157" s="226" t="s">
        <v>76</v>
      </c>
      <c r="Q157" s="226" t="s">
        <v>20</v>
      </c>
      <c r="R157" s="226" t="s">
        <v>594</v>
      </c>
      <c r="S157" s="226"/>
      <c r="T157" s="229" t="s">
        <v>596</v>
      </c>
      <c r="U157" s="229" t="s">
        <v>597</v>
      </c>
      <c r="V157" s="226"/>
      <c r="W157" s="226" t="s">
        <v>595</v>
      </c>
      <c r="Y157" s="226" t="s">
        <v>599</v>
      </c>
      <c r="AC157" s="192"/>
      <c r="AD157" s="192"/>
      <c r="AE157" s="192"/>
      <c r="AF157" s="226" t="s">
        <v>76</v>
      </c>
      <c r="AG157" s="226" t="s">
        <v>897</v>
      </c>
      <c r="AH157" s="226" t="s">
        <v>594</v>
      </c>
      <c r="AI157" s="192"/>
      <c r="AJ157" s="192"/>
      <c r="AK157" s="226" t="s">
        <v>76</v>
      </c>
      <c r="AL157" s="226" t="s">
        <v>897</v>
      </c>
      <c r="AM157" s="226" t="s">
        <v>594</v>
      </c>
    </row>
    <row r="158" spans="2:39" ht="23.5" x14ac:dyDescent="0.55000000000000004">
      <c r="B158" s="226" t="s">
        <v>188</v>
      </c>
      <c r="E158" s="224">
        <v>-52.52</v>
      </c>
      <c r="F158" s="224">
        <v>-54.41</v>
      </c>
      <c r="G158" s="224">
        <f>F158-E158</f>
        <v>-1.8899999999999935</v>
      </c>
      <c r="H158" s="224"/>
      <c r="I158" s="224">
        <v>12</v>
      </c>
      <c r="J158" s="224">
        <v>8</v>
      </c>
      <c r="K158" s="224">
        <v>13.75</v>
      </c>
      <c r="L158" s="224"/>
      <c r="M158" s="224">
        <f>I158-J158</f>
        <v>4</v>
      </c>
      <c r="N158" s="224">
        <f>I158-K158</f>
        <v>-1.75</v>
      </c>
      <c r="O158" s="224"/>
      <c r="P158" s="224">
        <v>10.65</v>
      </c>
      <c r="Q158" s="224">
        <v>5.76</v>
      </c>
      <c r="R158" s="224">
        <v>9.2285000000000004</v>
      </c>
      <c r="S158" s="224"/>
      <c r="T158" s="224">
        <f>P158-Q158</f>
        <v>4.8900000000000006</v>
      </c>
      <c r="U158" s="224">
        <f>P158-R158</f>
        <v>1.4215</v>
      </c>
      <c r="V158" s="224"/>
      <c r="W158" s="224">
        <v>4</v>
      </c>
      <c r="Y158" s="224">
        <v>10</v>
      </c>
      <c r="AF158" s="224">
        <v>12</v>
      </c>
      <c r="AG158" s="224">
        <v>9</v>
      </c>
      <c r="AH158" s="224">
        <v>13.75</v>
      </c>
      <c r="AK158" s="224">
        <v>10.65</v>
      </c>
      <c r="AL158" s="224">
        <v>6.43</v>
      </c>
      <c r="AM158" s="224">
        <v>9.2285000000000004</v>
      </c>
    </row>
    <row r="159" spans="2:39" ht="21" x14ac:dyDescent="0.5">
      <c r="E159" s="224">
        <v>-52.76</v>
      </c>
      <c r="F159" s="224">
        <v>-54.5</v>
      </c>
      <c r="G159" s="224">
        <f>F159-E159</f>
        <v>-1.740000000000002</v>
      </c>
      <c r="H159" s="224"/>
      <c r="I159" s="224">
        <v>13.75</v>
      </c>
      <c r="J159" s="224">
        <v>9</v>
      </c>
      <c r="K159" s="224">
        <v>15.75</v>
      </c>
      <c r="L159" s="224"/>
      <c r="M159" s="224">
        <f>I159-J159</f>
        <v>4.75</v>
      </c>
      <c r="N159" s="224">
        <f>I159-K159</f>
        <v>-2</v>
      </c>
      <c r="O159" s="224"/>
      <c r="P159" s="224">
        <v>9.2285000000000004</v>
      </c>
      <c r="Q159" s="224">
        <v>7.14</v>
      </c>
      <c r="R159" s="224">
        <v>9.2985000000000007</v>
      </c>
      <c r="S159" s="224"/>
      <c r="T159" s="224">
        <f>P159-Q159</f>
        <v>2.0885000000000007</v>
      </c>
      <c r="U159" s="224">
        <f>P159-R159</f>
        <v>-7.0000000000000284E-2</v>
      </c>
      <c r="V159" s="224"/>
      <c r="W159" s="224">
        <v>4</v>
      </c>
      <c r="Y159" s="224">
        <v>10</v>
      </c>
      <c r="AF159" s="224">
        <v>13.75</v>
      </c>
      <c r="AG159" s="224">
        <v>10</v>
      </c>
      <c r="AH159" s="224">
        <v>15.75</v>
      </c>
      <c r="AK159" s="224">
        <v>9.2285000000000004</v>
      </c>
      <c r="AL159" s="224">
        <v>5.32</v>
      </c>
      <c r="AM159" s="224">
        <v>9.2985000000000007</v>
      </c>
    </row>
    <row r="160" spans="2:39" ht="21" x14ac:dyDescent="0.5">
      <c r="E160" s="224">
        <v>-52.95</v>
      </c>
      <c r="F160" s="224">
        <v>-54.23</v>
      </c>
      <c r="G160" s="224">
        <f>F160-E160</f>
        <v>-1.279999999999994</v>
      </c>
      <c r="H160" s="224"/>
      <c r="I160" s="224">
        <v>12</v>
      </c>
      <c r="J160" s="224">
        <v>10</v>
      </c>
      <c r="K160" s="224">
        <v>14</v>
      </c>
      <c r="L160" s="224"/>
      <c r="M160" s="224">
        <f>I160-J160</f>
        <v>2</v>
      </c>
      <c r="N160" s="224">
        <f>I160-K160</f>
        <v>-2</v>
      </c>
      <c r="O160" s="224"/>
      <c r="P160" s="224">
        <v>7.4550000000000001</v>
      </c>
      <c r="Q160" s="224">
        <v>5.6</v>
      </c>
      <c r="R160" s="224">
        <v>6.8144</v>
      </c>
      <c r="S160" s="224"/>
      <c r="T160" s="224">
        <f>P160-Q160</f>
        <v>1.8550000000000004</v>
      </c>
      <c r="U160" s="224">
        <f>P160-R160</f>
        <v>0.64060000000000006</v>
      </c>
      <c r="V160" s="224"/>
      <c r="W160" s="224">
        <v>4</v>
      </c>
      <c r="Y160" s="224">
        <v>10</v>
      </c>
      <c r="AF160" s="224">
        <v>12</v>
      </c>
      <c r="AG160" s="224">
        <v>11</v>
      </c>
      <c r="AH160" s="224">
        <v>14</v>
      </c>
      <c r="AK160" s="224">
        <v>7.4550000000000001</v>
      </c>
      <c r="AL160" s="224">
        <v>5.94</v>
      </c>
      <c r="AM160" s="224">
        <v>6.8144</v>
      </c>
    </row>
    <row r="161" spans="2:39" ht="21" x14ac:dyDescent="0.5">
      <c r="E161" s="224">
        <v>-53.07</v>
      </c>
      <c r="F161" s="224">
        <v>-53.96</v>
      </c>
      <c r="G161" s="224">
        <f>F161-E161</f>
        <v>-0.89000000000000057</v>
      </c>
      <c r="H161" s="224"/>
      <c r="I161" s="224">
        <v>13</v>
      </c>
      <c r="J161" s="224">
        <v>10.5</v>
      </c>
      <c r="K161" s="224">
        <v>13</v>
      </c>
      <c r="L161" s="224"/>
      <c r="M161" s="224">
        <f>I161-J161</f>
        <v>2.5</v>
      </c>
      <c r="N161" s="224">
        <f>I161-K161</f>
        <v>0</v>
      </c>
      <c r="O161" s="224"/>
      <c r="P161" s="224">
        <v>8.6</v>
      </c>
      <c r="Q161" s="224">
        <v>5.8529999999999998</v>
      </c>
      <c r="R161" s="224">
        <v>7.35</v>
      </c>
      <c r="S161" s="224"/>
      <c r="T161" s="224">
        <f>P161-Q161</f>
        <v>2.7469999999999999</v>
      </c>
      <c r="U161" s="224">
        <f>P161-R161</f>
        <v>1.25</v>
      </c>
      <c r="V161" s="224"/>
      <c r="W161" s="224">
        <v>4</v>
      </c>
      <c r="Y161" s="224">
        <v>10</v>
      </c>
      <c r="AF161" s="224">
        <v>17</v>
      </c>
      <c r="AG161" s="224">
        <v>12</v>
      </c>
      <c r="AH161" s="224">
        <v>15.667</v>
      </c>
      <c r="AI161" s="225"/>
      <c r="AJ161" s="225"/>
      <c r="AK161" s="224">
        <v>10.179</v>
      </c>
      <c r="AL161" s="224">
        <v>7.5</v>
      </c>
      <c r="AM161" s="224">
        <v>8.6999999999999993</v>
      </c>
    </row>
    <row r="162" spans="2:39" ht="21" x14ac:dyDescent="0.5">
      <c r="E162" s="224">
        <v>-52.89</v>
      </c>
      <c r="F162" s="224">
        <v>-54.08</v>
      </c>
      <c r="G162" s="224">
        <f>F162-E162</f>
        <v>-1.1899999999999977</v>
      </c>
      <c r="H162" s="224"/>
      <c r="I162" s="224">
        <v>17</v>
      </c>
      <c r="J162" s="224">
        <v>13</v>
      </c>
      <c r="K162" s="224">
        <v>15.667</v>
      </c>
      <c r="L162" s="224"/>
      <c r="M162" s="224">
        <f>I162-J162</f>
        <v>4</v>
      </c>
      <c r="N162" s="224">
        <f>I162-K162</f>
        <v>1.3330000000000002</v>
      </c>
      <c r="O162" s="224"/>
      <c r="P162" s="224">
        <v>10.179</v>
      </c>
      <c r="Q162" s="224">
        <v>8.5150000000000006</v>
      </c>
      <c r="R162" s="224">
        <v>8.6999999999999993</v>
      </c>
      <c r="S162" s="224"/>
      <c r="T162" s="224">
        <f>P162-Q162</f>
        <v>1.6639999999999997</v>
      </c>
      <c r="U162" s="224">
        <f>P162-R162</f>
        <v>1.479000000000001</v>
      </c>
      <c r="V162" s="224"/>
      <c r="W162" s="224">
        <v>4</v>
      </c>
      <c r="Y162" s="224">
        <v>10</v>
      </c>
    </row>
    <row r="163" spans="2:39" ht="21" x14ac:dyDescent="0.5">
      <c r="G163" s="224"/>
      <c r="H163" s="224"/>
      <c r="I163" s="224"/>
      <c r="J163" s="224"/>
      <c r="K163" s="224"/>
      <c r="L163" s="224"/>
      <c r="M163" s="224"/>
      <c r="N163" s="224"/>
      <c r="O163" s="224"/>
      <c r="P163" s="224"/>
      <c r="Q163" s="224"/>
      <c r="R163" s="224"/>
      <c r="S163" s="224"/>
      <c r="T163" s="224"/>
      <c r="U163" s="224"/>
      <c r="V163" s="224"/>
      <c r="W163" s="224"/>
      <c r="AF163" s="225"/>
      <c r="AG163" s="225"/>
      <c r="AH163" s="225"/>
      <c r="AI163" s="225"/>
      <c r="AJ163" s="225"/>
      <c r="AK163" s="225"/>
      <c r="AL163" s="225"/>
      <c r="AM163" s="225"/>
    </row>
    <row r="164" spans="2:39" ht="23.5" x14ac:dyDescent="0.55000000000000004">
      <c r="D164" s="226" t="s">
        <v>548</v>
      </c>
      <c r="E164" s="225">
        <f t="shared" ref="E164:F164" si="178">AVERAGE(E158:E162)</f>
        <v>-52.838000000000001</v>
      </c>
      <c r="F164" s="225">
        <f t="shared" si="178"/>
        <v>-54.236000000000004</v>
      </c>
      <c r="G164" s="225">
        <f>AVERAGE(G158:G162)</f>
        <v>-1.3979999999999975</v>
      </c>
      <c r="H164" s="225"/>
      <c r="I164" s="225">
        <f t="shared" ref="I164:U164" si="179">AVERAGE(I158:I162)</f>
        <v>13.55</v>
      </c>
      <c r="J164" s="225">
        <f t="shared" si="179"/>
        <v>10.1</v>
      </c>
      <c r="K164" s="225">
        <f t="shared" si="179"/>
        <v>14.433400000000001</v>
      </c>
      <c r="L164" s="225"/>
      <c r="M164" s="225">
        <f t="shared" si="179"/>
        <v>3.45</v>
      </c>
      <c r="N164" s="225">
        <f t="shared" si="179"/>
        <v>-0.88339999999999996</v>
      </c>
      <c r="O164" s="225"/>
      <c r="P164" s="225">
        <f t="shared" si="179"/>
        <v>9.2225000000000001</v>
      </c>
      <c r="Q164" s="225">
        <f t="shared" si="179"/>
        <v>6.5736000000000008</v>
      </c>
      <c r="R164" s="225">
        <f t="shared" si="179"/>
        <v>8.2782800000000005</v>
      </c>
      <c r="S164" s="225"/>
      <c r="T164" s="225">
        <f t="shared" si="179"/>
        <v>2.6489000000000003</v>
      </c>
      <c r="U164" s="225">
        <f t="shared" si="179"/>
        <v>0.94422000000000017</v>
      </c>
      <c r="V164" s="224"/>
      <c r="W164" s="224"/>
      <c r="AF164" s="225">
        <f>AVERAGE(AF158:AF161)</f>
        <v>13.6875</v>
      </c>
      <c r="AG164" s="225">
        <f t="shared" ref="AG164:AM164" si="180">AVERAGE(AG158:AG161)</f>
        <v>10.5</v>
      </c>
      <c r="AH164" s="225">
        <f t="shared" si="180"/>
        <v>14.79175</v>
      </c>
      <c r="AI164" s="225"/>
      <c r="AJ164" s="225"/>
      <c r="AK164" s="225">
        <f t="shared" si="180"/>
        <v>9.3781250000000007</v>
      </c>
      <c r="AL164" s="225">
        <f t="shared" si="180"/>
        <v>6.2975000000000003</v>
      </c>
      <c r="AM164" s="225">
        <f t="shared" si="180"/>
        <v>8.510349999999999</v>
      </c>
    </row>
    <row r="165" spans="2:39" ht="23.5" x14ac:dyDescent="0.55000000000000004">
      <c r="D165" s="226" t="s">
        <v>94</v>
      </c>
      <c r="E165" s="225">
        <f t="shared" ref="E165:F165" si="181">_xlfn.STDEV.S(E158:E162)</f>
        <v>0.20992855927672108</v>
      </c>
      <c r="F165" s="225">
        <f t="shared" si="181"/>
        <v>0.22389729788454288</v>
      </c>
      <c r="G165" s="225">
        <f>_xlfn.STDEV.S(G158:G162)</f>
        <v>0.41057277065095227</v>
      </c>
      <c r="H165" s="225"/>
      <c r="I165" s="225">
        <f t="shared" ref="I165:U165" si="182">_xlfn.STDEV.S(I158:I162)</f>
        <v>2.0645822822062549</v>
      </c>
      <c r="J165" s="225">
        <f t="shared" si="182"/>
        <v>1.8841443681416765</v>
      </c>
      <c r="K165" s="225">
        <f t="shared" si="182"/>
        <v>1.2211379119493424</v>
      </c>
      <c r="L165" s="225"/>
      <c r="M165" s="225">
        <f t="shared" si="182"/>
        <v>1.1510864433221335</v>
      </c>
      <c r="N165" s="225">
        <f t="shared" si="182"/>
        <v>1.4947751670401808</v>
      </c>
      <c r="O165" s="225"/>
      <c r="P165" s="225">
        <f t="shared" si="182"/>
        <v>1.2712441740279481</v>
      </c>
      <c r="Q165" s="225">
        <f t="shared" si="182"/>
        <v>1.2468910537813607</v>
      </c>
      <c r="R165" s="225">
        <f t="shared" si="182"/>
        <v>1.1320626162010603</v>
      </c>
      <c r="S165" s="225"/>
      <c r="T165" s="225">
        <f t="shared" si="182"/>
        <v>1.3178112725272919</v>
      </c>
      <c r="U165" s="225">
        <f t="shared" si="182"/>
        <v>0.65728885735268661</v>
      </c>
      <c r="V165" s="224"/>
      <c r="W165" s="224"/>
      <c r="AF165" s="225">
        <f>_xlfn.STDEV.S(AF158:AF161)</f>
        <v>2.3573908599692728</v>
      </c>
      <c r="AG165" s="225">
        <f t="shared" ref="AG165:AM165" si="183">_xlfn.STDEV.S(AG158:AG161)</f>
        <v>1.2909944487358056</v>
      </c>
      <c r="AH165" s="225">
        <f t="shared" si="183"/>
        <v>1.0640201674153862</v>
      </c>
      <c r="AI165" s="225"/>
      <c r="AJ165" s="225"/>
      <c r="AK165" s="225">
        <f t="shared" si="183"/>
        <v>1.4118385398125346</v>
      </c>
      <c r="AL165" s="225">
        <f t="shared" si="183"/>
        <v>0.9213893494789992</v>
      </c>
      <c r="AM165" s="225">
        <f t="shared" si="183"/>
        <v>1.1617706844869817</v>
      </c>
    </row>
    <row r="166" spans="2:39" ht="23.5" x14ac:dyDescent="0.55000000000000004">
      <c r="D166" s="226" t="s">
        <v>892</v>
      </c>
      <c r="E166" s="227"/>
      <c r="F166" s="226"/>
      <c r="G166" s="228"/>
      <c r="H166" s="224"/>
      <c r="I166" s="225">
        <f>MIN(I158:I162)</f>
        <v>12</v>
      </c>
      <c r="J166" s="225">
        <f t="shared" ref="J166:K166" si="184">MIN(J158:J162)</f>
        <v>8</v>
      </c>
      <c r="K166" s="225">
        <f t="shared" si="184"/>
        <v>13</v>
      </c>
      <c r="L166" s="225"/>
      <c r="M166" s="225"/>
      <c r="N166" s="225"/>
      <c r="O166" s="225"/>
      <c r="P166" s="225">
        <f>MIN(P158:P162)</f>
        <v>7.4550000000000001</v>
      </c>
      <c r="Q166" s="225">
        <f t="shared" ref="Q166:R166" si="185">MIN(Q158:Q162)</f>
        <v>5.6</v>
      </c>
      <c r="R166" s="225">
        <f t="shared" si="185"/>
        <v>6.8144</v>
      </c>
      <c r="S166" s="224"/>
      <c r="T166" s="224"/>
      <c r="U166" s="224"/>
      <c r="V166" s="224"/>
      <c r="W166" s="224"/>
    </row>
    <row r="167" spans="2:39" ht="21" x14ac:dyDescent="0.5">
      <c r="G167" s="224"/>
      <c r="H167" s="224"/>
      <c r="I167" s="224"/>
      <c r="J167" s="224"/>
      <c r="K167" s="224"/>
      <c r="L167" s="224"/>
      <c r="M167" s="224"/>
      <c r="N167" s="224"/>
      <c r="O167" s="224"/>
      <c r="P167" s="224"/>
      <c r="Q167" s="224"/>
      <c r="R167" s="224"/>
      <c r="S167" s="224"/>
      <c r="T167" s="224"/>
      <c r="U167" s="224"/>
      <c r="V167" s="224"/>
      <c r="W167" s="224"/>
    </row>
    <row r="168" spans="2:39" ht="21" x14ac:dyDescent="0.5">
      <c r="G168" s="224"/>
      <c r="H168" s="224"/>
      <c r="I168" s="224"/>
      <c r="J168" s="224"/>
      <c r="K168" s="224"/>
      <c r="L168" s="224"/>
      <c r="M168" s="224"/>
      <c r="N168" s="224"/>
      <c r="O168" s="224"/>
      <c r="P168" s="224"/>
      <c r="Q168" s="224"/>
      <c r="R168" s="224"/>
      <c r="S168" s="224"/>
      <c r="T168" s="224"/>
      <c r="U168" s="224"/>
      <c r="V168" s="224"/>
      <c r="W168" s="224"/>
    </row>
    <row r="169" spans="2:39" ht="23.5" x14ac:dyDescent="0.55000000000000004">
      <c r="E169" s="226" t="s">
        <v>644</v>
      </c>
      <c r="F169" s="226" t="s">
        <v>644</v>
      </c>
      <c r="H169" s="227"/>
      <c r="I169" s="226" t="s">
        <v>590</v>
      </c>
      <c r="J169" s="227"/>
      <c r="K169" s="227"/>
      <c r="L169" s="227"/>
      <c r="M169" s="227"/>
      <c r="N169" s="227"/>
      <c r="O169" s="227"/>
      <c r="P169" s="226" t="s">
        <v>591</v>
      </c>
      <c r="Q169" s="227"/>
      <c r="R169" s="227"/>
      <c r="S169" s="227"/>
      <c r="T169" s="227"/>
      <c r="U169" s="227"/>
      <c r="V169" s="227"/>
      <c r="W169" s="227"/>
      <c r="AC169" s="226" t="s">
        <v>896</v>
      </c>
      <c r="AE169" s="226"/>
      <c r="AF169" s="226" t="s">
        <v>590</v>
      </c>
      <c r="AK169" s="226" t="s">
        <v>591</v>
      </c>
    </row>
    <row r="170" spans="2:39" ht="23.5" x14ac:dyDescent="0.55000000000000004">
      <c r="E170" s="226" t="s">
        <v>76</v>
      </c>
      <c r="F170" s="226" t="s">
        <v>20</v>
      </c>
      <c r="G170" s="226" t="s">
        <v>589</v>
      </c>
      <c r="H170" s="226"/>
      <c r="I170" s="226" t="s">
        <v>76</v>
      </c>
      <c r="J170" s="226" t="s">
        <v>20</v>
      </c>
      <c r="K170" s="226" t="s">
        <v>594</v>
      </c>
      <c r="L170" s="226"/>
      <c r="M170" s="229" t="s">
        <v>596</v>
      </c>
      <c r="N170" s="229" t="s">
        <v>597</v>
      </c>
      <c r="O170" s="226"/>
      <c r="P170" s="226" t="s">
        <v>76</v>
      </c>
      <c r="Q170" s="226" t="s">
        <v>20</v>
      </c>
      <c r="R170" s="226" t="s">
        <v>594</v>
      </c>
      <c r="S170" s="226"/>
      <c r="T170" s="229" t="s">
        <v>596</v>
      </c>
      <c r="U170" s="229" t="s">
        <v>597</v>
      </c>
      <c r="V170" s="226"/>
      <c r="W170" s="226" t="s">
        <v>595</v>
      </c>
      <c r="Y170" s="226" t="s">
        <v>599</v>
      </c>
      <c r="AC170" s="192"/>
      <c r="AD170" s="192"/>
      <c r="AE170" s="192"/>
      <c r="AF170" s="226" t="s">
        <v>76</v>
      </c>
      <c r="AG170" s="226" t="s">
        <v>897</v>
      </c>
      <c r="AH170" s="226" t="s">
        <v>594</v>
      </c>
      <c r="AI170" s="192"/>
      <c r="AJ170" s="192"/>
      <c r="AK170" s="226" t="s">
        <v>76</v>
      </c>
      <c r="AL170" s="226" t="s">
        <v>897</v>
      </c>
      <c r="AM170" s="226" t="s">
        <v>594</v>
      </c>
    </row>
    <row r="171" spans="2:39" ht="23.5" x14ac:dyDescent="0.55000000000000004">
      <c r="B171" s="226" t="s">
        <v>600</v>
      </c>
      <c r="E171" s="224">
        <v>-47.79</v>
      </c>
      <c r="F171" s="224">
        <v>-51.09</v>
      </c>
      <c r="G171" s="224">
        <f t="shared" ref="G171:G176" si="186">F171-E171</f>
        <v>-3.3000000000000043</v>
      </c>
      <c r="H171" s="224"/>
      <c r="I171" s="224">
        <v>7</v>
      </c>
      <c r="J171" s="224">
        <v>5.5</v>
      </c>
      <c r="K171" s="224">
        <v>7.25</v>
      </c>
      <c r="L171" s="224"/>
      <c r="M171" s="224">
        <f>I171-J171</f>
        <v>1.5</v>
      </c>
      <c r="N171" s="224">
        <f>I171-K171</f>
        <v>-0.25</v>
      </c>
      <c r="O171" s="224"/>
      <c r="P171" s="224">
        <v>5.77</v>
      </c>
      <c r="Q171" s="224">
        <v>3.8650000000000002</v>
      </c>
      <c r="R171" s="224">
        <v>5.4077000000000002</v>
      </c>
      <c r="S171" s="224"/>
      <c r="T171" s="224">
        <f>P171-Q171</f>
        <v>1.9049999999999994</v>
      </c>
      <c r="U171" s="224">
        <f>P171-R171</f>
        <v>0.3622999999999994</v>
      </c>
      <c r="V171" s="224"/>
      <c r="W171" s="224">
        <v>1</v>
      </c>
      <c r="Y171" s="224">
        <v>8</v>
      </c>
      <c r="AF171" s="224">
        <v>7</v>
      </c>
      <c r="AG171" s="224">
        <v>5</v>
      </c>
      <c r="AH171" s="224">
        <v>7.25</v>
      </c>
      <c r="AK171" s="224">
        <v>5.77</v>
      </c>
      <c r="AL171" s="224">
        <v>3.57</v>
      </c>
      <c r="AM171" s="224">
        <v>5.4077000000000002</v>
      </c>
    </row>
    <row r="172" spans="2:39" ht="21" x14ac:dyDescent="0.5">
      <c r="E172" s="224">
        <v>-46.91</v>
      </c>
      <c r="F172" s="224">
        <v>-49.01</v>
      </c>
      <c r="G172" s="224">
        <f t="shared" si="186"/>
        <v>-2.1000000000000014</v>
      </c>
      <c r="H172" s="224"/>
      <c r="I172" s="224">
        <v>7</v>
      </c>
      <c r="J172" s="224">
        <v>4</v>
      </c>
      <c r="K172" s="224">
        <v>7.75</v>
      </c>
      <c r="L172" s="224"/>
      <c r="M172" s="224">
        <f>I172-J172</f>
        <v>3</v>
      </c>
      <c r="N172" s="224">
        <f>I172-K172</f>
        <v>-0.75</v>
      </c>
      <c r="O172" s="224"/>
      <c r="P172" s="224">
        <v>6.56</v>
      </c>
      <c r="Q172" s="224">
        <v>2.93</v>
      </c>
      <c r="R172" s="224">
        <v>5.8049999999999997</v>
      </c>
      <c r="S172" s="224"/>
      <c r="T172" s="224">
        <f>P172-Q172</f>
        <v>3.6299999999999994</v>
      </c>
      <c r="U172" s="224">
        <f>P172-R172</f>
        <v>0.75499999999999989</v>
      </c>
      <c r="V172" s="224"/>
      <c r="W172" s="224">
        <v>1</v>
      </c>
      <c r="Y172" s="224">
        <v>8</v>
      </c>
      <c r="AF172" s="224">
        <v>7</v>
      </c>
      <c r="AG172" s="224">
        <v>3</v>
      </c>
      <c r="AH172" s="224">
        <v>7.75</v>
      </c>
      <c r="AK172" s="224">
        <v>6.56</v>
      </c>
      <c r="AL172" s="224">
        <v>2</v>
      </c>
      <c r="AM172" s="224">
        <v>5.8049999999999997</v>
      </c>
    </row>
    <row r="173" spans="2:39" ht="21" x14ac:dyDescent="0.5">
      <c r="E173" s="224">
        <v>-46.36</v>
      </c>
      <c r="F173" s="224">
        <v>-48.74</v>
      </c>
      <c r="G173" s="224">
        <f t="shared" si="186"/>
        <v>-2.3800000000000026</v>
      </c>
      <c r="H173" s="224"/>
      <c r="I173" s="224">
        <v>8</v>
      </c>
      <c r="J173" s="224">
        <v>6</v>
      </c>
      <c r="K173" s="224">
        <v>8.5</v>
      </c>
      <c r="L173" s="224"/>
      <c r="M173" s="224">
        <f>I173-J173</f>
        <v>2</v>
      </c>
      <c r="N173" s="224">
        <f>I173-K173</f>
        <v>-0.5</v>
      </c>
      <c r="O173" s="224"/>
      <c r="P173" s="224">
        <v>8.8260000000000005</v>
      </c>
      <c r="Q173" s="224">
        <v>5.7770000000000001</v>
      </c>
      <c r="R173" s="224">
        <v>6.9080000000000004</v>
      </c>
      <c r="S173" s="224"/>
      <c r="T173" s="224">
        <f>P173-Q173</f>
        <v>3.0490000000000004</v>
      </c>
      <c r="U173" s="224">
        <f>P173-R173</f>
        <v>1.9180000000000001</v>
      </c>
      <c r="V173" s="224"/>
      <c r="W173" s="224">
        <v>1</v>
      </c>
      <c r="Y173" s="224">
        <v>8</v>
      </c>
      <c r="AF173" s="224">
        <v>8</v>
      </c>
      <c r="AG173" s="224">
        <v>6</v>
      </c>
      <c r="AH173" s="224">
        <v>8.5</v>
      </c>
      <c r="AK173" s="224">
        <v>8.8260000000000005</v>
      </c>
      <c r="AL173" s="224">
        <v>5.17</v>
      </c>
      <c r="AM173" s="224">
        <v>6.9080000000000004</v>
      </c>
    </row>
    <row r="174" spans="2:39" ht="21" x14ac:dyDescent="0.5">
      <c r="E174" s="224">
        <v>-45.04</v>
      </c>
      <c r="F174" s="224">
        <v>-47.76</v>
      </c>
      <c r="G174" s="224">
        <f t="shared" si="186"/>
        <v>-2.7199999999999989</v>
      </c>
      <c r="H174" s="224"/>
      <c r="I174" s="224">
        <v>8</v>
      </c>
      <c r="J174" s="224">
        <v>5</v>
      </c>
      <c r="K174" s="224">
        <v>8.5</v>
      </c>
      <c r="L174" s="224"/>
      <c r="M174" s="224">
        <f>I174-J174</f>
        <v>3</v>
      </c>
      <c r="N174" s="224">
        <f>I174-K174</f>
        <v>-0.5</v>
      </c>
      <c r="O174" s="224"/>
      <c r="P174" s="224">
        <v>8.3819999999999997</v>
      </c>
      <c r="Q174" s="224">
        <v>5.3647999999999998</v>
      </c>
      <c r="R174" s="224">
        <v>8.76</v>
      </c>
      <c r="S174" s="224"/>
      <c r="T174" s="224">
        <f>P174-Q174</f>
        <v>3.0171999999999999</v>
      </c>
      <c r="U174" s="224">
        <f>P174-R174</f>
        <v>-0.37800000000000011</v>
      </c>
      <c r="V174" s="224"/>
      <c r="W174" s="224">
        <v>1</v>
      </c>
      <c r="Y174" s="224">
        <v>8</v>
      </c>
      <c r="AF174" s="224">
        <v>8</v>
      </c>
      <c r="AG174" s="224">
        <v>5</v>
      </c>
      <c r="AH174" s="224">
        <v>8.5</v>
      </c>
      <c r="AI174" s="225"/>
      <c r="AJ174" s="225"/>
      <c r="AK174" s="224">
        <v>8.3819999999999997</v>
      </c>
      <c r="AL174" s="224">
        <v>5.37</v>
      </c>
      <c r="AM174" s="224">
        <v>8.76</v>
      </c>
    </row>
    <row r="175" spans="2:39" ht="21" x14ac:dyDescent="0.5">
      <c r="E175" s="224">
        <v>-45.78</v>
      </c>
      <c r="F175" s="224">
        <v>-46.88</v>
      </c>
      <c r="G175" s="224">
        <f t="shared" si="186"/>
        <v>-1.1000000000000014</v>
      </c>
      <c r="H175" s="224"/>
      <c r="I175" s="224">
        <v>10</v>
      </c>
      <c r="J175" s="224">
        <v>8</v>
      </c>
      <c r="K175" s="224">
        <v>10.333299999999999</v>
      </c>
      <c r="L175" s="224"/>
      <c r="M175" s="224">
        <f>I175-J175</f>
        <v>2</v>
      </c>
      <c r="N175" s="224">
        <f>I175-K175</f>
        <v>-0.33329999999999949</v>
      </c>
      <c r="O175" s="224"/>
      <c r="P175" s="224">
        <v>8.9375</v>
      </c>
      <c r="Q175" s="224">
        <v>6.93</v>
      </c>
      <c r="R175" s="224">
        <v>8.07</v>
      </c>
      <c r="S175" s="224"/>
      <c r="T175" s="224">
        <f>P175-Q175</f>
        <v>2.0075000000000003</v>
      </c>
      <c r="U175" s="224">
        <f>P175-R175</f>
        <v>0.86749999999999972</v>
      </c>
      <c r="V175" s="224"/>
      <c r="W175" s="224">
        <v>1</v>
      </c>
      <c r="Y175" s="224">
        <v>8</v>
      </c>
      <c r="AF175" s="224">
        <v>10</v>
      </c>
      <c r="AG175" s="224">
        <v>7</v>
      </c>
      <c r="AH175" s="224">
        <v>10.333299999999999</v>
      </c>
      <c r="AK175" s="224">
        <v>8.9375</v>
      </c>
      <c r="AL175" s="224">
        <v>6.6665999999999999</v>
      </c>
      <c r="AM175" s="224">
        <v>8.07</v>
      </c>
    </row>
    <row r="176" spans="2:39" ht="21" x14ac:dyDescent="0.5">
      <c r="E176" s="224">
        <v>-41.26</v>
      </c>
      <c r="F176" s="224">
        <v>-45.56</v>
      </c>
      <c r="G176" s="224">
        <f t="shared" si="186"/>
        <v>-4.3000000000000043</v>
      </c>
      <c r="H176" s="224"/>
      <c r="I176" s="224"/>
      <c r="J176" s="224"/>
      <c r="K176" s="224"/>
      <c r="L176" s="224"/>
      <c r="M176" s="224"/>
      <c r="N176" s="224"/>
      <c r="O176" s="224"/>
      <c r="P176" s="224"/>
      <c r="Q176" s="224"/>
      <c r="R176" s="224"/>
      <c r="S176" s="224"/>
      <c r="T176" s="224"/>
      <c r="U176" s="224"/>
      <c r="V176" s="224"/>
      <c r="W176" s="224"/>
      <c r="Y176" s="224"/>
      <c r="AF176" s="225"/>
      <c r="AG176" s="225"/>
      <c r="AH176" s="225"/>
      <c r="AI176" s="225"/>
      <c r="AJ176" s="225"/>
      <c r="AK176" s="225"/>
      <c r="AL176" s="225"/>
      <c r="AM176" s="225"/>
    </row>
    <row r="177" spans="2:39" ht="21" x14ac:dyDescent="0.5">
      <c r="G177" s="224"/>
      <c r="H177" s="224"/>
      <c r="I177" s="224"/>
      <c r="J177" s="224"/>
      <c r="K177" s="224"/>
      <c r="L177" s="224"/>
      <c r="M177" s="224"/>
      <c r="N177" s="224"/>
      <c r="O177" s="224"/>
      <c r="P177" s="224"/>
      <c r="Q177" s="224"/>
      <c r="R177" s="224"/>
      <c r="S177" s="224"/>
      <c r="T177" s="224"/>
      <c r="U177" s="224"/>
      <c r="V177" s="224"/>
      <c r="W177" s="224"/>
      <c r="AF177" s="225">
        <f>AVERAGE(AF171:AF175)</f>
        <v>8</v>
      </c>
      <c r="AG177" s="225">
        <f t="shared" ref="AG177:AM177" si="187">AVERAGE(AG171:AG175)</f>
        <v>5.2</v>
      </c>
      <c r="AH177" s="225">
        <f t="shared" si="187"/>
        <v>8.466660000000001</v>
      </c>
      <c r="AI177" s="225"/>
      <c r="AJ177" s="225"/>
      <c r="AK177" s="225">
        <f t="shared" si="187"/>
        <v>7.6950999999999992</v>
      </c>
      <c r="AL177" s="225">
        <f t="shared" si="187"/>
        <v>4.55532</v>
      </c>
      <c r="AM177" s="225">
        <f t="shared" si="187"/>
        <v>6.9901399999999994</v>
      </c>
    </row>
    <row r="178" spans="2:39" ht="23.5" x14ac:dyDescent="0.55000000000000004">
      <c r="D178" s="226" t="s">
        <v>548</v>
      </c>
      <c r="E178" s="225">
        <f t="shared" ref="E178:F178" si="188">AVERAGE(E171:E176)</f>
        <v>-45.523333333333333</v>
      </c>
      <c r="F178" s="225">
        <f t="shared" si="188"/>
        <v>-48.173333333333325</v>
      </c>
      <c r="G178" s="225">
        <f>AVERAGE(G171:G176)</f>
        <v>-2.6500000000000021</v>
      </c>
      <c r="H178" s="225"/>
      <c r="I178" s="225">
        <f>AVERAGE(I171:I175)</f>
        <v>8</v>
      </c>
      <c r="J178" s="225">
        <f>AVERAGE(J171:J175)</f>
        <v>5.7</v>
      </c>
      <c r="K178" s="225">
        <f>AVERAGE(K171:K175)</f>
        <v>8.466660000000001</v>
      </c>
      <c r="L178" s="225"/>
      <c r="M178" s="225">
        <f>AVERAGE(M171:M175)</f>
        <v>2.2999999999999998</v>
      </c>
      <c r="N178" s="225">
        <f>AVERAGE(N171:N175)</f>
        <v>-0.46665999999999991</v>
      </c>
      <c r="O178" s="225"/>
      <c r="P178" s="225">
        <f>AVERAGE(P171:P175)</f>
        <v>7.6950999999999992</v>
      </c>
      <c r="Q178" s="225">
        <f>AVERAGE(Q171:Q175)</f>
        <v>4.9733599999999996</v>
      </c>
      <c r="R178" s="225">
        <f>AVERAGE(R171:R175)</f>
        <v>6.9901399999999994</v>
      </c>
      <c r="S178" s="225"/>
      <c r="T178" s="225">
        <f>AVERAGE(T171:T175)</f>
        <v>2.7217399999999996</v>
      </c>
      <c r="U178" s="225">
        <f>AVERAGE(U171:U175)</f>
        <v>0.70495999999999981</v>
      </c>
      <c r="V178" s="224"/>
      <c r="W178" s="224"/>
      <c r="AF178" s="225">
        <f>_xlfn.STDEV.S(AF171:AF175)</f>
        <v>1.2247448713915889</v>
      </c>
      <c r="AG178" s="225">
        <f t="shared" ref="AG178:AM178" si="189">_xlfn.STDEV.S(AG171:AG175)</f>
        <v>1.4832396974191335</v>
      </c>
      <c r="AH178" s="225">
        <f t="shared" si="189"/>
        <v>1.1705160306463089</v>
      </c>
      <c r="AI178" s="225"/>
      <c r="AJ178" s="225"/>
      <c r="AK178" s="225">
        <f t="shared" si="189"/>
        <v>1.4395126084894203</v>
      </c>
      <c r="AL178" s="225">
        <f t="shared" si="189"/>
        <v>1.8027447162590728</v>
      </c>
      <c r="AM178" s="225">
        <f t="shared" si="189"/>
        <v>1.4329970509390535</v>
      </c>
    </row>
    <row r="179" spans="2:39" ht="23.5" x14ac:dyDescent="0.55000000000000004">
      <c r="D179" s="226" t="s">
        <v>94</v>
      </c>
      <c r="E179" s="225">
        <f t="shared" ref="E179:F179" si="190">_xlfn.STDEV.S(E171:E175)</f>
        <v>1.0517746907013872</v>
      </c>
      <c r="F179" s="225">
        <f t="shared" si="190"/>
        <v>1.5815909711426663</v>
      </c>
      <c r="G179" s="225">
        <f>_xlfn.STDEV.S(G171:G175)</f>
        <v>0.81559794016414811</v>
      </c>
      <c r="H179" s="225"/>
      <c r="I179" s="225">
        <f>_xlfn.STDEV.S(I171:I175)</f>
        <v>1.2247448713915889</v>
      </c>
      <c r="J179" s="225">
        <f>_xlfn.STDEV.S(J171:J175)</f>
        <v>1.4832396974191335</v>
      </c>
      <c r="K179" s="225">
        <f>_xlfn.STDEV.S(K171:K175)</f>
        <v>1.1705160306463089</v>
      </c>
      <c r="L179" s="225"/>
      <c r="M179" s="225">
        <f>_xlfn.STDEV.S(M171:M175)</f>
        <v>0.67082039324993703</v>
      </c>
      <c r="N179" s="225">
        <f>_xlfn.STDEV.S(N171:N175)</f>
        <v>0.19185353267531982</v>
      </c>
      <c r="O179" s="225"/>
      <c r="P179" s="225">
        <f>_xlfn.STDEV.S(P171:P175)</f>
        <v>1.4395126084894203</v>
      </c>
      <c r="Q179" s="225">
        <f>_xlfn.STDEV.S(Q171:Q175)</f>
        <v>1.5836101628873203</v>
      </c>
      <c r="R179" s="225">
        <f>_xlfn.STDEV.S(R171:R175)</f>
        <v>1.4329970509390535</v>
      </c>
      <c r="S179" s="225"/>
      <c r="T179" s="225">
        <f>_xlfn.STDEV.S(T171:T175)</f>
        <v>0.74103558484056742</v>
      </c>
      <c r="U179" s="225">
        <f>_xlfn.STDEV.S(U171:U175)</f>
        <v>0.83525557944859041</v>
      </c>
      <c r="V179" s="224"/>
      <c r="W179" s="224"/>
    </row>
    <row r="180" spans="2:39" ht="23.5" x14ac:dyDescent="0.55000000000000004">
      <c r="D180" s="226" t="s">
        <v>892</v>
      </c>
      <c r="G180" s="224"/>
      <c r="H180" s="224"/>
      <c r="I180" s="225">
        <f>MIN(I171:I175)</f>
        <v>7</v>
      </c>
      <c r="J180" s="225">
        <f t="shared" ref="J180:K180" si="191">MIN(J171:J175)</f>
        <v>4</v>
      </c>
      <c r="K180" s="225">
        <f t="shared" si="191"/>
        <v>7.25</v>
      </c>
      <c r="L180" s="225"/>
      <c r="M180" s="225"/>
      <c r="N180" s="225"/>
      <c r="O180" s="225"/>
      <c r="P180" s="225">
        <f>MIN(P171:P175)</f>
        <v>5.77</v>
      </c>
      <c r="Q180" s="225">
        <f t="shared" ref="Q180:R180" si="192">MIN(Q171:Q175)</f>
        <v>2.93</v>
      </c>
      <c r="R180" s="225">
        <f t="shared" si="192"/>
        <v>5.4077000000000002</v>
      </c>
      <c r="S180" s="224"/>
      <c r="T180" s="224"/>
      <c r="U180" s="224"/>
      <c r="V180" s="224"/>
      <c r="W180" s="224"/>
    </row>
    <row r="181" spans="2:39" ht="21" x14ac:dyDescent="0.5">
      <c r="G181" s="224"/>
      <c r="H181" s="224"/>
      <c r="I181" s="224"/>
      <c r="J181" s="224"/>
      <c r="K181" s="224"/>
      <c r="L181" s="224"/>
      <c r="M181" s="224"/>
      <c r="N181" s="224"/>
      <c r="O181" s="224"/>
      <c r="P181" s="224"/>
      <c r="Q181" s="224"/>
      <c r="R181" s="224"/>
      <c r="S181" s="224"/>
      <c r="T181" s="224"/>
      <c r="U181" s="224"/>
      <c r="V181" s="224"/>
      <c r="W181" s="224"/>
    </row>
    <row r="182" spans="2:39" ht="21" x14ac:dyDescent="0.5">
      <c r="G182" s="224"/>
      <c r="H182" s="224"/>
      <c r="I182" s="224"/>
      <c r="J182" s="224"/>
      <c r="K182" s="224"/>
      <c r="L182" s="224"/>
      <c r="M182" s="224"/>
      <c r="N182" s="224"/>
      <c r="O182" s="224"/>
      <c r="P182" s="224"/>
      <c r="Q182" s="224"/>
      <c r="R182" s="224"/>
      <c r="S182" s="224"/>
      <c r="T182" s="224"/>
      <c r="U182" s="224"/>
      <c r="V182" s="224"/>
      <c r="W182" s="224"/>
    </row>
    <row r="183" spans="2:39" ht="23.5" x14ac:dyDescent="0.55000000000000004">
      <c r="E183" s="226" t="s">
        <v>644</v>
      </c>
      <c r="F183" s="226" t="s">
        <v>644</v>
      </c>
      <c r="H183" s="227"/>
      <c r="I183" s="226" t="s">
        <v>590</v>
      </c>
      <c r="J183" s="227"/>
      <c r="K183" s="227"/>
      <c r="L183" s="227"/>
      <c r="M183" s="227"/>
      <c r="N183" s="227"/>
      <c r="O183" s="227"/>
      <c r="P183" s="226" t="s">
        <v>591</v>
      </c>
      <c r="Q183" s="227"/>
      <c r="R183" s="227"/>
      <c r="S183" s="227"/>
      <c r="T183" s="227"/>
      <c r="U183" s="227"/>
      <c r="V183" s="227"/>
      <c r="W183" s="227"/>
      <c r="AC183" s="226" t="s">
        <v>896</v>
      </c>
      <c r="AE183" s="226"/>
      <c r="AF183" s="226" t="s">
        <v>590</v>
      </c>
      <c r="AK183" s="226" t="s">
        <v>591</v>
      </c>
    </row>
    <row r="184" spans="2:39" ht="23.5" x14ac:dyDescent="0.55000000000000004">
      <c r="E184" s="226" t="s">
        <v>76</v>
      </c>
      <c r="F184" s="226" t="s">
        <v>20</v>
      </c>
      <c r="G184" s="226" t="s">
        <v>589</v>
      </c>
      <c r="H184" s="226"/>
      <c r="I184" s="226" t="s">
        <v>76</v>
      </c>
      <c r="J184" s="226" t="s">
        <v>20</v>
      </c>
      <c r="K184" s="226" t="s">
        <v>594</v>
      </c>
      <c r="L184" s="226"/>
      <c r="M184" s="229" t="s">
        <v>596</v>
      </c>
      <c r="N184" s="229" t="s">
        <v>597</v>
      </c>
      <c r="O184" s="226"/>
      <c r="P184" s="226" t="s">
        <v>76</v>
      </c>
      <c r="Q184" s="226" t="s">
        <v>20</v>
      </c>
      <c r="R184" s="226" t="s">
        <v>594</v>
      </c>
      <c r="S184" s="226"/>
      <c r="T184" s="229" t="s">
        <v>596</v>
      </c>
      <c r="U184" s="229" t="s">
        <v>597</v>
      </c>
      <c r="V184" s="226"/>
      <c r="W184" s="226" t="s">
        <v>595</v>
      </c>
      <c r="Y184" s="226" t="s">
        <v>599</v>
      </c>
      <c r="AC184" s="192"/>
      <c r="AD184" s="192"/>
      <c r="AE184" s="192"/>
      <c r="AF184" s="226" t="s">
        <v>76</v>
      </c>
      <c r="AG184" s="226" t="s">
        <v>897</v>
      </c>
      <c r="AH184" s="226" t="s">
        <v>594</v>
      </c>
      <c r="AI184" s="192"/>
      <c r="AJ184" s="192"/>
      <c r="AK184" s="226" t="s">
        <v>76</v>
      </c>
      <c r="AL184" s="226" t="s">
        <v>897</v>
      </c>
      <c r="AM184" s="226" t="s">
        <v>594</v>
      </c>
    </row>
    <row r="185" spans="2:39" ht="23.5" x14ac:dyDescent="0.55000000000000004">
      <c r="B185" s="226" t="s">
        <v>561</v>
      </c>
      <c r="E185" s="224">
        <v>-40.74</v>
      </c>
      <c r="F185" s="224">
        <v>-45.41</v>
      </c>
      <c r="G185" s="224">
        <f t="shared" ref="G185:G191" si="193">F185-E185</f>
        <v>-4.6699999999999946</v>
      </c>
      <c r="H185" s="224"/>
      <c r="I185" s="224">
        <v>18.333300000000001</v>
      </c>
      <c r="J185" s="224">
        <v>25</v>
      </c>
      <c r="K185" s="224">
        <v>16</v>
      </c>
      <c r="L185" s="224"/>
      <c r="M185" s="224">
        <f>I185-J185</f>
        <v>-6.6666999999999987</v>
      </c>
      <c r="N185" s="224">
        <f>I185-K185</f>
        <v>2.3333000000000013</v>
      </c>
      <c r="O185" s="224"/>
      <c r="P185" s="224">
        <v>22.312999999999999</v>
      </c>
      <c r="Q185" s="224">
        <v>4.6382000000000003</v>
      </c>
      <c r="R185" s="224">
        <v>11.657</v>
      </c>
      <c r="S185" s="224"/>
      <c r="T185" s="224">
        <f>P185-Q185</f>
        <v>17.674799999999998</v>
      </c>
      <c r="U185" s="224">
        <f>P185-R185</f>
        <v>10.655999999999999</v>
      </c>
      <c r="V185" s="224"/>
      <c r="W185" s="224">
        <v>2</v>
      </c>
      <c r="Y185" s="224">
        <v>10</v>
      </c>
      <c r="AF185" s="224"/>
      <c r="AG185" s="224"/>
      <c r="AH185" s="224"/>
      <c r="AK185" s="224"/>
      <c r="AL185" s="224"/>
      <c r="AM185" s="224"/>
    </row>
    <row r="186" spans="2:39" ht="21" x14ac:dyDescent="0.5">
      <c r="E186" s="224">
        <v>-40.86</v>
      </c>
      <c r="F186" s="224">
        <v>-43.21</v>
      </c>
      <c r="G186" s="224">
        <f t="shared" si="193"/>
        <v>-2.3500000000000014</v>
      </c>
      <c r="H186" s="224"/>
      <c r="I186" s="224" t="s">
        <v>631</v>
      </c>
      <c r="J186" s="224" t="s">
        <v>631</v>
      </c>
      <c r="K186" s="224" t="s">
        <v>631</v>
      </c>
      <c r="L186" s="224"/>
      <c r="M186" s="224"/>
      <c r="N186" s="224"/>
      <c r="O186" s="224"/>
      <c r="P186" s="224" t="s">
        <v>631</v>
      </c>
      <c r="Q186" s="224" t="s">
        <v>631</v>
      </c>
      <c r="R186" s="224" t="s">
        <v>631</v>
      </c>
      <c r="S186" s="224"/>
      <c r="T186" s="224"/>
      <c r="U186" s="224"/>
      <c r="V186" s="224"/>
      <c r="W186" s="224"/>
      <c r="Y186" s="224"/>
      <c r="AF186" s="224"/>
      <c r="AG186" s="224"/>
      <c r="AH186" s="224"/>
      <c r="AK186" s="224"/>
      <c r="AL186" s="224"/>
      <c r="AM186" s="224"/>
    </row>
    <row r="187" spans="2:39" ht="21" x14ac:dyDescent="0.5">
      <c r="E187" s="224">
        <v>-41.99</v>
      </c>
      <c r="F187" s="224">
        <v>-45.07</v>
      </c>
      <c r="G187" s="224">
        <f t="shared" si="193"/>
        <v>-3.0799999999999983</v>
      </c>
      <c r="H187" s="224"/>
      <c r="I187" s="224">
        <v>16.666</v>
      </c>
      <c r="J187" s="224">
        <v>14.5</v>
      </c>
      <c r="K187" s="224">
        <v>15.333</v>
      </c>
      <c r="L187" s="224"/>
      <c r="M187" s="224">
        <f t="shared" ref="M187:M192" si="194">I187-J187</f>
        <v>2.1660000000000004</v>
      </c>
      <c r="N187" s="224">
        <f t="shared" ref="N187:N192" si="195">I187-K187</f>
        <v>1.3330000000000002</v>
      </c>
      <c r="O187" s="224"/>
      <c r="P187" s="224">
        <v>19.826000000000001</v>
      </c>
      <c r="Q187" s="224">
        <v>9.4239999999999995</v>
      </c>
      <c r="R187" s="224">
        <v>16.917000000000002</v>
      </c>
      <c r="S187" s="224"/>
      <c r="T187" s="224">
        <f t="shared" ref="T187:T192" si="196">P187-Q187</f>
        <v>10.402000000000001</v>
      </c>
      <c r="U187" s="224">
        <f t="shared" ref="U187:U192" si="197">P187-R187</f>
        <v>2.9089999999999989</v>
      </c>
      <c r="V187" s="224"/>
      <c r="W187" s="224">
        <v>2</v>
      </c>
      <c r="Y187" s="224">
        <v>10</v>
      </c>
      <c r="AF187" s="224"/>
      <c r="AG187" s="224"/>
      <c r="AH187" s="224"/>
      <c r="AK187" s="224"/>
      <c r="AL187" s="224"/>
      <c r="AM187" s="224"/>
    </row>
    <row r="188" spans="2:39" ht="21" x14ac:dyDescent="0.5">
      <c r="E188" s="224">
        <v>-42.72</v>
      </c>
      <c r="F188" s="224">
        <v>-44.28</v>
      </c>
      <c r="G188" s="224">
        <f t="shared" si="193"/>
        <v>-1.5600000000000023</v>
      </c>
      <c r="H188" s="224"/>
      <c r="I188" s="224">
        <v>15</v>
      </c>
      <c r="J188" s="224">
        <v>7</v>
      </c>
      <c r="K188" s="224">
        <v>12</v>
      </c>
      <c r="L188" s="224"/>
      <c r="M188" s="224">
        <f t="shared" si="194"/>
        <v>8</v>
      </c>
      <c r="N188" s="224">
        <f t="shared" si="195"/>
        <v>3</v>
      </c>
      <c r="O188" s="224"/>
      <c r="P188" s="224">
        <v>19.224</v>
      </c>
      <c r="Q188" s="224">
        <v>7.4688999999999997</v>
      </c>
      <c r="R188" s="224">
        <v>14.507999999999999</v>
      </c>
      <c r="S188" s="224"/>
      <c r="T188" s="224">
        <f t="shared" si="196"/>
        <v>11.755100000000001</v>
      </c>
      <c r="U188" s="224">
        <f t="shared" si="197"/>
        <v>4.7160000000000011</v>
      </c>
      <c r="V188" s="224"/>
      <c r="W188" s="224">
        <v>2</v>
      </c>
      <c r="Y188" s="224">
        <v>10</v>
      </c>
      <c r="AF188" s="224">
        <v>15</v>
      </c>
      <c r="AG188" s="224">
        <v>7</v>
      </c>
      <c r="AH188" s="224">
        <v>12</v>
      </c>
      <c r="AI188" s="225"/>
      <c r="AJ188" s="225"/>
      <c r="AK188" s="224">
        <v>19.224</v>
      </c>
      <c r="AL188" s="224">
        <v>3.55</v>
      </c>
      <c r="AM188" s="224">
        <v>14.507999999999999</v>
      </c>
    </row>
    <row r="189" spans="2:39" ht="21" x14ac:dyDescent="0.5">
      <c r="E189" s="224">
        <v>-41.53</v>
      </c>
      <c r="F189" s="224">
        <v>-44.16</v>
      </c>
      <c r="G189" s="224">
        <f t="shared" si="193"/>
        <v>-2.6299999999999955</v>
      </c>
      <c r="H189" s="224"/>
      <c r="I189" s="224">
        <v>17</v>
      </c>
      <c r="J189" s="224">
        <v>7.5</v>
      </c>
      <c r="K189" s="224">
        <v>16.666599999999999</v>
      </c>
      <c r="L189" s="224"/>
      <c r="M189" s="224">
        <f t="shared" si="194"/>
        <v>9.5</v>
      </c>
      <c r="N189" s="224">
        <f t="shared" si="195"/>
        <v>0.33340000000000103</v>
      </c>
      <c r="O189" s="224"/>
      <c r="P189" s="224">
        <v>22.222999999999999</v>
      </c>
      <c r="Q189" s="224">
        <v>5.9560000000000004</v>
      </c>
      <c r="R189" s="224">
        <v>20.910799999999998</v>
      </c>
      <c r="S189" s="224"/>
      <c r="T189" s="224">
        <f t="shared" si="196"/>
        <v>16.266999999999999</v>
      </c>
      <c r="U189" s="224">
        <f t="shared" si="197"/>
        <v>1.3122000000000007</v>
      </c>
      <c r="V189" s="224"/>
      <c r="W189" s="224">
        <v>2</v>
      </c>
      <c r="Y189" s="224">
        <v>10</v>
      </c>
      <c r="AF189" s="224">
        <v>17</v>
      </c>
      <c r="AG189" s="224">
        <v>10</v>
      </c>
      <c r="AH189" s="224">
        <v>16.666599999999999</v>
      </c>
      <c r="AK189" s="224">
        <v>22.222999999999999</v>
      </c>
      <c r="AL189" s="224">
        <v>5.55</v>
      </c>
      <c r="AM189" s="224">
        <v>20.910799999999998</v>
      </c>
    </row>
    <row r="190" spans="2:39" ht="21" x14ac:dyDescent="0.5">
      <c r="E190" s="224">
        <v>-41.29</v>
      </c>
      <c r="F190" s="224">
        <v>-43.03</v>
      </c>
      <c r="G190" s="224">
        <f t="shared" si="193"/>
        <v>-1.740000000000002</v>
      </c>
      <c r="H190" s="224"/>
      <c r="I190" s="224">
        <v>12.66666</v>
      </c>
      <c r="J190" s="224">
        <v>12</v>
      </c>
      <c r="K190" s="224">
        <v>14</v>
      </c>
      <c r="L190" s="224"/>
      <c r="M190" s="224">
        <f t="shared" si="194"/>
        <v>0.66666000000000025</v>
      </c>
      <c r="N190" s="224">
        <f t="shared" si="195"/>
        <v>-1.3333399999999997</v>
      </c>
      <c r="O190" s="224"/>
      <c r="P190" s="224">
        <v>13.4015</v>
      </c>
      <c r="Q190" s="224">
        <v>9.3914000000000009</v>
      </c>
      <c r="R190" s="224">
        <v>7.8014999999999999</v>
      </c>
      <c r="S190" s="224"/>
      <c r="T190" s="224">
        <f t="shared" si="196"/>
        <v>4.0100999999999996</v>
      </c>
      <c r="U190" s="224">
        <f t="shared" si="197"/>
        <v>5.6000000000000005</v>
      </c>
      <c r="V190" s="224"/>
      <c r="W190" s="224">
        <v>2</v>
      </c>
      <c r="Y190" s="224">
        <v>10</v>
      </c>
      <c r="AF190" s="224">
        <v>12.66666</v>
      </c>
      <c r="AG190" s="224">
        <v>9</v>
      </c>
      <c r="AH190" s="224">
        <v>14</v>
      </c>
      <c r="AI190" s="225"/>
      <c r="AJ190" s="225"/>
      <c r="AK190" s="224">
        <v>13.4015</v>
      </c>
      <c r="AL190" s="224">
        <v>2.12</v>
      </c>
      <c r="AM190" s="224">
        <v>7.8014999999999999</v>
      </c>
    </row>
    <row r="191" spans="2:39" ht="21" x14ac:dyDescent="0.5">
      <c r="E191" s="224">
        <v>-42.14</v>
      </c>
      <c r="F191" s="224">
        <v>-44.43</v>
      </c>
      <c r="G191" s="224">
        <f t="shared" si="193"/>
        <v>-2.2899999999999991</v>
      </c>
      <c r="H191" s="224"/>
      <c r="I191" s="224">
        <v>14</v>
      </c>
      <c r="J191" s="224">
        <v>13</v>
      </c>
      <c r="K191" s="224">
        <v>14</v>
      </c>
      <c r="L191" s="224"/>
      <c r="M191" s="224">
        <f t="shared" si="194"/>
        <v>1</v>
      </c>
      <c r="N191" s="224">
        <f t="shared" si="195"/>
        <v>0</v>
      </c>
      <c r="O191" s="224"/>
      <c r="P191" s="224">
        <v>6.6717000000000004</v>
      </c>
      <c r="Q191" s="224">
        <v>5.718</v>
      </c>
      <c r="R191" s="224">
        <v>6.86</v>
      </c>
      <c r="S191" s="224"/>
      <c r="T191" s="224">
        <f t="shared" si="196"/>
        <v>0.95370000000000044</v>
      </c>
      <c r="U191" s="224">
        <f t="shared" si="197"/>
        <v>-0.18829999999999991</v>
      </c>
      <c r="V191" s="224"/>
      <c r="W191" s="224">
        <v>2</v>
      </c>
      <c r="Y191" s="224">
        <v>10</v>
      </c>
      <c r="AF191" s="224">
        <v>14</v>
      </c>
      <c r="AG191" s="224">
        <v>13</v>
      </c>
      <c r="AH191" s="224">
        <v>14</v>
      </c>
      <c r="AI191" s="225"/>
      <c r="AJ191" s="225"/>
      <c r="AK191" s="224">
        <v>6.6717000000000004</v>
      </c>
      <c r="AL191" s="224">
        <v>6.22</v>
      </c>
      <c r="AM191" s="224">
        <v>6.86</v>
      </c>
    </row>
    <row r="192" spans="2:39" ht="21" x14ac:dyDescent="0.5">
      <c r="E192" s="224">
        <v>-41.2</v>
      </c>
      <c r="F192" s="224">
        <v>-45.84</v>
      </c>
      <c r="G192" s="224">
        <f>F192-E192</f>
        <v>-4.6400000000000006</v>
      </c>
      <c r="H192" s="224"/>
      <c r="I192" s="224">
        <v>17.332999999999998</v>
      </c>
      <c r="J192" s="224">
        <v>10</v>
      </c>
      <c r="K192" s="224">
        <v>15.5</v>
      </c>
      <c r="L192" s="224"/>
      <c r="M192" s="224">
        <f t="shared" si="194"/>
        <v>7.3329999999999984</v>
      </c>
      <c r="N192" s="224">
        <f t="shared" si="195"/>
        <v>1.8329999999999984</v>
      </c>
      <c r="O192" s="224"/>
      <c r="P192" s="224">
        <v>8.5566999999999993</v>
      </c>
      <c r="Q192" s="224">
        <v>4.3082000000000003</v>
      </c>
      <c r="R192" s="224">
        <v>11.012</v>
      </c>
      <c r="S192" s="224"/>
      <c r="T192" s="224">
        <f t="shared" si="196"/>
        <v>4.2484999999999991</v>
      </c>
      <c r="U192" s="224">
        <f t="shared" si="197"/>
        <v>-2.4553000000000011</v>
      </c>
      <c r="V192" s="224"/>
      <c r="W192" s="224">
        <v>2</v>
      </c>
      <c r="Y192" s="224">
        <v>10</v>
      </c>
      <c r="AF192" s="224">
        <v>17.332999999999998</v>
      </c>
      <c r="AG192" s="224">
        <v>7</v>
      </c>
      <c r="AH192" s="224">
        <v>15.5</v>
      </c>
      <c r="AI192" s="225"/>
      <c r="AJ192" s="225"/>
      <c r="AK192" s="224">
        <v>8.5566999999999993</v>
      </c>
      <c r="AL192" s="224">
        <v>3.2549999999999999</v>
      </c>
      <c r="AM192" s="224">
        <v>11.012</v>
      </c>
    </row>
    <row r="193" spans="2:39" ht="21" x14ac:dyDescent="0.5">
      <c r="G193" s="224"/>
      <c r="H193" s="224"/>
      <c r="I193" s="224"/>
      <c r="J193" s="224"/>
      <c r="K193" s="224"/>
      <c r="L193" s="224"/>
      <c r="M193" s="224"/>
      <c r="N193" s="224"/>
      <c r="O193" s="224"/>
      <c r="P193" s="224"/>
      <c r="Q193" s="224"/>
      <c r="R193" s="224"/>
      <c r="S193" s="224"/>
      <c r="T193" s="224"/>
      <c r="U193" s="224"/>
      <c r="V193" s="224"/>
      <c r="W193" s="224"/>
    </row>
    <row r="194" spans="2:39" ht="23.5" x14ac:dyDescent="0.55000000000000004">
      <c r="D194" s="226" t="s">
        <v>548</v>
      </c>
      <c r="E194" s="225">
        <f t="shared" ref="E194:F194" si="198">AVERAGE(E185:E192)</f>
        <v>-41.558749999999996</v>
      </c>
      <c r="F194" s="225">
        <f t="shared" si="198"/>
        <v>-44.428749999999994</v>
      </c>
      <c r="G194" s="225">
        <f>AVERAGE(G185:G192)</f>
        <v>-2.8699999999999992</v>
      </c>
      <c r="H194" s="225"/>
      <c r="I194" s="225">
        <f>AVERAGE(I185,I187:I192)</f>
        <v>15.856994285714288</v>
      </c>
      <c r="J194" s="225">
        <f>AVERAGE(J185,J187:J192)</f>
        <v>12.714285714285714</v>
      </c>
      <c r="K194" s="225">
        <f t="shared" ref="K194:U194" si="199">AVERAGE(K185,K187:K192)</f>
        <v>14.785657142857143</v>
      </c>
      <c r="L194" s="225"/>
      <c r="M194" s="225">
        <f t="shared" si="199"/>
        <v>3.1427085714285714</v>
      </c>
      <c r="N194" s="225">
        <f t="shared" si="199"/>
        <v>1.071337142857143</v>
      </c>
      <c r="O194" s="225"/>
      <c r="P194" s="225">
        <f t="shared" si="199"/>
        <v>16.030842857142858</v>
      </c>
      <c r="Q194" s="225">
        <f t="shared" si="199"/>
        <v>6.7006714285714297</v>
      </c>
      <c r="R194" s="225">
        <f t="shared" si="199"/>
        <v>12.809471428571429</v>
      </c>
      <c r="S194" s="225"/>
      <c r="T194" s="225">
        <f t="shared" si="199"/>
        <v>9.330171428571429</v>
      </c>
      <c r="U194" s="225">
        <f t="shared" si="199"/>
        <v>3.2213714285714281</v>
      </c>
      <c r="V194" s="224"/>
      <c r="W194" s="224"/>
      <c r="AF194" s="225">
        <f>AVERAGE(AF188:AF192)</f>
        <v>15.199932</v>
      </c>
      <c r="AG194" s="225">
        <f t="shared" ref="AG194:AM194" si="200">AVERAGE(AG188:AG192)</f>
        <v>9.1999999999999993</v>
      </c>
      <c r="AH194" s="225">
        <f t="shared" si="200"/>
        <v>14.43332</v>
      </c>
      <c r="AI194" s="225"/>
      <c r="AJ194" s="225"/>
      <c r="AK194" s="225">
        <f t="shared" si="200"/>
        <v>14.015379999999999</v>
      </c>
      <c r="AL194" s="225">
        <f t="shared" si="200"/>
        <v>4.1389999999999993</v>
      </c>
      <c r="AM194" s="225">
        <f t="shared" si="200"/>
        <v>12.218459999999999</v>
      </c>
    </row>
    <row r="195" spans="2:39" ht="23.5" x14ac:dyDescent="0.55000000000000004">
      <c r="D195" s="226" t="s">
        <v>94</v>
      </c>
      <c r="E195" s="225">
        <f t="shared" ref="E195:F195" si="201">_xlfn.STDEV.S(E185:E192)</f>
        <v>0.67956787740445723</v>
      </c>
      <c r="F195" s="225">
        <f t="shared" si="201"/>
        <v>0.99296723438964918</v>
      </c>
      <c r="G195" s="225">
        <f>_xlfn.STDEV.S(G185:G192)</f>
        <v>1.1996666203575048</v>
      </c>
      <c r="H195" s="225"/>
      <c r="I195" s="225">
        <f>_xlfn.STDEV.S(I185,I187:I192)</f>
        <v>2.026192447480863</v>
      </c>
      <c r="J195" s="225">
        <f t="shared" ref="J195:U195" si="202">_xlfn.STDEV.S(J185,J187:J192)</f>
        <v>6.0817838861714923</v>
      </c>
      <c r="K195" s="225">
        <f t="shared" si="202"/>
        <v>1.5714560412317644</v>
      </c>
      <c r="L195" s="225"/>
      <c r="M195" s="225">
        <f t="shared" si="202"/>
        <v>5.6194224093923513</v>
      </c>
      <c r="N195" s="225">
        <f t="shared" si="202"/>
        <v>1.4964221268269</v>
      </c>
      <c r="O195" s="225"/>
      <c r="P195" s="225">
        <f t="shared" si="202"/>
        <v>6.4907317134657845</v>
      </c>
      <c r="Q195" s="225">
        <f t="shared" si="202"/>
        <v>2.1112634643062154</v>
      </c>
      <c r="R195" s="225">
        <f t="shared" si="202"/>
        <v>5.0070516430045204</v>
      </c>
      <c r="S195" s="225"/>
      <c r="T195" s="225">
        <f t="shared" si="202"/>
        <v>6.442997876173866</v>
      </c>
      <c r="U195" s="225">
        <f t="shared" si="202"/>
        <v>4.2964803357765167</v>
      </c>
      <c r="V195" s="224"/>
      <c r="W195" s="224"/>
      <c r="AF195" s="225">
        <f>_xlfn.STDEV.S(AF188:AF192)</f>
        <v>1.9803724733291708</v>
      </c>
      <c r="AG195" s="225">
        <f t="shared" ref="AG195:AM195" si="203">_xlfn.STDEV.S(AG188:AG192)</f>
        <v>2.4899799195977472</v>
      </c>
      <c r="AH195" s="225">
        <f t="shared" si="203"/>
        <v>1.7622375299601214</v>
      </c>
      <c r="AI195" s="225"/>
      <c r="AJ195" s="225"/>
      <c r="AK195" s="225">
        <f t="shared" si="203"/>
        <v>6.6820359978826822</v>
      </c>
      <c r="AL195" s="225">
        <f t="shared" si="203"/>
        <v>1.6975143592912556</v>
      </c>
      <c r="AM195" s="225">
        <f t="shared" si="203"/>
        <v>5.7113252190713171</v>
      </c>
    </row>
    <row r="196" spans="2:39" ht="23.25" customHeight="1" x14ac:dyDescent="0.55000000000000004">
      <c r="D196" s="226" t="s">
        <v>892</v>
      </c>
      <c r="G196" s="225"/>
      <c r="H196" s="225"/>
      <c r="I196" s="225">
        <f>MIN(I185,I187:I192)</f>
        <v>12.66666</v>
      </c>
      <c r="J196" s="225">
        <f t="shared" ref="J196:K196" si="204">MIN(J185,J187:J192)</f>
        <v>7</v>
      </c>
      <c r="K196" s="225">
        <f t="shared" si="204"/>
        <v>12</v>
      </c>
      <c r="L196" s="225"/>
      <c r="M196" s="225"/>
      <c r="N196" s="225"/>
      <c r="O196" s="225"/>
      <c r="P196" s="225">
        <f>MIN(P185,P187:P192)</f>
        <v>6.6717000000000004</v>
      </c>
      <c r="Q196" s="225">
        <f t="shared" ref="Q196:R196" si="205">MIN(Q185,Q187:Q192)</f>
        <v>4.3082000000000003</v>
      </c>
      <c r="R196" s="225">
        <f t="shared" si="205"/>
        <v>6.86</v>
      </c>
      <c r="S196" s="104"/>
      <c r="T196" s="104"/>
      <c r="U196" s="104"/>
    </row>
    <row r="197" spans="2:39" ht="21.75" customHeight="1" x14ac:dyDescent="0.35"/>
    <row r="198" spans="2:39" ht="23.25" customHeight="1" x14ac:dyDescent="0.35"/>
    <row r="199" spans="2:39" ht="23.5" x14ac:dyDescent="0.55000000000000004">
      <c r="E199" s="226" t="s">
        <v>644</v>
      </c>
      <c r="F199" s="226" t="s">
        <v>644</v>
      </c>
      <c r="H199" s="227"/>
      <c r="I199" s="226" t="s">
        <v>590</v>
      </c>
      <c r="J199" s="227"/>
      <c r="K199" s="227"/>
      <c r="L199" s="227"/>
      <c r="M199" s="227"/>
      <c r="N199" s="227"/>
      <c r="O199" s="227"/>
      <c r="P199" s="226" t="s">
        <v>591</v>
      </c>
      <c r="Q199" s="227"/>
      <c r="R199" s="227"/>
      <c r="S199" s="227"/>
      <c r="T199" s="227"/>
      <c r="U199" s="227"/>
      <c r="V199" s="227"/>
      <c r="W199" s="227"/>
      <c r="AC199" s="226" t="s">
        <v>896</v>
      </c>
      <c r="AE199" s="226"/>
      <c r="AF199" s="226" t="s">
        <v>590</v>
      </c>
      <c r="AK199" s="226" t="s">
        <v>591</v>
      </c>
    </row>
    <row r="200" spans="2:39" ht="23.5" x14ac:dyDescent="0.55000000000000004">
      <c r="E200" s="226" t="s">
        <v>76</v>
      </c>
      <c r="F200" s="226" t="s">
        <v>20</v>
      </c>
      <c r="G200" s="226" t="s">
        <v>589</v>
      </c>
      <c r="H200" s="226"/>
      <c r="I200" s="226" t="s">
        <v>76</v>
      </c>
      <c r="J200" s="226" t="s">
        <v>20</v>
      </c>
      <c r="K200" s="226" t="s">
        <v>594</v>
      </c>
      <c r="L200" s="226"/>
      <c r="M200" s="229" t="s">
        <v>596</v>
      </c>
      <c r="N200" s="229" t="s">
        <v>597</v>
      </c>
      <c r="O200" s="226"/>
      <c r="P200" s="226" t="s">
        <v>76</v>
      </c>
      <c r="Q200" s="226" t="s">
        <v>20</v>
      </c>
      <c r="R200" s="226" t="s">
        <v>594</v>
      </c>
      <c r="S200" s="226"/>
      <c r="T200" s="229" t="s">
        <v>596</v>
      </c>
      <c r="U200" s="229" t="s">
        <v>597</v>
      </c>
      <c r="V200" s="226"/>
      <c r="W200" s="226" t="s">
        <v>595</v>
      </c>
      <c r="Y200" s="226" t="s">
        <v>599</v>
      </c>
      <c r="AC200" s="192"/>
      <c r="AD200" s="192"/>
      <c r="AE200" s="192"/>
      <c r="AF200" s="226" t="s">
        <v>76</v>
      </c>
      <c r="AG200" s="226" t="s">
        <v>897</v>
      </c>
      <c r="AH200" s="226" t="s">
        <v>594</v>
      </c>
      <c r="AI200" s="192"/>
      <c r="AJ200" s="192"/>
      <c r="AK200" s="226" t="s">
        <v>76</v>
      </c>
      <c r="AL200" s="226" t="s">
        <v>897</v>
      </c>
      <c r="AM200" s="226" t="s">
        <v>594</v>
      </c>
    </row>
    <row r="201" spans="2:39" ht="23.5" x14ac:dyDescent="0.55000000000000004">
      <c r="B201" s="226" t="s">
        <v>645</v>
      </c>
      <c r="E201" s="224">
        <v>-53.22</v>
      </c>
      <c r="F201" s="224">
        <v>-54.44</v>
      </c>
      <c r="G201" s="224">
        <f t="shared" ref="G201:G209" si="206">F201-E201</f>
        <v>-1.2199999999999989</v>
      </c>
      <c r="H201" s="224"/>
      <c r="I201" s="224"/>
      <c r="J201" s="224"/>
      <c r="K201" s="224"/>
      <c r="L201" s="224"/>
      <c r="M201" s="224"/>
      <c r="N201" s="224"/>
      <c r="O201" s="224"/>
      <c r="P201" s="224"/>
      <c r="Q201" s="224"/>
      <c r="R201" s="224"/>
      <c r="S201" s="224"/>
      <c r="T201" s="224"/>
      <c r="U201" s="224"/>
      <c r="V201" s="224"/>
      <c r="W201" s="224"/>
      <c r="Y201" s="224"/>
      <c r="AF201" s="224"/>
      <c r="AG201" s="224"/>
      <c r="AH201" s="224"/>
      <c r="AK201" s="224"/>
      <c r="AL201" s="224"/>
      <c r="AM201" s="224"/>
    </row>
    <row r="202" spans="2:39" ht="23.5" x14ac:dyDescent="0.55000000000000004">
      <c r="B202" s="226"/>
      <c r="E202" s="224">
        <v>-52.37</v>
      </c>
      <c r="F202" s="224">
        <v>-55.82</v>
      </c>
      <c r="G202" s="224">
        <f t="shared" si="206"/>
        <v>-3.4500000000000028</v>
      </c>
      <c r="H202" s="224"/>
      <c r="I202" s="224"/>
      <c r="J202" s="224"/>
      <c r="K202" s="224"/>
      <c r="L202" s="224"/>
      <c r="M202" s="224"/>
      <c r="N202" s="224"/>
      <c r="O202" s="224"/>
      <c r="P202" s="224"/>
      <c r="Q202" s="224"/>
      <c r="R202" s="224"/>
      <c r="S202" s="224"/>
      <c r="T202" s="224"/>
      <c r="U202" s="224"/>
      <c r="V202" s="224"/>
      <c r="W202" s="224"/>
      <c r="Y202" s="224"/>
      <c r="AF202" s="224"/>
      <c r="AG202" s="224"/>
      <c r="AH202" s="224"/>
      <c r="AK202" s="224"/>
      <c r="AL202" s="224"/>
      <c r="AM202" s="224"/>
    </row>
    <row r="203" spans="2:39" ht="23.5" x14ac:dyDescent="0.55000000000000004">
      <c r="B203" s="226"/>
      <c r="E203" s="224">
        <v>-54.2</v>
      </c>
      <c r="F203" s="224">
        <v>-55.76</v>
      </c>
      <c r="G203" s="224">
        <f t="shared" si="206"/>
        <v>-1.5599999999999952</v>
      </c>
      <c r="H203" s="224"/>
      <c r="I203" s="224"/>
      <c r="J203" s="224"/>
      <c r="K203" s="224"/>
      <c r="L203" s="224"/>
      <c r="M203" s="224"/>
      <c r="N203" s="224"/>
      <c r="O203" s="224"/>
      <c r="P203" s="224"/>
      <c r="Q203" s="224"/>
      <c r="R203" s="224"/>
      <c r="S203" s="224"/>
      <c r="T203" s="224"/>
      <c r="U203" s="224"/>
      <c r="V203" s="224"/>
      <c r="W203" s="224"/>
      <c r="Y203" s="224"/>
      <c r="AF203" s="224"/>
      <c r="AG203" s="224"/>
      <c r="AH203" s="224"/>
      <c r="AK203" s="224"/>
      <c r="AL203" s="224"/>
      <c r="AM203" s="224"/>
    </row>
    <row r="204" spans="2:39" ht="21" x14ac:dyDescent="0.5">
      <c r="E204" s="224">
        <v>-54.23</v>
      </c>
      <c r="F204" s="224">
        <v>-57.28</v>
      </c>
      <c r="G204" s="224">
        <f t="shared" si="206"/>
        <v>-3.0500000000000043</v>
      </c>
      <c r="H204" s="224"/>
      <c r="I204" s="224"/>
      <c r="J204" s="224"/>
      <c r="K204" s="224"/>
      <c r="L204" s="224"/>
      <c r="M204" s="224"/>
      <c r="N204" s="224"/>
      <c r="O204" s="224"/>
      <c r="P204" s="224"/>
      <c r="Q204" s="224"/>
      <c r="R204" s="224"/>
      <c r="S204" s="224"/>
      <c r="T204" s="224"/>
      <c r="U204" s="224"/>
      <c r="V204" s="224"/>
      <c r="W204" s="224"/>
      <c r="Y204" s="224"/>
      <c r="AF204" s="224"/>
      <c r="AG204" s="224"/>
      <c r="AH204" s="224"/>
      <c r="AI204" s="225"/>
      <c r="AJ204" s="225"/>
      <c r="AK204" s="224"/>
      <c r="AL204" s="224"/>
      <c r="AM204" s="224"/>
    </row>
    <row r="205" spans="2:39" ht="21" x14ac:dyDescent="0.5">
      <c r="E205" s="224">
        <v>-53.96</v>
      </c>
      <c r="F205" s="224">
        <v>-56.55</v>
      </c>
      <c r="G205" s="224">
        <f t="shared" si="206"/>
        <v>-2.5899999999999963</v>
      </c>
      <c r="H205" s="224"/>
      <c r="I205" s="224">
        <v>8.5</v>
      </c>
      <c r="J205" s="224">
        <v>5.5</v>
      </c>
      <c r="K205" s="224">
        <v>7.3333000000000004</v>
      </c>
      <c r="L205" s="224"/>
      <c r="M205" s="224">
        <f t="shared" ref="M205:M210" si="207">I205-J205</f>
        <v>3</v>
      </c>
      <c r="N205" s="224">
        <f t="shared" ref="N205:N210" si="208">I205-K205</f>
        <v>1.1666999999999996</v>
      </c>
      <c r="O205" s="224"/>
      <c r="P205" s="224">
        <v>4.2971000000000004</v>
      </c>
      <c r="Q205" s="224">
        <v>3.3029999999999999</v>
      </c>
      <c r="R205" s="224">
        <v>3.6478000000000002</v>
      </c>
      <c r="S205" s="224"/>
      <c r="T205" s="224">
        <f t="shared" ref="T205:T210" si="209">P205-Q205</f>
        <v>0.99410000000000043</v>
      </c>
      <c r="U205" s="224">
        <f t="shared" ref="U205:U210" si="210">P205-R205</f>
        <v>0.64930000000000021</v>
      </c>
      <c r="V205" s="224"/>
      <c r="W205" s="224">
        <v>3</v>
      </c>
      <c r="Y205" s="224">
        <v>6</v>
      </c>
      <c r="AF205" s="224">
        <v>8.5</v>
      </c>
      <c r="AG205" s="224">
        <v>5</v>
      </c>
      <c r="AH205" s="224">
        <v>7.3333000000000004</v>
      </c>
      <c r="AK205" s="224">
        <v>4.2971000000000004</v>
      </c>
      <c r="AL205" s="224">
        <v>2.65</v>
      </c>
      <c r="AM205" s="224">
        <v>3.6478000000000002</v>
      </c>
    </row>
    <row r="206" spans="2:39" ht="21" x14ac:dyDescent="0.5">
      <c r="E206" s="224">
        <v>-53.44</v>
      </c>
      <c r="F206" s="224">
        <v>-56.43</v>
      </c>
      <c r="G206" s="224">
        <f t="shared" si="206"/>
        <v>-2.990000000000002</v>
      </c>
      <c r="H206" s="224"/>
      <c r="I206" s="224">
        <v>8.3333300000000001</v>
      </c>
      <c r="J206" s="224">
        <v>5.6666600000000003</v>
      </c>
      <c r="K206" s="224">
        <v>7.25</v>
      </c>
      <c r="L206" s="224"/>
      <c r="M206" s="224">
        <f t="shared" si="207"/>
        <v>2.6666699999999999</v>
      </c>
      <c r="N206" s="224">
        <f t="shared" si="208"/>
        <v>1.0833300000000001</v>
      </c>
      <c r="O206" s="224"/>
      <c r="P206" s="224">
        <v>4.6829999999999998</v>
      </c>
      <c r="Q206" s="224">
        <v>2.9551400000000001</v>
      </c>
      <c r="R206" s="224">
        <v>3.8069999999999999</v>
      </c>
      <c r="S206" s="224"/>
      <c r="T206" s="224">
        <f t="shared" si="209"/>
        <v>1.7278599999999997</v>
      </c>
      <c r="U206" s="224">
        <f t="shared" si="210"/>
        <v>0.87599999999999989</v>
      </c>
      <c r="V206" s="224"/>
      <c r="W206" s="224">
        <v>3</v>
      </c>
      <c r="Y206" s="224">
        <v>6</v>
      </c>
      <c r="AF206" s="224">
        <v>8.3333300000000001</v>
      </c>
      <c r="AG206" s="224">
        <v>5</v>
      </c>
      <c r="AH206" s="224">
        <v>7.25</v>
      </c>
      <c r="AI206" s="225"/>
      <c r="AJ206" s="225"/>
      <c r="AK206" s="224">
        <v>4.6829999999999998</v>
      </c>
      <c r="AL206" s="224">
        <v>2.36</v>
      </c>
      <c r="AM206" s="224">
        <v>3.8069999999999999</v>
      </c>
    </row>
    <row r="207" spans="2:39" ht="21" x14ac:dyDescent="0.5">
      <c r="E207" s="224">
        <v>-53.77</v>
      </c>
      <c r="F207" s="224">
        <v>-56.85</v>
      </c>
      <c r="G207" s="224">
        <f t="shared" si="206"/>
        <v>-3.0799999999999983</v>
      </c>
      <c r="H207" s="224"/>
      <c r="I207" s="224">
        <v>5.3330000000000002</v>
      </c>
      <c r="J207" s="224">
        <v>3.5</v>
      </c>
      <c r="K207" s="224">
        <v>5</v>
      </c>
      <c r="L207" s="224"/>
      <c r="M207" s="224">
        <f t="shared" si="207"/>
        <v>1.8330000000000002</v>
      </c>
      <c r="N207" s="224">
        <f t="shared" si="208"/>
        <v>0.33300000000000018</v>
      </c>
      <c r="O207" s="224"/>
      <c r="P207" s="224">
        <v>4.9626999999999999</v>
      </c>
      <c r="Q207" s="224">
        <v>3.2370000000000001</v>
      </c>
      <c r="R207" s="224">
        <v>4.2206999999999999</v>
      </c>
      <c r="S207" s="224"/>
      <c r="T207" s="224">
        <f t="shared" si="209"/>
        <v>1.7256999999999998</v>
      </c>
      <c r="U207" s="224">
        <f t="shared" si="210"/>
        <v>0.74199999999999999</v>
      </c>
      <c r="V207" s="224"/>
      <c r="W207" s="224">
        <v>3</v>
      </c>
      <c r="Y207" s="224">
        <v>6</v>
      </c>
      <c r="AF207" s="224">
        <v>5.3330000000000002</v>
      </c>
      <c r="AG207" s="224">
        <v>3</v>
      </c>
      <c r="AH207" s="224">
        <v>5</v>
      </c>
      <c r="AI207" s="225"/>
      <c r="AJ207" s="225"/>
      <c r="AK207" s="224">
        <v>4.9626999999999999</v>
      </c>
      <c r="AL207" s="224">
        <v>2.88</v>
      </c>
      <c r="AM207" s="224">
        <v>4.2206999999999999</v>
      </c>
    </row>
    <row r="208" spans="2:39" ht="21" x14ac:dyDescent="0.5">
      <c r="E208" s="224">
        <v>-53.89</v>
      </c>
      <c r="F208" s="224">
        <v>-56.37</v>
      </c>
      <c r="G208" s="224">
        <f t="shared" si="206"/>
        <v>-2.4799999999999969</v>
      </c>
      <c r="H208" s="224"/>
      <c r="I208" s="224">
        <v>5.3333329999999997</v>
      </c>
      <c r="J208" s="224">
        <v>3</v>
      </c>
      <c r="K208" s="224">
        <v>4.5</v>
      </c>
      <c r="L208" s="224"/>
      <c r="M208" s="224">
        <f t="shared" si="207"/>
        <v>2.3333329999999997</v>
      </c>
      <c r="N208" s="224">
        <f t="shared" si="208"/>
        <v>0.83333299999999966</v>
      </c>
      <c r="O208" s="224"/>
      <c r="P208" s="224">
        <v>4.6397000000000004</v>
      </c>
      <c r="Q208" s="224">
        <v>2.9805000000000001</v>
      </c>
      <c r="R208" s="224">
        <v>4.0599999999999996</v>
      </c>
      <c r="S208" s="224"/>
      <c r="T208" s="224">
        <f t="shared" si="209"/>
        <v>1.6592000000000002</v>
      </c>
      <c r="U208" s="224">
        <f t="shared" si="210"/>
        <v>0.57970000000000077</v>
      </c>
      <c r="V208" s="224"/>
      <c r="W208" s="224">
        <v>3</v>
      </c>
      <c r="Y208" s="224">
        <v>6</v>
      </c>
      <c r="AF208" s="224">
        <v>5.3333329999999997</v>
      </c>
      <c r="AG208" s="224">
        <v>3</v>
      </c>
      <c r="AH208" s="224">
        <v>4.5</v>
      </c>
      <c r="AI208" s="225"/>
      <c r="AJ208" s="225"/>
      <c r="AK208" s="224">
        <v>4.6397000000000004</v>
      </c>
      <c r="AL208" s="224">
        <v>2.88</v>
      </c>
      <c r="AM208" s="224">
        <v>4.0599999999999996</v>
      </c>
    </row>
    <row r="209" spans="2:39" ht="21" x14ac:dyDescent="0.5">
      <c r="E209" s="224">
        <v>-53.44</v>
      </c>
      <c r="F209" s="224">
        <v>-55.88</v>
      </c>
      <c r="G209" s="224">
        <f t="shared" si="206"/>
        <v>-2.4400000000000048</v>
      </c>
      <c r="H209" s="224"/>
      <c r="I209" s="224">
        <v>9.3332999999999995</v>
      </c>
      <c r="J209" s="224">
        <v>6</v>
      </c>
      <c r="K209" s="224">
        <v>7.25</v>
      </c>
      <c r="L209" s="224"/>
      <c r="M209" s="224">
        <f t="shared" si="207"/>
        <v>3.3332999999999995</v>
      </c>
      <c r="N209" s="224">
        <f t="shared" si="208"/>
        <v>2.0832999999999995</v>
      </c>
      <c r="O209" s="224"/>
      <c r="P209" s="224">
        <v>4.7786999999999997</v>
      </c>
      <c r="Q209" s="224">
        <v>3.0615999999999999</v>
      </c>
      <c r="R209" s="224">
        <v>4.5069999999999997</v>
      </c>
      <c r="S209" s="224"/>
      <c r="T209" s="224">
        <f t="shared" si="209"/>
        <v>1.7170999999999998</v>
      </c>
      <c r="U209" s="224">
        <f t="shared" si="210"/>
        <v>0.27170000000000005</v>
      </c>
      <c r="V209" s="224"/>
      <c r="W209" s="224">
        <v>3</v>
      </c>
      <c r="Y209" s="224">
        <v>6</v>
      </c>
      <c r="AF209" s="224">
        <v>9.3332999999999995</v>
      </c>
      <c r="AG209" s="224">
        <v>7</v>
      </c>
      <c r="AH209" s="224">
        <v>7.25</v>
      </c>
      <c r="AK209" s="224">
        <v>4.7786999999999997</v>
      </c>
      <c r="AL209" s="224">
        <v>3.2</v>
      </c>
      <c r="AM209" s="224">
        <v>4.5069999999999997</v>
      </c>
    </row>
    <row r="210" spans="2:39" ht="21" x14ac:dyDescent="0.5">
      <c r="E210" s="224">
        <v>-53.71</v>
      </c>
      <c r="F210" s="224">
        <v>-54.84</v>
      </c>
      <c r="G210" s="224">
        <f>F210-E210</f>
        <v>-1.1300000000000026</v>
      </c>
      <c r="H210" s="224"/>
      <c r="I210" s="224">
        <v>10</v>
      </c>
      <c r="J210" s="224">
        <v>7</v>
      </c>
      <c r="K210" s="224">
        <v>8.5</v>
      </c>
      <c r="L210" s="224"/>
      <c r="M210" s="224">
        <f t="shared" si="207"/>
        <v>3</v>
      </c>
      <c r="N210" s="224">
        <f t="shared" si="208"/>
        <v>1.5</v>
      </c>
      <c r="O210" s="224"/>
      <c r="P210" s="224">
        <v>4.6603000000000003</v>
      </c>
      <c r="Q210" s="224">
        <v>3.7429999999999999</v>
      </c>
      <c r="R210" s="224">
        <v>4.1734999999999998</v>
      </c>
      <c r="S210" s="224"/>
      <c r="T210" s="224">
        <f t="shared" si="209"/>
        <v>0.91730000000000045</v>
      </c>
      <c r="U210" s="224">
        <f t="shared" si="210"/>
        <v>0.48680000000000057</v>
      </c>
      <c r="V210" s="224"/>
      <c r="W210" s="224">
        <v>3</v>
      </c>
      <c r="Y210" s="224">
        <v>6</v>
      </c>
      <c r="AF210" s="224">
        <v>10</v>
      </c>
      <c r="AG210" s="224">
        <v>8</v>
      </c>
      <c r="AH210" s="224">
        <v>8.5</v>
      </c>
      <c r="AK210" s="224">
        <v>4.6603000000000003</v>
      </c>
      <c r="AL210" s="224">
        <v>3.96</v>
      </c>
      <c r="AM210" s="224">
        <v>4.1734999999999998</v>
      </c>
    </row>
    <row r="211" spans="2:39" ht="21" x14ac:dyDescent="0.5">
      <c r="G211" s="224"/>
      <c r="H211" s="224"/>
      <c r="I211" s="224"/>
      <c r="J211" s="224"/>
      <c r="K211" s="224"/>
      <c r="L211" s="224"/>
      <c r="M211" s="224"/>
      <c r="N211" s="224"/>
      <c r="O211" s="224"/>
      <c r="P211" s="224"/>
      <c r="Q211" s="224"/>
      <c r="R211" s="224"/>
      <c r="S211" s="224"/>
      <c r="T211" s="224"/>
      <c r="U211" s="224"/>
      <c r="V211" s="224"/>
      <c r="W211" s="224"/>
    </row>
    <row r="212" spans="2:39" ht="23.5" x14ac:dyDescent="0.55000000000000004">
      <c r="D212" s="226" t="s">
        <v>548</v>
      </c>
      <c r="E212" s="225">
        <f t="shared" ref="E212:F212" si="211">AVERAGE(E201:E210)</f>
        <v>-53.623000000000005</v>
      </c>
      <c r="F212" s="225">
        <f t="shared" si="211"/>
        <v>-56.022000000000006</v>
      </c>
      <c r="G212" s="225">
        <f>AVERAGE(G201:G210)</f>
        <v>-2.399</v>
      </c>
      <c r="H212" s="225"/>
      <c r="I212" s="225">
        <f>AVERAGE(I205:I210)</f>
        <v>7.8054938333333332</v>
      </c>
      <c r="J212" s="225">
        <f t="shared" ref="J212:U212" si="212">AVERAGE(J205:J210)</f>
        <v>5.11111</v>
      </c>
      <c r="K212" s="225">
        <f t="shared" si="212"/>
        <v>6.6388833333333332</v>
      </c>
      <c r="L212" s="225"/>
      <c r="M212" s="225">
        <f t="shared" si="212"/>
        <v>2.6943838333333332</v>
      </c>
      <c r="N212" s="225">
        <f t="shared" si="212"/>
        <v>1.1666104999999998</v>
      </c>
      <c r="O212" s="225"/>
      <c r="P212" s="225">
        <f t="shared" si="212"/>
        <v>4.6702500000000002</v>
      </c>
      <c r="Q212" s="225">
        <f t="shared" si="212"/>
        <v>3.2133733333333332</v>
      </c>
      <c r="R212" s="225">
        <f t="shared" si="212"/>
        <v>4.0693333333333337</v>
      </c>
      <c r="S212" s="225"/>
      <c r="T212" s="225">
        <f t="shared" si="212"/>
        <v>1.4568766666666668</v>
      </c>
      <c r="U212" s="225">
        <f t="shared" si="212"/>
        <v>0.60091666666666688</v>
      </c>
      <c r="V212" s="224"/>
      <c r="W212" s="224"/>
      <c r="AF212" s="225">
        <f>AVERAGE(AF204:AF210)</f>
        <v>7.8054938333333332</v>
      </c>
      <c r="AG212" s="225">
        <f t="shared" ref="AG212:AM212" si="213">AVERAGE(AG204:AG210)</f>
        <v>5.166666666666667</v>
      </c>
      <c r="AH212" s="225">
        <f t="shared" si="213"/>
        <v>6.6388833333333332</v>
      </c>
      <c r="AI212" s="225"/>
      <c r="AJ212" s="225"/>
      <c r="AK212" s="225">
        <f t="shared" si="213"/>
        <v>4.6702500000000002</v>
      </c>
      <c r="AL212" s="225">
        <f t="shared" si="213"/>
        <v>2.9883333333333333</v>
      </c>
      <c r="AM212" s="225">
        <f t="shared" si="213"/>
        <v>4.0693333333333337</v>
      </c>
    </row>
    <row r="213" spans="2:39" ht="23.5" x14ac:dyDescent="0.55000000000000004">
      <c r="D213" s="226" t="s">
        <v>94</v>
      </c>
      <c r="E213" s="225">
        <f t="shared" ref="E213:F213" si="214">_xlfn.STDEV.S(E201:E210)</f>
        <v>0.54922268303080557</v>
      </c>
      <c r="F213" s="225">
        <f t="shared" si="214"/>
        <v>0.8733053430629073</v>
      </c>
      <c r="G213" s="225">
        <f>_xlfn.STDEV.S(G201:G210)</f>
        <v>0.82263060428792234</v>
      </c>
      <c r="H213" s="225"/>
      <c r="I213" s="225">
        <f>_xlfn.STDEV.S(I205:I210)</f>
        <v>2.0067787010311213</v>
      </c>
      <c r="J213" s="225">
        <f t="shared" ref="J213:U213" si="215">_xlfn.STDEV.S(J205:J210)</f>
        <v>1.5408025806702164</v>
      </c>
      <c r="K213" s="225">
        <f t="shared" si="215"/>
        <v>1.5461990433533035</v>
      </c>
      <c r="L213" s="225"/>
      <c r="M213" s="225">
        <f t="shared" si="215"/>
        <v>0.54187161206707191</v>
      </c>
      <c r="N213" s="225">
        <f t="shared" si="215"/>
        <v>0.59403437704016737</v>
      </c>
      <c r="O213" s="225"/>
      <c r="P213" s="225">
        <f t="shared" si="215"/>
        <v>0.21804779063315433</v>
      </c>
      <c r="Q213" s="225">
        <f t="shared" si="215"/>
        <v>0.29429412271852562</v>
      </c>
      <c r="R213" s="225">
        <f t="shared" si="215"/>
        <v>0.30721683330616273</v>
      </c>
      <c r="S213" s="225"/>
      <c r="T213" s="225">
        <f t="shared" si="215"/>
        <v>0.38978303922395879</v>
      </c>
      <c r="U213" s="225">
        <f t="shared" si="215"/>
        <v>0.20965336550283803</v>
      </c>
      <c r="V213" s="224"/>
      <c r="W213" s="224"/>
      <c r="AF213" s="225">
        <f>_xlfn.STDEV.S(AF204:AF210)</f>
        <v>2.0067787010311213</v>
      </c>
      <c r="AG213" s="225">
        <f t="shared" ref="AG213:AM213" si="216">_xlfn.STDEV.S(AG204:AG210)</f>
        <v>2.0412414523193156</v>
      </c>
      <c r="AH213" s="225">
        <f t="shared" si="216"/>
        <v>1.5461990433533035</v>
      </c>
      <c r="AI213" s="225"/>
      <c r="AJ213" s="225"/>
      <c r="AK213" s="225">
        <f t="shared" si="216"/>
        <v>0.21804779063315433</v>
      </c>
      <c r="AL213" s="225">
        <f t="shared" si="216"/>
        <v>0.55166717019111122</v>
      </c>
      <c r="AM213" s="225">
        <f t="shared" si="216"/>
        <v>0.30721683330616273</v>
      </c>
    </row>
    <row r="214" spans="2:39" ht="23.5" x14ac:dyDescent="0.55000000000000004">
      <c r="D214" s="226" t="s">
        <v>892</v>
      </c>
      <c r="I214" s="225">
        <f>MIN(I205:I210)</f>
        <v>5.3330000000000002</v>
      </c>
      <c r="J214" s="225">
        <f t="shared" ref="J214:K214" si="217">MIN(J205:J210)</f>
        <v>3</v>
      </c>
      <c r="K214" s="225">
        <f t="shared" si="217"/>
        <v>4.5</v>
      </c>
      <c r="P214" s="225">
        <f>MIN(P205:P210)</f>
        <v>4.2971000000000004</v>
      </c>
      <c r="Q214" s="225">
        <f t="shared" ref="Q214:R214" si="218">MIN(Q205:Q210)</f>
        <v>2.9551400000000001</v>
      </c>
      <c r="R214" s="225">
        <f t="shared" si="218"/>
        <v>3.6478000000000002</v>
      </c>
    </row>
    <row r="217" spans="2:39" ht="23.5" x14ac:dyDescent="0.55000000000000004">
      <c r="E217" s="226" t="s">
        <v>644</v>
      </c>
      <c r="F217" s="226" t="s">
        <v>644</v>
      </c>
      <c r="H217" s="227"/>
      <c r="I217" s="226" t="s">
        <v>590</v>
      </c>
      <c r="J217" s="227"/>
      <c r="K217" s="227"/>
      <c r="L217" s="227"/>
      <c r="M217" s="227"/>
      <c r="N217" s="227"/>
      <c r="O217" s="227"/>
      <c r="P217" s="226" t="s">
        <v>591</v>
      </c>
      <c r="Q217" s="227"/>
      <c r="R217" s="227"/>
      <c r="S217" s="227"/>
      <c r="T217" s="227"/>
      <c r="U217" s="227"/>
      <c r="V217" s="227"/>
      <c r="W217" s="227"/>
      <c r="AC217" s="226" t="s">
        <v>896</v>
      </c>
      <c r="AE217" s="226"/>
      <c r="AF217" s="226" t="s">
        <v>590</v>
      </c>
      <c r="AK217" s="226" t="s">
        <v>591</v>
      </c>
    </row>
    <row r="218" spans="2:39" ht="23.5" x14ac:dyDescent="0.55000000000000004">
      <c r="E218" s="226" t="s">
        <v>76</v>
      </c>
      <c r="F218" s="226" t="s">
        <v>20</v>
      </c>
      <c r="G218" s="226" t="s">
        <v>589</v>
      </c>
      <c r="H218" s="226"/>
      <c r="I218" s="226" t="s">
        <v>76</v>
      </c>
      <c r="J218" s="226" t="s">
        <v>20</v>
      </c>
      <c r="K218" s="226" t="s">
        <v>594</v>
      </c>
      <c r="L218" s="226"/>
      <c r="M218" s="229" t="s">
        <v>596</v>
      </c>
      <c r="N218" s="229" t="s">
        <v>597</v>
      </c>
      <c r="O218" s="226"/>
      <c r="P218" s="226" t="s">
        <v>76</v>
      </c>
      <c r="Q218" s="226" t="s">
        <v>20</v>
      </c>
      <c r="R218" s="226" t="s">
        <v>594</v>
      </c>
      <c r="S218" s="226"/>
      <c r="T218" s="229" t="s">
        <v>596</v>
      </c>
      <c r="U218" s="229" t="s">
        <v>597</v>
      </c>
      <c r="V218" s="226"/>
      <c r="W218" s="226" t="s">
        <v>595</v>
      </c>
      <c r="Y218" s="226" t="s">
        <v>599</v>
      </c>
      <c r="AC218" s="192"/>
      <c r="AD218" s="192"/>
      <c r="AE218" s="192"/>
      <c r="AF218" s="226" t="s">
        <v>76</v>
      </c>
      <c r="AG218" s="226" t="s">
        <v>897</v>
      </c>
      <c r="AH218" s="226" t="s">
        <v>594</v>
      </c>
      <c r="AI218" s="192"/>
      <c r="AJ218" s="192"/>
      <c r="AK218" s="226" t="s">
        <v>76</v>
      </c>
      <c r="AL218" s="226" t="s">
        <v>897</v>
      </c>
      <c r="AM218" s="226" t="s">
        <v>594</v>
      </c>
    </row>
    <row r="219" spans="2:39" ht="23.5" x14ac:dyDescent="0.55000000000000004">
      <c r="B219" s="226" t="s">
        <v>840</v>
      </c>
      <c r="E219" s="224">
        <v>-47.06</v>
      </c>
      <c r="F219" s="224">
        <v>-50.02</v>
      </c>
      <c r="G219" s="224">
        <f t="shared" ref="G219:G225" si="219">F219-E219</f>
        <v>-2.9600000000000009</v>
      </c>
      <c r="H219" s="224"/>
      <c r="Y219" s="224">
        <v>6</v>
      </c>
      <c r="AF219" s="224"/>
      <c r="AG219" s="224"/>
      <c r="AH219" s="224"/>
      <c r="AK219" s="224"/>
      <c r="AL219" s="224"/>
      <c r="AM219" s="224"/>
    </row>
    <row r="220" spans="2:39" ht="23.5" x14ac:dyDescent="0.55000000000000004">
      <c r="B220" s="226"/>
      <c r="E220" s="224">
        <v>-46.26</v>
      </c>
      <c r="F220" s="224">
        <v>-49.8</v>
      </c>
      <c r="G220" s="224">
        <f t="shared" si="219"/>
        <v>-3.5399999999999991</v>
      </c>
      <c r="H220" s="224"/>
      <c r="Y220" s="224">
        <v>6</v>
      </c>
      <c r="AF220" s="224"/>
      <c r="AG220" s="224"/>
      <c r="AH220" s="224"/>
      <c r="AK220" s="224"/>
      <c r="AL220" s="224"/>
      <c r="AM220" s="224"/>
    </row>
    <row r="221" spans="2:39" ht="23.5" x14ac:dyDescent="0.55000000000000004">
      <c r="B221" s="226"/>
      <c r="E221" s="224">
        <v>-46.94</v>
      </c>
      <c r="F221" s="224">
        <v>-49.01</v>
      </c>
      <c r="G221" s="224">
        <f t="shared" si="219"/>
        <v>-2.0700000000000003</v>
      </c>
      <c r="H221" s="224"/>
      <c r="Y221" s="224">
        <v>6</v>
      </c>
      <c r="AF221" s="224"/>
      <c r="AG221" s="224"/>
      <c r="AH221" s="224"/>
      <c r="AK221" s="224"/>
      <c r="AL221" s="224"/>
      <c r="AM221" s="224"/>
    </row>
    <row r="222" spans="2:39" ht="21" x14ac:dyDescent="0.5">
      <c r="E222" s="224">
        <v>-47.03</v>
      </c>
      <c r="F222" s="224">
        <v>-49.68</v>
      </c>
      <c r="G222" s="224">
        <f t="shared" si="219"/>
        <v>-2.6499999999999986</v>
      </c>
      <c r="H222" s="224"/>
      <c r="Y222" s="224">
        <v>6</v>
      </c>
      <c r="AF222" s="224"/>
      <c r="AG222" s="224"/>
      <c r="AH222" s="224"/>
      <c r="AI222" s="225"/>
      <c r="AJ222" s="225"/>
      <c r="AK222" s="224"/>
      <c r="AL222" s="224"/>
      <c r="AM222" s="224"/>
    </row>
    <row r="223" spans="2:39" ht="21" x14ac:dyDescent="0.5">
      <c r="E223" s="224">
        <v>-47</v>
      </c>
      <c r="F223" s="224">
        <v>-48.83</v>
      </c>
      <c r="G223" s="224">
        <f t="shared" si="219"/>
        <v>-1.8299999999999983</v>
      </c>
      <c r="H223" s="224"/>
      <c r="I223" s="224"/>
      <c r="J223" s="224"/>
      <c r="K223" s="224"/>
      <c r="L223" s="224"/>
      <c r="M223" s="224"/>
      <c r="N223" s="224"/>
      <c r="O223" s="224"/>
      <c r="P223" s="224"/>
      <c r="Q223" s="224"/>
      <c r="R223" s="224"/>
      <c r="S223" s="224"/>
      <c r="T223" s="224"/>
      <c r="U223" s="224"/>
      <c r="V223" s="224"/>
      <c r="W223" s="224"/>
      <c r="Y223" s="224">
        <v>6</v>
      </c>
      <c r="AF223" s="224"/>
      <c r="AG223" s="224"/>
      <c r="AH223" s="224"/>
      <c r="AK223" s="224"/>
      <c r="AL223" s="224"/>
      <c r="AM223" s="224"/>
    </row>
    <row r="224" spans="2:39" ht="21" x14ac:dyDescent="0.5">
      <c r="E224" s="224">
        <v>-47.09</v>
      </c>
      <c r="F224" s="224">
        <v>-49.22</v>
      </c>
      <c r="G224" s="224">
        <f t="shared" si="219"/>
        <v>-2.1299999999999955</v>
      </c>
      <c r="H224" s="224"/>
      <c r="I224" s="224"/>
      <c r="J224" s="224"/>
      <c r="K224" s="224"/>
      <c r="L224" s="224"/>
      <c r="M224" s="224"/>
      <c r="N224" s="224"/>
      <c r="O224" s="224"/>
      <c r="P224" s="224"/>
      <c r="Q224" s="224"/>
      <c r="R224" s="224"/>
      <c r="S224" s="224"/>
      <c r="T224" s="224"/>
      <c r="U224" s="224"/>
      <c r="V224" s="224"/>
      <c r="W224" s="224"/>
      <c r="Y224" s="224">
        <v>6</v>
      </c>
      <c r="AF224" s="224"/>
      <c r="AG224" s="224"/>
      <c r="AH224" s="224"/>
      <c r="AI224" s="225"/>
      <c r="AJ224" s="225"/>
      <c r="AK224" s="224"/>
      <c r="AL224" s="224"/>
      <c r="AM224" s="224"/>
    </row>
    <row r="225" spans="2:39" ht="21" x14ac:dyDescent="0.5">
      <c r="E225" s="224">
        <v>-47.18</v>
      </c>
      <c r="F225" s="224">
        <v>-48.92</v>
      </c>
      <c r="G225" s="224">
        <f t="shared" si="219"/>
        <v>-1.740000000000002</v>
      </c>
      <c r="H225" s="224"/>
      <c r="I225" s="224"/>
      <c r="J225" s="224"/>
      <c r="K225" s="224"/>
      <c r="L225" s="224"/>
      <c r="M225" s="224"/>
      <c r="N225" s="224"/>
      <c r="O225" s="224"/>
      <c r="P225" s="224"/>
      <c r="Q225" s="224"/>
      <c r="R225" s="224"/>
      <c r="S225" s="224"/>
      <c r="T225" s="224"/>
      <c r="U225" s="224"/>
      <c r="V225" s="224"/>
      <c r="W225" s="224"/>
      <c r="Y225" s="224">
        <v>6</v>
      </c>
      <c r="AF225" s="224"/>
      <c r="AG225" s="224"/>
      <c r="AH225" s="224"/>
      <c r="AI225" s="225"/>
      <c r="AJ225" s="225"/>
      <c r="AK225" s="224"/>
      <c r="AL225" s="224"/>
      <c r="AM225" s="224"/>
    </row>
    <row r="226" spans="2:39" ht="21" x14ac:dyDescent="0.5">
      <c r="E226" s="224"/>
      <c r="F226" s="224"/>
      <c r="G226" s="224"/>
      <c r="H226" s="224"/>
      <c r="I226" s="224">
        <v>13</v>
      </c>
      <c r="J226" s="224">
        <v>8.3000000000000007</v>
      </c>
      <c r="K226" s="224">
        <v>9</v>
      </c>
      <c r="L226" s="224"/>
      <c r="M226" s="224">
        <f>I226-J226</f>
        <v>4.6999999999999993</v>
      </c>
      <c r="N226" s="224">
        <f>I226-K226</f>
        <v>4</v>
      </c>
      <c r="O226" s="224"/>
      <c r="P226" s="224">
        <v>9.702</v>
      </c>
      <c r="Q226" s="224">
        <v>6.56</v>
      </c>
      <c r="R226" s="224">
        <v>7.2039999999999997</v>
      </c>
      <c r="S226" s="224"/>
      <c r="T226" s="224">
        <f>P226-Q226</f>
        <v>3.1420000000000003</v>
      </c>
      <c r="U226" s="224">
        <f>P226-R226</f>
        <v>2.4980000000000002</v>
      </c>
      <c r="V226" s="224"/>
      <c r="W226" s="224">
        <v>4</v>
      </c>
      <c r="Y226" s="224">
        <v>6</v>
      </c>
      <c r="AF226" s="224">
        <v>13</v>
      </c>
      <c r="AG226" s="224">
        <v>7</v>
      </c>
      <c r="AH226" s="224">
        <v>9</v>
      </c>
      <c r="AI226" s="225"/>
      <c r="AJ226" s="225"/>
      <c r="AK226" s="224">
        <v>9.702</v>
      </c>
      <c r="AL226" s="224">
        <v>5.98</v>
      </c>
      <c r="AM226" s="224">
        <v>7.2039999999999997</v>
      </c>
    </row>
    <row r="227" spans="2:39" ht="21" x14ac:dyDescent="0.5">
      <c r="E227" s="224"/>
      <c r="F227" s="224"/>
      <c r="G227" s="224"/>
      <c r="H227" s="224"/>
      <c r="I227" s="224">
        <v>11.5</v>
      </c>
      <c r="J227" s="224">
        <v>8</v>
      </c>
      <c r="K227" s="224">
        <v>9</v>
      </c>
      <c r="L227" s="224"/>
      <c r="M227" s="224">
        <f>I227-J227</f>
        <v>3.5</v>
      </c>
      <c r="N227" s="224">
        <f>I227-K227</f>
        <v>2.5</v>
      </c>
      <c r="O227" s="224"/>
      <c r="P227" s="224">
        <v>9.9400999999999993</v>
      </c>
      <c r="Q227" s="224">
        <v>6.5570000000000004</v>
      </c>
      <c r="R227" s="224">
        <v>7.5408999999999997</v>
      </c>
      <c r="S227" s="224"/>
      <c r="T227" s="224">
        <f>P227-Q227</f>
        <v>3.3830999999999989</v>
      </c>
      <c r="U227" s="224">
        <f>P227-R227</f>
        <v>2.3991999999999996</v>
      </c>
      <c r="V227" s="224"/>
      <c r="W227" s="224">
        <v>4</v>
      </c>
      <c r="Y227" s="224">
        <v>6</v>
      </c>
      <c r="AF227" s="224">
        <v>11.5</v>
      </c>
      <c r="AG227" s="224">
        <v>9</v>
      </c>
      <c r="AH227" s="224">
        <v>9</v>
      </c>
      <c r="AK227" s="224">
        <v>9.9400999999999993</v>
      </c>
      <c r="AL227" s="224">
        <v>7.25</v>
      </c>
      <c r="AM227" s="224">
        <v>7.5408999999999997</v>
      </c>
    </row>
    <row r="228" spans="2:39" ht="21" x14ac:dyDescent="0.5">
      <c r="E228" s="224"/>
      <c r="F228" s="224"/>
      <c r="G228" s="224"/>
      <c r="H228" s="224"/>
      <c r="I228" s="224">
        <v>10.333</v>
      </c>
      <c r="J228" s="224">
        <v>8</v>
      </c>
      <c r="K228" s="224">
        <v>9.6666000000000007</v>
      </c>
      <c r="L228" s="224"/>
      <c r="M228" s="224">
        <f>I228-J228</f>
        <v>2.3330000000000002</v>
      </c>
      <c r="N228" s="224">
        <f>I228-K228</f>
        <v>0.66639999999999944</v>
      </c>
      <c r="O228" s="224"/>
      <c r="P228" s="224">
        <v>10.915800000000001</v>
      </c>
      <c r="Q228" s="224">
        <v>8.4269999999999996</v>
      </c>
      <c r="R228" s="224">
        <v>9.01</v>
      </c>
      <c r="S228" s="224"/>
      <c r="T228" s="224">
        <f>P228-Q228</f>
        <v>2.4888000000000012</v>
      </c>
      <c r="U228" s="224">
        <f>P228-R228</f>
        <v>1.905800000000001</v>
      </c>
      <c r="V228" s="224"/>
      <c r="W228" s="224">
        <v>4</v>
      </c>
      <c r="Y228" s="224">
        <v>6</v>
      </c>
      <c r="AF228" s="224">
        <v>10.333</v>
      </c>
      <c r="AG228" s="224">
        <v>8</v>
      </c>
      <c r="AH228" s="224">
        <v>9.6666000000000007</v>
      </c>
      <c r="AK228" s="224">
        <v>10.915800000000001</v>
      </c>
      <c r="AL228" s="224">
        <v>8.51</v>
      </c>
      <c r="AM228" s="224">
        <v>9.01</v>
      </c>
    </row>
    <row r="229" spans="2:39" ht="21" x14ac:dyDescent="0.5">
      <c r="G229" s="224"/>
      <c r="H229" s="224"/>
      <c r="I229" s="224"/>
      <c r="J229" s="224"/>
      <c r="K229" s="224"/>
      <c r="L229" s="224"/>
      <c r="M229" s="224"/>
      <c r="N229" s="224"/>
      <c r="O229" s="224"/>
      <c r="P229" s="224"/>
      <c r="Q229" s="224"/>
      <c r="R229" s="224"/>
      <c r="S229" s="224"/>
      <c r="T229" s="224"/>
      <c r="U229" s="224"/>
      <c r="V229" s="224"/>
      <c r="W229" s="224"/>
    </row>
    <row r="230" spans="2:39" ht="23.5" x14ac:dyDescent="0.55000000000000004">
      <c r="D230" s="226" t="s">
        <v>548</v>
      </c>
      <c r="E230" s="225">
        <f t="shared" ref="E230:F230" si="220">AVERAGE(E219:E225)</f>
        <v>-46.937142857142859</v>
      </c>
      <c r="F230" s="225">
        <f t="shared" si="220"/>
        <v>-49.354285714285709</v>
      </c>
      <c r="G230" s="225">
        <f>AVERAGE(G219:G225)</f>
        <v>-2.4171428571428564</v>
      </c>
      <c r="H230" s="225"/>
      <c r="I230" s="225">
        <f>AVERAGE(I226:I228)</f>
        <v>11.610999999999999</v>
      </c>
      <c r="J230" s="225">
        <f t="shared" ref="J230:U230" si="221">AVERAGE(J226:J228)</f>
        <v>8.1</v>
      </c>
      <c r="K230" s="225">
        <f t="shared" si="221"/>
        <v>9.2222000000000008</v>
      </c>
      <c r="L230" s="225"/>
      <c r="M230" s="225">
        <f t="shared" si="221"/>
        <v>3.5109999999999997</v>
      </c>
      <c r="N230" s="225">
        <f t="shared" si="221"/>
        <v>2.3887999999999998</v>
      </c>
      <c r="O230" s="225"/>
      <c r="P230" s="225">
        <f t="shared" si="221"/>
        <v>10.185966666666667</v>
      </c>
      <c r="Q230" s="225">
        <f t="shared" si="221"/>
        <v>7.1813333333333338</v>
      </c>
      <c r="R230" s="225">
        <f t="shared" si="221"/>
        <v>7.9182999999999995</v>
      </c>
      <c r="S230" s="225"/>
      <c r="T230" s="225">
        <f t="shared" si="221"/>
        <v>3.004633333333333</v>
      </c>
      <c r="U230" s="225">
        <f t="shared" si="221"/>
        <v>2.2676666666666669</v>
      </c>
      <c r="V230" s="224"/>
      <c r="W230" s="224"/>
      <c r="AF230" s="225">
        <f>AVERAGE(AF222:AF228)</f>
        <v>11.610999999999999</v>
      </c>
      <c r="AG230" s="225">
        <f t="shared" ref="AG230:AH230" si="222">AVERAGE(AG222:AG228)</f>
        <v>8</v>
      </c>
      <c r="AH230" s="225">
        <f t="shared" si="222"/>
        <v>9.2222000000000008</v>
      </c>
      <c r="AI230" s="225"/>
      <c r="AJ230" s="225"/>
      <c r="AK230" s="225">
        <f t="shared" ref="AK230:AM230" si="223">AVERAGE(AK222:AK228)</f>
        <v>10.185966666666667</v>
      </c>
      <c r="AL230" s="225">
        <f t="shared" si="223"/>
        <v>7.246666666666667</v>
      </c>
      <c r="AM230" s="225">
        <f t="shared" si="223"/>
        <v>7.9182999999999995</v>
      </c>
    </row>
    <row r="231" spans="2:39" ht="23.5" x14ac:dyDescent="0.55000000000000004">
      <c r="D231" s="226" t="s">
        <v>94</v>
      </c>
      <c r="E231" s="225">
        <f t="shared" ref="E231:F231" si="224">_xlfn.STDEV.S(E219:E225)</f>
        <v>0.30782648173466753</v>
      </c>
      <c r="F231" s="225">
        <f t="shared" si="224"/>
        <v>0.47398513137218279</v>
      </c>
      <c r="G231" s="225">
        <f>_xlfn.STDEV.S(G219:G225)</f>
        <v>0.66029574903256483</v>
      </c>
      <c r="H231" s="225"/>
      <c r="I231" s="225">
        <f>_xlfn.STDEV.S(I226:I228)</f>
        <v>1.3369603584250356</v>
      </c>
      <c r="J231" s="225">
        <f t="shared" ref="J231:U231" si="225">_xlfn.STDEV.S(J226:J228)</f>
        <v>0.17320508075688812</v>
      </c>
      <c r="K231" s="225">
        <f t="shared" si="225"/>
        <v>0.38486168944180499</v>
      </c>
      <c r="L231" s="225"/>
      <c r="M231" s="225">
        <f t="shared" si="225"/>
        <v>1.1835383390494782</v>
      </c>
      <c r="N231" s="225">
        <f t="shared" si="225"/>
        <v>1.6695796836329797</v>
      </c>
      <c r="O231" s="225"/>
      <c r="P231" s="225">
        <f t="shared" si="225"/>
        <v>0.6431682698433856</v>
      </c>
      <c r="Q231" s="225">
        <f t="shared" si="225"/>
        <v>1.0787800208259921</v>
      </c>
      <c r="R231" s="225">
        <f t="shared" si="225"/>
        <v>0.960329146699193</v>
      </c>
      <c r="S231" s="225"/>
      <c r="T231" s="225">
        <f t="shared" si="225"/>
        <v>0.46270435845508717</v>
      </c>
      <c r="U231" s="225">
        <f t="shared" si="225"/>
        <v>0.31725537557830891</v>
      </c>
      <c r="V231" s="224"/>
      <c r="W231" s="224"/>
      <c r="AF231" s="225">
        <f>_xlfn.STDEV.S(AF222:AF228)</f>
        <v>1.3369603584250356</v>
      </c>
      <c r="AG231" s="225">
        <f t="shared" ref="AG231:AH231" si="226">_xlfn.STDEV.S(AG222:AG228)</f>
        <v>1</v>
      </c>
      <c r="AH231" s="225">
        <f t="shared" si="226"/>
        <v>0.38486168944180499</v>
      </c>
      <c r="AI231" s="225"/>
      <c r="AJ231" s="225"/>
      <c r="AK231" s="225">
        <f t="shared" ref="AK231:AM231" si="227">_xlfn.STDEV.S(AK222:AK228)</f>
        <v>0.6431682698433856</v>
      </c>
      <c r="AL231" s="225">
        <f t="shared" si="227"/>
        <v>1.2650032938033486</v>
      </c>
      <c r="AM231" s="225">
        <f t="shared" si="227"/>
        <v>0.960329146699193</v>
      </c>
    </row>
    <row r="232" spans="2:39" ht="23.5" x14ac:dyDescent="0.55000000000000004">
      <c r="D232" s="226" t="s">
        <v>892</v>
      </c>
      <c r="I232" s="225">
        <f>MIN(I226:I228)</f>
        <v>10.333</v>
      </c>
      <c r="J232" s="225">
        <f t="shared" ref="J232:K232" si="228">MIN(J226:J228)</f>
        <v>8</v>
      </c>
      <c r="K232" s="225">
        <f t="shared" si="228"/>
        <v>9</v>
      </c>
      <c r="P232" s="225">
        <f>MIN(P226:P228)</f>
        <v>9.702</v>
      </c>
      <c r="Q232" s="225">
        <f t="shared" ref="Q232:R232" si="229">MIN(Q226:Q228)</f>
        <v>6.5570000000000004</v>
      </c>
      <c r="R232" s="225">
        <f t="shared" si="229"/>
        <v>7.2039999999999997</v>
      </c>
    </row>
    <row r="237" spans="2:39" ht="23.5" x14ac:dyDescent="0.55000000000000004">
      <c r="B237" s="226" t="s">
        <v>893</v>
      </c>
      <c r="E237" s="226" t="s">
        <v>644</v>
      </c>
      <c r="F237" s="226" t="s">
        <v>644</v>
      </c>
      <c r="H237" s="227"/>
      <c r="I237" s="226" t="s">
        <v>590</v>
      </c>
      <c r="J237" s="227"/>
      <c r="K237" s="227"/>
      <c r="L237" s="227"/>
      <c r="M237" s="227"/>
      <c r="N237" s="227"/>
      <c r="O237" s="227"/>
      <c r="P237" s="226" t="s">
        <v>591</v>
      </c>
      <c r="Q237" s="227"/>
      <c r="R237" s="227"/>
      <c r="S237" s="227"/>
      <c r="T237" s="227"/>
      <c r="U237" s="227"/>
      <c r="V237" s="227"/>
      <c r="W237" s="227"/>
      <c r="AF237" s="226" t="s">
        <v>590</v>
      </c>
      <c r="AG237" s="227"/>
      <c r="AH237" s="227"/>
      <c r="AK237" s="226" t="s">
        <v>591</v>
      </c>
      <c r="AL237" s="227"/>
      <c r="AM237" s="227"/>
    </row>
    <row r="238" spans="2:39" ht="23.5" x14ac:dyDescent="0.55000000000000004">
      <c r="E238" s="226" t="s">
        <v>76</v>
      </c>
      <c r="F238" s="226" t="s">
        <v>20</v>
      </c>
      <c r="G238" s="226" t="s">
        <v>589</v>
      </c>
      <c r="H238" s="226"/>
      <c r="I238" s="226" t="s">
        <v>76</v>
      </c>
      <c r="J238" s="226" t="s">
        <v>20</v>
      </c>
      <c r="K238" s="226" t="s">
        <v>594</v>
      </c>
      <c r="L238" s="226"/>
      <c r="M238" s="229" t="s">
        <v>596</v>
      </c>
      <c r="N238" s="229" t="s">
        <v>597</v>
      </c>
      <c r="O238" s="226"/>
      <c r="P238" s="226" t="s">
        <v>76</v>
      </c>
      <c r="Q238" s="226" t="s">
        <v>20</v>
      </c>
      <c r="R238" s="226" t="s">
        <v>594</v>
      </c>
      <c r="S238" s="226"/>
      <c r="T238" s="229" t="s">
        <v>596</v>
      </c>
      <c r="U238" s="229" t="s">
        <v>597</v>
      </c>
      <c r="V238" s="226"/>
      <c r="W238" s="226"/>
      <c r="Y238" s="226"/>
      <c r="AF238" s="226" t="s">
        <v>76</v>
      </c>
      <c r="AG238" s="226" t="s">
        <v>20</v>
      </c>
      <c r="AH238" s="226" t="s">
        <v>594</v>
      </c>
      <c r="AK238" s="226" t="s">
        <v>76</v>
      </c>
      <c r="AL238" s="226" t="s">
        <v>20</v>
      </c>
      <c r="AM238" s="226" t="s">
        <v>594</v>
      </c>
    </row>
    <row r="239" spans="2:39" ht="23.5" x14ac:dyDescent="0.55000000000000004">
      <c r="B239" s="226"/>
      <c r="C239" s="319" t="s">
        <v>592</v>
      </c>
      <c r="E239" s="225">
        <v>-34.993333333333332</v>
      </c>
      <c r="F239" s="225">
        <v>-37.923333333333332</v>
      </c>
      <c r="G239" s="225">
        <v>-2.9300000000000019</v>
      </c>
      <c r="H239" s="225"/>
      <c r="I239" s="225">
        <v>11</v>
      </c>
      <c r="J239" s="225">
        <v>4</v>
      </c>
      <c r="K239" s="225">
        <v>10.916499999999999</v>
      </c>
      <c r="L239" s="225"/>
      <c r="M239" s="225">
        <f t="shared" ref="M239" si="230">I239-J239</f>
        <v>7</v>
      </c>
      <c r="N239" s="225">
        <f t="shared" ref="N239" si="231">I239-K239</f>
        <v>8.3500000000000796E-2</v>
      </c>
      <c r="O239" s="225"/>
      <c r="P239" s="225">
        <v>7.0693999999999999</v>
      </c>
      <c r="Q239" s="225">
        <v>3.07</v>
      </c>
      <c r="R239" s="225">
        <v>7.3650000000000002</v>
      </c>
      <c r="S239" s="225"/>
      <c r="T239" s="225">
        <f t="shared" ref="T239:T241" si="232">P239-Q239</f>
        <v>3.9994000000000001</v>
      </c>
      <c r="U239" s="225">
        <f t="shared" ref="U239:U241" si="233">P239-R239</f>
        <v>-0.29560000000000031</v>
      </c>
      <c r="Y239" s="224"/>
      <c r="AF239" s="225">
        <v>11</v>
      </c>
      <c r="AG239" s="225">
        <v>7.5</v>
      </c>
      <c r="AH239" s="225">
        <v>10.916499999999999</v>
      </c>
      <c r="AK239" s="225">
        <v>7.0693999999999999</v>
      </c>
      <c r="AL239" s="225">
        <v>5.085</v>
      </c>
      <c r="AM239" s="225">
        <v>7.3650000000000002</v>
      </c>
    </row>
    <row r="240" spans="2:39" ht="23.5" x14ac:dyDescent="0.55000000000000004">
      <c r="B240" s="226"/>
      <c r="C240" s="319" t="s">
        <v>598</v>
      </c>
      <c r="E240" s="225">
        <v>-54.1</v>
      </c>
      <c r="F240" s="225">
        <v>-58.32</v>
      </c>
      <c r="G240" s="225">
        <v>-4.2199999999999989</v>
      </c>
      <c r="H240" s="225"/>
      <c r="I240" s="225">
        <v>5.644333333333333</v>
      </c>
      <c r="J240" s="225">
        <v>2</v>
      </c>
      <c r="K240" s="225">
        <v>6.5</v>
      </c>
      <c r="L240" s="225"/>
      <c r="M240" s="225">
        <f t="shared" ref="M240:M245" si="234">I240-J240</f>
        <v>3.644333333333333</v>
      </c>
      <c r="N240" s="225">
        <f t="shared" ref="N240:N245" si="235">I240-K240</f>
        <v>-0.85566666666666702</v>
      </c>
      <c r="O240" s="225"/>
      <c r="P240" s="225">
        <v>4.5182000000000002</v>
      </c>
      <c r="Q240" s="225">
        <v>2</v>
      </c>
      <c r="R240" s="225">
        <v>4.6029966666666668</v>
      </c>
      <c r="S240" s="225"/>
      <c r="T240" s="225">
        <f t="shared" si="232"/>
        <v>2.5182000000000002</v>
      </c>
      <c r="U240" s="225">
        <f t="shared" si="233"/>
        <v>-8.4796666666666631E-2</v>
      </c>
      <c r="Y240" s="224"/>
      <c r="AF240" s="225">
        <v>5.644333333333333</v>
      </c>
      <c r="AG240" s="225">
        <v>4</v>
      </c>
      <c r="AH240" s="225">
        <v>6.5</v>
      </c>
      <c r="AK240" s="225">
        <v>4.5182000000000002</v>
      </c>
      <c r="AL240" s="225">
        <v>3.0459999999999998</v>
      </c>
      <c r="AM240" s="225">
        <v>4.6029966666666668</v>
      </c>
    </row>
    <row r="241" spans="2:39" ht="23.5" x14ac:dyDescent="0.55000000000000004">
      <c r="B241" s="226"/>
      <c r="C241" s="319" t="s">
        <v>188</v>
      </c>
      <c r="E241" s="225">
        <v>-52.838000000000001</v>
      </c>
      <c r="F241" s="225">
        <v>-54.236000000000004</v>
      </c>
      <c r="G241" s="225">
        <v>-1.3979999999999975</v>
      </c>
      <c r="H241" s="225"/>
      <c r="I241" s="225">
        <v>13.55</v>
      </c>
      <c r="J241" s="225">
        <v>8</v>
      </c>
      <c r="K241" s="225">
        <v>14.433400000000001</v>
      </c>
      <c r="L241" s="225"/>
      <c r="M241" s="225">
        <f t="shared" si="234"/>
        <v>5.5500000000000007</v>
      </c>
      <c r="N241" s="225">
        <f t="shared" si="235"/>
        <v>-0.88339999999999996</v>
      </c>
      <c r="O241" s="225"/>
      <c r="P241" s="225">
        <v>9.2225000000000001</v>
      </c>
      <c r="Q241" s="225">
        <v>5.6</v>
      </c>
      <c r="R241" s="225">
        <v>8.2782800000000005</v>
      </c>
      <c r="S241" s="225"/>
      <c r="T241" s="225">
        <f t="shared" si="232"/>
        <v>3.6225000000000005</v>
      </c>
      <c r="U241" s="225">
        <f t="shared" si="233"/>
        <v>0.94421999999999962</v>
      </c>
      <c r="Y241" s="224"/>
      <c r="AF241" s="225">
        <v>13.55</v>
      </c>
      <c r="AG241" s="225">
        <v>10.5</v>
      </c>
      <c r="AH241" s="225">
        <v>14.433400000000001</v>
      </c>
      <c r="AK241" s="225">
        <v>9.2225000000000001</v>
      </c>
      <c r="AL241" s="225">
        <v>6.298</v>
      </c>
      <c r="AM241" s="225">
        <v>8.2782800000000005</v>
      </c>
    </row>
    <row r="242" spans="2:39" ht="23.5" x14ac:dyDescent="0.55000000000000004">
      <c r="C242" s="319" t="s">
        <v>600</v>
      </c>
      <c r="E242" s="225">
        <v>-45.523333333333333</v>
      </c>
      <c r="F242" s="225">
        <v>-48.173333333333325</v>
      </c>
      <c r="G242" s="225">
        <v>-2.6500000000000021</v>
      </c>
      <c r="H242" s="225"/>
      <c r="I242" s="225">
        <v>8</v>
      </c>
      <c r="J242" s="225">
        <v>4</v>
      </c>
      <c r="K242" s="225">
        <v>8.466660000000001</v>
      </c>
      <c r="L242" s="225"/>
      <c r="M242" s="225">
        <f t="shared" si="234"/>
        <v>4</v>
      </c>
      <c r="N242" s="225">
        <f t="shared" si="235"/>
        <v>-0.46666000000000096</v>
      </c>
      <c r="O242" s="225"/>
      <c r="P242" s="225">
        <v>7.6950999999999992</v>
      </c>
      <c r="Q242" s="225">
        <v>2.93</v>
      </c>
      <c r="R242" s="225">
        <v>6.9901399999999994</v>
      </c>
      <c r="S242" s="225"/>
      <c r="T242" s="225">
        <f t="shared" ref="T242" si="236">P242-Q242</f>
        <v>4.7650999999999986</v>
      </c>
      <c r="U242" s="225">
        <f t="shared" ref="U242" si="237">P242-R242</f>
        <v>0.70495999999999981</v>
      </c>
      <c r="Y242" s="224"/>
      <c r="AF242" s="225">
        <v>8</v>
      </c>
      <c r="AG242" s="225">
        <v>5.2</v>
      </c>
      <c r="AH242" s="225">
        <v>8.466660000000001</v>
      </c>
      <c r="AK242" s="225">
        <v>7.6950999999999992</v>
      </c>
      <c r="AL242" s="225">
        <v>4.5549999999999997</v>
      </c>
      <c r="AM242" s="225">
        <v>6.9901399999999994</v>
      </c>
    </row>
    <row r="243" spans="2:39" ht="23.5" x14ac:dyDescent="0.55000000000000004">
      <c r="C243" s="319" t="s">
        <v>561</v>
      </c>
      <c r="E243" s="225">
        <v>-41.558749999999996</v>
      </c>
      <c r="F243" s="225">
        <v>-44.428749999999994</v>
      </c>
      <c r="G243" s="225">
        <v>-2.8699999999999992</v>
      </c>
      <c r="H243" s="225"/>
      <c r="I243" s="225">
        <v>15.856994285714288</v>
      </c>
      <c r="J243" s="225">
        <v>7</v>
      </c>
      <c r="K243" s="225">
        <v>14.916600000000001</v>
      </c>
      <c r="L243" s="225"/>
      <c r="M243" s="225">
        <f t="shared" si="234"/>
        <v>8.856994285714288</v>
      </c>
      <c r="N243" s="225">
        <f t="shared" si="235"/>
        <v>0.94039428571428729</v>
      </c>
      <c r="O243" s="225"/>
      <c r="P243" s="225">
        <v>16.030842857142858</v>
      </c>
      <c r="Q243" s="225">
        <v>4.3079999999999998</v>
      </c>
      <c r="R243" s="225">
        <v>12.809471428571429</v>
      </c>
      <c r="S243" s="225"/>
      <c r="T243" s="225">
        <f t="shared" ref="T243:T245" si="238">P243-Q243</f>
        <v>11.722842857142858</v>
      </c>
      <c r="U243" s="225">
        <f t="shared" ref="U243:U245" si="239">P243-R243</f>
        <v>3.2213714285714286</v>
      </c>
      <c r="V243" s="224"/>
      <c r="W243" s="224"/>
      <c r="Y243" s="224"/>
      <c r="AF243" s="225">
        <v>15.856994285714288</v>
      </c>
      <c r="AG243" s="225">
        <v>9.1999999999999993</v>
      </c>
      <c r="AH243" s="225">
        <v>14.916600000000001</v>
      </c>
      <c r="AK243" s="225">
        <v>16.030842857142858</v>
      </c>
      <c r="AL243" s="225">
        <v>4.1390000000000002</v>
      </c>
      <c r="AM243" s="225">
        <v>12.809471428571429</v>
      </c>
    </row>
    <row r="244" spans="2:39" ht="23.5" x14ac:dyDescent="0.55000000000000004">
      <c r="C244" s="319" t="s">
        <v>645</v>
      </c>
      <c r="E244" s="225">
        <v>-53.623000000000005</v>
      </c>
      <c r="F244" s="225">
        <v>-56.022000000000006</v>
      </c>
      <c r="G244" s="225">
        <v>-2.399</v>
      </c>
      <c r="H244" s="225"/>
      <c r="I244" s="225">
        <v>7.8054938333333332</v>
      </c>
      <c r="J244" s="225">
        <v>3</v>
      </c>
      <c r="K244" s="225">
        <v>6.6388833333333332</v>
      </c>
      <c r="L244" s="225"/>
      <c r="M244" s="225">
        <f t="shared" si="234"/>
        <v>4.8054938333333332</v>
      </c>
      <c r="N244" s="225">
        <f t="shared" si="235"/>
        <v>1.1666105</v>
      </c>
      <c r="O244" s="225"/>
      <c r="P244" s="225">
        <v>4.6702500000000002</v>
      </c>
      <c r="Q244" s="225">
        <v>2.9550000000000001</v>
      </c>
      <c r="R244" s="225">
        <v>4.0693333333333337</v>
      </c>
      <c r="S244" s="225"/>
      <c r="T244" s="225">
        <f t="shared" si="238"/>
        <v>1.7152500000000002</v>
      </c>
      <c r="U244" s="225">
        <f t="shared" si="239"/>
        <v>0.60091666666666654</v>
      </c>
      <c r="V244" s="224"/>
      <c r="W244" s="224"/>
      <c r="Y244" s="224"/>
      <c r="AF244" s="225">
        <v>7.8054938333333332</v>
      </c>
      <c r="AG244" s="225">
        <v>5.1666999999999996</v>
      </c>
      <c r="AH244" s="225">
        <v>6.6388833333333332</v>
      </c>
      <c r="AK244" s="225">
        <v>4.6702500000000002</v>
      </c>
      <c r="AL244" s="225">
        <v>2.988</v>
      </c>
      <c r="AM244" s="225">
        <v>4.0693333333333337</v>
      </c>
    </row>
    <row r="245" spans="2:39" ht="23.5" x14ac:dyDescent="0.55000000000000004">
      <c r="C245" s="319" t="s">
        <v>840</v>
      </c>
      <c r="E245" s="225">
        <v>-46.937142857142859</v>
      </c>
      <c r="F245" s="225">
        <v>-49.354285714285709</v>
      </c>
      <c r="G245" s="225">
        <v>-2.4171428571428564</v>
      </c>
      <c r="H245" s="225"/>
      <c r="I245" s="225">
        <v>11.610999999999999</v>
      </c>
      <c r="J245" s="225">
        <v>8</v>
      </c>
      <c r="K245" s="225">
        <v>9.2222000000000008</v>
      </c>
      <c r="L245" s="225"/>
      <c r="M245" s="225">
        <f t="shared" si="234"/>
        <v>3.6109999999999989</v>
      </c>
      <c r="N245" s="225">
        <f t="shared" si="235"/>
        <v>2.388799999999998</v>
      </c>
      <c r="O245" s="225"/>
      <c r="P245" s="225">
        <v>10.185966666666667</v>
      </c>
      <c r="Q245" s="225">
        <f t="shared" ref="Q245" si="240">MIN(Q239:Q241)</f>
        <v>2</v>
      </c>
      <c r="R245" s="225">
        <v>7.9182999999999995</v>
      </c>
      <c r="S245" s="225"/>
      <c r="T245" s="225">
        <f t="shared" si="238"/>
        <v>8.1859666666666673</v>
      </c>
      <c r="U245" s="225">
        <f t="shared" si="239"/>
        <v>2.2676666666666678</v>
      </c>
      <c r="V245" s="224"/>
      <c r="W245" s="224"/>
      <c r="Y245" s="224"/>
      <c r="AF245" s="225">
        <v>11.610999999999999</v>
      </c>
      <c r="AG245" s="225">
        <v>8</v>
      </c>
      <c r="AH245" s="225">
        <v>9.2222000000000008</v>
      </c>
      <c r="AK245" s="225">
        <v>10.185966666666667</v>
      </c>
      <c r="AL245" s="225">
        <v>7.2469999999999999</v>
      </c>
      <c r="AM245" s="225">
        <v>7.9182999999999995</v>
      </c>
    </row>
    <row r="246" spans="2:39" ht="21" x14ac:dyDescent="0.5">
      <c r="E246" s="224"/>
      <c r="F246" s="224"/>
      <c r="G246" s="224"/>
      <c r="H246" s="224"/>
      <c r="I246" s="224"/>
      <c r="J246" s="224"/>
      <c r="K246" s="224"/>
      <c r="L246" s="224"/>
      <c r="M246" s="224"/>
      <c r="N246" s="224"/>
      <c r="O246" s="224"/>
      <c r="P246" s="224"/>
      <c r="Q246" s="224"/>
      <c r="R246" s="224"/>
      <c r="S246" s="224"/>
      <c r="T246" s="224"/>
      <c r="U246" s="224"/>
      <c r="V246" s="224"/>
      <c r="W246" s="224"/>
      <c r="Y246" s="224"/>
      <c r="AF246" s="224"/>
      <c r="AG246" s="224"/>
      <c r="AH246" s="224"/>
      <c r="AK246" s="224"/>
      <c r="AL246" s="224"/>
      <c r="AM246" s="224"/>
    </row>
    <row r="247" spans="2:39" ht="21" x14ac:dyDescent="0.5">
      <c r="E247" s="224"/>
      <c r="F247" s="224"/>
      <c r="G247" s="224"/>
      <c r="H247" s="224"/>
      <c r="I247" s="224"/>
      <c r="J247" s="224"/>
      <c r="K247" s="224"/>
      <c r="L247" s="224"/>
      <c r="M247" s="224"/>
      <c r="N247" s="224"/>
      <c r="O247" s="224"/>
      <c r="P247" s="224"/>
      <c r="Q247" s="224"/>
      <c r="R247" s="224"/>
      <c r="S247" s="224"/>
      <c r="T247" s="224"/>
      <c r="U247" s="224"/>
      <c r="V247" s="224"/>
      <c r="W247" s="224"/>
      <c r="Y247" s="224"/>
      <c r="AF247" s="224"/>
      <c r="AG247" s="224"/>
      <c r="AH247" s="224"/>
      <c r="AK247" s="224"/>
      <c r="AL247" s="224"/>
      <c r="AM247" s="224"/>
    </row>
    <row r="248" spans="2:39" ht="21" x14ac:dyDescent="0.5">
      <c r="E248" s="224"/>
      <c r="F248" s="224"/>
      <c r="G248" s="224"/>
      <c r="H248" s="224"/>
      <c r="I248" s="224"/>
      <c r="J248" s="224"/>
      <c r="K248" s="224"/>
      <c r="L248" s="224"/>
      <c r="M248" s="224"/>
      <c r="N248" s="224"/>
      <c r="O248" s="224"/>
      <c r="P248" s="224"/>
      <c r="Q248" s="224"/>
      <c r="R248" s="224"/>
      <c r="S248" s="224"/>
      <c r="T248" s="224"/>
      <c r="U248" s="224"/>
      <c r="V248" s="224"/>
      <c r="W248" s="224"/>
      <c r="Y248" s="224"/>
      <c r="AF248" s="224"/>
      <c r="AG248" s="224"/>
      <c r="AH248" s="224"/>
      <c r="AK248" s="224"/>
      <c r="AL248" s="224"/>
      <c r="AM248" s="224"/>
    </row>
    <row r="249" spans="2:39" ht="21" x14ac:dyDescent="0.5">
      <c r="G249" s="224"/>
      <c r="H249" s="224"/>
      <c r="I249" s="224"/>
      <c r="J249" s="224"/>
      <c r="K249" s="224"/>
      <c r="L249" s="224"/>
      <c r="M249" s="224"/>
      <c r="N249" s="224"/>
      <c r="O249" s="224"/>
      <c r="P249" s="224"/>
      <c r="Q249" s="224"/>
      <c r="R249" s="224"/>
      <c r="S249" s="224"/>
      <c r="T249" s="224"/>
      <c r="U249" s="224"/>
      <c r="V249" s="224"/>
      <c r="W249" s="224"/>
      <c r="AF249" s="224"/>
      <c r="AG249" s="224"/>
      <c r="AH249" s="224"/>
      <c r="AK249" s="224"/>
      <c r="AL249" s="224"/>
      <c r="AM249" s="224"/>
    </row>
    <row r="250" spans="2:39" ht="23.5" x14ac:dyDescent="0.55000000000000004">
      <c r="D250" s="226" t="s">
        <v>548</v>
      </c>
      <c r="E250" s="225">
        <f>AVERAGE(E239:E245)</f>
        <v>-47.081937074829931</v>
      </c>
      <c r="F250" s="225">
        <f t="shared" ref="F250:U250" si="241">AVERAGE(F239:F245)</f>
        <v>-49.77967176870748</v>
      </c>
      <c r="G250" s="225">
        <f t="shared" si="241"/>
        <v>-2.6977346938775506</v>
      </c>
      <c r="H250" s="225"/>
      <c r="I250" s="225">
        <f t="shared" si="241"/>
        <v>10.495403064625851</v>
      </c>
      <c r="J250" s="225">
        <f t="shared" si="241"/>
        <v>5.1428571428571432</v>
      </c>
      <c r="K250" s="225">
        <f t="shared" si="241"/>
        <v>10.156320476190476</v>
      </c>
      <c r="L250" s="225"/>
      <c r="M250" s="225">
        <f t="shared" si="241"/>
        <v>5.3525459217687077</v>
      </c>
      <c r="N250" s="225">
        <f t="shared" si="241"/>
        <v>0.33908258843537403</v>
      </c>
      <c r="O250" s="225"/>
      <c r="P250" s="225">
        <f t="shared" si="241"/>
        <v>8.4846085034013612</v>
      </c>
      <c r="Q250" s="225">
        <f t="shared" si="241"/>
        <v>3.266142857142857</v>
      </c>
      <c r="R250" s="225">
        <f t="shared" si="241"/>
        <v>7.4333602040816329</v>
      </c>
      <c r="S250" s="225"/>
      <c r="T250" s="225">
        <f t="shared" si="241"/>
        <v>5.2184656462585037</v>
      </c>
      <c r="U250" s="225">
        <f t="shared" si="241"/>
        <v>1.0512482993197279</v>
      </c>
      <c r="V250" s="224"/>
      <c r="W250" s="224"/>
      <c r="AF250" s="225">
        <f t="shared" ref="AF250:AH250" si="242">AVERAGE(AF239:AF245)</f>
        <v>10.495403064625851</v>
      </c>
      <c r="AG250" s="225">
        <f t="shared" si="242"/>
        <v>7.0809571428571427</v>
      </c>
      <c r="AH250" s="225">
        <f t="shared" si="242"/>
        <v>10.156320476190476</v>
      </c>
      <c r="AK250" s="225">
        <f t="shared" ref="AK250:AM250" si="243">AVERAGE(AK239:AK245)</f>
        <v>8.4846085034013612</v>
      </c>
      <c r="AL250" s="225">
        <f t="shared" si="243"/>
        <v>4.765428571428572</v>
      </c>
      <c r="AM250" s="225">
        <f t="shared" si="243"/>
        <v>7.4333602040816329</v>
      </c>
    </row>
    <row r="251" spans="2:39" ht="23.5" x14ac:dyDescent="0.55000000000000004">
      <c r="D251" s="226" t="s">
        <v>94</v>
      </c>
      <c r="E251" s="225">
        <f t="shared" ref="E251:U251" si="244">_xlfn.STDEV.S(E239:E245)</f>
        <v>7.1211085125160833</v>
      </c>
      <c r="F251" s="225">
        <f t="shared" si="244"/>
        <v>7.1148803068362074</v>
      </c>
      <c r="G251" s="225">
        <f t="shared" si="244"/>
        <v>0.84266217449842862</v>
      </c>
      <c r="H251" s="225"/>
      <c r="I251" s="225">
        <f t="shared" si="244"/>
        <v>3.5723923616733879</v>
      </c>
      <c r="J251" s="225">
        <f t="shared" si="244"/>
        <v>2.4784787961282104</v>
      </c>
      <c r="K251" s="225">
        <f t="shared" si="244"/>
        <v>3.4399641561506962</v>
      </c>
      <c r="L251" s="225"/>
      <c r="M251" s="225">
        <f t="shared" si="244"/>
        <v>1.9627306782186946</v>
      </c>
      <c r="N251" s="225">
        <f t="shared" si="244"/>
        <v>1.2168369316181016</v>
      </c>
      <c r="O251" s="225"/>
      <c r="P251" s="225">
        <f t="shared" si="244"/>
        <v>3.9431929189304151</v>
      </c>
      <c r="Q251" s="225">
        <f t="shared" si="244"/>
        <v>1.2901463003049207</v>
      </c>
      <c r="R251" s="225">
        <f t="shared" si="244"/>
        <v>2.868808689251173</v>
      </c>
      <c r="S251" s="225"/>
      <c r="T251" s="225">
        <f t="shared" si="244"/>
        <v>3.5335465525748528</v>
      </c>
      <c r="U251" s="225">
        <f t="shared" si="244"/>
        <v>1.2667462103834279</v>
      </c>
      <c r="V251" s="224"/>
      <c r="W251" s="224"/>
      <c r="AF251" s="225">
        <f t="shared" ref="AF251:AH251" si="245">_xlfn.STDEV.S(AF239:AF245)</f>
        <v>3.5723923616733879</v>
      </c>
      <c r="AG251" s="225">
        <f t="shared" si="245"/>
        <v>2.3768014388088474</v>
      </c>
      <c r="AH251" s="225">
        <f t="shared" si="245"/>
        <v>3.4399641561506962</v>
      </c>
      <c r="AK251" s="225">
        <f t="shared" ref="AK251:AM251" si="246">_xlfn.STDEV.S(AK239:AK245)</f>
        <v>3.9431929189304151</v>
      </c>
      <c r="AL251" s="225">
        <f t="shared" si="246"/>
        <v>1.5896266707566731</v>
      </c>
      <c r="AM251" s="225">
        <f t="shared" si="246"/>
        <v>2.868808689251173</v>
      </c>
    </row>
    <row r="252" spans="2:39" ht="23.5" x14ac:dyDescent="0.55000000000000004">
      <c r="D252" s="226"/>
      <c r="E252" s="226" t="s">
        <v>894</v>
      </c>
      <c r="I252" s="226" t="s">
        <v>895</v>
      </c>
      <c r="J252" s="225"/>
      <c r="K252" s="225"/>
      <c r="P252" s="226" t="s">
        <v>895</v>
      </c>
      <c r="Q252" s="225"/>
      <c r="R252" s="225"/>
    </row>
  </sheetData>
  <mergeCells count="5">
    <mergeCell ref="X3:AB3"/>
    <mergeCell ref="F2:M2"/>
    <mergeCell ref="DJ2:DU2"/>
    <mergeCell ref="T121:AE123"/>
    <mergeCell ref="J124:O125"/>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609"/>
  <sheetViews>
    <sheetView tabSelected="1" zoomScale="80" zoomScaleNormal="80" workbookViewId="0">
      <selection activeCell="I581" sqref="I581"/>
    </sheetView>
  </sheetViews>
  <sheetFormatPr defaultColWidth="8.7265625" defaultRowHeight="15.5" x14ac:dyDescent="0.35"/>
  <cols>
    <col min="1" max="1" width="8.7265625" style="135"/>
    <col min="2" max="2" width="10.7265625" style="135" customWidth="1"/>
    <col min="3" max="3" width="10.81640625" style="135" customWidth="1"/>
    <col min="4" max="4" width="17.81640625" style="135" customWidth="1"/>
    <col min="5" max="5" width="12" style="135" customWidth="1"/>
    <col min="6" max="8" width="8.7265625" style="135"/>
    <col min="9" max="9" width="13.453125" style="135" customWidth="1"/>
    <col min="10" max="10" width="11.54296875" style="135" customWidth="1"/>
    <col min="11" max="11" width="12.7265625" style="135" customWidth="1"/>
    <col min="12" max="12" width="14.453125" style="135" customWidth="1"/>
    <col min="13" max="13" width="13.54296875" style="135" customWidth="1"/>
    <col min="14" max="14" width="11.54296875" style="135" customWidth="1"/>
    <col min="15" max="18" width="8.7265625" style="135"/>
    <col min="19" max="19" width="12.54296875" style="135" customWidth="1"/>
    <col min="20" max="20" width="9" style="135" bestFit="1" customWidth="1"/>
    <col min="21" max="21" width="10.54296875" style="135" customWidth="1"/>
    <col min="22" max="22" width="11.453125" style="135" customWidth="1"/>
    <col min="23" max="25" width="8.7265625" style="135"/>
    <col min="26" max="26" width="11.26953125" style="135" customWidth="1"/>
    <col min="27" max="27" width="8.7265625" style="135"/>
    <col min="28" max="28" width="13.54296875" style="135" customWidth="1"/>
    <col min="29" max="29" width="8.7265625" style="135"/>
    <col min="30" max="30" width="10.7265625" style="135" customWidth="1"/>
    <col min="31" max="31" width="11.1796875" style="135" customWidth="1"/>
    <col min="32" max="32" width="10.81640625" style="135" customWidth="1"/>
    <col min="33" max="33" width="9.81640625" style="135" customWidth="1"/>
    <col min="34" max="34" width="8.7265625" style="135"/>
    <col min="35" max="35" width="8.7265625" style="272"/>
    <col min="36" max="16384" width="8.7265625" style="135"/>
  </cols>
  <sheetData>
    <row r="1" spans="4:98" x14ac:dyDescent="0.35">
      <c r="BR1" s="272"/>
    </row>
    <row r="2" spans="4:98" ht="18.649999999999999" customHeight="1" x14ac:dyDescent="0.45">
      <c r="E2" s="192" t="s">
        <v>405</v>
      </c>
      <c r="S2" s="192" t="s">
        <v>52</v>
      </c>
      <c r="AN2" s="192" t="s">
        <v>405</v>
      </c>
      <c r="AX2" s="355" t="s">
        <v>717</v>
      </c>
      <c r="AY2" s="355"/>
      <c r="AZ2" s="355"/>
      <c r="BB2" s="192" t="s">
        <v>52</v>
      </c>
      <c r="BR2" s="272"/>
      <c r="BW2" s="192" t="s">
        <v>405</v>
      </c>
      <c r="CG2" s="355" t="s">
        <v>716</v>
      </c>
      <c r="CH2" s="355"/>
      <c r="CI2" s="355"/>
      <c r="CK2" s="192" t="s">
        <v>52</v>
      </c>
    </row>
    <row r="3" spans="4:98" ht="15.65" customHeight="1" x14ac:dyDescent="0.35">
      <c r="D3" s="195" t="s">
        <v>402</v>
      </c>
      <c r="S3" s="195" t="s">
        <v>402</v>
      </c>
      <c r="AM3" s="195" t="s">
        <v>402</v>
      </c>
      <c r="AX3" s="355"/>
      <c r="AY3" s="355"/>
      <c r="AZ3" s="355"/>
      <c r="BB3" s="195" t="s">
        <v>402</v>
      </c>
      <c r="BR3" s="272"/>
      <c r="BV3" s="195" t="s">
        <v>402</v>
      </c>
      <c r="CG3" s="355"/>
      <c r="CH3" s="355"/>
      <c r="CI3" s="355"/>
      <c r="CK3" s="195" t="s">
        <v>402</v>
      </c>
    </row>
    <row r="4" spans="4:98" ht="16" customHeight="1" thickBot="1" x14ac:dyDescent="0.4">
      <c r="D4" s="9" t="s">
        <v>444</v>
      </c>
      <c r="E4" s="9" t="s">
        <v>3</v>
      </c>
      <c r="F4" s="9" t="s">
        <v>4</v>
      </c>
      <c r="G4" s="9" t="s">
        <v>5</v>
      </c>
      <c r="H4" s="9" t="s">
        <v>6</v>
      </c>
      <c r="I4" s="9" t="s">
        <v>7</v>
      </c>
      <c r="J4" s="9" t="s">
        <v>8</v>
      </c>
      <c r="K4" s="9" t="s">
        <v>9</v>
      </c>
      <c r="L4" s="9" t="s">
        <v>10</v>
      </c>
      <c r="M4" s="9" t="s">
        <v>139</v>
      </c>
      <c r="S4" s="9" t="s">
        <v>444</v>
      </c>
      <c r="T4" s="9" t="s">
        <v>3</v>
      </c>
      <c r="U4" s="9" t="s">
        <v>4</v>
      </c>
      <c r="V4" s="9" t="s">
        <v>5</v>
      </c>
      <c r="W4" s="9" t="s">
        <v>6</v>
      </c>
      <c r="X4" s="9" t="s">
        <v>7</v>
      </c>
      <c r="Y4" s="9" t="s">
        <v>8</v>
      </c>
      <c r="Z4" s="9" t="s">
        <v>9</v>
      </c>
      <c r="AA4" s="9" t="s">
        <v>10</v>
      </c>
      <c r="AB4" s="9" t="s">
        <v>139</v>
      </c>
      <c r="AM4" s="9" t="s">
        <v>444</v>
      </c>
      <c r="AN4" s="9" t="s">
        <v>3</v>
      </c>
      <c r="AO4" s="9" t="s">
        <v>4</v>
      </c>
      <c r="AP4" s="9" t="s">
        <v>5</v>
      </c>
      <c r="AQ4" s="9" t="s">
        <v>6</v>
      </c>
      <c r="AR4" s="9" t="s">
        <v>7</v>
      </c>
      <c r="AS4" s="9" t="s">
        <v>8</v>
      </c>
      <c r="AT4" s="9" t="s">
        <v>9</v>
      </c>
      <c r="AU4" s="9" t="s">
        <v>10</v>
      </c>
      <c r="AV4" s="9" t="s">
        <v>139</v>
      </c>
      <c r="AX4" s="355"/>
      <c r="AY4" s="355"/>
      <c r="AZ4" s="355"/>
      <c r="BB4" s="9" t="s">
        <v>444</v>
      </c>
      <c r="BC4" s="9" t="s">
        <v>3</v>
      </c>
      <c r="BD4" s="9" t="s">
        <v>4</v>
      </c>
      <c r="BE4" s="9" t="s">
        <v>5</v>
      </c>
      <c r="BF4" s="9" t="s">
        <v>6</v>
      </c>
      <c r="BG4" s="9" t="s">
        <v>7</v>
      </c>
      <c r="BH4" s="9" t="s">
        <v>8</v>
      </c>
      <c r="BI4" s="9" t="s">
        <v>9</v>
      </c>
      <c r="BJ4" s="9" t="s">
        <v>10</v>
      </c>
      <c r="BK4" s="9" t="s">
        <v>139</v>
      </c>
      <c r="BR4" s="272"/>
      <c r="BV4" s="9" t="s">
        <v>444</v>
      </c>
      <c r="BW4" s="9" t="s">
        <v>3</v>
      </c>
      <c r="BX4" s="9" t="s">
        <v>4</v>
      </c>
      <c r="BY4" s="9" t="s">
        <v>5</v>
      </c>
      <c r="BZ4" s="9" t="s">
        <v>6</v>
      </c>
      <c r="CA4" s="9" t="s">
        <v>7</v>
      </c>
      <c r="CB4" s="9" t="s">
        <v>8</v>
      </c>
      <c r="CC4" s="9" t="s">
        <v>9</v>
      </c>
      <c r="CD4" s="9" t="s">
        <v>10</v>
      </c>
      <c r="CE4" s="9" t="s">
        <v>139</v>
      </c>
      <c r="CG4" s="355"/>
      <c r="CH4" s="355"/>
      <c r="CI4" s="355"/>
      <c r="CK4" s="9" t="s">
        <v>444</v>
      </c>
      <c r="CL4" s="9" t="s">
        <v>3</v>
      </c>
      <c r="CM4" s="9" t="s">
        <v>4</v>
      </c>
      <c r="CN4" s="9" t="s">
        <v>5</v>
      </c>
      <c r="CO4" s="9" t="s">
        <v>6</v>
      </c>
      <c r="CP4" s="9" t="s">
        <v>7</v>
      </c>
      <c r="CQ4" s="9" t="s">
        <v>8</v>
      </c>
      <c r="CR4" s="9" t="s">
        <v>9</v>
      </c>
      <c r="CS4" s="9" t="s">
        <v>10</v>
      </c>
      <c r="CT4" s="9" t="s">
        <v>139</v>
      </c>
    </row>
    <row r="5" spans="4:98" ht="15.65" customHeight="1" x14ac:dyDescent="0.35">
      <c r="D5" s="196" t="s">
        <v>530</v>
      </c>
      <c r="E5" s="135">
        <v>3.5633499999999998</v>
      </c>
      <c r="F5" s="289">
        <v>9.9186158823529436</v>
      </c>
      <c r="G5" s="135">
        <v>0.27274233798974956</v>
      </c>
      <c r="H5" s="135">
        <v>0.72725766201025044</v>
      </c>
      <c r="I5" s="135">
        <v>0.28546720116038266</v>
      </c>
      <c r="J5" s="135">
        <v>7.7527498522937499E-2</v>
      </c>
      <c r="K5" s="135">
        <v>13.481965882352942</v>
      </c>
      <c r="L5" s="135">
        <v>19</v>
      </c>
      <c r="M5" s="135">
        <v>5.3417552091416232</v>
      </c>
      <c r="S5" s="196" t="s">
        <v>530</v>
      </c>
      <c r="T5" s="135">
        <v>4.9404736363636399</v>
      </c>
      <c r="U5" s="289">
        <v>5.2713772727272703</v>
      </c>
      <c r="V5" s="135">
        <v>0.48494001126440728</v>
      </c>
      <c r="W5" s="135">
        <v>0.51505998873559278</v>
      </c>
      <c r="X5" s="135">
        <v>0.20738931417722559</v>
      </c>
      <c r="Y5" s="135">
        <v>9.9255497989418379E-2</v>
      </c>
      <c r="Z5" s="135">
        <v>10.211850909090909</v>
      </c>
      <c r="AA5" s="135">
        <v>32.590909090909093</v>
      </c>
      <c r="AB5" s="135">
        <v>6.5976017845281065</v>
      </c>
      <c r="AM5" s="196" t="s">
        <v>530</v>
      </c>
      <c r="AN5" s="135">
        <v>3.5633499999999962</v>
      </c>
      <c r="AO5" s="135">
        <v>9.9186158823529436</v>
      </c>
      <c r="AP5" s="135">
        <v>0.27274233798974956</v>
      </c>
      <c r="AQ5" s="135">
        <v>0.72725766201025044</v>
      </c>
      <c r="AR5" s="135">
        <v>0.28546720116038266</v>
      </c>
      <c r="AS5" s="135">
        <v>7.7527498522937499E-2</v>
      </c>
      <c r="AT5" s="135">
        <v>13.481965882352942</v>
      </c>
      <c r="AU5" s="135">
        <v>19</v>
      </c>
      <c r="AV5" s="135">
        <v>5.3417552091416232</v>
      </c>
      <c r="AX5" s="355"/>
      <c r="AY5" s="355"/>
      <c r="AZ5" s="355"/>
      <c r="BB5" s="196" t="s">
        <v>530</v>
      </c>
      <c r="BC5" s="135">
        <v>4.9404736363636399</v>
      </c>
      <c r="BD5" s="135">
        <v>5.2713772727272703</v>
      </c>
      <c r="BE5" s="135">
        <v>0.48494001126440728</v>
      </c>
      <c r="BF5" s="135">
        <v>0.51505998873559278</v>
      </c>
      <c r="BG5" s="135">
        <v>0.20738931417722559</v>
      </c>
      <c r="BH5" s="135">
        <v>9.9255497989418379E-2</v>
      </c>
      <c r="BI5" s="135">
        <v>10.211850909090909</v>
      </c>
      <c r="BJ5" s="135">
        <v>32.590909090909093</v>
      </c>
      <c r="BK5" s="135">
        <v>6.5976017845281065</v>
      </c>
      <c r="BR5" s="272"/>
      <c r="BV5" s="196" t="s">
        <v>530</v>
      </c>
      <c r="BW5" s="135">
        <v>3.5633499999999962</v>
      </c>
      <c r="BX5" s="135">
        <v>9.9186158823529436</v>
      </c>
      <c r="BY5" s="135">
        <v>0.27274233798974956</v>
      </c>
      <c r="BZ5" s="135">
        <v>0.72725766201025044</v>
      </c>
      <c r="CA5" s="135">
        <v>0.28546720116038266</v>
      </c>
      <c r="CB5" s="135">
        <v>7.7527498522937499E-2</v>
      </c>
      <c r="CC5" s="135">
        <v>13.481965882352942</v>
      </c>
      <c r="CD5" s="135">
        <v>19</v>
      </c>
      <c r="CE5" s="135">
        <v>5.3417552091416232</v>
      </c>
      <c r="CG5" s="355"/>
      <c r="CH5" s="355"/>
      <c r="CI5" s="355"/>
      <c r="CK5" s="196" t="s">
        <v>530</v>
      </c>
      <c r="CL5" s="135">
        <v>4.9404736363636399</v>
      </c>
      <c r="CM5" s="135">
        <v>5.2713772727272703</v>
      </c>
      <c r="CN5" s="135">
        <v>0.48494001126440728</v>
      </c>
      <c r="CO5" s="135">
        <v>0.51505998873559278</v>
      </c>
      <c r="CP5" s="135">
        <v>0.20738931417722559</v>
      </c>
      <c r="CQ5" s="135">
        <v>9.9255497989418379E-2</v>
      </c>
      <c r="CR5" s="135">
        <v>10.211850909090909</v>
      </c>
      <c r="CS5" s="135">
        <v>32.590909090909093</v>
      </c>
      <c r="CT5" s="135">
        <v>6.5976017845281065</v>
      </c>
    </row>
    <row r="6" spans="4:98" ht="15.65" customHeight="1" x14ac:dyDescent="0.35">
      <c r="D6" s="196" t="s">
        <v>553</v>
      </c>
      <c r="E6" s="135">
        <v>3.58562125</v>
      </c>
      <c r="F6" s="135">
        <v>11.22379875</v>
      </c>
      <c r="G6" s="135">
        <v>0.25316214713720009</v>
      </c>
      <c r="H6" s="135">
        <v>0.74683785286279991</v>
      </c>
      <c r="I6" s="135">
        <v>0.28092828690666388</v>
      </c>
      <c r="J6" s="135">
        <v>7.0665785572465861E-2</v>
      </c>
      <c r="K6" s="135">
        <v>14.809420000000001</v>
      </c>
      <c r="L6" s="135">
        <v>19.375</v>
      </c>
      <c r="M6" s="135">
        <v>5.4137653125770964</v>
      </c>
      <c r="S6" s="205" t="s">
        <v>537</v>
      </c>
      <c r="T6" s="135">
        <v>5.2378816666666692</v>
      </c>
      <c r="U6" s="135">
        <v>5.3906133333333299</v>
      </c>
      <c r="V6" s="135">
        <v>0.49363051445898326</v>
      </c>
      <c r="W6" s="135">
        <v>0.50636948554101668</v>
      </c>
      <c r="X6" s="135">
        <v>0.19364997545602383</v>
      </c>
      <c r="Y6" s="135">
        <v>9.4755171009370365E-2</v>
      </c>
      <c r="Z6" s="135">
        <v>10.628494999999999</v>
      </c>
      <c r="AA6" s="135">
        <v>42.583333333333336</v>
      </c>
      <c r="AB6" s="135">
        <v>8.2480019382485938</v>
      </c>
      <c r="AM6" s="196" t="s">
        <v>553</v>
      </c>
      <c r="AN6" s="135">
        <v>3.58562125</v>
      </c>
      <c r="AO6" s="135">
        <v>11.22379875</v>
      </c>
      <c r="AP6" s="135">
        <v>0.25316214713720009</v>
      </c>
      <c r="AQ6" s="135">
        <v>0.74683785286279991</v>
      </c>
      <c r="AR6" s="135">
        <v>0.28092828690666388</v>
      </c>
      <c r="AS6" s="135">
        <v>7.0665785572465861E-2</v>
      </c>
      <c r="AT6" s="135">
        <v>14.809420000000001</v>
      </c>
      <c r="AU6" s="135">
        <v>19.375</v>
      </c>
      <c r="AV6" s="135">
        <v>5.4137653125770964</v>
      </c>
      <c r="AX6" s="355"/>
      <c r="AY6" s="355"/>
      <c r="AZ6" s="355"/>
      <c r="BB6" s="205" t="s">
        <v>537</v>
      </c>
      <c r="BC6" s="135">
        <v>5.2378816666666692</v>
      </c>
      <c r="BD6" s="135">
        <v>5.3906133333333299</v>
      </c>
      <c r="BE6" s="135">
        <v>0.49363051445898326</v>
      </c>
      <c r="BF6" s="135">
        <v>0.50636948554101668</v>
      </c>
      <c r="BG6" s="135">
        <v>0.19364997545602383</v>
      </c>
      <c r="BH6" s="135">
        <v>9.4755171009370365E-2</v>
      </c>
      <c r="BI6" s="135">
        <v>10.628494999999999</v>
      </c>
      <c r="BJ6" s="135">
        <v>42.583333333333336</v>
      </c>
      <c r="BK6" s="135">
        <v>8.2480019382485938</v>
      </c>
      <c r="BR6" s="272"/>
      <c r="BV6" s="196" t="s">
        <v>553</v>
      </c>
      <c r="BW6" s="135">
        <v>3.58562125</v>
      </c>
      <c r="BX6" s="135">
        <v>11.22379875</v>
      </c>
      <c r="BY6" s="135">
        <v>0.25316214713720009</v>
      </c>
      <c r="BZ6" s="135">
        <v>0.74683785286279991</v>
      </c>
      <c r="CA6" s="135">
        <v>0.28092828690666388</v>
      </c>
      <c r="CB6" s="135">
        <v>7.0665785572465861E-2</v>
      </c>
      <c r="CC6" s="135">
        <v>14.809420000000001</v>
      </c>
      <c r="CD6" s="135">
        <v>19.375</v>
      </c>
      <c r="CE6" s="135">
        <v>5.4137653125770964</v>
      </c>
      <c r="CG6" s="355"/>
      <c r="CH6" s="355"/>
      <c r="CI6" s="355"/>
      <c r="CK6" s="205" t="s">
        <v>537</v>
      </c>
      <c r="CL6" s="135">
        <v>5.2378816666666692</v>
      </c>
      <c r="CM6" s="135">
        <v>5.3906133333333299</v>
      </c>
      <c r="CN6" s="135">
        <v>0.49363051445898326</v>
      </c>
      <c r="CO6" s="135">
        <v>0.50636948554101668</v>
      </c>
      <c r="CP6" s="135">
        <v>0.19364997545602383</v>
      </c>
      <c r="CQ6" s="135">
        <v>9.4755171009370365E-2</v>
      </c>
      <c r="CR6" s="135">
        <v>10.628494999999999</v>
      </c>
      <c r="CS6" s="135">
        <v>42.583333333333336</v>
      </c>
      <c r="CT6" s="135">
        <v>8.2480019382485938</v>
      </c>
    </row>
    <row r="7" spans="4:98" ht="15.65" customHeight="1" x14ac:dyDescent="0.35">
      <c r="D7" s="205" t="s">
        <v>529</v>
      </c>
      <c r="E7" s="135">
        <v>3.4430962499999964</v>
      </c>
      <c r="F7" s="135">
        <v>10.261672500000003</v>
      </c>
      <c r="G7" s="135">
        <v>0.25561485366471526</v>
      </c>
      <c r="H7" s="135">
        <v>0.74438514633528474</v>
      </c>
      <c r="I7" s="135">
        <v>0.29490596554209836</v>
      </c>
      <c r="J7" s="135">
        <v>7.4644118580013866E-2</v>
      </c>
      <c r="K7" s="135">
        <v>13.704768749999999</v>
      </c>
      <c r="L7" s="135">
        <v>20.25</v>
      </c>
      <c r="M7" s="135">
        <v>5.8753885072472283</v>
      </c>
      <c r="S7" s="205" t="s">
        <v>529</v>
      </c>
      <c r="T7" s="135">
        <v>4.9349472727272792</v>
      </c>
      <c r="U7" s="135">
        <v>4.7372936363636313</v>
      </c>
      <c r="V7" s="135">
        <v>0.50942387613272755</v>
      </c>
      <c r="W7" s="135">
        <v>0.49057612386727245</v>
      </c>
      <c r="X7" s="135">
        <v>0.20539966126937551</v>
      </c>
      <c r="Y7" s="135">
        <v>0.10409611172341858</v>
      </c>
      <c r="Z7" s="135">
        <v>9.6722409090909096</v>
      </c>
      <c r="AA7" s="135">
        <v>55</v>
      </c>
      <c r="AB7" s="135">
        <v>11.31665220248694</v>
      </c>
      <c r="AM7" s="205" t="s">
        <v>529</v>
      </c>
      <c r="AN7" s="135">
        <v>3.4430962499999964</v>
      </c>
      <c r="AO7" s="135">
        <v>10.261672500000003</v>
      </c>
      <c r="AP7" s="135">
        <v>0.25561485366471526</v>
      </c>
      <c r="AQ7" s="135">
        <v>0.74438514633528474</v>
      </c>
      <c r="AR7" s="135">
        <v>0.29490596554209836</v>
      </c>
      <c r="AS7" s="135">
        <v>7.4644118580013866E-2</v>
      </c>
      <c r="AT7" s="135">
        <v>13.704768749999999</v>
      </c>
      <c r="AU7" s="135">
        <v>20.25</v>
      </c>
      <c r="AV7" s="135">
        <v>5.8753885072472283</v>
      </c>
      <c r="AX7" s="355"/>
      <c r="AY7" s="355"/>
      <c r="AZ7" s="355"/>
      <c r="BB7" s="205" t="s">
        <v>529</v>
      </c>
      <c r="BC7" s="135">
        <v>4.9349472727272792</v>
      </c>
      <c r="BD7" s="135">
        <v>4.7372936363636313</v>
      </c>
      <c r="BE7" s="135">
        <v>0.50942387613272755</v>
      </c>
      <c r="BF7" s="135">
        <v>0.49057612386727245</v>
      </c>
      <c r="BG7" s="135">
        <v>0.20539966126937551</v>
      </c>
      <c r="BH7" s="135">
        <v>0.10409611172341858</v>
      </c>
      <c r="BI7" s="135">
        <v>9.6722409090909096</v>
      </c>
      <c r="BJ7" s="135">
        <v>55</v>
      </c>
      <c r="BK7" s="135">
        <v>11.31665220248694</v>
      </c>
      <c r="BR7" s="272"/>
      <c r="BV7" s="205" t="s">
        <v>529</v>
      </c>
      <c r="BW7" s="135">
        <v>3.4430962499999964</v>
      </c>
      <c r="BX7" s="135">
        <v>10.261672500000003</v>
      </c>
      <c r="BY7" s="135">
        <v>0.25561485366471526</v>
      </c>
      <c r="BZ7" s="135">
        <v>0.74438514633528474</v>
      </c>
      <c r="CA7" s="135">
        <v>0.29490596554209836</v>
      </c>
      <c r="CB7" s="135">
        <v>7.4644118580013866E-2</v>
      </c>
      <c r="CC7" s="135">
        <v>13.704768749999999</v>
      </c>
      <c r="CD7" s="135">
        <v>20.25</v>
      </c>
      <c r="CE7" s="135">
        <v>5.8753885072472283</v>
      </c>
      <c r="CG7" s="355"/>
      <c r="CH7" s="355"/>
      <c r="CI7" s="355"/>
      <c r="CK7" s="205" t="s">
        <v>529</v>
      </c>
      <c r="CL7" s="135">
        <v>4.9349472727272792</v>
      </c>
      <c r="CM7" s="135">
        <v>4.7372936363636313</v>
      </c>
      <c r="CN7" s="135">
        <v>0.50942387613272755</v>
      </c>
      <c r="CO7" s="135">
        <v>0.49057612386727245</v>
      </c>
      <c r="CP7" s="135">
        <v>0.20539966126937551</v>
      </c>
      <c r="CQ7" s="135">
        <v>0.10409611172341858</v>
      </c>
      <c r="CR7" s="135">
        <v>9.6722409090909096</v>
      </c>
      <c r="CS7" s="135">
        <v>55</v>
      </c>
      <c r="CT7" s="135">
        <v>11.31665220248694</v>
      </c>
    </row>
    <row r="8" spans="4:98" x14ac:dyDescent="0.35">
      <c r="D8" s="196" t="s">
        <v>552</v>
      </c>
      <c r="E8" s="135">
        <v>3.739632857142857</v>
      </c>
      <c r="F8" s="135">
        <v>12.33461142857143</v>
      </c>
      <c r="G8" s="135">
        <v>0.25064535456369624</v>
      </c>
      <c r="H8" s="135">
        <v>0.74935464543630381</v>
      </c>
      <c r="I8" s="135">
        <v>0.27352853983980319</v>
      </c>
      <c r="J8" s="135">
        <v>6.7202510719246975E-2</v>
      </c>
      <c r="K8" s="135">
        <v>16.074244285714286</v>
      </c>
      <c r="L8" s="135">
        <v>20</v>
      </c>
      <c r="M8" s="135">
        <v>5.361953977018298</v>
      </c>
      <c r="S8" s="205" t="s">
        <v>534</v>
      </c>
      <c r="T8" s="135">
        <v>4.4463792307692307</v>
      </c>
      <c r="U8" s="135">
        <v>5.0192792307692304</v>
      </c>
      <c r="V8" s="135">
        <v>0.46770407212112219</v>
      </c>
      <c r="W8" s="135">
        <v>0.53229592787887781</v>
      </c>
      <c r="X8" s="135">
        <v>0.23034949634438448</v>
      </c>
      <c r="Y8" s="135">
        <v>0.10610189814499793</v>
      </c>
      <c r="Z8" s="135">
        <v>9.4656584615384602</v>
      </c>
      <c r="AA8" s="135">
        <v>31.153846153846153</v>
      </c>
      <c r="AB8" s="135">
        <v>7.0608319234489221</v>
      </c>
      <c r="AM8" s="196" t="s">
        <v>552</v>
      </c>
      <c r="AN8" s="135">
        <v>3.739632857142857</v>
      </c>
      <c r="AO8" s="135">
        <v>12.33461142857143</v>
      </c>
      <c r="AP8" s="135">
        <v>0.25064535456369624</v>
      </c>
      <c r="AQ8" s="135">
        <v>0.74935464543630381</v>
      </c>
      <c r="AR8" s="135">
        <v>0.27352853983980319</v>
      </c>
      <c r="AS8" s="135">
        <v>6.7202510719246975E-2</v>
      </c>
      <c r="AT8" s="135">
        <v>16.074244285714286</v>
      </c>
      <c r="AU8" s="135">
        <v>20</v>
      </c>
      <c r="AV8" s="135">
        <v>5.361953977018298</v>
      </c>
      <c r="BB8" s="205" t="s">
        <v>534</v>
      </c>
      <c r="BC8" s="135">
        <v>4.4463792307692307</v>
      </c>
      <c r="BD8" s="135">
        <v>5.0192792307692304</v>
      </c>
      <c r="BE8" s="135">
        <v>0.46770407212112219</v>
      </c>
      <c r="BF8" s="135">
        <v>0.53229592787887781</v>
      </c>
      <c r="BG8" s="135">
        <v>0.23034949634438448</v>
      </c>
      <c r="BH8" s="135">
        <v>0.10610189814499793</v>
      </c>
      <c r="BI8" s="135">
        <v>9.4656584615384602</v>
      </c>
      <c r="BJ8" s="135">
        <v>31.153846153846153</v>
      </c>
      <c r="BK8" s="135">
        <v>7.0608319234489221</v>
      </c>
      <c r="BR8" s="272"/>
      <c r="BV8" s="196" t="s">
        <v>552</v>
      </c>
      <c r="BW8" s="135">
        <v>3.739632857142857</v>
      </c>
      <c r="BX8" s="135">
        <v>12.33461142857143</v>
      </c>
      <c r="BY8" s="135">
        <v>0.25064535456369624</v>
      </c>
      <c r="BZ8" s="135">
        <v>0.74935464543630381</v>
      </c>
      <c r="CA8" s="135">
        <v>0.27352853983980319</v>
      </c>
      <c r="CB8" s="135">
        <v>6.7202510719246975E-2</v>
      </c>
      <c r="CC8" s="135">
        <v>16.074244285714286</v>
      </c>
      <c r="CD8" s="135">
        <v>20</v>
      </c>
      <c r="CE8" s="135">
        <v>5.361953977018298</v>
      </c>
      <c r="CK8" s="205" t="s">
        <v>534</v>
      </c>
      <c r="CL8" s="135">
        <v>4.4463792307692307</v>
      </c>
      <c r="CM8" s="135">
        <v>5.0192792307692304</v>
      </c>
      <c r="CN8" s="135">
        <v>0.46770407212112219</v>
      </c>
      <c r="CO8" s="135">
        <v>0.53229592787887781</v>
      </c>
      <c r="CP8" s="135">
        <v>0.23034949634438448</v>
      </c>
      <c r="CQ8" s="135">
        <v>0.10610189814499793</v>
      </c>
      <c r="CR8" s="135">
        <v>9.4656584615384602</v>
      </c>
      <c r="CS8" s="135">
        <v>31.153846153846153</v>
      </c>
      <c r="CT8" s="135">
        <v>7.0608319234489221</v>
      </c>
    </row>
    <row r="9" spans="4:98" ht="15.65" customHeight="1" x14ac:dyDescent="0.35">
      <c r="D9" s="205" t="s">
        <v>529</v>
      </c>
      <c r="E9" s="135">
        <v>3.5109425000000005</v>
      </c>
      <c r="F9" s="135">
        <v>10.1169075</v>
      </c>
      <c r="G9" s="135">
        <v>0.26157272385362801</v>
      </c>
      <c r="H9" s="135">
        <v>0.73842727614637205</v>
      </c>
      <c r="I9" s="135">
        <v>0.30203540714033772</v>
      </c>
      <c r="J9" s="135">
        <v>7.43805977980556E-2</v>
      </c>
      <c r="K9" s="135">
        <v>13.62785</v>
      </c>
      <c r="L9" s="135">
        <v>19.625</v>
      </c>
      <c r="M9" s="135">
        <v>5.5888752376193107</v>
      </c>
      <c r="S9" s="205" t="s">
        <v>529</v>
      </c>
      <c r="T9" s="135">
        <v>4.9722759999999955</v>
      </c>
      <c r="U9" s="135">
        <v>5.0969340000000045</v>
      </c>
      <c r="V9" s="135">
        <v>0.49380335227509747</v>
      </c>
      <c r="W9" s="135">
        <v>0.50619664772490247</v>
      </c>
      <c r="X9" s="135">
        <v>0.20547870643197483</v>
      </c>
      <c r="Y9" s="135">
        <v>0.10038731812507598</v>
      </c>
      <c r="Z9" s="135">
        <v>10.06921</v>
      </c>
      <c r="AA9" s="135">
        <v>36.799999999999997</v>
      </c>
      <c r="AB9" s="135">
        <v>7.6283531750201972</v>
      </c>
      <c r="AM9" s="276" t="s">
        <v>529</v>
      </c>
      <c r="AN9" s="277">
        <v>3.5109425000000005</v>
      </c>
      <c r="AO9" s="277">
        <v>10.1169075</v>
      </c>
      <c r="AP9" s="277">
        <v>0.26157272385362801</v>
      </c>
      <c r="AQ9" s="277">
        <v>0.73842727614637205</v>
      </c>
      <c r="AR9" s="277">
        <v>0.30203540714033772</v>
      </c>
      <c r="AS9" s="277">
        <v>7.43805977980556E-2</v>
      </c>
      <c r="AT9" s="277">
        <v>13.62785</v>
      </c>
      <c r="AU9" s="277">
        <v>19.625</v>
      </c>
      <c r="AV9" s="277">
        <v>5.5888752376193107</v>
      </c>
      <c r="AW9" s="277"/>
      <c r="AX9" s="356" t="s">
        <v>715</v>
      </c>
      <c r="AY9" s="356"/>
      <c r="AZ9" s="356"/>
      <c r="BA9" s="277"/>
      <c r="BB9" s="276" t="s">
        <v>529</v>
      </c>
      <c r="BC9" s="277">
        <v>4.9722759999999955</v>
      </c>
      <c r="BD9" s="135">
        <v>5.0969340000000045</v>
      </c>
      <c r="BE9" s="135">
        <v>0.49380335227509747</v>
      </c>
      <c r="BF9" s="135">
        <v>0.50619664772490247</v>
      </c>
      <c r="BG9" s="135">
        <v>0.20547870643197483</v>
      </c>
      <c r="BH9" s="135">
        <v>0.10038731812507598</v>
      </c>
      <c r="BI9" s="135">
        <v>10.06921</v>
      </c>
      <c r="BJ9" s="135">
        <v>36.799999999999997</v>
      </c>
      <c r="BK9" s="135">
        <v>7.6283531750201972</v>
      </c>
      <c r="BR9" s="272"/>
      <c r="BV9" s="205" t="s">
        <v>529</v>
      </c>
      <c r="BW9" s="135">
        <v>3.5109425000000005</v>
      </c>
      <c r="BX9" s="135">
        <v>10.1169075</v>
      </c>
      <c r="BY9" s="135">
        <v>0.26157272385362801</v>
      </c>
      <c r="BZ9" s="135">
        <v>0.73842727614637205</v>
      </c>
      <c r="CA9" s="135">
        <v>0.30203540714033772</v>
      </c>
      <c r="CB9" s="135">
        <v>7.43805977980556E-2</v>
      </c>
      <c r="CC9" s="135">
        <v>13.62785</v>
      </c>
      <c r="CD9" s="135">
        <v>19.625</v>
      </c>
      <c r="CE9" s="135">
        <v>5.5888752376193107</v>
      </c>
      <c r="CG9" s="357" t="s">
        <v>715</v>
      </c>
      <c r="CH9" s="357"/>
      <c r="CI9" s="357"/>
      <c r="CK9" s="205" t="s">
        <v>529</v>
      </c>
      <c r="CL9" s="135">
        <v>4.9722759999999955</v>
      </c>
      <c r="CM9" s="135">
        <v>5.0969340000000045</v>
      </c>
      <c r="CN9" s="135">
        <v>0.49380335227509747</v>
      </c>
      <c r="CO9" s="135">
        <v>0.50619664772490247</v>
      </c>
      <c r="CP9" s="135">
        <v>0.20547870643197483</v>
      </c>
      <c r="CQ9" s="135">
        <v>0.10038731812507598</v>
      </c>
      <c r="CR9" s="135">
        <v>10.06921</v>
      </c>
      <c r="CS9" s="135">
        <v>36.799999999999997</v>
      </c>
      <c r="CT9" s="135">
        <v>7.6283531750201972</v>
      </c>
    </row>
    <row r="10" spans="4:98" ht="15.65" customHeight="1" x14ac:dyDescent="0.35">
      <c r="D10" s="196" t="s">
        <v>551</v>
      </c>
      <c r="E10" s="135">
        <v>4.1051220000000024</v>
      </c>
      <c r="F10" s="135">
        <v>7.7234209999999974</v>
      </c>
      <c r="G10" s="135">
        <v>0.35087560891461678</v>
      </c>
      <c r="H10" s="135">
        <v>0.64912439108538333</v>
      </c>
      <c r="I10" s="135">
        <v>0.24744667278397187</v>
      </c>
      <c r="J10" s="135">
        <v>8.5732251436188386E-2</v>
      </c>
      <c r="K10" s="135">
        <v>11.828543</v>
      </c>
      <c r="L10" s="135">
        <v>24.3</v>
      </c>
      <c r="M10" s="135">
        <v>5.915741233131067</v>
      </c>
      <c r="S10" s="205" t="s">
        <v>531</v>
      </c>
      <c r="T10" s="135">
        <v>4.7608800000000011</v>
      </c>
      <c r="U10" s="135">
        <v>5.3768950000000002</v>
      </c>
      <c r="V10" s="135">
        <v>0.46955217718540537</v>
      </c>
      <c r="W10" s="135">
        <v>0.53044782281459468</v>
      </c>
      <c r="X10" s="135">
        <v>0.2125561576369083</v>
      </c>
      <c r="Y10" s="135">
        <v>9.9621040499284705E-2</v>
      </c>
      <c r="Z10" s="135">
        <v>10.137775</v>
      </c>
      <c r="AA10" s="135">
        <v>37.5</v>
      </c>
      <c r="AB10" s="135">
        <v>7.8971690125614709</v>
      </c>
      <c r="AM10" s="275" t="s">
        <v>551</v>
      </c>
      <c r="AN10" s="277">
        <v>4.1051220000000024</v>
      </c>
      <c r="AO10" s="277">
        <v>7.7234209999999974</v>
      </c>
      <c r="AP10" s="277">
        <v>0.35087560891461678</v>
      </c>
      <c r="AQ10" s="277">
        <v>0.64912439108538333</v>
      </c>
      <c r="AR10" s="277">
        <v>0.24744667278397187</v>
      </c>
      <c r="AS10" s="277">
        <v>8.5732251436188386E-2</v>
      </c>
      <c r="AT10" s="277">
        <v>11.828543</v>
      </c>
      <c r="AU10" s="277">
        <v>24.3</v>
      </c>
      <c r="AV10" s="277">
        <v>5.915741233131067</v>
      </c>
      <c r="AW10" s="277"/>
      <c r="AX10" s="356"/>
      <c r="AY10" s="356"/>
      <c r="AZ10" s="356"/>
      <c r="BA10" s="277"/>
      <c r="BB10" s="276" t="s">
        <v>531</v>
      </c>
      <c r="BC10" s="277">
        <v>4.7608800000000011</v>
      </c>
      <c r="BD10" s="135">
        <v>5.3768950000000002</v>
      </c>
      <c r="BE10" s="135">
        <v>0.46955217718540537</v>
      </c>
      <c r="BF10" s="135">
        <v>0.53044782281459468</v>
      </c>
      <c r="BG10" s="135">
        <v>0.2125561576369083</v>
      </c>
      <c r="BH10" s="135">
        <v>9.9621040499284705E-2</v>
      </c>
      <c r="BI10" s="135">
        <v>10.137775</v>
      </c>
      <c r="BJ10" s="135">
        <v>37.5</v>
      </c>
      <c r="BK10" s="135">
        <v>7.8971690125614709</v>
      </c>
      <c r="BR10" s="272"/>
      <c r="BV10" s="196" t="s">
        <v>551</v>
      </c>
      <c r="BW10" s="135">
        <v>4.1051220000000024</v>
      </c>
      <c r="BX10" s="135">
        <v>7.7234209999999974</v>
      </c>
      <c r="BY10" s="135">
        <v>0.35087560891461678</v>
      </c>
      <c r="BZ10" s="135">
        <v>0.64912439108538333</v>
      </c>
      <c r="CA10" s="135">
        <v>0.24744667278397187</v>
      </c>
      <c r="CB10" s="135">
        <v>8.5732251436188386E-2</v>
      </c>
      <c r="CC10" s="135">
        <v>11.828543</v>
      </c>
      <c r="CD10" s="135">
        <v>24.3</v>
      </c>
      <c r="CE10" s="135">
        <v>5.915741233131067</v>
      </c>
      <c r="CG10" s="357"/>
      <c r="CH10" s="357"/>
      <c r="CI10" s="357"/>
      <c r="CK10" s="205" t="s">
        <v>531</v>
      </c>
      <c r="CL10" s="135">
        <v>4.7608800000000011</v>
      </c>
      <c r="CM10" s="135">
        <v>5.3768950000000002</v>
      </c>
      <c r="CN10" s="135">
        <v>0.46955217718540537</v>
      </c>
      <c r="CO10" s="135">
        <v>0.53044782281459468</v>
      </c>
      <c r="CP10" s="135">
        <v>0.2125561576369083</v>
      </c>
      <c r="CQ10" s="135">
        <v>9.9621040499284705E-2</v>
      </c>
      <c r="CR10" s="135">
        <v>10.137775</v>
      </c>
      <c r="CS10" s="135">
        <v>37.5</v>
      </c>
      <c r="CT10" s="135">
        <v>7.8971690125614709</v>
      </c>
    </row>
    <row r="11" spans="4:98" ht="15.65" customHeight="1" x14ac:dyDescent="0.35">
      <c r="D11" s="205" t="s">
        <v>529</v>
      </c>
      <c r="E11" s="135">
        <v>3.8268500000000047</v>
      </c>
      <c r="F11" s="135">
        <v>7.7528999999999968</v>
      </c>
      <c r="G11" s="135">
        <v>0.33982781354615821</v>
      </c>
      <c r="H11" s="135">
        <v>0.6601721864538419</v>
      </c>
      <c r="I11" s="135">
        <v>0.26880883842820802</v>
      </c>
      <c r="J11" s="135">
        <v>8.810409709960039E-2</v>
      </c>
      <c r="K11" s="135">
        <v>11.579750000000001</v>
      </c>
      <c r="L11" s="135">
        <v>22.5</v>
      </c>
      <c r="M11" s="135">
        <v>5.8586202061351038</v>
      </c>
      <c r="S11" s="205" t="s">
        <v>529</v>
      </c>
      <c r="T11" s="135">
        <v>5.2383340000000018</v>
      </c>
      <c r="U11" s="289">
        <v>5.652949999999997</v>
      </c>
      <c r="V11" s="135">
        <v>0.4823524294527714</v>
      </c>
      <c r="W11" s="135">
        <v>0.51764757054722854</v>
      </c>
      <c r="X11" s="135">
        <v>0.19243967926171396</v>
      </c>
      <c r="Y11" s="135">
        <v>9.2462199634765777E-2</v>
      </c>
      <c r="Z11" s="135">
        <v>10.891283999999999</v>
      </c>
      <c r="AA11" s="135">
        <v>41.4</v>
      </c>
      <c r="AB11" s="135">
        <v>7.9109716482177346</v>
      </c>
      <c r="AM11" s="276" t="s">
        <v>529</v>
      </c>
      <c r="AN11" s="277">
        <v>3.8268500000000047</v>
      </c>
      <c r="AO11" s="277">
        <v>7.7528999999999968</v>
      </c>
      <c r="AP11" s="277">
        <v>0.33982781354615821</v>
      </c>
      <c r="AQ11" s="277">
        <v>0.6601721864538419</v>
      </c>
      <c r="AR11" s="277">
        <v>0.26880883842820802</v>
      </c>
      <c r="AS11" s="277">
        <v>8.810409709960039E-2</v>
      </c>
      <c r="AT11" s="277">
        <v>11.579750000000001</v>
      </c>
      <c r="AU11" s="277">
        <v>22.5</v>
      </c>
      <c r="AV11" s="277">
        <v>5.8586202061351038</v>
      </c>
      <c r="AW11" s="277"/>
      <c r="AX11" s="356"/>
      <c r="AY11" s="356"/>
      <c r="AZ11" s="356"/>
      <c r="BA11" s="277"/>
      <c r="BB11" s="276" t="s">
        <v>529</v>
      </c>
      <c r="BC11" s="277">
        <v>5.2383340000000018</v>
      </c>
      <c r="BD11" s="135">
        <v>5.652949999999997</v>
      </c>
      <c r="BE11" s="135">
        <v>0.4823524294527714</v>
      </c>
      <c r="BF11" s="135">
        <v>0.51764757054722854</v>
      </c>
      <c r="BG11" s="135">
        <v>0.19243967926171396</v>
      </c>
      <c r="BH11" s="135">
        <v>9.2462199634765777E-2</v>
      </c>
      <c r="BI11" s="135">
        <v>10.891283999999999</v>
      </c>
      <c r="BJ11" s="135">
        <v>41.4</v>
      </c>
      <c r="BK11" s="135">
        <v>7.9109716482177346</v>
      </c>
      <c r="BR11" s="272"/>
      <c r="BV11" s="205" t="s">
        <v>529</v>
      </c>
      <c r="BW11" s="135">
        <v>3.8268500000000047</v>
      </c>
      <c r="BX11" s="135">
        <v>7.7528999999999968</v>
      </c>
      <c r="BY11" s="135">
        <v>0.33982781354615821</v>
      </c>
      <c r="BZ11" s="135">
        <v>0.6601721864538419</v>
      </c>
      <c r="CA11" s="135">
        <v>0.26880883842820802</v>
      </c>
      <c r="CB11" s="135">
        <v>8.810409709960039E-2</v>
      </c>
      <c r="CC11" s="135">
        <v>11.579750000000001</v>
      </c>
      <c r="CD11" s="135">
        <v>22.5</v>
      </c>
      <c r="CE11" s="135">
        <v>5.8586202061351038</v>
      </c>
      <c r="CG11" s="357"/>
      <c r="CH11" s="357"/>
      <c r="CI11" s="357"/>
      <c r="CK11" s="205" t="s">
        <v>529</v>
      </c>
      <c r="CL11" s="135">
        <v>5.2383340000000018</v>
      </c>
      <c r="CM11" s="135">
        <v>5.652949999999997</v>
      </c>
      <c r="CN11" s="135">
        <v>0.4823524294527714</v>
      </c>
      <c r="CO11" s="135">
        <v>0.51764757054722854</v>
      </c>
      <c r="CP11" s="135">
        <v>0.19243967926171396</v>
      </c>
      <c r="CQ11" s="135">
        <v>9.2462199634765777E-2</v>
      </c>
      <c r="CR11" s="135">
        <v>10.891283999999999</v>
      </c>
      <c r="CS11" s="135">
        <v>41.4</v>
      </c>
      <c r="CT11" s="135">
        <v>7.9109716482177346</v>
      </c>
    </row>
    <row r="12" spans="4:98" ht="15.65" customHeight="1" x14ac:dyDescent="0.35">
      <c r="D12" s="196" t="s">
        <v>550</v>
      </c>
      <c r="E12" s="135">
        <v>4.7955790909090901</v>
      </c>
      <c r="F12" s="135">
        <v>6.1259399999999999</v>
      </c>
      <c r="G12" s="135">
        <v>0.44279873625622268</v>
      </c>
      <c r="H12" s="135">
        <v>0.55720126374377732</v>
      </c>
      <c r="I12" s="135">
        <v>0.20983554630663759</v>
      </c>
      <c r="J12" s="135">
        <v>9.2284446011628468E-2</v>
      </c>
      <c r="K12" s="135">
        <v>10.92151909090909</v>
      </c>
      <c r="L12" s="135">
        <v>31</v>
      </c>
      <c r="M12" s="135">
        <v>6.4742297146758458</v>
      </c>
      <c r="S12" s="237" t="s">
        <v>532</v>
      </c>
      <c r="T12" s="135">
        <v>4.8361627272727299</v>
      </c>
      <c r="U12" s="135">
        <v>6.0020154545454565</v>
      </c>
      <c r="V12" s="135">
        <v>0.44456871342985865</v>
      </c>
      <c r="W12" s="135">
        <v>0.55543128657014129</v>
      </c>
      <c r="X12" s="135">
        <v>0.21281188511947768</v>
      </c>
      <c r="Y12" s="135">
        <v>9.3166225170187425E-2</v>
      </c>
      <c r="Z12" s="135">
        <v>10.838178181818181</v>
      </c>
      <c r="AA12" s="135">
        <v>38.18181818181818</v>
      </c>
      <c r="AB12" s="135">
        <v>7.9329726245301426</v>
      </c>
      <c r="AM12" s="275" t="s">
        <v>550</v>
      </c>
      <c r="AN12" s="277">
        <v>4.7955790909090901</v>
      </c>
      <c r="AO12" s="277">
        <v>6.1259399999999999</v>
      </c>
      <c r="AP12" s="277">
        <v>0.44279873625622268</v>
      </c>
      <c r="AQ12" s="277">
        <v>0.55720126374377732</v>
      </c>
      <c r="AR12" s="277">
        <v>0.20983554630663759</v>
      </c>
      <c r="AS12" s="277">
        <v>9.2284446011628468E-2</v>
      </c>
      <c r="AT12" s="277">
        <v>10.92151909090909</v>
      </c>
      <c r="AU12" s="277">
        <v>31</v>
      </c>
      <c r="AV12" s="277">
        <v>6.4742297146758458</v>
      </c>
      <c r="AW12" s="277"/>
      <c r="AX12" s="356"/>
      <c r="AY12" s="356"/>
      <c r="AZ12" s="356"/>
      <c r="BA12" s="277"/>
      <c r="BB12" s="276" t="s">
        <v>532</v>
      </c>
      <c r="BC12" s="277">
        <v>4.8361627272727299</v>
      </c>
      <c r="BD12" s="135">
        <v>6.0020154545454565</v>
      </c>
      <c r="BE12" s="135">
        <v>0.44456871342985865</v>
      </c>
      <c r="BF12" s="135">
        <v>0.55543128657014129</v>
      </c>
      <c r="BG12" s="135">
        <v>0.21281188511947768</v>
      </c>
      <c r="BH12" s="135">
        <v>9.3166225170187425E-2</v>
      </c>
      <c r="BI12" s="135">
        <v>10.838178181818181</v>
      </c>
      <c r="BJ12" s="135">
        <v>38.18181818181818</v>
      </c>
      <c r="BK12" s="135">
        <v>7.9329726245301426</v>
      </c>
      <c r="BR12" s="272"/>
      <c r="BV12" s="196" t="s">
        <v>550</v>
      </c>
      <c r="BW12" s="135">
        <v>4.7955790909090901</v>
      </c>
      <c r="BX12" s="135">
        <v>6.1259399999999999</v>
      </c>
      <c r="BY12" s="135">
        <v>0.44279873625622268</v>
      </c>
      <c r="BZ12" s="135">
        <v>0.55720126374377732</v>
      </c>
      <c r="CA12" s="135">
        <v>0.20983554630663759</v>
      </c>
      <c r="CB12" s="135">
        <v>9.2284446011628468E-2</v>
      </c>
      <c r="CC12" s="135">
        <v>10.92151909090909</v>
      </c>
      <c r="CD12" s="135">
        <v>31</v>
      </c>
      <c r="CE12" s="135">
        <v>6.4742297146758458</v>
      </c>
      <c r="CG12" s="357"/>
      <c r="CH12" s="357"/>
      <c r="CI12" s="357"/>
      <c r="CK12" s="276" t="s">
        <v>532</v>
      </c>
      <c r="CL12" s="135">
        <v>4.8361627272727299</v>
      </c>
      <c r="CM12" s="135">
        <v>6.0020154545454565</v>
      </c>
      <c r="CN12" s="135">
        <v>0.44456871342985865</v>
      </c>
      <c r="CO12" s="135">
        <v>0.55543128657014129</v>
      </c>
      <c r="CP12" s="135">
        <v>0.21281188511947768</v>
      </c>
      <c r="CQ12" s="135">
        <v>9.3166225170187425E-2</v>
      </c>
      <c r="CR12" s="135">
        <v>10.838178181818181</v>
      </c>
      <c r="CS12" s="135">
        <v>38.18181818181818</v>
      </c>
      <c r="CT12" s="135">
        <v>7.9329726245301426</v>
      </c>
    </row>
    <row r="13" spans="4:98" x14ac:dyDescent="0.35">
      <c r="D13" s="205" t="s">
        <v>529</v>
      </c>
      <c r="E13" s="135">
        <v>3.9294629999999997</v>
      </c>
      <c r="F13" s="135">
        <v>7.2388560000000011</v>
      </c>
      <c r="G13" s="135">
        <v>0.35364976792586206</v>
      </c>
      <c r="H13" s="135">
        <v>0.64635023207413789</v>
      </c>
      <c r="I13" s="135">
        <v>0.25891515450093722</v>
      </c>
      <c r="J13" s="135">
        <v>9.1010289674197872E-2</v>
      </c>
      <c r="K13" s="135">
        <v>11.168319</v>
      </c>
      <c r="L13" s="135">
        <v>24.3</v>
      </c>
      <c r="M13" s="135">
        <v>6.157597951483841</v>
      </c>
      <c r="S13" s="205" t="s">
        <v>529</v>
      </c>
      <c r="T13" s="135">
        <v>5.7255869999999973</v>
      </c>
      <c r="U13" s="289">
        <v>5.5461640000000019</v>
      </c>
      <c r="V13" s="135">
        <v>0.5072773154910255</v>
      </c>
      <c r="W13" s="135">
        <v>0.49272268450897461</v>
      </c>
      <c r="X13" s="135">
        <v>0.17688956897797137</v>
      </c>
      <c r="Y13" s="135">
        <v>8.9268600451972061E-2</v>
      </c>
      <c r="Z13" s="135">
        <v>11.271750999999998</v>
      </c>
      <c r="AA13" s="135">
        <v>47.1</v>
      </c>
      <c r="AB13" s="135">
        <v>8.2280161630566973</v>
      </c>
      <c r="AM13" s="276" t="s">
        <v>529</v>
      </c>
      <c r="AN13" s="277">
        <v>3.9294629999999997</v>
      </c>
      <c r="AO13" s="277">
        <v>7.2388560000000011</v>
      </c>
      <c r="AP13" s="277">
        <v>0.35364976792586206</v>
      </c>
      <c r="AQ13" s="277">
        <v>0.64635023207413789</v>
      </c>
      <c r="AR13" s="277">
        <v>0.25891515450093722</v>
      </c>
      <c r="AS13" s="277">
        <v>9.1010289674197872E-2</v>
      </c>
      <c r="AT13" s="277">
        <v>11.168319</v>
      </c>
      <c r="AU13" s="277">
        <v>24.3</v>
      </c>
      <c r="AV13" s="277">
        <v>6.157597951483841</v>
      </c>
      <c r="AW13" s="277"/>
      <c r="AX13" s="277"/>
      <c r="AY13" s="277"/>
      <c r="AZ13" s="277"/>
      <c r="BA13" s="277"/>
      <c r="BB13" s="276" t="s">
        <v>529</v>
      </c>
      <c r="BC13" s="277">
        <v>5.7255869999999973</v>
      </c>
      <c r="BD13" s="135">
        <v>5.5461640000000019</v>
      </c>
      <c r="BE13" s="135">
        <v>0.5072773154910255</v>
      </c>
      <c r="BF13" s="135">
        <v>0.49272268450897461</v>
      </c>
      <c r="BG13" s="135">
        <v>0.17688956897797137</v>
      </c>
      <c r="BH13" s="135">
        <v>8.9268600451972061E-2</v>
      </c>
      <c r="BI13" s="135">
        <v>11.271750999999998</v>
      </c>
      <c r="BJ13" s="135">
        <v>47.1</v>
      </c>
      <c r="BK13" s="135">
        <v>8.2280161630566973</v>
      </c>
      <c r="BR13" s="272"/>
      <c r="BV13" s="205" t="s">
        <v>529</v>
      </c>
      <c r="BW13" s="135">
        <v>3.9294629999999997</v>
      </c>
      <c r="BX13" s="135">
        <v>7.2388560000000011</v>
      </c>
      <c r="BY13" s="135">
        <v>0.35364976792586206</v>
      </c>
      <c r="BZ13" s="135">
        <v>0.64635023207413789</v>
      </c>
      <c r="CA13" s="135">
        <v>0.25891515450093722</v>
      </c>
      <c r="CB13" s="135">
        <v>9.1010289674197872E-2</v>
      </c>
      <c r="CC13" s="135">
        <v>11.168319</v>
      </c>
      <c r="CD13" s="135">
        <v>24.3</v>
      </c>
      <c r="CE13" s="135">
        <v>6.157597951483841</v>
      </c>
      <c r="CK13" s="205" t="s">
        <v>529</v>
      </c>
      <c r="CL13" s="135">
        <v>5.7255869999999973</v>
      </c>
      <c r="CM13" s="135">
        <v>5.5461640000000019</v>
      </c>
      <c r="CN13" s="135">
        <v>0.5072773154910255</v>
      </c>
      <c r="CO13" s="135">
        <v>0.49272268450897461</v>
      </c>
      <c r="CP13" s="135">
        <v>0.17688956897797137</v>
      </c>
      <c r="CQ13" s="135">
        <v>8.9268600451972061E-2</v>
      </c>
      <c r="CR13" s="135">
        <v>11.271750999999998</v>
      </c>
      <c r="CS13" s="135">
        <v>47.1</v>
      </c>
      <c r="CT13" s="135">
        <v>8.2280161630566973</v>
      </c>
    </row>
    <row r="14" spans="4:98" x14ac:dyDescent="0.35">
      <c r="D14" s="236" t="s">
        <v>549</v>
      </c>
      <c r="E14" s="135">
        <v>4.8687754545454567</v>
      </c>
      <c r="F14" s="135">
        <v>5.5768609090909074</v>
      </c>
      <c r="G14" s="135">
        <v>0.46604121456847575</v>
      </c>
      <c r="H14" s="135">
        <v>0.53395878543152431</v>
      </c>
      <c r="I14" s="135">
        <v>0.20924448309848967</v>
      </c>
      <c r="J14" s="135">
        <v>9.6314608771665491E-2</v>
      </c>
      <c r="K14" s="135">
        <v>10.445636363636362</v>
      </c>
      <c r="L14" s="135">
        <v>30.90909090909091</v>
      </c>
      <c r="M14" s="135">
        <v>6.3373714285379741</v>
      </c>
      <c r="S14" s="205" t="s">
        <v>533</v>
      </c>
      <c r="T14" s="135">
        <v>5.7036855000000006</v>
      </c>
      <c r="U14" s="135">
        <v>6.1518304999999991</v>
      </c>
      <c r="V14" s="135">
        <v>0.48046323385962381</v>
      </c>
      <c r="W14" s="135">
        <v>0.51953676614037636</v>
      </c>
      <c r="X14" s="135">
        <v>0.17935993506482045</v>
      </c>
      <c r="Y14" s="135">
        <v>8.515964191012429E-2</v>
      </c>
      <c r="Z14" s="135">
        <v>11.855516</v>
      </c>
      <c r="AA14" s="135">
        <v>46</v>
      </c>
      <c r="AB14" s="135">
        <v>8.0719004233115879</v>
      </c>
      <c r="AM14" s="275" t="s">
        <v>549</v>
      </c>
      <c r="AN14" s="277">
        <v>4.8687754545454567</v>
      </c>
      <c r="AO14" s="277">
        <v>5.5768609090909074</v>
      </c>
      <c r="AP14" s="277">
        <v>0.46604121456847575</v>
      </c>
      <c r="AQ14" s="277">
        <v>0.53395878543152431</v>
      </c>
      <c r="AR14" s="277">
        <v>0.20924448309848967</v>
      </c>
      <c r="AS14" s="277">
        <v>9.6314608771665491E-2</v>
      </c>
      <c r="AT14" s="277">
        <v>10.445636363636362</v>
      </c>
      <c r="AU14" s="277">
        <v>30.90909090909091</v>
      </c>
      <c r="AV14" s="277">
        <v>6.3373714285379741</v>
      </c>
      <c r="AW14" s="277"/>
      <c r="AX14" s="277"/>
      <c r="AY14" s="277"/>
      <c r="AZ14" s="277"/>
      <c r="BA14" s="277"/>
      <c r="BB14" s="276" t="s">
        <v>533</v>
      </c>
      <c r="BC14" s="277">
        <v>5.7036855000000006</v>
      </c>
      <c r="BD14" s="135">
        <v>6.1518304999999991</v>
      </c>
      <c r="BE14" s="135">
        <v>0.48046323385962381</v>
      </c>
      <c r="BF14" s="135">
        <v>0.51953676614037636</v>
      </c>
      <c r="BG14" s="135">
        <v>0.17935993506482045</v>
      </c>
      <c r="BH14" s="135">
        <v>8.515964191012429E-2</v>
      </c>
      <c r="BI14" s="135">
        <v>11.855516</v>
      </c>
      <c r="BJ14" s="135">
        <v>46</v>
      </c>
      <c r="BK14" s="135">
        <v>8.0719004233115879</v>
      </c>
      <c r="BR14" s="272"/>
      <c r="BV14" s="275" t="s">
        <v>549</v>
      </c>
      <c r="BW14" s="135">
        <v>4.8687754545454567</v>
      </c>
      <c r="BX14" s="135">
        <v>5.5768609090909074</v>
      </c>
      <c r="BY14" s="135">
        <v>0.46604121456847575</v>
      </c>
      <c r="BZ14" s="135">
        <v>0.53395878543152431</v>
      </c>
      <c r="CA14" s="135">
        <v>0.20924448309848967</v>
      </c>
      <c r="CB14" s="135">
        <v>9.6314608771665491E-2</v>
      </c>
      <c r="CC14" s="135">
        <v>10.445636363636362</v>
      </c>
      <c r="CD14" s="135">
        <v>30.90909090909091</v>
      </c>
      <c r="CE14" s="135">
        <v>6.3373714285379741</v>
      </c>
      <c r="CK14" s="205" t="s">
        <v>533</v>
      </c>
      <c r="CL14" s="135">
        <v>5.7036855000000006</v>
      </c>
      <c r="CM14" s="135">
        <v>6.1518304999999991</v>
      </c>
      <c r="CN14" s="135">
        <v>0.48046323385962381</v>
      </c>
      <c r="CO14" s="135">
        <v>0.51953676614037636</v>
      </c>
      <c r="CP14" s="135">
        <v>0.17935993506482045</v>
      </c>
      <c r="CQ14" s="135">
        <v>8.515964191012429E-2</v>
      </c>
      <c r="CR14" s="135">
        <v>11.855516</v>
      </c>
      <c r="CS14" s="135">
        <v>46</v>
      </c>
      <c r="CT14" s="135">
        <v>8.0719004233115879</v>
      </c>
    </row>
    <row r="15" spans="4:98" ht="16" thickBot="1" x14ac:dyDescent="0.4">
      <c r="D15" s="205" t="s">
        <v>529</v>
      </c>
      <c r="E15" s="135">
        <v>4.0290588888888879</v>
      </c>
      <c r="F15" s="289">
        <v>8.0906344444444471</v>
      </c>
      <c r="G15" s="135">
        <v>0.36790189010927321</v>
      </c>
      <c r="H15" s="135">
        <v>0.63209810989072679</v>
      </c>
      <c r="I15" s="135">
        <v>0.26668924373450942</v>
      </c>
      <c r="J15" s="135">
        <v>9.293490352702756E-2</v>
      </c>
      <c r="K15" s="135">
        <v>12.119693333333336</v>
      </c>
      <c r="L15" s="135">
        <v>26.111111111111111</v>
      </c>
      <c r="M15" s="135">
        <v>6.4087811005692048</v>
      </c>
      <c r="S15" s="205" t="s">
        <v>529</v>
      </c>
      <c r="T15" s="135">
        <v>5.755016399999997</v>
      </c>
      <c r="U15" s="289">
        <v>6.0806406000000015</v>
      </c>
      <c r="V15" s="135">
        <v>0.49371363763990117</v>
      </c>
      <c r="W15" s="135">
        <v>0.50628636236009883</v>
      </c>
      <c r="X15" s="135">
        <v>0.18057689302251387</v>
      </c>
      <c r="Y15" s="135">
        <v>8.9290713337567273E-2</v>
      </c>
      <c r="Z15" s="135">
        <v>11.835656999999999</v>
      </c>
      <c r="AA15" s="135">
        <v>46.84</v>
      </c>
      <c r="AB15" s="135">
        <v>8.1522281263953822</v>
      </c>
      <c r="AM15" s="276" t="s">
        <v>529</v>
      </c>
      <c r="AN15" s="277">
        <v>4.0290588888888879</v>
      </c>
      <c r="AO15" s="277">
        <v>8.0906344444444471</v>
      </c>
      <c r="AP15" s="277">
        <v>0.36790189010927321</v>
      </c>
      <c r="AQ15" s="277">
        <v>0.63209810989072679</v>
      </c>
      <c r="AR15" s="277">
        <v>0.26668924373450942</v>
      </c>
      <c r="AS15" s="277">
        <v>9.293490352702756E-2</v>
      </c>
      <c r="AT15" s="277">
        <v>12.119693333333336</v>
      </c>
      <c r="AU15" s="277">
        <v>26.111111111111111</v>
      </c>
      <c r="AV15" s="277">
        <v>6.4087811005692048</v>
      </c>
      <c r="AW15" s="277"/>
      <c r="AX15" s="277"/>
      <c r="AY15" s="277"/>
      <c r="AZ15" s="277"/>
      <c r="BA15" s="277"/>
      <c r="BB15" s="276" t="s">
        <v>529</v>
      </c>
      <c r="BC15" s="277">
        <v>5.755016399999997</v>
      </c>
      <c r="BD15" s="135">
        <v>6.0806406000000015</v>
      </c>
      <c r="BE15" s="135">
        <v>0.49371363763990117</v>
      </c>
      <c r="BF15" s="135">
        <v>0.50628636236009883</v>
      </c>
      <c r="BG15" s="135">
        <v>0.18057689302251387</v>
      </c>
      <c r="BH15" s="135">
        <v>8.9290713337567273E-2</v>
      </c>
      <c r="BI15" s="135">
        <v>11.835656999999999</v>
      </c>
      <c r="BJ15" s="135">
        <v>46.84</v>
      </c>
      <c r="BK15" s="135">
        <v>8.1522281263953822</v>
      </c>
      <c r="BR15" s="272"/>
      <c r="BV15" s="205" t="s">
        <v>529</v>
      </c>
      <c r="BW15" s="135">
        <v>4.0290588888888879</v>
      </c>
      <c r="BX15" s="135">
        <v>8.0906344444444471</v>
      </c>
      <c r="BY15" s="135">
        <v>0.36790189010927321</v>
      </c>
      <c r="BZ15" s="135">
        <v>0.63209810989072679</v>
      </c>
      <c r="CA15" s="135">
        <v>0.26668924373450942</v>
      </c>
      <c r="CB15" s="135">
        <v>9.293490352702756E-2</v>
      </c>
      <c r="CC15" s="135">
        <v>12.119693333333336</v>
      </c>
      <c r="CD15" s="135">
        <v>26.111111111111111</v>
      </c>
      <c r="CE15" s="135">
        <v>6.4087811005692048</v>
      </c>
      <c r="CK15" s="205" t="s">
        <v>529</v>
      </c>
      <c r="CL15" s="135">
        <v>5.755016399999997</v>
      </c>
      <c r="CM15" s="135">
        <v>6.0806406000000015</v>
      </c>
      <c r="CN15" s="135">
        <v>0.49371363763990117</v>
      </c>
      <c r="CO15" s="135">
        <v>0.50628636236009883</v>
      </c>
      <c r="CP15" s="135">
        <v>0.18057689302251387</v>
      </c>
      <c r="CQ15" s="135">
        <v>8.9290713337567273E-2</v>
      </c>
      <c r="CR15" s="135">
        <v>11.835656999999999</v>
      </c>
      <c r="CS15" s="135">
        <v>46.84</v>
      </c>
      <c r="CT15" s="135">
        <v>8.1522281263953822</v>
      </c>
    </row>
    <row r="16" spans="4:98" ht="16" thickBot="1" x14ac:dyDescent="0.4">
      <c r="D16" s="205"/>
      <c r="O16" s="208" t="s">
        <v>529</v>
      </c>
      <c r="P16" s="209" t="s">
        <v>528</v>
      </c>
      <c r="Q16" s="210"/>
      <c r="S16" s="205"/>
      <c r="AM16" s="276"/>
      <c r="AN16" s="277"/>
      <c r="AO16" s="277"/>
      <c r="AP16" s="277"/>
      <c r="AQ16" s="277"/>
      <c r="AR16" s="277"/>
      <c r="AS16" s="277"/>
      <c r="AT16" s="277"/>
      <c r="AU16" s="277"/>
      <c r="AV16" s="277"/>
      <c r="AW16" s="277"/>
      <c r="AX16" s="279" t="s">
        <v>529</v>
      </c>
      <c r="AY16" s="280" t="s">
        <v>528</v>
      </c>
      <c r="AZ16" s="281"/>
      <c r="BA16" s="277"/>
      <c r="BB16" s="276"/>
      <c r="BC16" s="277"/>
      <c r="BR16" s="272"/>
      <c r="BV16" s="205"/>
      <c r="CG16" s="208" t="s">
        <v>529</v>
      </c>
      <c r="CH16" s="209" t="s">
        <v>528</v>
      </c>
      <c r="CI16" s="210"/>
      <c r="CK16" s="205"/>
    </row>
    <row r="17" spans="4:98" x14ac:dyDescent="0.35">
      <c r="D17" s="205"/>
      <c r="O17" s="213"/>
      <c r="P17" s="170"/>
      <c r="Q17" s="4"/>
      <c r="S17" s="205"/>
      <c r="AM17" s="205"/>
      <c r="AX17" s="213"/>
      <c r="AY17" s="170"/>
      <c r="AZ17" s="4"/>
      <c r="BB17" s="205"/>
      <c r="BR17" s="272"/>
      <c r="BV17" s="205"/>
      <c r="CG17" s="213"/>
      <c r="CH17" s="170"/>
      <c r="CI17" s="4"/>
      <c r="CK17" s="205"/>
    </row>
    <row r="18" spans="4:98" x14ac:dyDescent="0.35">
      <c r="D18" s="205" t="s">
        <v>577</v>
      </c>
      <c r="O18" s="213"/>
      <c r="P18" s="170"/>
      <c r="Q18" s="4"/>
      <c r="S18" s="205" t="s">
        <v>577</v>
      </c>
      <c r="AM18" s="205" t="s">
        <v>577</v>
      </c>
      <c r="AX18" s="213"/>
      <c r="AY18" s="170"/>
      <c r="AZ18" s="4"/>
      <c r="BB18" s="205" t="s">
        <v>577</v>
      </c>
      <c r="BR18" s="272"/>
      <c r="BV18" s="205" t="s">
        <v>577</v>
      </c>
      <c r="CG18" s="213"/>
      <c r="CH18" s="170"/>
      <c r="CI18" s="4"/>
      <c r="CK18" s="205" t="s">
        <v>577</v>
      </c>
    </row>
    <row r="19" spans="4:98" x14ac:dyDescent="0.35">
      <c r="D19" s="196" t="s">
        <v>530</v>
      </c>
      <c r="E19" s="135">
        <f>1-((E5-E5)/E5)</f>
        <v>1</v>
      </c>
      <c r="F19" s="135">
        <f t="shared" ref="F19:M19" si="0">1-((F5-F5)/F5)</f>
        <v>1</v>
      </c>
      <c r="G19" s="135">
        <f t="shared" si="0"/>
        <v>1</v>
      </c>
      <c r="H19" s="135">
        <f t="shared" si="0"/>
        <v>1</v>
      </c>
      <c r="I19" s="135">
        <f t="shared" si="0"/>
        <v>1</v>
      </c>
      <c r="J19" s="135">
        <f t="shared" si="0"/>
        <v>1</v>
      </c>
      <c r="K19" s="135">
        <f t="shared" si="0"/>
        <v>1</v>
      </c>
      <c r="L19" s="135">
        <f t="shared" si="0"/>
        <v>1</v>
      </c>
      <c r="M19" s="135">
        <f t="shared" si="0"/>
        <v>1</v>
      </c>
      <c r="O19" s="213"/>
      <c r="P19" s="170"/>
      <c r="Q19" s="4"/>
      <c r="S19" s="196" t="s">
        <v>530</v>
      </c>
      <c r="T19" s="135">
        <f>1-((T5-T5)/T5)</f>
        <v>1</v>
      </c>
      <c r="U19" s="135">
        <f t="shared" ref="U19:AB19" si="1">1-((U5-U5)/U5)</f>
        <v>1</v>
      </c>
      <c r="V19" s="135">
        <f t="shared" si="1"/>
        <v>1</v>
      </c>
      <c r="W19" s="135">
        <f t="shared" si="1"/>
        <v>1</v>
      </c>
      <c r="X19" s="135">
        <f t="shared" si="1"/>
        <v>1</v>
      </c>
      <c r="Y19" s="135">
        <f t="shared" si="1"/>
        <v>1</v>
      </c>
      <c r="Z19" s="135">
        <f t="shared" si="1"/>
        <v>1</v>
      </c>
      <c r="AA19" s="135">
        <f t="shared" si="1"/>
        <v>1</v>
      </c>
      <c r="AB19" s="135">
        <f t="shared" si="1"/>
        <v>1</v>
      </c>
      <c r="AM19" s="196" t="s">
        <v>530</v>
      </c>
      <c r="AN19" s="135">
        <f>1-((AN5-AN5)/AN5)</f>
        <v>1</v>
      </c>
      <c r="AO19" s="135">
        <f t="shared" ref="AO19:AV19" si="2">1-((AO5-AO5)/AO5)</f>
        <v>1</v>
      </c>
      <c r="AP19" s="135">
        <f t="shared" si="2"/>
        <v>1</v>
      </c>
      <c r="AQ19" s="135">
        <f t="shared" si="2"/>
        <v>1</v>
      </c>
      <c r="AR19" s="135">
        <f t="shared" si="2"/>
        <v>1</v>
      </c>
      <c r="AS19" s="135">
        <f t="shared" si="2"/>
        <v>1</v>
      </c>
      <c r="AT19" s="135">
        <f t="shared" si="2"/>
        <v>1</v>
      </c>
      <c r="AU19" s="135">
        <f t="shared" si="2"/>
        <v>1</v>
      </c>
      <c r="AV19" s="135">
        <f t="shared" si="2"/>
        <v>1</v>
      </c>
      <c r="AX19" s="213"/>
      <c r="AY19" s="170"/>
      <c r="AZ19" s="4"/>
      <c r="BB19" s="196" t="s">
        <v>530</v>
      </c>
      <c r="BC19" s="135">
        <f>1-((BC5-BC5)/BC5)</f>
        <v>1</v>
      </c>
      <c r="BD19" s="135">
        <f t="shared" ref="BD19:BK19" si="3">1-((BD5-BD5)/BD5)</f>
        <v>1</v>
      </c>
      <c r="BE19" s="135">
        <f t="shared" si="3"/>
        <v>1</v>
      </c>
      <c r="BF19" s="135">
        <f t="shared" si="3"/>
        <v>1</v>
      </c>
      <c r="BG19" s="135">
        <f t="shared" si="3"/>
        <v>1</v>
      </c>
      <c r="BH19" s="135">
        <f t="shared" si="3"/>
        <v>1</v>
      </c>
      <c r="BI19" s="135">
        <f t="shared" si="3"/>
        <v>1</v>
      </c>
      <c r="BJ19" s="135">
        <f t="shared" si="3"/>
        <v>1</v>
      </c>
      <c r="BK19" s="135">
        <f t="shared" si="3"/>
        <v>1</v>
      </c>
      <c r="BR19" s="272"/>
      <c r="BV19" s="196" t="s">
        <v>530</v>
      </c>
      <c r="BW19" s="135">
        <f>1-((BW5-BW5)/BW5)</f>
        <v>1</v>
      </c>
      <c r="BX19" s="135">
        <f t="shared" ref="BX19:CE19" si="4">1-((BX5-BX5)/BX5)</f>
        <v>1</v>
      </c>
      <c r="BY19" s="135">
        <f t="shared" si="4"/>
        <v>1</v>
      </c>
      <c r="BZ19" s="135">
        <f t="shared" si="4"/>
        <v>1</v>
      </c>
      <c r="CA19" s="135">
        <f t="shared" si="4"/>
        <v>1</v>
      </c>
      <c r="CB19" s="135">
        <f t="shared" si="4"/>
        <v>1</v>
      </c>
      <c r="CC19" s="135">
        <f t="shared" si="4"/>
        <v>1</v>
      </c>
      <c r="CD19" s="135">
        <f t="shared" si="4"/>
        <v>1</v>
      </c>
      <c r="CE19" s="135">
        <f t="shared" si="4"/>
        <v>1</v>
      </c>
      <c r="CG19" s="213"/>
      <c r="CH19" s="170"/>
      <c r="CI19" s="4"/>
      <c r="CK19" s="196" t="s">
        <v>530</v>
      </c>
      <c r="CL19" s="135">
        <f>1-((CL5-CL5)/CL5)</f>
        <v>1</v>
      </c>
      <c r="CM19" s="135">
        <f t="shared" ref="CM19:CT19" si="5">1-((CM5-CM5)/CM5)</f>
        <v>1</v>
      </c>
      <c r="CN19" s="135">
        <f t="shared" si="5"/>
        <v>1</v>
      </c>
      <c r="CO19" s="135">
        <f t="shared" si="5"/>
        <v>1</v>
      </c>
      <c r="CP19" s="135">
        <f t="shared" si="5"/>
        <v>1</v>
      </c>
      <c r="CQ19" s="135">
        <f t="shared" si="5"/>
        <v>1</v>
      </c>
      <c r="CR19" s="135">
        <f t="shared" si="5"/>
        <v>1</v>
      </c>
      <c r="CS19" s="135">
        <f t="shared" si="5"/>
        <v>1</v>
      </c>
      <c r="CT19" s="135">
        <f t="shared" si="5"/>
        <v>1</v>
      </c>
    </row>
    <row r="20" spans="4:98" x14ac:dyDescent="0.35">
      <c r="D20" s="196" t="s">
        <v>553</v>
      </c>
      <c r="E20" s="135">
        <f>1-((E5-E6)/E5)</f>
        <v>1.0062500876983738</v>
      </c>
      <c r="F20" s="135">
        <f t="shared" ref="F20:M20" si="6">1-((F5-F6)/F5)</f>
        <v>1.1315892139718022</v>
      </c>
      <c r="G20" s="135">
        <f t="shared" si="6"/>
        <v>0.92820993250675532</v>
      </c>
      <c r="H20" s="135">
        <f t="shared" si="6"/>
        <v>1.0269233201317218</v>
      </c>
      <c r="I20" s="135">
        <f t="shared" si="6"/>
        <v>0.98410004989971267</v>
      </c>
      <c r="J20" s="135">
        <f t="shared" si="6"/>
        <v>0.91149317234269445</v>
      </c>
      <c r="K20" s="135">
        <f t="shared" si="6"/>
        <v>1.0984614654295051</v>
      </c>
      <c r="L20" s="135">
        <f t="shared" si="6"/>
        <v>1.0197368421052631</v>
      </c>
      <c r="M20" s="135">
        <f t="shared" si="6"/>
        <v>1.0134806071443032</v>
      </c>
      <c r="O20" s="213"/>
      <c r="P20" s="170"/>
      <c r="Q20" s="4"/>
      <c r="S20" s="196" t="s">
        <v>553</v>
      </c>
      <c r="T20" s="135">
        <f>1-((T5-T6)/T5)</f>
        <v>1.0601982830378853</v>
      </c>
      <c r="U20" s="135">
        <f t="shared" ref="U20:AB20" si="7">1-((U5-U6)/U5)</f>
        <v>1.0226195270110823</v>
      </c>
      <c r="V20" s="135">
        <f t="shared" si="7"/>
        <v>1.017920779875261</v>
      </c>
      <c r="W20" s="135">
        <f t="shared" si="7"/>
        <v>0.98312720190921798</v>
      </c>
      <c r="X20" s="135">
        <f t="shared" si="7"/>
        <v>0.93375098048947336</v>
      </c>
      <c r="Y20" s="135">
        <f t="shared" si="7"/>
        <v>0.95465916678461693</v>
      </c>
      <c r="Z20" s="135">
        <f t="shared" si="7"/>
        <v>1.0408000561913981</v>
      </c>
      <c r="AA20" s="135">
        <f t="shared" si="7"/>
        <v>1.3066015806601581</v>
      </c>
      <c r="AB20" s="135">
        <f t="shared" si="7"/>
        <v>1.2501515259060958</v>
      </c>
      <c r="AM20" s="196" t="s">
        <v>553</v>
      </c>
      <c r="AN20" s="135">
        <f>1-((AN5-AN6)/AN5)</f>
        <v>1.0062500876983749</v>
      </c>
      <c r="AO20" s="135">
        <f t="shared" ref="AO20:AV20" si="8">1-((AO5-AO6)/AO5)</f>
        <v>1.1315892139718022</v>
      </c>
      <c r="AP20" s="135">
        <f t="shared" si="8"/>
        <v>0.92820993250675532</v>
      </c>
      <c r="AQ20" s="135">
        <f t="shared" si="8"/>
        <v>1.0269233201317218</v>
      </c>
      <c r="AR20" s="135">
        <f t="shared" si="8"/>
        <v>0.98410004989971267</v>
      </c>
      <c r="AS20" s="135">
        <f t="shared" si="8"/>
        <v>0.91149317234269445</v>
      </c>
      <c r="AT20" s="135">
        <f t="shared" si="8"/>
        <v>1.0984614654295051</v>
      </c>
      <c r="AU20" s="135">
        <f t="shared" si="8"/>
        <v>1.0197368421052631</v>
      </c>
      <c r="AV20" s="135">
        <f t="shared" si="8"/>
        <v>1.0134806071443032</v>
      </c>
      <c r="AX20" s="213"/>
      <c r="AY20" s="170"/>
      <c r="AZ20" s="4"/>
      <c r="BB20" s="196" t="s">
        <v>553</v>
      </c>
      <c r="BC20" s="135">
        <f>1-((BC5-BC6)/BC5)</f>
        <v>1.0601982830378853</v>
      </c>
      <c r="BD20" s="135">
        <f t="shared" ref="BD20:BK20" si="9">1-((BD5-BD6)/BD5)</f>
        <v>1.0226195270110823</v>
      </c>
      <c r="BE20" s="135">
        <f t="shared" si="9"/>
        <v>1.017920779875261</v>
      </c>
      <c r="BF20" s="135">
        <f t="shared" si="9"/>
        <v>0.98312720190921798</v>
      </c>
      <c r="BG20" s="135">
        <f t="shared" si="9"/>
        <v>0.93375098048947336</v>
      </c>
      <c r="BH20" s="135">
        <f t="shared" si="9"/>
        <v>0.95465916678461693</v>
      </c>
      <c r="BI20" s="135">
        <f t="shared" si="9"/>
        <v>1.0408000561913981</v>
      </c>
      <c r="BJ20" s="135">
        <f t="shared" si="9"/>
        <v>1.3066015806601581</v>
      </c>
      <c r="BK20" s="135">
        <f t="shared" si="9"/>
        <v>1.2501515259060958</v>
      </c>
      <c r="BR20" s="272"/>
      <c r="BV20" s="196" t="s">
        <v>553</v>
      </c>
      <c r="BW20" s="135">
        <f>1-((BW5-BW6)/BW5)</f>
        <v>1.0062500876983749</v>
      </c>
      <c r="BX20" s="135">
        <f t="shared" ref="BX20:CE20" si="10">1-((BX5-BX6)/BX5)</f>
        <v>1.1315892139718022</v>
      </c>
      <c r="BY20" s="135">
        <f t="shared" si="10"/>
        <v>0.92820993250675532</v>
      </c>
      <c r="BZ20" s="135">
        <f t="shared" si="10"/>
        <v>1.0269233201317218</v>
      </c>
      <c r="CA20" s="135">
        <f t="shared" si="10"/>
        <v>0.98410004989971267</v>
      </c>
      <c r="CB20" s="135">
        <f t="shared" si="10"/>
        <v>0.91149317234269445</v>
      </c>
      <c r="CC20" s="135">
        <f t="shared" si="10"/>
        <v>1.0984614654295051</v>
      </c>
      <c r="CD20" s="135">
        <f t="shared" si="10"/>
        <v>1.0197368421052631</v>
      </c>
      <c r="CE20" s="135">
        <f t="shared" si="10"/>
        <v>1.0134806071443032</v>
      </c>
      <c r="CG20" s="213"/>
      <c r="CH20" s="170"/>
      <c r="CI20" s="4"/>
      <c r="CK20" s="196" t="s">
        <v>553</v>
      </c>
      <c r="CL20" s="135">
        <f>1-((CL5-CL6)/CL5)</f>
        <v>1.0601982830378853</v>
      </c>
      <c r="CM20" s="135">
        <f t="shared" ref="CM20:CT20" si="11">1-((CM5-CM6)/CM5)</f>
        <v>1.0226195270110823</v>
      </c>
      <c r="CN20" s="135">
        <f t="shared" si="11"/>
        <v>1.017920779875261</v>
      </c>
      <c r="CO20" s="135">
        <f t="shared" si="11"/>
        <v>0.98312720190921798</v>
      </c>
      <c r="CP20" s="135">
        <f t="shared" si="11"/>
        <v>0.93375098048947336</v>
      </c>
      <c r="CQ20" s="135">
        <f t="shared" si="11"/>
        <v>0.95465916678461693</v>
      </c>
      <c r="CR20" s="135">
        <f t="shared" si="11"/>
        <v>1.0408000561913981</v>
      </c>
      <c r="CS20" s="135">
        <f t="shared" si="11"/>
        <v>1.3066015806601581</v>
      </c>
      <c r="CT20" s="135">
        <f t="shared" si="11"/>
        <v>1.2501515259060958</v>
      </c>
    </row>
    <row r="21" spans="4:98" x14ac:dyDescent="0.35">
      <c r="D21" s="205" t="s">
        <v>529</v>
      </c>
      <c r="E21" s="135">
        <f>1-((E5-E7)/E5)</f>
        <v>0.9662526134115359</v>
      </c>
      <c r="F21" s="135">
        <f t="shared" ref="F21:M21" si="12">1-((F5-F7)/F5)</f>
        <v>1.034587146202266</v>
      </c>
      <c r="G21" s="135">
        <f t="shared" si="12"/>
        <v>0.93720269302055337</v>
      </c>
      <c r="H21" s="135">
        <f t="shared" si="12"/>
        <v>1.0235507787950853</v>
      </c>
      <c r="I21" s="135">
        <f t="shared" si="12"/>
        <v>1.033064269181708</v>
      </c>
      <c r="J21" s="135">
        <f t="shared" si="12"/>
        <v>0.9628082938588487</v>
      </c>
      <c r="K21" s="135">
        <f t="shared" si="12"/>
        <v>1.0165259925437649</v>
      </c>
      <c r="L21" s="135">
        <f t="shared" si="12"/>
        <v>1.0657894736842106</v>
      </c>
      <c r="M21" s="135">
        <f t="shared" si="12"/>
        <v>1.099898493512464</v>
      </c>
      <c r="O21" s="213"/>
      <c r="P21" s="170"/>
      <c r="Q21" s="4"/>
      <c r="S21" s="205" t="s">
        <v>529</v>
      </c>
      <c r="T21" s="135">
        <f>1-((T5-T7)/T5)</f>
        <v>0.99888141015555987</v>
      </c>
      <c r="U21" s="135">
        <f t="shared" ref="U21:AB21" si="13">1-((U5-U7)/U5)</f>
        <v>0.8986823350461276</v>
      </c>
      <c r="V21" s="135">
        <f t="shared" si="13"/>
        <v>1.0504884404247905</v>
      </c>
      <c r="W21" s="135">
        <f t="shared" si="13"/>
        <v>0.95246405194776418</v>
      </c>
      <c r="X21" s="135">
        <f t="shared" si="13"/>
        <v>0.9904061937050922</v>
      </c>
      <c r="Y21" s="135">
        <f t="shared" si="13"/>
        <v>1.0487692252021774</v>
      </c>
      <c r="Z21" s="135">
        <f t="shared" si="13"/>
        <v>0.94715845297744972</v>
      </c>
      <c r="AA21" s="135">
        <f t="shared" si="13"/>
        <v>1.6875871687587167</v>
      </c>
      <c r="AB21" s="135">
        <f t="shared" si="13"/>
        <v>1.7152675429768096</v>
      </c>
      <c r="AM21" s="205" t="s">
        <v>529</v>
      </c>
      <c r="AN21" s="135">
        <f>1-((AN5-AN7)/AN5)</f>
        <v>0.9662526134115369</v>
      </c>
      <c r="AO21" s="135">
        <f t="shared" ref="AO21:AV21" si="14">1-((AO5-AO7)/AO5)</f>
        <v>1.034587146202266</v>
      </c>
      <c r="AP21" s="135">
        <f t="shared" si="14"/>
        <v>0.93720269302055337</v>
      </c>
      <c r="AQ21" s="135">
        <f t="shared" si="14"/>
        <v>1.0235507787950853</v>
      </c>
      <c r="AR21" s="135">
        <f t="shared" si="14"/>
        <v>1.033064269181708</v>
      </c>
      <c r="AS21" s="135">
        <f t="shared" si="14"/>
        <v>0.9628082938588487</v>
      </c>
      <c r="AT21" s="135">
        <f t="shared" si="14"/>
        <v>1.0165259925437649</v>
      </c>
      <c r="AU21" s="135">
        <f t="shared" si="14"/>
        <v>1.0657894736842106</v>
      </c>
      <c r="AV21" s="135">
        <f t="shared" si="14"/>
        <v>1.099898493512464</v>
      </c>
      <c r="AX21" s="213"/>
      <c r="AY21" s="170"/>
      <c r="AZ21" s="4"/>
      <c r="BB21" s="205" t="s">
        <v>529</v>
      </c>
      <c r="BC21" s="135">
        <f>1-((BC5-BC7)/BC5)</f>
        <v>0.99888141015555987</v>
      </c>
      <c r="BD21" s="135">
        <f t="shared" ref="BD21:BK21" si="15">1-((BD5-BD7)/BD5)</f>
        <v>0.8986823350461276</v>
      </c>
      <c r="BE21" s="135">
        <f t="shared" si="15"/>
        <v>1.0504884404247905</v>
      </c>
      <c r="BF21" s="135">
        <f t="shared" si="15"/>
        <v>0.95246405194776418</v>
      </c>
      <c r="BG21" s="135">
        <f t="shared" si="15"/>
        <v>0.9904061937050922</v>
      </c>
      <c r="BH21" s="135">
        <f t="shared" si="15"/>
        <v>1.0487692252021774</v>
      </c>
      <c r="BI21" s="135">
        <f t="shared" si="15"/>
        <v>0.94715845297744972</v>
      </c>
      <c r="BJ21" s="135">
        <f t="shared" si="15"/>
        <v>1.6875871687587167</v>
      </c>
      <c r="BK21" s="135">
        <f t="shared" si="15"/>
        <v>1.7152675429768096</v>
      </c>
      <c r="BR21" s="272"/>
      <c r="BV21" s="205" t="s">
        <v>529</v>
      </c>
      <c r="BW21" s="135">
        <f>1-((BW5-BW7)/BW5)</f>
        <v>0.9662526134115369</v>
      </c>
      <c r="BX21" s="135">
        <f t="shared" ref="BX21:CE21" si="16">1-((BX5-BX7)/BX5)</f>
        <v>1.034587146202266</v>
      </c>
      <c r="BY21" s="135">
        <f t="shared" si="16"/>
        <v>0.93720269302055337</v>
      </c>
      <c r="BZ21" s="135">
        <f t="shared" si="16"/>
        <v>1.0235507787950853</v>
      </c>
      <c r="CA21" s="135">
        <f t="shared" si="16"/>
        <v>1.033064269181708</v>
      </c>
      <c r="CB21" s="135">
        <f t="shared" si="16"/>
        <v>0.9628082938588487</v>
      </c>
      <c r="CC21" s="135">
        <f t="shared" si="16"/>
        <v>1.0165259925437649</v>
      </c>
      <c r="CD21" s="135">
        <f t="shared" si="16"/>
        <v>1.0657894736842106</v>
      </c>
      <c r="CE21" s="135">
        <f t="shared" si="16"/>
        <v>1.099898493512464</v>
      </c>
      <c r="CG21" s="213"/>
      <c r="CH21" s="170"/>
      <c r="CI21" s="4"/>
      <c r="CK21" s="205" t="s">
        <v>529</v>
      </c>
      <c r="CL21" s="135">
        <f>1-((CL5-CL7)/CL5)</f>
        <v>0.99888141015555987</v>
      </c>
      <c r="CM21" s="135">
        <f t="shared" ref="CM21:CT21" si="17">1-((CM5-CM7)/CM5)</f>
        <v>0.8986823350461276</v>
      </c>
      <c r="CN21" s="135">
        <f t="shared" si="17"/>
        <v>1.0504884404247905</v>
      </c>
      <c r="CO21" s="135">
        <f t="shared" si="17"/>
        <v>0.95246405194776418</v>
      </c>
      <c r="CP21" s="135">
        <f t="shared" si="17"/>
        <v>0.9904061937050922</v>
      </c>
      <c r="CQ21" s="135">
        <f t="shared" si="17"/>
        <v>1.0487692252021774</v>
      </c>
      <c r="CR21" s="135">
        <f t="shared" si="17"/>
        <v>0.94715845297744972</v>
      </c>
      <c r="CS21" s="135">
        <f t="shared" si="17"/>
        <v>1.6875871687587167</v>
      </c>
      <c r="CT21" s="135">
        <f t="shared" si="17"/>
        <v>1.7152675429768096</v>
      </c>
    </row>
    <row r="22" spans="4:98" x14ac:dyDescent="0.35">
      <c r="D22" s="196" t="s">
        <v>552</v>
      </c>
      <c r="E22" s="135">
        <f>1-((E5-E8)/E5)</f>
        <v>1.0494711036364257</v>
      </c>
      <c r="F22" s="135">
        <f t="shared" ref="F22:M22" si="18">1-((F5-F8)/F5)</f>
        <v>1.243581924622869</v>
      </c>
      <c r="G22" s="135">
        <f t="shared" si="18"/>
        <v>0.91898220280386467</v>
      </c>
      <c r="H22" s="135">
        <f t="shared" si="18"/>
        <v>1.0303839816069782</v>
      </c>
      <c r="I22" s="135">
        <f t="shared" si="18"/>
        <v>0.95817851833047529</v>
      </c>
      <c r="J22" s="135">
        <f t="shared" si="18"/>
        <v>0.86682160523164897</v>
      </c>
      <c r="K22" s="135">
        <f t="shared" si="18"/>
        <v>1.1922774783723846</v>
      </c>
      <c r="L22" s="135">
        <f t="shared" si="18"/>
        <v>1.0526315789473684</v>
      </c>
      <c r="M22" s="135">
        <f t="shared" si="18"/>
        <v>1.0037812979228453</v>
      </c>
      <c r="S22" s="196" t="s">
        <v>552</v>
      </c>
      <c r="T22" s="135">
        <f>1-((T5-T8)/T5)</f>
        <v>0.89999047824935263</v>
      </c>
      <c r="U22" s="135">
        <f t="shared" ref="U22:AB22" si="19">1-((U5-U8)/U5)</f>
        <v>0.95217605780896597</v>
      </c>
      <c r="V22" s="135">
        <f t="shared" si="19"/>
        <v>0.96445758497356204</v>
      </c>
      <c r="W22" s="135">
        <f t="shared" si="19"/>
        <v>1.0334639450165739</v>
      </c>
      <c r="X22" s="135">
        <f t="shared" si="19"/>
        <v>1.1107105361635854</v>
      </c>
      <c r="Y22" s="135">
        <f t="shared" si="19"/>
        <v>1.0689775407334055</v>
      </c>
      <c r="Z22" s="135">
        <f t="shared" si="19"/>
        <v>0.92692877577284594</v>
      </c>
      <c r="AA22" s="135">
        <f t="shared" si="19"/>
        <v>0.95590601866752489</v>
      </c>
      <c r="AB22" s="135">
        <f t="shared" si="19"/>
        <v>1.0702118972998835</v>
      </c>
      <c r="AM22" s="196" t="s">
        <v>552</v>
      </c>
      <c r="AN22" s="135">
        <f>1-((AN5-AN8)/AN5)</f>
        <v>1.0494711036364266</v>
      </c>
      <c r="AO22" s="135">
        <f t="shared" ref="AO22:AV22" si="20">1-((AO5-AO8)/AO5)</f>
        <v>1.243581924622869</v>
      </c>
      <c r="AP22" s="135">
        <f t="shared" si="20"/>
        <v>0.91898220280386467</v>
      </c>
      <c r="AQ22" s="135">
        <f t="shared" si="20"/>
        <v>1.0303839816069782</v>
      </c>
      <c r="AR22" s="135">
        <f t="shared" si="20"/>
        <v>0.95817851833047529</v>
      </c>
      <c r="AS22" s="135">
        <f t="shared" si="20"/>
        <v>0.86682160523164897</v>
      </c>
      <c r="AT22" s="135">
        <f t="shared" si="20"/>
        <v>1.1922774783723846</v>
      </c>
      <c r="AU22" s="135">
        <f t="shared" si="20"/>
        <v>1.0526315789473684</v>
      </c>
      <c r="AV22" s="135">
        <f t="shared" si="20"/>
        <v>1.0037812979228453</v>
      </c>
      <c r="BB22" s="196" t="s">
        <v>552</v>
      </c>
      <c r="BC22" s="135">
        <f>1-((BC5-BC8)/BC5)</f>
        <v>0.89999047824935263</v>
      </c>
      <c r="BD22" s="135">
        <f t="shared" ref="BD22:BK22" si="21">1-((BD5-BD8)/BD5)</f>
        <v>0.95217605780896597</v>
      </c>
      <c r="BE22" s="135">
        <f t="shared" si="21"/>
        <v>0.96445758497356204</v>
      </c>
      <c r="BF22" s="135">
        <f t="shared" si="21"/>
        <v>1.0334639450165739</v>
      </c>
      <c r="BG22" s="135">
        <f t="shared" si="21"/>
        <v>1.1107105361635854</v>
      </c>
      <c r="BH22" s="135">
        <f t="shared" si="21"/>
        <v>1.0689775407334055</v>
      </c>
      <c r="BI22" s="135">
        <f t="shared" si="21"/>
        <v>0.92692877577284594</v>
      </c>
      <c r="BJ22" s="135">
        <f t="shared" si="21"/>
        <v>0.95590601866752489</v>
      </c>
      <c r="BK22" s="135">
        <f t="shared" si="21"/>
        <v>1.0702118972998835</v>
      </c>
      <c r="BR22" s="272"/>
      <c r="BV22" s="196" t="s">
        <v>552</v>
      </c>
      <c r="BW22" s="135">
        <f>1-((BW5-BW8)/BW5)</f>
        <v>1.0494711036364266</v>
      </c>
      <c r="BX22" s="135">
        <f t="shared" ref="BX22:CE22" si="22">1-((BX5-BX8)/BX5)</f>
        <v>1.243581924622869</v>
      </c>
      <c r="BY22" s="135">
        <f t="shared" si="22"/>
        <v>0.91898220280386467</v>
      </c>
      <c r="BZ22" s="135">
        <f t="shared" si="22"/>
        <v>1.0303839816069782</v>
      </c>
      <c r="CA22" s="135">
        <f t="shared" si="22"/>
        <v>0.95817851833047529</v>
      </c>
      <c r="CB22" s="135">
        <f t="shared" si="22"/>
        <v>0.86682160523164897</v>
      </c>
      <c r="CC22" s="135">
        <f t="shared" si="22"/>
        <v>1.1922774783723846</v>
      </c>
      <c r="CD22" s="135">
        <f t="shared" si="22"/>
        <v>1.0526315789473684</v>
      </c>
      <c r="CE22" s="135">
        <f t="shared" si="22"/>
        <v>1.0037812979228453</v>
      </c>
      <c r="CK22" s="196" t="s">
        <v>552</v>
      </c>
      <c r="CL22" s="135">
        <f>1-((CL5-CL8)/CL5)</f>
        <v>0.89999047824935263</v>
      </c>
      <c r="CM22" s="135">
        <f t="shared" ref="CM22:CT22" si="23">1-((CM5-CM8)/CM5)</f>
        <v>0.95217605780896597</v>
      </c>
      <c r="CN22" s="135">
        <f t="shared" si="23"/>
        <v>0.96445758497356204</v>
      </c>
      <c r="CO22" s="135">
        <f t="shared" si="23"/>
        <v>1.0334639450165739</v>
      </c>
      <c r="CP22" s="135">
        <f t="shared" si="23"/>
        <v>1.1107105361635854</v>
      </c>
      <c r="CQ22" s="135">
        <f t="shared" si="23"/>
        <v>1.0689775407334055</v>
      </c>
      <c r="CR22" s="135">
        <f t="shared" si="23"/>
        <v>0.92692877577284594</v>
      </c>
      <c r="CS22" s="135">
        <f t="shared" si="23"/>
        <v>0.95590601866752489</v>
      </c>
      <c r="CT22" s="135">
        <f t="shared" si="23"/>
        <v>1.0702118972998835</v>
      </c>
    </row>
    <row r="23" spans="4:98" x14ac:dyDescent="0.35">
      <c r="D23" s="205" t="s">
        <v>529</v>
      </c>
      <c r="E23" s="135">
        <f>1-((E5-E9)/E5)</f>
        <v>0.98529263193343364</v>
      </c>
      <c r="F23" s="135">
        <f t="shared" ref="F23:M23" si="24">1-((F5-F9)/F5)</f>
        <v>1.0199918637841248</v>
      </c>
      <c r="G23" s="135">
        <f t="shared" si="24"/>
        <v>0.95904701038185958</v>
      </c>
      <c r="H23" s="135">
        <f t="shared" si="24"/>
        <v>1.0153585375852172</v>
      </c>
      <c r="I23" s="135">
        <f t="shared" si="24"/>
        <v>1.0580389127458696</v>
      </c>
      <c r="J23" s="135">
        <f t="shared" si="24"/>
        <v>0.95940923175857595</v>
      </c>
      <c r="K23" s="135">
        <f t="shared" si="24"/>
        <v>1.0108206858643674</v>
      </c>
      <c r="L23" s="135">
        <f t="shared" si="24"/>
        <v>1.0328947368421053</v>
      </c>
      <c r="M23" s="135">
        <f t="shared" si="24"/>
        <v>1.0462619530102724</v>
      </c>
      <c r="S23" s="205" t="s">
        <v>529</v>
      </c>
      <c r="T23" s="135">
        <f>1-((T5-T9)/T5)</f>
        <v>1.0064371082566415</v>
      </c>
      <c r="U23" s="135">
        <f t="shared" ref="U23:AB23" si="25">1-((U5-U9)/U5)</f>
        <v>0.96690745820266177</v>
      </c>
      <c r="V23" s="135">
        <f t="shared" si="25"/>
        <v>1.0182771905901935</v>
      </c>
      <c r="W23" s="135">
        <f t="shared" si="25"/>
        <v>0.98279163358728627</v>
      </c>
      <c r="X23" s="135">
        <f t="shared" si="25"/>
        <v>0.99078733755964865</v>
      </c>
      <c r="Y23" s="135">
        <f t="shared" si="25"/>
        <v>1.0114030976478328</v>
      </c>
      <c r="Z23" s="135">
        <f t="shared" si="25"/>
        <v>0.98603182612429974</v>
      </c>
      <c r="AA23" s="135">
        <f t="shared" si="25"/>
        <v>1.1291492329149231</v>
      </c>
      <c r="AB23" s="135">
        <f t="shared" si="25"/>
        <v>1.1562312222161215</v>
      </c>
      <c r="AM23" s="205" t="s">
        <v>529</v>
      </c>
      <c r="AN23" s="135">
        <f>1-((AN5-AN9)/AN5)</f>
        <v>0.98529263193343464</v>
      </c>
      <c r="AO23" s="135">
        <f t="shared" ref="AO23:AV23" si="26">1-((AO5-AO9)/AO5)</f>
        <v>1.0199918637841248</v>
      </c>
      <c r="AP23" s="135">
        <f t="shared" si="26"/>
        <v>0.95904701038185958</v>
      </c>
      <c r="AQ23" s="135">
        <f t="shared" si="26"/>
        <v>1.0153585375852172</v>
      </c>
      <c r="AR23" s="135">
        <f t="shared" si="26"/>
        <v>1.0580389127458696</v>
      </c>
      <c r="AS23" s="135">
        <f t="shared" si="26"/>
        <v>0.95940923175857595</v>
      </c>
      <c r="AT23" s="135">
        <f t="shared" si="26"/>
        <v>1.0108206858643674</v>
      </c>
      <c r="AU23" s="135">
        <f t="shared" si="26"/>
        <v>1.0328947368421053</v>
      </c>
      <c r="AV23" s="135">
        <f t="shared" si="26"/>
        <v>1.0462619530102724</v>
      </c>
      <c r="BB23" s="205" t="s">
        <v>529</v>
      </c>
      <c r="BC23" s="135">
        <f>1-((BC5-BC9)/BC5)</f>
        <v>1.0064371082566415</v>
      </c>
      <c r="BD23" s="135">
        <f t="shared" ref="BD23:BK23" si="27">1-((BD5-BD9)/BD5)</f>
        <v>0.96690745820266177</v>
      </c>
      <c r="BE23" s="135">
        <f t="shared" si="27"/>
        <v>1.0182771905901935</v>
      </c>
      <c r="BF23" s="135">
        <f t="shared" si="27"/>
        <v>0.98279163358728627</v>
      </c>
      <c r="BG23" s="135">
        <f t="shared" si="27"/>
        <v>0.99078733755964865</v>
      </c>
      <c r="BH23" s="135">
        <f t="shared" si="27"/>
        <v>1.0114030976478328</v>
      </c>
      <c r="BI23" s="135">
        <f t="shared" si="27"/>
        <v>0.98603182612429974</v>
      </c>
      <c r="BJ23" s="135">
        <f t="shared" si="27"/>
        <v>1.1291492329149231</v>
      </c>
      <c r="BK23" s="135">
        <f t="shared" si="27"/>
        <v>1.1562312222161215</v>
      </c>
      <c r="BR23" s="272"/>
      <c r="BV23" s="205" t="s">
        <v>529</v>
      </c>
      <c r="BW23" s="135">
        <f>1-((BW5-BW9)/BW5)</f>
        <v>0.98529263193343464</v>
      </c>
      <c r="BX23" s="135">
        <f t="shared" ref="BX23:CE23" si="28">1-((BX5-BX9)/BX5)</f>
        <v>1.0199918637841248</v>
      </c>
      <c r="BY23" s="135">
        <f t="shared" si="28"/>
        <v>0.95904701038185958</v>
      </c>
      <c r="BZ23" s="135">
        <f t="shared" si="28"/>
        <v>1.0153585375852172</v>
      </c>
      <c r="CA23" s="135">
        <f t="shared" si="28"/>
        <v>1.0580389127458696</v>
      </c>
      <c r="CB23" s="135">
        <f t="shared" si="28"/>
        <v>0.95940923175857595</v>
      </c>
      <c r="CC23" s="135">
        <f t="shared" si="28"/>
        <v>1.0108206858643674</v>
      </c>
      <c r="CD23" s="135">
        <f t="shared" si="28"/>
        <v>1.0328947368421053</v>
      </c>
      <c r="CE23" s="135">
        <f t="shared" si="28"/>
        <v>1.0462619530102724</v>
      </c>
      <c r="CK23" s="205" t="s">
        <v>529</v>
      </c>
      <c r="CL23" s="135">
        <f>1-((CL5-CL9)/CL5)</f>
        <v>1.0064371082566415</v>
      </c>
      <c r="CM23" s="135">
        <f t="shared" ref="CM23:CT23" si="29">1-((CM5-CM9)/CM5)</f>
        <v>0.96690745820266177</v>
      </c>
      <c r="CN23" s="135">
        <f t="shared" si="29"/>
        <v>1.0182771905901935</v>
      </c>
      <c r="CO23" s="135">
        <f t="shared" si="29"/>
        <v>0.98279163358728627</v>
      </c>
      <c r="CP23" s="135">
        <f t="shared" si="29"/>
        <v>0.99078733755964865</v>
      </c>
      <c r="CQ23" s="135">
        <f t="shared" si="29"/>
        <v>1.0114030976478328</v>
      </c>
      <c r="CR23" s="135">
        <f t="shared" si="29"/>
        <v>0.98603182612429974</v>
      </c>
      <c r="CS23" s="135">
        <f t="shared" si="29"/>
        <v>1.1291492329149231</v>
      </c>
      <c r="CT23" s="135">
        <f t="shared" si="29"/>
        <v>1.1562312222161215</v>
      </c>
    </row>
    <row r="24" spans="4:98" x14ac:dyDescent="0.35">
      <c r="D24" s="196" t="s">
        <v>551</v>
      </c>
      <c r="E24" s="135">
        <f>1-((E5-E10)/E5)</f>
        <v>1.1520400746488564</v>
      </c>
      <c r="F24" s="135">
        <f t="shared" ref="F24:M24" si="30">1-((F5-F10)/F5)</f>
        <v>0.77867931288088243</v>
      </c>
      <c r="G24" s="135">
        <f t="shared" si="30"/>
        <v>1.2864728355001624</v>
      </c>
      <c r="H24" s="135">
        <f t="shared" si="30"/>
        <v>0.8925645269808572</v>
      </c>
      <c r="I24" s="135">
        <f t="shared" si="30"/>
        <v>0.86681297108087074</v>
      </c>
      <c r="J24" s="135">
        <f t="shared" si="30"/>
        <v>1.1058302288809616</v>
      </c>
      <c r="K24" s="135">
        <f t="shared" si="30"/>
        <v>0.87736040153334238</v>
      </c>
      <c r="L24" s="135">
        <f t="shared" si="30"/>
        <v>1.2789473684210526</v>
      </c>
      <c r="M24" s="135">
        <f t="shared" si="30"/>
        <v>1.1074527007540802</v>
      </c>
      <c r="S24" s="196" t="s">
        <v>551</v>
      </c>
      <c r="T24" s="135">
        <f>1-((T5-T10)/T5)</f>
        <v>0.96364849818410814</v>
      </c>
      <c r="U24" s="135">
        <f t="shared" ref="U24:AB24" si="31">1-((U5-U10)/U5)</f>
        <v>1.0200171078284703</v>
      </c>
      <c r="V24" s="135">
        <f t="shared" si="31"/>
        <v>0.96826858225436896</v>
      </c>
      <c r="W24" s="135">
        <f t="shared" si="31"/>
        <v>1.0298758094504237</v>
      </c>
      <c r="X24" s="135">
        <f t="shared" si="31"/>
        <v>1.0249137400361301</v>
      </c>
      <c r="Y24" s="135">
        <f t="shared" si="31"/>
        <v>1.0036828439458869</v>
      </c>
      <c r="Z24" s="135">
        <f t="shared" si="31"/>
        <v>0.99274608396162878</v>
      </c>
      <c r="AA24" s="135">
        <f t="shared" si="31"/>
        <v>1.1506276150627615</v>
      </c>
      <c r="AB24" s="135">
        <f t="shared" si="31"/>
        <v>1.1969756997278846</v>
      </c>
      <c r="AM24" s="196" t="s">
        <v>551</v>
      </c>
      <c r="AN24" s="135">
        <f>1-((AN5-AN10)/AN5)</f>
        <v>1.1520400746488577</v>
      </c>
      <c r="AO24" s="135">
        <f t="shared" ref="AO24:AV24" si="32">1-((AO5-AO10)/AO5)</f>
        <v>0.77867931288088243</v>
      </c>
      <c r="AP24" s="135">
        <f t="shared" si="32"/>
        <v>1.2864728355001624</v>
      </c>
      <c r="AQ24" s="135">
        <f t="shared" si="32"/>
        <v>0.8925645269808572</v>
      </c>
      <c r="AR24" s="135">
        <f t="shared" si="32"/>
        <v>0.86681297108087074</v>
      </c>
      <c r="AS24" s="135">
        <f t="shared" si="32"/>
        <v>1.1058302288809616</v>
      </c>
      <c r="AT24" s="135">
        <f t="shared" si="32"/>
        <v>0.87736040153334238</v>
      </c>
      <c r="AU24" s="135">
        <f t="shared" si="32"/>
        <v>1.2789473684210526</v>
      </c>
      <c r="AV24" s="135">
        <f t="shared" si="32"/>
        <v>1.1074527007540802</v>
      </c>
      <c r="BB24" s="196" t="s">
        <v>551</v>
      </c>
      <c r="BC24" s="135">
        <f>1-((BC5-BC10)/BC5)</f>
        <v>0.96364849818410814</v>
      </c>
      <c r="BD24" s="135">
        <f t="shared" ref="BD24:BK24" si="33">1-((BD5-BD10)/BD5)</f>
        <v>1.0200171078284703</v>
      </c>
      <c r="BE24" s="135">
        <f t="shared" si="33"/>
        <v>0.96826858225436896</v>
      </c>
      <c r="BF24" s="135">
        <f t="shared" si="33"/>
        <v>1.0298758094504237</v>
      </c>
      <c r="BG24" s="135">
        <f t="shared" si="33"/>
        <v>1.0249137400361301</v>
      </c>
      <c r="BH24" s="135">
        <f t="shared" si="33"/>
        <v>1.0036828439458869</v>
      </c>
      <c r="BI24" s="135">
        <f t="shared" si="33"/>
        <v>0.99274608396162878</v>
      </c>
      <c r="BJ24" s="135">
        <f t="shared" si="33"/>
        <v>1.1506276150627615</v>
      </c>
      <c r="BK24" s="135">
        <f t="shared" si="33"/>
        <v>1.1969756997278846</v>
      </c>
      <c r="BR24" s="272"/>
      <c r="BV24" s="196" t="s">
        <v>551</v>
      </c>
      <c r="BW24" s="135">
        <f>1-((BW5-BW10)/BW5)</f>
        <v>1.1520400746488577</v>
      </c>
      <c r="BX24" s="135">
        <f t="shared" ref="BX24:CE24" si="34">1-((BX5-BX10)/BX5)</f>
        <v>0.77867931288088243</v>
      </c>
      <c r="BY24" s="135">
        <f t="shared" si="34"/>
        <v>1.2864728355001624</v>
      </c>
      <c r="BZ24" s="135">
        <f t="shared" si="34"/>
        <v>0.8925645269808572</v>
      </c>
      <c r="CA24" s="135">
        <f t="shared" si="34"/>
        <v>0.86681297108087074</v>
      </c>
      <c r="CB24" s="135">
        <f t="shared" si="34"/>
        <v>1.1058302288809616</v>
      </c>
      <c r="CC24" s="135">
        <f t="shared" si="34"/>
        <v>0.87736040153334238</v>
      </c>
      <c r="CD24" s="135">
        <f t="shared" si="34"/>
        <v>1.2789473684210526</v>
      </c>
      <c r="CE24" s="135">
        <f t="shared" si="34"/>
        <v>1.1074527007540802</v>
      </c>
      <c r="CK24" s="196" t="s">
        <v>551</v>
      </c>
      <c r="CL24" s="135">
        <f>1-((CL5-CL10)/CL5)</f>
        <v>0.96364849818410814</v>
      </c>
      <c r="CM24" s="135">
        <f t="shared" ref="CM24:CT24" si="35">1-((CM5-CM10)/CM5)</f>
        <v>1.0200171078284703</v>
      </c>
      <c r="CN24" s="135">
        <f t="shared" si="35"/>
        <v>0.96826858225436896</v>
      </c>
      <c r="CO24" s="135">
        <f t="shared" si="35"/>
        <v>1.0298758094504237</v>
      </c>
      <c r="CP24" s="135">
        <f t="shared" si="35"/>
        <v>1.0249137400361301</v>
      </c>
      <c r="CQ24" s="135">
        <f t="shared" si="35"/>
        <v>1.0036828439458869</v>
      </c>
      <c r="CR24" s="135">
        <f t="shared" si="35"/>
        <v>0.99274608396162878</v>
      </c>
      <c r="CS24" s="135">
        <f t="shared" si="35"/>
        <v>1.1506276150627615</v>
      </c>
      <c r="CT24" s="135">
        <f t="shared" si="35"/>
        <v>1.1969756997278846</v>
      </c>
    </row>
    <row r="25" spans="4:98" x14ac:dyDescent="0.35">
      <c r="D25" s="205" t="s">
        <v>529</v>
      </c>
      <c r="E25" s="135">
        <f>1-((E5-E11)/E5)</f>
        <v>1.0739472687218503</v>
      </c>
      <c r="F25" s="135">
        <f t="shared" ref="F25:M25" si="36">1-((F5-F11)/F5)</f>
        <v>0.78165140095745045</v>
      </c>
      <c r="G25" s="135">
        <f t="shared" si="36"/>
        <v>1.2459664900244785</v>
      </c>
      <c r="H25" s="135">
        <f t="shared" si="36"/>
        <v>0.9077555602907309</v>
      </c>
      <c r="I25" s="135">
        <f t="shared" si="36"/>
        <v>0.9416452654999915</v>
      </c>
      <c r="J25" s="135">
        <f t="shared" si="36"/>
        <v>1.1364238338417905</v>
      </c>
      <c r="K25" s="135">
        <f t="shared" si="36"/>
        <v>0.85890663876825091</v>
      </c>
      <c r="L25" s="135">
        <f t="shared" si="36"/>
        <v>1.1842105263157894</v>
      </c>
      <c r="M25" s="135">
        <f t="shared" si="36"/>
        <v>1.0967593940113434</v>
      </c>
      <c r="S25" s="205" t="s">
        <v>529</v>
      </c>
      <c r="T25" s="135">
        <f>1-((T5-T11)/T5)</f>
        <v>1.060289839711724</v>
      </c>
      <c r="U25" s="135">
        <f t="shared" ref="U25:AB25" si="37">1-((U5-U11)/U5)</f>
        <v>1.0723857746336778</v>
      </c>
      <c r="V25" s="135">
        <f t="shared" si="37"/>
        <v>0.99466411978485925</v>
      </c>
      <c r="W25" s="135">
        <f t="shared" si="37"/>
        <v>1.0050238455097007</v>
      </c>
      <c r="X25" s="135">
        <f t="shared" si="37"/>
        <v>0.92791511474532218</v>
      </c>
      <c r="Y25" s="135">
        <f t="shared" si="37"/>
        <v>0.93155746036983422</v>
      </c>
      <c r="Z25" s="135">
        <f t="shared" si="37"/>
        <v>1.0665337848111587</v>
      </c>
      <c r="AA25" s="135">
        <f t="shared" si="37"/>
        <v>1.2702928870292887</v>
      </c>
      <c r="AB25" s="135">
        <f t="shared" si="37"/>
        <v>1.1990677683472173</v>
      </c>
      <c r="AM25" s="205" t="s">
        <v>529</v>
      </c>
      <c r="AN25" s="135">
        <f>1-((AN5-AN11)/AN5)</f>
        <v>1.0739472687218512</v>
      </c>
      <c r="AO25" s="135">
        <f t="shared" ref="AO25:AV25" si="38">1-((AO5-AO11)/AO5)</f>
        <v>0.78165140095745045</v>
      </c>
      <c r="AP25" s="135">
        <f t="shared" si="38"/>
        <v>1.2459664900244785</v>
      </c>
      <c r="AQ25" s="135">
        <f t="shared" si="38"/>
        <v>0.9077555602907309</v>
      </c>
      <c r="AR25" s="135">
        <f t="shared" si="38"/>
        <v>0.9416452654999915</v>
      </c>
      <c r="AS25" s="135">
        <f t="shared" si="38"/>
        <v>1.1364238338417905</v>
      </c>
      <c r="AT25" s="135">
        <f t="shared" si="38"/>
        <v>0.85890663876825091</v>
      </c>
      <c r="AU25" s="135">
        <f t="shared" si="38"/>
        <v>1.1842105263157894</v>
      </c>
      <c r="AV25" s="135">
        <f t="shared" si="38"/>
        <v>1.0967593940113434</v>
      </c>
      <c r="BB25" s="205" t="s">
        <v>529</v>
      </c>
      <c r="BC25" s="135">
        <f>1-((BC5-BC11)/BC5)</f>
        <v>1.060289839711724</v>
      </c>
      <c r="BD25" s="135">
        <f t="shared" ref="BD25:BK25" si="39">1-((BD5-BD11)/BD5)</f>
        <v>1.0723857746336778</v>
      </c>
      <c r="BE25" s="135">
        <f t="shared" si="39"/>
        <v>0.99466411978485925</v>
      </c>
      <c r="BF25" s="135">
        <f t="shared" si="39"/>
        <v>1.0050238455097007</v>
      </c>
      <c r="BG25" s="135">
        <f t="shared" si="39"/>
        <v>0.92791511474532218</v>
      </c>
      <c r="BH25" s="135">
        <f t="shared" si="39"/>
        <v>0.93155746036983422</v>
      </c>
      <c r="BI25" s="135">
        <f t="shared" si="39"/>
        <v>1.0665337848111587</v>
      </c>
      <c r="BJ25" s="135">
        <f t="shared" si="39"/>
        <v>1.2702928870292887</v>
      </c>
      <c r="BK25" s="135">
        <f t="shared" si="39"/>
        <v>1.1990677683472173</v>
      </c>
      <c r="BR25" s="272"/>
      <c r="BV25" s="205" t="s">
        <v>529</v>
      </c>
      <c r="BW25" s="135">
        <f>1-((BW5-BW11)/BW5)</f>
        <v>1.0739472687218512</v>
      </c>
      <c r="BX25" s="135">
        <f t="shared" ref="BX25:CE25" si="40">1-((BX5-BX11)/BX5)</f>
        <v>0.78165140095745045</v>
      </c>
      <c r="BY25" s="135">
        <f t="shared" si="40"/>
        <v>1.2459664900244785</v>
      </c>
      <c r="BZ25" s="135">
        <f t="shared" si="40"/>
        <v>0.9077555602907309</v>
      </c>
      <c r="CA25" s="135">
        <f t="shared" si="40"/>
        <v>0.9416452654999915</v>
      </c>
      <c r="CB25" s="135">
        <f t="shared" si="40"/>
        <v>1.1364238338417905</v>
      </c>
      <c r="CC25" s="135">
        <f t="shared" si="40"/>
        <v>0.85890663876825091</v>
      </c>
      <c r="CD25" s="135">
        <f t="shared" si="40"/>
        <v>1.1842105263157894</v>
      </c>
      <c r="CE25" s="135">
        <f t="shared" si="40"/>
        <v>1.0967593940113434</v>
      </c>
      <c r="CK25" s="205" t="s">
        <v>529</v>
      </c>
      <c r="CL25" s="135">
        <f>1-((CL5-CL11)/CL5)</f>
        <v>1.060289839711724</v>
      </c>
      <c r="CM25" s="135">
        <f t="shared" ref="CM25:CT25" si="41">1-((CM5-CM11)/CM5)</f>
        <v>1.0723857746336778</v>
      </c>
      <c r="CN25" s="135">
        <f t="shared" si="41"/>
        <v>0.99466411978485925</v>
      </c>
      <c r="CO25" s="135">
        <f t="shared" si="41"/>
        <v>1.0050238455097007</v>
      </c>
      <c r="CP25" s="135">
        <f t="shared" si="41"/>
        <v>0.92791511474532218</v>
      </c>
      <c r="CQ25" s="135">
        <f t="shared" si="41"/>
        <v>0.93155746036983422</v>
      </c>
      <c r="CR25" s="135">
        <f t="shared" si="41"/>
        <v>1.0665337848111587</v>
      </c>
      <c r="CS25" s="135">
        <f t="shared" si="41"/>
        <v>1.2702928870292887</v>
      </c>
      <c r="CT25" s="135">
        <f t="shared" si="41"/>
        <v>1.1990677683472173</v>
      </c>
    </row>
    <row r="26" spans="4:98" x14ac:dyDescent="0.35">
      <c r="D26" s="196" t="s">
        <v>550</v>
      </c>
      <c r="E26" s="135">
        <f>1-((E5-E12)/E5)</f>
        <v>1.3458063594395977</v>
      </c>
      <c r="F26" s="135">
        <f t="shared" ref="F26:M26" si="42">1-((F5-F12)/F5)</f>
        <v>0.61762044953259887</v>
      </c>
      <c r="G26" s="135">
        <f t="shared" si="42"/>
        <v>1.6235056849621357</v>
      </c>
      <c r="H26" s="135">
        <f t="shared" si="42"/>
        <v>0.76616760860736555</v>
      </c>
      <c r="I26" s="135">
        <f t="shared" si="42"/>
        <v>0.73506008905291609</v>
      </c>
      <c r="J26" s="135">
        <f t="shared" si="42"/>
        <v>1.1903446876249326</v>
      </c>
      <c r="K26" s="135">
        <f t="shared" si="42"/>
        <v>0.81008357284190147</v>
      </c>
      <c r="L26" s="135">
        <f t="shared" si="42"/>
        <v>1.631578947368421</v>
      </c>
      <c r="M26" s="135">
        <f t="shared" si="42"/>
        <v>1.2120041936021628</v>
      </c>
      <c r="S26" s="196" t="s">
        <v>550</v>
      </c>
      <c r="T26" s="135">
        <f>1-((T5-T12)/T5)</f>
        <v>0.97888645567843036</v>
      </c>
      <c r="U26" s="135">
        <f t="shared" ref="U26:AB26" si="43">1-((U5-U12)/U5)</f>
        <v>1.1386047979525802</v>
      </c>
      <c r="V26" s="135">
        <f t="shared" si="43"/>
        <v>0.91674991360418656</v>
      </c>
      <c r="W26" s="135">
        <f t="shared" si="43"/>
        <v>1.0783817394429238</v>
      </c>
      <c r="X26" s="135">
        <f t="shared" si="43"/>
        <v>1.0261468193950349</v>
      </c>
      <c r="Y26" s="135">
        <f t="shared" si="43"/>
        <v>0.93865052372332936</v>
      </c>
      <c r="Z26" s="135">
        <f t="shared" si="43"/>
        <v>1.0613333741652746</v>
      </c>
      <c r="AA26" s="135">
        <f t="shared" si="43"/>
        <v>1.1715481171548117</v>
      </c>
      <c r="AB26" s="135">
        <f t="shared" si="43"/>
        <v>1.2024024613206552</v>
      </c>
      <c r="AM26" s="196" t="s">
        <v>550</v>
      </c>
      <c r="AN26" s="135">
        <f>1-((AN5-AN12)/AN5)</f>
        <v>1.345806359439599</v>
      </c>
      <c r="AO26" s="135">
        <f t="shared" ref="AO26:AV26" si="44">1-((AO5-AO12)/AO5)</f>
        <v>0.61762044953259887</v>
      </c>
      <c r="AP26" s="135">
        <f t="shared" si="44"/>
        <v>1.6235056849621357</v>
      </c>
      <c r="AQ26" s="135">
        <f t="shared" si="44"/>
        <v>0.76616760860736555</v>
      </c>
      <c r="AR26" s="135">
        <f t="shared" si="44"/>
        <v>0.73506008905291609</v>
      </c>
      <c r="AS26" s="135">
        <f t="shared" si="44"/>
        <v>1.1903446876249326</v>
      </c>
      <c r="AT26" s="135">
        <f t="shared" si="44"/>
        <v>0.81008357284190147</v>
      </c>
      <c r="AU26" s="135">
        <f t="shared" si="44"/>
        <v>1.631578947368421</v>
      </c>
      <c r="AV26" s="135">
        <f t="shared" si="44"/>
        <v>1.2120041936021628</v>
      </c>
      <c r="BB26" s="196" t="s">
        <v>550</v>
      </c>
      <c r="BC26" s="135">
        <f>1-((BC5-BC12)/BC5)</f>
        <v>0.97888645567843036</v>
      </c>
      <c r="BD26" s="135">
        <f t="shared" ref="BD26:BK26" si="45">1-((BD5-BD12)/BD5)</f>
        <v>1.1386047979525802</v>
      </c>
      <c r="BE26" s="135">
        <f t="shared" si="45"/>
        <v>0.91674991360418656</v>
      </c>
      <c r="BF26" s="135">
        <f t="shared" si="45"/>
        <v>1.0783817394429238</v>
      </c>
      <c r="BG26" s="135">
        <f t="shared" si="45"/>
        <v>1.0261468193950349</v>
      </c>
      <c r="BH26" s="135">
        <f t="shared" si="45"/>
        <v>0.93865052372332936</v>
      </c>
      <c r="BI26" s="135">
        <f t="shared" si="45"/>
        <v>1.0613333741652746</v>
      </c>
      <c r="BJ26" s="135">
        <f t="shared" si="45"/>
        <v>1.1715481171548117</v>
      </c>
      <c r="BK26" s="135">
        <f t="shared" si="45"/>
        <v>1.2024024613206552</v>
      </c>
      <c r="BR26" s="272"/>
      <c r="BV26" s="196" t="s">
        <v>550</v>
      </c>
      <c r="BW26" s="135">
        <f>1-((BW5-BW12)/BW5)</f>
        <v>1.345806359439599</v>
      </c>
      <c r="BX26" s="135">
        <f t="shared" ref="BX26:CE26" si="46">1-((BX5-BX12)/BX5)</f>
        <v>0.61762044953259887</v>
      </c>
      <c r="BY26" s="135">
        <f t="shared" si="46"/>
        <v>1.6235056849621357</v>
      </c>
      <c r="BZ26" s="135">
        <f t="shared" si="46"/>
        <v>0.76616760860736555</v>
      </c>
      <c r="CA26" s="135">
        <f t="shared" si="46"/>
        <v>0.73506008905291609</v>
      </c>
      <c r="CB26" s="135">
        <f t="shared" si="46"/>
        <v>1.1903446876249326</v>
      </c>
      <c r="CC26" s="135">
        <f t="shared" si="46"/>
        <v>0.81008357284190147</v>
      </c>
      <c r="CD26" s="135">
        <f t="shared" si="46"/>
        <v>1.631578947368421</v>
      </c>
      <c r="CE26" s="135">
        <f t="shared" si="46"/>
        <v>1.2120041936021628</v>
      </c>
      <c r="CK26" s="196" t="s">
        <v>550</v>
      </c>
      <c r="CL26" s="135">
        <f>1-((CL5-CL12)/CL5)</f>
        <v>0.97888645567843036</v>
      </c>
      <c r="CM26" s="135">
        <f t="shared" ref="CM26:CT26" si="47">1-((CM5-CM12)/CM5)</f>
        <v>1.1386047979525802</v>
      </c>
      <c r="CN26" s="135">
        <f t="shared" si="47"/>
        <v>0.91674991360418656</v>
      </c>
      <c r="CO26" s="135">
        <f t="shared" si="47"/>
        <v>1.0783817394429238</v>
      </c>
      <c r="CP26" s="135">
        <f t="shared" si="47"/>
        <v>1.0261468193950349</v>
      </c>
      <c r="CQ26" s="135">
        <f t="shared" si="47"/>
        <v>0.93865052372332936</v>
      </c>
      <c r="CR26" s="135">
        <f t="shared" si="47"/>
        <v>1.0613333741652746</v>
      </c>
      <c r="CS26" s="135">
        <f t="shared" si="47"/>
        <v>1.1715481171548117</v>
      </c>
      <c r="CT26" s="135">
        <f t="shared" si="47"/>
        <v>1.2024024613206552</v>
      </c>
    </row>
    <row r="27" spans="4:98" x14ac:dyDescent="0.35">
      <c r="D27" s="205" t="s">
        <v>529</v>
      </c>
      <c r="E27" s="135">
        <f>1-((E5-E13)/E5)</f>
        <v>1.1027440470343919</v>
      </c>
      <c r="F27" s="135">
        <f t="shared" ref="F27:M27" si="48">1-((F5-F13)/F5)</f>
        <v>0.7298252181415017</v>
      </c>
      <c r="G27" s="135">
        <f t="shared" si="48"/>
        <v>1.2966441900162682</v>
      </c>
      <c r="H27" s="135">
        <f t="shared" si="48"/>
        <v>0.88874997932304745</v>
      </c>
      <c r="I27" s="135">
        <f t="shared" si="48"/>
        <v>0.90698739977302045</v>
      </c>
      <c r="J27" s="135">
        <f t="shared" si="48"/>
        <v>1.1739097921142305</v>
      </c>
      <c r="K27" s="135">
        <f t="shared" si="48"/>
        <v>0.82838950175794746</v>
      </c>
      <c r="L27" s="135">
        <f t="shared" si="48"/>
        <v>1.2789473684210526</v>
      </c>
      <c r="M27" s="135">
        <f t="shared" si="48"/>
        <v>1.1527293390281201</v>
      </c>
      <c r="S27" s="205" t="s">
        <v>529</v>
      </c>
      <c r="T27" s="135">
        <f>1-((T5-T13)/T5)</f>
        <v>1.1589145943129104</v>
      </c>
      <c r="U27" s="135">
        <f t="shared" ref="U27:AB27" si="49">1-((U5-U13)/U5)</f>
        <v>1.0521280707215563</v>
      </c>
      <c r="V27" s="135">
        <f t="shared" si="49"/>
        <v>1.0460619946957503</v>
      </c>
      <c r="W27" s="135">
        <f t="shared" si="49"/>
        <v>0.95663164540997747</v>
      </c>
      <c r="X27" s="135">
        <f t="shared" si="49"/>
        <v>0.85293482781282304</v>
      </c>
      <c r="Y27" s="135">
        <f t="shared" si="49"/>
        <v>0.89938192100440606</v>
      </c>
      <c r="Z27" s="135">
        <f t="shared" si="49"/>
        <v>1.1037911834342913</v>
      </c>
      <c r="AA27" s="135">
        <f t="shared" si="49"/>
        <v>1.4451882845188284</v>
      </c>
      <c r="AB27" s="135">
        <f t="shared" si="49"/>
        <v>1.2471222774239028</v>
      </c>
      <c r="AM27" s="205" t="s">
        <v>529</v>
      </c>
      <c r="AN27" s="135">
        <f>1-((AN5-AN13)/AN5)</f>
        <v>1.1027440470343928</v>
      </c>
      <c r="AO27" s="135">
        <f t="shared" ref="AO27:AV27" si="50">1-((AO5-AO13)/AO5)</f>
        <v>0.7298252181415017</v>
      </c>
      <c r="AP27" s="135">
        <f t="shared" si="50"/>
        <v>1.2966441900162682</v>
      </c>
      <c r="AQ27" s="135">
        <f t="shared" si="50"/>
        <v>0.88874997932304745</v>
      </c>
      <c r="AR27" s="135">
        <f t="shared" si="50"/>
        <v>0.90698739977302045</v>
      </c>
      <c r="AS27" s="135">
        <f t="shared" si="50"/>
        <v>1.1739097921142305</v>
      </c>
      <c r="AT27" s="135">
        <f t="shared" si="50"/>
        <v>0.82838950175794746</v>
      </c>
      <c r="AU27" s="135">
        <f t="shared" si="50"/>
        <v>1.2789473684210526</v>
      </c>
      <c r="AV27" s="135">
        <f t="shared" si="50"/>
        <v>1.1527293390281201</v>
      </c>
      <c r="BB27" s="205" t="s">
        <v>529</v>
      </c>
      <c r="BC27" s="135">
        <f>1-((BC5-BC13)/BC5)</f>
        <v>1.1589145943129104</v>
      </c>
      <c r="BD27" s="135">
        <f t="shared" ref="BD27:BK27" si="51">1-((BD5-BD13)/BD5)</f>
        <v>1.0521280707215563</v>
      </c>
      <c r="BE27" s="135">
        <f t="shared" si="51"/>
        <v>1.0460619946957503</v>
      </c>
      <c r="BF27" s="135">
        <f t="shared" si="51"/>
        <v>0.95663164540997747</v>
      </c>
      <c r="BG27" s="135">
        <f t="shared" si="51"/>
        <v>0.85293482781282304</v>
      </c>
      <c r="BH27" s="135">
        <f t="shared" si="51"/>
        <v>0.89938192100440606</v>
      </c>
      <c r="BI27" s="135">
        <f t="shared" si="51"/>
        <v>1.1037911834342913</v>
      </c>
      <c r="BJ27" s="135">
        <f t="shared" si="51"/>
        <v>1.4451882845188284</v>
      </c>
      <c r="BK27" s="135">
        <f t="shared" si="51"/>
        <v>1.2471222774239028</v>
      </c>
      <c r="BR27" s="272"/>
      <c r="BV27" s="205" t="s">
        <v>529</v>
      </c>
      <c r="BW27" s="135">
        <f>1-((BW5-BW13)/BW5)</f>
        <v>1.1027440470343928</v>
      </c>
      <c r="BX27" s="135">
        <f t="shared" ref="BX27:CE27" si="52">1-((BX5-BX13)/BX5)</f>
        <v>0.7298252181415017</v>
      </c>
      <c r="BY27" s="135">
        <f t="shared" si="52"/>
        <v>1.2966441900162682</v>
      </c>
      <c r="BZ27" s="135">
        <f t="shared" si="52"/>
        <v>0.88874997932304745</v>
      </c>
      <c r="CA27" s="135">
        <f t="shared" si="52"/>
        <v>0.90698739977302045</v>
      </c>
      <c r="CB27" s="135">
        <f t="shared" si="52"/>
        <v>1.1739097921142305</v>
      </c>
      <c r="CC27" s="135">
        <f t="shared" si="52"/>
        <v>0.82838950175794746</v>
      </c>
      <c r="CD27" s="135">
        <f t="shared" si="52"/>
        <v>1.2789473684210526</v>
      </c>
      <c r="CE27" s="135">
        <f t="shared" si="52"/>
        <v>1.1527293390281201</v>
      </c>
      <c r="CK27" s="205" t="s">
        <v>529</v>
      </c>
      <c r="CL27" s="135">
        <f>1-((CL5-CL13)/CL5)</f>
        <v>1.1589145943129104</v>
      </c>
      <c r="CM27" s="135">
        <f t="shared" ref="CM27:CT27" si="53">1-((CM5-CM13)/CM5)</f>
        <v>1.0521280707215563</v>
      </c>
      <c r="CN27" s="135">
        <f t="shared" si="53"/>
        <v>1.0460619946957503</v>
      </c>
      <c r="CO27" s="135">
        <f t="shared" si="53"/>
        <v>0.95663164540997747</v>
      </c>
      <c r="CP27" s="135">
        <f t="shared" si="53"/>
        <v>0.85293482781282304</v>
      </c>
      <c r="CQ27" s="135">
        <f t="shared" si="53"/>
        <v>0.89938192100440606</v>
      </c>
      <c r="CR27" s="135">
        <f t="shared" si="53"/>
        <v>1.1037911834342913</v>
      </c>
      <c r="CS27" s="135">
        <f t="shared" si="53"/>
        <v>1.4451882845188284</v>
      </c>
      <c r="CT27" s="135">
        <f t="shared" si="53"/>
        <v>1.2471222774239028</v>
      </c>
    </row>
    <row r="28" spans="4:98" x14ac:dyDescent="0.35">
      <c r="D28" s="196" t="s">
        <v>549</v>
      </c>
      <c r="E28" s="135">
        <f>1-((E5-E14)/E5)</f>
        <v>1.3663478060099223</v>
      </c>
      <c r="F28" s="135">
        <f t="shared" ref="F28:M28" si="54">1-((F5-F14)/F5)</f>
        <v>0.56226201067158743</v>
      </c>
      <c r="G28" s="135">
        <f t="shared" si="54"/>
        <v>1.7087233980739394</v>
      </c>
      <c r="H28" s="135">
        <f t="shared" si="54"/>
        <v>0.73420853890432902</v>
      </c>
      <c r="I28" s="135">
        <f t="shared" si="54"/>
        <v>0.73298957725420388</v>
      </c>
      <c r="J28" s="135">
        <f t="shared" si="54"/>
        <v>1.2423283429320189</v>
      </c>
      <c r="K28" s="135">
        <f t="shared" si="54"/>
        <v>0.77478584761210922</v>
      </c>
      <c r="L28" s="135">
        <f t="shared" si="54"/>
        <v>1.6267942583732058</v>
      </c>
      <c r="M28" s="135">
        <f t="shared" si="54"/>
        <v>1.1863837222814893</v>
      </c>
      <c r="S28" s="196" t="s">
        <v>549</v>
      </c>
      <c r="T28" s="135">
        <f>1-((T5-T14)/T5)</f>
        <v>1.1544815173223171</v>
      </c>
      <c r="U28" s="135">
        <f t="shared" ref="U28:AB28" si="55">1-((U5-U14)/U5)</f>
        <v>1.1670252728500319</v>
      </c>
      <c r="V28" s="135">
        <f t="shared" si="55"/>
        <v>0.99076838928363331</v>
      </c>
      <c r="W28" s="135">
        <f t="shared" si="55"/>
        <v>1.0086917592177438</v>
      </c>
      <c r="X28" s="135">
        <f t="shared" si="55"/>
        <v>0.86484656056843656</v>
      </c>
      <c r="Y28" s="135">
        <f t="shared" si="55"/>
        <v>0.85798412818605929</v>
      </c>
      <c r="Z28" s="135">
        <f t="shared" si="55"/>
        <v>1.1609566282882027</v>
      </c>
      <c r="AA28" s="135">
        <f t="shared" si="55"/>
        <v>1.411436541143654</v>
      </c>
      <c r="AB28" s="135">
        <f t="shared" si="55"/>
        <v>1.2234597793156943</v>
      </c>
      <c r="AM28" s="196" t="s">
        <v>549</v>
      </c>
      <c r="AN28" s="135">
        <f>1-((AN5-AN14)/AN5)</f>
        <v>1.3663478060099239</v>
      </c>
      <c r="AO28" s="135">
        <f t="shared" ref="AO28:AV28" si="56">1-((AO5-AO14)/AO5)</f>
        <v>0.56226201067158743</v>
      </c>
      <c r="AP28" s="135">
        <f t="shared" si="56"/>
        <v>1.7087233980739394</v>
      </c>
      <c r="AQ28" s="135">
        <f t="shared" si="56"/>
        <v>0.73420853890432902</v>
      </c>
      <c r="AR28" s="135">
        <f t="shared" si="56"/>
        <v>0.73298957725420388</v>
      </c>
      <c r="AS28" s="135">
        <f t="shared" si="56"/>
        <v>1.2423283429320189</v>
      </c>
      <c r="AT28" s="135">
        <f t="shared" si="56"/>
        <v>0.77478584761210922</v>
      </c>
      <c r="AU28" s="135">
        <f t="shared" si="56"/>
        <v>1.6267942583732058</v>
      </c>
      <c r="AV28" s="135">
        <f t="shared" si="56"/>
        <v>1.1863837222814893</v>
      </c>
      <c r="BB28" s="196" t="s">
        <v>549</v>
      </c>
      <c r="BC28" s="135">
        <f>1-((BC5-BC14)/BC5)</f>
        <v>1.1544815173223171</v>
      </c>
      <c r="BD28" s="135">
        <f t="shared" ref="BD28:BK28" si="57">1-((BD5-BD14)/BD5)</f>
        <v>1.1670252728500319</v>
      </c>
      <c r="BE28" s="135">
        <f t="shared" si="57"/>
        <v>0.99076838928363331</v>
      </c>
      <c r="BF28" s="135">
        <f t="shared" si="57"/>
        <v>1.0086917592177438</v>
      </c>
      <c r="BG28" s="135">
        <f t="shared" si="57"/>
        <v>0.86484656056843656</v>
      </c>
      <c r="BH28" s="135">
        <f t="shared" si="57"/>
        <v>0.85798412818605929</v>
      </c>
      <c r="BI28" s="135">
        <f t="shared" si="57"/>
        <v>1.1609566282882027</v>
      </c>
      <c r="BJ28" s="135">
        <f t="shared" si="57"/>
        <v>1.411436541143654</v>
      </c>
      <c r="BK28" s="135">
        <f t="shared" si="57"/>
        <v>1.2234597793156943</v>
      </c>
      <c r="BR28" s="272"/>
      <c r="BV28" s="196" t="s">
        <v>549</v>
      </c>
      <c r="BW28" s="135">
        <f>1-((BW5-BW14)/BW5)</f>
        <v>1.3663478060099239</v>
      </c>
      <c r="BX28" s="135">
        <f t="shared" ref="BX28:CE28" si="58">1-((BX5-BX14)/BX5)</f>
        <v>0.56226201067158743</v>
      </c>
      <c r="BY28" s="135">
        <f t="shared" si="58"/>
        <v>1.7087233980739394</v>
      </c>
      <c r="BZ28" s="135">
        <f t="shared" si="58"/>
        <v>0.73420853890432902</v>
      </c>
      <c r="CA28" s="135">
        <f t="shared" si="58"/>
        <v>0.73298957725420388</v>
      </c>
      <c r="CB28" s="135">
        <f t="shared" si="58"/>
        <v>1.2423283429320189</v>
      </c>
      <c r="CC28" s="135">
        <f t="shared" si="58"/>
        <v>0.77478584761210922</v>
      </c>
      <c r="CD28" s="135">
        <f t="shared" si="58"/>
        <v>1.6267942583732058</v>
      </c>
      <c r="CE28" s="135">
        <f t="shared" si="58"/>
        <v>1.1863837222814893</v>
      </c>
      <c r="CK28" s="196" t="s">
        <v>549</v>
      </c>
      <c r="CL28" s="135">
        <f>1-((CL5-CL14)/CL5)</f>
        <v>1.1544815173223171</v>
      </c>
      <c r="CM28" s="135">
        <f t="shared" ref="CM28:CT28" si="59">1-((CM5-CM14)/CM5)</f>
        <v>1.1670252728500319</v>
      </c>
      <c r="CN28" s="135">
        <f t="shared" si="59"/>
        <v>0.99076838928363331</v>
      </c>
      <c r="CO28" s="135">
        <f t="shared" si="59"/>
        <v>1.0086917592177438</v>
      </c>
      <c r="CP28" s="135">
        <f t="shared" si="59"/>
        <v>0.86484656056843656</v>
      </c>
      <c r="CQ28" s="135">
        <f t="shared" si="59"/>
        <v>0.85798412818605929</v>
      </c>
      <c r="CR28" s="135">
        <f t="shared" si="59"/>
        <v>1.1609566282882027</v>
      </c>
      <c r="CS28" s="135">
        <f t="shared" si="59"/>
        <v>1.411436541143654</v>
      </c>
      <c r="CT28" s="135">
        <f t="shared" si="59"/>
        <v>1.2234597793156943</v>
      </c>
    </row>
    <row r="29" spans="4:98" x14ac:dyDescent="0.35">
      <c r="D29" s="205" t="s">
        <v>529</v>
      </c>
      <c r="E29" s="135">
        <f>1-((E5-E15)/E5)</f>
        <v>1.1306941189860351</v>
      </c>
      <c r="F29" s="135">
        <f t="shared" ref="F29:M29" si="60">1-((F5-F15)/F5)</f>
        <v>0.81570196289576913</v>
      </c>
      <c r="G29" s="135">
        <f t="shared" si="60"/>
        <v>1.3488990848318534</v>
      </c>
      <c r="H29" s="135">
        <f t="shared" si="60"/>
        <v>0.86915290537264578</v>
      </c>
      <c r="I29" s="135">
        <f t="shared" si="60"/>
        <v>0.93422026296000527</v>
      </c>
      <c r="J29" s="135">
        <f t="shared" si="60"/>
        <v>1.1987347108785096</v>
      </c>
      <c r="K29" s="135">
        <f t="shared" si="60"/>
        <v>0.89895594152164882</v>
      </c>
      <c r="L29" s="135">
        <f t="shared" si="60"/>
        <v>1.3742690058479532</v>
      </c>
      <c r="M29" s="135">
        <f t="shared" si="60"/>
        <v>1.1997519260338858</v>
      </c>
      <c r="S29" s="205" t="s">
        <v>529</v>
      </c>
      <c r="T29" s="135">
        <f>1-((T5-T15)/T5)</f>
        <v>1.1648713916093052</v>
      </c>
      <c r="U29" s="135">
        <f t="shared" ref="U29:AB29" si="61">1-((U5-U15)/U5)</f>
        <v>1.1535202823481536</v>
      </c>
      <c r="V29" s="135">
        <f t="shared" si="61"/>
        <v>1.0180921890784347</v>
      </c>
      <c r="W29" s="135">
        <f t="shared" si="61"/>
        <v>0.9829658164730829</v>
      </c>
      <c r="X29" s="135">
        <f t="shared" si="61"/>
        <v>0.87071454833107254</v>
      </c>
      <c r="Y29" s="135">
        <f t="shared" si="61"/>
        <v>0.89960470851787522</v>
      </c>
      <c r="Z29" s="135">
        <f t="shared" si="61"/>
        <v>1.1590119269625772</v>
      </c>
      <c r="AA29" s="135">
        <f t="shared" si="61"/>
        <v>1.43721059972106</v>
      </c>
      <c r="AB29" s="135">
        <f t="shared" si="61"/>
        <v>1.2356350675048313</v>
      </c>
      <c r="AM29" s="205" t="s">
        <v>529</v>
      </c>
      <c r="AN29" s="135">
        <f>1-((AN5-AN15)/AN5)</f>
        <v>1.1306941189860362</v>
      </c>
      <c r="AO29" s="135">
        <f t="shared" ref="AO29:AV29" si="62">1-((AO5-AO15)/AO5)</f>
        <v>0.81570196289576913</v>
      </c>
      <c r="AP29" s="135">
        <f t="shared" si="62"/>
        <v>1.3488990848318534</v>
      </c>
      <c r="AQ29" s="135">
        <f t="shared" si="62"/>
        <v>0.86915290537264578</v>
      </c>
      <c r="AR29" s="135">
        <f t="shared" si="62"/>
        <v>0.93422026296000527</v>
      </c>
      <c r="AS29" s="135">
        <f t="shared" si="62"/>
        <v>1.1987347108785096</v>
      </c>
      <c r="AT29" s="135">
        <f t="shared" si="62"/>
        <v>0.89895594152164882</v>
      </c>
      <c r="AU29" s="135">
        <f t="shared" si="62"/>
        <v>1.3742690058479532</v>
      </c>
      <c r="AV29" s="135">
        <f t="shared" si="62"/>
        <v>1.1997519260338858</v>
      </c>
      <c r="BB29" s="205" t="s">
        <v>529</v>
      </c>
      <c r="BC29" s="135">
        <f>1-((BC5-BC15)/BC5)</f>
        <v>1.1648713916093052</v>
      </c>
      <c r="BD29" s="135">
        <f t="shared" ref="BD29:BK29" si="63">1-((BD5-BD15)/BD5)</f>
        <v>1.1535202823481536</v>
      </c>
      <c r="BE29" s="135">
        <f t="shared" si="63"/>
        <v>1.0180921890784347</v>
      </c>
      <c r="BF29" s="135">
        <f t="shared" si="63"/>
        <v>0.9829658164730829</v>
      </c>
      <c r="BG29" s="135">
        <f t="shared" si="63"/>
        <v>0.87071454833107254</v>
      </c>
      <c r="BH29" s="135">
        <f t="shared" si="63"/>
        <v>0.89960470851787522</v>
      </c>
      <c r="BI29" s="135">
        <f t="shared" si="63"/>
        <v>1.1590119269625772</v>
      </c>
      <c r="BJ29" s="135">
        <f t="shared" si="63"/>
        <v>1.43721059972106</v>
      </c>
      <c r="BK29" s="135">
        <f t="shared" si="63"/>
        <v>1.2356350675048313</v>
      </c>
      <c r="BR29" s="272"/>
      <c r="BV29" s="205" t="s">
        <v>529</v>
      </c>
      <c r="BW29" s="135">
        <f>1-((BW5-BW15)/BW5)</f>
        <v>1.1306941189860362</v>
      </c>
      <c r="BX29" s="135">
        <f t="shared" ref="BX29:CE29" si="64">1-((BX5-BX15)/BX5)</f>
        <v>0.81570196289576913</v>
      </c>
      <c r="BY29" s="135">
        <f t="shared" si="64"/>
        <v>1.3488990848318534</v>
      </c>
      <c r="BZ29" s="135">
        <f t="shared" si="64"/>
        <v>0.86915290537264578</v>
      </c>
      <c r="CA29" s="135">
        <f t="shared" si="64"/>
        <v>0.93422026296000527</v>
      </c>
      <c r="CB29" s="135">
        <f t="shared" si="64"/>
        <v>1.1987347108785096</v>
      </c>
      <c r="CC29" s="135">
        <f t="shared" si="64"/>
        <v>0.89895594152164882</v>
      </c>
      <c r="CD29" s="135">
        <f t="shared" si="64"/>
        <v>1.3742690058479532</v>
      </c>
      <c r="CE29" s="135">
        <f t="shared" si="64"/>
        <v>1.1997519260338858</v>
      </c>
      <c r="CK29" s="205" t="s">
        <v>529</v>
      </c>
      <c r="CL29" s="135">
        <f>1-((CL5-CL15)/CL5)</f>
        <v>1.1648713916093052</v>
      </c>
      <c r="CM29" s="135">
        <f t="shared" ref="CM29:CT29" si="65">1-((CM5-CM15)/CM5)</f>
        <v>1.1535202823481536</v>
      </c>
      <c r="CN29" s="135">
        <f t="shared" si="65"/>
        <v>1.0180921890784347</v>
      </c>
      <c r="CO29" s="135">
        <f t="shared" si="65"/>
        <v>0.9829658164730829</v>
      </c>
      <c r="CP29" s="135">
        <f t="shared" si="65"/>
        <v>0.87071454833107254</v>
      </c>
      <c r="CQ29" s="135">
        <f t="shared" si="65"/>
        <v>0.89960470851787522</v>
      </c>
      <c r="CR29" s="135">
        <f t="shared" si="65"/>
        <v>1.1590119269625772</v>
      </c>
      <c r="CS29" s="135">
        <f t="shared" si="65"/>
        <v>1.43721059972106</v>
      </c>
      <c r="CT29" s="135">
        <f t="shared" si="65"/>
        <v>1.2356350675048313</v>
      </c>
    </row>
    <row r="30" spans="4:98" x14ac:dyDescent="0.35">
      <c r="D30" s="205"/>
      <c r="AM30" s="205"/>
      <c r="BR30" s="272"/>
      <c r="BV30" s="205"/>
    </row>
    <row r="31" spans="4:98" s="214" customFormat="1" x14ac:dyDescent="0.35">
      <c r="D31" s="215"/>
      <c r="AI31" s="272"/>
      <c r="AM31" s="215"/>
      <c r="BR31" s="272"/>
      <c r="BV31" s="215"/>
    </row>
    <row r="32" spans="4:98" x14ac:dyDescent="0.35">
      <c r="BR32" s="272"/>
    </row>
    <row r="33" spans="4:98" x14ac:dyDescent="0.35">
      <c r="D33" s="195" t="s">
        <v>304</v>
      </c>
      <c r="S33" s="195" t="s">
        <v>304</v>
      </c>
      <c r="AM33" s="195" t="s">
        <v>304</v>
      </c>
      <c r="BB33" s="195" t="s">
        <v>304</v>
      </c>
      <c r="BR33" s="272"/>
      <c r="BV33" s="195" t="s">
        <v>304</v>
      </c>
      <c r="CK33" s="195" t="s">
        <v>304</v>
      </c>
    </row>
    <row r="34" spans="4:98" ht="16" thickBot="1" x14ac:dyDescent="0.4">
      <c r="D34" s="9" t="s">
        <v>444</v>
      </c>
      <c r="E34" s="9" t="s">
        <v>3</v>
      </c>
      <c r="F34" s="9" t="s">
        <v>4</v>
      </c>
      <c r="G34" s="9" t="s">
        <v>5</v>
      </c>
      <c r="H34" s="9" t="s">
        <v>6</v>
      </c>
      <c r="I34" s="9" t="s">
        <v>7</v>
      </c>
      <c r="J34" s="9" t="s">
        <v>8</v>
      </c>
      <c r="K34" s="9" t="s">
        <v>9</v>
      </c>
      <c r="L34" s="9" t="s">
        <v>10</v>
      </c>
      <c r="M34" s="9" t="s">
        <v>139</v>
      </c>
      <c r="S34" s="9" t="s">
        <v>444</v>
      </c>
      <c r="T34" s="9" t="s">
        <v>3</v>
      </c>
      <c r="U34" s="9" t="s">
        <v>4</v>
      </c>
      <c r="V34" s="9" t="s">
        <v>5</v>
      </c>
      <c r="W34" s="9" t="s">
        <v>6</v>
      </c>
      <c r="X34" s="9" t="s">
        <v>7</v>
      </c>
      <c r="Y34" s="9" t="s">
        <v>8</v>
      </c>
      <c r="Z34" s="9" t="s">
        <v>9</v>
      </c>
      <c r="AA34" s="9" t="s">
        <v>10</v>
      </c>
      <c r="AB34" s="9" t="s">
        <v>139</v>
      </c>
      <c r="AM34" s="9" t="s">
        <v>444</v>
      </c>
      <c r="AN34" s="9" t="s">
        <v>3</v>
      </c>
      <c r="AO34" s="9" t="s">
        <v>4</v>
      </c>
      <c r="AP34" s="9" t="s">
        <v>5</v>
      </c>
      <c r="AQ34" s="9" t="s">
        <v>6</v>
      </c>
      <c r="AR34" s="9" t="s">
        <v>7</v>
      </c>
      <c r="AS34" s="9" t="s">
        <v>8</v>
      </c>
      <c r="AT34" s="9" t="s">
        <v>9</v>
      </c>
      <c r="AU34" s="9" t="s">
        <v>10</v>
      </c>
      <c r="AV34" s="9" t="s">
        <v>139</v>
      </c>
      <c r="BB34" s="9" t="s">
        <v>444</v>
      </c>
      <c r="BC34" s="9" t="s">
        <v>3</v>
      </c>
      <c r="BD34" s="9" t="s">
        <v>4</v>
      </c>
      <c r="BE34" s="9" t="s">
        <v>5</v>
      </c>
      <c r="BF34" s="9" t="s">
        <v>6</v>
      </c>
      <c r="BG34" s="9" t="s">
        <v>7</v>
      </c>
      <c r="BH34" s="9" t="s">
        <v>8</v>
      </c>
      <c r="BI34" s="9" t="s">
        <v>9</v>
      </c>
      <c r="BJ34" s="9" t="s">
        <v>10</v>
      </c>
      <c r="BK34" s="9" t="s">
        <v>139</v>
      </c>
      <c r="BR34" s="272"/>
      <c r="BV34" s="9" t="s">
        <v>444</v>
      </c>
      <c r="BW34" s="9" t="s">
        <v>3</v>
      </c>
      <c r="BX34" s="9" t="s">
        <v>4</v>
      </c>
      <c r="BY34" s="9" t="s">
        <v>5</v>
      </c>
      <c r="BZ34" s="9" t="s">
        <v>6</v>
      </c>
      <c r="CA34" s="9" t="s">
        <v>7</v>
      </c>
      <c r="CB34" s="9" t="s">
        <v>8</v>
      </c>
      <c r="CC34" s="9" t="s">
        <v>9</v>
      </c>
      <c r="CD34" s="9" t="s">
        <v>10</v>
      </c>
      <c r="CE34" s="9" t="s">
        <v>139</v>
      </c>
      <c r="CK34" s="9" t="s">
        <v>444</v>
      </c>
      <c r="CL34" s="9" t="s">
        <v>3</v>
      </c>
      <c r="CM34" s="9" t="s">
        <v>4</v>
      </c>
      <c r="CN34" s="9" t="s">
        <v>5</v>
      </c>
      <c r="CO34" s="9" t="s">
        <v>6</v>
      </c>
      <c r="CP34" s="9" t="s">
        <v>7</v>
      </c>
      <c r="CQ34" s="9" t="s">
        <v>8</v>
      </c>
      <c r="CR34" s="9" t="s">
        <v>9</v>
      </c>
      <c r="CS34" s="9" t="s">
        <v>10</v>
      </c>
      <c r="CT34" s="9" t="s">
        <v>139</v>
      </c>
    </row>
    <row r="35" spans="4:98" x14ac:dyDescent="0.35">
      <c r="D35" s="196" t="s">
        <v>530</v>
      </c>
      <c r="E35" s="135">
        <v>4.9070078571428564</v>
      </c>
      <c r="F35" s="289">
        <v>9.8369442857142904</v>
      </c>
      <c r="G35" s="135">
        <v>0.33343489761723955</v>
      </c>
      <c r="H35" s="135">
        <v>0.66656510238276045</v>
      </c>
      <c r="I35" s="135">
        <v>0.20634475431003235</v>
      </c>
      <c r="J35" s="135">
        <v>6.7982352278660507E-2</v>
      </c>
      <c r="K35" s="135">
        <v>14.743952142857101</v>
      </c>
      <c r="L35" s="135">
        <v>25.5</v>
      </c>
      <c r="M35" s="135">
        <v>5.2512964976771643</v>
      </c>
      <c r="S35" s="196" t="s">
        <v>530</v>
      </c>
      <c r="T35" s="135">
        <v>7.7353123076923103</v>
      </c>
      <c r="U35" s="289">
        <v>8.7901376923076899</v>
      </c>
      <c r="V35" s="135">
        <v>0.45971587644037942</v>
      </c>
      <c r="W35" s="135">
        <v>0.54028412355962052</v>
      </c>
      <c r="X35" s="135">
        <v>0.16641068411375592</v>
      </c>
      <c r="Y35" s="135">
        <v>6.2833270905824676E-2</v>
      </c>
      <c r="Z35" s="135">
        <v>16.525449999999999</v>
      </c>
      <c r="AA35" s="135">
        <v>59.07692307692308</v>
      </c>
      <c r="AB35" s="135">
        <v>7.8019167850247788</v>
      </c>
      <c r="AM35" s="196" t="s">
        <v>530</v>
      </c>
      <c r="AN35" s="135">
        <v>5.1062414285714324</v>
      </c>
      <c r="AO35" s="135">
        <v>9.6775728571428576</v>
      </c>
      <c r="AP35" s="135">
        <v>0.34611200813490761</v>
      </c>
      <c r="AQ35" s="135">
        <v>0.65388799186509239</v>
      </c>
      <c r="AR35" s="135">
        <v>0.19835120435705658</v>
      </c>
      <c r="AS35" s="135">
        <v>6.7835682585077509E-2</v>
      </c>
      <c r="AT35" s="135">
        <v>14.783814285714289</v>
      </c>
      <c r="AU35" s="135">
        <v>25.285714285714285</v>
      </c>
      <c r="AV35" s="135">
        <v>5.0233744758113668</v>
      </c>
      <c r="BB35" s="196" t="s">
        <v>530</v>
      </c>
      <c r="BC35" s="135">
        <v>6.8967216666666715</v>
      </c>
      <c r="BD35" s="135">
        <v>10.346153333333328</v>
      </c>
      <c r="BE35" s="135">
        <v>0.37911433962966595</v>
      </c>
      <c r="BF35" s="135">
        <v>0.62088566037033399</v>
      </c>
      <c r="BG35" s="135">
        <v>0.21947455960861642</v>
      </c>
      <c r="BH35" s="135">
        <v>6.2432934206452469E-2</v>
      </c>
      <c r="BI35" s="135">
        <v>17.242875000000002</v>
      </c>
      <c r="BJ35" s="135">
        <v>53.833333333333336</v>
      </c>
      <c r="BK35" s="135">
        <v>8.0665072118208148</v>
      </c>
      <c r="BR35" s="272"/>
      <c r="BV35" s="196" t="s">
        <v>530</v>
      </c>
      <c r="BW35" s="135">
        <v>4.7077742857142795</v>
      </c>
      <c r="BX35" s="135">
        <v>9.9963157142857142</v>
      </c>
      <c r="BY35" s="135">
        <v>0.32075778709957142</v>
      </c>
      <c r="BZ35" s="135">
        <v>0.67924221290042852</v>
      </c>
      <c r="CA35" s="135">
        <v>0.21433830426300812</v>
      </c>
      <c r="CB35" s="135">
        <v>6.8129021972243478E-2</v>
      </c>
      <c r="CC35" s="135">
        <v>14.704089999999995</v>
      </c>
      <c r="CD35" s="135">
        <v>25.714285714285715</v>
      </c>
      <c r="CE35" s="135">
        <v>5.4792185195429601</v>
      </c>
      <c r="CK35" s="196" t="s">
        <v>530</v>
      </c>
      <c r="CL35" s="135">
        <v>8.454104285714287</v>
      </c>
      <c r="CM35" s="135">
        <v>7.4564099999999991</v>
      </c>
      <c r="CN35" s="135">
        <v>0.52880290799241969</v>
      </c>
      <c r="CO35" s="135">
        <v>0.47119709200758031</v>
      </c>
      <c r="CP35" s="135">
        <v>0.1209273622610183</v>
      </c>
      <c r="CQ35" s="135">
        <v>6.3176416648143732E-2</v>
      </c>
      <c r="CR35" s="135">
        <v>15.910514285714287</v>
      </c>
      <c r="CS35" s="135">
        <v>63.571428571428569</v>
      </c>
      <c r="CT35" s="135">
        <v>7.5751249906281766</v>
      </c>
    </row>
    <row r="36" spans="4:98" x14ac:dyDescent="0.35">
      <c r="D36" s="196" t="s">
        <v>538</v>
      </c>
      <c r="E36" s="135">
        <v>5.2263700000000002</v>
      </c>
      <c r="F36" s="135">
        <v>9.6832171428571403</v>
      </c>
      <c r="G36" s="135">
        <v>0.35116533381931231</v>
      </c>
      <c r="H36" s="135">
        <v>0.64883466618068764</v>
      </c>
      <c r="I36" s="135">
        <v>0.19212682735334946</v>
      </c>
      <c r="J36" s="135">
        <v>6.7395633148949294E-2</v>
      </c>
      <c r="K36" s="135">
        <v>14.909587142857145</v>
      </c>
      <c r="L36" s="135">
        <v>32.428571428571431</v>
      </c>
      <c r="M36" s="135">
        <v>6.2078714217042243</v>
      </c>
      <c r="S36" s="205" t="s">
        <v>534</v>
      </c>
      <c r="T36" s="164">
        <v>7.5964283333333356</v>
      </c>
      <c r="U36" s="164">
        <v>8.4606883333333318</v>
      </c>
      <c r="V36" s="164">
        <v>0.4689172271240678</v>
      </c>
      <c r="W36" s="164">
        <v>0.53108277287593209</v>
      </c>
      <c r="X36" s="164">
        <v>0.1454809988819166</v>
      </c>
      <c r="Y36" s="164">
        <v>6.422776611333085E-2</v>
      </c>
      <c r="Z36" s="164">
        <v>16.057116666666669</v>
      </c>
      <c r="AA36" s="164">
        <v>61.333333333333336</v>
      </c>
      <c r="AB36" s="164">
        <v>8.250115600952773</v>
      </c>
      <c r="AM36" s="196" t="s">
        <v>538</v>
      </c>
      <c r="AN36" s="135">
        <v>5.4455</v>
      </c>
      <c r="AO36" s="135">
        <v>10.138434999999999</v>
      </c>
      <c r="AP36" s="135">
        <v>0.34950182648028039</v>
      </c>
      <c r="AQ36" s="135">
        <v>0.65049817351971961</v>
      </c>
      <c r="AR36" s="135">
        <v>0.18419069533165719</v>
      </c>
      <c r="AS36" s="135">
        <v>6.4219766283956425E-2</v>
      </c>
      <c r="AT36" s="135">
        <v>15.583935</v>
      </c>
      <c r="AU36" s="135">
        <v>33.75</v>
      </c>
      <c r="AV36" s="135">
        <v>6.202457878003842</v>
      </c>
      <c r="BB36" s="205" t="s">
        <v>534</v>
      </c>
      <c r="BC36" s="13">
        <v>6.8651166666666681</v>
      </c>
      <c r="BD36" s="13">
        <v>10.055173333333332</v>
      </c>
      <c r="BE36" s="13">
        <v>0.393780049646763</v>
      </c>
      <c r="BF36" s="13">
        <v>0.60621995035323695</v>
      </c>
      <c r="BG36" s="13">
        <v>0.16695800069631372</v>
      </c>
      <c r="BH36" s="13">
        <v>6.1837336970824275E-2</v>
      </c>
      <c r="BI36" s="13">
        <v>16.920289999999998</v>
      </c>
      <c r="BJ36" s="13">
        <v>57</v>
      </c>
      <c r="BK36" s="13">
        <v>8.5861378680119511</v>
      </c>
      <c r="BR36" s="272"/>
      <c r="BV36" s="275" t="s">
        <v>538</v>
      </c>
      <c r="BW36" s="135">
        <v>4.9341966666666668</v>
      </c>
      <c r="BX36" s="135">
        <v>9.0762600000000013</v>
      </c>
      <c r="BY36" s="135">
        <v>0.35338334360468843</v>
      </c>
      <c r="BZ36" s="135">
        <v>0.64661665639531163</v>
      </c>
      <c r="CA36" s="135">
        <v>0.20270833671560592</v>
      </c>
      <c r="CB36" s="135">
        <v>7.1630122302273114E-2</v>
      </c>
      <c r="CC36" s="135">
        <v>14.010456666666668</v>
      </c>
      <c r="CD36" s="135">
        <v>30.666666666666668</v>
      </c>
      <c r="CE36" s="135">
        <v>6.2150894799714012</v>
      </c>
      <c r="CK36" s="205" t="s">
        <v>534</v>
      </c>
      <c r="CL36" s="164">
        <v>8.3277400000000039</v>
      </c>
      <c r="CM36" s="164">
        <v>6.8662033333333321</v>
      </c>
      <c r="CN36" s="164">
        <v>0.54405440460137255</v>
      </c>
      <c r="CO36" s="164">
        <v>0.45594559539862739</v>
      </c>
      <c r="CP36" s="164">
        <v>0.12400399706751947</v>
      </c>
      <c r="CQ36" s="164">
        <v>6.661819525583744E-2</v>
      </c>
      <c r="CR36" s="164">
        <v>15.193943333333337</v>
      </c>
      <c r="CS36" s="164">
        <v>65.666666666666671</v>
      </c>
      <c r="CT36" s="164">
        <v>7.9140933338935939</v>
      </c>
    </row>
    <row r="37" spans="4:98" x14ac:dyDescent="0.35">
      <c r="D37" s="205" t="s">
        <v>529</v>
      </c>
      <c r="E37" s="135">
        <v>5.259535714285712</v>
      </c>
      <c r="F37" s="135">
        <v>9.661640000000002</v>
      </c>
      <c r="G37" s="135">
        <v>0.35365335794051955</v>
      </c>
      <c r="H37" s="135">
        <v>0.64634664205948056</v>
      </c>
      <c r="I37" s="135">
        <v>0.19151414328413915</v>
      </c>
      <c r="J37" s="135">
        <v>6.7130493488541013E-2</v>
      </c>
      <c r="K37" s="135">
        <v>14.921175714285713</v>
      </c>
      <c r="L37" s="135">
        <v>33</v>
      </c>
      <c r="M37" s="135">
        <v>6.2916783894337724</v>
      </c>
      <c r="S37" s="205" t="s">
        <v>529</v>
      </c>
      <c r="T37" s="135">
        <v>8.7397366666666656</v>
      </c>
      <c r="U37" s="135">
        <v>8.7921983333333369</v>
      </c>
      <c r="V37" s="135">
        <v>0.49968515664363672</v>
      </c>
      <c r="W37" s="135">
        <v>0.50031484335636334</v>
      </c>
      <c r="X37" s="135">
        <v>0.11664874350587255</v>
      </c>
      <c r="Y37" s="135">
        <v>5.7162069405672283E-2</v>
      </c>
      <c r="Z37" s="135">
        <v>17.531935000000001</v>
      </c>
      <c r="AA37" s="135">
        <v>90.166666666666671</v>
      </c>
      <c r="AB37" s="135">
        <v>10.433892908809684</v>
      </c>
      <c r="AM37" s="205" t="s">
        <v>529</v>
      </c>
      <c r="AN37" s="135">
        <v>5.259535714285712</v>
      </c>
      <c r="AO37" s="135">
        <v>9.661640000000002</v>
      </c>
      <c r="AP37" s="135">
        <v>0.35365335794051955</v>
      </c>
      <c r="AQ37" s="135">
        <v>0.64634664205948056</v>
      </c>
      <c r="AR37" s="135">
        <v>0.19151414328413915</v>
      </c>
      <c r="AS37" s="135">
        <v>6.7130493488541013E-2</v>
      </c>
      <c r="AT37" s="135">
        <v>14.921175714285713</v>
      </c>
      <c r="AU37" s="135">
        <v>33</v>
      </c>
      <c r="AV37" s="135">
        <v>6.2916783894337724</v>
      </c>
      <c r="BB37" s="205" t="s">
        <v>529</v>
      </c>
      <c r="BC37" s="135">
        <v>7.6210266666666557</v>
      </c>
      <c r="BD37" s="135">
        <v>10.091986666666676</v>
      </c>
      <c r="BE37" s="135">
        <v>0.4311000760209987</v>
      </c>
      <c r="BF37" s="135">
        <v>0.56889992397900135</v>
      </c>
      <c r="BG37" s="135">
        <v>0.13146366825568476</v>
      </c>
      <c r="BH37" s="135">
        <v>5.6498296170789358E-2</v>
      </c>
      <c r="BI37" s="135">
        <v>17.713013333333333</v>
      </c>
      <c r="BJ37" s="135">
        <v>87</v>
      </c>
      <c r="BK37" s="135">
        <v>11.373439915966694</v>
      </c>
      <c r="BR37" s="272"/>
      <c r="BV37" s="276" t="s">
        <v>529</v>
      </c>
      <c r="BW37" s="274">
        <v>5.259535714285712</v>
      </c>
      <c r="BX37" s="274">
        <v>9.661640000000002</v>
      </c>
      <c r="BY37" s="274">
        <v>0.35365335794051955</v>
      </c>
      <c r="BZ37" s="274">
        <v>0.64634664205948056</v>
      </c>
      <c r="CA37" s="274">
        <v>0.19151414328413915</v>
      </c>
      <c r="CB37" s="274">
        <v>6.7130493488541013E-2</v>
      </c>
      <c r="CC37" s="274">
        <v>14.921175714285713</v>
      </c>
      <c r="CD37" s="274">
        <v>33</v>
      </c>
      <c r="CE37" s="274">
        <v>6.2916783894337724</v>
      </c>
      <c r="CF37" s="274"/>
      <c r="CG37" s="358" t="s">
        <v>718</v>
      </c>
      <c r="CH37" s="359"/>
      <c r="CK37" s="205" t="s">
        <v>529</v>
      </c>
      <c r="CL37" s="135">
        <v>9.8584466666666746</v>
      </c>
      <c r="CM37" s="135">
        <v>7.4924099999999969</v>
      </c>
      <c r="CN37" s="135">
        <v>0.56827023726627468</v>
      </c>
      <c r="CO37" s="135">
        <v>0.43172976273372532</v>
      </c>
      <c r="CP37" s="135">
        <v>0.1018338187560603</v>
      </c>
      <c r="CQ37" s="135">
        <v>5.7825842640555229E-2</v>
      </c>
      <c r="CR37" s="135">
        <v>17.350856666666672</v>
      </c>
      <c r="CS37" s="135">
        <v>93.333333333333329</v>
      </c>
      <c r="CT37" s="135">
        <v>9.494345901652677</v>
      </c>
    </row>
    <row r="38" spans="4:98" x14ac:dyDescent="0.35">
      <c r="D38" s="196" t="s">
        <v>553</v>
      </c>
      <c r="E38" s="135">
        <v>5.377565714285713</v>
      </c>
      <c r="F38" s="135">
        <v>9.2575200000000013</v>
      </c>
      <c r="G38" s="135">
        <v>0.36798534430852364</v>
      </c>
      <c r="H38" s="135">
        <v>0.6320146556914763</v>
      </c>
      <c r="I38" s="135">
        <v>0.18693622290498532</v>
      </c>
      <c r="J38" s="135">
        <v>6.8556124867598281E-2</v>
      </c>
      <c r="K38" s="135">
        <v>14.635085714285713</v>
      </c>
      <c r="L38" s="135">
        <v>36.571428571428569</v>
      </c>
      <c r="M38" s="135">
        <v>6.80342848147491</v>
      </c>
      <c r="S38" s="205" t="s">
        <v>531</v>
      </c>
      <c r="T38" s="135">
        <v>7.4492199999999968</v>
      </c>
      <c r="U38" s="135">
        <v>10.141226666666673</v>
      </c>
      <c r="V38" s="135">
        <v>0.42145679742277942</v>
      </c>
      <c r="W38" s="135">
        <v>0.57854320257722058</v>
      </c>
      <c r="X38" s="135">
        <v>0.14104613991011758</v>
      </c>
      <c r="Y38" s="135">
        <v>5.7555787431885858E-2</v>
      </c>
      <c r="Z38" s="135">
        <v>17.590446666666669</v>
      </c>
      <c r="AA38" s="135">
        <v>64.333333333333329</v>
      </c>
      <c r="AB38" s="135">
        <v>8.7949319420219627</v>
      </c>
      <c r="AL38" s="277"/>
      <c r="AM38" s="275" t="s">
        <v>553</v>
      </c>
      <c r="AN38" s="277">
        <v>5.377565714285713</v>
      </c>
      <c r="AO38" s="277">
        <v>9.2575200000000013</v>
      </c>
      <c r="AP38" s="277">
        <v>0.36798534430852364</v>
      </c>
      <c r="AQ38" s="277">
        <v>0.6320146556914763</v>
      </c>
      <c r="AR38" s="277">
        <v>0.18693622290498532</v>
      </c>
      <c r="AS38" s="277">
        <v>6.8556124867598281E-2</v>
      </c>
      <c r="AT38" s="277">
        <v>14.635085714285713</v>
      </c>
      <c r="AU38" s="277">
        <v>36.571428571428569</v>
      </c>
      <c r="AV38" s="277">
        <v>6.80342848147491</v>
      </c>
      <c r="AW38" s="277"/>
      <c r="AX38" s="277"/>
      <c r="AY38" s="277"/>
      <c r="AZ38" s="277"/>
      <c r="BA38" s="277"/>
      <c r="BB38" s="276" t="s">
        <v>531</v>
      </c>
      <c r="BC38" s="277">
        <v>6.8528366666666711</v>
      </c>
      <c r="BD38" s="135">
        <v>10.898470000000012</v>
      </c>
      <c r="BE38" s="135">
        <v>0.37927108630011874</v>
      </c>
      <c r="BF38" s="135">
        <v>0.62072891369988126</v>
      </c>
      <c r="BG38" s="135">
        <v>0.15778328607583847</v>
      </c>
      <c r="BH38" s="135">
        <v>5.7476300122378053E-2</v>
      </c>
      <c r="BI38" s="135">
        <v>17.751306666666682</v>
      </c>
      <c r="BJ38" s="135">
        <v>59.333333333333336</v>
      </c>
      <c r="BK38" s="135">
        <v>8.9719737916978364</v>
      </c>
      <c r="BR38" s="272"/>
      <c r="BV38" s="275" t="s">
        <v>553</v>
      </c>
      <c r="BW38" s="274">
        <v>5.377565714285713</v>
      </c>
      <c r="BX38" s="274">
        <v>9.2575200000000013</v>
      </c>
      <c r="BY38" s="274">
        <v>0.36798534430852364</v>
      </c>
      <c r="BZ38" s="274">
        <v>0.6320146556914763</v>
      </c>
      <c r="CA38" s="274">
        <v>0.18693622290498532</v>
      </c>
      <c r="CB38" s="274">
        <v>6.8556124867598281E-2</v>
      </c>
      <c r="CC38" s="274">
        <v>14.635085714285713</v>
      </c>
      <c r="CD38" s="274">
        <v>36.571428571428569</v>
      </c>
      <c r="CE38" s="274">
        <v>6.80342848147491</v>
      </c>
      <c r="CF38" s="274"/>
      <c r="CG38" s="359"/>
      <c r="CH38" s="359"/>
      <c r="CK38" s="205" t="s">
        <v>531</v>
      </c>
      <c r="CL38" s="135">
        <v>8.0456033333333234</v>
      </c>
      <c r="CM38" s="135">
        <v>9.3839833333333331</v>
      </c>
      <c r="CN38" s="135">
        <v>0.46364250854544004</v>
      </c>
      <c r="CO38" s="135">
        <v>0.53635749145455991</v>
      </c>
      <c r="CP38" s="135">
        <v>0.12430899374439669</v>
      </c>
      <c r="CQ38" s="135">
        <v>5.7635274741393662E-2</v>
      </c>
      <c r="CR38" s="135">
        <v>17.429586666666655</v>
      </c>
      <c r="CS38" s="135">
        <v>69.333333333333329</v>
      </c>
      <c r="CT38" s="135">
        <v>8.617890092346089</v>
      </c>
    </row>
    <row r="39" spans="4:98" x14ac:dyDescent="0.35">
      <c r="D39" s="205" t="s">
        <v>529</v>
      </c>
      <c r="E39" s="135">
        <v>5.349290000000007</v>
      </c>
      <c r="F39" s="135">
        <v>9.3131437499999929</v>
      </c>
      <c r="G39" s="135">
        <v>0.36457390913785914</v>
      </c>
      <c r="H39" s="135">
        <v>0.63542609086214086</v>
      </c>
      <c r="I39" s="135">
        <v>0.18789981408345935</v>
      </c>
      <c r="J39" s="135">
        <v>6.8339275781118924E-2</v>
      </c>
      <c r="K39" s="135">
        <v>14.66243375</v>
      </c>
      <c r="L39" s="135">
        <v>36.375</v>
      </c>
      <c r="M39" s="135">
        <v>6.8089255062521969</v>
      </c>
      <c r="S39" s="205" t="s">
        <v>529</v>
      </c>
      <c r="T39" s="135">
        <v>8.9399983333333264</v>
      </c>
      <c r="U39" s="289">
        <v>8.9411900000000148</v>
      </c>
      <c r="V39" s="135">
        <v>0.50260606274135022</v>
      </c>
      <c r="W39" s="135">
        <v>0.49739393725864978</v>
      </c>
      <c r="X39" s="135">
        <v>0.11211802143172954</v>
      </c>
      <c r="Y39" s="135">
        <v>5.6212900717533459E-2</v>
      </c>
      <c r="Z39" s="135">
        <v>17.881188333333341</v>
      </c>
      <c r="AA39" s="135">
        <v>85.833333333333329</v>
      </c>
      <c r="AB39" s="135">
        <v>9.592379617167003</v>
      </c>
      <c r="AL39" s="277"/>
      <c r="AM39" s="276" t="s">
        <v>529</v>
      </c>
      <c r="AN39" s="277">
        <v>5.349290000000007</v>
      </c>
      <c r="AO39" s="277">
        <v>9.3131437499999929</v>
      </c>
      <c r="AP39" s="277">
        <v>0.36457390913785914</v>
      </c>
      <c r="AQ39" s="277">
        <v>0.63542609086214086</v>
      </c>
      <c r="AR39" s="277">
        <v>0.18789981408345935</v>
      </c>
      <c r="AS39" s="277">
        <v>6.8339275781118924E-2</v>
      </c>
      <c r="AT39" s="277">
        <v>14.66243375</v>
      </c>
      <c r="AU39" s="277">
        <v>36.375</v>
      </c>
      <c r="AV39" s="277">
        <v>6.8089255062521969</v>
      </c>
      <c r="AW39" s="277"/>
      <c r="AX39" s="277"/>
      <c r="AY39" s="277"/>
      <c r="AZ39" s="277"/>
      <c r="BA39" s="277"/>
      <c r="BB39" s="276" t="s">
        <v>529</v>
      </c>
      <c r="BC39" s="277">
        <v>8.7697499999999877</v>
      </c>
      <c r="BD39" s="135">
        <v>10.268620000000018</v>
      </c>
      <c r="BE39" s="135">
        <v>0.46076456830765578</v>
      </c>
      <c r="BF39" s="135">
        <v>0.53923543169234411</v>
      </c>
      <c r="BG39" s="135">
        <v>0.11412495688792684</v>
      </c>
      <c r="BH39" s="135">
        <v>5.2531091539088991E-2</v>
      </c>
      <c r="BI39" s="135">
        <v>19.038370000000004</v>
      </c>
      <c r="BJ39" s="135">
        <v>84.666666666666671</v>
      </c>
      <c r="BK39" s="135">
        <v>9.6455282730434977</v>
      </c>
      <c r="BR39" s="272"/>
      <c r="BV39" s="276" t="s">
        <v>529</v>
      </c>
      <c r="BW39" s="274">
        <v>5.349290000000007</v>
      </c>
      <c r="BX39" s="274">
        <v>9.3131437499999929</v>
      </c>
      <c r="BY39" s="274">
        <v>0.36457390913785914</v>
      </c>
      <c r="BZ39" s="274">
        <v>0.63542609086214086</v>
      </c>
      <c r="CA39" s="274">
        <v>0.18789981408345935</v>
      </c>
      <c r="CB39" s="274">
        <v>6.8339275781118924E-2</v>
      </c>
      <c r="CC39" s="274">
        <v>14.66243375</v>
      </c>
      <c r="CD39" s="274">
        <v>36.375</v>
      </c>
      <c r="CE39" s="274">
        <v>6.8089255062521969</v>
      </c>
      <c r="CF39" s="274"/>
      <c r="CG39" s="359"/>
      <c r="CH39" s="359"/>
      <c r="CK39" s="205" t="s">
        <v>529</v>
      </c>
      <c r="CL39" s="135">
        <v>9.1102466666666633</v>
      </c>
      <c r="CM39" s="135">
        <v>7.6137600000000134</v>
      </c>
      <c r="CN39" s="135">
        <v>0.54444755717504467</v>
      </c>
      <c r="CO39" s="135">
        <v>0.45555244282495533</v>
      </c>
      <c r="CP39" s="135">
        <v>0.11011108597553221</v>
      </c>
      <c r="CQ39" s="135">
        <v>5.9894709895977928E-2</v>
      </c>
      <c r="CR39" s="135">
        <v>16.724006666666678</v>
      </c>
      <c r="CS39" s="135">
        <v>87</v>
      </c>
      <c r="CT39" s="135">
        <v>9.5392309612905084</v>
      </c>
    </row>
    <row r="40" spans="4:98" x14ac:dyDescent="0.35">
      <c r="D40" s="196" t="s">
        <v>552</v>
      </c>
      <c r="E40" s="135">
        <v>5.7655442857142845</v>
      </c>
      <c r="F40" s="135">
        <v>8.5667757142857148</v>
      </c>
      <c r="G40" s="135">
        <v>0.40523350214722159</v>
      </c>
      <c r="H40" s="135">
        <v>0.59476649785277835</v>
      </c>
      <c r="I40" s="135">
        <v>0.17521815079477582</v>
      </c>
      <c r="J40" s="135">
        <v>7.0263165276050726E-2</v>
      </c>
      <c r="K40" s="135">
        <v>14.332319999999999</v>
      </c>
      <c r="L40" s="135">
        <v>40.857142857142854</v>
      </c>
      <c r="M40" s="135">
        <v>7.1133359987343905</v>
      </c>
      <c r="S40" s="237" t="s">
        <v>532</v>
      </c>
      <c r="T40" s="135">
        <v>8.6103959999999997</v>
      </c>
      <c r="U40" s="135">
        <v>9.76858</v>
      </c>
      <c r="V40" s="135">
        <v>0.4712164738587824</v>
      </c>
      <c r="W40" s="135">
        <v>0.5287835261412176</v>
      </c>
      <c r="X40" s="135">
        <v>0.1162923627570935</v>
      </c>
      <c r="Y40" s="135">
        <v>5.4870036414628356E-2</v>
      </c>
      <c r="Z40" s="135">
        <v>18.378976000000002</v>
      </c>
      <c r="AA40" s="135">
        <v>69.400000000000006</v>
      </c>
      <c r="AB40" s="135">
        <v>8.0648521079041249</v>
      </c>
      <c r="AL40" s="277"/>
      <c r="AM40" s="275" t="s">
        <v>552</v>
      </c>
      <c r="AN40" s="277">
        <v>5.7655442857142845</v>
      </c>
      <c r="AO40" s="277">
        <v>8.5667757142857148</v>
      </c>
      <c r="AP40" s="277">
        <v>0.40523350214722159</v>
      </c>
      <c r="AQ40" s="277">
        <v>0.59476649785277835</v>
      </c>
      <c r="AR40" s="277">
        <v>0.17521815079477582</v>
      </c>
      <c r="AS40" s="277">
        <v>7.0263165276050726E-2</v>
      </c>
      <c r="AT40" s="277">
        <v>14.332319999999999</v>
      </c>
      <c r="AU40" s="277">
        <v>40.857142857142854</v>
      </c>
      <c r="AV40" s="277">
        <v>7.1133359987343905</v>
      </c>
      <c r="AW40" s="277"/>
      <c r="AX40" s="277"/>
      <c r="AY40" s="277"/>
      <c r="AZ40" s="277"/>
      <c r="BA40" s="277"/>
      <c r="BB40" s="276" t="s">
        <v>532</v>
      </c>
      <c r="BC40" s="277">
        <v>8.7868949999999977</v>
      </c>
      <c r="BD40" s="135">
        <v>11.094280000000001</v>
      </c>
      <c r="BE40" s="135">
        <v>0.44215018416335694</v>
      </c>
      <c r="BF40" s="135">
        <v>0.55784981583664306</v>
      </c>
      <c r="BG40" s="135">
        <v>0.11382087450109485</v>
      </c>
      <c r="BH40" s="135">
        <v>5.0334718063626438E-2</v>
      </c>
      <c r="BI40" s="135">
        <v>19.881174999999999</v>
      </c>
      <c r="BJ40" s="135">
        <v>67.5</v>
      </c>
      <c r="BK40" s="135">
        <v>7.6809470622584524</v>
      </c>
      <c r="BR40" s="272"/>
      <c r="BV40" s="275" t="s">
        <v>552</v>
      </c>
      <c r="BW40" s="274">
        <v>5.7655442857142845</v>
      </c>
      <c r="BX40" s="274">
        <v>8.5667757142857148</v>
      </c>
      <c r="BY40" s="274">
        <v>0.40523350214722159</v>
      </c>
      <c r="BZ40" s="274">
        <v>0.59476649785277835</v>
      </c>
      <c r="CA40" s="274">
        <v>0.17521815079477582</v>
      </c>
      <c r="CB40" s="274">
        <v>7.0263165276050726E-2</v>
      </c>
      <c r="CC40" s="274">
        <v>14.332319999999999</v>
      </c>
      <c r="CD40" s="274">
        <v>40.857142857142854</v>
      </c>
      <c r="CE40" s="274">
        <v>7.1133359987343905</v>
      </c>
      <c r="CF40" s="274"/>
      <c r="CG40" s="359"/>
      <c r="CH40" s="359"/>
      <c r="CK40" s="276" t="s">
        <v>532</v>
      </c>
      <c r="CL40" s="135">
        <v>8.4927300000000034</v>
      </c>
      <c r="CM40" s="135">
        <v>8.8847799999999975</v>
      </c>
      <c r="CN40" s="135">
        <v>0.49059400032239942</v>
      </c>
      <c r="CO40" s="135">
        <v>0.5094059996776007</v>
      </c>
      <c r="CP40" s="135">
        <v>0.11794002159442592</v>
      </c>
      <c r="CQ40" s="135">
        <v>5.7893581981962962E-2</v>
      </c>
      <c r="CR40" s="135">
        <v>17.377510000000001</v>
      </c>
      <c r="CS40" s="135">
        <v>70.666666666666671</v>
      </c>
      <c r="CT40" s="135">
        <v>8.3207888050012411</v>
      </c>
    </row>
    <row r="41" spans="4:98" x14ac:dyDescent="0.35">
      <c r="D41" s="205" t="s">
        <v>529</v>
      </c>
      <c r="E41" s="135">
        <v>5.4772199999999964</v>
      </c>
      <c r="F41" s="135">
        <v>9.3119114285714328</v>
      </c>
      <c r="G41" s="135">
        <v>0.37024049770263379</v>
      </c>
      <c r="H41" s="135">
        <v>0.62975950229736621</v>
      </c>
      <c r="I41" s="135">
        <v>0.1837262539358088</v>
      </c>
      <c r="J41" s="135">
        <v>6.7860879360776935E-2</v>
      </c>
      <c r="K41" s="135">
        <v>14.789131428571428</v>
      </c>
      <c r="L41" s="135">
        <v>40</v>
      </c>
      <c r="M41" s="135">
        <v>7.3285899478721603</v>
      </c>
      <c r="S41" s="205" t="s">
        <v>529</v>
      </c>
      <c r="T41" s="135">
        <v>8.2269829411764732</v>
      </c>
      <c r="U41" s="289">
        <v>10.74862764705882</v>
      </c>
      <c r="V41" s="135">
        <v>0.4383747972860515</v>
      </c>
      <c r="W41" s="135">
        <v>0.56162520271394856</v>
      </c>
      <c r="X41" s="135">
        <v>0.1229820079398538</v>
      </c>
      <c r="Y41" s="135">
        <v>5.3060454459895788E-2</v>
      </c>
      <c r="Z41" s="135">
        <v>18.975610588235295</v>
      </c>
      <c r="AA41" s="135">
        <v>62.764705882352942</v>
      </c>
      <c r="AB41" s="135">
        <v>7.6968447469309522</v>
      </c>
      <c r="AL41" s="277"/>
      <c r="AM41" s="276" t="s">
        <v>529</v>
      </c>
      <c r="AN41" s="277">
        <v>5.4640066666666627</v>
      </c>
      <c r="AO41" s="277">
        <v>9.284966666666671</v>
      </c>
      <c r="AP41" s="277">
        <v>0.37033191770517088</v>
      </c>
      <c r="AQ41" s="277">
        <v>0.62966808229482918</v>
      </c>
      <c r="AR41" s="277">
        <v>0.18435239539159096</v>
      </c>
      <c r="AS41" s="277">
        <v>6.8082151698901833E-2</v>
      </c>
      <c r="AT41" s="277">
        <v>14.748973333333334</v>
      </c>
      <c r="AU41" s="277">
        <v>40.333333333333336</v>
      </c>
      <c r="AV41" s="277">
        <v>7.4102153729104536</v>
      </c>
      <c r="AW41" s="277"/>
      <c r="AX41" s="277"/>
      <c r="AY41" s="277"/>
      <c r="AZ41" s="277"/>
      <c r="BA41" s="277"/>
      <c r="BB41" s="276" t="s">
        <v>529</v>
      </c>
      <c r="BC41" s="277">
        <v>7.5859633333333409</v>
      </c>
      <c r="BD41" s="135">
        <v>12.469969999999993</v>
      </c>
      <c r="BE41" s="135">
        <v>0.37936237873673762</v>
      </c>
      <c r="BF41" s="135">
        <v>0.62063762126326238</v>
      </c>
      <c r="BG41" s="135">
        <v>0.13222632180317306</v>
      </c>
      <c r="BH41" s="135">
        <v>5.0026992580881988E-2</v>
      </c>
      <c r="BI41" s="135">
        <v>20.055933333333332</v>
      </c>
      <c r="BJ41" s="135">
        <v>60.444444444444443</v>
      </c>
      <c r="BK41" s="135">
        <v>7.9877513629472183</v>
      </c>
      <c r="BR41" s="272"/>
      <c r="BV41" s="276" t="s">
        <v>529</v>
      </c>
      <c r="BW41" s="274">
        <v>5.4640066666666627</v>
      </c>
      <c r="BX41" s="274">
        <v>9.284966666666671</v>
      </c>
      <c r="BY41" s="274">
        <v>0.37033191770517088</v>
      </c>
      <c r="BZ41" s="274">
        <v>0.62966808229482918</v>
      </c>
      <c r="CA41" s="274">
        <v>0.18435239539159096</v>
      </c>
      <c r="CB41" s="274">
        <v>6.8082151698901833E-2</v>
      </c>
      <c r="CC41" s="274">
        <v>14.748973333333334</v>
      </c>
      <c r="CD41" s="274">
        <v>40.333333333333336</v>
      </c>
      <c r="CE41" s="274">
        <v>7.4102153729104536</v>
      </c>
      <c r="CF41" s="274"/>
      <c r="CG41" s="359"/>
      <c r="CH41" s="359"/>
      <c r="CK41" s="205" t="s">
        <v>529</v>
      </c>
      <c r="CL41" s="135">
        <v>8.948129999999999</v>
      </c>
      <c r="CM41" s="135">
        <v>8.8121174999999994</v>
      </c>
      <c r="CN41" s="135">
        <v>0.50476376815402957</v>
      </c>
      <c r="CO41" s="135">
        <v>0.49523623184597038</v>
      </c>
      <c r="CP41" s="135">
        <v>0.11258215484361964</v>
      </c>
      <c r="CQ41" s="135">
        <v>5.6473099073786323E-2</v>
      </c>
      <c r="CR41" s="135">
        <v>17.760247499999998</v>
      </c>
      <c r="CS41" s="135">
        <v>65.375</v>
      </c>
      <c r="CT41" s="135">
        <v>7.3695748039126503</v>
      </c>
    </row>
    <row r="42" spans="4:98" x14ac:dyDescent="0.35">
      <c r="D42" s="236" t="s">
        <v>551</v>
      </c>
      <c r="E42" s="135">
        <v>6.1580828571428583</v>
      </c>
      <c r="F42" s="135">
        <v>8.102218571428569</v>
      </c>
      <c r="G42" s="135">
        <v>0.43214954856595605</v>
      </c>
      <c r="H42" s="135">
        <v>0.567850451434044</v>
      </c>
      <c r="I42" s="135">
        <v>0.16318104700120045</v>
      </c>
      <c r="J42" s="135">
        <v>7.0187230598187586E-2</v>
      </c>
      <c r="K42" s="135">
        <v>14.260301428571427</v>
      </c>
      <c r="L42" s="135">
        <v>44</v>
      </c>
      <c r="M42" s="135">
        <v>7.1476014883749981</v>
      </c>
      <c r="S42" s="205"/>
      <c r="AL42" s="277"/>
      <c r="AM42" s="275" t="s">
        <v>551</v>
      </c>
      <c r="AN42" s="277">
        <v>6.385043333333333</v>
      </c>
      <c r="AO42" s="277">
        <v>8.1043433333333326</v>
      </c>
      <c r="AP42" s="277">
        <v>0.4404016634322499</v>
      </c>
      <c r="AQ42" s="277">
        <v>0.55959833656775004</v>
      </c>
      <c r="AR42" s="277">
        <v>0.15749435256930092</v>
      </c>
      <c r="AS42" s="277">
        <v>6.902971118300838E-2</v>
      </c>
      <c r="AT42" s="277">
        <v>14.489386666666666</v>
      </c>
      <c r="AU42" s="277">
        <v>45</v>
      </c>
      <c r="AV42" s="277">
        <v>7.0352970473422127</v>
      </c>
      <c r="AW42" s="277"/>
      <c r="AX42" s="277"/>
      <c r="AY42" s="277"/>
      <c r="AZ42" s="277"/>
      <c r="BA42" s="277"/>
      <c r="BB42" s="276"/>
      <c r="BC42" s="277"/>
      <c r="BR42" s="272"/>
      <c r="BV42" s="275" t="s">
        <v>551</v>
      </c>
      <c r="BW42" s="135">
        <v>5.987862500000003</v>
      </c>
      <c r="BX42" s="135">
        <v>8.1006249999999973</v>
      </c>
      <c r="BY42" s="135">
        <v>0.42596046241623559</v>
      </c>
      <c r="BZ42" s="135">
        <v>0.57403953758376436</v>
      </c>
      <c r="CA42" s="135">
        <v>0.16744606782512508</v>
      </c>
      <c r="CB42" s="135">
        <v>7.1055370159571987E-2</v>
      </c>
      <c r="CC42" s="135">
        <v>14.088487499999999</v>
      </c>
      <c r="CD42" s="135">
        <v>43.25</v>
      </c>
      <c r="CE42" s="135">
        <v>7.2318298191495867</v>
      </c>
      <c r="CK42" s="205"/>
    </row>
    <row r="43" spans="4:98" x14ac:dyDescent="0.35">
      <c r="D43" s="205" t="s">
        <v>529</v>
      </c>
      <c r="E43" s="135">
        <v>5.422648571428577</v>
      </c>
      <c r="F43" s="289">
        <v>9.3401642857142804</v>
      </c>
      <c r="G43" s="135">
        <v>0.36748478161091597</v>
      </c>
      <c r="H43" s="135">
        <v>0.63251521838908409</v>
      </c>
      <c r="I43" s="135">
        <v>0.18705755701182328</v>
      </c>
      <c r="J43" s="135">
        <v>6.8094975768504776E-2</v>
      </c>
      <c r="K43" s="135">
        <v>14.762812857142858</v>
      </c>
      <c r="L43" s="135">
        <v>40.285714285714285</v>
      </c>
      <c r="M43" s="135">
        <v>7.4482684752116999</v>
      </c>
      <c r="S43" s="205"/>
      <c r="AL43" s="277"/>
      <c r="AM43" s="276" t="s">
        <v>529</v>
      </c>
      <c r="AN43" s="277">
        <v>5.002030000000012</v>
      </c>
      <c r="AO43" s="277">
        <v>9.7399799999999956</v>
      </c>
      <c r="AP43" s="277">
        <v>0.34026999668393332</v>
      </c>
      <c r="AQ43" s="277">
        <v>0.65973000331606668</v>
      </c>
      <c r="AR43" s="277">
        <v>0.20019084850185678</v>
      </c>
      <c r="AS43" s="277">
        <v>6.8073143645447753E-2</v>
      </c>
      <c r="AT43" s="277">
        <v>14.742010000000008</v>
      </c>
      <c r="AU43" s="277">
        <v>38</v>
      </c>
      <c r="AV43" s="277">
        <v>7.5925046319859053</v>
      </c>
      <c r="AW43" s="277"/>
      <c r="AX43" s="277"/>
      <c r="AY43" s="277"/>
      <c r="AZ43" s="277"/>
      <c r="BA43" s="277"/>
      <c r="BB43" s="276"/>
      <c r="BC43" s="277"/>
      <c r="BR43" s="272"/>
      <c r="BV43" s="276" t="s">
        <v>529</v>
      </c>
      <c r="BW43" s="135">
        <v>5.9834733333333316</v>
      </c>
      <c r="BX43" s="135">
        <v>8.80707666666666</v>
      </c>
      <c r="BY43" s="135">
        <v>0.40377116151355946</v>
      </c>
      <c r="BZ43" s="135">
        <v>0.59622883848644059</v>
      </c>
      <c r="CA43" s="135">
        <v>0.16954650169177862</v>
      </c>
      <c r="CB43" s="135">
        <v>6.8124085265914139E-2</v>
      </c>
      <c r="CC43" s="135">
        <v>14.790549999999991</v>
      </c>
      <c r="CD43" s="135">
        <v>43.333333333333336</v>
      </c>
      <c r="CE43" s="135">
        <v>7.2559535995127602</v>
      </c>
      <c r="CK43" s="205"/>
    </row>
    <row r="44" spans="4:98" x14ac:dyDescent="0.35">
      <c r="D44" s="205"/>
      <c r="S44" s="205"/>
      <c r="AM44" s="205"/>
      <c r="BB44" s="205"/>
      <c r="BR44" s="272"/>
      <c r="BV44" s="205"/>
      <c r="CK44" s="205"/>
    </row>
    <row r="45" spans="4:98" x14ac:dyDescent="0.35">
      <c r="D45" s="205"/>
      <c r="S45" s="205"/>
      <c r="AM45" s="205"/>
      <c r="BB45" s="205"/>
      <c r="BR45" s="272"/>
      <c r="BV45" s="205"/>
      <c r="CK45" s="205"/>
    </row>
    <row r="46" spans="4:98" x14ac:dyDescent="0.35">
      <c r="D46" s="205" t="s">
        <v>577</v>
      </c>
      <c r="S46" s="205" t="s">
        <v>577</v>
      </c>
      <c r="AM46" s="205" t="s">
        <v>577</v>
      </c>
      <c r="BB46" s="205" t="s">
        <v>577</v>
      </c>
      <c r="BR46" s="272"/>
      <c r="BV46" s="205" t="s">
        <v>577</v>
      </c>
      <c r="CK46" s="205" t="s">
        <v>577</v>
      </c>
    </row>
    <row r="47" spans="4:98" x14ac:dyDescent="0.35">
      <c r="D47" s="196" t="s">
        <v>530</v>
      </c>
      <c r="E47" s="135">
        <f>1-((E35-E35)/E35)</f>
        <v>1</v>
      </c>
      <c r="F47" s="135">
        <f t="shared" ref="F47:M47" si="66">1-((F35-F35)/F35)</f>
        <v>1</v>
      </c>
      <c r="G47" s="135">
        <f t="shared" si="66"/>
        <v>1</v>
      </c>
      <c r="H47" s="135">
        <f t="shared" si="66"/>
        <v>1</v>
      </c>
      <c r="I47" s="135">
        <f t="shared" si="66"/>
        <v>1</v>
      </c>
      <c r="J47" s="135">
        <f t="shared" si="66"/>
        <v>1</v>
      </c>
      <c r="K47" s="135">
        <f t="shared" si="66"/>
        <v>1</v>
      </c>
      <c r="L47" s="135">
        <f t="shared" si="66"/>
        <v>1</v>
      </c>
      <c r="M47" s="135">
        <f t="shared" si="66"/>
        <v>1</v>
      </c>
      <c r="S47" s="196" t="s">
        <v>530</v>
      </c>
      <c r="T47" s="135">
        <f>1-((T35-T35)/T35)</f>
        <v>1</v>
      </c>
      <c r="U47" s="135">
        <f t="shared" ref="U47:AB47" si="67">1-((U35-U35)/U35)</f>
        <v>1</v>
      </c>
      <c r="V47" s="135">
        <f t="shared" si="67"/>
        <v>1</v>
      </c>
      <c r="W47" s="135">
        <f t="shared" si="67"/>
        <v>1</v>
      </c>
      <c r="X47" s="135">
        <f t="shared" si="67"/>
        <v>1</v>
      </c>
      <c r="Y47" s="135">
        <f t="shared" si="67"/>
        <v>1</v>
      </c>
      <c r="Z47" s="135">
        <f t="shared" si="67"/>
        <v>1</v>
      </c>
      <c r="AA47" s="135">
        <f t="shared" si="67"/>
        <v>1</v>
      </c>
      <c r="AB47" s="135">
        <f t="shared" si="67"/>
        <v>1</v>
      </c>
      <c r="AM47" s="196" t="s">
        <v>530</v>
      </c>
      <c r="AN47" s="135">
        <f>1-((AN35-AN35)/AN35)</f>
        <v>1</v>
      </c>
      <c r="AO47" s="135">
        <f t="shared" ref="AO47:AV47" si="68">1-((AO35-AO35)/AO35)</f>
        <v>1</v>
      </c>
      <c r="AP47" s="135">
        <f t="shared" si="68"/>
        <v>1</v>
      </c>
      <c r="AQ47" s="135">
        <f t="shared" si="68"/>
        <v>1</v>
      </c>
      <c r="AR47" s="135">
        <f t="shared" si="68"/>
        <v>1</v>
      </c>
      <c r="AS47" s="135">
        <f t="shared" si="68"/>
        <v>1</v>
      </c>
      <c r="AT47" s="135">
        <f t="shared" si="68"/>
        <v>1</v>
      </c>
      <c r="AU47" s="135">
        <f t="shared" si="68"/>
        <v>1</v>
      </c>
      <c r="AV47" s="135">
        <f t="shared" si="68"/>
        <v>1</v>
      </c>
      <c r="BB47" s="196" t="s">
        <v>530</v>
      </c>
      <c r="BC47" s="135">
        <f>1-((BC35-BC35)/BC35)</f>
        <v>1</v>
      </c>
      <c r="BD47" s="135">
        <f t="shared" ref="BD47:BK47" si="69">1-((BD35-BD35)/BD35)</f>
        <v>1</v>
      </c>
      <c r="BE47" s="135">
        <f t="shared" si="69"/>
        <v>1</v>
      </c>
      <c r="BF47" s="135">
        <f t="shared" si="69"/>
        <v>1</v>
      </c>
      <c r="BG47" s="135">
        <f t="shared" si="69"/>
        <v>1</v>
      </c>
      <c r="BH47" s="135">
        <f t="shared" si="69"/>
        <v>1</v>
      </c>
      <c r="BI47" s="135">
        <f t="shared" si="69"/>
        <v>1</v>
      </c>
      <c r="BJ47" s="135">
        <f t="shared" si="69"/>
        <v>1</v>
      </c>
      <c r="BK47" s="135">
        <f t="shared" si="69"/>
        <v>1</v>
      </c>
      <c r="BR47" s="272"/>
      <c r="BV47" s="196" t="s">
        <v>530</v>
      </c>
      <c r="BW47" s="135">
        <f>1-((BW35-BW35)/BW35)</f>
        <v>1</v>
      </c>
      <c r="BX47" s="135">
        <f t="shared" ref="BX47:CE47" si="70">1-((BX35-BX35)/BX35)</f>
        <v>1</v>
      </c>
      <c r="BY47" s="135">
        <f t="shared" si="70"/>
        <v>1</v>
      </c>
      <c r="BZ47" s="135">
        <f t="shared" si="70"/>
        <v>1</v>
      </c>
      <c r="CA47" s="135">
        <f t="shared" si="70"/>
        <v>1</v>
      </c>
      <c r="CB47" s="135">
        <f t="shared" si="70"/>
        <v>1</v>
      </c>
      <c r="CC47" s="135">
        <f t="shared" si="70"/>
        <v>1</v>
      </c>
      <c r="CD47" s="135">
        <f t="shared" si="70"/>
        <v>1</v>
      </c>
      <c r="CE47" s="135">
        <f t="shared" si="70"/>
        <v>1</v>
      </c>
      <c r="CK47" s="196" t="s">
        <v>530</v>
      </c>
      <c r="CL47" s="135">
        <f>1-((CL35-CL35)/CL35)</f>
        <v>1</v>
      </c>
      <c r="CM47" s="135">
        <f t="shared" ref="CM47:CT47" si="71">1-((CM35-CM35)/CM35)</f>
        <v>1</v>
      </c>
      <c r="CN47" s="135">
        <f t="shared" si="71"/>
        <v>1</v>
      </c>
      <c r="CO47" s="135">
        <f t="shared" si="71"/>
        <v>1</v>
      </c>
      <c r="CP47" s="135">
        <f t="shared" si="71"/>
        <v>1</v>
      </c>
      <c r="CQ47" s="135">
        <f t="shared" si="71"/>
        <v>1</v>
      </c>
      <c r="CR47" s="135">
        <f t="shared" si="71"/>
        <v>1</v>
      </c>
      <c r="CS47" s="135">
        <f t="shared" si="71"/>
        <v>1</v>
      </c>
      <c r="CT47" s="135">
        <f t="shared" si="71"/>
        <v>1</v>
      </c>
    </row>
    <row r="48" spans="4:98" x14ac:dyDescent="0.35">
      <c r="D48" s="196" t="s">
        <v>538</v>
      </c>
      <c r="E48" s="135">
        <f>1-((E35-E36)/E35)</f>
        <v>1.0650828676363879</v>
      </c>
      <c r="F48" s="135">
        <f t="shared" ref="F48:M48" si="72">1-((F35-F36)/F35)</f>
        <v>0.98437246990608651</v>
      </c>
      <c r="G48" s="135">
        <f t="shared" si="72"/>
        <v>1.0531751065313688</v>
      </c>
      <c r="H48" s="135">
        <f t="shared" si="72"/>
        <v>0.97340029332665012</v>
      </c>
      <c r="I48" s="135">
        <f t="shared" si="72"/>
        <v>0.931096251977792</v>
      </c>
      <c r="J48" s="135">
        <f t="shared" si="72"/>
        <v>0.99136953768080505</v>
      </c>
      <c r="K48" s="135">
        <f t="shared" si="72"/>
        <v>1.0112340977775276</v>
      </c>
      <c r="L48" s="135">
        <f t="shared" si="72"/>
        <v>1.2717086834733895</v>
      </c>
      <c r="M48" s="135">
        <f t="shared" si="72"/>
        <v>1.1821597627272022</v>
      </c>
      <c r="S48" s="205" t="s">
        <v>534</v>
      </c>
      <c r="T48" s="135">
        <f>1-((T35-T36)/T35)</f>
        <v>0.98204545998474257</v>
      </c>
      <c r="U48" s="135">
        <f t="shared" ref="U48:AB48" si="73">1-((U35-U36)/U35)</f>
        <v>0.9625205690164943</v>
      </c>
      <c r="V48" s="135">
        <f t="shared" si="73"/>
        <v>1.0200152989166598</v>
      </c>
      <c r="W48" s="135">
        <f t="shared" si="73"/>
        <v>0.98296942241599472</v>
      </c>
      <c r="X48" s="135">
        <f t="shared" si="73"/>
        <v>0.87422871708446259</v>
      </c>
      <c r="Y48" s="135">
        <f t="shared" si="73"/>
        <v>1.0221935797293804</v>
      </c>
      <c r="Z48" s="135">
        <f t="shared" si="73"/>
        <v>0.97165987411336274</v>
      </c>
      <c r="AA48" s="135">
        <f t="shared" si="73"/>
        <v>1.0381944444444444</v>
      </c>
      <c r="AB48" s="135">
        <f t="shared" si="73"/>
        <v>1.0574472694695078</v>
      </c>
      <c r="AM48" s="196" t="s">
        <v>538</v>
      </c>
      <c r="AN48" s="135">
        <f>1-((AN35-AN36)/AN35)</f>
        <v>1.066439978636788</v>
      </c>
      <c r="AO48" s="135">
        <f t="shared" ref="AO48:AV48" si="74">1-((AO35-AO36)/AO35)</f>
        <v>1.0476216660582396</v>
      </c>
      <c r="AP48" s="135">
        <f t="shared" si="74"/>
        <v>1.0097939923079799</v>
      </c>
      <c r="AQ48" s="135">
        <f t="shared" si="74"/>
        <v>0.99481590366003825</v>
      </c>
      <c r="AR48" s="135">
        <f t="shared" si="74"/>
        <v>0.92860890826803988</v>
      </c>
      <c r="AS48" s="135">
        <f t="shared" si="74"/>
        <v>0.94669595464619805</v>
      </c>
      <c r="AT48" s="135">
        <f t="shared" si="74"/>
        <v>1.0541213991749663</v>
      </c>
      <c r="AU48" s="135">
        <f t="shared" si="74"/>
        <v>1.3347457627118644</v>
      </c>
      <c r="AV48" s="135">
        <f t="shared" si="74"/>
        <v>1.2347193918888621</v>
      </c>
      <c r="BB48" s="205" t="s">
        <v>534</v>
      </c>
      <c r="BC48" s="135">
        <f>1-((BC35-BC36)/BC35)</f>
        <v>0.99541738792319878</v>
      </c>
      <c r="BD48" s="135">
        <f t="shared" ref="BD48:BK48" si="75">1-((BD35-BD36)/BD35)</f>
        <v>0.97187553763943224</v>
      </c>
      <c r="BE48" s="135">
        <f t="shared" si="75"/>
        <v>1.0386841342678388</v>
      </c>
      <c r="BF48" s="135">
        <f t="shared" si="75"/>
        <v>0.97637937070675862</v>
      </c>
      <c r="BG48" s="135">
        <f t="shared" si="75"/>
        <v>0.76071687303551638</v>
      </c>
      <c r="BH48" s="135">
        <f t="shared" si="75"/>
        <v>0.99046020752991237</v>
      </c>
      <c r="BI48" s="135">
        <f t="shared" si="75"/>
        <v>0.98129169294563678</v>
      </c>
      <c r="BJ48" s="135">
        <f t="shared" si="75"/>
        <v>1.0588235294117647</v>
      </c>
      <c r="BK48" s="135">
        <f t="shared" si="75"/>
        <v>1.064418296859595</v>
      </c>
      <c r="BR48" s="272"/>
      <c r="BV48" s="196" t="s">
        <v>538</v>
      </c>
      <c r="BW48" s="135">
        <f>1-((BW35-BW36)/BW35)</f>
        <v>1.0480954198758987</v>
      </c>
      <c r="BX48" s="135">
        <f t="shared" ref="BX48:CE48" si="76">1-((BX35-BX36)/BX35)</f>
        <v>0.90796051859678029</v>
      </c>
      <c r="BY48" s="135">
        <f t="shared" si="76"/>
        <v>1.1017139967204885</v>
      </c>
      <c r="BZ48" s="135">
        <f t="shared" si="76"/>
        <v>0.95196771359983257</v>
      </c>
      <c r="CA48" s="135">
        <f t="shared" si="76"/>
        <v>0.94574013456254924</v>
      </c>
      <c r="CB48" s="135">
        <f t="shared" si="76"/>
        <v>1.0513892644966492</v>
      </c>
      <c r="CC48" s="135">
        <f t="shared" si="76"/>
        <v>0.95282718391050869</v>
      </c>
      <c r="CD48" s="135">
        <f t="shared" si="76"/>
        <v>1.1925925925925926</v>
      </c>
      <c r="CE48" s="135">
        <f t="shared" si="76"/>
        <v>1.1343021742614898</v>
      </c>
      <c r="CK48" s="205" t="s">
        <v>534</v>
      </c>
      <c r="CL48" s="135">
        <f>1-((CL35-CL36)/CL35)</f>
        <v>0.98505290667778811</v>
      </c>
      <c r="CM48" s="135">
        <f t="shared" ref="CM48:CT48" si="77">1-((CM35-CM36)/CM35)</f>
        <v>0.92084573317901419</v>
      </c>
      <c r="CN48" s="135">
        <f t="shared" si="77"/>
        <v>1.0288415520762824</v>
      </c>
      <c r="CO48" s="135">
        <f t="shared" si="77"/>
        <v>0.96763244750944355</v>
      </c>
      <c r="CP48" s="135">
        <f t="shared" si="77"/>
        <v>1.0254420070774415</v>
      </c>
      <c r="CQ48" s="135">
        <f t="shared" si="77"/>
        <v>1.0544788512913361</v>
      </c>
      <c r="CR48" s="135">
        <f t="shared" si="77"/>
        <v>0.95496242676301524</v>
      </c>
      <c r="CS48" s="135">
        <f t="shared" si="77"/>
        <v>1.0329588014981275</v>
      </c>
      <c r="CT48" s="135">
        <f t="shared" si="77"/>
        <v>1.0447475577874668</v>
      </c>
    </row>
    <row r="49" spans="4:98" x14ac:dyDescent="0.35">
      <c r="D49" s="205" t="s">
        <v>529</v>
      </c>
      <c r="E49" s="135">
        <f>1-((E35-E37)/E35)</f>
        <v>1.0718417144227108</v>
      </c>
      <c r="F49" s="135">
        <f t="shared" ref="F49:M49" si="78">1-((F35-F37)/F35)</f>
        <v>0.98217898967173434</v>
      </c>
      <c r="G49" s="135">
        <f t="shared" si="78"/>
        <v>1.0606369053382332</v>
      </c>
      <c r="H49" s="135">
        <f t="shared" si="78"/>
        <v>0.9696676884958344</v>
      </c>
      <c r="I49" s="135">
        <f t="shared" si="78"/>
        <v>0.92812702665748292</v>
      </c>
      <c r="J49" s="135">
        <f t="shared" si="78"/>
        <v>0.9874694128466206</v>
      </c>
      <c r="K49" s="135">
        <f t="shared" si="78"/>
        <v>1.0120200859112576</v>
      </c>
      <c r="L49" s="135">
        <f t="shared" si="78"/>
        <v>1.2941176470588236</v>
      </c>
      <c r="M49" s="135">
        <f t="shared" si="78"/>
        <v>1.1981190534978945</v>
      </c>
      <c r="S49" s="205" t="s">
        <v>529</v>
      </c>
      <c r="T49" s="135">
        <f>1-((T35-T37)/T35)</f>
        <v>1.1298492315527473</v>
      </c>
      <c r="U49" s="135">
        <f t="shared" ref="U49:AB49" si="79">1-((U35-U37)/U35)</f>
        <v>1.0002344264786034</v>
      </c>
      <c r="V49" s="135">
        <f t="shared" si="79"/>
        <v>1.0869434410504657</v>
      </c>
      <c r="W49" s="135">
        <f t="shared" si="79"/>
        <v>0.92602173845138624</v>
      </c>
      <c r="X49" s="135">
        <f t="shared" si="79"/>
        <v>0.70096907615699222</v>
      </c>
      <c r="Y49" s="135">
        <f t="shared" si="79"/>
        <v>0.90974206151622339</v>
      </c>
      <c r="Z49" s="135">
        <f t="shared" si="79"/>
        <v>1.0609051493302755</v>
      </c>
      <c r="AA49" s="135">
        <f t="shared" si="79"/>
        <v>1.5262586805555556</v>
      </c>
      <c r="AB49" s="135">
        <f t="shared" si="79"/>
        <v>1.3373499354462219</v>
      </c>
      <c r="AM49" s="205" t="s">
        <v>529</v>
      </c>
      <c r="AN49" s="135">
        <f>1-((AN35-AN37)/AN35)</f>
        <v>1.0300209631406259</v>
      </c>
      <c r="AO49" s="135">
        <f t="shared" ref="AO49:AV49" si="80">1-((AO35-AO37)/AO35)</f>
        <v>0.99835363087645512</v>
      </c>
      <c r="AP49" s="135">
        <f t="shared" si="80"/>
        <v>1.0217887551670051</v>
      </c>
      <c r="AQ49" s="135">
        <f t="shared" si="80"/>
        <v>0.98846690885987742</v>
      </c>
      <c r="AR49" s="135">
        <f t="shared" si="80"/>
        <v>0.96553052906797643</v>
      </c>
      <c r="AS49" s="135">
        <f t="shared" si="80"/>
        <v>0.98960445196888724</v>
      </c>
      <c r="AT49" s="135">
        <f t="shared" si="80"/>
        <v>1.0092913388870257</v>
      </c>
      <c r="AU49" s="135">
        <f t="shared" si="80"/>
        <v>1.3050847457627119</v>
      </c>
      <c r="AV49" s="135">
        <f t="shared" si="80"/>
        <v>1.2524804630292969</v>
      </c>
      <c r="BB49" s="205" t="s">
        <v>529</v>
      </c>
      <c r="BC49" s="135">
        <f>1-((BC35-BC37)/BC35)</f>
        <v>1.1050216370918235</v>
      </c>
      <c r="BD49" s="135">
        <f t="shared" ref="BD49:BK49" si="81">1-((BD35-BD37)/BD35)</f>
        <v>0.9754337038628863</v>
      </c>
      <c r="BE49" s="135">
        <f t="shared" si="81"/>
        <v>1.1371241627054109</v>
      </c>
      <c r="BF49" s="135">
        <f t="shared" si="81"/>
        <v>0.91627164273640149</v>
      </c>
      <c r="BG49" s="135">
        <f t="shared" si="81"/>
        <v>0.5989927419839487</v>
      </c>
      <c r="BH49" s="135">
        <f t="shared" si="81"/>
        <v>0.90494379110809497</v>
      </c>
      <c r="BI49" s="135">
        <f t="shared" si="81"/>
        <v>1.0272656580374984</v>
      </c>
      <c r="BJ49" s="135">
        <f t="shared" si="81"/>
        <v>1.6160990712074303</v>
      </c>
      <c r="BK49" s="135">
        <f t="shared" si="81"/>
        <v>1.4099584389263096</v>
      </c>
      <c r="BR49" s="272"/>
      <c r="BV49" s="205" t="s">
        <v>529</v>
      </c>
      <c r="BW49" s="135">
        <f>1-((BW35-BW37)/BW35)</f>
        <v>1.1172021841076261</v>
      </c>
      <c r="BX49" s="135">
        <f t="shared" ref="BX49:CE49" si="82">1-((BX35-BX37)/BX35)</f>
        <v>0.9665200936173487</v>
      </c>
      <c r="BY49" s="135">
        <f t="shared" si="82"/>
        <v>1.1025557980630927</v>
      </c>
      <c r="BZ49" s="135">
        <f t="shared" si="82"/>
        <v>0.95157019069754112</v>
      </c>
      <c r="CA49" s="135">
        <f t="shared" si="82"/>
        <v>0.89351338269961245</v>
      </c>
      <c r="CB49" s="135">
        <f t="shared" si="82"/>
        <v>0.98534356644501253</v>
      </c>
      <c r="CC49" s="135">
        <f t="shared" si="82"/>
        <v>1.0147636279624048</v>
      </c>
      <c r="CD49" s="135">
        <f t="shared" si="82"/>
        <v>1.2833333333333332</v>
      </c>
      <c r="CE49" s="135">
        <f t="shared" si="82"/>
        <v>1.1482802459863533</v>
      </c>
      <c r="CK49" s="205" t="s">
        <v>529</v>
      </c>
      <c r="CL49" s="135">
        <f>1-((CL35-CL37)/CL35)</f>
        <v>1.1661136808219221</v>
      </c>
      <c r="CM49" s="135">
        <f t="shared" ref="CM49:CT49" si="83">1-((CM35-CM37)/CM35)</f>
        <v>1.0048280606887225</v>
      </c>
      <c r="CN49" s="135">
        <f t="shared" si="83"/>
        <v>1.0746352349378925</v>
      </c>
      <c r="CO49" s="135">
        <f t="shared" si="83"/>
        <v>0.9162402953173997</v>
      </c>
      <c r="CP49" s="135">
        <f t="shared" si="83"/>
        <v>0.84210733494918111</v>
      </c>
      <c r="CQ49" s="135">
        <f t="shared" si="83"/>
        <v>0.91530741546504424</v>
      </c>
      <c r="CR49" s="135">
        <f t="shared" si="83"/>
        <v>1.0905277073441704</v>
      </c>
      <c r="CS49" s="135">
        <f t="shared" si="83"/>
        <v>1.4681647940074907</v>
      </c>
      <c r="CT49" s="135">
        <f t="shared" si="83"/>
        <v>1.2533583159880437</v>
      </c>
    </row>
    <row r="50" spans="4:98" x14ac:dyDescent="0.35">
      <c r="D50" s="196" t="s">
        <v>553</v>
      </c>
      <c r="E50" s="135">
        <f>1-((E35-E38)/E35)</f>
        <v>1.0958950690200937</v>
      </c>
      <c r="F50" s="135">
        <f t="shared" ref="F50:M50" si="84">1-((F35-F38)/F35)</f>
        <v>0.94109712641599907</v>
      </c>
      <c r="G50" s="135">
        <f t="shared" si="84"/>
        <v>1.1036197678712851</v>
      </c>
      <c r="H50" s="135">
        <f t="shared" si="84"/>
        <v>0.94816643330444816</v>
      </c>
      <c r="I50" s="135">
        <f t="shared" si="84"/>
        <v>0.90594124154042821</v>
      </c>
      <c r="J50" s="135">
        <f t="shared" si="84"/>
        <v>1.0084400225897725</v>
      </c>
      <c r="K50" s="135">
        <f t="shared" si="84"/>
        <v>0.99261619764385023</v>
      </c>
      <c r="L50" s="135">
        <f t="shared" si="84"/>
        <v>1.4341736694677869</v>
      </c>
      <c r="M50" s="135">
        <f t="shared" si="84"/>
        <v>1.2955711955103486</v>
      </c>
      <c r="S50" s="205" t="s">
        <v>531</v>
      </c>
      <c r="T50" s="135">
        <f>1-((T35-T38)/T35)</f>
        <v>0.96301476962891186</v>
      </c>
      <c r="U50" s="135">
        <f t="shared" ref="U50:AB50" si="85">1-((U35-U38)/U35)</f>
        <v>1.1537050978781971</v>
      </c>
      <c r="V50" s="135">
        <f t="shared" si="85"/>
        <v>0.91677668538697543</v>
      </c>
      <c r="W50" s="135">
        <f t="shared" si="85"/>
        <v>1.0708128877923213</v>
      </c>
      <c r="X50" s="135">
        <f t="shared" si="85"/>
        <v>0.84757863151202772</v>
      </c>
      <c r="Y50" s="135">
        <f t="shared" si="85"/>
        <v>0.91600813712453744</v>
      </c>
      <c r="Z50" s="135">
        <f t="shared" si="85"/>
        <v>1.0644458496843758</v>
      </c>
      <c r="AA50" s="135">
        <f t="shared" si="85"/>
        <v>1.0889756944444442</v>
      </c>
      <c r="AB50" s="135">
        <f t="shared" si="85"/>
        <v>1.1272783579162502</v>
      </c>
      <c r="AM50" s="196" t="s">
        <v>553</v>
      </c>
      <c r="AN50" s="135">
        <f>1-((AN35-AN38)/AN35)</f>
        <v>1.0531358122230794</v>
      </c>
      <c r="AO50" s="135">
        <f t="shared" ref="AO50:AV50" si="86">1-((AO35-AO38)/AO35)</f>
        <v>0.95659522657762042</v>
      </c>
      <c r="AP50" s="135">
        <f t="shared" si="86"/>
        <v>1.0631972761982018</v>
      </c>
      <c r="AQ50" s="135">
        <f t="shared" si="86"/>
        <v>0.96654880278313948</v>
      </c>
      <c r="AR50" s="135">
        <f t="shared" si="86"/>
        <v>0.9424506572114234</v>
      </c>
      <c r="AS50" s="135">
        <f t="shared" si="86"/>
        <v>1.0106204029364223</v>
      </c>
      <c r="AT50" s="135">
        <f t="shared" si="86"/>
        <v>0.98993977003808187</v>
      </c>
      <c r="AU50" s="135">
        <f t="shared" si="86"/>
        <v>1.4463276836158192</v>
      </c>
      <c r="AV50" s="135">
        <f t="shared" si="86"/>
        <v>1.3543542322466477</v>
      </c>
      <c r="BB50" s="205" t="s">
        <v>531</v>
      </c>
      <c r="BC50" s="135">
        <f>1-((BC35-BC38)/BC35)</f>
        <v>0.9936368317990697</v>
      </c>
      <c r="BD50" s="135">
        <f t="shared" ref="BD50:BK50" si="87">1-((BD35-BD38)/BD35)</f>
        <v>1.0533837696844512</v>
      </c>
      <c r="BE50" s="135">
        <f t="shared" si="87"/>
        <v>1.0004134548711767</v>
      </c>
      <c r="BF50" s="135">
        <f t="shared" si="87"/>
        <v>0.99974754341989591</v>
      </c>
      <c r="BG50" s="135">
        <f t="shared" si="87"/>
        <v>0.71891378370782255</v>
      </c>
      <c r="BH50" s="135">
        <f t="shared" si="87"/>
        <v>0.92060866356715065</v>
      </c>
      <c r="BI50" s="135">
        <f t="shared" si="87"/>
        <v>1.0294864787146389</v>
      </c>
      <c r="BJ50" s="135">
        <f t="shared" si="87"/>
        <v>1.1021671826625388</v>
      </c>
      <c r="BK50" s="135">
        <f t="shared" si="87"/>
        <v>1.1122501419883606</v>
      </c>
      <c r="BR50" s="272"/>
      <c r="BV50" s="196" t="s">
        <v>553</v>
      </c>
      <c r="BW50" s="135">
        <f>1-((BW35-BW38)/BW35)</f>
        <v>1.1422734795514544</v>
      </c>
      <c r="BX50" s="135">
        <f t="shared" ref="BX50:CE50" si="88">1-((BX35-BX38)/BX35)</f>
        <v>0.92609319919438904</v>
      </c>
      <c r="BY50" s="135">
        <f t="shared" si="88"/>
        <v>1.1472374455379679</v>
      </c>
      <c r="BZ50" s="135">
        <f t="shared" si="88"/>
        <v>0.93047022650832301</v>
      </c>
      <c r="CA50" s="135">
        <f t="shared" si="88"/>
        <v>0.87215499603655289</v>
      </c>
      <c r="CB50" s="135">
        <f t="shared" si="88"/>
        <v>1.0062690301870003</v>
      </c>
      <c r="CC50" s="135">
        <f t="shared" si="88"/>
        <v>0.99530713660523829</v>
      </c>
      <c r="CD50" s="135">
        <f t="shared" si="88"/>
        <v>1.4222222222222221</v>
      </c>
      <c r="CE50" s="135">
        <f t="shared" si="88"/>
        <v>1.2416786184396249</v>
      </c>
      <c r="CK50" s="205" t="s">
        <v>531</v>
      </c>
      <c r="CL50" s="135">
        <f>1-((CL35-CL38)/CL35)</f>
        <v>0.95168016166168579</v>
      </c>
      <c r="CM50" s="135">
        <f t="shared" ref="CM50:CT50" si="89">1-((CM35-CM38)/CM35)</f>
        <v>1.2585122509804765</v>
      </c>
      <c r="CN50" s="135">
        <f t="shared" si="89"/>
        <v>0.87677753192704888</v>
      </c>
      <c r="CO50" s="135">
        <f t="shared" si="89"/>
        <v>1.1382869303572258</v>
      </c>
      <c r="CP50" s="135">
        <f t="shared" si="89"/>
        <v>1.0279641548459415</v>
      </c>
      <c r="CQ50" s="135">
        <f t="shared" si="89"/>
        <v>0.91229097500716061</v>
      </c>
      <c r="CR50" s="135">
        <f t="shared" si="89"/>
        <v>1.0954760074799286</v>
      </c>
      <c r="CS50" s="135">
        <f t="shared" si="89"/>
        <v>1.0906367041198501</v>
      </c>
      <c r="CT50" s="135">
        <f t="shared" si="89"/>
        <v>1.1376564879137974</v>
      </c>
    </row>
    <row r="51" spans="4:98" x14ac:dyDescent="0.35">
      <c r="D51" s="205" t="s">
        <v>529</v>
      </c>
      <c r="E51" s="135">
        <f>1-((E35-E39)/E35)</f>
        <v>1.0901327561995535</v>
      </c>
      <c r="F51" s="135">
        <f t="shared" ref="F51:M51" si="90">1-((F35-F39)/F35)</f>
        <v>0.94675170251040386</v>
      </c>
      <c r="G51" s="135">
        <f t="shared" si="90"/>
        <v>1.0933885797291831</v>
      </c>
      <c r="H51" s="135">
        <f t="shared" si="90"/>
        <v>0.95328436575916231</v>
      </c>
      <c r="I51" s="135">
        <f t="shared" si="90"/>
        <v>0.91061105338854631</v>
      </c>
      <c r="J51" s="135">
        <f t="shared" si="90"/>
        <v>1.0052502376057155</v>
      </c>
      <c r="K51" s="135">
        <f t="shared" si="90"/>
        <v>0.99447106229949389</v>
      </c>
      <c r="L51" s="135">
        <f t="shared" si="90"/>
        <v>1.4264705882352942</v>
      </c>
      <c r="M51" s="135">
        <f t="shared" si="90"/>
        <v>1.2966179893411136</v>
      </c>
      <c r="S51" s="205" t="s">
        <v>529</v>
      </c>
      <c r="T51" s="135">
        <f>1-((T35-T39)/T35)</f>
        <v>1.1557385116103234</v>
      </c>
      <c r="U51" s="135">
        <f t="shared" ref="U51:AB51" si="91">1-((U35-U39)/U35)</f>
        <v>1.0171842936913846</v>
      </c>
      <c r="V51" s="135">
        <f t="shared" si="91"/>
        <v>1.0932971613533848</v>
      </c>
      <c r="W51" s="135">
        <f t="shared" si="91"/>
        <v>0.92061549760449735</v>
      </c>
      <c r="X51" s="135">
        <f t="shared" si="91"/>
        <v>0.67374292719743456</v>
      </c>
      <c r="Y51" s="135">
        <f t="shared" si="91"/>
        <v>0.89463591353991556</v>
      </c>
      <c r="Z51" s="135">
        <f t="shared" si="91"/>
        <v>1.0820394200057089</v>
      </c>
      <c r="AA51" s="135">
        <f t="shared" si="91"/>
        <v>1.4529079861111109</v>
      </c>
      <c r="AB51" s="135">
        <f t="shared" si="91"/>
        <v>1.2294901216556027</v>
      </c>
      <c r="AM51" s="205" t="s">
        <v>529</v>
      </c>
      <c r="AN51" s="135">
        <f>1-((AN35-AN39)/AN35)</f>
        <v>1.0475983313418402</v>
      </c>
      <c r="AO51" s="135">
        <f t="shared" ref="AO51:AV51" si="92">1-((AO35-AO39)/AO35)</f>
        <v>0.96234292290820778</v>
      </c>
      <c r="AP51" s="135">
        <f t="shared" si="92"/>
        <v>1.0533408277350362</v>
      </c>
      <c r="AQ51" s="135">
        <f t="shared" si="92"/>
        <v>0.97176595803465904</v>
      </c>
      <c r="AR51" s="135">
        <f t="shared" si="92"/>
        <v>0.94730866239267475</v>
      </c>
      <c r="AS51" s="135">
        <f t="shared" si="92"/>
        <v>1.0074237212164825</v>
      </c>
      <c r="AT51" s="135">
        <f t="shared" si="92"/>
        <v>0.99178963335385106</v>
      </c>
      <c r="AU51" s="135">
        <f t="shared" si="92"/>
        <v>1.4385593220338984</v>
      </c>
      <c r="AV51" s="135">
        <f t="shared" si="92"/>
        <v>1.3554485215145007</v>
      </c>
      <c r="BB51" s="205" t="s">
        <v>529</v>
      </c>
      <c r="BC51" s="135">
        <f>1-((BC35-BC39)/BC35)</f>
        <v>1.2715824160899609</v>
      </c>
      <c r="BD51" s="135">
        <f t="shared" ref="BD51:BK51" si="93">1-((BD35-BD39)/BD35)</f>
        <v>0.99250607149968362</v>
      </c>
      <c r="BE51" s="135">
        <f t="shared" si="93"/>
        <v>1.2153709848003877</v>
      </c>
      <c r="BF51" s="135">
        <f t="shared" si="93"/>
        <v>0.86849393714570777</v>
      </c>
      <c r="BG51" s="135">
        <f t="shared" si="93"/>
        <v>0.5199917343105418</v>
      </c>
      <c r="BH51" s="135">
        <f t="shared" si="93"/>
        <v>0.84140033152021676</v>
      </c>
      <c r="BI51" s="135">
        <f t="shared" si="93"/>
        <v>1.104129676750542</v>
      </c>
      <c r="BJ51" s="135">
        <f t="shared" si="93"/>
        <v>1.5727554179566563</v>
      </c>
      <c r="BK51" s="135">
        <f t="shared" si="93"/>
        <v>1.1957502819694694</v>
      </c>
      <c r="BR51" s="272"/>
      <c r="BV51" s="205" t="s">
        <v>529</v>
      </c>
      <c r="BW51" s="135">
        <f>1-((BW35-BW39)/BW35)</f>
        <v>1.136267304962433</v>
      </c>
      <c r="BX51" s="135">
        <f t="shared" ref="BX51:CE51" si="94">1-((BX35-BX39)/BX35)</f>
        <v>0.93165762428757615</v>
      </c>
      <c r="BY51" s="135">
        <f t="shared" si="94"/>
        <v>1.1366018965104223</v>
      </c>
      <c r="BZ51" s="135">
        <f t="shared" si="94"/>
        <v>0.9354926398770349</v>
      </c>
      <c r="CA51" s="135">
        <f t="shared" si="94"/>
        <v>0.87665065154613298</v>
      </c>
      <c r="CB51" s="135">
        <f t="shared" si="94"/>
        <v>1.003086112243929</v>
      </c>
      <c r="CC51" s="135">
        <f t="shared" si="94"/>
        <v>0.99716702971758231</v>
      </c>
      <c r="CD51" s="135">
        <f t="shared" si="94"/>
        <v>1.4145833333333333</v>
      </c>
      <c r="CE51" s="135">
        <f t="shared" si="94"/>
        <v>1.2426818682201695</v>
      </c>
      <c r="CK51" s="205" t="s">
        <v>529</v>
      </c>
      <c r="CL51" s="135">
        <f>1-((CL35-CL39)/CL35)</f>
        <v>1.0776122885142454</v>
      </c>
      <c r="CM51" s="135">
        <f t="shared" ref="CM51:CT51" si="95">1-((CM35-CM39)/CM35)</f>
        <v>1.0211026485936281</v>
      </c>
      <c r="CN51" s="135">
        <f t="shared" si="95"/>
        <v>1.02958502864899</v>
      </c>
      <c r="CO51" s="135">
        <f t="shared" si="95"/>
        <v>0.96679807781501903</v>
      </c>
      <c r="CP51" s="135">
        <f t="shared" si="95"/>
        <v>0.91055559235519035</v>
      </c>
      <c r="CQ51" s="135">
        <f t="shared" si="95"/>
        <v>0.94805487670434019</v>
      </c>
      <c r="CR51" s="135">
        <f t="shared" si="95"/>
        <v>1.0511292323016113</v>
      </c>
      <c r="CS51" s="135">
        <f t="shared" si="95"/>
        <v>1.3685393258426966</v>
      </c>
      <c r="CT51" s="135">
        <f t="shared" si="95"/>
        <v>1.2592836386320083</v>
      </c>
    </row>
    <row r="52" spans="4:98" x14ac:dyDescent="0.35">
      <c r="D52" s="196" t="s">
        <v>552</v>
      </c>
      <c r="E52" s="135">
        <f>1-((E35-E40)/E35)</f>
        <v>1.174961290783691</v>
      </c>
      <c r="F52" s="135">
        <f t="shared" ref="F52:M52" si="96">1-((F35-F40)/F35)</f>
        <v>0.87087773046827366</v>
      </c>
      <c r="G52" s="135">
        <f t="shared" si="96"/>
        <v>1.2153302040160234</v>
      </c>
      <c r="H52" s="135">
        <f t="shared" si="96"/>
        <v>0.89228568331386582</v>
      </c>
      <c r="I52" s="135">
        <f t="shared" si="96"/>
        <v>0.84915243608040114</v>
      </c>
      <c r="J52" s="135">
        <f t="shared" si="96"/>
        <v>1.0335500747023454</v>
      </c>
      <c r="K52" s="135">
        <f t="shared" si="96"/>
        <v>0.97208128872986599</v>
      </c>
      <c r="L52" s="135">
        <f t="shared" si="96"/>
        <v>1.6022408963585433</v>
      </c>
      <c r="M52" s="135">
        <f t="shared" si="96"/>
        <v>1.3545866248231979</v>
      </c>
      <c r="S52" s="205" t="s">
        <v>532</v>
      </c>
      <c r="T52" s="135">
        <f>1-((T35-T40)/T35)</f>
        <v>1.1131284242314909</v>
      </c>
      <c r="U52" s="135">
        <f t="shared" ref="U52:AB52" si="97">1-((U35-U40)/U35)</f>
        <v>1.1113113743995786</v>
      </c>
      <c r="V52" s="135">
        <f t="shared" si="97"/>
        <v>1.0250167505796257</v>
      </c>
      <c r="W52" s="135">
        <f t="shared" si="97"/>
        <v>0.97871379720982343</v>
      </c>
      <c r="X52" s="135">
        <f t="shared" si="97"/>
        <v>0.69882750243126046</v>
      </c>
      <c r="Y52" s="135">
        <f t="shared" si="97"/>
        <v>0.87326404663650692</v>
      </c>
      <c r="Z52" s="135">
        <f t="shared" si="97"/>
        <v>1.1121619078451723</v>
      </c>
      <c r="AA52" s="135">
        <f t="shared" si="97"/>
        <v>1.1747395833333334</v>
      </c>
      <c r="AB52" s="135">
        <f t="shared" si="97"/>
        <v>1.0337013749472477</v>
      </c>
      <c r="AM52" s="196" t="s">
        <v>552</v>
      </c>
      <c r="AN52" s="135">
        <f>1-((AN35-AN40)/AN35)</f>
        <v>1.1291170553459915</v>
      </c>
      <c r="AO52" s="135">
        <f t="shared" ref="AO52:AV52" si="98">1-((AO35-AO40)/AO35)</f>
        <v>0.88521944920959372</v>
      </c>
      <c r="AP52" s="135">
        <f t="shared" si="98"/>
        <v>1.1708160728976198</v>
      </c>
      <c r="AQ52" s="135">
        <f t="shared" si="98"/>
        <v>0.90958467696633927</v>
      </c>
      <c r="AR52" s="135">
        <f t="shared" si="98"/>
        <v>0.88337326391707505</v>
      </c>
      <c r="AS52" s="135">
        <f t="shared" si="98"/>
        <v>1.0357847462937921</v>
      </c>
      <c r="AT52" s="135">
        <f t="shared" si="98"/>
        <v>0.96946023015517913</v>
      </c>
      <c r="AU52" s="135">
        <f t="shared" si="98"/>
        <v>1.615819209039548</v>
      </c>
      <c r="AV52" s="135">
        <f t="shared" si="98"/>
        <v>1.416047326948576</v>
      </c>
      <c r="BB52" s="205" t="s">
        <v>532</v>
      </c>
      <c r="BC52" s="135">
        <f>1-((BC35-BC40)/BC35)</f>
        <v>1.2740683798316725</v>
      </c>
      <c r="BD52" s="135">
        <f t="shared" ref="BD52:BK52" si="99">1-((BD35-BD40)/BD35)</f>
        <v>1.0723096442284836</v>
      </c>
      <c r="BE52" s="135">
        <f t="shared" si="99"/>
        <v>1.1662713275242158</v>
      </c>
      <c r="BF52" s="135">
        <f t="shared" si="99"/>
        <v>0.89847431088021501</v>
      </c>
      <c r="BG52" s="135">
        <f t="shared" si="99"/>
        <v>0.51860623255865645</v>
      </c>
      <c r="BH52" s="135">
        <f t="shared" si="99"/>
        <v>0.8062206062137045</v>
      </c>
      <c r="BI52" s="135">
        <f t="shared" si="99"/>
        <v>1.153008126545022</v>
      </c>
      <c r="BJ52" s="135">
        <f t="shared" si="99"/>
        <v>1.2538699690402475</v>
      </c>
      <c r="BK52" s="135">
        <f t="shared" si="99"/>
        <v>0.95220234242184087</v>
      </c>
      <c r="BR52" s="272"/>
      <c r="BV52" s="196" t="s">
        <v>552</v>
      </c>
      <c r="BW52" s="135">
        <f>1-((BW35-BW40)/BW35)</f>
        <v>1.2246857932866075</v>
      </c>
      <c r="BX52" s="135">
        <f t="shared" ref="BX52:CE52" si="100">1-((BX35-BX40)/BX35)</f>
        <v>0.85699331225032771</v>
      </c>
      <c r="BY52" s="135">
        <f t="shared" si="100"/>
        <v>1.2633629437698632</v>
      </c>
      <c r="BZ52" s="135">
        <f t="shared" si="100"/>
        <v>0.87563241294010441</v>
      </c>
      <c r="CA52" s="135">
        <f t="shared" si="100"/>
        <v>0.81748407685343483</v>
      </c>
      <c r="CB52" s="135">
        <f t="shared" si="100"/>
        <v>1.0313250248136061</v>
      </c>
      <c r="CC52" s="135">
        <f t="shared" si="100"/>
        <v>0.97471655845414462</v>
      </c>
      <c r="CD52" s="135">
        <f t="shared" si="100"/>
        <v>1.5888888888888886</v>
      </c>
      <c r="CE52" s="135">
        <f t="shared" si="100"/>
        <v>1.29823915095975</v>
      </c>
      <c r="CK52" s="205" t="s">
        <v>532</v>
      </c>
      <c r="CL52" s="135">
        <f>1-((CL35-CL40)/CL35)</f>
        <v>1.0045688712819625</v>
      </c>
      <c r="CM52" s="135">
        <f t="shared" ref="CM52:CT52" si="101">1-((CM35-CM40)/CM35)</f>
        <v>1.1915626957208627</v>
      </c>
      <c r="CN52" s="135">
        <f t="shared" si="101"/>
        <v>0.92774452051506495</v>
      </c>
      <c r="CO52" s="135">
        <f t="shared" si="101"/>
        <v>1.0810890141686309</v>
      </c>
      <c r="CP52" s="135">
        <f t="shared" si="101"/>
        <v>0.97529640429810838</v>
      </c>
      <c r="CQ52" s="135">
        <f t="shared" si="101"/>
        <v>0.91637964059273702</v>
      </c>
      <c r="CR52" s="135">
        <f t="shared" si="101"/>
        <v>1.0922029098457804</v>
      </c>
      <c r="CS52" s="135">
        <f t="shared" si="101"/>
        <v>1.1116104868913859</v>
      </c>
      <c r="CT52" s="135">
        <f t="shared" si="101"/>
        <v>1.098435843011909</v>
      </c>
    </row>
    <row r="53" spans="4:98" x14ac:dyDescent="0.35">
      <c r="D53" s="205" t="s">
        <v>529</v>
      </c>
      <c r="E53" s="135">
        <f>1-((E35-E41)/E35)</f>
        <v>1.1162036335497434</v>
      </c>
      <c r="F53" s="135">
        <f t="shared" ref="F53:M53" si="102">1-((F35-F41)/F35)</f>
        <v>0.94662642769001581</v>
      </c>
      <c r="G53" s="135">
        <f t="shared" si="102"/>
        <v>1.1103831672941582</v>
      </c>
      <c r="H53" s="135">
        <f t="shared" si="102"/>
        <v>0.94478318778792081</v>
      </c>
      <c r="I53" s="135">
        <f t="shared" si="102"/>
        <v>0.89038490244225288</v>
      </c>
      <c r="J53" s="135">
        <f t="shared" si="102"/>
        <v>0.99821316983287589</v>
      </c>
      <c r="K53" s="135">
        <f t="shared" si="102"/>
        <v>1.0030642588416305</v>
      </c>
      <c r="L53" s="135">
        <f t="shared" si="102"/>
        <v>1.5686274509803921</v>
      </c>
      <c r="M53" s="135">
        <f t="shared" si="102"/>
        <v>1.3955772543245</v>
      </c>
      <c r="S53" s="205" t="s">
        <v>529</v>
      </c>
      <c r="T53" s="135">
        <f>1-((T35-T41)/T35)</f>
        <v>1.0635618335662058</v>
      </c>
      <c r="U53" s="135">
        <f t="shared" ref="U53:AB53" si="103">1-((U35-U41)/U35)</f>
        <v>1.2228053784032322</v>
      </c>
      <c r="V53" s="135">
        <f t="shared" si="103"/>
        <v>0.95357767645621949</v>
      </c>
      <c r="W53" s="135">
        <f t="shared" si="103"/>
        <v>1.0394997339801955</v>
      </c>
      <c r="X53" s="135">
        <f t="shared" si="103"/>
        <v>0.73902711592595272</v>
      </c>
      <c r="Y53" s="135">
        <f t="shared" si="103"/>
        <v>0.84446430521536098</v>
      </c>
      <c r="Z53" s="135">
        <f t="shared" si="103"/>
        <v>1.1482658921987174</v>
      </c>
      <c r="AA53" s="135">
        <f t="shared" si="103"/>
        <v>1.0624234068627452</v>
      </c>
      <c r="AB53" s="135">
        <f t="shared" si="103"/>
        <v>0.98653253540264552</v>
      </c>
      <c r="AM53" s="205" t="s">
        <v>529</v>
      </c>
      <c r="AN53" s="135">
        <f>1-((AN35-AN41)/AN35)</f>
        <v>1.0700643013260973</v>
      </c>
      <c r="AO53" s="135">
        <f t="shared" ref="AO53:AV53" si="104">1-((AO35-AO41)/AO35)</f>
        <v>0.95943133714706053</v>
      </c>
      <c r="AP53" s="135">
        <f t="shared" si="104"/>
        <v>1.069977085455015</v>
      </c>
      <c r="AQ53" s="135">
        <f t="shared" si="104"/>
        <v>0.96296015545234215</v>
      </c>
      <c r="AR53" s="135">
        <f t="shared" si="104"/>
        <v>0.92942412923157225</v>
      </c>
      <c r="AS53" s="135">
        <f t="shared" si="104"/>
        <v>1.0036333254775642</v>
      </c>
      <c r="AT53" s="135">
        <f t="shared" si="104"/>
        <v>0.99764330424424885</v>
      </c>
      <c r="AU53" s="135">
        <f t="shared" si="104"/>
        <v>1.5951035781544256</v>
      </c>
      <c r="AV53" s="135">
        <f t="shared" si="104"/>
        <v>1.4751469173943215</v>
      </c>
      <c r="BB53" s="205" t="s">
        <v>529</v>
      </c>
      <c r="BC53" s="135">
        <f>1-((BC35-BC41)/BC35)</f>
        <v>1.0999375790381569</v>
      </c>
      <c r="BD53" s="135">
        <f t="shared" ref="BD53:BK53" si="105">1-((BD35-BD41)/BD35)</f>
        <v>1.2052759705217333</v>
      </c>
      <c r="BE53" s="135">
        <f t="shared" si="105"/>
        <v>1.0006542593649028</v>
      </c>
      <c r="BF53" s="135">
        <f t="shared" si="105"/>
        <v>0.99960050759277697</v>
      </c>
      <c r="BG53" s="135">
        <f t="shared" si="105"/>
        <v>0.60246764836420685</v>
      </c>
      <c r="BH53" s="135">
        <f t="shared" si="105"/>
        <v>0.80129170952390827</v>
      </c>
      <c r="BI53" s="135">
        <f t="shared" si="105"/>
        <v>1.1631432306580736</v>
      </c>
      <c r="BJ53" s="135">
        <f t="shared" si="105"/>
        <v>1.1228070175438596</v>
      </c>
      <c r="BK53" s="135">
        <f t="shared" si="105"/>
        <v>0.99023668524610176</v>
      </c>
      <c r="BR53" s="272"/>
      <c r="BV53" s="205" t="s">
        <v>529</v>
      </c>
      <c r="BW53" s="135">
        <f>1-((BW35-BW41)/BW35)</f>
        <v>1.1606348000258142</v>
      </c>
      <c r="BX53" s="135">
        <f t="shared" ref="BX53:CE53" si="106">1-((BX35-BX41)/BX35)</f>
        <v>0.92883887744737237</v>
      </c>
      <c r="BY53" s="135">
        <f t="shared" si="106"/>
        <v>1.1545531631636128</v>
      </c>
      <c r="BZ53" s="135">
        <f t="shared" si="106"/>
        <v>0.92701553339284803</v>
      </c>
      <c r="CA53" s="135">
        <f t="shared" si="106"/>
        <v>0.86010009282044919</v>
      </c>
      <c r="CB53" s="135">
        <f t="shared" si="106"/>
        <v>0.99931203660371437</v>
      </c>
      <c r="CC53" s="135">
        <f t="shared" si="106"/>
        <v>1.0030524386978954</v>
      </c>
      <c r="CD53" s="135">
        <f t="shared" si="106"/>
        <v>1.5685185185185184</v>
      </c>
      <c r="CE53" s="135">
        <f t="shared" si="106"/>
        <v>1.3524219460275448</v>
      </c>
      <c r="CK53" s="205" t="s">
        <v>529</v>
      </c>
      <c r="CL53" s="135">
        <f>1-((CL35-CL41)/CL35)</f>
        <v>1.0584361982759682</v>
      </c>
      <c r="CM53" s="135">
        <f t="shared" ref="CM53:CT53" si="107">1-((CM35-CM41)/CM35)</f>
        <v>1.1818177246154651</v>
      </c>
      <c r="CN53" s="135">
        <f t="shared" si="107"/>
        <v>0.95454045453408376</v>
      </c>
      <c r="CO53" s="135">
        <f t="shared" si="107"/>
        <v>1.0510171651016966</v>
      </c>
      <c r="CP53" s="135">
        <f t="shared" si="107"/>
        <v>0.93098991608379111</v>
      </c>
      <c r="CQ53" s="135">
        <f t="shared" si="107"/>
        <v>0.89389525506501855</v>
      </c>
      <c r="CR53" s="135">
        <f t="shared" si="107"/>
        <v>1.1162585433172671</v>
      </c>
      <c r="CS53" s="135">
        <f t="shared" si="107"/>
        <v>1.0283707865168539</v>
      </c>
      <c r="CT53" s="135">
        <f t="shared" si="107"/>
        <v>0.97286510955663041</v>
      </c>
    </row>
    <row r="54" spans="4:98" x14ac:dyDescent="0.35">
      <c r="D54" s="196" t="s">
        <v>551</v>
      </c>
      <c r="E54" s="135">
        <f>1-((E35-E42)/E35)</f>
        <v>1.2549567957546435</v>
      </c>
      <c r="F54" s="135">
        <f t="shared" ref="F54:M54" si="108">1-((F35-F42)/F35)</f>
        <v>0.8236519732245533</v>
      </c>
      <c r="G54" s="135">
        <f t="shared" si="108"/>
        <v>1.2960537473855966</v>
      </c>
      <c r="H54" s="135">
        <f t="shared" si="108"/>
        <v>0.85190546190335703</v>
      </c>
      <c r="I54" s="135">
        <f t="shared" si="108"/>
        <v>0.79081752064325039</v>
      </c>
      <c r="J54" s="135">
        <f t="shared" si="108"/>
        <v>1.0324330983795509</v>
      </c>
      <c r="K54" s="135">
        <f t="shared" si="108"/>
        <v>0.96719667090618011</v>
      </c>
      <c r="L54" s="135">
        <f t="shared" si="108"/>
        <v>1.7254901960784315</v>
      </c>
      <c r="M54" s="135">
        <f t="shared" si="108"/>
        <v>1.3611117733566629</v>
      </c>
      <c r="S54" s="196"/>
      <c r="AM54" s="196" t="s">
        <v>551</v>
      </c>
      <c r="AN54" s="135">
        <f>1-((AN35-AN42)/AN35)</f>
        <v>1.2504389819107455</v>
      </c>
      <c r="AO54" s="135">
        <f t="shared" ref="AO54:AV54" si="109">1-((AO35-AO42)/AO35)</f>
        <v>0.83743552778852504</v>
      </c>
      <c r="AP54" s="135">
        <f t="shared" si="109"/>
        <v>1.2724252643109395</v>
      </c>
      <c r="AQ54" s="135">
        <f t="shared" si="109"/>
        <v>0.85580151880691546</v>
      </c>
      <c r="AR54" s="135">
        <f t="shared" si="109"/>
        <v>0.79401762686447674</v>
      </c>
      <c r="AS54" s="135">
        <f t="shared" si="109"/>
        <v>1.0176017775959334</v>
      </c>
      <c r="AT54" s="135">
        <f t="shared" si="109"/>
        <v>0.98008446173920549</v>
      </c>
      <c r="AU54" s="135">
        <f t="shared" si="109"/>
        <v>1.7796610169491527</v>
      </c>
      <c r="AV54" s="135">
        <f t="shared" si="109"/>
        <v>1.4005121619378942</v>
      </c>
      <c r="BB54" s="196"/>
      <c r="BR54" s="272"/>
      <c r="BV54" s="196" t="s">
        <v>551</v>
      </c>
      <c r="BW54" s="135">
        <f>1-((BW35-BW42)/BW35)</f>
        <v>1.2719094282345154</v>
      </c>
      <c r="BX54" s="135">
        <f t="shared" ref="BX54:CE54" si="110">1-((BX35-BX42)/BX35)</f>
        <v>0.81036106016773868</v>
      </c>
      <c r="BY54" s="135">
        <f t="shared" si="110"/>
        <v>1.3279816719897952</v>
      </c>
      <c r="BZ54" s="135">
        <f t="shared" si="110"/>
        <v>0.8451175835090714</v>
      </c>
      <c r="CA54" s="135">
        <f t="shared" si="110"/>
        <v>0.78122325545534332</v>
      </c>
      <c r="CB54" s="135">
        <f t="shared" si="110"/>
        <v>1.0429530338556854</v>
      </c>
      <c r="CC54" s="135">
        <f t="shared" si="110"/>
        <v>0.95813392736306724</v>
      </c>
      <c r="CD54" s="135">
        <f t="shared" si="110"/>
        <v>1.6819444444444445</v>
      </c>
      <c r="CE54" s="135">
        <f t="shared" si="110"/>
        <v>1.3198651948914821</v>
      </c>
      <c r="CK54" s="196"/>
    </row>
    <row r="55" spans="4:98" x14ac:dyDescent="0.35">
      <c r="D55" s="205" t="s">
        <v>529</v>
      </c>
      <c r="E55" s="135">
        <f>1-((E35-E43)/E35)</f>
        <v>1.1050825124592232</v>
      </c>
      <c r="F55" s="135">
        <f t="shared" ref="F55:M55" si="111">1-((F35-F43)/F35)</f>
        <v>0.94949854491689467</v>
      </c>
      <c r="G55" s="135">
        <f t="shared" si="111"/>
        <v>1.1021185371927187</v>
      </c>
      <c r="H55" s="135">
        <f t="shared" si="111"/>
        <v>0.94891739175669598</v>
      </c>
      <c r="I55" s="135">
        <f t="shared" si="111"/>
        <v>0.90652925797556194</v>
      </c>
      <c r="J55" s="135">
        <f t="shared" si="111"/>
        <v>1.0016566577364465</v>
      </c>
      <c r="K55" s="135">
        <f t="shared" si="111"/>
        <v>1.0012792170038951</v>
      </c>
      <c r="L55" s="135">
        <f t="shared" si="111"/>
        <v>1.5798319327731092</v>
      </c>
      <c r="M55" s="135">
        <f t="shared" si="111"/>
        <v>1.4183675361896504</v>
      </c>
      <c r="S55" s="205"/>
      <c r="AM55" s="205" t="s">
        <v>529</v>
      </c>
      <c r="AN55" s="135">
        <f>1-((AN35-AN43)/AN35)</f>
        <v>0.97959136283914894</v>
      </c>
      <c r="AO55" s="135">
        <f t="shared" ref="AO55:AV55" si="112">1-((AO35-AO43)/AO35)</f>
        <v>1.0064486358075906</v>
      </c>
      <c r="AP55" s="135">
        <f t="shared" si="112"/>
        <v>0.98312103794822048</v>
      </c>
      <c r="AQ55" s="135">
        <f t="shared" si="112"/>
        <v>1.0089342693605843</v>
      </c>
      <c r="AR55" s="135">
        <f t="shared" si="112"/>
        <v>1.0092746809920479</v>
      </c>
      <c r="AS55" s="135">
        <f t="shared" si="112"/>
        <v>1.0035005332197022</v>
      </c>
      <c r="AT55" s="135">
        <f t="shared" si="112"/>
        <v>0.99717229363773341</v>
      </c>
      <c r="AU55" s="135">
        <f t="shared" si="112"/>
        <v>1.5028248587570623</v>
      </c>
      <c r="AV55" s="135">
        <f t="shared" si="112"/>
        <v>1.5114351256402356</v>
      </c>
      <c r="BB55" s="205"/>
      <c r="BR55" s="272"/>
      <c r="BV55" s="205" t="s">
        <v>529</v>
      </c>
      <c r="BW55" s="135">
        <f>1-((BW35-BW43)/BW35)</f>
        <v>1.2709771051450269</v>
      </c>
      <c r="BX55" s="135">
        <f t="shared" ref="BX55:CE55" si="113">1-((BX35-BX43)/BX35)</f>
        <v>0.88103226412512015</v>
      </c>
      <c r="BY55" s="135">
        <f t="shared" si="113"/>
        <v>1.2588039254311807</v>
      </c>
      <c r="BZ55" s="135">
        <f t="shared" si="113"/>
        <v>0.87778531304832641</v>
      </c>
      <c r="CA55" s="135">
        <f t="shared" si="113"/>
        <v>0.79102287514476732</v>
      </c>
      <c r="CB55" s="135">
        <f t="shared" si="113"/>
        <v>0.99992753886396091</v>
      </c>
      <c r="CC55" s="135">
        <f t="shared" si="113"/>
        <v>1.005879996653992</v>
      </c>
      <c r="CD55" s="135">
        <f t="shared" si="113"/>
        <v>1.6851851851851851</v>
      </c>
      <c r="CE55" s="135">
        <f t="shared" si="113"/>
        <v>1.3242679724549484</v>
      </c>
      <c r="CK55" s="205"/>
    </row>
    <row r="56" spans="4:98" x14ac:dyDescent="0.35">
      <c r="D56" s="205"/>
      <c r="AM56" s="205"/>
      <c r="BR56" s="272"/>
      <c r="BV56" s="205"/>
    </row>
    <row r="57" spans="4:98" s="214" customFormat="1" x14ac:dyDescent="0.35">
      <c r="D57" s="215"/>
      <c r="AI57" s="272"/>
      <c r="AM57" s="215"/>
      <c r="BR57" s="272"/>
      <c r="BV57" s="215"/>
    </row>
    <row r="58" spans="4:98" x14ac:dyDescent="0.35">
      <c r="D58" s="205"/>
      <c r="AM58" s="205"/>
      <c r="BR58" s="272"/>
      <c r="BV58" s="205"/>
    </row>
    <row r="59" spans="4:98" x14ac:dyDescent="0.35">
      <c r="D59" s="195" t="s">
        <v>256</v>
      </c>
      <c r="S59" s="195" t="s">
        <v>256</v>
      </c>
      <c r="AM59" s="195" t="s">
        <v>256</v>
      </c>
      <c r="BB59" s="195" t="s">
        <v>256</v>
      </c>
      <c r="BR59" s="272"/>
      <c r="BV59" s="195" t="s">
        <v>256</v>
      </c>
      <c r="CK59" s="195" t="s">
        <v>256</v>
      </c>
    </row>
    <row r="60" spans="4:98" ht="16" thickBot="1" x14ac:dyDescent="0.4">
      <c r="D60" s="9" t="s">
        <v>444</v>
      </c>
      <c r="E60" s="9" t="s">
        <v>3</v>
      </c>
      <c r="F60" s="9" t="s">
        <v>4</v>
      </c>
      <c r="G60" s="9" t="s">
        <v>5</v>
      </c>
      <c r="H60" s="9" t="s">
        <v>6</v>
      </c>
      <c r="I60" s="9" t="s">
        <v>7</v>
      </c>
      <c r="J60" s="9" t="s">
        <v>8</v>
      </c>
      <c r="K60" s="9" t="s">
        <v>9</v>
      </c>
      <c r="L60" s="9" t="s">
        <v>10</v>
      </c>
      <c r="M60" s="9" t="s">
        <v>139</v>
      </c>
      <c r="S60" s="9" t="s">
        <v>444</v>
      </c>
      <c r="T60" s="9" t="s">
        <v>3</v>
      </c>
      <c r="U60" s="9" t="s">
        <v>4</v>
      </c>
      <c r="V60" s="9" t="s">
        <v>5</v>
      </c>
      <c r="W60" s="9" t="s">
        <v>6</v>
      </c>
      <c r="X60" s="9" t="s">
        <v>7</v>
      </c>
      <c r="Y60" s="9" t="s">
        <v>8</v>
      </c>
      <c r="Z60" s="9" t="s">
        <v>9</v>
      </c>
      <c r="AA60" s="9" t="s">
        <v>10</v>
      </c>
      <c r="AB60" s="9" t="s">
        <v>139</v>
      </c>
      <c r="AM60" s="9" t="s">
        <v>444</v>
      </c>
      <c r="AN60" s="9" t="s">
        <v>3</v>
      </c>
      <c r="AO60" s="9" t="s">
        <v>4</v>
      </c>
      <c r="AP60" s="9" t="s">
        <v>5</v>
      </c>
      <c r="AQ60" s="9" t="s">
        <v>6</v>
      </c>
      <c r="AR60" s="9" t="s">
        <v>7</v>
      </c>
      <c r="AS60" s="9" t="s">
        <v>8</v>
      </c>
      <c r="AT60" s="9" t="s">
        <v>9</v>
      </c>
      <c r="AU60" s="9" t="s">
        <v>10</v>
      </c>
      <c r="AV60" s="9" t="s">
        <v>139</v>
      </c>
      <c r="BB60" s="9" t="s">
        <v>444</v>
      </c>
      <c r="BC60" s="9" t="s">
        <v>3</v>
      </c>
      <c r="BD60" s="9" t="s">
        <v>4</v>
      </c>
      <c r="BE60" s="9" t="s">
        <v>5</v>
      </c>
      <c r="BF60" s="9" t="s">
        <v>6</v>
      </c>
      <c r="BG60" s="9" t="s">
        <v>7</v>
      </c>
      <c r="BH60" s="9" t="s">
        <v>8</v>
      </c>
      <c r="BI60" s="9" t="s">
        <v>9</v>
      </c>
      <c r="BJ60" s="9" t="s">
        <v>10</v>
      </c>
      <c r="BK60" s="9" t="s">
        <v>139</v>
      </c>
      <c r="BR60" s="272"/>
      <c r="BV60" s="9" t="s">
        <v>444</v>
      </c>
      <c r="BW60" s="9" t="s">
        <v>3</v>
      </c>
      <c r="BX60" s="9" t="s">
        <v>4</v>
      </c>
      <c r="BY60" s="9" t="s">
        <v>5</v>
      </c>
      <c r="BZ60" s="9" t="s">
        <v>6</v>
      </c>
      <c r="CA60" s="9" t="s">
        <v>7</v>
      </c>
      <c r="CB60" s="9" t="s">
        <v>8</v>
      </c>
      <c r="CC60" s="9" t="s">
        <v>9</v>
      </c>
      <c r="CD60" s="9" t="s">
        <v>10</v>
      </c>
      <c r="CE60" s="9" t="s">
        <v>139</v>
      </c>
      <c r="CK60" s="9" t="s">
        <v>444</v>
      </c>
      <c r="CL60" s="9" t="s">
        <v>3</v>
      </c>
      <c r="CM60" s="9" t="s">
        <v>4</v>
      </c>
      <c r="CN60" s="9" t="s">
        <v>5</v>
      </c>
      <c r="CO60" s="9" t="s">
        <v>6</v>
      </c>
      <c r="CP60" s="9" t="s">
        <v>7</v>
      </c>
      <c r="CQ60" s="9" t="s">
        <v>8</v>
      </c>
      <c r="CR60" s="9" t="s">
        <v>9</v>
      </c>
      <c r="CS60" s="9" t="s">
        <v>10</v>
      </c>
      <c r="CT60" s="9" t="s">
        <v>139</v>
      </c>
    </row>
    <row r="61" spans="4:98" x14ac:dyDescent="0.35">
      <c r="D61" s="196" t="s">
        <v>530</v>
      </c>
      <c r="E61" s="135">
        <v>3.4269975000000006</v>
      </c>
      <c r="F61" s="289">
        <v>9.0477124999999994</v>
      </c>
      <c r="G61" s="135">
        <v>0.27517472882730476</v>
      </c>
      <c r="H61" s="135">
        <v>0.72482527117269524</v>
      </c>
      <c r="I61" s="135">
        <v>0.30027846491830579</v>
      </c>
      <c r="J61" s="135">
        <v>8.0523482049292203E-2</v>
      </c>
      <c r="K61" s="135">
        <v>12.474709999999998</v>
      </c>
      <c r="L61" s="135">
        <v>20</v>
      </c>
      <c r="M61" s="135">
        <v>5.830604882463339</v>
      </c>
      <c r="S61" s="196" t="s">
        <v>530</v>
      </c>
      <c r="T61" s="135">
        <v>3.6124541666666699</v>
      </c>
      <c r="U61" s="289">
        <v>5.7594025000000002</v>
      </c>
      <c r="V61" s="135">
        <v>0.38523309507365733</v>
      </c>
      <c r="W61" s="135">
        <v>0.61476690492634278</v>
      </c>
      <c r="X61" s="135">
        <v>0.28754018763567413</v>
      </c>
      <c r="Y61" s="135">
        <v>0.10747433079811235</v>
      </c>
      <c r="Z61" s="135">
        <v>9.3718566666666661</v>
      </c>
      <c r="AA61" s="135">
        <v>25.166666666666668</v>
      </c>
      <c r="AB61" s="135">
        <v>7.0320831824085728</v>
      </c>
      <c r="AL61" s="277"/>
      <c r="AM61" s="275" t="s">
        <v>530</v>
      </c>
      <c r="AN61" s="277">
        <v>3.4269975000000006</v>
      </c>
      <c r="AO61" s="277">
        <v>9.0477124999999994</v>
      </c>
      <c r="AP61" s="277">
        <v>0.27517472882730476</v>
      </c>
      <c r="AQ61" s="277">
        <v>0.72482527117269524</v>
      </c>
      <c r="AR61" s="277">
        <v>0.30027846491830579</v>
      </c>
      <c r="AS61" s="277">
        <v>8.0523482049292203E-2</v>
      </c>
      <c r="AT61" s="277">
        <v>12.474709999999998</v>
      </c>
      <c r="AU61" s="277">
        <v>20</v>
      </c>
      <c r="AV61" s="277">
        <v>5.830604882463339</v>
      </c>
      <c r="AW61" s="361" t="s">
        <v>719</v>
      </c>
      <c r="AX61" s="361"/>
      <c r="AY61" s="361"/>
      <c r="AZ61" s="277"/>
      <c r="BA61" s="277"/>
      <c r="BB61" s="275" t="s">
        <v>530</v>
      </c>
      <c r="BC61" s="277">
        <v>3.2951975000000004</v>
      </c>
      <c r="BD61" s="277">
        <v>5.7925549999999983</v>
      </c>
      <c r="BE61" s="135">
        <v>0.35872652372433983</v>
      </c>
      <c r="BF61" s="135">
        <v>0.64127347627566023</v>
      </c>
      <c r="BG61" s="135">
        <v>0.33190223336557895</v>
      </c>
      <c r="BH61" s="135">
        <v>0.11103507190424672</v>
      </c>
      <c r="BI61" s="135">
        <v>9.0877524999999988</v>
      </c>
      <c r="BJ61" s="135">
        <v>23</v>
      </c>
      <c r="BK61" s="135">
        <v>7.1630684854010767</v>
      </c>
      <c r="BR61" s="272"/>
      <c r="BV61" s="275" t="s">
        <v>530</v>
      </c>
      <c r="BW61" s="277">
        <v>3.4269975000000006</v>
      </c>
      <c r="BX61" s="277">
        <v>9.0477124999999994</v>
      </c>
      <c r="BY61" s="277">
        <v>0.27517472882730476</v>
      </c>
      <c r="BZ61" s="277">
        <v>0.72482527117269524</v>
      </c>
      <c r="CA61" s="277">
        <v>0.30027846491830579</v>
      </c>
      <c r="CB61" s="277">
        <v>8.0523482049292203E-2</v>
      </c>
      <c r="CC61" s="277">
        <v>12.474709999999998</v>
      </c>
      <c r="CD61" s="277">
        <v>20</v>
      </c>
      <c r="CE61" s="277">
        <v>5.830604882463339</v>
      </c>
      <c r="CF61" s="277"/>
      <c r="CG61" s="277"/>
      <c r="CH61" s="277"/>
      <c r="CI61" s="277"/>
      <c r="CJ61" s="277"/>
      <c r="CK61" s="275" t="s">
        <v>530</v>
      </c>
      <c r="CL61" s="277">
        <v>3.7710824999999999</v>
      </c>
      <c r="CM61" s="135">
        <v>5.7428262500000002</v>
      </c>
      <c r="CN61" s="135">
        <v>0.39848638074831599</v>
      </c>
      <c r="CO61" s="135">
        <v>0.60151361925168401</v>
      </c>
      <c r="CP61" s="135">
        <v>0.26535916477072174</v>
      </c>
      <c r="CQ61" s="135">
        <v>0.10569396024504517</v>
      </c>
      <c r="CR61" s="135">
        <v>9.5139087499999988</v>
      </c>
      <c r="CS61" s="135">
        <v>26.25</v>
      </c>
      <c r="CT61" s="135">
        <v>6.9665905309123222</v>
      </c>
    </row>
    <row r="62" spans="4:98" x14ac:dyDescent="0.35">
      <c r="D62" s="196" t="s">
        <v>536</v>
      </c>
      <c r="E62" s="135">
        <v>3.6530733333333307</v>
      </c>
      <c r="F62" s="135">
        <v>8.4997900000000008</v>
      </c>
      <c r="G62" s="135">
        <v>0.30181257606850398</v>
      </c>
      <c r="H62" s="135">
        <v>0.69818742393149591</v>
      </c>
      <c r="I62" s="135">
        <v>0.27425687604009003</v>
      </c>
      <c r="J62" s="135">
        <v>8.2649415991082623E-2</v>
      </c>
      <c r="K62" s="135">
        <v>12.152863333333334</v>
      </c>
      <c r="L62" s="135">
        <v>21</v>
      </c>
      <c r="M62" s="135">
        <v>5.7441451947521829</v>
      </c>
      <c r="S62" s="237" t="s">
        <v>537</v>
      </c>
      <c r="T62" s="135">
        <v>3.9897288888888891</v>
      </c>
      <c r="U62" s="135">
        <v>8.2200733333333336</v>
      </c>
      <c r="V62" s="135">
        <v>0.32927891095919587</v>
      </c>
      <c r="W62" s="135">
        <v>0.67072108904080407</v>
      </c>
      <c r="X62" s="135">
        <v>0.25135997562174678</v>
      </c>
      <c r="Y62" s="135">
        <v>8.2651219749224014E-2</v>
      </c>
      <c r="Z62" s="135">
        <v>12.2098022222222</v>
      </c>
      <c r="AA62" s="135">
        <v>29</v>
      </c>
      <c r="AB62" s="135">
        <v>7.2758952196537336</v>
      </c>
      <c r="AL62" s="277"/>
      <c r="AM62" s="275" t="s">
        <v>536</v>
      </c>
      <c r="AN62" s="277">
        <v>3.6530733333333307</v>
      </c>
      <c r="AO62" s="277">
        <v>8.4997900000000008</v>
      </c>
      <c r="AP62" s="277">
        <v>0.30181257606850398</v>
      </c>
      <c r="AQ62" s="277">
        <v>0.69818742393149591</v>
      </c>
      <c r="AR62" s="277">
        <v>0.27425687604009003</v>
      </c>
      <c r="AS62" s="277">
        <v>8.2649415991082623E-2</v>
      </c>
      <c r="AT62" s="277">
        <v>12.152863333333334</v>
      </c>
      <c r="AU62" s="277">
        <v>21</v>
      </c>
      <c r="AV62" s="277">
        <v>5.7441451947521829</v>
      </c>
      <c r="AW62" s="361"/>
      <c r="AX62" s="361"/>
      <c r="AY62" s="361"/>
      <c r="AZ62" s="277"/>
      <c r="BA62" s="277"/>
      <c r="BB62" s="276" t="s">
        <v>537</v>
      </c>
      <c r="BC62" s="277">
        <v>3.9897288888888891</v>
      </c>
      <c r="BD62" s="277">
        <v>8.2200733333333336</v>
      </c>
      <c r="BE62" s="135">
        <v>0.32927891095919587</v>
      </c>
      <c r="BF62" s="135">
        <v>0.67072108904080407</v>
      </c>
      <c r="BG62" s="135">
        <v>0.25135997562174678</v>
      </c>
      <c r="BH62" s="135">
        <v>8.2651219749224014E-2</v>
      </c>
      <c r="BI62" s="135">
        <v>12.209802222222223</v>
      </c>
      <c r="BJ62" s="135">
        <v>29</v>
      </c>
      <c r="BK62" s="135">
        <v>7.2758952196537336</v>
      </c>
      <c r="BL62" s="282" t="s">
        <v>721</v>
      </c>
      <c r="BM62" s="273" t="s">
        <v>720</v>
      </c>
      <c r="BN62" s="273"/>
      <c r="BO62" s="273"/>
      <c r="BR62" s="272"/>
      <c r="BV62" s="275" t="s">
        <v>536</v>
      </c>
      <c r="BW62" s="277">
        <v>3.6530733333333307</v>
      </c>
      <c r="BX62" s="277">
        <v>8.4997900000000008</v>
      </c>
      <c r="BY62" s="277">
        <v>0.30181257606850398</v>
      </c>
      <c r="BZ62" s="277">
        <v>0.69818742393149591</v>
      </c>
      <c r="CA62" s="277">
        <v>0.27425687604009003</v>
      </c>
      <c r="CB62" s="277">
        <v>8.2649415991082623E-2</v>
      </c>
      <c r="CC62" s="277">
        <v>12.152863333333334</v>
      </c>
      <c r="CD62" s="277">
        <v>21</v>
      </c>
      <c r="CE62" s="277">
        <v>5.7441451947521829</v>
      </c>
      <c r="CF62" s="277"/>
      <c r="CG62" s="277"/>
      <c r="CH62" s="277"/>
      <c r="CI62" s="277"/>
      <c r="CJ62" s="277"/>
      <c r="CK62" s="276" t="s">
        <v>537</v>
      </c>
      <c r="CL62" s="277">
        <v>3.9897288888888891</v>
      </c>
      <c r="CM62" s="135">
        <v>8.2200733333333336</v>
      </c>
      <c r="CN62" s="135">
        <v>0.32927891095919587</v>
      </c>
      <c r="CO62" s="135">
        <v>0.67072108904080407</v>
      </c>
      <c r="CP62" s="135">
        <v>0.25135997562174678</v>
      </c>
      <c r="CQ62" s="135">
        <v>8.2651219749224014E-2</v>
      </c>
      <c r="CR62" s="135">
        <v>12.209802222222223</v>
      </c>
      <c r="CS62" s="135">
        <v>29</v>
      </c>
      <c r="CT62" s="135">
        <v>7.2758952196537336</v>
      </c>
    </row>
    <row r="63" spans="4:98" x14ac:dyDescent="0.35">
      <c r="D63" s="205" t="s">
        <v>529</v>
      </c>
      <c r="E63" s="135">
        <v>3.3732087499999981</v>
      </c>
      <c r="F63" s="135">
        <v>8.2515537500000011</v>
      </c>
      <c r="G63" s="135">
        <v>0.29254476749654851</v>
      </c>
      <c r="H63" s="135">
        <v>0.70745523250345155</v>
      </c>
      <c r="I63" s="135">
        <v>0.29714272328999114</v>
      </c>
      <c r="J63" s="135">
        <v>8.6815048297965297E-2</v>
      </c>
      <c r="K63" s="135">
        <v>11.624762500000001</v>
      </c>
      <c r="L63" s="135">
        <v>21.375</v>
      </c>
      <c r="M63" s="135">
        <v>6.3585841342131957</v>
      </c>
      <c r="S63" s="205" t="s">
        <v>529</v>
      </c>
      <c r="AL63" s="277"/>
      <c r="AM63" s="205" t="s">
        <v>529</v>
      </c>
      <c r="AN63" s="277">
        <v>3.3732087499999981</v>
      </c>
      <c r="AO63" s="277">
        <v>8.2515537500000011</v>
      </c>
      <c r="AP63" s="277">
        <v>0.29254476749654851</v>
      </c>
      <c r="AQ63" s="277">
        <v>0.70745523250345155</v>
      </c>
      <c r="AR63" s="277">
        <v>0.29714272328999114</v>
      </c>
      <c r="AS63" s="277">
        <v>8.6815048297965297E-2</v>
      </c>
      <c r="AT63" s="277">
        <v>11.624762500000001</v>
      </c>
      <c r="AU63" s="277">
        <v>21.375</v>
      </c>
      <c r="AV63" s="277">
        <v>6.3585841342131957</v>
      </c>
      <c r="AW63" s="361"/>
      <c r="AX63" s="361"/>
      <c r="AY63" s="361"/>
      <c r="AZ63" s="277"/>
      <c r="BA63" s="277"/>
      <c r="BB63" s="205" t="s">
        <v>529</v>
      </c>
      <c r="BC63" s="277"/>
      <c r="BD63" s="277"/>
      <c r="BR63" s="272"/>
      <c r="BV63" s="205" t="s">
        <v>529</v>
      </c>
      <c r="BW63" s="277">
        <v>3.3732087499999981</v>
      </c>
      <c r="BX63" s="277">
        <v>8.2515537500000011</v>
      </c>
      <c r="BY63" s="277">
        <v>0.29254476749654851</v>
      </c>
      <c r="BZ63" s="277">
        <v>0.70745523250345155</v>
      </c>
      <c r="CA63" s="277">
        <v>0.29714272328999114</v>
      </c>
      <c r="CB63" s="277">
        <v>8.6815048297965297E-2</v>
      </c>
      <c r="CC63" s="277">
        <v>11.624762500000001</v>
      </c>
      <c r="CD63" s="277">
        <v>21.375</v>
      </c>
      <c r="CE63" s="277">
        <v>6.3585841342131957</v>
      </c>
      <c r="CF63" s="277"/>
      <c r="CG63" s="277"/>
      <c r="CH63" s="277"/>
      <c r="CI63" s="277"/>
      <c r="CJ63" s="277"/>
      <c r="CK63" s="205" t="s">
        <v>529</v>
      </c>
      <c r="CL63" s="277"/>
    </row>
    <row r="64" spans="4:98" x14ac:dyDescent="0.35">
      <c r="D64" s="196" t="s">
        <v>535</v>
      </c>
      <c r="E64" s="135">
        <v>3.4185329999999992</v>
      </c>
      <c r="F64" s="135">
        <v>8.2043759999999999</v>
      </c>
      <c r="G64" s="135">
        <v>0.29448302832814532</v>
      </c>
      <c r="H64" s="135">
        <v>0.70551697167185468</v>
      </c>
      <c r="I64" s="135">
        <v>0.29317258066249013</v>
      </c>
      <c r="J64" s="135">
        <v>8.6145756893432596E-2</v>
      </c>
      <c r="K64" s="135">
        <v>11.622909</v>
      </c>
      <c r="L64" s="135">
        <v>20</v>
      </c>
      <c r="M64" s="135">
        <v>5.8492813220368216</v>
      </c>
      <c r="S64" s="205" t="s">
        <v>534</v>
      </c>
      <c r="T64" s="135">
        <v>3.9349333333333347</v>
      </c>
      <c r="U64" s="135">
        <v>13.21636</v>
      </c>
      <c r="V64" s="135">
        <v>0.24419927081729187</v>
      </c>
      <c r="W64" s="135">
        <v>0.75580072918270813</v>
      </c>
      <c r="X64" s="135">
        <v>0.25519277500451876</v>
      </c>
      <c r="Y64" s="135">
        <v>6.1677970357625102E-2</v>
      </c>
      <c r="Z64" s="135">
        <v>17.151293333333335</v>
      </c>
      <c r="AA64" s="135">
        <v>30.166666666666668</v>
      </c>
      <c r="AB64" s="135">
        <v>7.6852705911386607</v>
      </c>
      <c r="AL64" s="277"/>
      <c r="AM64" s="275" t="s">
        <v>535</v>
      </c>
      <c r="AN64" s="277">
        <v>3.4185329999999992</v>
      </c>
      <c r="AO64" s="277">
        <v>8.2043759999999999</v>
      </c>
      <c r="AP64" s="277">
        <v>0.29448302832814532</v>
      </c>
      <c r="AQ64" s="277">
        <v>0.70551697167185468</v>
      </c>
      <c r="AR64" s="277">
        <v>0.29317258066249013</v>
      </c>
      <c r="AS64" s="277">
        <v>8.6145756893432596E-2</v>
      </c>
      <c r="AT64" s="277">
        <v>11.622909</v>
      </c>
      <c r="AU64" s="277">
        <v>20</v>
      </c>
      <c r="AV64" s="277">
        <v>5.8492813220368216</v>
      </c>
      <c r="AW64" s="361"/>
      <c r="AX64" s="361"/>
      <c r="AY64" s="361"/>
      <c r="AZ64" s="277"/>
      <c r="BA64" s="277"/>
      <c r="BB64" s="276" t="s">
        <v>534</v>
      </c>
      <c r="BC64" s="277">
        <v>3.9349333333333347</v>
      </c>
      <c r="BD64" s="277">
        <v>13.21636</v>
      </c>
      <c r="BE64" s="135">
        <v>0.24419927081729187</v>
      </c>
      <c r="BF64" s="135">
        <v>0.75580072918270813</v>
      </c>
      <c r="BG64" s="135">
        <v>0.25519277500451876</v>
      </c>
      <c r="BH64" s="135">
        <v>6.1677970357625102E-2</v>
      </c>
      <c r="BI64" s="135">
        <v>17.151293333333335</v>
      </c>
      <c r="BJ64" s="135">
        <v>30.166666666666668</v>
      </c>
      <c r="BK64" s="135">
        <v>7.6852705911386607</v>
      </c>
      <c r="BL64" s="282" t="s">
        <v>721</v>
      </c>
      <c r="BM64" s="273" t="s">
        <v>722</v>
      </c>
      <c r="BN64" s="273"/>
      <c r="BO64" s="273"/>
      <c r="BR64" s="272"/>
      <c r="BV64" s="275" t="s">
        <v>535</v>
      </c>
      <c r="BW64" s="277">
        <v>3.4185329999999992</v>
      </c>
      <c r="BX64" s="277">
        <v>8.2043759999999999</v>
      </c>
      <c r="BY64" s="277">
        <v>0.29448302832814532</v>
      </c>
      <c r="BZ64" s="277">
        <v>0.70551697167185468</v>
      </c>
      <c r="CA64" s="277">
        <v>0.29317258066249013</v>
      </c>
      <c r="CB64" s="277">
        <v>8.6145756893432596E-2</v>
      </c>
      <c r="CC64" s="277">
        <v>11.622909</v>
      </c>
      <c r="CD64" s="277">
        <v>20</v>
      </c>
      <c r="CE64" s="277">
        <v>5.8492813220368216</v>
      </c>
      <c r="CF64" s="277"/>
      <c r="CG64" s="277"/>
      <c r="CH64" s="277"/>
      <c r="CI64" s="277"/>
      <c r="CJ64" s="277"/>
      <c r="CK64" s="276" t="s">
        <v>534</v>
      </c>
      <c r="CL64" s="277">
        <v>3.9349333333333347</v>
      </c>
      <c r="CM64" s="135">
        <v>13.21636</v>
      </c>
      <c r="CN64" s="135">
        <v>0.24419927081729187</v>
      </c>
      <c r="CO64" s="135">
        <v>0.75580072918270813</v>
      </c>
      <c r="CP64" s="135">
        <v>0.25519277500451876</v>
      </c>
      <c r="CQ64" s="135">
        <v>6.1677970357625102E-2</v>
      </c>
      <c r="CR64" s="135">
        <v>17.151293333333335</v>
      </c>
      <c r="CS64" s="135">
        <v>30.166666666666668</v>
      </c>
      <c r="CT64" s="135">
        <v>7.6852705911386607</v>
      </c>
    </row>
    <row r="65" spans="4:98" x14ac:dyDescent="0.35">
      <c r="D65" s="205" t="s">
        <v>529</v>
      </c>
      <c r="E65" s="135">
        <v>3.2199925000000009</v>
      </c>
      <c r="F65" s="135">
        <v>9.3273799999999998</v>
      </c>
      <c r="G65" s="135">
        <v>0.2572881072569479</v>
      </c>
      <c r="H65" s="135">
        <v>0.74271189274305216</v>
      </c>
      <c r="I65" s="135">
        <v>0.31140080335838849</v>
      </c>
      <c r="J65" s="135">
        <v>7.9990511435103051E-2</v>
      </c>
      <c r="K65" s="135">
        <v>12.5473725</v>
      </c>
      <c r="L65" s="135">
        <v>17.75</v>
      </c>
      <c r="M65" s="135">
        <v>5.4995233067904152</v>
      </c>
      <c r="S65" s="205" t="s">
        <v>529</v>
      </c>
      <c r="AL65" s="277"/>
      <c r="AM65" s="205" t="s">
        <v>529</v>
      </c>
      <c r="AN65" s="277">
        <v>3.2199925000000009</v>
      </c>
      <c r="AO65" s="277">
        <v>9.3273799999999998</v>
      </c>
      <c r="AP65" s="277">
        <v>0.2572881072569479</v>
      </c>
      <c r="AQ65" s="277">
        <v>0.74271189274305216</v>
      </c>
      <c r="AR65" s="277">
        <v>0.31140080335838849</v>
      </c>
      <c r="AS65" s="277">
        <v>7.9990511435103051E-2</v>
      </c>
      <c r="AT65" s="277">
        <v>12.5473725</v>
      </c>
      <c r="AU65" s="277">
        <v>17.75</v>
      </c>
      <c r="AV65" s="277">
        <v>5.4995233067904152</v>
      </c>
      <c r="AW65" s="361"/>
      <c r="AX65" s="361"/>
      <c r="AY65" s="361"/>
      <c r="AZ65" s="277"/>
      <c r="BA65" s="277"/>
      <c r="BB65" s="205" t="s">
        <v>529</v>
      </c>
      <c r="BC65" s="277"/>
      <c r="BD65" s="277"/>
      <c r="BR65" s="272"/>
      <c r="BV65" s="205" t="s">
        <v>529</v>
      </c>
      <c r="BW65" s="277">
        <v>3.2199925000000009</v>
      </c>
      <c r="BX65" s="277">
        <v>9.3273799999999998</v>
      </c>
      <c r="BY65" s="277">
        <v>0.2572881072569479</v>
      </c>
      <c r="BZ65" s="277">
        <v>0.74271189274305216</v>
      </c>
      <c r="CA65" s="277">
        <v>0.31140080335838849</v>
      </c>
      <c r="CB65" s="277">
        <v>7.9990511435103051E-2</v>
      </c>
      <c r="CC65" s="277">
        <v>12.5473725</v>
      </c>
      <c r="CD65" s="277">
        <v>17.75</v>
      </c>
      <c r="CE65" s="277">
        <v>5.4995233067904152</v>
      </c>
      <c r="CF65" s="277"/>
      <c r="CG65" s="277"/>
      <c r="CH65" s="277"/>
      <c r="CI65" s="277"/>
      <c r="CJ65" s="277"/>
      <c r="CK65" s="205" t="s">
        <v>529</v>
      </c>
      <c r="CL65" s="277"/>
    </row>
    <row r="66" spans="4:98" x14ac:dyDescent="0.35">
      <c r="D66" s="196" t="s">
        <v>554</v>
      </c>
      <c r="E66" s="135">
        <v>3.3852109999999991</v>
      </c>
      <c r="F66" s="135">
        <v>7.6478750000000018</v>
      </c>
      <c r="G66" s="135">
        <v>0.30780922327426241</v>
      </c>
      <c r="H66" s="135">
        <v>0.69219077672573748</v>
      </c>
      <c r="I66" s="135">
        <v>0.29595889818146864</v>
      </c>
      <c r="J66" s="135">
        <v>9.0955014786098826E-2</v>
      </c>
      <c r="K66" s="135">
        <v>11.033086000000001</v>
      </c>
      <c r="L66" s="135">
        <v>20.100000000000001</v>
      </c>
      <c r="M66" s="135">
        <v>5.9453583085508965</v>
      </c>
      <c r="S66" s="205"/>
      <c r="AL66" s="277"/>
      <c r="AM66" s="275" t="s">
        <v>554</v>
      </c>
      <c r="AN66" s="277">
        <v>3.3852109999999991</v>
      </c>
      <c r="AO66" s="277">
        <v>7.6478750000000018</v>
      </c>
      <c r="AP66" s="277">
        <v>0.30780922327426241</v>
      </c>
      <c r="AQ66" s="277">
        <v>0.69219077672573748</v>
      </c>
      <c r="AR66" s="277">
        <v>0.29595889818146864</v>
      </c>
      <c r="AS66" s="277">
        <v>9.0955014786098826E-2</v>
      </c>
      <c r="AT66" s="277">
        <v>11.033086000000001</v>
      </c>
      <c r="AU66" s="277">
        <v>20.100000000000001</v>
      </c>
      <c r="AV66" s="277">
        <v>5.9453583085508965</v>
      </c>
      <c r="AW66" s="361"/>
      <c r="AX66" s="361"/>
      <c r="AY66" s="361"/>
      <c r="AZ66" s="277"/>
      <c r="BA66" s="277"/>
      <c r="BB66" s="276"/>
      <c r="BC66" s="277"/>
      <c r="BD66" s="277"/>
      <c r="BR66" s="272"/>
      <c r="BV66" s="275" t="s">
        <v>554</v>
      </c>
      <c r="BW66" s="277">
        <v>3.3852109999999991</v>
      </c>
      <c r="BX66" s="277">
        <v>7.6478750000000018</v>
      </c>
      <c r="BY66" s="277">
        <v>0.30780922327426241</v>
      </c>
      <c r="BZ66" s="277">
        <v>0.69219077672573748</v>
      </c>
      <c r="CA66" s="277">
        <v>0.29595889818146864</v>
      </c>
      <c r="CB66" s="277">
        <v>9.0955014786098826E-2</v>
      </c>
      <c r="CC66" s="277">
        <v>11.033086000000001</v>
      </c>
      <c r="CD66" s="277">
        <v>20.100000000000001</v>
      </c>
      <c r="CE66" s="277">
        <v>5.9453583085508965</v>
      </c>
      <c r="CF66" s="277"/>
      <c r="CG66" s="277"/>
      <c r="CH66" s="277"/>
      <c r="CI66" s="277"/>
      <c r="CJ66" s="277"/>
      <c r="CK66" s="276"/>
      <c r="CL66" s="277"/>
    </row>
    <row r="67" spans="4:98" x14ac:dyDescent="0.35">
      <c r="D67" s="205" t="s">
        <v>529</v>
      </c>
      <c r="E67" s="135">
        <v>3.2300711111111107</v>
      </c>
      <c r="F67" s="289">
        <v>8.9985333333333344</v>
      </c>
      <c r="G67" s="135">
        <v>0.26523322630396956</v>
      </c>
      <c r="H67" s="135">
        <v>0.73476677369603038</v>
      </c>
      <c r="I67" s="135">
        <v>0.31048573726808198</v>
      </c>
      <c r="J67" s="135">
        <v>8.2261412524881103E-2</v>
      </c>
      <c r="K67" s="135">
        <v>12.228604444444445</v>
      </c>
      <c r="L67" s="135">
        <v>19.111111111111111</v>
      </c>
      <c r="M67" s="135">
        <v>5.9241103017084953</v>
      </c>
      <c r="S67" s="205"/>
      <c r="AL67" s="277"/>
      <c r="AM67" s="205" t="s">
        <v>529</v>
      </c>
      <c r="AN67" s="277">
        <v>3.2300711111111107</v>
      </c>
      <c r="AO67" s="277">
        <v>8.9985333333333344</v>
      </c>
      <c r="AP67" s="277">
        <v>0.26523322630396956</v>
      </c>
      <c r="AQ67" s="277">
        <v>0.73476677369603038</v>
      </c>
      <c r="AR67" s="277">
        <v>0.31048573726808198</v>
      </c>
      <c r="AS67" s="277">
        <v>8.2261412524881103E-2</v>
      </c>
      <c r="AT67" s="277">
        <v>12.228604444444445</v>
      </c>
      <c r="AU67" s="277">
        <v>19.111111111111111</v>
      </c>
      <c r="AV67" s="277">
        <v>5.9241103017084953</v>
      </c>
      <c r="AW67" s="361"/>
      <c r="AX67" s="361"/>
      <c r="AY67" s="361"/>
      <c r="AZ67" s="277"/>
      <c r="BA67" s="277"/>
      <c r="BB67" s="276"/>
      <c r="BC67" s="277"/>
      <c r="BD67" s="277"/>
      <c r="BR67" s="272"/>
      <c r="BV67" s="205" t="s">
        <v>529</v>
      </c>
      <c r="BW67" s="277">
        <v>3.2300711111111107</v>
      </c>
      <c r="BX67" s="277">
        <v>8.9985333333333344</v>
      </c>
      <c r="BY67" s="277">
        <v>0.26523322630396956</v>
      </c>
      <c r="BZ67" s="277">
        <v>0.73476677369603038</v>
      </c>
      <c r="CA67" s="277">
        <v>0.31048573726808198</v>
      </c>
      <c r="CB67" s="277">
        <v>8.2261412524881103E-2</v>
      </c>
      <c r="CC67" s="277">
        <v>12.228604444444445</v>
      </c>
      <c r="CD67" s="277">
        <v>19.111111111111111</v>
      </c>
      <c r="CE67" s="277">
        <v>5.9241103017084953</v>
      </c>
      <c r="CF67" s="277"/>
      <c r="CG67" s="277"/>
      <c r="CH67" s="277"/>
      <c r="CI67" s="277"/>
      <c r="CJ67" s="277"/>
      <c r="CK67" s="276"/>
      <c r="CL67" s="277"/>
    </row>
    <row r="68" spans="4:98" x14ac:dyDescent="0.35">
      <c r="D68" s="236" t="s">
        <v>552</v>
      </c>
      <c r="E68" s="135">
        <v>3.821612</v>
      </c>
      <c r="F68" s="135">
        <v>6.908747</v>
      </c>
      <c r="G68" s="135">
        <v>0.35819549356660324</v>
      </c>
      <c r="H68" s="135">
        <v>0.6418045064333967</v>
      </c>
      <c r="I68" s="135">
        <v>0.2661541254030711</v>
      </c>
      <c r="J68" s="135">
        <v>9.3888470066925328E-2</v>
      </c>
      <c r="K68" s="135">
        <v>10.730359</v>
      </c>
      <c r="L68" s="135">
        <v>23.5</v>
      </c>
      <c r="M68" s="135">
        <v>6.1755696692437301</v>
      </c>
      <c r="P68" s="194"/>
      <c r="T68" s="194"/>
      <c r="U68" s="194"/>
      <c r="V68" s="194"/>
      <c r="W68" s="194"/>
      <c r="X68" s="194"/>
      <c r="Y68" s="194"/>
      <c r="Z68" s="194"/>
      <c r="AA68" s="194"/>
      <c r="AB68" s="194"/>
      <c r="AL68" s="277"/>
      <c r="AM68" s="275" t="s">
        <v>552</v>
      </c>
      <c r="AN68" s="277">
        <v>3.8216120000000005</v>
      </c>
      <c r="AO68" s="277">
        <v>6.908747</v>
      </c>
      <c r="AP68" s="277">
        <v>0.35819549356660324</v>
      </c>
      <c r="AQ68" s="277">
        <v>0.6418045064333967</v>
      </c>
      <c r="AR68" s="277">
        <v>0.2661541254030711</v>
      </c>
      <c r="AS68" s="277">
        <v>9.3888470066925328E-2</v>
      </c>
      <c r="AT68" s="277">
        <v>10.730359</v>
      </c>
      <c r="AU68" s="277">
        <v>23.5</v>
      </c>
      <c r="AV68" s="277">
        <v>6.1755696692437301</v>
      </c>
      <c r="AW68" s="361"/>
      <c r="AX68" s="361"/>
      <c r="AY68" s="361"/>
      <c r="AZ68" s="277"/>
      <c r="BA68" s="277"/>
      <c r="BB68" s="277"/>
      <c r="BC68" s="278"/>
      <c r="BD68" s="278"/>
      <c r="BE68" s="194"/>
      <c r="BF68" s="194"/>
      <c r="BG68" s="194"/>
      <c r="BH68" s="194"/>
      <c r="BI68" s="194"/>
      <c r="BJ68" s="194"/>
      <c r="BK68" s="194"/>
      <c r="BR68" s="272"/>
      <c r="BV68" s="275" t="s">
        <v>552</v>
      </c>
      <c r="BW68" s="277">
        <v>3.8216120000000005</v>
      </c>
      <c r="BX68" s="277">
        <v>6.908747</v>
      </c>
      <c r="BY68" s="277">
        <v>0.35819549356660324</v>
      </c>
      <c r="BZ68" s="277">
        <v>0.6418045064333967</v>
      </c>
      <c r="CA68" s="277">
        <v>0.2661541254030711</v>
      </c>
      <c r="CB68" s="277">
        <v>9.3888470066925328E-2</v>
      </c>
      <c r="CC68" s="277">
        <v>10.730359</v>
      </c>
      <c r="CD68" s="277">
        <v>23.5</v>
      </c>
      <c r="CE68" s="277">
        <v>6.1755696692437301</v>
      </c>
      <c r="CF68" s="277"/>
      <c r="CG68" s="277"/>
      <c r="CH68" s="278"/>
      <c r="CI68" s="277"/>
      <c r="CJ68" s="277"/>
      <c r="CK68" s="277"/>
      <c r="CL68" s="278"/>
      <c r="CM68" s="194"/>
      <c r="CN68" s="194"/>
      <c r="CO68" s="194"/>
      <c r="CP68" s="194"/>
      <c r="CQ68" s="194"/>
      <c r="CR68" s="194"/>
      <c r="CS68" s="194"/>
      <c r="CT68" s="194"/>
    </row>
    <row r="69" spans="4:98" x14ac:dyDescent="0.35">
      <c r="D69" s="275"/>
      <c r="P69" s="194"/>
      <c r="T69" s="194"/>
      <c r="U69" s="194"/>
      <c r="V69" s="194"/>
      <c r="W69" s="194"/>
      <c r="X69" s="194"/>
      <c r="Y69" s="194"/>
      <c r="Z69" s="194"/>
      <c r="AA69" s="194"/>
      <c r="AB69" s="194"/>
      <c r="AL69" s="277"/>
      <c r="AM69" s="205"/>
      <c r="AN69" s="277"/>
      <c r="AO69" s="277"/>
      <c r="AP69" s="277"/>
      <c r="AQ69" s="277"/>
      <c r="AR69" s="277"/>
      <c r="AS69" s="277"/>
      <c r="AT69" s="277"/>
      <c r="AU69" s="277"/>
      <c r="AV69" s="277"/>
      <c r="AW69" s="277"/>
      <c r="AX69" s="277"/>
      <c r="AY69" s="278"/>
      <c r="AZ69" s="277"/>
      <c r="BA69" s="277"/>
      <c r="BB69" s="277"/>
      <c r="BC69" s="278"/>
      <c r="BD69" s="278"/>
      <c r="BE69" s="194"/>
      <c r="BF69" s="194"/>
      <c r="BG69" s="194"/>
      <c r="BH69" s="194"/>
      <c r="BI69" s="194"/>
      <c r="BJ69" s="194"/>
      <c r="BK69" s="194"/>
      <c r="BR69" s="272"/>
      <c r="BV69" s="205"/>
      <c r="BW69" s="277"/>
      <c r="BX69" s="277"/>
      <c r="BY69" s="277"/>
      <c r="BZ69" s="277"/>
      <c r="CA69" s="277"/>
      <c r="CB69" s="277"/>
      <c r="CC69" s="277"/>
      <c r="CD69" s="277"/>
      <c r="CE69" s="277"/>
      <c r="CF69" s="277"/>
      <c r="CG69" s="277"/>
      <c r="CH69" s="278"/>
      <c r="CI69" s="277"/>
      <c r="CJ69" s="277"/>
      <c r="CK69" s="277"/>
      <c r="CL69" s="278"/>
      <c r="CM69" s="194"/>
      <c r="CN69" s="194"/>
      <c r="CO69" s="194"/>
      <c r="CP69" s="194"/>
      <c r="CQ69" s="194"/>
      <c r="CR69" s="194"/>
      <c r="CS69" s="194"/>
      <c r="CT69" s="194"/>
    </row>
    <row r="70" spans="4:98" x14ac:dyDescent="0.35">
      <c r="D70" s="196"/>
      <c r="P70" s="194"/>
      <c r="T70" s="194"/>
      <c r="U70" s="194"/>
      <c r="V70" s="194"/>
      <c r="W70" s="194"/>
      <c r="X70" s="194"/>
      <c r="Y70" s="194"/>
      <c r="Z70" s="194"/>
      <c r="AA70" s="194"/>
      <c r="AB70" s="194"/>
      <c r="AL70" s="277"/>
      <c r="AM70" s="275"/>
      <c r="AN70" s="277"/>
      <c r="AO70" s="277"/>
      <c r="AP70" s="277"/>
      <c r="AQ70" s="277"/>
      <c r="AR70" s="277"/>
      <c r="AS70" s="277"/>
      <c r="AT70" s="277"/>
      <c r="AU70" s="277"/>
      <c r="AV70" s="277"/>
      <c r="AW70" s="277"/>
      <c r="AX70" s="277"/>
      <c r="AY70" s="278"/>
      <c r="AZ70" s="277"/>
      <c r="BA70" s="277"/>
      <c r="BB70" s="277"/>
      <c r="BC70" s="278"/>
      <c r="BD70" s="278"/>
      <c r="BE70" s="194"/>
      <c r="BF70" s="194"/>
      <c r="BG70" s="194"/>
      <c r="BH70" s="194"/>
      <c r="BI70" s="194"/>
      <c r="BJ70" s="194"/>
      <c r="BK70" s="194"/>
      <c r="BR70" s="272"/>
      <c r="BV70" s="275"/>
      <c r="BW70" s="277"/>
      <c r="BX70" s="277"/>
      <c r="BY70" s="277"/>
      <c r="BZ70" s="277"/>
      <c r="CA70" s="277"/>
      <c r="CB70" s="277"/>
      <c r="CC70" s="277"/>
      <c r="CD70" s="277"/>
      <c r="CE70" s="277"/>
      <c r="CF70" s="277"/>
      <c r="CG70" s="277"/>
      <c r="CH70" s="278"/>
      <c r="CI70" s="277"/>
      <c r="CJ70" s="277"/>
      <c r="CK70" s="277"/>
      <c r="CL70" s="278"/>
      <c r="CM70" s="194"/>
      <c r="CN70" s="194"/>
      <c r="CO70" s="194"/>
      <c r="CP70" s="194"/>
      <c r="CQ70" s="194"/>
      <c r="CR70" s="194"/>
      <c r="CS70" s="194"/>
      <c r="CT70" s="194"/>
    </row>
    <row r="71" spans="4:98" x14ac:dyDescent="0.35">
      <c r="D71" s="196"/>
      <c r="P71" s="194"/>
      <c r="T71" s="194"/>
      <c r="U71" s="194"/>
      <c r="V71" s="194"/>
      <c r="W71" s="194"/>
      <c r="X71" s="194"/>
      <c r="Y71" s="194"/>
      <c r="Z71" s="194"/>
      <c r="AA71" s="194"/>
      <c r="AB71" s="194"/>
      <c r="AM71" s="196"/>
      <c r="AY71" s="194"/>
      <c r="BC71" s="194"/>
      <c r="BD71" s="194"/>
      <c r="BE71" s="194"/>
      <c r="BF71" s="194"/>
      <c r="BG71" s="194"/>
      <c r="BH71" s="194"/>
      <c r="BI71" s="194"/>
      <c r="BJ71" s="194"/>
      <c r="BK71" s="194"/>
      <c r="BR71" s="272"/>
      <c r="BV71" s="196"/>
      <c r="CH71" s="194"/>
      <c r="CL71" s="194"/>
      <c r="CM71" s="194"/>
      <c r="CN71" s="194"/>
      <c r="CO71" s="194"/>
      <c r="CP71" s="194"/>
      <c r="CQ71" s="194"/>
      <c r="CR71" s="194"/>
      <c r="CS71" s="194"/>
      <c r="CT71" s="194"/>
    </row>
    <row r="72" spans="4:98" x14ac:dyDescent="0.35">
      <c r="D72" s="205" t="s">
        <v>577</v>
      </c>
      <c r="P72" s="194"/>
      <c r="S72" s="205" t="s">
        <v>577</v>
      </c>
      <c r="AM72" s="205" t="s">
        <v>577</v>
      </c>
      <c r="AY72" s="194"/>
      <c r="BB72" s="205" t="s">
        <v>577</v>
      </c>
      <c r="BR72" s="272"/>
      <c r="BV72" s="205" t="s">
        <v>577</v>
      </c>
      <c r="CH72" s="194"/>
      <c r="CK72" s="205" t="s">
        <v>577</v>
      </c>
    </row>
    <row r="73" spans="4:98" x14ac:dyDescent="0.35">
      <c r="D73" s="196" t="s">
        <v>530</v>
      </c>
      <c r="E73" s="135">
        <f>1-((E61-E61)/E61)</f>
        <v>1</v>
      </c>
      <c r="F73" s="135">
        <f t="shared" ref="F73:M73" si="114">1-((F61-F61)/F61)</f>
        <v>1</v>
      </c>
      <c r="G73" s="135">
        <f t="shared" si="114"/>
        <v>1</v>
      </c>
      <c r="H73" s="135">
        <f t="shared" si="114"/>
        <v>1</v>
      </c>
      <c r="I73" s="135">
        <f t="shared" si="114"/>
        <v>1</v>
      </c>
      <c r="J73" s="135">
        <f t="shared" si="114"/>
        <v>1</v>
      </c>
      <c r="K73" s="135">
        <f t="shared" si="114"/>
        <v>1</v>
      </c>
      <c r="L73" s="135">
        <f t="shared" si="114"/>
        <v>1</v>
      </c>
      <c r="M73" s="135">
        <f t="shared" si="114"/>
        <v>1</v>
      </c>
      <c r="P73" s="194"/>
      <c r="S73" s="196" t="s">
        <v>530</v>
      </c>
      <c r="T73" s="135">
        <f t="shared" ref="T73:AB73" si="115">1-((T61-T61)/T61)</f>
        <v>1</v>
      </c>
      <c r="U73" s="135">
        <f t="shared" si="115"/>
        <v>1</v>
      </c>
      <c r="V73" s="135">
        <f t="shared" si="115"/>
        <v>1</v>
      </c>
      <c r="W73" s="135">
        <f t="shared" si="115"/>
        <v>1</v>
      </c>
      <c r="X73" s="135">
        <f t="shared" si="115"/>
        <v>1</v>
      </c>
      <c r="Y73" s="135">
        <f t="shared" si="115"/>
        <v>1</v>
      </c>
      <c r="Z73" s="135">
        <f t="shared" si="115"/>
        <v>1</v>
      </c>
      <c r="AA73" s="135">
        <f t="shared" si="115"/>
        <v>1</v>
      </c>
      <c r="AB73" s="135">
        <f t="shared" si="115"/>
        <v>1</v>
      </c>
      <c r="AM73" s="196" t="s">
        <v>530</v>
      </c>
      <c r="AN73" s="135">
        <f>1-((AN61-AN61)/AN61)</f>
        <v>1</v>
      </c>
      <c r="AO73" s="135">
        <f t="shared" ref="AO73:AV73" si="116">1-((AO61-AO61)/AO61)</f>
        <v>1</v>
      </c>
      <c r="AP73" s="135">
        <f t="shared" si="116"/>
        <v>1</v>
      </c>
      <c r="AQ73" s="135">
        <f t="shared" si="116"/>
        <v>1</v>
      </c>
      <c r="AR73" s="135">
        <f t="shared" si="116"/>
        <v>1</v>
      </c>
      <c r="AS73" s="135">
        <f t="shared" si="116"/>
        <v>1</v>
      </c>
      <c r="AT73" s="135">
        <f t="shared" si="116"/>
        <v>1</v>
      </c>
      <c r="AU73" s="135">
        <f t="shared" si="116"/>
        <v>1</v>
      </c>
      <c r="AV73" s="135">
        <f t="shared" si="116"/>
        <v>1</v>
      </c>
      <c r="AY73" s="194"/>
      <c r="BB73" s="196" t="s">
        <v>530</v>
      </c>
      <c r="BC73" s="135">
        <f t="shared" ref="BC73:BK73" si="117">1-((BC61-BC61)/BC61)</f>
        <v>1</v>
      </c>
      <c r="BD73" s="135">
        <f t="shared" si="117"/>
        <v>1</v>
      </c>
      <c r="BE73" s="135">
        <f t="shared" si="117"/>
        <v>1</v>
      </c>
      <c r="BF73" s="135">
        <f t="shared" si="117"/>
        <v>1</v>
      </c>
      <c r="BG73" s="135">
        <f t="shared" si="117"/>
        <v>1</v>
      </c>
      <c r="BH73" s="135">
        <f t="shared" si="117"/>
        <v>1</v>
      </c>
      <c r="BI73" s="135">
        <f t="shared" si="117"/>
        <v>1</v>
      </c>
      <c r="BJ73" s="135">
        <f t="shared" si="117"/>
        <v>1</v>
      </c>
      <c r="BK73" s="135">
        <f t="shared" si="117"/>
        <v>1</v>
      </c>
      <c r="BR73" s="272"/>
      <c r="BV73" s="196" t="s">
        <v>530</v>
      </c>
      <c r="BW73" s="135">
        <f>1-((BW61-BW61)/BW61)</f>
        <v>1</v>
      </c>
      <c r="BX73" s="135">
        <f t="shared" ref="BX73:CE73" si="118">1-((BX61-BX61)/BX61)</f>
        <v>1</v>
      </c>
      <c r="BY73" s="135">
        <f t="shared" si="118"/>
        <v>1</v>
      </c>
      <c r="BZ73" s="135">
        <f t="shared" si="118"/>
        <v>1</v>
      </c>
      <c r="CA73" s="135">
        <f t="shared" si="118"/>
        <v>1</v>
      </c>
      <c r="CB73" s="135">
        <f t="shared" si="118"/>
        <v>1</v>
      </c>
      <c r="CC73" s="135">
        <f t="shared" si="118"/>
        <v>1</v>
      </c>
      <c r="CD73" s="135">
        <f t="shared" si="118"/>
        <v>1</v>
      </c>
      <c r="CE73" s="135">
        <f t="shared" si="118"/>
        <v>1</v>
      </c>
      <c r="CH73" s="194"/>
      <c r="CK73" s="196" t="s">
        <v>530</v>
      </c>
      <c r="CL73" s="135">
        <f t="shared" ref="CL73:CT73" si="119">1-((CL61-CL61)/CL61)</f>
        <v>1</v>
      </c>
      <c r="CM73" s="135">
        <f t="shared" si="119"/>
        <v>1</v>
      </c>
      <c r="CN73" s="135">
        <f t="shared" si="119"/>
        <v>1</v>
      </c>
      <c r="CO73" s="135">
        <f t="shared" si="119"/>
        <v>1</v>
      </c>
      <c r="CP73" s="135">
        <f t="shared" si="119"/>
        <v>1</v>
      </c>
      <c r="CQ73" s="135">
        <f t="shared" si="119"/>
        <v>1</v>
      </c>
      <c r="CR73" s="135">
        <f t="shared" si="119"/>
        <v>1</v>
      </c>
      <c r="CS73" s="135">
        <f t="shared" si="119"/>
        <v>1</v>
      </c>
      <c r="CT73" s="135">
        <f t="shared" si="119"/>
        <v>1</v>
      </c>
    </row>
    <row r="74" spans="4:98" x14ac:dyDescent="0.35">
      <c r="D74" s="196" t="s">
        <v>536</v>
      </c>
      <c r="E74" s="135">
        <f>1-((E61-E62)/E61)</f>
        <v>1.0659690686477974</v>
      </c>
      <c r="F74" s="135">
        <f t="shared" ref="F74:M74" si="120">1-((F61-F62)/F61)</f>
        <v>0.93944077024993899</v>
      </c>
      <c r="G74" s="135">
        <f t="shared" si="120"/>
        <v>1.0968033923562679</v>
      </c>
      <c r="H74" s="135">
        <f t="shared" si="120"/>
        <v>0.96324928461986159</v>
      </c>
      <c r="I74" s="135">
        <f t="shared" si="120"/>
        <v>0.91334180796050346</v>
      </c>
      <c r="J74" s="135">
        <f t="shared" si="120"/>
        <v>1.0264014159309336</v>
      </c>
      <c r="K74" s="135">
        <f t="shared" si="120"/>
        <v>0.97420006824473959</v>
      </c>
      <c r="L74" s="135">
        <f t="shared" si="120"/>
        <v>1.05</v>
      </c>
      <c r="M74" s="135">
        <f t="shared" si="120"/>
        <v>0.98517140340426768</v>
      </c>
      <c r="P74" s="194"/>
      <c r="S74" s="205" t="s">
        <v>537</v>
      </c>
      <c r="T74" s="135">
        <f t="shared" ref="T74:AB74" si="121">1-((T61-T62)/T61)</f>
        <v>1.1044372343055477</v>
      </c>
      <c r="U74" s="135">
        <f t="shared" si="121"/>
        <v>1.4272441166133698</v>
      </c>
      <c r="V74" s="135">
        <f t="shared" si="121"/>
        <v>0.85475239580918427</v>
      </c>
      <c r="W74" s="135">
        <f t="shared" si="121"/>
        <v>1.0910169100940224</v>
      </c>
      <c r="X74" s="135">
        <f t="shared" si="121"/>
        <v>0.8741733727329648</v>
      </c>
      <c r="Y74" s="135">
        <f t="shared" si="121"/>
        <v>0.76903218782987459</v>
      </c>
      <c r="Z74" s="135">
        <f t="shared" si="121"/>
        <v>1.3028157233400071</v>
      </c>
      <c r="AA74" s="135">
        <f t="shared" si="121"/>
        <v>1.1523178807947019</v>
      </c>
      <c r="AB74" s="135">
        <f t="shared" si="121"/>
        <v>1.0346713812850052</v>
      </c>
      <c r="AM74" s="196" t="s">
        <v>536</v>
      </c>
      <c r="AN74" s="135">
        <f>1-((AN61-AN62)/AN61)</f>
        <v>1.0659690686477974</v>
      </c>
      <c r="AO74" s="135">
        <f t="shared" ref="AO74:AV74" si="122">1-((AO61-AO62)/AO61)</f>
        <v>0.93944077024993899</v>
      </c>
      <c r="AP74" s="135">
        <f t="shared" si="122"/>
        <v>1.0968033923562679</v>
      </c>
      <c r="AQ74" s="135">
        <f t="shared" si="122"/>
        <v>0.96324928461986159</v>
      </c>
      <c r="AR74" s="135">
        <f t="shared" si="122"/>
        <v>0.91334180796050346</v>
      </c>
      <c r="AS74" s="135">
        <f t="shared" si="122"/>
        <v>1.0264014159309336</v>
      </c>
      <c r="AT74" s="135">
        <f t="shared" si="122"/>
        <v>0.97420006824473959</v>
      </c>
      <c r="AU74" s="135">
        <f t="shared" si="122"/>
        <v>1.05</v>
      </c>
      <c r="AV74" s="135">
        <f t="shared" si="122"/>
        <v>0.98517140340426768</v>
      </c>
      <c r="AY74" s="194"/>
      <c r="BB74" s="205" t="s">
        <v>537</v>
      </c>
      <c r="BC74" s="135">
        <f t="shared" ref="BC74:BK74" si="123">1-((BC61-BC62)/BC61)</f>
        <v>1.2107707926122451</v>
      </c>
      <c r="BD74" s="135">
        <f t="shared" si="123"/>
        <v>1.4190755777603037</v>
      </c>
      <c r="BE74" s="135">
        <f t="shared" si="123"/>
        <v>0.91791069012847037</v>
      </c>
      <c r="BF74" s="135">
        <f t="shared" si="123"/>
        <v>1.0459205219841112</v>
      </c>
      <c r="BG74" s="135">
        <f t="shared" si="123"/>
        <v>0.75733137759540892</v>
      </c>
      <c r="BH74" s="135">
        <f t="shared" si="123"/>
        <v>0.74437038974946512</v>
      </c>
      <c r="BI74" s="135">
        <f t="shared" si="123"/>
        <v>1.3435447567726151</v>
      </c>
      <c r="BJ74" s="135">
        <f t="shared" si="123"/>
        <v>1.2608695652173914</v>
      </c>
      <c r="BK74" s="135">
        <f t="shared" si="123"/>
        <v>1.0157511734646412</v>
      </c>
      <c r="BR74" s="272"/>
      <c r="BV74" s="196" t="s">
        <v>536</v>
      </c>
      <c r="BW74" s="135">
        <f>1-((BW61-BW62)/BW61)</f>
        <v>1.0659690686477974</v>
      </c>
      <c r="BX74" s="135">
        <f t="shared" ref="BX74:CE74" si="124">1-((BX61-BX62)/BX61)</f>
        <v>0.93944077024993899</v>
      </c>
      <c r="BY74" s="135">
        <f t="shared" si="124"/>
        <v>1.0968033923562679</v>
      </c>
      <c r="BZ74" s="135">
        <f t="shared" si="124"/>
        <v>0.96324928461986159</v>
      </c>
      <c r="CA74" s="135">
        <f t="shared" si="124"/>
        <v>0.91334180796050346</v>
      </c>
      <c r="CB74" s="135">
        <f t="shared" si="124"/>
        <v>1.0264014159309336</v>
      </c>
      <c r="CC74" s="135">
        <f t="shared" si="124"/>
        <v>0.97420006824473959</v>
      </c>
      <c r="CD74" s="135">
        <f t="shared" si="124"/>
        <v>1.05</v>
      </c>
      <c r="CE74" s="135">
        <f t="shared" si="124"/>
        <v>0.98517140340426768</v>
      </c>
      <c r="CH74" s="194"/>
      <c r="CK74" s="205" t="s">
        <v>537</v>
      </c>
      <c r="CL74" s="135">
        <f t="shared" ref="CL74:CT74" si="125">1-((CL61-CL62)/CL61)</f>
        <v>1.0579797415964485</v>
      </c>
      <c r="CM74" s="135">
        <f t="shared" si="125"/>
        <v>1.4313637528792262</v>
      </c>
      <c r="CN74" s="135">
        <f t="shared" si="125"/>
        <v>0.8263241276674107</v>
      </c>
      <c r="CO74" s="135">
        <f t="shared" si="125"/>
        <v>1.1150555325334413</v>
      </c>
      <c r="CP74" s="135">
        <f t="shared" si="125"/>
        <v>0.94724437288204955</v>
      </c>
      <c r="CQ74" s="135">
        <f t="shared" si="125"/>
        <v>0.78198621338061391</v>
      </c>
      <c r="CR74" s="135">
        <f t="shared" si="125"/>
        <v>1.283363393854521</v>
      </c>
      <c r="CS74" s="135">
        <f t="shared" si="125"/>
        <v>1.1047619047619048</v>
      </c>
      <c r="CT74" s="135">
        <f t="shared" si="125"/>
        <v>1.0443982874217965</v>
      </c>
    </row>
    <row r="75" spans="4:98" x14ac:dyDescent="0.35">
      <c r="D75" s="205" t="s">
        <v>529</v>
      </c>
      <c r="E75" s="135">
        <f>1-((E61-E63)/E61)</f>
        <v>0.98430440932623897</v>
      </c>
      <c r="F75" s="135">
        <f t="shared" ref="F75:M75" si="126">1-((F61-F63)/F61)</f>
        <v>0.91200441548070876</v>
      </c>
      <c r="G75" s="135">
        <f t="shared" si="126"/>
        <v>1.0631236696162782</v>
      </c>
      <c r="H75" s="135">
        <f t="shared" si="126"/>
        <v>0.97603555041459755</v>
      </c>
      <c r="I75" s="135">
        <f t="shared" si="126"/>
        <v>0.98955722106422861</v>
      </c>
      <c r="J75" s="135">
        <f t="shared" si="126"/>
        <v>1.0781333107877988</v>
      </c>
      <c r="K75" s="135">
        <f t="shared" si="126"/>
        <v>0.93186635200337342</v>
      </c>
      <c r="L75" s="135">
        <f t="shared" si="126"/>
        <v>1.0687500000000001</v>
      </c>
      <c r="M75" s="135">
        <f t="shared" si="126"/>
        <v>1.0905530836668174</v>
      </c>
      <c r="P75" s="194"/>
      <c r="S75" s="205" t="s">
        <v>529</v>
      </c>
      <c r="AM75" s="205" t="s">
        <v>529</v>
      </c>
      <c r="AN75" s="135">
        <f>1-((AN61-AN63)/AN61)</f>
        <v>0.98430440932623897</v>
      </c>
      <c r="AO75" s="135">
        <f t="shared" ref="AO75:AV75" si="127">1-((AO61-AO63)/AO61)</f>
        <v>0.91200441548070876</v>
      </c>
      <c r="AP75" s="135">
        <f t="shared" si="127"/>
        <v>1.0631236696162782</v>
      </c>
      <c r="AQ75" s="135">
        <f t="shared" si="127"/>
        <v>0.97603555041459755</v>
      </c>
      <c r="AR75" s="135">
        <f t="shared" si="127"/>
        <v>0.98955722106422861</v>
      </c>
      <c r="AS75" s="135">
        <f t="shared" si="127"/>
        <v>1.0781333107877988</v>
      </c>
      <c r="AT75" s="135">
        <f t="shared" si="127"/>
        <v>0.93186635200337342</v>
      </c>
      <c r="AU75" s="135">
        <f t="shared" si="127"/>
        <v>1.0687500000000001</v>
      </c>
      <c r="AV75" s="135">
        <f t="shared" si="127"/>
        <v>1.0905530836668174</v>
      </c>
      <c r="AY75" s="194"/>
      <c r="BB75" s="205" t="s">
        <v>529</v>
      </c>
      <c r="BR75" s="272"/>
      <c r="BV75" s="205" t="s">
        <v>529</v>
      </c>
      <c r="BW75" s="135">
        <f>1-((BW61-BW63)/BW61)</f>
        <v>0.98430440932623897</v>
      </c>
      <c r="BX75" s="135">
        <f t="shared" ref="BX75:CE75" si="128">1-((BX61-BX63)/BX61)</f>
        <v>0.91200441548070876</v>
      </c>
      <c r="BY75" s="135">
        <f t="shared" si="128"/>
        <v>1.0631236696162782</v>
      </c>
      <c r="BZ75" s="135">
        <f t="shared" si="128"/>
        <v>0.97603555041459755</v>
      </c>
      <c r="CA75" s="135">
        <f t="shared" si="128"/>
        <v>0.98955722106422861</v>
      </c>
      <c r="CB75" s="135">
        <f t="shared" si="128"/>
        <v>1.0781333107877988</v>
      </c>
      <c r="CC75" s="135">
        <f t="shared" si="128"/>
        <v>0.93186635200337342</v>
      </c>
      <c r="CD75" s="135">
        <f t="shared" si="128"/>
        <v>1.0687500000000001</v>
      </c>
      <c r="CE75" s="135">
        <f t="shared" si="128"/>
        <v>1.0905530836668174</v>
      </c>
      <c r="CH75" s="194"/>
      <c r="CK75" s="205" t="s">
        <v>529</v>
      </c>
    </row>
    <row r="76" spans="4:98" x14ac:dyDescent="0.35">
      <c r="D76" s="196" t="s">
        <v>535</v>
      </c>
      <c r="E76" s="135">
        <f>1-((E61-E64)/E61)</f>
        <v>0.99753005364024883</v>
      </c>
      <c r="F76" s="135">
        <f t="shared" ref="F76:M76" si="129">1-((F61-F64)/F61)</f>
        <v>0.90679008644450187</v>
      </c>
      <c r="G76" s="135">
        <f t="shared" si="129"/>
        <v>1.070167415384129</v>
      </c>
      <c r="H76" s="135">
        <f t="shared" si="129"/>
        <v>0.97336144272453184</v>
      </c>
      <c r="I76" s="135">
        <f t="shared" si="129"/>
        <v>0.97633568475265486</v>
      </c>
      <c r="J76" s="135">
        <f t="shared" si="129"/>
        <v>1.069821556408834</v>
      </c>
      <c r="K76" s="135">
        <f t="shared" si="129"/>
        <v>0.93171777139508671</v>
      </c>
      <c r="L76" s="135">
        <f t="shared" si="129"/>
        <v>1</v>
      </c>
      <c r="M76" s="135">
        <f t="shared" si="129"/>
        <v>1.0032031735900431</v>
      </c>
      <c r="P76" s="194"/>
      <c r="S76" s="205" t="s">
        <v>534</v>
      </c>
      <c r="T76" s="135">
        <f t="shared" ref="T76:AB76" si="130">1-((T61-T64)/T61)</f>
        <v>1.089268721979171</v>
      </c>
      <c r="U76" s="135">
        <f t="shared" si="130"/>
        <v>2.2947449843972532</v>
      </c>
      <c r="V76" s="135">
        <f t="shared" si="130"/>
        <v>0.63390003076085788</v>
      </c>
      <c r="W76" s="135">
        <f t="shared" si="130"/>
        <v>1.2294102417130979</v>
      </c>
      <c r="X76" s="135">
        <f t="shared" si="130"/>
        <v>0.88750298559260543</v>
      </c>
      <c r="Y76" s="135">
        <f t="shared" si="130"/>
        <v>0.57388559574737452</v>
      </c>
      <c r="Z76" s="135">
        <f t="shared" si="130"/>
        <v>1.830084896020248</v>
      </c>
      <c r="AA76" s="135">
        <f t="shared" si="130"/>
        <v>1.1986754966887416</v>
      </c>
      <c r="AB76" s="135">
        <f t="shared" si="130"/>
        <v>1.0928867579900219</v>
      </c>
      <c r="AM76" s="196" t="s">
        <v>535</v>
      </c>
      <c r="AN76" s="135">
        <f>1-((AN61-AN64)/AN61)</f>
        <v>0.99753005364024883</v>
      </c>
      <c r="AO76" s="135">
        <f t="shared" ref="AO76:AV76" si="131">1-((AO61-AO64)/AO61)</f>
        <v>0.90679008644450187</v>
      </c>
      <c r="AP76" s="135">
        <f t="shared" si="131"/>
        <v>1.070167415384129</v>
      </c>
      <c r="AQ76" s="135">
        <f t="shared" si="131"/>
        <v>0.97336144272453184</v>
      </c>
      <c r="AR76" s="135">
        <f t="shared" si="131"/>
        <v>0.97633568475265486</v>
      </c>
      <c r="AS76" s="135">
        <f t="shared" si="131"/>
        <v>1.069821556408834</v>
      </c>
      <c r="AT76" s="135">
        <f t="shared" si="131"/>
        <v>0.93171777139508671</v>
      </c>
      <c r="AU76" s="135">
        <f t="shared" si="131"/>
        <v>1</v>
      </c>
      <c r="AV76" s="135">
        <f t="shared" si="131"/>
        <v>1.0032031735900431</v>
      </c>
      <c r="AY76" s="194"/>
      <c r="BB76" s="205" t="s">
        <v>534</v>
      </c>
      <c r="BC76" s="135">
        <f t="shared" ref="BC76:BK76" si="132">1-((BC61-BC64)/BC61)</f>
        <v>1.1941418786987228</v>
      </c>
      <c r="BD76" s="135">
        <f t="shared" si="132"/>
        <v>2.2816114823251574</v>
      </c>
      <c r="BE76" s="135">
        <f t="shared" si="132"/>
        <v>0.68073937851594324</v>
      </c>
      <c r="BF76" s="135">
        <f t="shared" si="132"/>
        <v>1.1785934661950945</v>
      </c>
      <c r="BG76" s="135">
        <f t="shared" si="132"/>
        <v>0.76887935467259316</v>
      </c>
      <c r="BH76" s="135">
        <f t="shared" si="132"/>
        <v>0.55548187883207134</v>
      </c>
      <c r="BI76" s="135">
        <f t="shared" si="132"/>
        <v>1.8872975835701222</v>
      </c>
      <c r="BJ76" s="135">
        <f t="shared" si="132"/>
        <v>1.3115942028985508</v>
      </c>
      <c r="BK76" s="135">
        <f t="shared" si="132"/>
        <v>1.0729020121477095</v>
      </c>
      <c r="BR76" s="272"/>
      <c r="BV76" s="196" t="s">
        <v>535</v>
      </c>
      <c r="BW76" s="135">
        <f>1-((BW61-BW64)/BW61)</f>
        <v>0.99753005364024883</v>
      </c>
      <c r="BX76" s="135">
        <f t="shared" ref="BX76:CE76" si="133">1-((BX61-BX64)/BX61)</f>
        <v>0.90679008644450187</v>
      </c>
      <c r="BY76" s="135">
        <f t="shared" si="133"/>
        <v>1.070167415384129</v>
      </c>
      <c r="BZ76" s="135">
        <f t="shared" si="133"/>
        <v>0.97336144272453184</v>
      </c>
      <c r="CA76" s="135">
        <f t="shared" si="133"/>
        <v>0.97633568475265486</v>
      </c>
      <c r="CB76" s="135">
        <f t="shared" si="133"/>
        <v>1.069821556408834</v>
      </c>
      <c r="CC76" s="135">
        <f t="shared" si="133"/>
        <v>0.93171777139508671</v>
      </c>
      <c r="CD76" s="135">
        <f t="shared" si="133"/>
        <v>1</v>
      </c>
      <c r="CE76" s="135">
        <f t="shared" si="133"/>
        <v>1.0032031735900431</v>
      </c>
      <c r="CH76" s="194"/>
      <c r="CK76" s="205" t="s">
        <v>534</v>
      </c>
      <c r="CL76" s="135">
        <f t="shared" ref="CL76:CT76" si="134">1-((CL61-CL64)/CL61)</f>
        <v>1.0434492836826919</v>
      </c>
      <c r="CM76" s="135">
        <f t="shared" si="134"/>
        <v>2.3013685987800869</v>
      </c>
      <c r="CN76" s="135">
        <f t="shared" si="134"/>
        <v>0.61281710646850973</v>
      </c>
      <c r="CO76" s="135">
        <f t="shared" si="134"/>
        <v>1.2564981157416948</v>
      </c>
      <c r="CP76" s="135">
        <f t="shared" si="134"/>
        <v>0.96168819051346111</v>
      </c>
      <c r="CQ76" s="135">
        <f t="shared" si="134"/>
        <v>0.58355245857595262</v>
      </c>
      <c r="CR76" s="135">
        <f t="shared" si="134"/>
        <v>1.8027599154063085</v>
      </c>
      <c r="CS76" s="135">
        <f t="shared" si="134"/>
        <v>1.1492063492063493</v>
      </c>
      <c r="CT76" s="135">
        <f t="shared" si="134"/>
        <v>1.1031609446597148</v>
      </c>
    </row>
    <row r="77" spans="4:98" x14ac:dyDescent="0.35">
      <c r="D77" s="205" t="s">
        <v>529</v>
      </c>
      <c r="E77" s="135">
        <f>1-((E61-E65)/E61)</f>
        <v>0.93959581236928258</v>
      </c>
      <c r="F77" s="135">
        <f t="shared" ref="F77:M77" si="135">1-((F61-F65)/F61)</f>
        <v>1.0309102991501997</v>
      </c>
      <c r="G77" s="135">
        <f t="shared" si="135"/>
        <v>0.93499903989518518</v>
      </c>
      <c r="H77" s="135">
        <f t="shared" si="135"/>
        <v>1.0246771494893081</v>
      </c>
      <c r="I77" s="135">
        <f t="shared" si="135"/>
        <v>1.0370400802571995</v>
      </c>
      <c r="J77" s="135">
        <f t="shared" si="135"/>
        <v>0.99338117775554102</v>
      </c>
      <c r="K77" s="135">
        <f t="shared" si="135"/>
        <v>1.0058247847044142</v>
      </c>
      <c r="L77" s="135">
        <f t="shared" si="135"/>
        <v>0.88749999999999996</v>
      </c>
      <c r="M77" s="135">
        <f t="shared" si="135"/>
        <v>0.94321659890404941</v>
      </c>
      <c r="P77" s="194"/>
      <c r="S77" s="205" t="s">
        <v>529</v>
      </c>
      <c r="AM77" s="205" t="s">
        <v>529</v>
      </c>
      <c r="AN77" s="135">
        <f>1-((AN61-AN65)/AN61)</f>
        <v>0.93959581236928258</v>
      </c>
      <c r="AO77" s="135">
        <f t="shared" ref="AO77:AV77" si="136">1-((AO61-AO65)/AO61)</f>
        <v>1.0309102991501997</v>
      </c>
      <c r="AP77" s="135">
        <f t="shared" si="136"/>
        <v>0.93499903989518518</v>
      </c>
      <c r="AQ77" s="135">
        <f t="shared" si="136"/>
        <v>1.0246771494893081</v>
      </c>
      <c r="AR77" s="135">
        <f t="shared" si="136"/>
        <v>1.0370400802571995</v>
      </c>
      <c r="AS77" s="135">
        <f t="shared" si="136"/>
        <v>0.99338117775554102</v>
      </c>
      <c r="AT77" s="135">
        <f t="shared" si="136"/>
        <v>1.0058247847044142</v>
      </c>
      <c r="AU77" s="135">
        <f t="shared" si="136"/>
        <v>0.88749999999999996</v>
      </c>
      <c r="AV77" s="135">
        <f t="shared" si="136"/>
        <v>0.94321659890404941</v>
      </c>
      <c r="AY77" s="194"/>
      <c r="BB77" s="205" t="s">
        <v>529</v>
      </c>
      <c r="BR77" s="272"/>
      <c r="BV77" s="205" t="s">
        <v>529</v>
      </c>
      <c r="BW77" s="135">
        <f>1-((BW61-BW65)/BW61)</f>
        <v>0.93959581236928258</v>
      </c>
      <c r="BX77" s="135">
        <f t="shared" ref="BX77:CE77" si="137">1-((BX61-BX65)/BX61)</f>
        <v>1.0309102991501997</v>
      </c>
      <c r="BY77" s="135">
        <f t="shared" si="137"/>
        <v>0.93499903989518518</v>
      </c>
      <c r="BZ77" s="135">
        <f t="shared" si="137"/>
        <v>1.0246771494893081</v>
      </c>
      <c r="CA77" s="135">
        <f t="shared" si="137"/>
        <v>1.0370400802571995</v>
      </c>
      <c r="CB77" s="135">
        <f t="shared" si="137"/>
        <v>0.99338117775554102</v>
      </c>
      <c r="CC77" s="135">
        <f t="shared" si="137"/>
        <v>1.0058247847044142</v>
      </c>
      <c r="CD77" s="135">
        <f t="shared" si="137"/>
        <v>0.88749999999999996</v>
      </c>
      <c r="CE77" s="135">
        <f t="shared" si="137"/>
        <v>0.94321659890404941</v>
      </c>
      <c r="CH77" s="194"/>
      <c r="CK77" s="205" t="s">
        <v>529</v>
      </c>
    </row>
    <row r="78" spans="4:98" x14ac:dyDescent="0.35">
      <c r="D78" s="196" t="s">
        <v>554</v>
      </c>
      <c r="E78" s="135">
        <f>1-((E61-E66)/E61)</f>
        <v>0.98780667333431038</v>
      </c>
      <c r="F78" s="135">
        <f t="shared" ref="F78:M78" si="138">1-((F61-F66)/F61)</f>
        <v>0.84528271648773123</v>
      </c>
      <c r="G78" s="135">
        <f t="shared" si="138"/>
        <v>1.1185955359564961</v>
      </c>
      <c r="H78" s="135">
        <f t="shared" si="138"/>
        <v>0.95497605320223122</v>
      </c>
      <c r="I78" s="135">
        <f t="shared" si="138"/>
        <v>0.98561479679199659</v>
      </c>
      <c r="J78" s="135">
        <f t="shared" si="138"/>
        <v>1.1295464685744836</v>
      </c>
      <c r="K78" s="135">
        <f t="shared" si="138"/>
        <v>0.88443627146442705</v>
      </c>
      <c r="L78" s="135">
        <f t="shared" si="138"/>
        <v>1.0050000000000001</v>
      </c>
      <c r="M78" s="135">
        <f t="shared" si="138"/>
        <v>1.0196812214857331</v>
      </c>
      <c r="P78" s="194"/>
      <c r="S78" s="196"/>
      <c r="AM78" s="196" t="s">
        <v>554</v>
      </c>
      <c r="AN78" s="135">
        <f>1-((AN61-AN66)/AN61)</f>
        <v>0.98780667333431038</v>
      </c>
      <c r="AO78" s="135">
        <f t="shared" ref="AO78:AV78" si="139">1-((AO61-AO66)/AO61)</f>
        <v>0.84528271648773123</v>
      </c>
      <c r="AP78" s="135">
        <f t="shared" si="139"/>
        <v>1.1185955359564961</v>
      </c>
      <c r="AQ78" s="135">
        <f t="shared" si="139"/>
        <v>0.95497605320223122</v>
      </c>
      <c r="AR78" s="135">
        <f t="shared" si="139"/>
        <v>0.98561479679199659</v>
      </c>
      <c r="AS78" s="135">
        <f t="shared" si="139"/>
        <v>1.1295464685744836</v>
      </c>
      <c r="AT78" s="135">
        <f t="shared" si="139"/>
        <v>0.88443627146442705</v>
      </c>
      <c r="AU78" s="135">
        <f t="shared" si="139"/>
        <v>1.0050000000000001</v>
      </c>
      <c r="AV78" s="135">
        <f t="shared" si="139"/>
        <v>1.0196812214857331</v>
      </c>
      <c r="AY78" s="194"/>
      <c r="BB78" s="196"/>
      <c r="BR78" s="272"/>
      <c r="BV78" s="196" t="s">
        <v>554</v>
      </c>
      <c r="BW78" s="135">
        <f>1-((BW61-BW66)/BW61)</f>
        <v>0.98780667333431038</v>
      </c>
      <c r="BX78" s="135">
        <f t="shared" ref="BX78:CE78" si="140">1-((BX61-BX66)/BX61)</f>
        <v>0.84528271648773123</v>
      </c>
      <c r="BY78" s="135">
        <f t="shared" si="140"/>
        <v>1.1185955359564961</v>
      </c>
      <c r="BZ78" s="135">
        <f t="shared" si="140"/>
        <v>0.95497605320223122</v>
      </c>
      <c r="CA78" s="135">
        <f t="shared" si="140"/>
        <v>0.98561479679199659</v>
      </c>
      <c r="CB78" s="135">
        <f t="shared" si="140"/>
        <v>1.1295464685744836</v>
      </c>
      <c r="CC78" s="135">
        <f t="shared" si="140"/>
        <v>0.88443627146442705</v>
      </c>
      <c r="CD78" s="135">
        <f t="shared" si="140"/>
        <v>1.0050000000000001</v>
      </c>
      <c r="CE78" s="135">
        <f t="shared" si="140"/>
        <v>1.0196812214857331</v>
      </c>
      <c r="CH78" s="194"/>
      <c r="CK78" s="196"/>
    </row>
    <row r="79" spans="4:98" x14ac:dyDescent="0.35">
      <c r="D79" s="205" t="s">
        <v>529</v>
      </c>
      <c r="E79" s="135">
        <f>1-((E61-E67)/E61)</f>
        <v>0.94253675735424669</v>
      </c>
      <c r="F79" s="135">
        <f t="shared" ref="F79:M79" si="141">1-((F61-F67)/F61)</f>
        <v>0.99456446403810195</v>
      </c>
      <c r="G79" s="135">
        <f t="shared" si="141"/>
        <v>0.9638720366303174</v>
      </c>
      <c r="H79" s="135">
        <f t="shared" si="141"/>
        <v>1.0137157228351747</v>
      </c>
      <c r="I79" s="135">
        <f t="shared" si="141"/>
        <v>1.0339926885950785</v>
      </c>
      <c r="J79" s="135">
        <f t="shared" si="141"/>
        <v>1.0215829026683798</v>
      </c>
      <c r="K79" s="135">
        <f t="shared" si="141"/>
        <v>0.98027164113990994</v>
      </c>
      <c r="L79" s="135">
        <f t="shared" si="141"/>
        <v>0.95555555555555549</v>
      </c>
      <c r="M79" s="135">
        <f t="shared" si="141"/>
        <v>1.0160370014998601</v>
      </c>
      <c r="P79" s="194"/>
      <c r="S79" s="196"/>
      <c r="AM79" s="205" t="s">
        <v>529</v>
      </c>
      <c r="AN79" s="135">
        <f>1-((AN61-AN67)/AN61)</f>
        <v>0.94253675735424669</v>
      </c>
      <c r="AO79" s="135">
        <f t="shared" ref="AO79:AV79" si="142">1-((AO61-AO67)/AO61)</f>
        <v>0.99456446403810195</v>
      </c>
      <c r="AP79" s="135">
        <f t="shared" si="142"/>
        <v>0.9638720366303174</v>
      </c>
      <c r="AQ79" s="135">
        <f t="shared" si="142"/>
        <v>1.0137157228351747</v>
      </c>
      <c r="AR79" s="135">
        <f t="shared" si="142"/>
        <v>1.0339926885950785</v>
      </c>
      <c r="AS79" s="135">
        <f t="shared" si="142"/>
        <v>1.0215829026683798</v>
      </c>
      <c r="AT79" s="135">
        <f t="shared" si="142"/>
        <v>0.98027164113990994</v>
      </c>
      <c r="AU79" s="135">
        <f t="shared" si="142"/>
        <v>0.95555555555555549</v>
      </c>
      <c r="AV79" s="135">
        <f t="shared" si="142"/>
        <v>1.0160370014998601</v>
      </c>
      <c r="AY79" s="194"/>
      <c r="BB79" s="196"/>
      <c r="BR79" s="272"/>
      <c r="BV79" s="205" t="s">
        <v>529</v>
      </c>
      <c r="BW79" s="135">
        <f>1-((BW61-BW67)/BW61)</f>
        <v>0.94253675735424669</v>
      </c>
      <c r="BX79" s="135">
        <f t="shared" ref="BX79:CE79" si="143">1-((BX61-BX67)/BX61)</f>
        <v>0.99456446403810195</v>
      </c>
      <c r="BY79" s="135">
        <f t="shared" si="143"/>
        <v>0.9638720366303174</v>
      </c>
      <c r="BZ79" s="135">
        <f t="shared" si="143"/>
        <v>1.0137157228351747</v>
      </c>
      <c r="CA79" s="135">
        <f t="shared" si="143"/>
        <v>1.0339926885950785</v>
      </c>
      <c r="CB79" s="135">
        <f t="shared" si="143"/>
        <v>1.0215829026683798</v>
      </c>
      <c r="CC79" s="135">
        <f t="shared" si="143"/>
        <v>0.98027164113990994</v>
      </c>
      <c r="CD79" s="135">
        <f t="shared" si="143"/>
        <v>0.95555555555555549</v>
      </c>
      <c r="CE79" s="135">
        <f t="shared" si="143"/>
        <v>1.0160370014998601</v>
      </c>
      <c r="CH79" s="194"/>
      <c r="CK79" s="196"/>
    </row>
    <row r="80" spans="4:98" x14ac:dyDescent="0.35">
      <c r="D80" s="196" t="s">
        <v>552</v>
      </c>
      <c r="E80" s="135">
        <f>1-((E61-E68)/E61)</f>
        <v>1.1151487563092763</v>
      </c>
      <c r="F80" s="135">
        <f t="shared" ref="F80:M80" si="144">1-((F61-F68)/F61)</f>
        <v>0.76359046554584931</v>
      </c>
      <c r="G80" s="135">
        <f t="shared" si="144"/>
        <v>1.3017019952853337</v>
      </c>
      <c r="H80" s="135">
        <f t="shared" si="144"/>
        <v>0.88546099585493321</v>
      </c>
      <c r="I80" s="135">
        <f t="shared" si="144"/>
        <v>0.88635768627457645</v>
      </c>
      <c r="J80" s="135">
        <f t="shared" si="144"/>
        <v>1.1659762801793865</v>
      </c>
      <c r="K80" s="135">
        <f t="shared" si="144"/>
        <v>0.86016901394902179</v>
      </c>
      <c r="L80" s="135">
        <f t="shared" si="144"/>
        <v>1.175</v>
      </c>
      <c r="M80" s="135">
        <f t="shared" si="144"/>
        <v>1.0591644938620244</v>
      </c>
      <c r="P80" s="194"/>
      <c r="S80" s="196"/>
      <c r="AM80" s="196" t="s">
        <v>552</v>
      </c>
      <c r="AN80" s="135">
        <f>1-((AN61-AN68)/AN61)</f>
        <v>1.1151487563092766</v>
      </c>
      <c r="AO80" s="135">
        <f t="shared" ref="AO80:AV80" si="145">1-((AO61-AO68)/AO61)</f>
        <v>0.76359046554584931</v>
      </c>
      <c r="AP80" s="135">
        <f t="shared" si="145"/>
        <v>1.3017019952853337</v>
      </c>
      <c r="AQ80" s="135">
        <f t="shared" si="145"/>
        <v>0.88546099585493321</v>
      </c>
      <c r="AR80" s="135">
        <f t="shared" si="145"/>
        <v>0.88635768627457645</v>
      </c>
      <c r="AS80" s="135">
        <f t="shared" si="145"/>
        <v>1.1659762801793865</v>
      </c>
      <c r="AT80" s="135">
        <f t="shared" si="145"/>
        <v>0.86016901394902179</v>
      </c>
      <c r="AU80" s="135">
        <f t="shared" si="145"/>
        <v>1.175</v>
      </c>
      <c r="AV80" s="135">
        <f t="shared" si="145"/>
        <v>1.0591644938620244</v>
      </c>
      <c r="AY80" s="194"/>
      <c r="BB80" s="196"/>
      <c r="BR80" s="272"/>
      <c r="BV80" s="196" t="s">
        <v>552</v>
      </c>
      <c r="BW80" s="135">
        <f>1-((BW61-BW68)/BW61)</f>
        <v>1.1151487563092766</v>
      </c>
      <c r="BX80" s="135">
        <f t="shared" ref="BX80:CE80" si="146">1-((BX61-BX68)/BX61)</f>
        <v>0.76359046554584931</v>
      </c>
      <c r="BY80" s="135">
        <f t="shared" si="146"/>
        <v>1.3017019952853337</v>
      </c>
      <c r="BZ80" s="135">
        <f t="shared" si="146"/>
        <v>0.88546099585493321</v>
      </c>
      <c r="CA80" s="135">
        <f t="shared" si="146"/>
        <v>0.88635768627457645</v>
      </c>
      <c r="CB80" s="135">
        <f t="shared" si="146"/>
        <v>1.1659762801793865</v>
      </c>
      <c r="CC80" s="135">
        <f t="shared" si="146"/>
        <v>0.86016901394902179</v>
      </c>
      <c r="CD80" s="135">
        <f t="shared" si="146"/>
        <v>1.175</v>
      </c>
      <c r="CE80" s="135">
        <f t="shared" si="146"/>
        <v>1.0591644938620244</v>
      </c>
      <c r="CH80" s="194"/>
      <c r="CK80" s="196"/>
    </row>
    <row r="81" spans="1:103" x14ac:dyDescent="0.35">
      <c r="D81" s="205"/>
      <c r="P81" s="194"/>
      <c r="S81" s="196"/>
      <c r="AM81" s="205" t="s">
        <v>529</v>
      </c>
      <c r="AY81" s="194"/>
      <c r="BB81" s="196"/>
      <c r="BR81" s="272"/>
      <c r="BV81" s="205"/>
      <c r="CH81" s="194"/>
      <c r="CK81" s="196"/>
    </row>
    <row r="82" spans="1:103" x14ac:dyDescent="0.35">
      <c r="D82" s="196"/>
      <c r="P82" s="194"/>
      <c r="T82" s="194"/>
      <c r="U82" s="194"/>
      <c r="V82" s="194"/>
      <c r="W82" s="194"/>
      <c r="X82" s="194"/>
      <c r="Y82" s="194"/>
      <c r="Z82" s="194"/>
      <c r="AA82" s="194"/>
      <c r="AB82" s="194"/>
      <c r="AM82" s="196"/>
      <c r="AY82" s="194"/>
      <c r="BC82" s="194"/>
      <c r="BD82" s="194"/>
      <c r="BE82" s="194"/>
      <c r="BF82" s="194"/>
      <c r="BG82" s="194"/>
      <c r="BH82" s="194"/>
      <c r="BI82" s="194"/>
      <c r="BJ82" s="194"/>
      <c r="BK82" s="194"/>
      <c r="BR82" s="272"/>
      <c r="BV82" s="196"/>
      <c r="CH82" s="194"/>
      <c r="CL82" s="194"/>
      <c r="CM82" s="194"/>
      <c r="CN82" s="194"/>
      <c r="CO82" s="194"/>
      <c r="CP82" s="194"/>
      <c r="CQ82" s="194"/>
      <c r="CR82" s="194"/>
      <c r="CS82" s="194"/>
      <c r="CT82" s="194"/>
    </row>
    <row r="83" spans="1:103" s="214" customFormat="1" x14ac:dyDescent="0.35">
      <c r="A83" s="216"/>
      <c r="E83" s="216"/>
      <c r="F83" s="216"/>
      <c r="G83" s="216"/>
      <c r="H83" s="216"/>
      <c r="I83" s="216"/>
      <c r="J83" s="216"/>
      <c r="K83" s="216"/>
      <c r="L83" s="216"/>
      <c r="M83" s="216"/>
      <c r="AI83" s="272"/>
      <c r="AJ83" s="216"/>
      <c r="AN83" s="216"/>
      <c r="AO83" s="216"/>
      <c r="AP83" s="216"/>
      <c r="AQ83" s="216"/>
      <c r="AR83" s="216"/>
      <c r="AS83" s="216"/>
      <c r="AT83" s="216"/>
      <c r="AU83" s="216"/>
      <c r="AV83" s="216"/>
      <c r="BR83" s="272"/>
      <c r="BS83" s="216"/>
      <c r="BW83" s="216"/>
      <c r="BX83" s="216"/>
      <c r="BY83" s="216"/>
      <c r="BZ83" s="216"/>
      <c r="CA83" s="216"/>
      <c r="CB83" s="216"/>
      <c r="CC83" s="216"/>
      <c r="CD83" s="216"/>
      <c r="CE83" s="216"/>
    </row>
    <row r="84" spans="1:103" x14ac:dyDescent="0.35">
      <c r="BR84" s="272"/>
    </row>
    <row r="85" spans="1:103" x14ac:dyDescent="0.35">
      <c r="D85" s="195" t="s">
        <v>445</v>
      </c>
      <c r="S85" s="195" t="s">
        <v>445</v>
      </c>
      <c r="AM85" s="195" t="s">
        <v>445</v>
      </c>
      <c r="BB85" s="195" t="s">
        <v>445</v>
      </c>
      <c r="BR85" s="272"/>
      <c r="BV85" s="195" t="s">
        <v>445</v>
      </c>
      <c r="CK85" s="195" t="s">
        <v>445</v>
      </c>
    </row>
    <row r="86" spans="1:103" ht="16" thickBot="1" x14ac:dyDescent="0.4">
      <c r="D86" s="9" t="s">
        <v>444</v>
      </c>
      <c r="E86" s="9" t="s">
        <v>3</v>
      </c>
      <c r="F86" s="9" t="s">
        <v>4</v>
      </c>
      <c r="G86" s="9" t="s">
        <v>5</v>
      </c>
      <c r="H86" s="9" t="s">
        <v>6</v>
      </c>
      <c r="I86" s="9" t="s">
        <v>7</v>
      </c>
      <c r="J86" s="9" t="s">
        <v>8</v>
      </c>
      <c r="K86" s="9" t="s">
        <v>9</v>
      </c>
      <c r="L86" s="9" t="s">
        <v>10</v>
      </c>
      <c r="M86" s="9" t="s">
        <v>139</v>
      </c>
      <c r="S86" s="9" t="s">
        <v>444</v>
      </c>
      <c r="T86" s="9" t="s">
        <v>3</v>
      </c>
      <c r="U86" s="9" t="s">
        <v>4</v>
      </c>
      <c r="V86" s="9" t="s">
        <v>5</v>
      </c>
      <c r="W86" s="9" t="s">
        <v>6</v>
      </c>
      <c r="X86" s="9" t="s">
        <v>7</v>
      </c>
      <c r="Y86" s="9" t="s">
        <v>8</v>
      </c>
      <c r="Z86" s="9" t="s">
        <v>9</v>
      </c>
      <c r="AA86" s="9" t="s">
        <v>10</v>
      </c>
      <c r="AB86" s="9" t="s">
        <v>139</v>
      </c>
      <c r="AM86" s="9" t="s">
        <v>444</v>
      </c>
      <c r="AN86" s="9" t="s">
        <v>3</v>
      </c>
      <c r="AO86" s="9" t="s">
        <v>4</v>
      </c>
      <c r="AP86" s="9" t="s">
        <v>5</v>
      </c>
      <c r="AQ86" s="9" t="s">
        <v>6</v>
      </c>
      <c r="AR86" s="9" t="s">
        <v>7</v>
      </c>
      <c r="AS86" s="9" t="s">
        <v>8</v>
      </c>
      <c r="AT86" s="9" t="s">
        <v>9</v>
      </c>
      <c r="AU86" s="9" t="s">
        <v>10</v>
      </c>
      <c r="AV86" s="9" t="s">
        <v>139</v>
      </c>
      <c r="BB86" s="9" t="s">
        <v>444</v>
      </c>
      <c r="BC86" s="9" t="s">
        <v>3</v>
      </c>
      <c r="BD86" s="9" t="s">
        <v>4</v>
      </c>
      <c r="BE86" s="9" t="s">
        <v>5</v>
      </c>
      <c r="BF86" s="9" t="s">
        <v>6</v>
      </c>
      <c r="BG86" s="9" t="s">
        <v>7</v>
      </c>
      <c r="BH86" s="9" t="s">
        <v>8</v>
      </c>
      <c r="BI86" s="9" t="s">
        <v>9</v>
      </c>
      <c r="BJ86" s="9" t="s">
        <v>10</v>
      </c>
      <c r="BK86" s="9" t="s">
        <v>139</v>
      </c>
      <c r="BR86" s="272"/>
      <c r="BV86" s="9" t="s">
        <v>444</v>
      </c>
      <c r="BW86" s="9" t="s">
        <v>3</v>
      </c>
      <c r="BX86" s="9" t="s">
        <v>4</v>
      </c>
      <c r="BY86" s="9" t="s">
        <v>5</v>
      </c>
      <c r="BZ86" s="9" t="s">
        <v>6</v>
      </c>
      <c r="CA86" s="9" t="s">
        <v>7</v>
      </c>
      <c r="CB86" s="9" t="s">
        <v>8</v>
      </c>
      <c r="CC86" s="9" t="s">
        <v>9</v>
      </c>
      <c r="CD86" s="9" t="s">
        <v>10</v>
      </c>
      <c r="CE86" s="9" t="s">
        <v>139</v>
      </c>
      <c r="CK86" s="9" t="s">
        <v>444</v>
      </c>
      <c r="CL86" s="9" t="s">
        <v>3</v>
      </c>
      <c r="CM86" s="9" t="s">
        <v>4</v>
      </c>
      <c r="CN86" s="9" t="s">
        <v>5</v>
      </c>
      <c r="CO86" s="9" t="s">
        <v>6</v>
      </c>
      <c r="CP86" s="9" t="s">
        <v>7</v>
      </c>
      <c r="CQ86" s="9" t="s">
        <v>8</v>
      </c>
      <c r="CR86" s="9" t="s">
        <v>9</v>
      </c>
      <c r="CS86" s="9" t="s">
        <v>10</v>
      </c>
      <c r="CT86" s="9" t="s">
        <v>139</v>
      </c>
    </row>
    <row r="87" spans="1:103" x14ac:dyDescent="0.35">
      <c r="D87" s="196" t="s">
        <v>530</v>
      </c>
      <c r="E87" s="135">
        <v>3.47561909090909</v>
      </c>
      <c r="F87" s="289">
        <v>6.9513981818181803</v>
      </c>
      <c r="G87" s="135">
        <v>0.33605352822190704</v>
      </c>
      <c r="H87" s="135">
        <v>0.66394647177809285</v>
      </c>
      <c r="I87" s="135">
        <v>0.29846948991325439</v>
      </c>
      <c r="J87" s="135">
        <v>9.6683069570032698E-2</v>
      </c>
      <c r="K87" s="135">
        <v>10.427017272727271</v>
      </c>
      <c r="L87" s="135">
        <v>8.0909090909090917</v>
      </c>
      <c r="M87" s="135">
        <v>2.3743337203240924</v>
      </c>
      <c r="S87" s="196" t="s">
        <v>530</v>
      </c>
      <c r="T87" s="135">
        <v>1.9876018749999997</v>
      </c>
      <c r="U87" s="135">
        <v>4.9682481250000006</v>
      </c>
      <c r="V87" s="135">
        <v>0.29292435234754821</v>
      </c>
      <c r="W87" s="135">
        <v>0.70707564765245179</v>
      </c>
      <c r="X87" s="135">
        <v>0.56809859624145531</v>
      </c>
      <c r="Y87" s="135">
        <v>0.14932599776228703</v>
      </c>
      <c r="Z87" s="135">
        <v>6.9558500000000008</v>
      </c>
      <c r="AA87" s="135">
        <v>5.9375</v>
      </c>
      <c r="AB87" s="135">
        <v>3.2141625014195898</v>
      </c>
      <c r="AL87" s="277"/>
      <c r="AM87" s="275" t="s">
        <v>530</v>
      </c>
      <c r="AN87" s="277">
        <v>3.47561909090909</v>
      </c>
      <c r="AO87" s="277">
        <v>6.9513981818181829</v>
      </c>
      <c r="AP87" s="277">
        <v>0.33605352822190704</v>
      </c>
      <c r="AQ87" s="277">
        <v>0.66394647177809285</v>
      </c>
      <c r="AR87" s="277">
        <v>0.29846948991325439</v>
      </c>
      <c r="AS87" s="277">
        <v>9.6683069570032698E-2</v>
      </c>
      <c r="AT87" s="277">
        <v>10.427017272727271</v>
      </c>
      <c r="AU87" s="277">
        <v>8.0909090909090917</v>
      </c>
      <c r="AV87" s="277">
        <v>2.3743337203240924</v>
      </c>
      <c r="AW87" s="277"/>
      <c r="AX87" s="277"/>
      <c r="AY87" s="277"/>
      <c r="AZ87" s="277"/>
      <c r="BA87" s="277"/>
      <c r="BB87" s="275" t="s">
        <v>530</v>
      </c>
      <c r="BC87" s="135">
        <v>1.9876018749999997</v>
      </c>
      <c r="BD87" s="135">
        <v>4.9682481250000006</v>
      </c>
      <c r="BE87" s="135">
        <v>0.29292435234754821</v>
      </c>
      <c r="BF87" s="135">
        <v>0.70707564765245179</v>
      </c>
      <c r="BG87" s="135">
        <v>0.56809859624145531</v>
      </c>
      <c r="BH87" s="135">
        <v>0.14932599776228703</v>
      </c>
      <c r="BI87" s="135">
        <v>6.9558500000000008</v>
      </c>
      <c r="BJ87" s="135">
        <v>5.9375</v>
      </c>
      <c r="BK87" s="135">
        <v>3.2141625014195898</v>
      </c>
      <c r="BM87" s="360" t="s">
        <v>725</v>
      </c>
      <c r="BN87" s="360"/>
      <c r="BO87" s="360"/>
      <c r="BP87" s="360"/>
      <c r="BR87" s="272"/>
      <c r="BU87" s="277"/>
      <c r="BV87" s="275" t="s">
        <v>530</v>
      </c>
      <c r="BW87" s="277">
        <v>3.47561909090909</v>
      </c>
      <c r="BX87" s="277">
        <v>6.9513981818181829</v>
      </c>
      <c r="BY87" s="277">
        <v>0.33605352822190704</v>
      </c>
      <c r="BZ87" s="277">
        <v>0.66394647177809285</v>
      </c>
      <c r="CA87" s="277">
        <v>0.29846948991325439</v>
      </c>
      <c r="CB87" s="277">
        <v>9.6683069570032698E-2</v>
      </c>
      <c r="CC87" s="277">
        <v>10.427017272727271</v>
      </c>
      <c r="CD87" s="277">
        <v>8.0909090909090917</v>
      </c>
      <c r="CE87" s="277">
        <v>2.3743337203240924</v>
      </c>
      <c r="CF87" s="277"/>
      <c r="CG87" s="277"/>
      <c r="CH87" s="277"/>
      <c r="CI87" s="277"/>
      <c r="CJ87" s="277"/>
      <c r="CK87" s="275" t="s">
        <v>530</v>
      </c>
      <c r="CL87" s="135">
        <v>1.9876018749999997</v>
      </c>
      <c r="CM87" s="135">
        <v>4.9682481250000006</v>
      </c>
      <c r="CN87" s="135">
        <v>0.29292435234754821</v>
      </c>
      <c r="CO87" s="135">
        <v>0.70707564765245179</v>
      </c>
      <c r="CP87" s="135">
        <v>0.56809859624145531</v>
      </c>
      <c r="CQ87" s="135">
        <v>0.14932599776228703</v>
      </c>
      <c r="CR87" s="135">
        <v>6.9558500000000008</v>
      </c>
      <c r="CS87" s="135">
        <v>5.9375</v>
      </c>
      <c r="CT87" s="135">
        <v>3.2141625014195898</v>
      </c>
      <c r="CV87" s="360" t="s">
        <v>725</v>
      </c>
      <c r="CW87" s="360"/>
      <c r="CX87" s="360"/>
      <c r="CY87" s="360"/>
    </row>
    <row r="88" spans="1:103" x14ac:dyDescent="0.35">
      <c r="D88" s="196" t="s">
        <v>538</v>
      </c>
      <c r="E88" s="135">
        <v>3.2958381818181821</v>
      </c>
      <c r="F88" s="135">
        <v>8.1675454545454595</v>
      </c>
      <c r="G88" s="135">
        <v>0.29272189143213434</v>
      </c>
      <c r="H88" s="135">
        <v>0.70727810856786588</v>
      </c>
      <c r="I88" s="135">
        <v>0.32298271742091234</v>
      </c>
      <c r="J88" s="135">
        <v>8.9211862762678562E-2</v>
      </c>
      <c r="K88" s="135">
        <v>11.463383636363638</v>
      </c>
      <c r="L88" s="135">
        <v>7.9090909090909092</v>
      </c>
      <c r="M88" s="135">
        <v>2.4233596948637492</v>
      </c>
      <c r="S88" s="237" t="s">
        <v>537</v>
      </c>
      <c r="T88" s="135">
        <v>2.0358930769230765</v>
      </c>
      <c r="U88" s="135">
        <v>6.7544869230769242</v>
      </c>
      <c r="V88" s="135">
        <v>0.23413189443769766</v>
      </c>
      <c r="W88" s="135">
        <v>0.76586810556230234</v>
      </c>
      <c r="X88" s="135">
        <v>0.58136832126949245</v>
      </c>
      <c r="Y88" s="135">
        <v>0.1162701457660414</v>
      </c>
      <c r="Z88" s="135">
        <v>8.7903800000000007</v>
      </c>
      <c r="AA88" s="135">
        <v>5.2307692307692308</v>
      </c>
      <c r="AB88" s="135">
        <v>2.9245959598572067</v>
      </c>
      <c r="AL88" s="277"/>
      <c r="AM88" s="275" t="s">
        <v>538</v>
      </c>
      <c r="AN88" s="277">
        <v>3.2958381818181821</v>
      </c>
      <c r="AO88" s="277">
        <v>8.167545454545456</v>
      </c>
      <c r="AP88" s="277">
        <v>0.29272189143213434</v>
      </c>
      <c r="AQ88" s="277">
        <v>0.70727810856786588</v>
      </c>
      <c r="AR88" s="277">
        <v>0.32298271742091234</v>
      </c>
      <c r="AS88" s="277">
        <v>8.9211862762678562E-2</v>
      </c>
      <c r="AT88" s="277">
        <v>11.463383636363638</v>
      </c>
      <c r="AU88" s="277">
        <v>7.9090909090909092</v>
      </c>
      <c r="AV88" s="277">
        <v>2.4233596948637492</v>
      </c>
      <c r="AW88" s="282" t="s">
        <v>721</v>
      </c>
      <c r="AX88" s="273" t="s">
        <v>724</v>
      </c>
      <c r="AY88" s="273"/>
      <c r="AZ88" s="273"/>
      <c r="BA88" s="277"/>
      <c r="BB88" s="276" t="s">
        <v>537</v>
      </c>
      <c r="BC88" s="135">
        <v>2.0358930769230765</v>
      </c>
      <c r="BD88" s="135">
        <v>6.7544869230769242</v>
      </c>
      <c r="BE88" s="135">
        <v>0.23413189443769766</v>
      </c>
      <c r="BF88" s="135">
        <v>0.76586810556230234</v>
      </c>
      <c r="BG88" s="135">
        <v>0.58136832126949245</v>
      </c>
      <c r="BH88" s="135">
        <v>0.1162701457660414</v>
      </c>
      <c r="BI88" s="135">
        <v>8.7903800000000007</v>
      </c>
      <c r="BJ88" s="135">
        <v>5.2307692307692308</v>
      </c>
      <c r="BK88" s="135">
        <v>2.9245959598572067</v>
      </c>
      <c r="BM88" s="360"/>
      <c r="BN88" s="360"/>
      <c r="BO88" s="360"/>
      <c r="BP88" s="360"/>
      <c r="BR88" s="272"/>
      <c r="BU88" s="277"/>
      <c r="BV88" s="275" t="s">
        <v>538</v>
      </c>
      <c r="BW88" s="277">
        <v>3.2958381818181821</v>
      </c>
      <c r="BX88" s="277">
        <v>8.167545454545456</v>
      </c>
      <c r="BY88" s="277">
        <v>0.29272189143213434</v>
      </c>
      <c r="BZ88" s="277">
        <v>0.70727810856786588</v>
      </c>
      <c r="CA88" s="277">
        <v>0.32298271742091234</v>
      </c>
      <c r="CB88" s="277">
        <v>8.9211862762678562E-2</v>
      </c>
      <c r="CC88" s="277">
        <v>11.463383636363638</v>
      </c>
      <c r="CD88" s="277">
        <v>7.9090909090909092</v>
      </c>
      <c r="CE88" s="277">
        <v>2.4233596948637492</v>
      </c>
      <c r="CF88" s="282" t="s">
        <v>721</v>
      </c>
      <c r="CG88" s="273" t="s">
        <v>724</v>
      </c>
      <c r="CH88" s="273"/>
      <c r="CI88" s="273"/>
      <c r="CJ88" s="277"/>
      <c r="CK88" s="276" t="s">
        <v>537</v>
      </c>
      <c r="CL88" s="135">
        <v>2.0358930769230765</v>
      </c>
      <c r="CM88" s="135">
        <v>6.7544869230769242</v>
      </c>
      <c r="CN88" s="135">
        <v>0.23413189443769766</v>
      </c>
      <c r="CO88" s="135">
        <v>0.76586810556230234</v>
      </c>
      <c r="CP88" s="135">
        <v>0.58136832126949245</v>
      </c>
      <c r="CQ88" s="135">
        <v>0.1162701457660414</v>
      </c>
      <c r="CR88" s="135">
        <v>8.7903800000000007</v>
      </c>
      <c r="CS88" s="135">
        <v>5.2307692307692308</v>
      </c>
      <c r="CT88" s="135">
        <v>2.9245959598572067</v>
      </c>
      <c r="CV88" s="360"/>
      <c r="CW88" s="360"/>
      <c r="CX88" s="360"/>
      <c r="CY88" s="360"/>
    </row>
    <row r="89" spans="1:103" x14ac:dyDescent="0.35">
      <c r="D89" s="205" t="s">
        <v>529</v>
      </c>
      <c r="E89" s="135">
        <v>4.816257000000002</v>
      </c>
      <c r="F89" s="135">
        <v>5.9364599999999967</v>
      </c>
      <c r="G89" s="135">
        <v>0.44922681162657729</v>
      </c>
      <c r="H89" s="135">
        <v>0.5507731883734226</v>
      </c>
      <c r="I89" s="135">
        <v>0.21904608545439999</v>
      </c>
      <c r="J89" s="135">
        <v>9.4265667591522065E-2</v>
      </c>
      <c r="K89" s="135">
        <v>10.752716999999999</v>
      </c>
      <c r="L89" s="135">
        <v>44.4</v>
      </c>
      <c r="M89" s="135">
        <v>9.2671326020406504</v>
      </c>
      <c r="S89" s="205"/>
      <c r="AL89" s="277"/>
      <c r="AM89" s="205" t="s">
        <v>529</v>
      </c>
      <c r="AN89" s="277">
        <v>4.816257000000002</v>
      </c>
      <c r="AO89" s="277">
        <v>5.9364599999999967</v>
      </c>
      <c r="AP89" s="277">
        <v>0.44922681162657729</v>
      </c>
      <c r="AQ89" s="277">
        <v>0.5507731883734226</v>
      </c>
      <c r="AR89" s="277">
        <v>0.21904608545439999</v>
      </c>
      <c r="AS89" s="277">
        <v>9.4265667591522065E-2</v>
      </c>
      <c r="AT89" s="277">
        <v>10.752716999999999</v>
      </c>
      <c r="AU89" s="277">
        <v>44.4</v>
      </c>
      <c r="AV89" s="277">
        <v>9.2671326020406504</v>
      </c>
      <c r="AW89" s="283" t="s">
        <v>721</v>
      </c>
      <c r="AX89" s="274" t="s">
        <v>723</v>
      </c>
      <c r="AY89" s="274"/>
      <c r="AZ89" s="274"/>
      <c r="BA89" s="277"/>
      <c r="BB89" s="205"/>
      <c r="BC89" s="277"/>
      <c r="BD89" s="277"/>
      <c r="BE89" s="277"/>
      <c r="BR89" s="272"/>
      <c r="BU89" s="277"/>
      <c r="BV89" s="205" t="s">
        <v>529</v>
      </c>
      <c r="BW89" s="277">
        <v>4.816257000000002</v>
      </c>
      <c r="BX89" s="277">
        <v>5.9364599999999967</v>
      </c>
      <c r="BY89" s="277">
        <v>0.44922681162657729</v>
      </c>
      <c r="BZ89" s="277">
        <v>0.5507731883734226</v>
      </c>
      <c r="CA89" s="277">
        <v>0.21904608545439999</v>
      </c>
      <c r="CB89" s="277">
        <v>9.4265667591522065E-2</v>
      </c>
      <c r="CC89" s="277">
        <v>10.752716999999999</v>
      </c>
      <c r="CD89" s="277">
        <v>44.4</v>
      </c>
      <c r="CE89" s="277">
        <v>9.2671326020406504</v>
      </c>
      <c r="CF89" s="283" t="s">
        <v>721</v>
      </c>
      <c r="CG89" s="274" t="s">
        <v>723</v>
      </c>
      <c r="CH89" s="274"/>
      <c r="CI89" s="274"/>
      <c r="CJ89" s="277"/>
      <c r="CK89" s="205" t="s">
        <v>529</v>
      </c>
      <c r="CL89" s="277"/>
      <c r="CM89" s="277"/>
    </row>
    <row r="90" spans="1:103" x14ac:dyDescent="0.35">
      <c r="D90" s="196" t="s">
        <v>553</v>
      </c>
      <c r="E90" s="135">
        <v>4.4542908333333324</v>
      </c>
      <c r="F90" s="135">
        <v>6.1186499999999997</v>
      </c>
      <c r="G90" s="135">
        <v>0.43174631142375602</v>
      </c>
      <c r="H90" s="135">
        <v>0.56825368857624403</v>
      </c>
      <c r="I90" s="135">
        <v>0.23341747336274657</v>
      </c>
      <c r="J90" s="135">
        <v>9.591522086984082E-2</v>
      </c>
      <c r="K90" s="135">
        <v>10.572940833333334</v>
      </c>
      <c r="L90" s="135">
        <v>54</v>
      </c>
      <c r="M90" s="135">
        <v>12.054283809210949</v>
      </c>
      <c r="AL90" s="277"/>
      <c r="AM90" s="275" t="s">
        <v>553</v>
      </c>
      <c r="AN90" s="277">
        <v>3.8983483333333333</v>
      </c>
      <c r="AO90" s="277">
        <v>7.7954766666666666</v>
      </c>
      <c r="AP90" s="277">
        <v>0.33540043579034634</v>
      </c>
      <c r="AQ90" s="277">
        <v>0.6645995642096536</v>
      </c>
      <c r="AR90" s="277">
        <v>0.26216726687030506</v>
      </c>
      <c r="AS90" s="277">
        <v>8.5832360738871613E-2</v>
      </c>
      <c r="AT90" s="277">
        <v>11.693824999999999</v>
      </c>
      <c r="AU90" s="277">
        <v>44</v>
      </c>
      <c r="AV90" s="277">
        <v>11.32403131388458</v>
      </c>
      <c r="AW90" s="277"/>
      <c r="AX90" s="277"/>
      <c r="AY90" s="277"/>
      <c r="AZ90" s="277"/>
      <c r="BA90" s="277"/>
      <c r="BB90" s="277"/>
      <c r="BC90" s="277"/>
      <c r="BD90" s="277"/>
      <c r="BE90" s="277"/>
      <c r="BR90" s="272"/>
      <c r="BU90" s="277"/>
      <c r="BV90" s="275" t="s">
        <v>553</v>
      </c>
      <c r="BW90" s="277">
        <v>5.010233333333332</v>
      </c>
      <c r="BX90" s="277">
        <v>4.4418233333333346</v>
      </c>
      <c r="BY90" s="277">
        <v>0.52809218705716565</v>
      </c>
      <c r="BZ90" s="277">
        <v>0.47190781294283429</v>
      </c>
      <c r="CA90" s="277">
        <v>0.20466767985518816</v>
      </c>
      <c r="CB90" s="277">
        <v>0.10599808100081003</v>
      </c>
      <c r="CC90" s="277">
        <v>9.4520566666666657</v>
      </c>
      <c r="CD90" s="277">
        <v>64</v>
      </c>
      <c r="CE90" s="277">
        <v>12.784536304537317</v>
      </c>
      <c r="CF90" s="277"/>
      <c r="CG90" s="277"/>
      <c r="CH90" s="277"/>
      <c r="CI90" s="277"/>
      <c r="CJ90" s="277"/>
      <c r="CK90" s="277"/>
      <c r="CL90" s="277"/>
      <c r="CM90" s="277"/>
    </row>
    <row r="91" spans="1:103" x14ac:dyDescent="0.35">
      <c r="D91" s="205" t="s">
        <v>529</v>
      </c>
      <c r="E91" s="135">
        <v>3.3242120000000015</v>
      </c>
      <c r="F91" s="135">
        <v>7.6128839999999993</v>
      </c>
      <c r="G91" s="135">
        <v>0.31548239111751919</v>
      </c>
      <c r="H91" s="135">
        <v>0.6845176088824807</v>
      </c>
      <c r="I91" s="135">
        <v>0.31270911920488287</v>
      </c>
      <c r="J91" s="135">
        <v>9.3918507683748403E-2</v>
      </c>
      <c r="K91" s="135">
        <v>10.937096</v>
      </c>
      <c r="L91" s="135">
        <v>35</v>
      </c>
      <c r="M91" s="135">
        <v>10.434228312978695</v>
      </c>
      <c r="AL91" s="277"/>
      <c r="AM91" s="205" t="s">
        <v>529</v>
      </c>
      <c r="AN91" s="277">
        <v>3.159279999999999</v>
      </c>
      <c r="AO91" s="277">
        <v>9.873637500000001</v>
      </c>
      <c r="AP91" s="277">
        <v>0.24411464594695581</v>
      </c>
      <c r="AQ91" s="277">
        <v>0.75588535405304424</v>
      </c>
      <c r="AR91" s="277">
        <v>0.32097298059696722</v>
      </c>
      <c r="AS91" s="277">
        <v>7.7090785169674256E-2</v>
      </c>
      <c r="AT91" s="277">
        <v>13.0329175</v>
      </c>
      <c r="AU91" s="277">
        <v>31.25</v>
      </c>
      <c r="AV91" s="277">
        <v>9.9210836098049615</v>
      </c>
      <c r="AW91" s="277"/>
      <c r="AX91" s="277"/>
      <c r="AY91" s="277"/>
      <c r="AZ91" s="277"/>
      <c r="BA91" s="277"/>
      <c r="BB91" s="277"/>
      <c r="BC91" s="277"/>
      <c r="BD91" s="277"/>
      <c r="BE91" s="277"/>
      <c r="BR91" s="272"/>
      <c r="BU91" s="277"/>
      <c r="BV91" s="205" t="s">
        <v>529</v>
      </c>
      <c r="BW91" s="277">
        <v>3.4341666666666697</v>
      </c>
      <c r="BX91" s="277">
        <v>6.1057149999999991</v>
      </c>
      <c r="BY91" s="277">
        <v>0.36306088789789476</v>
      </c>
      <c r="BZ91" s="277">
        <v>0.63693911210210519</v>
      </c>
      <c r="CA91" s="277">
        <v>0.30719987827682665</v>
      </c>
      <c r="CB91" s="277">
        <v>0.10513698935979786</v>
      </c>
      <c r="CC91" s="277">
        <v>9.5398816666666679</v>
      </c>
      <c r="CD91" s="277">
        <v>37.5</v>
      </c>
      <c r="CE91" s="277">
        <v>10.776324781761184</v>
      </c>
      <c r="CF91" s="277"/>
      <c r="CG91" s="277"/>
      <c r="CH91" s="277"/>
      <c r="CI91" s="277"/>
      <c r="CJ91" s="277"/>
      <c r="CK91" s="277"/>
      <c r="CL91" s="277"/>
      <c r="CM91" s="277"/>
    </row>
    <row r="92" spans="1:103" x14ac:dyDescent="0.35">
      <c r="D92" s="236" t="s">
        <v>552</v>
      </c>
      <c r="E92" s="135">
        <v>2.7677676923076957</v>
      </c>
      <c r="F92" s="135">
        <v>6.2716438461538413</v>
      </c>
      <c r="G92" s="135">
        <v>0.3072397451929334</v>
      </c>
      <c r="H92" s="135">
        <v>0.6927602548070666</v>
      </c>
      <c r="I92" s="135">
        <v>0.36756165346909159</v>
      </c>
      <c r="J92" s="135">
        <v>0.11177984126166672</v>
      </c>
      <c r="K92" s="135">
        <v>9.0394115384615379</v>
      </c>
      <c r="L92" s="135">
        <v>8.2307692307692299</v>
      </c>
      <c r="M92" s="135">
        <v>2.9797460529220334</v>
      </c>
      <c r="S92" s="205"/>
      <c r="AL92" s="277"/>
      <c r="AM92" s="275" t="s">
        <v>552</v>
      </c>
      <c r="AN92" s="277">
        <v>2.7677676923076957</v>
      </c>
      <c r="AO92" s="277">
        <v>6.2716438461538413</v>
      </c>
      <c r="AP92" s="277">
        <v>0.3072397451929334</v>
      </c>
      <c r="AQ92" s="277">
        <v>0.6927602548070666</v>
      </c>
      <c r="AR92" s="277">
        <v>0.36756165346909159</v>
      </c>
      <c r="AS92" s="277">
        <v>0.11177984126166672</v>
      </c>
      <c r="AT92" s="277">
        <v>9.0394115384615379</v>
      </c>
      <c r="AU92" s="277">
        <v>8.2307692307692299</v>
      </c>
      <c r="AV92" s="277">
        <v>2.9797460529220334</v>
      </c>
      <c r="AW92" s="282" t="s">
        <v>721</v>
      </c>
      <c r="AX92" s="273" t="s">
        <v>724</v>
      </c>
      <c r="AY92" s="273"/>
      <c r="AZ92" s="273"/>
      <c r="BA92" s="277"/>
      <c r="BB92" s="276"/>
      <c r="BC92" s="277"/>
      <c r="BD92" s="277"/>
      <c r="BE92" s="277"/>
      <c r="BR92" s="272"/>
      <c r="BU92" s="277"/>
      <c r="BV92" s="275" t="s">
        <v>552</v>
      </c>
      <c r="BW92" s="277">
        <v>2.7677676923076957</v>
      </c>
      <c r="BX92" s="277">
        <v>6.2716438461538413</v>
      </c>
      <c r="BY92" s="277">
        <v>0.3072397451929334</v>
      </c>
      <c r="BZ92" s="277">
        <v>0.6927602548070666</v>
      </c>
      <c r="CA92" s="277">
        <v>0.36756165346909159</v>
      </c>
      <c r="CB92" s="277">
        <v>0.11177984126166672</v>
      </c>
      <c r="CC92" s="277">
        <v>9.0394115384615379</v>
      </c>
      <c r="CD92" s="277">
        <v>8.2307692307692299</v>
      </c>
      <c r="CE92" s="277">
        <v>2.9797460529220334</v>
      </c>
      <c r="CF92" s="277"/>
      <c r="CG92" s="277"/>
      <c r="CH92" s="277"/>
      <c r="CI92" s="277"/>
      <c r="CJ92" s="277"/>
      <c r="CK92" s="276"/>
      <c r="CL92" s="277"/>
      <c r="CM92" s="277"/>
    </row>
    <row r="93" spans="1:103" x14ac:dyDescent="0.35">
      <c r="D93" s="205" t="s">
        <v>529</v>
      </c>
      <c r="E93" s="135">
        <v>2.8385208333333325</v>
      </c>
      <c r="F93" s="289">
        <v>6.9550550000000015</v>
      </c>
      <c r="G93" s="135">
        <v>0.29490412352521184</v>
      </c>
      <c r="H93" s="135">
        <v>0.705095876474788</v>
      </c>
      <c r="I93" s="135">
        <v>0.36545335203725093</v>
      </c>
      <c r="J93" s="135">
        <v>0.10450312418206548</v>
      </c>
      <c r="K93" s="135">
        <v>9.7935758333333336</v>
      </c>
      <c r="L93" s="135">
        <v>8.75</v>
      </c>
      <c r="M93" s="135">
        <v>3.1065340171131663</v>
      </c>
      <c r="S93" s="205"/>
      <c r="AL93" s="277"/>
      <c r="AM93" s="205" t="s">
        <v>529</v>
      </c>
      <c r="AN93" s="164">
        <v>2.8385208333333325</v>
      </c>
      <c r="AO93" s="164">
        <v>6.9550550000000015</v>
      </c>
      <c r="AP93" s="164">
        <v>0.29490412352521184</v>
      </c>
      <c r="AQ93" s="164">
        <v>0.705095876474788</v>
      </c>
      <c r="AR93" s="164">
        <v>0.36545335203725093</v>
      </c>
      <c r="AS93" s="164">
        <v>0.10450312418206548</v>
      </c>
      <c r="AT93" s="164">
        <v>9.7935758333333336</v>
      </c>
      <c r="AU93" s="164">
        <v>8.75</v>
      </c>
      <c r="AV93" s="164">
        <v>3.1065340171131663</v>
      </c>
      <c r="AW93" s="282" t="s">
        <v>721</v>
      </c>
      <c r="AX93" s="273" t="s">
        <v>724</v>
      </c>
      <c r="AY93" s="273"/>
      <c r="AZ93" s="273"/>
      <c r="BA93" s="277"/>
      <c r="BB93" s="276"/>
      <c r="BC93" s="277"/>
      <c r="BD93" s="277"/>
      <c r="BE93" s="277"/>
      <c r="BR93" s="272"/>
      <c r="BU93" s="277"/>
      <c r="BV93" s="205" t="s">
        <v>529</v>
      </c>
      <c r="BW93" s="277">
        <v>2.8385208333333325</v>
      </c>
      <c r="BX93" s="277">
        <v>6.9550550000000015</v>
      </c>
      <c r="BY93" s="277">
        <v>0.29490412352521184</v>
      </c>
      <c r="BZ93" s="277">
        <v>0.705095876474788</v>
      </c>
      <c r="CA93" s="277">
        <v>0.36545335203725093</v>
      </c>
      <c r="CB93" s="277">
        <v>0.10450312418206548</v>
      </c>
      <c r="CC93" s="277">
        <v>9.7935758333333336</v>
      </c>
      <c r="CD93" s="277">
        <v>8.75</v>
      </c>
      <c r="CE93" s="277">
        <v>3.1065340171131663</v>
      </c>
      <c r="CF93" s="277"/>
      <c r="CG93" s="277"/>
      <c r="CH93" s="277"/>
      <c r="CI93" s="277"/>
      <c r="CJ93" s="277"/>
      <c r="CK93" s="276"/>
      <c r="CL93" s="277"/>
      <c r="CM93" s="277"/>
    </row>
    <row r="94" spans="1:103" x14ac:dyDescent="0.35">
      <c r="D94" s="196"/>
      <c r="S94" s="205"/>
      <c r="AM94" s="196"/>
      <c r="BB94" s="205"/>
      <c r="BR94" s="272"/>
      <c r="BV94" s="196"/>
      <c r="CK94" s="205"/>
    </row>
    <row r="95" spans="1:103" x14ac:dyDescent="0.35">
      <c r="D95" s="205" t="s">
        <v>577</v>
      </c>
      <c r="S95" s="205" t="s">
        <v>577</v>
      </c>
      <c r="AM95" s="205" t="s">
        <v>577</v>
      </c>
      <c r="BB95" s="205" t="s">
        <v>577</v>
      </c>
      <c r="BR95" s="272"/>
      <c r="BV95" s="205" t="s">
        <v>577</v>
      </c>
      <c r="CK95" s="205" t="s">
        <v>577</v>
      </c>
    </row>
    <row r="96" spans="1:103" x14ac:dyDescent="0.35">
      <c r="D96" s="196" t="s">
        <v>530</v>
      </c>
      <c r="E96" s="135">
        <f t="shared" ref="E96:M96" si="147">1-((E87-E87)/E87)</f>
        <v>1</v>
      </c>
      <c r="F96" s="135">
        <f t="shared" si="147"/>
        <v>1</v>
      </c>
      <c r="G96" s="135">
        <f t="shared" si="147"/>
        <v>1</v>
      </c>
      <c r="H96" s="135">
        <f t="shared" si="147"/>
        <v>1</v>
      </c>
      <c r="I96" s="135">
        <f t="shared" si="147"/>
        <v>1</v>
      </c>
      <c r="J96" s="135">
        <f t="shared" si="147"/>
        <v>1</v>
      </c>
      <c r="K96" s="135">
        <f t="shared" si="147"/>
        <v>1</v>
      </c>
      <c r="L96" s="135">
        <f t="shared" si="147"/>
        <v>1</v>
      </c>
      <c r="M96" s="135">
        <f t="shared" si="147"/>
        <v>1</v>
      </c>
      <c r="S96" s="196" t="s">
        <v>530</v>
      </c>
      <c r="T96" s="135">
        <f t="shared" ref="T96:AB96" si="148">1-((T87-T87)/T87)</f>
        <v>1</v>
      </c>
      <c r="U96" s="135">
        <f t="shared" si="148"/>
        <v>1</v>
      </c>
      <c r="V96" s="135">
        <f t="shared" si="148"/>
        <v>1</v>
      </c>
      <c r="W96" s="135">
        <f t="shared" si="148"/>
        <v>1</v>
      </c>
      <c r="X96" s="135">
        <f t="shared" si="148"/>
        <v>1</v>
      </c>
      <c r="Y96" s="135">
        <f t="shared" si="148"/>
        <v>1</v>
      </c>
      <c r="Z96" s="135">
        <f t="shared" si="148"/>
        <v>1</v>
      </c>
      <c r="AA96" s="135">
        <f t="shared" si="148"/>
        <v>1</v>
      </c>
      <c r="AB96" s="135">
        <f t="shared" si="148"/>
        <v>1</v>
      </c>
      <c r="AM96" s="196" t="s">
        <v>530</v>
      </c>
      <c r="AN96" s="135">
        <f>1-((AN87-AN87)/AN87)</f>
        <v>1</v>
      </c>
      <c r="AO96" s="135">
        <f t="shared" ref="AO96:AV96" si="149">1-((AO87-AO87)/AO87)</f>
        <v>1</v>
      </c>
      <c r="AP96" s="135">
        <f t="shared" si="149"/>
        <v>1</v>
      </c>
      <c r="AQ96" s="135">
        <f t="shared" si="149"/>
        <v>1</v>
      </c>
      <c r="AR96" s="135">
        <f t="shared" si="149"/>
        <v>1</v>
      </c>
      <c r="AS96" s="135">
        <f t="shared" si="149"/>
        <v>1</v>
      </c>
      <c r="AT96" s="135">
        <f t="shared" si="149"/>
        <v>1</v>
      </c>
      <c r="AU96" s="135">
        <f t="shared" si="149"/>
        <v>1</v>
      </c>
      <c r="AV96" s="135">
        <f t="shared" si="149"/>
        <v>1</v>
      </c>
      <c r="BB96" s="196" t="s">
        <v>530</v>
      </c>
      <c r="BC96" s="135">
        <f t="shared" ref="BC96:BK96" si="150">1-((BC87-BC87)/BC87)</f>
        <v>1</v>
      </c>
      <c r="BD96" s="135">
        <f t="shared" si="150"/>
        <v>1</v>
      </c>
      <c r="BE96" s="135">
        <f t="shared" si="150"/>
        <v>1</v>
      </c>
      <c r="BF96" s="135">
        <f t="shared" si="150"/>
        <v>1</v>
      </c>
      <c r="BG96" s="135">
        <f t="shared" si="150"/>
        <v>1</v>
      </c>
      <c r="BH96" s="135">
        <f t="shared" si="150"/>
        <v>1</v>
      </c>
      <c r="BI96" s="135">
        <f t="shared" si="150"/>
        <v>1</v>
      </c>
      <c r="BJ96" s="135">
        <f t="shared" si="150"/>
        <v>1</v>
      </c>
      <c r="BK96" s="135">
        <f t="shared" si="150"/>
        <v>1</v>
      </c>
      <c r="BR96" s="272"/>
      <c r="BV96" s="196" t="s">
        <v>530</v>
      </c>
      <c r="BW96" s="135">
        <f t="shared" ref="BW96:CE96" si="151">1-((BW87-BW87)/BW87)</f>
        <v>1</v>
      </c>
      <c r="BX96" s="135">
        <f t="shared" si="151"/>
        <v>1</v>
      </c>
      <c r="BY96" s="135">
        <f t="shared" si="151"/>
        <v>1</v>
      </c>
      <c r="BZ96" s="135">
        <f t="shared" si="151"/>
        <v>1</v>
      </c>
      <c r="CA96" s="135">
        <f t="shared" si="151"/>
        <v>1</v>
      </c>
      <c r="CB96" s="135">
        <f t="shared" si="151"/>
        <v>1</v>
      </c>
      <c r="CC96" s="135">
        <f t="shared" si="151"/>
        <v>1</v>
      </c>
      <c r="CD96" s="135">
        <f t="shared" si="151"/>
        <v>1</v>
      </c>
      <c r="CE96" s="135">
        <f t="shared" si="151"/>
        <v>1</v>
      </c>
      <c r="CK96" s="196" t="s">
        <v>530</v>
      </c>
      <c r="CL96" s="135">
        <f t="shared" ref="CL96:CT96" si="152">1-((CL87-CL87)/CL87)</f>
        <v>1</v>
      </c>
      <c r="CM96" s="135">
        <f t="shared" si="152"/>
        <v>1</v>
      </c>
      <c r="CN96" s="135">
        <f t="shared" si="152"/>
        <v>1</v>
      </c>
      <c r="CO96" s="135">
        <f t="shared" si="152"/>
        <v>1</v>
      </c>
      <c r="CP96" s="135">
        <f t="shared" si="152"/>
        <v>1</v>
      </c>
      <c r="CQ96" s="135">
        <f t="shared" si="152"/>
        <v>1</v>
      </c>
      <c r="CR96" s="135">
        <f t="shared" si="152"/>
        <v>1</v>
      </c>
      <c r="CS96" s="135">
        <f t="shared" si="152"/>
        <v>1</v>
      </c>
      <c r="CT96" s="135">
        <f t="shared" si="152"/>
        <v>1</v>
      </c>
    </row>
    <row r="97" spans="1:102" x14ac:dyDescent="0.35">
      <c r="D97" s="196" t="s">
        <v>538</v>
      </c>
      <c r="E97" s="135">
        <f t="shared" ref="E97:M97" si="153">1-((E87-E88)/E87)</f>
        <v>0.94827370192517724</v>
      </c>
      <c r="F97" s="135">
        <f t="shared" si="153"/>
        <v>1.1749500231346535</v>
      </c>
      <c r="G97" s="135">
        <f t="shared" si="153"/>
        <v>0.87105733714790989</v>
      </c>
      <c r="H97" s="135">
        <f t="shared" si="153"/>
        <v>1.0652637503648872</v>
      </c>
      <c r="I97" s="135">
        <f t="shared" si="153"/>
        <v>1.0821297597780675</v>
      </c>
      <c r="J97" s="135">
        <f t="shared" si="153"/>
        <v>0.92272476618109089</v>
      </c>
      <c r="K97" s="135">
        <f t="shared" si="153"/>
        <v>1.0993924088288478</v>
      </c>
      <c r="L97" s="135">
        <f t="shared" si="153"/>
        <v>0.97752808988764039</v>
      </c>
      <c r="M97" s="135">
        <f t="shared" si="153"/>
        <v>1.020648308247488</v>
      </c>
      <c r="S97" s="205" t="s">
        <v>537</v>
      </c>
      <c r="T97" s="135">
        <f t="shared" ref="T97:AB97" si="154">1-((T87-T88)/T87)</f>
        <v>1.0242962147150705</v>
      </c>
      <c r="U97" s="135">
        <f t="shared" si="154"/>
        <v>1.3595309157545192</v>
      </c>
      <c r="V97" s="135">
        <f t="shared" si="154"/>
        <v>0.79929132747524312</v>
      </c>
      <c r="W97" s="135">
        <f t="shared" si="154"/>
        <v>1.0831487523365375</v>
      </c>
      <c r="X97" s="135">
        <f t="shared" si="154"/>
        <v>1.0233581373300862</v>
      </c>
      <c r="Y97" s="135">
        <f t="shared" si="154"/>
        <v>0.77863297422015265</v>
      </c>
      <c r="Z97" s="135">
        <f t="shared" si="154"/>
        <v>1.2637391548121366</v>
      </c>
      <c r="AA97" s="135">
        <f t="shared" si="154"/>
        <v>0.88097165991902837</v>
      </c>
      <c r="AB97" s="135">
        <f t="shared" si="154"/>
        <v>0.90990917807220661</v>
      </c>
      <c r="AM97" s="196" t="s">
        <v>538</v>
      </c>
      <c r="AN97" s="135">
        <f>1-((AN87-AN88)/AN87)</f>
        <v>0.94827370192517724</v>
      </c>
      <c r="AO97" s="135">
        <f t="shared" ref="AO97:AV97" si="155">1-((AO87-AO88)/AO87)</f>
        <v>1.1749500231346526</v>
      </c>
      <c r="AP97" s="135">
        <f t="shared" si="155"/>
        <v>0.87105733714790989</v>
      </c>
      <c r="AQ97" s="135">
        <f t="shared" si="155"/>
        <v>1.0652637503648872</v>
      </c>
      <c r="AR97" s="135">
        <f t="shared" si="155"/>
        <v>1.0821297597780675</v>
      </c>
      <c r="AS97" s="135">
        <f t="shared" si="155"/>
        <v>0.92272476618109089</v>
      </c>
      <c r="AT97" s="135">
        <f t="shared" si="155"/>
        <v>1.0993924088288478</v>
      </c>
      <c r="AU97" s="135">
        <f t="shared" si="155"/>
        <v>0.97752808988764039</v>
      </c>
      <c r="AV97" s="135">
        <f t="shared" si="155"/>
        <v>1.020648308247488</v>
      </c>
      <c r="BB97" s="205" t="s">
        <v>537</v>
      </c>
      <c r="BC97" s="135">
        <f t="shared" ref="BC97:BK97" si="156">1-((BC87-BC88)/BC87)</f>
        <v>1.0242962147150705</v>
      </c>
      <c r="BD97" s="135">
        <f t="shared" si="156"/>
        <v>1.3595309157545192</v>
      </c>
      <c r="BE97" s="135">
        <f t="shared" si="156"/>
        <v>0.79929132747524312</v>
      </c>
      <c r="BF97" s="135">
        <f t="shared" si="156"/>
        <v>1.0831487523365375</v>
      </c>
      <c r="BG97" s="135">
        <f t="shared" si="156"/>
        <v>1.0233581373300862</v>
      </c>
      <c r="BH97" s="135">
        <f t="shared" si="156"/>
        <v>0.77863297422015265</v>
      </c>
      <c r="BI97" s="135">
        <f t="shared" si="156"/>
        <v>1.2637391548121366</v>
      </c>
      <c r="BJ97" s="135">
        <f t="shared" si="156"/>
        <v>0.88097165991902837</v>
      </c>
      <c r="BK97" s="135">
        <f t="shared" si="156"/>
        <v>0.90990917807220661</v>
      </c>
      <c r="BR97" s="272"/>
      <c r="BV97" s="196" t="s">
        <v>538</v>
      </c>
      <c r="BW97" s="135">
        <f t="shared" ref="BW97:CE97" si="157">1-((BW87-BW88)/BW87)</f>
        <v>0.94827370192517724</v>
      </c>
      <c r="BX97" s="135">
        <f t="shared" si="157"/>
        <v>1.1749500231346526</v>
      </c>
      <c r="BY97" s="135">
        <f t="shared" si="157"/>
        <v>0.87105733714790989</v>
      </c>
      <c r="BZ97" s="135">
        <f t="shared" si="157"/>
        <v>1.0652637503648872</v>
      </c>
      <c r="CA97" s="135">
        <f t="shared" si="157"/>
        <v>1.0821297597780675</v>
      </c>
      <c r="CB97" s="135">
        <f t="shared" si="157"/>
        <v>0.92272476618109089</v>
      </c>
      <c r="CC97" s="135">
        <f t="shared" si="157"/>
        <v>1.0993924088288478</v>
      </c>
      <c r="CD97" s="135">
        <f t="shared" si="157"/>
        <v>0.97752808988764039</v>
      </c>
      <c r="CE97" s="135">
        <f t="shared" si="157"/>
        <v>1.020648308247488</v>
      </c>
      <c r="CK97" s="205" t="s">
        <v>537</v>
      </c>
      <c r="CL97" s="135">
        <f t="shared" ref="CL97:CT97" si="158">1-((CL87-CL88)/CL87)</f>
        <v>1.0242962147150705</v>
      </c>
      <c r="CM97" s="135">
        <f t="shared" si="158"/>
        <v>1.3595309157545192</v>
      </c>
      <c r="CN97" s="135">
        <f t="shared" si="158"/>
        <v>0.79929132747524312</v>
      </c>
      <c r="CO97" s="135">
        <f t="shared" si="158"/>
        <v>1.0831487523365375</v>
      </c>
      <c r="CP97" s="135">
        <f t="shared" si="158"/>
        <v>1.0233581373300862</v>
      </c>
      <c r="CQ97" s="135">
        <f t="shared" si="158"/>
        <v>0.77863297422015265</v>
      </c>
      <c r="CR97" s="135">
        <f t="shared" si="158"/>
        <v>1.2637391548121366</v>
      </c>
      <c r="CS97" s="135">
        <f t="shared" si="158"/>
        <v>0.88097165991902837</v>
      </c>
      <c r="CT97" s="135">
        <f t="shared" si="158"/>
        <v>0.90990917807220661</v>
      </c>
    </row>
    <row r="98" spans="1:102" x14ac:dyDescent="0.35">
      <c r="D98" s="205" t="s">
        <v>529</v>
      </c>
      <c r="E98" s="135">
        <f>1-((E87-E89)/E87)</f>
        <v>1.3857263624191487</v>
      </c>
      <c r="F98" s="135">
        <f t="shared" ref="F98:M98" si="159">1-((F87-F89)/F87)</f>
        <v>0.8539951020971841</v>
      </c>
      <c r="G98" s="135">
        <f t="shared" si="159"/>
        <v>1.3367715970830047</v>
      </c>
      <c r="H98" s="135">
        <f t="shared" si="159"/>
        <v>0.8295445668962067</v>
      </c>
      <c r="I98" s="135">
        <f t="shared" si="159"/>
        <v>0.73389774451674239</v>
      </c>
      <c r="J98" s="135">
        <f t="shared" si="159"/>
        <v>0.97499663602674946</v>
      </c>
      <c r="K98" s="135">
        <f t="shared" si="159"/>
        <v>1.0312361357762994</v>
      </c>
      <c r="L98" s="135">
        <f t="shared" si="159"/>
        <v>5.4876404494382012</v>
      </c>
      <c r="M98" s="135">
        <f t="shared" si="159"/>
        <v>3.9030455250307878</v>
      </c>
      <c r="S98" s="205"/>
      <c r="AM98" s="205" t="s">
        <v>529</v>
      </c>
      <c r="AN98" s="135">
        <f>1-((AN87-AN89)/AN87)</f>
        <v>1.3857263624191487</v>
      </c>
      <c r="AO98" s="135">
        <f t="shared" ref="AO98:AV98" si="160">1-((AO87-AO89)/AO87)</f>
        <v>0.85399510209718377</v>
      </c>
      <c r="AP98" s="135">
        <f t="shared" si="160"/>
        <v>1.3367715970830047</v>
      </c>
      <c r="AQ98" s="135">
        <f t="shared" si="160"/>
        <v>0.8295445668962067</v>
      </c>
      <c r="AR98" s="135">
        <f t="shared" si="160"/>
        <v>0.73389774451674239</v>
      </c>
      <c r="AS98" s="135">
        <f t="shared" si="160"/>
        <v>0.97499663602674946</v>
      </c>
      <c r="AT98" s="135">
        <f t="shared" si="160"/>
        <v>1.0312361357762994</v>
      </c>
      <c r="AU98" s="135">
        <f t="shared" si="160"/>
        <v>5.4876404494382012</v>
      </c>
      <c r="AV98" s="135">
        <f t="shared" si="160"/>
        <v>3.9030455250307878</v>
      </c>
      <c r="BB98" s="205" t="s">
        <v>529</v>
      </c>
      <c r="BR98" s="272"/>
      <c r="BV98" s="205" t="s">
        <v>529</v>
      </c>
      <c r="BW98" s="135">
        <f>1-((BW87-BW89)/BW87)</f>
        <v>1.3857263624191487</v>
      </c>
      <c r="BX98" s="135">
        <f t="shared" ref="BX98:CE98" si="161">1-((BX87-BX89)/BX87)</f>
        <v>0.85399510209718377</v>
      </c>
      <c r="BY98" s="135">
        <f t="shared" si="161"/>
        <v>1.3367715970830047</v>
      </c>
      <c r="BZ98" s="135">
        <f t="shared" si="161"/>
        <v>0.8295445668962067</v>
      </c>
      <c r="CA98" s="135">
        <f t="shared" si="161"/>
        <v>0.73389774451674239</v>
      </c>
      <c r="CB98" s="135">
        <f t="shared" si="161"/>
        <v>0.97499663602674946</v>
      </c>
      <c r="CC98" s="135">
        <f t="shared" si="161"/>
        <v>1.0312361357762994</v>
      </c>
      <c r="CD98" s="135">
        <f t="shared" si="161"/>
        <v>5.4876404494382012</v>
      </c>
      <c r="CE98" s="135">
        <f t="shared" si="161"/>
        <v>3.9030455250307878</v>
      </c>
      <c r="CK98" s="205" t="s">
        <v>529</v>
      </c>
    </row>
    <row r="99" spans="1:102" x14ac:dyDescent="0.35">
      <c r="D99" s="196" t="s">
        <v>553</v>
      </c>
      <c r="E99" s="135">
        <f>1-((E87-E90)/E87)</f>
        <v>1.2815819906686778</v>
      </c>
      <c r="F99" s="135">
        <f t="shared" ref="F99:M99" si="162">1-((F87-F90)/F87)</f>
        <v>0.88020421790881065</v>
      </c>
      <c r="G99" s="135">
        <f t="shared" si="162"/>
        <v>1.2847545856999898</v>
      </c>
      <c r="H99" s="135">
        <f t="shared" si="162"/>
        <v>0.85587274385903855</v>
      </c>
      <c r="I99" s="135">
        <f t="shared" si="162"/>
        <v>0.78204801914790623</v>
      </c>
      <c r="J99" s="135">
        <f t="shared" si="162"/>
        <v>0.99205808520967897</v>
      </c>
      <c r="K99" s="135">
        <f t="shared" si="162"/>
        <v>1.0139947558145643</v>
      </c>
      <c r="L99" s="135">
        <f t="shared" si="162"/>
        <v>6.6741573033707855</v>
      </c>
      <c r="M99" s="135">
        <f t="shared" si="162"/>
        <v>5.0769121905767989</v>
      </c>
      <c r="S99" s="196"/>
      <c r="AM99" s="196" t="s">
        <v>553</v>
      </c>
      <c r="AN99" s="135">
        <f>1-((AN87-AN90)/AN87)</f>
        <v>1.121627034311655</v>
      </c>
      <c r="AO99" s="135">
        <f t="shared" ref="AO99:AV99" si="163">1-((AO87-AO90)/AO87)</f>
        <v>1.1214257136148844</v>
      </c>
      <c r="AP99" s="135">
        <f t="shared" si="163"/>
        <v>0.99805658213137571</v>
      </c>
      <c r="AQ99" s="135">
        <f t="shared" si="163"/>
        <v>1.000983652236018</v>
      </c>
      <c r="AR99" s="135">
        <f t="shared" si="163"/>
        <v>0.87837208066559824</v>
      </c>
      <c r="AS99" s="135">
        <f t="shared" si="163"/>
        <v>0.88777033166803476</v>
      </c>
      <c r="AT99" s="135">
        <f t="shared" si="163"/>
        <v>1.1214928194840694</v>
      </c>
      <c r="AU99" s="135">
        <f t="shared" si="163"/>
        <v>5.4382022471910103</v>
      </c>
      <c r="AV99" s="135">
        <f t="shared" si="163"/>
        <v>4.7693511729003575</v>
      </c>
      <c r="BB99" s="196"/>
      <c r="BR99" s="272"/>
      <c r="BV99" s="196" t="s">
        <v>553</v>
      </c>
      <c r="BW99" s="135">
        <f>1-((BW87-BW90)/BW87)</f>
        <v>1.4415369470257011</v>
      </c>
      <c r="BX99" s="135">
        <f t="shared" ref="BX99:CE99" si="164">1-((BX87-BX90)/BX87)</f>
        <v>0.63898272220273633</v>
      </c>
      <c r="BY99" s="135">
        <f t="shared" si="164"/>
        <v>1.571452589268604</v>
      </c>
      <c r="BZ99" s="135">
        <f t="shared" si="164"/>
        <v>0.71076183548205885</v>
      </c>
      <c r="CA99" s="135">
        <f t="shared" si="164"/>
        <v>0.68572395763021443</v>
      </c>
      <c r="CB99" s="135">
        <f t="shared" si="164"/>
        <v>1.0963458387513232</v>
      </c>
      <c r="CC99" s="135">
        <f t="shared" si="164"/>
        <v>0.90649669214505901</v>
      </c>
      <c r="CD99" s="135">
        <f t="shared" si="164"/>
        <v>7.9101123595505607</v>
      </c>
      <c r="CE99" s="135">
        <f t="shared" si="164"/>
        <v>5.3844732082532403</v>
      </c>
      <c r="CK99" s="196"/>
    </row>
    <row r="100" spans="1:102" x14ac:dyDescent="0.35">
      <c r="D100" s="205" t="s">
        <v>529</v>
      </c>
      <c r="E100" s="135">
        <f>1-((E87-E91)/E87)</f>
        <v>0.9564373750549614</v>
      </c>
      <c r="F100" s="135">
        <f t="shared" ref="F100:M100" si="165">1-((F87-F91)/F87)</f>
        <v>1.0951586718067707</v>
      </c>
      <c r="G100" s="135">
        <f t="shared" si="165"/>
        <v>0.93878612965847497</v>
      </c>
      <c r="H100" s="135">
        <f t="shared" si="165"/>
        <v>1.0309831258675071</v>
      </c>
      <c r="I100" s="135">
        <f t="shared" si="165"/>
        <v>1.0477088271091528</v>
      </c>
      <c r="J100" s="135">
        <f t="shared" si="165"/>
        <v>0.97140593592467839</v>
      </c>
      <c r="K100" s="135">
        <f t="shared" si="165"/>
        <v>1.0489189491041586</v>
      </c>
      <c r="L100" s="135">
        <f t="shared" si="165"/>
        <v>4.3258426966292127</v>
      </c>
      <c r="M100" s="135">
        <f t="shared" si="165"/>
        <v>4.3945921433295574</v>
      </c>
      <c r="S100" s="196"/>
      <c r="AM100" s="205" t="s">
        <v>529</v>
      </c>
      <c r="AN100" s="135">
        <f>1-((AN87-AN91)/AN87)</f>
        <v>0.90898338320890371</v>
      </c>
      <c r="AO100" s="135">
        <f t="shared" ref="AO100:AV100" si="166">1-((AO87-AO91)/AO87)</f>
        <v>1.4203815177535244</v>
      </c>
      <c r="AP100" s="135">
        <f t="shared" si="166"/>
        <v>0.72641595890568667</v>
      </c>
      <c r="AQ100" s="135">
        <f t="shared" si="166"/>
        <v>1.138473335099941</v>
      </c>
      <c r="AR100" s="135">
        <f t="shared" si="166"/>
        <v>1.0753962848606506</v>
      </c>
      <c r="AS100" s="135">
        <f t="shared" si="166"/>
        <v>0.79735558161848896</v>
      </c>
      <c r="AT100" s="135">
        <f t="shared" si="166"/>
        <v>1.249918088664596</v>
      </c>
      <c r="AU100" s="135">
        <f t="shared" si="166"/>
        <v>3.8623595505617971</v>
      </c>
      <c r="AV100" s="135">
        <f t="shared" si="166"/>
        <v>4.1784705851925281</v>
      </c>
      <c r="BB100" s="196"/>
      <c r="BR100" s="272"/>
      <c r="BV100" s="205" t="s">
        <v>529</v>
      </c>
      <c r="BW100" s="135">
        <f>1-((BW87-BW91)/BW87)</f>
        <v>0.98807336961899983</v>
      </c>
      <c r="BX100" s="135">
        <f t="shared" ref="BX100:CE100" si="167">1-((BX87-BX91)/BX87)</f>
        <v>0.87834344117560104</v>
      </c>
      <c r="BY100" s="135">
        <f t="shared" si="167"/>
        <v>1.0803662434936672</v>
      </c>
      <c r="BZ100" s="135">
        <f t="shared" si="167"/>
        <v>0.95932298637921798</v>
      </c>
      <c r="CA100" s="135">
        <f t="shared" si="167"/>
        <v>1.0292505219414876</v>
      </c>
      <c r="CB100" s="135">
        <f t="shared" si="167"/>
        <v>1.0874395054621382</v>
      </c>
      <c r="CC100" s="135">
        <f t="shared" si="167"/>
        <v>0.9149195227305339</v>
      </c>
      <c r="CD100" s="135">
        <f t="shared" si="167"/>
        <v>4.6348314606741567</v>
      </c>
      <c r="CE100" s="135">
        <f t="shared" si="167"/>
        <v>4.5386731820875781</v>
      </c>
      <c r="CK100" s="196"/>
    </row>
    <row r="101" spans="1:102" x14ac:dyDescent="0.35">
      <c r="A101" s="194"/>
      <c r="D101" s="196" t="s">
        <v>552</v>
      </c>
      <c r="E101" s="135">
        <f>1-((E87-E92)/E87)</f>
        <v>0.79633803932862868</v>
      </c>
      <c r="F101" s="135">
        <f t="shared" ref="F101:M101" si="168">1-((F87-F92)/F87)</f>
        <v>0.90221329322750077</v>
      </c>
      <c r="G101" s="135">
        <f t="shared" si="168"/>
        <v>0.91425835288374957</v>
      </c>
      <c r="H101" s="135">
        <f t="shared" si="168"/>
        <v>1.043397750050254</v>
      </c>
      <c r="I101" s="135">
        <f t="shared" si="168"/>
        <v>1.2314881952454093</v>
      </c>
      <c r="J101" s="135">
        <f t="shared" si="168"/>
        <v>1.1561470044214786</v>
      </c>
      <c r="K101" s="135">
        <f t="shared" si="168"/>
        <v>0.86692208347106781</v>
      </c>
      <c r="L101" s="135">
        <f t="shared" si="168"/>
        <v>1.0172860847018148</v>
      </c>
      <c r="M101" s="135">
        <f t="shared" si="168"/>
        <v>1.2549819881744775</v>
      </c>
      <c r="P101" s="194"/>
      <c r="S101" s="196"/>
      <c r="AJ101" s="194"/>
      <c r="AM101" s="196" t="s">
        <v>552</v>
      </c>
      <c r="AN101" s="135">
        <f>1-((AN87-AN92)/AN87)</f>
        <v>0.79633803932862868</v>
      </c>
      <c r="AO101" s="135">
        <f t="shared" ref="AO101:AV101" si="169">1-((AO87-AO92)/AO87)</f>
        <v>0.90221329322750043</v>
      </c>
      <c r="AP101" s="135">
        <f t="shared" si="169"/>
        <v>0.91425835288374957</v>
      </c>
      <c r="AQ101" s="135">
        <f t="shared" si="169"/>
        <v>1.043397750050254</v>
      </c>
      <c r="AR101" s="135">
        <f t="shared" si="169"/>
        <v>1.2314881952454093</v>
      </c>
      <c r="AS101" s="135">
        <f t="shared" si="169"/>
        <v>1.1561470044214786</v>
      </c>
      <c r="AT101" s="135">
        <f t="shared" si="169"/>
        <v>0.86692208347106781</v>
      </c>
      <c r="AU101" s="135">
        <f t="shared" si="169"/>
        <v>1.0172860847018148</v>
      </c>
      <c r="AV101" s="135">
        <f t="shared" si="169"/>
        <v>1.2549819881744775</v>
      </c>
      <c r="AY101" s="194"/>
      <c r="BB101" s="196"/>
      <c r="BR101" s="272"/>
      <c r="BS101" s="194"/>
      <c r="BV101" s="196" t="s">
        <v>552</v>
      </c>
      <c r="BW101" s="135">
        <f>1-((BW87-BW92)/BW87)</f>
        <v>0.79633803932862868</v>
      </c>
      <c r="BX101" s="135">
        <f t="shared" ref="BX101:CE101" si="170">1-((BX87-BX92)/BX87)</f>
        <v>0.90221329322750043</v>
      </c>
      <c r="BY101" s="135">
        <f t="shared" si="170"/>
        <v>0.91425835288374957</v>
      </c>
      <c r="BZ101" s="135">
        <f t="shared" si="170"/>
        <v>1.043397750050254</v>
      </c>
      <c r="CA101" s="135">
        <f t="shared" si="170"/>
        <v>1.2314881952454093</v>
      </c>
      <c r="CB101" s="135">
        <f t="shared" si="170"/>
        <v>1.1561470044214786</v>
      </c>
      <c r="CC101" s="135">
        <f t="shared" si="170"/>
        <v>0.86692208347106781</v>
      </c>
      <c r="CD101" s="135">
        <f t="shared" si="170"/>
        <v>1.0172860847018148</v>
      </c>
      <c r="CE101" s="135">
        <f t="shared" si="170"/>
        <v>1.2549819881744775</v>
      </c>
      <c r="CH101" s="194"/>
      <c r="CK101" s="196"/>
    </row>
    <row r="102" spans="1:102" x14ac:dyDescent="0.35">
      <c r="A102" s="194"/>
      <c r="D102" s="205" t="s">
        <v>529</v>
      </c>
      <c r="E102" s="135">
        <f>1-((E87-E93)/E87)</f>
        <v>0.81669502873828537</v>
      </c>
      <c r="F102" s="135">
        <f t="shared" ref="F102:M102" si="171">1-((F87-F93)/F87)</f>
        <v>1.0005260550591657</v>
      </c>
      <c r="G102" s="135">
        <f t="shared" si="171"/>
        <v>0.87755104100700609</v>
      </c>
      <c r="H102" s="135">
        <f t="shared" si="171"/>
        <v>1.0619769912874064</v>
      </c>
      <c r="I102" s="135">
        <f t="shared" si="171"/>
        <v>1.2244244868829453</v>
      </c>
      <c r="J102" s="135">
        <f t="shared" si="171"/>
        <v>1.0808833919610743</v>
      </c>
      <c r="K102" s="135">
        <f t="shared" si="171"/>
        <v>0.93924998656607617</v>
      </c>
      <c r="L102" s="135">
        <f t="shared" si="171"/>
        <v>1.0814606741573032</v>
      </c>
      <c r="M102" s="135">
        <f t="shared" si="171"/>
        <v>1.3083813747501045</v>
      </c>
      <c r="P102" s="194"/>
      <c r="S102" s="196"/>
      <c r="AJ102" s="194"/>
      <c r="AM102" s="205" t="s">
        <v>529</v>
      </c>
      <c r="AN102" s="135">
        <f>1-((AN87-AN93)/AN87)</f>
        <v>0.81669502873828537</v>
      </c>
      <c r="AO102" s="135">
        <f t="shared" ref="AO102:AV102" si="172">1-((AO87-AO93)/AO87)</f>
        <v>1.0005260550591655</v>
      </c>
      <c r="AP102" s="135">
        <f t="shared" si="172"/>
        <v>0.87755104100700609</v>
      </c>
      <c r="AQ102" s="135">
        <f t="shared" si="172"/>
        <v>1.0619769912874064</v>
      </c>
      <c r="AR102" s="135">
        <f t="shared" si="172"/>
        <v>1.2244244868829453</v>
      </c>
      <c r="AS102" s="135">
        <f t="shared" si="172"/>
        <v>1.0808833919610743</v>
      </c>
      <c r="AT102" s="135">
        <f t="shared" si="172"/>
        <v>0.93924998656607617</v>
      </c>
      <c r="AU102" s="135">
        <f t="shared" si="172"/>
        <v>1.0814606741573032</v>
      </c>
      <c r="AV102" s="135">
        <f t="shared" si="172"/>
        <v>1.3083813747501045</v>
      </c>
      <c r="AY102" s="194"/>
      <c r="BB102" s="196"/>
      <c r="BR102" s="272"/>
      <c r="BS102" s="194"/>
      <c r="BV102" s="205" t="s">
        <v>529</v>
      </c>
      <c r="BW102" s="135">
        <f>1-((BW87-BW93)/BW87)</f>
        <v>0.81669502873828537</v>
      </c>
      <c r="BX102" s="135">
        <f t="shared" ref="BX102:CE102" si="173">1-((BX87-BX93)/BX87)</f>
        <v>1.0005260550591655</v>
      </c>
      <c r="BY102" s="135">
        <f t="shared" si="173"/>
        <v>0.87755104100700609</v>
      </c>
      <c r="BZ102" s="135">
        <f t="shared" si="173"/>
        <v>1.0619769912874064</v>
      </c>
      <c r="CA102" s="135">
        <f t="shared" si="173"/>
        <v>1.2244244868829453</v>
      </c>
      <c r="CB102" s="135">
        <f t="shared" si="173"/>
        <v>1.0808833919610743</v>
      </c>
      <c r="CC102" s="135">
        <f t="shared" si="173"/>
        <v>0.93924998656607617</v>
      </c>
      <c r="CD102" s="135">
        <f t="shared" si="173"/>
        <v>1.0814606741573032</v>
      </c>
      <c r="CE102" s="135">
        <f t="shared" si="173"/>
        <v>1.3083813747501045</v>
      </c>
      <c r="CH102" s="194"/>
      <c r="CK102" s="196"/>
    </row>
    <row r="103" spans="1:102" x14ac:dyDescent="0.35">
      <c r="A103" s="194"/>
      <c r="D103" s="196"/>
      <c r="P103" s="194"/>
      <c r="T103" s="194"/>
      <c r="U103" s="194"/>
      <c r="V103" s="194"/>
      <c r="W103" s="194"/>
      <c r="X103" s="194"/>
      <c r="Y103" s="194"/>
      <c r="Z103" s="194"/>
      <c r="AA103" s="194"/>
      <c r="AB103" s="194"/>
      <c r="AJ103" s="194"/>
      <c r="AM103" s="196"/>
      <c r="AY103" s="194"/>
      <c r="BC103" s="194"/>
      <c r="BD103" s="194"/>
      <c r="BE103" s="194"/>
      <c r="BF103" s="194"/>
      <c r="BG103" s="194"/>
      <c r="BH103" s="194"/>
      <c r="BI103" s="194"/>
      <c r="BJ103" s="194"/>
      <c r="BK103" s="194"/>
      <c r="BR103" s="272"/>
      <c r="BS103" s="194"/>
      <c r="BV103" s="196"/>
      <c r="CH103" s="194"/>
      <c r="CL103" s="194"/>
      <c r="CM103" s="194"/>
      <c r="CN103" s="194"/>
      <c r="CO103" s="194"/>
      <c r="CP103" s="194"/>
      <c r="CQ103" s="194"/>
      <c r="CR103" s="194"/>
      <c r="CS103" s="194"/>
      <c r="CT103" s="194"/>
    </row>
    <row r="104" spans="1:102" s="214" customFormat="1" x14ac:dyDescent="0.35">
      <c r="A104" s="216"/>
      <c r="D104" s="217"/>
      <c r="P104" s="216"/>
      <c r="T104" s="216"/>
      <c r="U104" s="216"/>
      <c r="V104" s="216"/>
      <c r="W104" s="216"/>
      <c r="X104" s="216"/>
      <c r="Y104" s="216"/>
      <c r="Z104" s="216"/>
      <c r="AA104" s="216"/>
      <c r="AB104" s="216"/>
      <c r="AI104" s="272"/>
      <c r="AJ104" s="216"/>
      <c r="AM104" s="217"/>
      <c r="AY104" s="216"/>
      <c r="BC104" s="216"/>
      <c r="BD104" s="216"/>
      <c r="BE104" s="216"/>
      <c r="BF104" s="216"/>
      <c r="BG104" s="216"/>
      <c r="BH104" s="216"/>
      <c r="BI104" s="216"/>
      <c r="BJ104" s="216"/>
      <c r="BK104" s="216"/>
      <c r="BR104" s="272"/>
      <c r="BS104" s="216"/>
      <c r="BV104" s="217"/>
      <c r="CH104" s="216"/>
      <c r="CL104" s="216"/>
      <c r="CM104" s="216"/>
      <c r="CN104" s="216"/>
      <c r="CO104" s="216"/>
      <c r="CP104" s="216"/>
      <c r="CQ104" s="216"/>
      <c r="CR104" s="216"/>
      <c r="CS104" s="216"/>
      <c r="CT104" s="216"/>
    </row>
    <row r="105" spans="1:102" x14ac:dyDescent="0.35">
      <c r="D105" s="196"/>
      <c r="AM105" s="196"/>
      <c r="BR105" s="272"/>
      <c r="BV105" s="196"/>
    </row>
    <row r="106" spans="1:102" x14ac:dyDescent="0.35">
      <c r="D106" s="195" t="s">
        <v>450</v>
      </c>
      <c r="S106" s="195" t="s">
        <v>450</v>
      </c>
      <c r="AM106" s="195" t="s">
        <v>450</v>
      </c>
      <c r="BB106" s="195" t="s">
        <v>450</v>
      </c>
      <c r="BR106" s="272"/>
      <c r="BV106" s="195" t="s">
        <v>450</v>
      </c>
      <c r="CK106" s="195" t="s">
        <v>450</v>
      </c>
    </row>
    <row r="107" spans="1:102" ht="16" thickBot="1" x14ac:dyDescent="0.4">
      <c r="D107" s="9" t="s">
        <v>444</v>
      </c>
      <c r="E107" s="9" t="s">
        <v>3</v>
      </c>
      <c r="F107" s="9" t="s">
        <v>4</v>
      </c>
      <c r="G107" s="9" t="s">
        <v>5</v>
      </c>
      <c r="H107" s="9" t="s">
        <v>6</v>
      </c>
      <c r="I107" s="9" t="s">
        <v>7</v>
      </c>
      <c r="J107" s="9" t="s">
        <v>8</v>
      </c>
      <c r="K107" s="9" t="s">
        <v>9</v>
      </c>
      <c r="L107" s="9" t="s">
        <v>10</v>
      </c>
      <c r="M107" s="9" t="s">
        <v>139</v>
      </c>
      <c r="S107" s="9" t="s">
        <v>444</v>
      </c>
      <c r="T107" s="9" t="s">
        <v>3</v>
      </c>
      <c r="U107" s="9" t="s">
        <v>4</v>
      </c>
      <c r="V107" s="9" t="s">
        <v>5</v>
      </c>
      <c r="W107" s="9" t="s">
        <v>6</v>
      </c>
      <c r="X107" s="9" t="s">
        <v>7</v>
      </c>
      <c r="Y107" s="9" t="s">
        <v>8</v>
      </c>
      <c r="Z107" s="9" t="s">
        <v>9</v>
      </c>
      <c r="AA107" s="9" t="s">
        <v>10</v>
      </c>
      <c r="AB107" s="9" t="s">
        <v>139</v>
      </c>
      <c r="AM107" s="9" t="s">
        <v>444</v>
      </c>
      <c r="AN107" s="9" t="s">
        <v>3</v>
      </c>
      <c r="AO107" s="9" t="s">
        <v>4</v>
      </c>
      <c r="AP107" s="9" t="s">
        <v>5</v>
      </c>
      <c r="AQ107" s="9" t="s">
        <v>6</v>
      </c>
      <c r="AR107" s="9" t="s">
        <v>7</v>
      </c>
      <c r="AS107" s="9" t="s">
        <v>8</v>
      </c>
      <c r="AT107" s="9" t="s">
        <v>9</v>
      </c>
      <c r="AU107" s="9" t="s">
        <v>10</v>
      </c>
      <c r="AV107" s="9" t="s">
        <v>139</v>
      </c>
      <c r="BB107" s="9" t="s">
        <v>444</v>
      </c>
      <c r="BC107" s="9" t="s">
        <v>3</v>
      </c>
      <c r="BD107" s="9" t="s">
        <v>4</v>
      </c>
      <c r="BE107" s="9" t="s">
        <v>5</v>
      </c>
      <c r="BF107" s="9" t="s">
        <v>6</v>
      </c>
      <c r="BG107" s="9" t="s">
        <v>7</v>
      </c>
      <c r="BH107" s="9" t="s">
        <v>8</v>
      </c>
      <c r="BI107" s="9" t="s">
        <v>9</v>
      </c>
      <c r="BJ107" s="9" t="s">
        <v>10</v>
      </c>
      <c r="BK107" s="9" t="s">
        <v>139</v>
      </c>
      <c r="BR107" s="272"/>
      <c r="BV107" s="9" t="s">
        <v>444</v>
      </c>
      <c r="BW107" s="9" t="s">
        <v>3</v>
      </c>
      <c r="BX107" s="9" t="s">
        <v>4</v>
      </c>
      <c r="BY107" s="9" t="s">
        <v>5</v>
      </c>
      <c r="BZ107" s="9" t="s">
        <v>6</v>
      </c>
      <c r="CA107" s="9" t="s">
        <v>7</v>
      </c>
      <c r="CB107" s="9" t="s">
        <v>8</v>
      </c>
      <c r="CC107" s="9" t="s">
        <v>9</v>
      </c>
      <c r="CD107" s="9" t="s">
        <v>10</v>
      </c>
      <c r="CE107" s="9" t="s">
        <v>139</v>
      </c>
      <c r="CK107" s="9" t="s">
        <v>444</v>
      </c>
      <c r="CL107" s="9" t="s">
        <v>3</v>
      </c>
      <c r="CM107" s="9" t="s">
        <v>4</v>
      </c>
      <c r="CN107" s="9" t="s">
        <v>5</v>
      </c>
      <c r="CO107" s="9" t="s">
        <v>6</v>
      </c>
      <c r="CP107" s="9" t="s">
        <v>7</v>
      </c>
      <c r="CQ107" s="9" t="s">
        <v>8</v>
      </c>
      <c r="CR107" s="9" t="s">
        <v>9</v>
      </c>
      <c r="CS107" s="9" t="s">
        <v>10</v>
      </c>
      <c r="CT107" s="9" t="s">
        <v>139</v>
      </c>
    </row>
    <row r="108" spans="1:102" x14ac:dyDescent="0.35">
      <c r="D108" s="196" t="s">
        <v>530</v>
      </c>
      <c r="E108" s="135">
        <v>2.4718763157894741</v>
      </c>
      <c r="F108" s="289">
        <v>9.7635526315789463</v>
      </c>
      <c r="G108" s="135">
        <v>0.21302241932123089</v>
      </c>
      <c r="H108" s="135">
        <v>0.78697758067876911</v>
      </c>
      <c r="I108" s="135">
        <v>0.46393727132377388</v>
      </c>
      <c r="J108" s="135">
        <v>9.0905390465383581E-2</v>
      </c>
      <c r="K108" s="135">
        <v>12.235428947368399</v>
      </c>
      <c r="L108" s="135">
        <v>19.105263157894736</v>
      </c>
      <c r="M108" s="135">
        <v>8.0431481306994161</v>
      </c>
      <c r="S108" s="196" t="s">
        <v>530</v>
      </c>
      <c r="T108" s="135">
        <v>1.3480032499999999</v>
      </c>
      <c r="U108" s="289">
        <v>4.5581022500000001</v>
      </c>
      <c r="V108" s="135">
        <v>0.22971359719344897</v>
      </c>
      <c r="W108" s="135">
        <v>0.77028640280655103</v>
      </c>
      <c r="X108" s="135">
        <v>0.81510730101495477</v>
      </c>
      <c r="Y108" s="135">
        <v>0.17430688662496532</v>
      </c>
      <c r="Z108" s="135">
        <v>5.9061054999999998</v>
      </c>
      <c r="AA108" s="135">
        <v>7.5250000000000004</v>
      </c>
      <c r="AB108" s="135">
        <v>5.8827109787706711</v>
      </c>
      <c r="AM108" s="196" t="s">
        <v>530</v>
      </c>
      <c r="AN108" s="135">
        <v>1.7780900000000004</v>
      </c>
      <c r="AO108" s="135">
        <v>9.4248344444444427</v>
      </c>
      <c r="AP108" s="135">
        <v>0.16965215691817656</v>
      </c>
      <c r="AQ108" s="135">
        <v>0.83034784308182341</v>
      </c>
      <c r="AR108" s="135">
        <v>0.6106072274988481</v>
      </c>
      <c r="AS108" s="135">
        <v>0.10181349520665445</v>
      </c>
      <c r="AT108" s="135">
        <v>11.202924444444442</v>
      </c>
      <c r="AU108" s="135">
        <v>15</v>
      </c>
      <c r="AV108" s="135">
        <v>8.5983132784132756</v>
      </c>
      <c r="BB108" s="196" t="s">
        <v>530</v>
      </c>
      <c r="BC108" s="135">
        <v>1.4761907142857125</v>
      </c>
      <c r="BD108" s="135">
        <v>4.3828521428571472</v>
      </c>
      <c r="BE108" s="135">
        <v>0.25844625348415884</v>
      </c>
      <c r="BF108" s="135">
        <v>0.74155374651584105</v>
      </c>
      <c r="BG108" s="135">
        <v>0.74895260188293566</v>
      </c>
      <c r="BH108" s="135">
        <v>0.17884180052502627</v>
      </c>
      <c r="BI108" s="135">
        <v>5.8590428571428586</v>
      </c>
      <c r="BJ108" s="135">
        <v>7.7857142857142856</v>
      </c>
      <c r="BK108" s="135">
        <v>5.5892259727237397</v>
      </c>
      <c r="BR108" s="272"/>
      <c r="BV108" s="196" t="s">
        <v>530</v>
      </c>
      <c r="BW108" s="135">
        <v>3.0962840000000007</v>
      </c>
      <c r="BX108" s="135">
        <v>10.068398999999999</v>
      </c>
      <c r="BY108" s="135">
        <v>0.25205565548397985</v>
      </c>
      <c r="BZ108" s="135">
        <v>0.74794434451602021</v>
      </c>
      <c r="CA108" s="135">
        <v>0.33193431076620711</v>
      </c>
      <c r="CB108" s="135">
        <v>8.1088096198239812E-2</v>
      </c>
      <c r="CC108" s="135">
        <v>13.164683000000002</v>
      </c>
      <c r="CD108" s="135">
        <v>22.8</v>
      </c>
      <c r="CE108" s="135">
        <v>7.5434994977569421</v>
      </c>
      <c r="CK108" s="196" t="s">
        <v>530</v>
      </c>
      <c r="CL108" s="135">
        <v>1.2806748000000017</v>
      </c>
      <c r="CM108" s="135">
        <v>4.6521175999999977</v>
      </c>
      <c r="CN108" s="135">
        <v>0.21442507948462311</v>
      </c>
      <c r="CO108" s="135">
        <v>0.78557492051537692</v>
      </c>
      <c r="CP108" s="135">
        <v>0.85241120575160467</v>
      </c>
      <c r="CQ108" s="135">
        <v>0.17195743183629439</v>
      </c>
      <c r="CR108" s="135">
        <v>5.9327923999999994</v>
      </c>
      <c r="CS108" s="135">
        <v>7.36</v>
      </c>
      <c r="CT108" s="135">
        <v>6.0235948707647511</v>
      </c>
    </row>
    <row r="109" spans="1:102" x14ac:dyDescent="0.35">
      <c r="D109" s="236" t="s">
        <v>538</v>
      </c>
      <c r="E109" s="135">
        <v>2.1691641666666661</v>
      </c>
      <c r="F109" s="135">
        <v>7.9986941666666702</v>
      </c>
      <c r="G109" s="135">
        <v>0.21837466197478597</v>
      </c>
      <c r="H109" s="135">
        <v>0.78162533802521394</v>
      </c>
      <c r="I109" s="135">
        <v>0.47412426105153743</v>
      </c>
      <c r="J109" s="135">
        <v>0.10128091448201199</v>
      </c>
      <c r="K109" s="135">
        <v>10.167858333333333</v>
      </c>
      <c r="L109" s="135">
        <v>10.083333333333334</v>
      </c>
      <c r="M109" s="135">
        <v>4.6700043778369684</v>
      </c>
      <c r="S109" s="205" t="s">
        <v>539</v>
      </c>
      <c r="T109" s="135">
        <v>1.4214711764705876</v>
      </c>
      <c r="U109" s="135">
        <v>5.3418111764705891</v>
      </c>
      <c r="V109" s="135">
        <v>0.2138903811581169</v>
      </c>
      <c r="W109" s="135">
        <v>0.78610961884188324</v>
      </c>
      <c r="X109" s="135">
        <v>0.77183784478537576</v>
      </c>
      <c r="Y109" s="135">
        <v>0.14975286141363489</v>
      </c>
      <c r="Z109" s="135">
        <v>6.763282352941177</v>
      </c>
      <c r="AA109" s="135">
        <v>14.470588235294118</v>
      </c>
      <c r="AB109" s="135">
        <v>10.749957427040123</v>
      </c>
      <c r="AM109" s="275" t="s">
        <v>538</v>
      </c>
      <c r="AN109" s="277">
        <v>1.9804739999999996</v>
      </c>
      <c r="AO109" s="277">
        <v>8.4748920000000005</v>
      </c>
      <c r="AP109" s="277">
        <v>0.19025269383629978</v>
      </c>
      <c r="AQ109" s="277">
        <v>0.80974730616370016</v>
      </c>
      <c r="AR109" s="277">
        <v>0.52632108520267173</v>
      </c>
      <c r="AS109" s="277">
        <v>9.6845298009112596E-2</v>
      </c>
      <c r="AT109" s="277">
        <v>10.455366000000001</v>
      </c>
      <c r="AU109" s="277">
        <v>9.6</v>
      </c>
      <c r="AV109" s="277">
        <v>4.9260009410303578</v>
      </c>
      <c r="AW109" s="277"/>
      <c r="AX109" s="277"/>
      <c r="AY109" s="277"/>
      <c r="AZ109" s="277"/>
      <c r="BA109" s="277"/>
      <c r="BB109" s="276" t="s">
        <v>539</v>
      </c>
      <c r="BC109" s="135">
        <v>1.566543750000001</v>
      </c>
      <c r="BD109" s="135">
        <v>4.8230812500000004</v>
      </c>
      <c r="BE109" s="135">
        <v>0.24968035975799216</v>
      </c>
      <c r="BF109" s="135">
        <v>0.7503196402420077</v>
      </c>
      <c r="BG109" s="135">
        <v>0.70791539566131334</v>
      </c>
      <c r="BH109" s="135">
        <v>0.15753238956214333</v>
      </c>
      <c r="BI109" s="135">
        <v>6.3896250000000014</v>
      </c>
      <c r="BJ109" s="135">
        <v>15.5</v>
      </c>
      <c r="BK109" s="135">
        <v>10.538265722066274</v>
      </c>
      <c r="BR109" s="272"/>
      <c r="BV109" s="275" t="s">
        <v>538</v>
      </c>
      <c r="BW109" s="277">
        <v>2.3039428571428564</v>
      </c>
      <c r="BX109" s="277">
        <v>7.6585528571428574</v>
      </c>
      <c r="BY109" s="277">
        <v>0.23846178207370472</v>
      </c>
      <c r="BZ109" s="277">
        <v>0.76153821792629528</v>
      </c>
      <c r="CA109" s="277">
        <v>0.43684081522929868</v>
      </c>
      <c r="CB109" s="277">
        <v>0.10444921196265443</v>
      </c>
      <c r="CC109" s="277">
        <v>9.9624957142857138</v>
      </c>
      <c r="CD109" s="277">
        <v>10.428571428571429</v>
      </c>
      <c r="CE109" s="277">
        <v>4.4871496898416909</v>
      </c>
      <c r="CF109" s="277"/>
      <c r="CG109" s="277"/>
      <c r="CH109" s="277"/>
      <c r="CI109" s="277"/>
      <c r="CJ109" s="277"/>
      <c r="CK109" s="276" t="s">
        <v>539</v>
      </c>
      <c r="CL109" s="277">
        <v>1.2925177777777757</v>
      </c>
      <c r="CM109" s="135">
        <v>5.8029044444444464</v>
      </c>
      <c r="CN109" s="135">
        <v>0.18207706684711669</v>
      </c>
      <c r="CO109" s="135">
        <v>0.81792293315288334</v>
      </c>
      <c r="CP109" s="135">
        <v>0.82865779956232044</v>
      </c>
      <c r="CQ109" s="135">
        <v>0.14283772528162733</v>
      </c>
      <c r="CR109" s="135">
        <v>7.0954222222222212</v>
      </c>
      <c r="CS109" s="135">
        <v>13.555555555555555</v>
      </c>
      <c r="CT109" s="135">
        <v>10.938127831461323</v>
      </c>
    </row>
    <row r="110" spans="1:102" x14ac:dyDescent="0.35">
      <c r="D110" s="205" t="s">
        <v>529</v>
      </c>
      <c r="E110" s="135">
        <v>2.4381189999999946</v>
      </c>
      <c r="F110" s="289">
        <v>8.1564920000000036</v>
      </c>
      <c r="G110" s="135">
        <v>0.23148234757055147</v>
      </c>
      <c r="H110" s="135">
        <v>0.76851765242944869</v>
      </c>
      <c r="I110" s="135">
        <v>0.45461256165494923</v>
      </c>
      <c r="J110" s="135">
        <v>9.8866817867515597E-2</v>
      </c>
      <c r="K110" s="135">
        <v>10.594610999999999</v>
      </c>
      <c r="L110" s="135">
        <v>10.6</v>
      </c>
      <c r="M110" s="135">
        <v>4.5308247606070422</v>
      </c>
      <c r="S110" s="205" t="s">
        <v>529</v>
      </c>
      <c r="T110" s="135">
        <v>1.5790746666666677</v>
      </c>
      <c r="U110" s="135">
        <v>6.0464699999999985</v>
      </c>
      <c r="V110" s="135">
        <v>0.21808527334205832</v>
      </c>
      <c r="W110" s="135">
        <v>0.78191472665794171</v>
      </c>
      <c r="X110" s="135">
        <v>0.69289842373191068</v>
      </c>
      <c r="Y110" s="135">
        <v>0.13996281922437684</v>
      </c>
      <c r="Z110" s="135">
        <v>7.6255446666666664</v>
      </c>
      <c r="AA110" s="135">
        <v>14.666666666666666</v>
      </c>
      <c r="AB110" s="135">
        <v>9.4888042748790742</v>
      </c>
      <c r="AM110" s="205" t="s">
        <v>529</v>
      </c>
      <c r="AN110" s="277">
        <v>2.3335499999999882</v>
      </c>
      <c r="AO110" s="277">
        <v>8.1316250000000068</v>
      </c>
      <c r="AP110" s="277">
        <v>0.22314980674270316</v>
      </c>
      <c r="AQ110" s="277">
        <v>0.77685019325729676</v>
      </c>
      <c r="AR110" s="277">
        <v>0.43808501083780882</v>
      </c>
      <c r="AS110" s="277">
        <v>9.7764510936517321E-2</v>
      </c>
      <c r="AT110" s="277">
        <v>10.465174999999995</v>
      </c>
      <c r="AU110" s="277">
        <v>10.25</v>
      </c>
      <c r="AV110" s="277">
        <v>4.4581886466930847</v>
      </c>
      <c r="AW110" s="277"/>
      <c r="AX110" s="277"/>
      <c r="AY110" s="277"/>
      <c r="AZ110" s="277"/>
      <c r="BA110" s="277"/>
      <c r="BB110" s="205" t="s">
        <v>529</v>
      </c>
      <c r="BC110" s="135">
        <v>1.5620466666666648</v>
      </c>
      <c r="BD110" s="135">
        <v>4.9613244444444451</v>
      </c>
      <c r="BE110" s="135">
        <v>0.24500181575547725</v>
      </c>
      <c r="BF110" s="135">
        <v>0.7549981842445227</v>
      </c>
      <c r="BG110" s="135">
        <v>0.70468188990703995</v>
      </c>
      <c r="BH110" s="135">
        <v>0.15633758900883526</v>
      </c>
      <c r="BI110" s="135">
        <v>6.5233711111111097</v>
      </c>
      <c r="BJ110" s="135">
        <v>13.888888888888889</v>
      </c>
      <c r="BK110" s="135">
        <v>9.190127569535619</v>
      </c>
      <c r="BR110" s="272"/>
      <c r="BV110" s="205" t="s">
        <v>529</v>
      </c>
      <c r="BW110" s="277">
        <v>2.5078316666666658</v>
      </c>
      <c r="BX110" s="277">
        <v>8.1730700000000027</v>
      </c>
      <c r="BY110" s="277">
        <v>0.23703737478911702</v>
      </c>
      <c r="BZ110" s="277">
        <v>0.76296262521088298</v>
      </c>
      <c r="CA110" s="277">
        <v>0.46563092886637625</v>
      </c>
      <c r="CB110" s="277">
        <v>9.9601689154847795E-2</v>
      </c>
      <c r="CC110" s="277">
        <v>10.680901666666669</v>
      </c>
      <c r="CD110" s="277">
        <v>10.833333333333334</v>
      </c>
      <c r="CE110" s="277">
        <v>4.5792488365496817</v>
      </c>
      <c r="CF110" s="277"/>
      <c r="CG110" s="277"/>
      <c r="CH110" s="277"/>
      <c r="CI110" s="277"/>
      <c r="CJ110" s="277"/>
      <c r="CK110" s="205" t="s">
        <v>529</v>
      </c>
      <c r="CL110" s="277">
        <v>1.6046166666666721</v>
      </c>
      <c r="CM110" s="135">
        <v>7.6741883333333289</v>
      </c>
      <c r="CN110" s="135">
        <v>0.17771045972192992</v>
      </c>
      <c r="CO110" s="135">
        <v>0.82228954027807</v>
      </c>
      <c r="CP110" s="135">
        <v>0.67522322446921645</v>
      </c>
      <c r="CQ110" s="135">
        <v>0.1154006645476892</v>
      </c>
      <c r="CR110" s="135">
        <v>9.2788050000000002</v>
      </c>
      <c r="CS110" s="135">
        <v>15.833333333333334</v>
      </c>
      <c r="CT110" s="135">
        <v>9.9368193328942578</v>
      </c>
    </row>
    <row r="111" spans="1:102" x14ac:dyDescent="0.35">
      <c r="D111" s="196" t="s">
        <v>553</v>
      </c>
      <c r="E111" s="135">
        <v>2.7536124999999996</v>
      </c>
      <c r="F111" s="135">
        <v>12.8449925</v>
      </c>
      <c r="G111" s="135">
        <v>0.20465954997936789</v>
      </c>
      <c r="H111" s="135">
        <v>0.79534045002063214</v>
      </c>
      <c r="I111" s="135">
        <v>0.39935954626547154</v>
      </c>
      <c r="J111" s="135">
        <v>7.8288950952847325E-2</v>
      </c>
      <c r="K111" s="135">
        <v>15.598604999999999</v>
      </c>
      <c r="L111" s="135">
        <v>11.875</v>
      </c>
      <c r="M111" s="135">
        <v>4.3879292928949125</v>
      </c>
      <c r="S111" s="237" t="s">
        <v>537</v>
      </c>
      <c r="T111" s="135">
        <v>1.4915543243243246</v>
      </c>
      <c r="U111" s="135">
        <v>8.3987410810810808</v>
      </c>
      <c r="V111" s="135">
        <v>0.16984766505328253</v>
      </c>
      <c r="W111" s="135">
        <v>0.83015233494671747</v>
      </c>
      <c r="X111" s="135">
        <v>0.76033210141909657</v>
      </c>
      <c r="Y111" s="135">
        <v>0.12011805121833195</v>
      </c>
      <c r="Z111" s="135">
        <v>9.8902954054054071</v>
      </c>
      <c r="AA111" s="135">
        <v>13.513513513513514</v>
      </c>
      <c r="AB111" s="135">
        <v>10.110429419000521</v>
      </c>
      <c r="AM111" s="275" t="s">
        <v>553</v>
      </c>
      <c r="AN111" s="277">
        <v>2.2653549999999996</v>
      </c>
      <c r="AO111" s="277">
        <v>13.326803333333332</v>
      </c>
      <c r="AP111" s="277">
        <v>0.17882031053599232</v>
      </c>
      <c r="AQ111" s="277">
        <v>0.82117968946400766</v>
      </c>
      <c r="AR111" s="277">
        <v>0.45345472121220903</v>
      </c>
      <c r="AS111" s="277">
        <v>8.2125509105900871E-2</v>
      </c>
      <c r="AT111" s="277">
        <v>15.592158333333332</v>
      </c>
      <c r="AU111" s="277">
        <v>10.166666666666666</v>
      </c>
      <c r="AV111" s="277">
        <v>4.5084704554761279</v>
      </c>
      <c r="AW111" s="277"/>
      <c r="AX111" s="277"/>
      <c r="AY111" s="277"/>
      <c r="AZ111" s="277"/>
      <c r="BA111" s="277"/>
      <c r="BB111" s="276" t="s">
        <v>537</v>
      </c>
      <c r="BC111" s="135">
        <v>1.5925311538461542</v>
      </c>
      <c r="BD111" s="135">
        <v>9.1811630769230774</v>
      </c>
      <c r="BE111" s="135">
        <v>0.17241072544737052</v>
      </c>
      <c r="BF111" s="135">
        <v>0.82758927455262943</v>
      </c>
      <c r="BG111" s="135">
        <v>0.69625808362044395</v>
      </c>
      <c r="BH111" s="135">
        <v>0.11527988457297006</v>
      </c>
      <c r="BI111" s="135">
        <v>10.77369423076923</v>
      </c>
      <c r="BJ111" s="135">
        <v>14.692307692307692</v>
      </c>
      <c r="BK111" s="135">
        <v>9.6491513171079628</v>
      </c>
      <c r="BR111" s="272"/>
      <c r="BV111" s="275" t="s">
        <v>553</v>
      </c>
      <c r="BW111" s="277">
        <v>4.2183849999999996</v>
      </c>
      <c r="BX111" s="277">
        <v>11.399560000000001</v>
      </c>
      <c r="BY111" s="277">
        <v>0.28217726830949469</v>
      </c>
      <c r="BZ111" s="277">
        <v>0.71782273169050526</v>
      </c>
      <c r="CA111" s="277">
        <v>0.23707402142525907</v>
      </c>
      <c r="CB111" s="277">
        <v>6.677927649368666E-2</v>
      </c>
      <c r="CC111" s="277">
        <v>15.617945000000002</v>
      </c>
      <c r="CD111" s="277">
        <v>17</v>
      </c>
      <c r="CE111" s="277">
        <v>4.0263058051512646</v>
      </c>
      <c r="CF111" s="277"/>
      <c r="CG111" s="277"/>
      <c r="CH111" s="277"/>
      <c r="CI111" s="277"/>
      <c r="CJ111" s="277"/>
      <c r="CK111" s="276" t="s">
        <v>537</v>
      </c>
      <c r="CL111" s="277">
        <v>1.2980499999999999</v>
      </c>
      <c r="CM111" s="135">
        <v>6.5042118181818189</v>
      </c>
      <c r="CN111" s="135">
        <v>0.16957683503714083</v>
      </c>
      <c r="CO111" s="135">
        <v>0.83042316496285917</v>
      </c>
      <c r="CP111" s="135">
        <v>0.81259872825736146</v>
      </c>
      <c r="CQ111" s="135">
        <v>0.13155371783464204</v>
      </c>
      <c r="CR111" s="135">
        <v>7.8022618181818189</v>
      </c>
      <c r="CS111" s="135">
        <v>10.727272727272727</v>
      </c>
      <c r="CT111" s="135">
        <v>8.4236536697253364</v>
      </c>
    </row>
    <row r="112" spans="1:102" x14ac:dyDescent="0.35">
      <c r="D112" s="205" t="s">
        <v>529</v>
      </c>
      <c r="E112" s="135">
        <v>2.1446199999999953</v>
      </c>
      <c r="F112" s="289">
        <v>13.69303428571429</v>
      </c>
      <c r="G112" s="135">
        <v>0.14666223655874402</v>
      </c>
      <c r="H112" s="135">
        <v>0.85333776344125589</v>
      </c>
      <c r="I112" s="135">
        <v>0.46759852507126615</v>
      </c>
      <c r="J112" s="135">
        <v>6.8583391111672026E-2</v>
      </c>
      <c r="K112" s="135">
        <v>15.837654285714285</v>
      </c>
      <c r="L112" s="135">
        <v>9.8571428571428577</v>
      </c>
      <c r="M112" s="135">
        <v>4.578239755089486</v>
      </c>
      <c r="S112" s="205" t="s">
        <v>529</v>
      </c>
      <c r="T112" s="135">
        <v>1.5484955555555631</v>
      </c>
      <c r="U112" s="135">
        <v>9.7896788888888793</v>
      </c>
      <c r="V112" s="135">
        <v>0.147436096552371</v>
      </c>
      <c r="W112" s="135">
        <v>0.85256390344762911</v>
      </c>
      <c r="X112" s="135">
        <v>0.7288805265613455</v>
      </c>
      <c r="Y112" s="135">
        <v>0.10295046591646378</v>
      </c>
      <c r="Z112" s="135">
        <v>11.338174444444443</v>
      </c>
      <c r="AA112" s="135">
        <v>14.777777777777779</v>
      </c>
      <c r="AB112" s="135">
        <v>9.5891696779089752</v>
      </c>
      <c r="AM112" s="205" t="s">
        <v>529</v>
      </c>
      <c r="AN112" s="277">
        <v>2.1304475000000025</v>
      </c>
      <c r="AO112" s="277">
        <v>15.360312500000003</v>
      </c>
      <c r="AP112" s="277">
        <v>0.13594152210192759</v>
      </c>
      <c r="AQ112" s="277">
        <v>0.86405847789807244</v>
      </c>
      <c r="AR112" s="277">
        <v>0.47145349776232781</v>
      </c>
      <c r="AS112" s="277">
        <v>6.4075616915689498E-2</v>
      </c>
      <c r="AT112" s="277">
        <v>17.490760000000005</v>
      </c>
      <c r="AU112" s="277">
        <v>8.5</v>
      </c>
      <c r="AV112" s="277">
        <v>3.9689746426461725</v>
      </c>
      <c r="AW112" s="277"/>
      <c r="AX112" s="277"/>
      <c r="AY112" s="277"/>
      <c r="AZ112" s="277"/>
      <c r="BA112" s="277"/>
      <c r="BB112" s="205" t="s">
        <v>529</v>
      </c>
      <c r="BC112" s="135">
        <v>1.5484955555555631</v>
      </c>
      <c r="BD112" s="135">
        <v>9.7896788888888793</v>
      </c>
      <c r="BE112" s="135">
        <v>0.147436096552371</v>
      </c>
      <c r="BF112" s="135">
        <v>0.85256390344762911</v>
      </c>
      <c r="BG112" s="135">
        <v>0.7288805265613455</v>
      </c>
      <c r="BH112" s="135">
        <v>0.10295046591646378</v>
      </c>
      <c r="BI112" s="135">
        <v>11.338174444444443</v>
      </c>
      <c r="BJ112" s="135">
        <v>14.777777777777779</v>
      </c>
      <c r="BK112" s="135">
        <v>9.5891696779089752</v>
      </c>
      <c r="BR112" s="272"/>
      <c r="BV112" s="205" t="s">
        <v>529</v>
      </c>
      <c r="BW112" s="277">
        <v>2.1635166666666521</v>
      </c>
      <c r="BX112" s="277">
        <v>11.469996666666674</v>
      </c>
      <c r="BY112" s="277">
        <v>0.16095652250116596</v>
      </c>
      <c r="BZ112" s="277">
        <v>0.83904347749883401</v>
      </c>
      <c r="CA112" s="277">
        <v>0.46245856148318376</v>
      </c>
      <c r="CB112" s="277">
        <v>7.4593756706315392E-2</v>
      </c>
      <c r="CC112" s="277">
        <v>13.633513333333326</v>
      </c>
      <c r="CD112" s="277">
        <v>11.666666666666666</v>
      </c>
      <c r="CE112" s="277">
        <v>5.3905932383472361</v>
      </c>
      <c r="CF112" s="277"/>
      <c r="CG112" s="277"/>
      <c r="CH112" s="277"/>
      <c r="CI112" s="277"/>
      <c r="CJ112" s="277"/>
      <c r="CK112" s="205" t="s">
        <v>529</v>
      </c>
      <c r="CL112" s="277">
        <v>1.5484955555555631</v>
      </c>
      <c r="CM112" s="135">
        <v>9.7896788888888793</v>
      </c>
      <c r="CN112" s="135">
        <v>0.147436096552371</v>
      </c>
      <c r="CO112" s="135">
        <v>0.85256390344762911</v>
      </c>
      <c r="CP112" s="135">
        <v>0.7288805265613455</v>
      </c>
      <c r="CQ112" s="135">
        <v>0.10295046591646378</v>
      </c>
      <c r="CR112" s="135">
        <v>11.338174444444443</v>
      </c>
      <c r="CS112" s="135">
        <v>14.777777777777779</v>
      </c>
      <c r="CT112" s="135">
        <v>9.5891696779089752</v>
      </c>
      <c r="CU112" s="283" t="s">
        <v>721</v>
      </c>
      <c r="CV112" s="274" t="s">
        <v>723</v>
      </c>
      <c r="CW112" s="274"/>
      <c r="CX112" s="274"/>
    </row>
    <row r="113" spans="4:102" x14ac:dyDescent="0.35">
      <c r="D113" s="196" t="s">
        <v>552</v>
      </c>
      <c r="E113" s="135">
        <v>2.5781025000000013</v>
      </c>
      <c r="F113" s="135">
        <v>12.05587375</v>
      </c>
      <c r="G113" s="135">
        <v>0.1941172875194167</v>
      </c>
      <c r="H113" s="135">
        <v>0.8058827124805833</v>
      </c>
      <c r="I113" s="135">
        <v>0.40600180917803352</v>
      </c>
      <c r="J113" s="135">
        <v>7.7728586095484706E-2</v>
      </c>
      <c r="K113" s="135">
        <v>14.63397625</v>
      </c>
      <c r="L113" s="135">
        <v>10.75</v>
      </c>
      <c r="M113" s="135">
        <v>4.1407490814039525</v>
      </c>
      <c r="S113" s="205" t="s">
        <v>534</v>
      </c>
      <c r="T113" s="135">
        <v>1.5965512500000025</v>
      </c>
      <c r="U113" s="135">
        <v>14.210239999999997</v>
      </c>
      <c r="V113" s="135">
        <v>0.1095210250888842</v>
      </c>
      <c r="W113" s="135">
        <v>0.89047897491111572</v>
      </c>
      <c r="X113" s="135">
        <v>0.70516601384084043</v>
      </c>
      <c r="Y113" s="135">
        <v>7.785176030612545E-2</v>
      </c>
      <c r="Z113" s="135">
        <v>15.80679125</v>
      </c>
      <c r="AA113" s="135">
        <v>13.875</v>
      </c>
      <c r="AB113" s="135">
        <v>8.8224874323859765</v>
      </c>
      <c r="AM113" s="275" t="s">
        <v>552</v>
      </c>
      <c r="AN113" s="277">
        <v>2.4175880000000012</v>
      </c>
      <c r="AO113" s="277">
        <v>13.676491999999996</v>
      </c>
      <c r="AP113" s="277">
        <v>0.16838076744854408</v>
      </c>
      <c r="AQ113" s="277">
        <v>0.83161923255145587</v>
      </c>
      <c r="AR113" s="277">
        <v>0.43001879139955557</v>
      </c>
      <c r="AS113" s="277">
        <v>7.4945972260518703E-2</v>
      </c>
      <c r="AT113" s="277">
        <v>16.094079999999998</v>
      </c>
      <c r="AU113" s="277">
        <v>9.1999999999999993</v>
      </c>
      <c r="AV113" s="277">
        <v>3.775073220510361</v>
      </c>
      <c r="AW113" s="277"/>
      <c r="AX113" s="277"/>
      <c r="AY113" s="277"/>
      <c r="AZ113" s="277"/>
      <c r="BA113" s="277"/>
      <c r="BB113" s="276" t="s">
        <v>534</v>
      </c>
      <c r="BC113" s="135">
        <v>1.5965512500000025</v>
      </c>
      <c r="BD113" s="135">
        <v>14.210239999999997</v>
      </c>
      <c r="BE113" s="135">
        <v>0.1095210250888842</v>
      </c>
      <c r="BF113" s="135">
        <v>0.89047897491111572</v>
      </c>
      <c r="BG113" s="135">
        <v>0.70516601384084043</v>
      </c>
      <c r="BH113" s="135">
        <v>7.785176030612545E-2</v>
      </c>
      <c r="BI113" s="135">
        <v>15.80679125</v>
      </c>
      <c r="BJ113" s="135">
        <v>13.875</v>
      </c>
      <c r="BK113" s="135">
        <v>8.8224874323859765</v>
      </c>
      <c r="BR113" s="272"/>
      <c r="BV113" s="275" t="s">
        <v>552</v>
      </c>
      <c r="BW113" s="277">
        <v>2.8456266666666679</v>
      </c>
      <c r="BX113" s="277">
        <v>9.354843333333335</v>
      </c>
      <c r="BY113" s="277">
        <v>0.23701148763753763</v>
      </c>
      <c r="BZ113" s="277">
        <v>0.76298851236246235</v>
      </c>
      <c r="CA113" s="277">
        <v>0.36597350547549667</v>
      </c>
      <c r="CB113" s="277">
        <v>8.2366275820428089E-2</v>
      </c>
      <c r="CC113" s="277">
        <v>12.200470000000003</v>
      </c>
      <c r="CD113" s="277">
        <v>13.333333333333334</v>
      </c>
      <c r="CE113" s="277">
        <v>4.7502088495599386</v>
      </c>
      <c r="CF113" s="277"/>
      <c r="CG113" s="277"/>
      <c r="CH113" s="277"/>
      <c r="CI113" s="277"/>
      <c r="CJ113" s="277"/>
      <c r="CK113" s="276" t="s">
        <v>534</v>
      </c>
      <c r="CL113" s="277">
        <v>1.5965512500000025</v>
      </c>
      <c r="CM113" s="135">
        <v>14.210239999999997</v>
      </c>
      <c r="CN113" s="135">
        <v>0.1095210250888842</v>
      </c>
      <c r="CO113" s="135">
        <v>0.89047897491111572</v>
      </c>
      <c r="CP113" s="135">
        <v>0.70516601384084043</v>
      </c>
      <c r="CQ113" s="135">
        <v>7.785176030612545E-2</v>
      </c>
      <c r="CR113" s="135">
        <v>15.80679125</v>
      </c>
      <c r="CS113" s="135">
        <v>13.875</v>
      </c>
      <c r="CT113" s="135">
        <v>8.8224874323859765</v>
      </c>
      <c r="CU113" s="283" t="s">
        <v>721</v>
      </c>
      <c r="CV113" s="274" t="s">
        <v>723</v>
      </c>
      <c r="CW113" s="274"/>
      <c r="CX113" s="274"/>
    </row>
    <row r="114" spans="4:102" x14ac:dyDescent="0.35">
      <c r="D114" s="205" t="s">
        <v>529</v>
      </c>
      <c r="E114" s="135">
        <v>2.7814424999999972</v>
      </c>
      <c r="F114" s="289">
        <v>21.61571</v>
      </c>
      <c r="G114" s="135">
        <v>0.11464420488386756</v>
      </c>
      <c r="H114" s="135">
        <v>0.88535579511613238</v>
      </c>
      <c r="I114" s="135">
        <v>0.37050611293008912</v>
      </c>
      <c r="J114" s="135">
        <v>4.1073664261661147E-2</v>
      </c>
      <c r="K114" s="135">
        <v>24.397152499999997</v>
      </c>
      <c r="L114" s="135">
        <v>11.75</v>
      </c>
      <c r="M114" s="135">
        <v>4.3235103786733022</v>
      </c>
      <c r="S114" s="205" t="s">
        <v>529</v>
      </c>
      <c r="T114" s="135">
        <v>1.5669999999999951</v>
      </c>
      <c r="U114" s="289">
        <v>13.578662857142859</v>
      </c>
      <c r="V114" s="135">
        <v>0.11590977025799697</v>
      </c>
      <c r="W114" s="135">
        <v>0.88409022974200302</v>
      </c>
      <c r="X114" s="135">
        <v>0.6862254836646956</v>
      </c>
      <c r="Y114" s="135">
        <v>8.2902501787372115E-2</v>
      </c>
      <c r="Z114" s="135">
        <v>15.145662857142854</v>
      </c>
      <c r="AA114" s="135">
        <v>21.142857142857142</v>
      </c>
      <c r="AB114" s="135">
        <v>14.219388079964931</v>
      </c>
      <c r="AM114" s="205" t="s">
        <v>529</v>
      </c>
      <c r="AN114" s="277">
        <v>2.7814424999999972</v>
      </c>
      <c r="AO114" s="277">
        <v>21.61571</v>
      </c>
      <c r="AP114" s="277">
        <v>0.11464420488386756</v>
      </c>
      <c r="AQ114" s="277">
        <v>0.88535579511613238</v>
      </c>
      <c r="AR114" s="277">
        <v>0.37050611293008912</v>
      </c>
      <c r="AS114" s="277">
        <v>4.1073664261661147E-2</v>
      </c>
      <c r="AT114" s="277">
        <v>24.397152499999997</v>
      </c>
      <c r="AU114" s="277">
        <v>11.75</v>
      </c>
      <c r="AV114" s="277">
        <v>4.3235103786733022</v>
      </c>
      <c r="AW114" s="277"/>
      <c r="AX114" s="277"/>
      <c r="AY114" s="277"/>
      <c r="AZ114" s="277"/>
      <c r="BA114" s="277"/>
      <c r="BB114" s="205" t="s">
        <v>529</v>
      </c>
      <c r="BC114" s="135">
        <v>1.5669999999999951</v>
      </c>
      <c r="BD114" s="135">
        <v>13.578662857142859</v>
      </c>
      <c r="BE114" s="135">
        <v>0.11590977025799697</v>
      </c>
      <c r="BF114" s="135">
        <v>0.88409022974200302</v>
      </c>
      <c r="BG114" s="135">
        <v>0.6862254836646956</v>
      </c>
      <c r="BH114" s="135">
        <v>8.2902501787372115E-2</v>
      </c>
      <c r="BI114" s="135">
        <v>15.145662857142854</v>
      </c>
      <c r="BJ114" s="135">
        <v>21.142857142857142</v>
      </c>
      <c r="BK114" s="135">
        <v>14.219388079964931</v>
      </c>
      <c r="BR114" s="272"/>
      <c r="BV114" s="205" t="s">
        <v>529</v>
      </c>
      <c r="BW114" s="277">
        <v>2.7814424999999972</v>
      </c>
      <c r="BX114" s="277">
        <v>21.61571</v>
      </c>
      <c r="BY114" s="277">
        <v>0.11464420488386756</v>
      </c>
      <c r="BZ114" s="277">
        <v>0.88535579511613238</v>
      </c>
      <c r="CA114" s="277">
        <v>0.37050611293008912</v>
      </c>
      <c r="CB114" s="277">
        <v>4.1073664261661147E-2</v>
      </c>
      <c r="CC114" s="277">
        <v>24.397152499999997</v>
      </c>
      <c r="CD114" s="277">
        <v>11.75</v>
      </c>
      <c r="CE114" s="277">
        <v>4.3235103786733022</v>
      </c>
      <c r="CF114" s="283" t="s">
        <v>721</v>
      </c>
      <c r="CG114" s="274" t="s">
        <v>723</v>
      </c>
      <c r="CH114" s="274"/>
      <c r="CI114" s="274"/>
      <c r="CJ114" s="277"/>
      <c r="CK114" s="205" t="s">
        <v>529</v>
      </c>
      <c r="CL114" s="277">
        <v>1.5669999999999951</v>
      </c>
      <c r="CM114" s="135">
        <v>13.578662857142859</v>
      </c>
      <c r="CN114" s="135">
        <v>0.11590977025799697</v>
      </c>
      <c r="CO114" s="135">
        <v>0.88409022974200302</v>
      </c>
      <c r="CP114" s="135">
        <v>0.6862254836646956</v>
      </c>
      <c r="CQ114" s="135">
        <v>8.2902501787372115E-2</v>
      </c>
      <c r="CR114" s="135">
        <v>15.145662857142854</v>
      </c>
      <c r="CS114" s="135">
        <v>21.142857142857142</v>
      </c>
      <c r="CT114" s="135">
        <v>14.219388079964931</v>
      </c>
      <c r="CU114" s="283" t="s">
        <v>721</v>
      </c>
      <c r="CV114" s="274" t="s">
        <v>723</v>
      </c>
      <c r="CW114" s="274"/>
      <c r="CX114" s="274"/>
    </row>
    <row r="115" spans="4:102" x14ac:dyDescent="0.35">
      <c r="D115" s="196" t="s">
        <v>551</v>
      </c>
      <c r="E115" s="135">
        <v>2.5901366666666692</v>
      </c>
      <c r="F115" s="135">
        <v>11.024261111111109</v>
      </c>
      <c r="G115" s="135">
        <v>0.20967635907414708</v>
      </c>
      <c r="H115" s="135">
        <v>0.79032364092585294</v>
      </c>
      <c r="I115" s="135">
        <v>0.41144176089153534</v>
      </c>
      <c r="J115" s="135">
        <v>8.3364801383600334E-2</v>
      </c>
      <c r="K115" s="135">
        <v>13.614397777777777</v>
      </c>
      <c r="L115" s="135">
        <v>22.555555555555557</v>
      </c>
      <c r="M115" s="135">
        <v>8.7482966337996757</v>
      </c>
      <c r="AM115" s="196" t="s">
        <v>551</v>
      </c>
      <c r="AN115" s="135">
        <v>2.1185300000000025</v>
      </c>
      <c r="AO115" s="135">
        <v>10.398683999999998</v>
      </c>
      <c r="AP115" s="135">
        <v>0.18589634863137866</v>
      </c>
      <c r="AQ115" s="135">
        <v>0.81410365136862128</v>
      </c>
      <c r="AR115" s="135">
        <v>0.47626000860803896</v>
      </c>
      <c r="AS115" s="135">
        <v>8.8271504764699166E-2</v>
      </c>
      <c r="AT115" s="135">
        <v>12.517213999999999</v>
      </c>
      <c r="AU115" s="135">
        <v>19.399999999999999</v>
      </c>
      <c r="AV115" s="135">
        <v>9.1490393728816706</v>
      </c>
      <c r="BR115" s="272"/>
      <c r="BV115" s="275" t="s">
        <v>551</v>
      </c>
      <c r="BW115" s="277">
        <v>3.1796450000000021</v>
      </c>
      <c r="BX115" s="277">
        <v>11.806232499999997</v>
      </c>
      <c r="BY115" s="277">
        <v>0.23940137212760765</v>
      </c>
      <c r="BZ115" s="277">
        <v>0.76059862787239241</v>
      </c>
      <c r="CA115" s="277">
        <v>0.33041895124590581</v>
      </c>
      <c r="CB115" s="277">
        <v>7.7231422157226795E-2</v>
      </c>
      <c r="CC115" s="277">
        <v>14.985877499999999</v>
      </c>
      <c r="CD115" s="277">
        <v>26.5</v>
      </c>
      <c r="CE115" s="277">
        <v>8.2473682099471812</v>
      </c>
      <c r="CF115" s="277"/>
      <c r="CG115" s="277"/>
      <c r="CH115" s="277"/>
      <c r="CI115" s="277"/>
      <c r="CJ115" s="277"/>
      <c r="CK115" s="277"/>
      <c r="CL115" s="277"/>
    </row>
    <row r="116" spans="4:102" x14ac:dyDescent="0.35">
      <c r="D116" s="196" t="s">
        <v>550</v>
      </c>
      <c r="E116" s="135">
        <v>2.928126666666663</v>
      </c>
      <c r="F116" s="135">
        <v>10.684758888888892</v>
      </c>
      <c r="G116" s="135">
        <v>0.23197765282155583</v>
      </c>
      <c r="H116" s="135">
        <v>0.7680223471784442</v>
      </c>
      <c r="I116" s="135">
        <v>0.3625395688871651</v>
      </c>
      <c r="J116" s="135">
        <v>8.1894293493663395E-2</v>
      </c>
      <c r="K116" s="135">
        <v>13.612885555555556</v>
      </c>
      <c r="L116" s="135">
        <v>23</v>
      </c>
      <c r="M116" s="135">
        <v>7.850860272261837</v>
      </c>
      <c r="AM116" s="196" t="s">
        <v>550</v>
      </c>
      <c r="AN116" s="135">
        <v>2.1915724999999995</v>
      </c>
      <c r="AO116" s="135">
        <v>8.258707500000007</v>
      </c>
      <c r="AP116" s="135">
        <v>0.21373234592680196</v>
      </c>
      <c r="AQ116" s="135">
        <v>0.78626765407319799</v>
      </c>
      <c r="AR116" s="135">
        <v>0.456673890375694</v>
      </c>
      <c r="AS116" s="135">
        <v>9.7226036478424496E-2</v>
      </c>
      <c r="AT116" s="135">
        <v>10.450280000000006</v>
      </c>
      <c r="AU116" s="135">
        <v>17.25</v>
      </c>
      <c r="AV116" s="135">
        <v>7.8388804863631867</v>
      </c>
      <c r="BR116" s="272"/>
      <c r="BV116" s="275" t="s">
        <v>550</v>
      </c>
      <c r="BW116" s="277">
        <v>3.5173699999999939</v>
      </c>
      <c r="BX116" s="277">
        <v>12.6256</v>
      </c>
      <c r="BY116" s="277">
        <v>0.24657389833735893</v>
      </c>
      <c r="BZ116" s="277">
        <v>0.75342610166264112</v>
      </c>
      <c r="CA116" s="277">
        <v>0.28723211169634211</v>
      </c>
      <c r="CB116" s="277">
        <v>6.9628899105854486E-2</v>
      </c>
      <c r="CC116" s="277">
        <v>16.142969999999995</v>
      </c>
      <c r="CD116" s="277">
        <v>27.6</v>
      </c>
      <c r="CE116" s="277">
        <v>7.8604441009807573</v>
      </c>
      <c r="CF116" s="277"/>
      <c r="CG116" s="277"/>
      <c r="CH116" s="277"/>
      <c r="CI116" s="277"/>
      <c r="CJ116" s="277"/>
      <c r="CK116" s="277"/>
      <c r="CL116" s="277"/>
    </row>
    <row r="117" spans="4:102" x14ac:dyDescent="0.35">
      <c r="D117" s="205" t="s">
        <v>529</v>
      </c>
      <c r="E117" s="135">
        <v>1.5857499999999998</v>
      </c>
      <c r="F117" s="289">
        <v>30.031376666666677</v>
      </c>
      <c r="G117" s="135">
        <v>4.9482381022315003E-2</v>
      </c>
      <c r="H117" s="135">
        <v>0.95051761897768505</v>
      </c>
      <c r="I117" s="135">
        <v>0.69072582787003955</v>
      </c>
      <c r="J117" s="135">
        <v>3.3712295185437481E-2</v>
      </c>
      <c r="K117" s="135">
        <v>31.617126666666678</v>
      </c>
      <c r="L117" s="135">
        <v>14.666666666666666</v>
      </c>
      <c r="M117" s="135">
        <v>9.8227129141885126</v>
      </c>
      <c r="P117" s="194"/>
      <c r="T117" s="194"/>
      <c r="U117" s="194"/>
      <c r="V117" s="194"/>
      <c r="W117" s="194"/>
      <c r="X117" s="194"/>
      <c r="Y117" s="194"/>
      <c r="Z117" s="194"/>
      <c r="AA117" s="194"/>
      <c r="AB117" s="194"/>
      <c r="AM117" s="205" t="s">
        <v>529</v>
      </c>
      <c r="AN117" s="135">
        <v>1.5857499999999998</v>
      </c>
      <c r="AO117" s="135">
        <v>30.031376666666677</v>
      </c>
      <c r="AP117" s="135">
        <v>4.9482381022315003E-2</v>
      </c>
      <c r="AQ117" s="135">
        <v>0.95051761897768505</v>
      </c>
      <c r="AR117" s="135">
        <v>0.69072582787003955</v>
      </c>
      <c r="AS117" s="135">
        <v>3.3712295185437481E-2</v>
      </c>
      <c r="AT117" s="135">
        <v>31.617126666666678</v>
      </c>
      <c r="AU117" s="135">
        <v>14.666666666666666</v>
      </c>
      <c r="AV117" s="135">
        <v>9.8227129141885126</v>
      </c>
      <c r="AY117" s="194"/>
      <c r="BC117" s="194"/>
      <c r="BD117" s="194"/>
      <c r="BE117" s="194"/>
      <c r="BF117" s="194"/>
      <c r="BG117" s="194"/>
      <c r="BH117" s="194"/>
      <c r="BI117" s="194"/>
      <c r="BJ117" s="194"/>
      <c r="BK117" s="194"/>
      <c r="BR117" s="272"/>
      <c r="BV117" s="205" t="s">
        <v>529</v>
      </c>
      <c r="BW117" s="277">
        <v>1.5857499999999998</v>
      </c>
      <c r="BX117" s="277">
        <v>30.031376666666677</v>
      </c>
      <c r="BY117" s="277">
        <v>4.9482381022315003E-2</v>
      </c>
      <c r="BZ117" s="277">
        <v>0.95051761897768505</v>
      </c>
      <c r="CA117" s="277">
        <v>0.69072582787003955</v>
      </c>
      <c r="CB117" s="277">
        <v>3.3712295185437481E-2</v>
      </c>
      <c r="CC117" s="277">
        <v>31.617126666666678</v>
      </c>
      <c r="CD117" s="277">
        <v>14.666666666666666</v>
      </c>
      <c r="CE117" s="277">
        <v>9.8227129141885126</v>
      </c>
      <c r="CF117" s="283" t="s">
        <v>721</v>
      </c>
      <c r="CG117" s="274" t="s">
        <v>723</v>
      </c>
      <c r="CH117" s="274"/>
      <c r="CI117" s="274"/>
      <c r="CJ117" s="277"/>
      <c r="CK117" s="277"/>
      <c r="CL117" s="278"/>
      <c r="CM117" s="194"/>
      <c r="CN117" s="194"/>
      <c r="CO117" s="194"/>
      <c r="CP117" s="194"/>
      <c r="CQ117" s="194"/>
      <c r="CR117" s="194"/>
      <c r="CS117" s="194"/>
      <c r="CT117" s="194"/>
    </row>
    <row r="118" spans="4:102" x14ac:dyDescent="0.35">
      <c r="D118" s="275" t="s">
        <v>549</v>
      </c>
      <c r="E118" s="135">
        <v>2.5369945454545371</v>
      </c>
      <c r="F118" s="135">
        <v>7.9596700000000062</v>
      </c>
      <c r="G118" s="135">
        <v>0.26133003139591082</v>
      </c>
      <c r="H118" s="135">
        <v>0.73866996860408929</v>
      </c>
      <c r="I118" s="135">
        <v>0.45000413925980287</v>
      </c>
      <c r="J118" s="135">
        <v>0.10104078472226696</v>
      </c>
      <c r="K118" s="135">
        <v>10.496664545454543</v>
      </c>
      <c r="L118" s="135">
        <v>21.727272727272727</v>
      </c>
      <c r="M118" s="135">
        <v>8.5648562277351079</v>
      </c>
      <c r="P118" s="194"/>
      <c r="T118" s="194"/>
      <c r="U118" s="194"/>
      <c r="V118" s="194"/>
      <c r="W118" s="194"/>
      <c r="X118" s="194"/>
      <c r="Y118" s="194"/>
      <c r="Z118" s="194"/>
      <c r="AA118" s="194"/>
      <c r="AB118" s="194"/>
      <c r="AM118" s="275" t="s">
        <v>549</v>
      </c>
      <c r="AN118" s="135">
        <v>1.8773349999999975</v>
      </c>
      <c r="AO118" s="135">
        <v>9.4483050000000048</v>
      </c>
      <c r="AP118" s="135">
        <v>0.18681327967444361</v>
      </c>
      <c r="AQ118" s="135">
        <v>0.8131867203255565</v>
      </c>
      <c r="AR118" s="135">
        <v>0.57188840412831998</v>
      </c>
      <c r="AS118" s="135">
        <v>9.6804427143242597E-2</v>
      </c>
      <c r="AT118" s="135">
        <v>11.325640000000002</v>
      </c>
      <c r="AU118" s="135">
        <v>15.5</v>
      </c>
      <c r="AV118" s="135">
        <v>8.3804021060053113</v>
      </c>
      <c r="AY118" s="194"/>
      <c r="BC118" s="194"/>
      <c r="BD118" s="194"/>
      <c r="BE118" s="194"/>
      <c r="BF118" s="194"/>
      <c r="BG118" s="194"/>
      <c r="BH118" s="194"/>
      <c r="BI118" s="194"/>
      <c r="BJ118" s="194"/>
      <c r="BK118" s="194"/>
      <c r="BR118" s="272"/>
      <c r="BV118" s="275" t="s">
        <v>549</v>
      </c>
      <c r="BW118" s="277">
        <v>3.3285859999999845</v>
      </c>
      <c r="BX118" s="277">
        <v>6.1733080000000085</v>
      </c>
      <c r="BY118" s="277">
        <v>0.35075013346167144</v>
      </c>
      <c r="BZ118" s="277">
        <v>0.64924986653832861</v>
      </c>
      <c r="CA118" s="277">
        <v>0.30374302141758219</v>
      </c>
      <c r="CB118" s="277">
        <v>0.10612441381709621</v>
      </c>
      <c r="CC118" s="277">
        <v>9.501893999999993</v>
      </c>
      <c r="CD118" s="277">
        <v>29.2</v>
      </c>
      <c r="CE118" s="277">
        <v>8.7862011738108681</v>
      </c>
      <c r="CF118" s="277"/>
      <c r="CG118" s="277"/>
      <c r="CH118" s="278"/>
      <c r="CI118" s="277"/>
      <c r="CJ118" s="277"/>
      <c r="CK118" s="277"/>
      <c r="CL118" s="278"/>
      <c r="CM118" s="194"/>
      <c r="CN118" s="194"/>
      <c r="CO118" s="194"/>
      <c r="CP118" s="194"/>
      <c r="CQ118" s="194"/>
      <c r="CR118" s="194"/>
      <c r="CS118" s="194"/>
      <c r="CT118" s="194"/>
    </row>
    <row r="119" spans="4:102" x14ac:dyDescent="0.35">
      <c r="D119" s="205"/>
      <c r="P119" s="194"/>
      <c r="T119" s="194"/>
      <c r="U119" s="194"/>
      <c r="V119" s="194"/>
      <c r="W119" s="194"/>
      <c r="X119" s="194"/>
      <c r="Y119" s="194"/>
      <c r="Z119" s="194"/>
      <c r="AA119" s="194"/>
      <c r="AB119" s="194"/>
      <c r="AM119" s="205"/>
      <c r="AY119" s="194"/>
      <c r="BC119" s="194"/>
      <c r="BD119" s="194"/>
      <c r="BE119" s="194"/>
      <c r="BF119" s="194"/>
      <c r="BG119" s="194"/>
      <c r="BH119" s="194"/>
      <c r="BI119" s="194"/>
      <c r="BJ119" s="194"/>
      <c r="BK119" s="194"/>
      <c r="BR119" s="272"/>
      <c r="BV119" s="205"/>
      <c r="BW119" s="277"/>
      <c r="BX119" s="277"/>
      <c r="BY119" s="277"/>
      <c r="BZ119" s="277"/>
      <c r="CA119" s="277"/>
      <c r="CB119" s="277"/>
      <c r="CC119" s="277"/>
      <c r="CD119" s="277"/>
      <c r="CE119" s="277"/>
      <c r="CF119" s="277"/>
      <c r="CG119" s="277"/>
      <c r="CH119" s="194"/>
      <c r="CL119" s="194"/>
      <c r="CM119" s="194"/>
      <c r="CN119" s="194"/>
      <c r="CO119" s="194"/>
      <c r="CP119" s="194"/>
      <c r="CQ119" s="194"/>
      <c r="CR119" s="194"/>
      <c r="CS119" s="194"/>
      <c r="CT119" s="194"/>
    </row>
    <row r="120" spans="4:102" x14ac:dyDescent="0.35">
      <c r="D120" s="196"/>
      <c r="P120" s="194"/>
      <c r="S120" s="205" t="s">
        <v>577</v>
      </c>
      <c r="AM120" s="196"/>
      <c r="AY120" s="194"/>
      <c r="BB120" s="205" t="s">
        <v>577</v>
      </c>
      <c r="BR120" s="272"/>
      <c r="BV120" s="196"/>
      <c r="CH120" s="194"/>
      <c r="CK120" s="205" t="s">
        <v>577</v>
      </c>
    </row>
    <row r="121" spans="4:102" x14ac:dyDescent="0.35">
      <c r="D121" s="205" t="s">
        <v>577</v>
      </c>
      <c r="P121" s="194"/>
      <c r="S121" s="196" t="s">
        <v>530</v>
      </c>
      <c r="T121" s="135">
        <f>1-((T108-T108)/T108)</f>
        <v>1</v>
      </c>
      <c r="U121" s="135">
        <f t="shared" ref="U121:AB121" si="174">1-((U108-U108)/U108)</f>
        <v>1</v>
      </c>
      <c r="V121" s="135">
        <f t="shared" si="174"/>
        <v>1</v>
      </c>
      <c r="W121" s="135">
        <f t="shared" si="174"/>
        <v>1</v>
      </c>
      <c r="X121" s="135">
        <f t="shared" si="174"/>
        <v>1</v>
      </c>
      <c r="Y121" s="135">
        <f t="shared" si="174"/>
        <v>1</v>
      </c>
      <c r="Z121" s="135">
        <f t="shared" si="174"/>
        <v>1</v>
      </c>
      <c r="AA121" s="135">
        <f t="shared" si="174"/>
        <v>1</v>
      </c>
      <c r="AB121" s="135">
        <f t="shared" si="174"/>
        <v>1</v>
      </c>
      <c r="AM121" s="205" t="s">
        <v>577</v>
      </c>
      <c r="AY121" s="194"/>
      <c r="BB121" s="196" t="s">
        <v>530</v>
      </c>
      <c r="BC121" s="135">
        <f>1-((BC108-BC108)/BC108)</f>
        <v>1</v>
      </c>
      <c r="BD121" s="135">
        <f t="shared" ref="BD121:BK121" si="175">1-((BD108-BD108)/BD108)</f>
        <v>1</v>
      </c>
      <c r="BE121" s="135">
        <f t="shared" si="175"/>
        <v>1</v>
      </c>
      <c r="BF121" s="135">
        <f t="shared" si="175"/>
        <v>1</v>
      </c>
      <c r="BG121" s="135">
        <f t="shared" si="175"/>
        <v>1</v>
      </c>
      <c r="BH121" s="135">
        <f t="shared" si="175"/>
        <v>1</v>
      </c>
      <c r="BI121" s="135">
        <f t="shared" si="175"/>
        <v>1</v>
      </c>
      <c r="BJ121" s="135">
        <f t="shared" si="175"/>
        <v>1</v>
      </c>
      <c r="BK121" s="135">
        <f t="shared" si="175"/>
        <v>1</v>
      </c>
      <c r="BR121" s="272"/>
      <c r="BV121" s="205" t="s">
        <v>577</v>
      </c>
      <c r="CH121" s="194"/>
      <c r="CK121" s="196" t="s">
        <v>530</v>
      </c>
      <c r="CL121" s="135">
        <f>1-((CL108-CL108)/CL108)</f>
        <v>1</v>
      </c>
      <c r="CM121" s="135">
        <f t="shared" ref="CM121:CT121" si="176">1-((CM108-CM108)/CM108)</f>
        <v>1</v>
      </c>
      <c r="CN121" s="135">
        <f t="shared" si="176"/>
        <v>1</v>
      </c>
      <c r="CO121" s="135">
        <f t="shared" si="176"/>
        <v>1</v>
      </c>
      <c r="CP121" s="135">
        <f t="shared" si="176"/>
        <v>1</v>
      </c>
      <c r="CQ121" s="135">
        <f t="shared" si="176"/>
        <v>1</v>
      </c>
      <c r="CR121" s="135">
        <f t="shared" si="176"/>
        <v>1</v>
      </c>
      <c r="CS121" s="135">
        <f t="shared" si="176"/>
        <v>1</v>
      </c>
      <c r="CT121" s="135">
        <f t="shared" si="176"/>
        <v>1</v>
      </c>
    </row>
    <row r="122" spans="4:102" x14ac:dyDescent="0.35">
      <c r="D122" s="196" t="s">
        <v>530</v>
      </c>
      <c r="E122" s="135">
        <f>1-((E108-E108)/E108)</f>
        <v>1</v>
      </c>
      <c r="F122" s="135">
        <f t="shared" ref="F122:M122" si="177">1-((F108-F108)/F108)</f>
        <v>1</v>
      </c>
      <c r="G122" s="135">
        <f t="shared" si="177"/>
        <v>1</v>
      </c>
      <c r="H122" s="135">
        <f t="shared" si="177"/>
        <v>1</v>
      </c>
      <c r="I122" s="135">
        <f t="shared" si="177"/>
        <v>1</v>
      </c>
      <c r="J122" s="135">
        <f t="shared" si="177"/>
        <v>1</v>
      </c>
      <c r="K122" s="135">
        <f t="shared" si="177"/>
        <v>1</v>
      </c>
      <c r="L122" s="135">
        <f t="shared" si="177"/>
        <v>1</v>
      </c>
      <c r="M122" s="135">
        <f t="shared" si="177"/>
        <v>1</v>
      </c>
      <c r="P122" s="194"/>
      <c r="S122" s="205" t="s">
        <v>539</v>
      </c>
      <c r="T122" s="135">
        <f>1-((T108-T109)/T108)</f>
        <v>1.0545012977309867</v>
      </c>
      <c r="U122" s="135">
        <f t="shared" ref="U122:AB122" si="178">1-((U108-U109)/U108)</f>
        <v>1.1719375484546424</v>
      </c>
      <c r="V122" s="135">
        <f t="shared" si="178"/>
        <v>0.9311176341816334</v>
      </c>
      <c r="W122" s="135">
        <f t="shared" si="178"/>
        <v>1.0205419905864626</v>
      </c>
      <c r="X122" s="135">
        <f t="shared" si="178"/>
        <v>0.94691563162825221</v>
      </c>
      <c r="Y122" s="135">
        <f t="shared" si="178"/>
        <v>0.85913336135616769</v>
      </c>
      <c r="Z122" s="135">
        <f t="shared" si="178"/>
        <v>1.1451340232478369</v>
      </c>
      <c r="AA122" s="135">
        <f t="shared" si="178"/>
        <v>1.9230017588430721</v>
      </c>
      <c r="AB122" s="135">
        <f t="shared" si="178"/>
        <v>1.8273815364776897</v>
      </c>
      <c r="AM122" s="196" t="s">
        <v>530</v>
      </c>
      <c r="AN122" s="135">
        <f>1-((AN108-AN108)/AN108)</f>
        <v>1</v>
      </c>
      <c r="AO122" s="135">
        <f t="shared" ref="AO122:AV122" si="179">1-((AO108-AO108)/AO108)</f>
        <v>1</v>
      </c>
      <c r="AP122" s="135">
        <f t="shared" si="179"/>
        <v>1</v>
      </c>
      <c r="AQ122" s="135">
        <f t="shared" si="179"/>
        <v>1</v>
      </c>
      <c r="AR122" s="135">
        <f t="shared" si="179"/>
        <v>1</v>
      </c>
      <c r="AS122" s="135">
        <f t="shared" si="179"/>
        <v>1</v>
      </c>
      <c r="AT122" s="135">
        <f t="shared" si="179"/>
        <v>1</v>
      </c>
      <c r="AU122" s="135">
        <f t="shared" si="179"/>
        <v>1</v>
      </c>
      <c r="AV122" s="135">
        <f t="shared" si="179"/>
        <v>1</v>
      </c>
      <c r="AY122" s="194"/>
      <c r="BB122" s="205" t="s">
        <v>539</v>
      </c>
      <c r="BC122" s="135">
        <f>1-((BC108-BC109)/BC108)</f>
        <v>1.061206885289214</v>
      </c>
      <c r="BD122" s="135">
        <f t="shared" ref="BD122:BK122" si="180">1-((BD108-BD109)/BD108)</f>
        <v>1.1004435223443041</v>
      </c>
      <c r="BE122" s="135">
        <f t="shared" si="180"/>
        <v>0.96608233391665721</v>
      </c>
      <c r="BF122" s="135">
        <f t="shared" si="180"/>
        <v>1.0118209823190198</v>
      </c>
      <c r="BG122" s="135">
        <f t="shared" si="180"/>
        <v>0.94520720521104939</v>
      </c>
      <c r="BH122" s="135">
        <f t="shared" si="180"/>
        <v>0.88084770506489618</v>
      </c>
      <c r="BI122" s="135">
        <f t="shared" si="180"/>
        <v>1.0905578190489427</v>
      </c>
      <c r="BJ122" s="135">
        <f t="shared" si="180"/>
        <v>1.9908256880733946</v>
      </c>
      <c r="BK122" s="135">
        <f t="shared" si="180"/>
        <v>1.8854606654829471</v>
      </c>
      <c r="BR122" s="272"/>
      <c r="BV122" s="196" t="s">
        <v>530</v>
      </c>
      <c r="BW122" s="135">
        <f>1-((BW108-BW108)/BW108)</f>
        <v>1</v>
      </c>
      <c r="BX122" s="135">
        <f t="shared" ref="BX122:CE122" si="181">1-((BX108-BX108)/BX108)</f>
        <v>1</v>
      </c>
      <c r="BY122" s="135">
        <f t="shared" si="181"/>
        <v>1</v>
      </c>
      <c r="BZ122" s="135">
        <f t="shared" si="181"/>
        <v>1</v>
      </c>
      <c r="CA122" s="135">
        <f t="shared" si="181"/>
        <v>1</v>
      </c>
      <c r="CB122" s="135">
        <f t="shared" si="181"/>
        <v>1</v>
      </c>
      <c r="CC122" s="135">
        <f t="shared" si="181"/>
        <v>1</v>
      </c>
      <c r="CD122" s="135">
        <f t="shared" si="181"/>
        <v>1</v>
      </c>
      <c r="CE122" s="135">
        <f t="shared" si="181"/>
        <v>1</v>
      </c>
      <c r="CH122" s="194"/>
      <c r="CK122" s="205" t="s">
        <v>539</v>
      </c>
      <c r="CL122" s="135">
        <f>1-((CL108-CL109)/CL108)</f>
        <v>1.009247451248181</v>
      </c>
      <c r="CM122" s="135">
        <f t="shared" ref="CM122:CT122" si="182">1-((CM108-CM109)/CM108)</f>
        <v>1.2473683907828232</v>
      </c>
      <c r="CN122" s="135">
        <f t="shared" si="182"/>
        <v>0.84914072218018621</v>
      </c>
      <c r="CO122" s="135">
        <f t="shared" si="182"/>
        <v>1.041177501715921</v>
      </c>
      <c r="CP122" s="135">
        <f t="shared" si="182"/>
        <v>0.97213386446704453</v>
      </c>
      <c r="CQ122" s="135">
        <f t="shared" si="182"/>
        <v>0.8306574700278766</v>
      </c>
      <c r="CR122" s="135">
        <f t="shared" si="182"/>
        <v>1.1959667124408773</v>
      </c>
      <c r="CS122" s="135">
        <f t="shared" si="182"/>
        <v>1.8417874396135265</v>
      </c>
      <c r="CT122" s="135">
        <f t="shared" si="182"/>
        <v>1.8158803947040061</v>
      </c>
    </row>
    <row r="123" spans="4:102" x14ac:dyDescent="0.35">
      <c r="D123" s="196" t="s">
        <v>538</v>
      </c>
      <c r="E123" s="135">
        <f>1-((E108-E109)/E108)</f>
        <v>0.8775375016989363</v>
      </c>
      <c r="F123" s="135">
        <f t="shared" ref="F123:M123" si="183">1-((F108-F109)/F108)</f>
        <v>0.81924013404669216</v>
      </c>
      <c r="G123" s="135">
        <f t="shared" si="183"/>
        <v>1.0251252552224752</v>
      </c>
      <c r="H123" s="135">
        <f t="shared" si="183"/>
        <v>0.99319898967269327</v>
      </c>
      <c r="I123" s="135">
        <f t="shared" si="183"/>
        <v>1.0219576877251024</v>
      </c>
      <c r="J123" s="135">
        <f t="shared" si="183"/>
        <v>1.1141354100511713</v>
      </c>
      <c r="K123" s="135">
        <f t="shared" si="183"/>
        <v>0.8310177254161768</v>
      </c>
      <c r="L123" s="135">
        <f t="shared" si="183"/>
        <v>0.5277777777777779</v>
      </c>
      <c r="M123" s="135">
        <f t="shared" si="183"/>
        <v>0.58061896933270507</v>
      </c>
      <c r="P123" s="194"/>
      <c r="S123" s="205" t="s">
        <v>529</v>
      </c>
      <c r="AM123" s="196" t="s">
        <v>538</v>
      </c>
      <c r="AN123" s="135">
        <f>1-((AN108-AN109)/AN108)</f>
        <v>1.1138210101850858</v>
      </c>
      <c r="AO123" s="135">
        <f t="shared" ref="AO123:AV123" si="184">1-((AO108-AO109)/AO108)</f>
        <v>0.89920858026271278</v>
      </c>
      <c r="AP123" s="135">
        <f t="shared" si="184"/>
        <v>1.1214280872836699</v>
      </c>
      <c r="AQ123" s="135">
        <f t="shared" si="184"/>
        <v>0.97519047337840403</v>
      </c>
      <c r="AR123" s="135">
        <f t="shared" si="184"/>
        <v>0.86196340544243655</v>
      </c>
      <c r="AS123" s="135">
        <f t="shared" si="184"/>
        <v>0.95120296000586435</v>
      </c>
      <c r="AT123" s="135">
        <f t="shared" si="184"/>
        <v>0.93327113396581407</v>
      </c>
      <c r="AU123" s="135">
        <f t="shared" si="184"/>
        <v>0.6399999999999999</v>
      </c>
      <c r="AV123" s="135">
        <f t="shared" si="184"/>
        <v>0.57290317083438458</v>
      </c>
      <c r="AY123" s="194"/>
      <c r="BB123" s="205" t="s">
        <v>529</v>
      </c>
      <c r="BR123" s="272"/>
      <c r="BV123" s="196" t="s">
        <v>538</v>
      </c>
      <c r="BW123" s="135">
        <f>1-((BW108-BW109)/BW108)</f>
        <v>0.74409933234252934</v>
      </c>
      <c r="BX123" s="135">
        <f t="shared" ref="BX123:CE123" si="185">1-((BX108-BX109)/BX108)</f>
        <v>0.76065249868850626</v>
      </c>
      <c r="BY123" s="135">
        <f t="shared" si="185"/>
        <v>0.94606796905955903</v>
      </c>
      <c r="BZ123" s="135">
        <f t="shared" si="185"/>
        <v>1.018174979876439</v>
      </c>
      <c r="CA123" s="135">
        <f t="shared" si="185"/>
        <v>1.316045979763089</v>
      </c>
      <c r="CB123" s="135">
        <f t="shared" si="185"/>
        <v>1.2880955018021711</v>
      </c>
      <c r="CC123" s="135">
        <f t="shared" si="185"/>
        <v>0.75675925613140194</v>
      </c>
      <c r="CD123" s="135">
        <f t="shared" si="185"/>
        <v>0.45739348370927313</v>
      </c>
      <c r="CE123" s="135">
        <f t="shared" si="185"/>
        <v>0.59483661279170819</v>
      </c>
      <c r="CH123" s="194"/>
      <c r="CK123" s="205" t="s">
        <v>529</v>
      </c>
    </row>
    <row r="124" spans="4:102" x14ac:dyDescent="0.35">
      <c r="D124" s="205" t="s">
        <v>529</v>
      </c>
      <c r="E124" s="135">
        <f>1-((E108-E110)/E108)</f>
        <v>0.98634344462388768</v>
      </c>
      <c r="F124" s="135">
        <f t="shared" ref="F124:M124" si="186">1-((F108-F110)/F108)</f>
        <v>0.83540206191124389</v>
      </c>
      <c r="G124" s="135">
        <f t="shared" si="186"/>
        <v>1.0866572087019799</v>
      </c>
      <c r="H124" s="135">
        <f t="shared" si="186"/>
        <v>0.97654326031321159</v>
      </c>
      <c r="I124" s="135">
        <f t="shared" si="186"/>
        <v>0.97990092573890863</v>
      </c>
      <c r="J124" s="135">
        <f t="shared" si="186"/>
        <v>1.0875792663270469</v>
      </c>
      <c r="K124" s="135">
        <f t="shared" si="186"/>
        <v>0.86589616478290221</v>
      </c>
      <c r="L124" s="135">
        <f t="shared" si="186"/>
        <v>0.55482093663911847</v>
      </c>
      <c r="M124" s="135">
        <f t="shared" si="186"/>
        <v>0.5633148472441537</v>
      </c>
      <c r="P124" s="194"/>
      <c r="S124" s="205" t="s">
        <v>537</v>
      </c>
      <c r="T124" s="135">
        <f>1-((T108-T111)/T108)</f>
        <v>1.106491638150223</v>
      </c>
      <c r="U124" s="135">
        <f t="shared" ref="U124:AB124" si="187">1-((U108-U111)/U108)</f>
        <v>1.8425960236151089</v>
      </c>
      <c r="V124" s="135">
        <f t="shared" si="187"/>
        <v>0.73938881776444654</v>
      </c>
      <c r="W124" s="135">
        <f t="shared" si="187"/>
        <v>1.0777190560836125</v>
      </c>
      <c r="X124" s="135">
        <f t="shared" si="187"/>
        <v>0.93280001353483988</v>
      </c>
      <c r="Y124" s="135">
        <f t="shared" si="187"/>
        <v>0.68911821870110723</v>
      </c>
      <c r="Z124" s="135">
        <f t="shared" si="187"/>
        <v>1.6745883400500392</v>
      </c>
      <c r="AA124" s="135">
        <f t="shared" si="187"/>
        <v>1.7958157493041214</v>
      </c>
      <c r="AB124" s="135">
        <f t="shared" si="187"/>
        <v>1.7186683920877122</v>
      </c>
      <c r="AM124" s="205" t="s">
        <v>529</v>
      </c>
      <c r="AN124" s="135">
        <f>1-((AN108-AN110)/AN108)</f>
        <v>1.3123913862627807</v>
      </c>
      <c r="AO124" s="135">
        <f t="shared" ref="AO124:AV124" si="188">1-((AO108-AO110)/AO108)</f>
        <v>0.86278703864058537</v>
      </c>
      <c r="AP124" s="135">
        <f t="shared" si="188"/>
        <v>1.3153372806826651</v>
      </c>
      <c r="AQ124" s="135">
        <f t="shared" si="188"/>
        <v>0.93557200121581463</v>
      </c>
      <c r="AR124" s="135">
        <f t="shared" si="188"/>
        <v>0.71745795186912564</v>
      </c>
      <c r="AS124" s="135">
        <f t="shared" si="188"/>
        <v>0.96023135968450191</v>
      </c>
      <c r="AT124" s="135">
        <f t="shared" si="188"/>
        <v>0.93414670891489426</v>
      </c>
      <c r="AU124" s="135">
        <f t="shared" si="188"/>
        <v>0.68333333333333335</v>
      </c>
      <c r="AV124" s="135">
        <f t="shared" si="188"/>
        <v>0.51849572146733813</v>
      </c>
      <c r="AY124" s="194"/>
      <c r="BB124" s="205" t="s">
        <v>537</v>
      </c>
      <c r="BC124" s="135">
        <f>1-((BC108-BC111)/BC108)</f>
        <v>1.078811252797194</v>
      </c>
      <c r="BD124" s="135">
        <f t="shared" ref="BD124:BK124" si="189">1-((BD108-BD111)/BD108)</f>
        <v>2.0947918792756601</v>
      </c>
      <c r="BE124" s="135">
        <f t="shared" si="189"/>
        <v>0.66710475823530646</v>
      </c>
      <c r="BF124" s="135">
        <f t="shared" si="189"/>
        <v>1.1160206235097896</v>
      </c>
      <c r="BG124" s="135">
        <f t="shared" si="189"/>
        <v>0.929642385739748</v>
      </c>
      <c r="BH124" s="135">
        <f t="shared" si="189"/>
        <v>0.64459138878350952</v>
      </c>
      <c r="BI124" s="135">
        <f t="shared" si="189"/>
        <v>1.8388147165769297</v>
      </c>
      <c r="BJ124" s="135">
        <f t="shared" si="189"/>
        <v>1.8870853916725476</v>
      </c>
      <c r="BK124" s="135">
        <f t="shared" si="189"/>
        <v>1.7263841834624807</v>
      </c>
      <c r="BR124" s="272"/>
      <c r="BV124" s="205" t="s">
        <v>529</v>
      </c>
      <c r="BW124" s="135">
        <f>1-((BW108-BW110)/BW108)</f>
        <v>0.80994885051457333</v>
      </c>
      <c r="BX124" s="135">
        <f t="shared" ref="BX124:CE124" si="190">1-((BX108-BX110)/BX108)</f>
        <v>0.81175467916994581</v>
      </c>
      <c r="BY124" s="135">
        <f t="shared" si="190"/>
        <v>0.94041680728795485</v>
      </c>
      <c r="BZ124" s="135">
        <f t="shared" si="190"/>
        <v>1.0200794093905219</v>
      </c>
      <c r="CA124" s="135">
        <f t="shared" si="190"/>
        <v>1.4027803507011853</v>
      </c>
      <c r="CB124" s="135">
        <f t="shared" si="190"/>
        <v>1.228314559406438</v>
      </c>
      <c r="CC124" s="135">
        <f t="shared" si="190"/>
        <v>0.81132995505221561</v>
      </c>
      <c r="CD124" s="135">
        <f t="shared" si="190"/>
        <v>0.47514619883040932</v>
      </c>
      <c r="CE124" s="135">
        <f t="shared" si="190"/>
        <v>0.6070456872054304</v>
      </c>
      <c r="CH124" s="194"/>
      <c r="CK124" s="205" t="s">
        <v>537</v>
      </c>
      <c r="CL124" s="135">
        <f>1-((CL108-CL111)/CL108)</f>
        <v>1.0135672225298711</v>
      </c>
      <c r="CM124" s="135">
        <f t="shared" ref="CM124:CT124" si="191">1-((CM108-CM111)/CM108)</f>
        <v>1.3981185295448726</v>
      </c>
      <c r="CN124" s="135">
        <f t="shared" si="191"/>
        <v>0.79084422141628052</v>
      </c>
      <c r="CO124" s="135">
        <f t="shared" si="191"/>
        <v>1.0570897100661762</v>
      </c>
      <c r="CP124" s="135">
        <f t="shared" si="191"/>
        <v>0.95329428188459941</v>
      </c>
      <c r="CQ124" s="135">
        <f t="shared" si="191"/>
        <v>0.76503653508783964</v>
      </c>
      <c r="CR124" s="135">
        <f t="shared" si="191"/>
        <v>1.3151078433457102</v>
      </c>
      <c r="CS124" s="135">
        <f t="shared" si="191"/>
        <v>1.4575098814229248</v>
      </c>
      <c r="CT124" s="135">
        <f t="shared" si="191"/>
        <v>1.3984429315804694</v>
      </c>
    </row>
    <row r="125" spans="4:102" x14ac:dyDescent="0.35">
      <c r="D125" s="196" t="s">
        <v>553</v>
      </c>
      <c r="E125" s="135">
        <f>1-((E108-E111)/E108)</f>
        <v>1.1139766510204796</v>
      </c>
      <c r="F125" s="135">
        <f t="shared" ref="F125:M125" si="192">1-((F108-F111)/F108)</f>
        <v>1.3156064175302886</v>
      </c>
      <c r="G125" s="135">
        <f t="shared" si="192"/>
        <v>0.96074183473969432</v>
      </c>
      <c r="H125" s="135">
        <f t="shared" si="192"/>
        <v>1.0106265661782259</v>
      </c>
      <c r="I125" s="135">
        <f t="shared" si="192"/>
        <v>0.86080505048874456</v>
      </c>
      <c r="J125" s="135">
        <f t="shared" si="192"/>
        <v>0.86121351607481911</v>
      </c>
      <c r="K125" s="135">
        <f t="shared" si="192"/>
        <v>1.2748719368236741</v>
      </c>
      <c r="L125" s="135">
        <f t="shared" si="192"/>
        <v>0.62155647382920109</v>
      </c>
      <c r="M125" s="135">
        <f t="shared" si="192"/>
        <v>0.54554873559357753</v>
      </c>
      <c r="P125" s="194"/>
      <c r="S125" s="205" t="s">
        <v>529</v>
      </c>
      <c r="AM125" s="196" t="s">
        <v>553</v>
      </c>
      <c r="AN125" s="135">
        <f>1-((AN108-AN111)/AN108)</f>
        <v>1.2740384344999405</v>
      </c>
      <c r="AO125" s="135">
        <f t="shared" ref="AO125:AV125" si="193">1-((AO108-AO111)/AO108)</f>
        <v>1.4140092764376293</v>
      </c>
      <c r="AP125" s="135">
        <f t="shared" si="193"/>
        <v>1.054040890398096</v>
      </c>
      <c r="AQ125" s="135">
        <f t="shared" si="193"/>
        <v>0.98895865907980407</v>
      </c>
      <c r="AR125" s="135">
        <f t="shared" si="193"/>
        <v>0.74262914159997306</v>
      </c>
      <c r="AS125" s="135">
        <f t="shared" si="193"/>
        <v>0.80662694998543982</v>
      </c>
      <c r="AT125" s="135">
        <f t="shared" si="193"/>
        <v>1.3917935812791742</v>
      </c>
      <c r="AU125" s="135">
        <f t="shared" si="193"/>
        <v>0.67777777777777781</v>
      </c>
      <c r="AV125" s="135">
        <f t="shared" si="193"/>
        <v>0.52434359036382039</v>
      </c>
      <c r="AY125" s="194"/>
      <c r="BB125" s="205" t="s">
        <v>529</v>
      </c>
      <c r="BR125" s="272"/>
      <c r="BV125" s="196" t="s">
        <v>553</v>
      </c>
      <c r="BW125" s="135">
        <f>1-((BW108-BW111)/BW108)</f>
        <v>1.3624024798758767</v>
      </c>
      <c r="BX125" s="135">
        <f t="shared" ref="BX125:CE125" si="194">1-((BX108-BX111)/BX108)</f>
        <v>1.132211784614416</v>
      </c>
      <c r="BY125" s="135">
        <f t="shared" si="194"/>
        <v>1.1195038165982723</v>
      </c>
      <c r="BZ125" s="135">
        <f t="shared" si="194"/>
        <v>0.95972746762995309</v>
      </c>
      <c r="CA125" s="135">
        <f t="shared" si="194"/>
        <v>0.71421969267961138</v>
      </c>
      <c r="CB125" s="135">
        <f t="shared" si="194"/>
        <v>0.82353982427245898</v>
      </c>
      <c r="CC125" s="135">
        <f t="shared" si="194"/>
        <v>1.1863517716302019</v>
      </c>
      <c r="CD125" s="135">
        <f t="shared" si="194"/>
        <v>0.74561403508771928</v>
      </c>
      <c r="CE125" s="135">
        <f t="shared" si="194"/>
        <v>0.53374508825094846</v>
      </c>
      <c r="CH125" s="194"/>
      <c r="CK125" s="205" t="s">
        <v>529</v>
      </c>
    </row>
    <row r="126" spans="4:102" x14ac:dyDescent="0.35">
      <c r="D126" s="205" t="s">
        <v>529</v>
      </c>
      <c r="E126" s="135">
        <f>1-((E108-E112)/E108)</f>
        <v>0.86760813488155497</v>
      </c>
      <c r="F126" s="135">
        <f t="shared" ref="F126:M126" si="195">1-((F108-F112)/F108)</f>
        <v>1.4024643285504443</v>
      </c>
      <c r="G126" s="135">
        <f t="shared" si="195"/>
        <v>0.68848263495487827</v>
      </c>
      <c r="H126" s="135">
        <f t="shared" si="195"/>
        <v>1.084322837640751</v>
      </c>
      <c r="I126" s="135">
        <f t="shared" si="195"/>
        <v>1.00789169996419</v>
      </c>
      <c r="J126" s="135">
        <f t="shared" si="195"/>
        <v>0.75444801194477362</v>
      </c>
      <c r="K126" s="135">
        <f t="shared" si="195"/>
        <v>1.2944094035314269</v>
      </c>
      <c r="L126" s="135">
        <f t="shared" si="195"/>
        <v>0.51593860684769788</v>
      </c>
      <c r="M126" s="135">
        <f t="shared" si="195"/>
        <v>0.56920992634899681</v>
      </c>
      <c r="P126" s="194"/>
      <c r="S126" s="205" t="s">
        <v>534</v>
      </c>
      <c r="T126" s="135">
        <f>1-((T108-T113)/T108)</f>
        <v>1.184382344775506</v>
      </c>
      <c r="U126" s="135">
        <f t="shared" ref="U126:AB126" si="196">1-((U108-U113)/U108)</f>
        <v>3.1175781543733465</v>
      </c>
      <c r="V126" s="135">
        <f t="shared" si="196"/>
        <v>0.47677206063101751</v>
      </c>
      <c r="W126" s="135">
        <f t="shared" si="196"/>
        <v>1.1560362115527953</v>
      </c>
      <c r="X126" s="135">
        <f t="shared" si="196"/>
        <v>0.86512047305033613</v>
      </c>
      <c r="Y126" s="135">
        <f t="shared" si="196"/>
        <v>0.44663617034035785</v>
      </c>
      <c r="Z126" s="135">
        <f t="shared" si="196"/>
        <v>2.6763475948744908</v>
      </c>
      <c r="AA126" s="135">
        <f t="shared" si="196"/>
        <v>1.8438538205980066</v>
      </c>
      <c r="AB126" s="135">
        <f t="shared" si="196"/>
        <v>1.4997315802568361</v>
      </c>
      <c r="AM126" s="205" t="s">
        <v>529</v>
      </c>
      <c r="AN126" s="135">
        <f>1-((AN108-AN112)/AN108)</f>
        <v>1.1981662907951802</v>
      </c>
      <c r="AO126" s="135">
        <f t="shared" ref="AO126:AV126" si="197">1-((AO108-AO112)/AO108)</f>
        <v>1.6297700071595722</v>
      </c>
      <c r="AP126" s="135">
        <f t="shared" si="197"/>
        <v>0.80129557190064105</v>
      </c>
      <c r="AQ126" s="135">
        <f t="shared" si="197"/>
        <v>1.0405982084461525</v>
      </c>
      <c r="AR126" s="135">
        <f t="shared" si="197"/>
        <v>0.77210598979229605</v>
      </c>
      <c r="AS126" s="135">
        <f t="shared" si="197"/>
        <v>0.62934306287818675</v>
      </c>
      <c r="AT126" s="135">
        <f t="shared" si="197"/>
        <v>1.5612673357512215</v>
      </c>
      <c r="AU126" s="135">
        <f t="shared" si="197"/>
        <v>0.56666666666666665</v>
      </c>
      <c r="AV126" s="135">
        <f t="shared" si="197"/>
        <v>0.46159921302362716</v>
      </c>
      <c r="AY126" s="194"/>
      <c r="BB126" s="205" t="s">
        <v>534</v>
      </c>
      <c r="BC126" s="135">
        <f>1-((BC108-BC113)/BC108)</f>
        <v>1.0815345433008832</v>
      </c>
      <c r="BD126" s="135">
        <f t="shared" ref="BD126:BK126" si="198">1-((BD108-BD113)/BD108)</f>
        <v>3.2422357717813521</v>
      </c>
      <c r="BE126" s="135">
        <f t="shared" si="198"/>
        <v>0.42376712222526824</v>
      </c>
      <c r="BF126" s="135">
        <f t="shared" si="198"/>
        <v>1.2008286372970181</v>
      </c>
      <c r="BG126" s="135">
        <f t="shared" si="198"/>
        <v>0.94153623616232629</v>
      </c>
      <c r="BH126" s="135">
        <f t="shared" si="198"/>
        <v>0.43531076111723244</v>
      </c>
      <c r="BI126" s="135">
        <f t="shared" si="198"/>
        <v>2.697845302621344</v>
      </c>
      <c r="BJ126" s="135">
        <f t="shared" si="198"/>
        <v>1.7821100917431192</v>
      </c>
      <c r="BK126" s="135">
        <f t="shared" si="198"/>
        <v>1.5784810768863233</v>
      </c>
      <c r="BR126" s="272"/>
      <c r="BV126" s="205" t="s">
        <v>529</v>
      </c>
      <c r="BW126" s="135">
        <f>1-((BW108-BW112)/BW108)</f>
        <v>0.69874619597771126</v>
      </c>
      <c r="BX126" s="135">
        <f t="shared" ref="BX126:CE126" si="199">1-((BX108-BX112)/BX108)</f>
        <v>1.1392076005993281</v>
      </c>
      <c r="BY126" s="135">
        <f t="shared" si="199"/>
        <v>0.63857532651710747</v>
      </c>
      <c r="BZ126" s="135">
        <f t="shared" si="199"/>
        <v>1.1217993473053964</v>
      </c>
      <c r="CA126" s="135">
        <f t="shared" si="199"/>
        <v>1.3932231362756271</v>
      </c>
      <c r="CB126" s="135">
        <f t="shared" si="199"/>
        <v>0.91991007562876548</v>
      </c>
      <c r="CC126" s="135">
        <f t="shared" si="199"/>
        <v>1.035612732439765</v>
      </c>
      <c r="CD126" s="135">
        <f t="shared" si="199"/>
        <v>0.51169590643274843</v>
      </c>
      <c r="CE126" s="135">
        <f t="shared" si="199"/>
        <v>0.71460112643344487</v>
      </c>
      <c r="CH126" s="194"/>
      <c r="CK126" s="205" t="s">
        <v>534</v>
      </c>
      <c r="CL126" s="135">
        <f>1-((CL108-CL113)/CL108)</f>
        <v>1.2466484465845666</v>
      </c>
      <c r="CM126" s="135">
        <f t="shared" ref="CM126:CT126" si="200">1-((CM108-CM113)/CM108)</f>
        <v>3.0545745447191623</v>
      </c>
      <c r="CN126" s="135">
        <f t="shared" si="200"/>
        <v>0.51076592976960145</v>
      </c>
      <c r="CO126" s="135">
        <f t="shared" si="200"/>
        <v>1.1335379371924406</v>
      </c>
      <c r="CP126" s="135">
        <f t="shared" si="200"/>
        <v>0.82726037513674833</v>
      </c>
      <c r="CQ126" s="135">
        <f t="shared" si="200"/>
        <v>0.45273856136814894</v>
      </c>
      <c r="CR126" s="135">
        <f t="shared" si="200"/>
        <v>2.6643088421566885</v>
      </c>
      <c r="CS126" s="135">
        <f t="shared" si="200"/>
        <v>1.8851902173913042</v>
      </c>
      <c r="CT126" s="135">
        <f t="shared" si="200"/>
        <v>1.4646548484204218</v>
      </c>
    </row>
    <row r="127" spans="4:102" x14ac:dyDescent="0.35">
      <c r="D127" s="196" t="s">
        <v>552</v>
      </c>
      <c r="E127" s="135">
        <f>1-((E108-E113)/E108)</f>
        <v>1.0429739075260327</v>
      </c>
      <c r="F127" s="135">
        <f t="shared" ref="F127:M127" si="201">1-((F108-F113)/F108)</f>
        <v>1.2347835060577066</v>
      </c>
      <c r="G127" s="135">
        <f t="shared" si="201"/>
        <v>0.91125285375101361</v>
      </c>
      <c r="H127" s="135">
        <f t="shared" si="201"/>
        <v>1.0240224528194417</v>
      </c>
      <c r="I127" s="135">
        <f t="shared" si="201"/>
        <v>0.87512220783548944</v>
      </c>
      <c r="J127" s="135">
        <f t="shared" si="201"/>
        <v>0.85504925172818491</v>
      </c>
      <c r="K127" s="135">
        <f t="shared" si="201"/>
        <v>1.1960329558488818</v>
      </c>
      <c r="L127" s="135">
        <f t="shared" si="201"/>
        <v>0.56267217630853994</v>
      </c>
      <c r="M127" s="135">
        <f t="shared" si="201"/>
        <v>0.5148169614829512</v>
      </c>
      <c r="P127" s="194"/>
      <c r="S127" s="205" t="s">
        <v>529</v>
      </c>
      <c r="AM127" s="196" t="s">
        <v>552</v>
      </c>
      <c r="AN127" s="135">
        <f>1-((AN108-AN113)/AN108)</f>
        <v>1.3596544606853425</v>
      </c>
      <c r="AO127" s="135">
        <f t="shared" ref="AO127:AV127" si="202">1-((AO108-AO113)/AO108)</f>
        <v>1.4511121739715791</v>
      </c>
      <c r="AP127" s="135">
        <f t="shared" si="202"/>
        <v>0.9925059044769724</v>
      </c>
      <c r="AQ127" s="135">
        <f t="shared" si="202"/>
        <v>1.0015311528538615</v>
      </c>
      <c r="AR127" s="135">
        <f t="shared" si="202"/>
        <v>0.70424779143376059</v>
      </c>
      <c r="AS127" s="135">
        <f t="shared" si="202"/>
        <v>0.73611039586057059</v>
      </c>
      <c r="AT127" s="135">
        <f t="shared" si="202"/>
        <v>1.4365963173107976</v>
      </c>
      <c r="AU127" s="135">
        <f t="shared" si="202"/>
        <v>0.61333333333333329</v>
      </c>
      <c r="AV127" s="135">
        <f t="shared" si="202"/>
        <v>0.43904811307445279</v>
      </c>
      <c r="AY127" s="194"/>
      <c r="BB127" s="205" t="s">
        <v>529</v>
      </c>
      <c r="BR127" s="272"/>
      <c r="BV127" s="196" t="s">
        <v>552</v>
      </c>
      <c r="BW127" s="135">
        <f>1-((BW108-BW113)/BW108)</f>
        <v>0.91904575506208963</v>
      </c>
      <c r="BX127" s="135">
        <f t="shared" ref="BX127:CE127" si="203">1-((BX108-BX113)/BX108)</f>
        <v>0.92912918263701461</v>
      </c>
      <c r="BY127" s="135">
        <f t="shared" si="203"/>
        <v>0.94031410317869901</v>
      </c>
      <c r="BZ127" s="135">
        <f t="shared" si="203"/>
        <v>1.0201140204571999</v>
      </c>
      <c r="CA127" s="135">
        <f t="shared" si="203"/>
        <v>1.1025479849634001</v>
      </c>
      <c r="CB127" s="135">
        <f t="shared" si="203"/>
        <v>1.0157628515419015</v>
      </c>
      <c r="CC127" s="135">
        <f t="shared" si="203"/>
        <v>0.92675759834095517</v>
      </c>
      <c r="CD127" s="135">
        <f t="shared" si="203"/>
        <v>0.58479532163742687</v>
      </c>
      <c r="CE127" s="135">
        <f t="shared" si="203"/>
        <v>0.62970891042975641</v>
      </c>
      <c r="CH127" s="194"/>
      <c r="CK127" s="205" t="s">
        <v>529</v>
      </c>
    </row>
    <row r="128" spans="4:102" x14ac:dyDescent="0.35">
      <c r="D128" s="205" t="s">
        <v>529</v>
      </c>
      <c r="E128" s="135">
        <f>1-((E108-E114)/E108)</f>
        <v>1.1252353049515962</v>
      </c>
      <c r="F128" s="135">
        <f t="shared" ref="F128:M128" si="204">1-((F108-F114)/F108)</f>
        <v>2.2139185208145227</v>
      </c>
      <c r="G128" s="135">
        <f t="shared" si="204"/>
        <v>0.53817905762767548</v>
      </c>
      <c r="H128" s="135">
        <f t="shared" si="204"/>
        <v>1.1250076455195992</v>
      </c>
      <c r="I128" s="135">
        <f t="shared" si="204"/>
        <v>0.79861251904359121</v>
      </c>
      <c r="J128" s="135">
        <f t="shared" si="204"/>
        <v>0.45182869851157881</v>
      </c>
      <c r="K128" s="135">
        <f t="shared" si="204"/>
        <v>1.9939760677738516</v>
      </c>
      <c r="L128" s="135">
        <f t="shared" si="204"/>
        <v>0.61501377410468328</v>
      </c>
      <c r="M128" s="135">
        <f t="shared" si="204"/>
        <v>0.53753956888735543</v>
      </c>
      <c r="P128" s="194"/>
      <c r="S128" s="196"/>
      <c r="AM128" s="205" t="s">
        <v>529</v>
      </c>
      <c r="AN128" s="135">
        <f>1-((AN108-AN114)/AN108)</f>
        <v>1.5642866784021037</v>
      </c>
      <c r="AO128" s="135">
        <f t="shared" ref="AO128:AV128" si="205">1-((AO108-AO114)/AO108)</f>
        <v>2.2934843182037623</v>
      </c>
      <c r="AP128" s="135">
        <f t="shared" si="205"/>
        <v>0.67576037326280858</v>
      </c>
      <c r="AQ128" s="135">
        <f t="shared" si="205"/>
        <v>1.0662468777303591</v>
      </c>
      <c r="AR128" s="135">
        <f t="shared" si="205"/>
        <v>0.60678304521180615</v>
      </c>
      <c r="AS128" s="135">
        <f t="shared" si="205"/>
        <v>0.40342062884976571</v>
      </c>
      <c r="AT128" s="135">
        <f t="shared" si="205"/>
        <v>2.1777485531555651</v>
      </c>
      <c r="AU128" s="135">
        <f t="shared" si="205"/>
        <v>0.78333333333333333</v>
      </c>
      <c r="AV128" s="135">
        <f t="shared" si="205"/>
        <v>0.50283238568752853</v>
      </c>
      <c r="AY128" s="194"/>
      <c r="BB128" s="196"/>
      <c r="BR128" s="272"/>
      <c r="BV128" s="205" t="s">
        <v>529</v>
      </c>
      <c r="BW128" s="135">
        <f>1-((BW108-BW114)/BW108)</f>
        <v>0.89831633661511556</v>
      </c>
      <c r="BX128" s="135">
        <f t="shared" ref="BX128:CE128" si="206">1-((BX108-BX114)/BX108)</f>
        <v>2.1468865109537276</v>
      </c>
      <c r="BY128" s="135">
        <f t="shared" si="206"/>
        <v>0.45483686792798073</v>
      </c>
      <c r="BZ128" s="135">
        <f t="shared" si="206"/>
        <v>1.1837188175933444</v>
      </c>
      <c r="CA128" s="135">
        <f t="shared" si="206"/>
        <v>1.1162031188485648</v>
      </c>
      <c r="CB128" s="135">
        <f t="shared" si="206"/>
        <v>0.50653136757886719</v>
      </c>
      <c r="CC128" s="135">
        <f t="shared" si="206"/>
        <v>1.8532274951094525</v>
      </c>
      <c r="CD128" s="135">
        <f t="shared" si="206"/>
        <v>0.51535087719298245</v>
      </c>
      <c r="CE128" s="135">
        <f t="shared" si="206"/>
        <v>0.57314385451459193</v>
      </c>
      <c r="CH128" s="194"/>
      <c r="CK128" s="196"/>
    </row>
    <row r="129" spans="1:117" x14ac:dyDescent="0.35">
      <c r="D129" s="196" t="s">
        <v>551</v>
      </c>
      <c r="E129" s="135">
        <f>1-((E108-E115)/E108)</f>
        <v>1.0478423415127163</v>
      </c>
      <c r="F129" s="135">
        <f t="shared" ref="F129:M129" si="207">1-((F108-F115)/F108)</f>
        <v>1.1291239497654331</v>
      </c>
      <c r="G129" s="135">
        <f t="shared" si="207"/>
        <v>0.98429245026065515</v>
      </c>
      <c r="H129" s="135">
        <f t="shared" si="207"/>
        <v>1.0042517859837861</v>
      </c>
      <c r="I129" s="135">
        <f t="shared" si="207"/>
        <v>0.88684782690028185</v>
      </c>
      <c r="J129" s="135">
        <f t="shared" si="207"/>
        <v>0.91705014363637027</v>
      </c>
      <c r="K129" s="135">
        <f t="shared" si="207"/>
        <v>1.1127029412978584</v>
      </c>
      <c r="L129" s="135">
        <f t="shared" si="207"/>
        <v>1.1805938169574535</v>
      </c>
      <c r="M129" s="135">
        <f t="shared" si="207"/>
        <v>1.0876707094836187</v>
      </c>
      <c r="P129" s="194"/>
      <c r="S129" s="196"/>
      <c r="AM129" s="196" t="s">
        <v>551</v>
      </c>
      <c r="AN129" s="135">
        <f>1-((AN108-AN115)/AN108)</f>
        <v>1.1914638741571022</v>
      </c>
      <c r="AO129" s="135">
        <f t="shared" ref="AO129:AV129" si="208">1-((AO108-AO115)/AO108)</f>
        <v>1.1033280278073849</v>
      </c>
      <c r="AP129" s="135">
        <f t="shared" si="208"/>
        <v>1.0957499863738054</v>
      </c>
      <c r="AQ129" s="135">
        <f t="shared" si="208"/>
        <v>0.98043688335130486</v>
      </c>
      <c r="AR129" s="135">
        <f t="shared" si="208"/>
        <v>0.77997767985629918</v>
      </c>
      <c r="AS129" s="135">
        <f t="shared" si="208"/>
        <v>0.86699218591338378</v>
      </c>
      <c r="AT129" s="135">
        <f t="shared" si="208"/>
        <v>1.1173166490654427</v>
      </c>
      <c r="AU129" s="135">
        <f t="shared" si="208"/>
        <v>1.2933333333333332</v>
      </c>
      <c r="AV129" s="135">
        <f t="shared" si="208"/>
        <v>1.0640504802088375</v>
      </c>
      <c r="AY129" s="194"/>
      <c r="BB129" s="196"/>
      <c r="BR129" s="272"/>
      <c r="BV129" s="196" t="s">
        <v>551</v>
      </c>
      <c r="BW129" s="135">
        <f>1-((BW108-BW115)/BW108)</f>
        <v>1.0269229179235502</v>
      </c>
      <c r="BX129" s="135">
        <f t="shared" ref="BX129:CE129" si="209">1-((BX108-BX115)/BX108)</f>
        <v>1.1726027643521078</v>
      </c>
      <c r="BY129" s="135">
        <f t="shared" si="209"/>
        <v>0.94979567773603679</v>
      </c>
      <c r="BZ129" s="135">
        <f t="shared" si="209"/>
        <v>1.0169187499700403</v>
      </c>
      <c r="CA129" s="135">
        <f t="shared" si="209"/>
        <v>0.99543476082118965</v>
      </c>
      <c r="CB129" s="135">
        <f t="shared" si="209"/>
        <v>0.95243846850733271</v>
      </c>
      <c r="CC129" s="135">
        <f t="shared" si="209"/>
        <v>1.1383394115908447</v>
      </c>
      <c r="CD129" s="135">
        <f t="shared" si="209"/>
        <v>1.1622807017543859</v>
      </c>
      <c r="CE129" s="135">
        <f t="shared" si="209"/>
        <v>1.0933079815806357</v>
      </c>
      <c r="CH129" s="194"/>
      <c r="CK129" s="196"/>
    </row>
    <row r="130" spans="1:117" x14ac:dyDescent="0.35">
      <c r="D130" s="196" t="s">
        <v>550</v>
      </c>
      <c r="E130" s="135">
        <f>1-((E108-E116)/E108)</f>
        <v>1.1845765291583654</v>
      </c>
      <c r="F130" s="135">
        <f t="shared" ref="F130:M130" si="210">1-((F108-F116)/F108)</f>
        <v>1.0943515431391666</v>
      </c>
      <c r="G130" s="135">
        <f t="shared" si="210"/>
        <v>1.0889823407354184</v>
      </c>
      <c r="H130" s="135">
        <f t="shared" si="210"/>
        <v>0.97591388374243648</v>
      </c>
      <c r="I130" s="135">
        <f t="shared" si="210"/>
        <v>0.78144092164165646</v>
      </c>
      <c r="J130" s="135">
        <f t="shared" si="210"/>
        <v>0.90087389839492982</v>
      </c>
      <c r="K130" s="135">
        <f t="shared" si="210"/>
        <v>1.1125793475743586</v>
      </c>
      <c r="L130" s="135">
        <f t="shared" si="210"/>
        <v>1.2038567493112948</v>
      </c>
      <c r="M130" s="135">
        <f t="shared" si="210"/>
        <v>0.97609296070233409</v>
      </c>
      <c r="P130" s="194"/>
      <c r="T130" s="194"/>
      <c r="U130" s="194"/>
      <c r="V130" s="194"/>
      <c r="W130" s="194"/>
      <c r="X130" s="194"/>
      <c r="Y130" s="194"/>
      <c r="Z130" s="194"/>
      <c r="AA130" s="194"/>
      <c r="AB130" s="194"/>
      <c r="AM130" s="196" t="s">
        <v>550</v>
      </c>
      <c r="AN130" s="135">
        <f>1-((AN108-AN116)/AN108)</f>
        <v>1.2325430658740553</v>
      </c>
      <c r="AO130" s="135">
        <f t="shared" ref="AO130:AV130" si="211">1-((AO108-AO116)/AO108)</f>
        <v>0.87627082986780525</v>
      </c>
      <c r="AP130" s="135">
        <f t="shared" si="211"/>
        <v>1.2598268705176872</v>
      </c>
      <c r="AQ130" s="135">
        <f t="shared" si="211"/>
        <v>0.94691358642539192</v>
      </c>
      <c r="AR130" s="135">
        <f t="shared" si="211"/>
        <v>0.74790121998114656</v>
      </c>
      <c r="AS130" s="135">
        <f t="shared" si="211"/>
        <v>0.95494252781599709</v>
      </c>
      <c r="AT130" s="135">
        <f t="shared" si="211"/>
        <v>0.9328171453644255</v>
      </c>
      <c r="AU130" s="135">
        <f t="shared" si="211"/>
        <v>1.1499999999999999</v>
      </c>
      <c r="AV130" s="135">
        <f t="shared" si="211"/>
        <v>0.91167653847217878</v>
      </c>
      <c r="AY130" s="194"/>
      <c r="BC130" s="194"/>
      <c r="BD130" s="194"/>
      <c r="BE130" s="194"/>
      <c r="BF130" s="194"/>
      <c r="BG130" s="194"/>
      <c r="BH130" s="194"/>
      <c r="BI130" s="194"/>
      <c r="BJ130" s="194"/>
      <c r="BK130" s="194"/>
      <c r="BR130" s="272"/>
      <c r="BV130" s="196" t="s">
        <v>550</v>
      </c>
      <c r="BW130" s="135">
        <f>1-((BW108-BW116)/BW108)</f>
        <v>1.1359972147257786</v>
      </c>
      <c r="BX130" s="135">
        <f t="shared" ref="BX130:CE130" si="212">1-((BX108-BX116)/BX108)</f>
        <v>1.2539828824821107</v>
      </c>
      <c r="BY130" s="135">
        <f t="shared" si="212"/>
        <v>0.97825179865099543</v>
      </c>
      <c r="BZ130" s="135">
        <f t="shared" si="212"/>
        <v>1.0073290976618963</v>
      </c>
      <c r="CA130" s="135">
        <f t="shared" si="212"/>
        <v>0.86532817602772516</v>
      </c>
      <c r="CB130" s="135">
        <f t="shared" si="212"/>
        <v>0.85868212931808763</v>
      </c>
      <c r="CC130" s="135">
        <f t="shared" si="212"/>
        <v>1.2262330965356318</v>
      </c>
      <c r="CD130" s="135">
        <f t="shared" si="212"/>
        <v>1.2105263157894737</v>
      </c>
      <c r="CE130" s="135">
        <f t="shared" si="212"/>
        <v>1.0420155928051773</v>
      </c>
      <c r="CH130" s="194"/>
      <c r="CL130" s="194"/>
      <c r="CM130" s="194"/>
      <c r="CN130" s="194"/>
      <c r="CO130" s="194"/>
      <c r="CP130" s="194"/>
      <c r="CQ130" s="194"/>
      <c r="CR130" s="194"/>
      <c r="CS130" s="194"/>
      <c r="CT130" s="194"/>
    </row>
    <row r="131" spans="1:117" x14ac:dyDescent="0.35">
      <c r="D131" s="205" t="s">
        <v>529</v>
      </c>
      <c r="E131" s="135">
        <f>1-((E108-E117)/E108)</f>
        <v>0.64151672552173755</v>
      </c>
      <c r="F131" s="135">
        <f t="shared" ref="F131:M131" si="213">1-((F108-F117)/F108)</f>
        <v>3.0758657017461122</v>
      </c>
      <c r="G131" s="135">
        <f t="shared" si="213"/>
        <v>0.23228719859620583</v>
      </c>
      <c r="H131" s="135">
        <f t="shared" si="213"/>
        <v>1.2078077474047768</v>
      </c>
      <c r="I131" s="135">
        <f t="shared" si="213"/>
        <v>1.4888345269160188</v>
      </c>
      <c r="J131" s="135">
        <f t="shared" si="213"/>
        <v>0.37085034245878956</v>
      </c>
      <c r="K131" s="135">
        <f t="shared" si="213"/>
        <v>2.5840636076323995</v>
      </c>
      <c r="L131" s="135">
        <f t="shared" si="213"/>
        <v>0.76767676767676774</v>
      </c>
      <c r="M131" s="135">
        <f t="shared" si="213"/>
        <v>1.2212522702021091</v>
      </c>
      <c r="AM131" s="205" t="s">
        <v>529</v>
      </c>
      <c r="AN131" s="135">
        <f>1-((AN108-AN117)/AN108)</f>
        <v>0.89182774775180074</v>
      </c>
      <c r="AO131" s="135">
        <f t="shared" ref="AO131:AV131" si="214">1-((AO108-AO117)/AO108)</f>
        <v>3.1864089330894245</v>
      </c>
      <c r="AP131" s="135">
        <f t="shared" si="214"/>
        <v>0.29166962519775341</v>
      </c>
      <c r="AQ131" s="135">
        <f t="shared" si="214"/>
        <v>1.1447222111758046</v>
      </c>
      <c r="AR131" s="135">
        <f t="shared" si="214"/>
        <v>1.1312113528353913</v>
      </c>
      <c r="AS131" s="135">
        <f t="shared" si="214"/>
        <v>0.33111814025253172</v>
      </c>
      <c r="AT131" s="135">
        <f t="shared" si="214"/>
        <v>2.8222208248798548</v>
      </c>
      <c r="AU131" s="135">
        <f t="shared" si="214"/>
        <v>0.97777777777777775</v>
      </c>
      <c r="AV131" s="135">
        <f t="shared" si="214"/>
        <v>1.1423999796389352</v>
      </c>
      <c r="BR131" s="272"/>
      <c r="BV131" s="205" t="s">
        <v>529</v>
      </c>
      <c r="BW131" s="135">
        <f>1-((BW108-BW117)/BW108)</f>
        <v>0.51214617263791029</v>
      </c>
      <c r="BX131" s="135">
        <f t="shared" ref="BX131:CE131" si="215">1-((BX108-BX117)/BX108)</f>
        <v>2.9827360503558387</v>
      </c>
      <c r="BY131" s="135">
        <f t="shared" si="215"/>
        <v>0.19631529761672017</v>
      </c>
      <c r="BZ131" s="135">
        <f t="shared" si="215"/>
        <v>1.2708400376939089</v>
      </c>
      <c r="CA131" s="135">
        <f t="shared" si="215"/>
        <v>2.080911208834153</v>
      </c>
      <c r="CB131" s="135">
        <f t="shared" si="215"/>
        <v>0.4157490034421264</v>
      </c>
      <c r="CC131" s="135">
        <f t="shared" si="215"/>
        <v>2.4016625897233279</v>
      </c>
      <c r="CD131" s="135">
        <f t="shared" si="215"/>
        <v>0.64327485380116955</v>
      </c>
      <c r="CE131" s="135">
        <f t="shared" si="215"/>
        <v>1.3021427146789488</v>
      </c>
    </row>
    <row r="132" spans="1:117" x14ac:dyDescent="0.35">
      <c r="D132" s="275" t="s">
        <v>549</v>
      </c>
      <c r="E132" s="135">
        <f>1-((E108-E118)/E108)</f>
        <v>1.0263436439959033</v>
      </c>
      <c r="F132" s="135">
        <f t="shared" ref="F132:M132" si="216">1-((F108-F118)/F108)</f>
        <v>0.81524321119092291</v>
      </c>
      <c r="G132" s="135">
        <f t="shared" si="216"/>
        <v>1.2267724318811422</v>
      </c>
      <c r="H132" s="135">
        <f t="shared" si="216"/>
        <v>0.93861627921723711</v>
      </c>
      <c r="I132" s="135">
        <f t="shared" si="216"/>
        <v>0.96996763802956609</v>
      </c>
      <c r="J132" s="135">
        <f t="shared" si="216"/>
        <v>1.1114938751706138</v>
      </c>
      <c r="K132" s="135">
        <f t="shared" si="216"/>
        <v>0.85789101392413136</v>
      </c>
      <c r="L132" s="135">
        <f t="shared" si="216"/>
        <v>1.1372401702980215</v>
      </c>
      <c r="M132" s="135">
        <f t="shared" si="216"/>
        <v>1.0648636688716966</v>
      </c>
      <c r="AM132" s="275" t="s">
        <v>549</v>
      </c>
      <c r="AN132" s="135">
        <f>1-((AN108-AN118)/AN108)</f>
        <v>1.055815509901072</v>
      </c>
      <c r="AO132" s="135">
        <f t="shared" ref="AO132:AV132" si="217">1-((AO108-AO118)/AO108)</f>
        <v>1.0024902883646298</v>
      </c>
      <c r="AP132" s="135">
        <f t="shared" si="217"/>
        <v>1.101154757286958</v>
      </c>
      <c r="AQ132" s="135">
        <f t="shared" si="217"/>
        <v>0.97933260994263116</v>
      </c>
      <c r="AR132" s="135">
        <f t="shared" si="217"/>
        <v>0.93658964121809196</v>
      </c>
      <c r="AS132" s="135">
        <f t="shared" si="217"/>
        <v>0.95080153123861655</v>
      </c>
      <c r="AT132" s="135">
        <f t="shared" si="217"/>
        <v>1.010953885850441</v>
      </c>
      <c r="AU132" s="135">
        <f t="shared" si="217"/>
        <v>1.0333333333333334</v>
      </c>
      <c r="AV132" s="135">
        <f t="shared" si="217"/>
        <v>0.97465652095335409</v>
      </c>
      <c r="BR132" s="272"/>
      <c r="BV132" s="275" t="s">
        <v>549</v>
      </c>
      <c r="BW132" s="135">
        <f>1-((BW108-BW118)/BW108)</f>
        <v>1.0750260635006297</v>
      </c>
      <c r="BX132" s="135">
        <f t="shared" ref="BX132:CE132" si="218">1-((BX108-BX118)/BX108)</f>
        <v>0.61313700420493955</v>
      </c>
      <c r="BY132" s="135">
        <f t="shared" si="218"/>
        <v>1.3915582762393699</v>
      </c>
      <c r="BZ132" s="135">
        <f t="shared" si="218"/>
        <v>0.8680456925688036</v>
      </c>
      <c r="CA132" s="135">
        <f t="shared" si="218"/>
        <v>0.91506967362442682</v>
      </c>
      <c r="CB132" s="135">
        <f t="shared" si="218"/>
        <v>1.3087545372584524</v>
      </c>
      <c r="CC132" s="135">
        <f t="shared" si="218"/>
        <v>0.72177157626962929</v>
      </c>
      <c r="CD132" s="135">
        <f t="shared" si="218"/>
        <v>1.2807017543859649</v>
      </c>
      <c r="CE132" s="135">
        <f t="shared" si="218"/>
        <v>1.1647380869347765</v>
      </c>
    </row>
    <row r="133" spans="1:117" x14ac:dyDescent="0.35">
      <c r="D133" s="205"/>
      <c r="AM133" s="205"/>
      <c r="BR133" s="272"/>
      <c r="BV133" s="205"/>
    </row>
    <row r="134" spans="1:117" s="214" customFormat="1" x14ac:dyDescent="0.35">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272"/>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272"/>
      <c r="BS134" s="135"/>
      <c r="BT134" s="135"/>
      <c r="BU134" s="135"/>
      <c r="BV134" s="135"/>
      <c r="BW134" s="135"/>
      <c r="BX134" s="135"/>
      <c r="BY134" s="135"/>
      <c r="BZ134" s="135"/>
      <c r="CA134" s="135"/>
      <c r="CB134" s="135"/>
      <c r="CC134" s="135"/>
      <c r="CD134" s="135"/>
      <c r="CE134" s="135"/>
      <c r="CF134" s="135"/>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row>
    <row r="135" spans="1:117" x14ac:dyDescent="0.35">
      <c r="A135" s="216"/>
      <c r="B135" s="214"/>
      <c r="C135" s="214"/>
      <c r="D135" s="214"/>
      <c r="E135" s="216"/>
      <c r="F135" s="216"/>
      <c r="G135" s="216"/>
      <c r="H135" s="216"/>
      <c r="I135" s="216"/>
      <c r="J135" s="216"/>
      <c r="K135" s="216"/>
      <c r="L135" s="216"/>
      <c r="M135" s="216"/>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J135" s="216"/>
      <c r="AK135" s="214"/>
      <c r="AL135" s="214"/>
      <c r="AM135" s="214"/>
      <c r="AN135" s="216"/>
      <c r="AO135" s="216"/>
      <c r="AP135" s="216"/>
      <c r="AQ135" s="216"/>
      <c r="AR135" s="216"/>
      <c r="AS135" s="216"/>
      <c r="AT135" s="216"/>
      <c r="AU135" s="216"/>
      <c r="AV135" s="216"/>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72"/>
      <c r="BS135" s="216"/>
      <c r="BT135" s="214"/>
      <c r="BU135" s="214"/>
      <c r="BV135" s="214"/>
      <c r="BW135" s="216"/>
      <c r="BX135" s="216"/>
      <c r="BY135" s="216"/>
      <c r="BZ135" s="216"/>
      <c r="CA135" s="216"/>
      <c r="CB135" s="216"/>
      <c r="CC135" s="216"/>
      <c r="CD135" s="216"/>
      <c r="CE135" s="216"/>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14"/>
      <c r="DI135" s="214"/>
      <c r="DJ135" s="214"/>
      <c r="DK135" s="214"/>
      <c r="DL135" s="214"/>
      <c r="DM135" s="214"/>
    </row>
    <row r="136" spans="1:117" x14ac:dyDescent="0.35">
      <c r="BR136" s="272"/>
    </row>
    <row r="137" spans="1:117" x14ac:dyDescent="0.35">
      <c r="D137" s="195" t="s">
        <v>449</v>
      </c>
      <c r="S137" s="195" t="s">
        <v>449</v>
      </c>
      <c r="AM137" s="195" t="s">
        <v>449</v>
      </c>
      <c r="BB137" s="195" t="s">
        <v>449</v>
      </c>
      <c r="BR137" s="272"/>
      <c r="BV137" s="195" t="s">
        <v>449</v>
      </c>
      <c r="CK137" s="195" t="s">
        <v>449</v>
      </c>
    </row>
    <row r="138" spans="1:117" ht="26.5" thickBot="1" x14ac:dyDescent="0.65">
      <c r="B138" s="290" t="s">
        <v>728</v>
      </c>
      <c r="D138" s="9" t="s">
        <v>444</v>
      </c>
      <c r="E138" s="9" t="s">
        <v>3</v>
      </c>
      <c r="F138" s="9" t="s">
        <v>4</v>
      </c>
      <c r="G138" s="9" t="s">
        <v>5</v>
      </c>
      <c r="H138" s="9" t="s">
        <v>6</v>
      </c>
      <c r="I138" s="9" t="s">
        <v>7</v>
      </c>
      <c r="J138" s="9" t="s">
        <v>8</v>
      </c>
      <c r="K138" s="9" t="s">
        <v>9</v>
      </c>
      <c r="L138" s="9" t="s">
        <v>10</v>
      </c>
      <c r="M138" s="9" t="s">
        <v>139</v>
      </c>
      <c r="S138" s="9" t="s">
        <v>444</v>
      </c>
      <c r="T138" s="9" t="s">
        <v>3</v>
      </c>
      <c r="U138" s="9" t="s">
        <v>4</v>
      </c>
      <c r="V138" s="9" t="s">
        <v>5</v>
      </c>
      <c r="W138" s="9" t="s">
        <v>6</v>
      </c>
      <c r="X138" s="9" t="s">
        <v>7</v>
      </c>
      <c r="Y138" s="9" t="s">
        <v>8</v>
      </c>
      <c r="Z138" s="9" t="s">
        <v>9</v>
      </c>
      <c r="AA138" s="9" t="s">
        <v>10</v>
      </c>
      <c r="AB138" s="9" t="s">
        <v>139</v>
      </c>
      <c r="AM138" s="9" t="s">
        <v>444</v>
      </c>
      <c r="AN138" s="9" t="s">
        <v>3</v>
      </c>
      <c r="AO138" s="9" t="s">
        <v>4</v>
      </c>
      <c r="AP138" s="9" t="s">
        <v>5</v>
      </c>
      <c r="AQ138" s="9" t="s">
        <v>6</v>
      </c>
      <c r="AR138" s="9" t="s">
        <v>7</v>
      </c>
      <c r="AS138" s="9" t="s">
        <v>8</v>
      </c>
      <c r="AT138" s="9" t="s">
        <v>9</v>
      </c>
      <c r="AU138" s="9" t="s">
        <v>10</v>
      </c>
      <c r="AV138" s="9" t="s">
        <v>139</v>
      </c>
      <c r="BB138" s="9" t="s">
        <v>444</v>
      </c>
      <c r="BC138" s="9" t="s">
        <v>3</v>
      </c>
      <c r="BD138" s="9" t="s">
        <v>4</v>
      </c>
      <c r="BE138" s="9" t="s">
        <v>5</v>
      </c>
      <c r="BF138" s="9" t="s">
        <v>6</v>
      </c>
      <c r="BG138" s="9" t="s">
        <v>7</v>
      </c>
      <c r="BH138" s="9" t="s">
        <v>8</v>
      </c>
      <c r="BI138" s="9" t="s">
        <v>9</v>
      </c>
      <c r="BJ138" s="9" t="s">
        <v>10</v>
      </c>
      <c r="BK138" s="9" t="s">
        <v>139</v>
      </c>
      <c r="BR138" s="272"/>
      <c r="BV138" s="9" t="s">
        <v>444</v>
      </c>
      <c r="BW138" s="9" t="s">
        <v>3</v>
      </c>
      <c r="BX138" s="9" t="s">
        <v>4</v>
      </c>
      <c r="BY138" s="9" t="s">
        <v>5</v>
      </c>
      <c r="BZ138" s="9" t="s">
        <v>6</v>
      </c>
      <c r="CA138" s="9" t="s">
        <v>7</v>
      </c>
      <c r="CB138" s="9" t="s">
        <v>8</v>
      </c>
      <c r="CC138" s="9" t="s">
        <v>9</v>
      </c>
      <c r="CD138" s="9" t="s">
        <v>10</v>
      </c>
      <c r="CE138" s="9" t="s">
        <v>139</v>
      </c>
      <c r="CK138" s="9" t="s">
        <v>444</v>
      </c>
      <c r="CL138" s="9" t="s">
        <v>3</v>
      </c>
      <c r="CM138" s="9" t="s">
        <v>4</v>
      </c>
      <c r="CN138" s="9" t="s">
        <v>5</v>
      </c>
      <c r="CO138" s="9" t="s">
        <v>6</v>
      </c>
      <c r="CP138" s="9" t="s">
        <v>7</v>
      </c>
      <c r="CQ138" s="9" t="s">
        <v>8</v>
      </c>
      <c r="CR138" s="9" t="s">
        <v>9</v>
      </c>
      <c r="CS138" s="9" t="s">
        <v>10</v>
      </c>
      <c r="CT138" s="9" t="s">
        <v>139</v>
      </c>
    </row>
    <row r="139" spans="1:117" x14ac:dyDescent="0.35">
      <c r="D139" s="196" t="s">
        <v>530</v>
      </c>
      <c r="E139" s="135">
        <v>3.78466071428572</v>
      </c>
      <c r="F139" s="289">
        <v>12.448482857142853</v>
      </c>
      <c r="G139" s="135">
        <v>0.2335288747227465</v>
      </c>
      <c r="H139" s="135">
        <v>0.76647112527725347</v>
      </c>
      <c r="I139" s="135">
        <v>0.26846127147641752</v>
      </c>
      <c r="J139" s="135">
        <v>6.177774253158181E-2</v>
      </c>
      <c r="K139" s="135">
        <v>16.23314357142857</v>
      </c>
      <c r="L139" s="135">
        <v>24.142857142857142</v>
      </c>
      <c r="M139" s="135">
        <v>6.4361576890736902</v>
      </c>
      <c r="S139" s="196" t="s">
        <v>530</v>
      </c>
      <c r="T139" s="135">
        <v>4.2515333333333292</v>
      </c>
      <c r="U139" s="289">
        <v>6.6812242857142889</v>
      </c>
      <c r="V139" s="135">
        <v>0.40864078903627082</v>
      </c>
      <c r="W139" s="135">
        <v>0.59135921096372912</v>
      </c>
      <c r="X139" s="135">
        <v>0.24415735590020476</v>
      </c>
      <c r="Y139" s="135">
        <v>9.5986398135464876E-2</v>
      </c>
      <c r="Z139" s="135">
        <v>10.932757619047619</v>
      </c>
      <c r="AA139" s="135">
        <v>23.714285714285715</v>
      </c>
      <c r="AB139" s="135">
        <v>5.5384192498687108</v>
      </c>
      <c r="AM139" s="196" t="s">
        <v>530</v>
      </c>
      <c r="AN139" s="135">
        <v>3.7846607142857178</v>
      </c>
      <c r="AO139" s="135">
        <v>12.448482857142853</v>
      </c>
      <c r="AP139" s="135">
        <v>0.2335288747227465</v>
      </c>
      <c r="AQ139" s="135">
        <v>0.76647112527725347</v>
      </c>
      <c r="AR139" s="135">
        <v>0.26846127147641752</v>
      </c>
      <c r="AS139" s="135">
        <v>6.177774253158181E-2</v>
      </c>
      <c r="AT139" s="135">
        <v>16.23314357142857</v>
      </c>
      <c r="AU139" s="135">
        <v>24.142857142857142</v>
      </c>
      <c r="AV139" s="135">
        <v>6.4361576890736902</v>
      </c>
      <c r="BB139" s="196" t="s">
        <v>530</v>
      </c>
      <c r="BC139" s="135">
        <v>4.0120249999999968</v>
      </c>
      <c r="BD139" s="135">
        <v>8.3885083333333359</v>
      </c>
      <c r="BE139" s="135">
        <v>0.33327224662956084</v>
      </c>
      <c r="BF139" s="135">
        <v>0.6667277533704391</v>
      </c>
      <c r="BG139" s="135">
        <v>0.2612162301908057</v>
      </c>
      <c r="BH139" s="135">
        <v>8.4213129734401426E-2</v>
      </c>
      <c r="BI139" s="135">
        <v>12.400533333333334</v>
      </c>
      <c r="BJ139" s="135">
        <v>22.916666666666668</v>
      </c>
      <c r="BK139" s="135">
        <v>5.6737347138806564</v>
      </c>
      <c r="BR139" s="272"/>
      <c r="BV139" s="196" t="s">
        <v>530</v>
      </c>
      <c r="BW139" s="135">
        <v>3.7846607142857178</v>
      </c>
      <c r="BX139" s="135">
        <v>12.448482857142853</v>
      </c>
      <c r="BY139" s="135">
        <v>0.2335288747227465</v>
      </c>
      <c r="BZ139" s="135">
        <v>0.76647112527725347</v>
      </c>
      <c r="CA139" s="135">
        <v>0.26846127147641752</v>
      </c>
      <c r="CB139" s="135">
        <v>6.177774253158181E-2</v>
      </c>
      <c r="CC139" s="135">
        <v>16.23314357142857</v>
      </c>
      <c r="CD139" s="135">
        <v>24.142857142857142</v>
      </c>
      <c r="CE139" s="135">
        <v>6.4361576890736902</v>
      </c>
      <c r="CK139" s="196" t="s">
        <v>530</v>
      </c>
      <c r="CL139" s="135">
        <v>4.570877777777774</v>
      </c>
      <c r="CM139" s="135">
        <v>4.4048455555555588</v>
      </c>
      <c r="CN139" s="135">
        <v>0.50913217891188411</v>
      </c>
      <c r="CO139" s="135">
        <v>0.49086782108811583</v>
      </c>
      <c r="CP139" s="135">
        <v>0.22141219017940345</v>
      </c>
      <c r="CQ139" s="135">
        <v>0.1116840893368829</v>
      </c>
      <c r="CR139" s="135">
        <v>8.9757233333333328</v>
      </c>
      <c r="CS139" s="135">
        <v>24.777777777777779</v>
      </c>
      <c r="CT139" s="135">
        <v>5.3579986311861161</v>
      </c>
    </row>
    <row r="140" spans="1:117" x14ac:dyDescent="0.35">
      <c r="D140" s="196" t="s">
        <v>536</v>
      </c>
      <c r="E140" s="135">
        <v>3.544467500000001</v>
      </c>
      <c r="F140" s="135">
        <v>6.5343324999999988</v>
      </c>
      <c r="G140" s="135">
        <v>0.36925476552765013</v>
      </c>
      <c r="H140" s="135">
        <v>0.63074523447234987</v>
      </c>
      <c r="I140" s="135">
        <v>0.28492263380417077</v>
      </c>
      <c r="J140" s="135">
        <v>0.1033391201386764</v>
      </c>
      <c r="K140" s="135">
        <v>10.078799999999999</v>
      </c>
      <c r="L140" s="135">
        <v>27.583333333333332</v>
      </c>
      <c r="M140" s="135">
        <v>7.7795727833312798</v>
      </c>
      <c r="S140" s="205" t="s">
        <v>539</v>
      </c>
      <c r="T140" s="135">
        <v>4.582498181818182</v>
      </c>
      <c r="U140" s="135">
        <v>6.4727763636363624</v>
      </c>
      <c r="V140" s="135">
        <v>0.43006416426006472</v>
      </c>
      <c r="W140" s="135">
        <v>0.56993583573993545</v>
      </c>
      <c r="X140" s="135">
        <v>0.22008002819447539</v>
      </c>
      <c r="Y140" s="135">
        <v>9.3909252006669691E-2</v>
      </c>
      <c r="Z140" s="135">
        <v>11.055274545454544</v>
      </c>
      <c r="AA140" s="135">
        <v>33.727272727272727</v>
      </c>
      <c r="AB140" s="135">
        <v>7.3914082104218748</v>
      </c>
      <c r="AM140" s="196" t="s">
        <v>536</v>
      </c>
      <c r="AN140" s="135">
        <v>3.3837033333333344</v>
      </c>
      <c r="AO140" s="135">
        <v>8.6505633333333307</v>
      </c>
      <c r="AP140" s="135">
        <v>0.28145577909397274</v>
      </c>
      <c r="AQ140" s="135">
        <v>0.71854422090602732</v>
      </c>
      <c r="AR140" s="135">
        <v>0.29951523255692925</v>
      </c>
      <c r="AS140" s="135">
        <v>8.331746246826835E-2</v>
      </c>
      <c r="AT140" s="135">
        <v>12.034266666666666</v>
      </c>
      <c r="AU140" s="135">
        <v>25.333333333333332</v>
      </c>
      <c r="AV140" s="135">
        <v>7.5037884394388934</v>
      </c>
      <c r="BB140" s="205" t="s">
        <v>539</v>
      </c>
      <c r="BC140" s="135">
        <v>4.556191666666666</v>
      </c>
      <c r="BD140" s="135">
        <v>8.2145083333333346</v>
      </c>
      <c r="BE140" s="135">
        <v>0.35996152046201019</v>
      </c>
      <c r="BF140" s="135">
        <v>0.64003847953798987</v>
      </c>
      <c r="BG140" s="135">
        <v>0.21951418063529002</v>
      </c>
      <c r="BH140" s="135">
        <v>7.8996610338728582E-2</v>
      </c>
      <c r="BI140" s="135">
        <v>12.7707</v>
      </c>
      <c r="BJ140" s="135">
        <v>33.333333333333336</v>
      </c>
      <c r="BK140" s="135">
        <v>7.3144950567359883</v>
      </c>
      <c r="BR140" s="272"/>
      <c r="BV140" s="196" t="s">
        <v>536</v>
      </c>
      <c r="BW140" s="135">
        <v>3.7052316666666676</v>
      </c>
      <c r="BX140" s="135">
        <v>4.4181016666666668</v>
      </c>
      <c r="BY140" s="135">
        <v>0.45705375196132764</v>
      </c>
      <c r="BZ140" s="135">
        <v>0.54294624803867242</v>
      </c>
      <c r="CA140" s="135">
        <v>0.27033003505141223</v>
      </c>
      <c r="CB140" s="135">
        <v>0.1233607778090844</v>
      </c>
      <c r="CC140" s="135">
        <v>8.1233333333333348</v>
      </c>
      <c r="CD140" s="135">
        <v>29.833333333333332</v>
      </c>
      <c r="CE140" s="135">
        <v>8.055357127223667</v>
      </c>
      <c r="CK140" s="205" t="s">
        <v>539</v>
      </c>
      <c r="CL140" s="135">
        <v>4.614066000000002</v>
      </c>
      <c r="CM140" s="135">
        <v>4.3826979999999969</v>
      </c>
      <c r="CN140" s="135">
        <v>0.51418733681772999</v>
      </c>
      <c r="CO140" s="135">
        <v>0.48581266318227001</v>
      </c>
      <c r="CP140" s="135">
        <v>0.22075904526549789</v>
      </c>
      <c r="CQ140" s="135">
        <v>0.11180442200819903</v>
      </c>
      <c r="CR140" s="135">
        <v>8.9967639999999989</v>
      </c>
      <c r="CS140" s="135">
        <v>34.200000000000003</v>
      </c>
      <c r="CT140" s="135">
        <v>7.4837039948449426</v>
      </c>
    </row>
    <row r="141" spans="1:117" x14ac:dyDescent="0.35">
      <c r="D141" s="205" t="s">
        <v>529</v>
      </c>
      <c r="E141" s="135">
        <v>3.6238520000000007</v>
      </c>
      <c r="F141" s="289">
        <v>6.7443149999999985</v>
      </c>
      <c r="G141" s="135">
        <v>0.36456145783309046</v>
      </c>
      <c r="H141" s="135">
        <v>0.63543854216690954</v>
      </c>
      <c r="I141" s="135">
        <v>0.28011995544146223</v>
      </c>
      <c r="J141" s="135">
        <v>0.10050422440510268</v>
      </c>
      <c r="K141" s="135">
        <v>10.368167</v>
      </c>
      <c r="L141" s="135">
        <v>28.3</v>
      </c>
      <c r="M141" s="135">
        <v>7.8486896353127893</v>
      </c>
      <c r="S141" s="205" t="s">
        <v>529</v>
      </c>
      <c r="T141" s="135">
        <v>4.2663781818181796</v>
      </c>
      <c r="U141" s="135">
        <v>5.850570000000002</v>
      </c>
      <c r="V141" s="135">
        <v>0.43550490918226353</v>
      </c>
      <c r="W141" s="135">
        <v>0.56449509081773641</v>
      </c>
      <c r="X141" s="135">
        <v>0.23555126728970935</v>
      </c>
      <c r="Y141" s="135">
        <v>0.10193369804654874</v>
      </c>
      <c r="Z141" s="135">
        <v>10.116948181818181</v>
      </c>
      <c r="AA141" s="135">
        <v>33.272727272727273</v>
      </c>
      <c r="AB141" s="135">
        <v>7.8049145219917992</v>
      </c>
      <c r="AM141" s="205" t="s">
        <v>529</v>
      </c>
      <c r="AN141" s="135">
        <v>3.505874000000003</v>
      </c>
      <c r="AO141" s="135">
        <v>8.810577999999996</v>
      </c>
      <c r="AP141" s="135">
        <v>0.28453709940768357</v>
      </c>
      <c r="AQ141" s="135">
        <v>0.71546290059231654</v>
      </c>
      <c r="AR141" s="135">
        <v>0.28823188474516909</v>
      </c>
      <c r="AS141" s="135">
        <v>8.1254325370340205E-2</v>
      </c>
      <c r="AT141" s="135">
        <v>12.316451999999998</v>
      </c>
      <c r="AU141" s="135">
        <v>26.8</v>
      </c>
      <c r="AV141" s="135">
        <v>7.6596737804453197</v>
      </c>
      <c r="BB141" s="205" t="s">
        <v>529</v>
      </c>
      <c r="BC141" s="135">
        <v>4.1931783333333312</v>
      </c>
      <c r="BD141" s="135">
        <v>7.4221833333333365</v>
      </c>
      <c r="BE141" s="135">
        <v>0.36220764596043997</v>
      </c>
      <c r="BF141" s="135">
        <v>0.63779235403956014</v>
      </c>
      <c r="BG141" s="135">
        <v>0.23918532530809991</v>
      </c>
      <c r="BH141" s="135">
        <v>8.6462099890564414E-2</v>
      </c>
      <c r="BI141" s="135">
        <v>11.615361666666667</v>
      </c>
      <c r="BJ141" s="135">
        <v>32</v>
      </c>
      <c r="BK141" s="135">
        <v>7.6410111944879633</v>
      </c>
      <c r="BR141" s="272"/>
      <c r="BV141" s="205" t="s">
        <v>529</v>
      </c>
      <c r="BW141" s="135">
        <v>3.7418299999999989</v>
      </c>
      <c r="BX141" s="135">
        <v>4.6780520000000028</v>
      </c>
      <c r="BY141" s="135">
        <v>0.44458581625849736</v>
      </c>
      <c r="BZ141" s="135">
        <v>0.55541418374150264</v>
      </c>
      <c r="CA141" s="135">
        <v>0.27200802613775532</v>
      </c>
      <c r="CB141" s="135">
        <v>0.11975412343986513</v>
      </c>
      <c r="CC141" s="135">
        <v>8.4198820000000012</v>
      </c>
      <c r="CD141" s="135">
        <v>29.8</v>
      </c>
      <c r="CE141" s="135">
        <v>8.037705490180258</v>
      </c>
      <c r="CK141" s="205" t="s">
        <v>529</v>
      </c>
      <c r="CL141" s="135">
        <v>4.3542179999999977</v>
      </c>
      <c r="CM141" s="135">
        <v>3.9646340000000011</v>
      </c>
      <c r="CN141" s="135">
        <v>0.52346162504845173</v>
      </c>
      <c r="CO141" s="135">
        <v>0.47653837495154816</v>
      </c>
      <c r="CP141" s="135">
        <v>0.2311903976676406</v>
      </c>
      <c r="CQ141" s="135">
        <v>0.12049961583372992</v>
      </c>
      <c r="CR141" s="135">
        <v>8.3188519999999979</v>
      </c>
      <c r="CS141" s="135">
        <v>34.799999999999997</v>
      </c>
      <c r="CT141" s="135">
        <v>8.001598514996406</v>
      </c>
    </row>
    <row r="142" spans="1:117" x14ac:dyDescent="0.35">
      <c r="D142" s="196" t="s">
        <v>538</v>
      </c>
      <c r="E142" s="135">
        <v>3.6040176923076896</v>
      </c>
      <c r="F142" s="135">
        <v>5.5686530769230798</v>
      </c>
      <c r="G142" s="135">
        <v>0.41356520296680144</v>
      </c>
      <c r="H142" s="135">
        <v>0.58643479703319845</v>
      </c>
      <c r="I142" s="135">
        <v>0.28164543114194146</v>
      </c>
      <c r="J142" s="135">
        <v>0.11377772969096567</v>
      </c>
      <c r="K142" s="135">
        <v>9.1726707692307698</v>
      </c>
      <c r="L142" s="135">
        <v>27.46153846153846</v>
      </c>
      <c r="M142" s="135">
        <v>7.6322471022002008</v>
      </c>
      <c r="S142" s="205" t="s">
        <v>537</v>
      </c>
      <c r="T142" s="135">
        <v>4.5059172727272712</v>
      </c>
      <c r="U142" s="135">
        <v>6.5113909090909097</v>
      </c>
      <c r="V142" s="135">
        <v>0.42717772498215184</v>
      </c>
      <c r="W142" s="135">
        <v>0.5728222750178481</v>
      </c>
      <c r="X142" s="135">
        <v>0.2230515002451601</v>
      </c>
      <c r="Y142" s="135">
        <v>9.5363263388229133E-2</v>
      </c>
      <c r="Z142" s="135">
        <v>11.017308181818182</v>
      </c>
      <c r="AA142" s="135">
        <v>35.727272727272727</v>
      </c>
      <c r="AB142" s="135">
        <v>7.9439372070758019</v>
      </c>
      <c r="AM142" s="196" t="s">
        <v>538</v>
      </c>
      <c r="AN142" s="135">
        <v>3.3907216666666642</v>
      </c>
      <c r="AO142" s="135">
        <v>7.7599233333333357</v>
      </c>
      <c r="AP142" s="135">
        <v>0.30387291840826908</v>
      </c>
      <c r="AQ142" s="135">
        <v>0.69612708159173087</v>
      </c>
      <c r="AR142" s="135">
        <v>0.29869947654852363</v>
      </c>
      <c r="AS142" s="135">
        <v>8.97855729828715E-2</v>
      </c>
      <c r="AT142" s="135">
        <v>11.150644999999999</v>
      </c>
      <c r="AU142" s="135">
        <v>25.666666666666668</v>
      </c>
      <c r="AV142" s="135">
        <v>7.6040343086906264</v>
      </c>
      <c r="BB142" s="205" t="s">
        <v>537</v>
      </c>
      <c r="BC142" s="135">
        <v>4.5895014285714257</v>
      </c>
      <c r="BD142" s="135">
        <v>7.9168128571428591</v>
      </c>
      <c r="BE142" s="135">
        <v>0.37388745540391188</v>
      </c>
      <c r="BF142" s="135">
        <v>0.62611254459608812</v>
      </c>
      <c r="BG142" s="135">
        <v>0.21897981570746</v>
      </c>
      <c r="BH142" s="135">
        <v>8.1674549214256986E-2</v>
      </c>
      <c r="BI142" s="135">
        <v>12.506314285714284</v>
      </c>
      <c r="BJ142" s="135">
        <v>35.428571428571431</v>
      </c>
      <c r="BK142" s="135">
        <v>7.717906961460443</v>
      </c>
      <c r="BR142" s="272"/>
      <c r="BV142" s="196" t="s">
        <v>538</v>
      </c>
      <c r="BW142" s="135">
        <v>3.7868428571428536</v>
      </c>
      <c r="BX142" s="135">
        <v>3.6904214285714318</v>
      </c>
      <c r="BY142" s="135">
        <v>0.50758716115982927</v>
      </c>
      <c r="BZ142" s="135">
        <v>0.49241283884017062</v>
      </c>
      <c r="CA142" s="135">
        <v>0.26702767793629961</v>
      </c>
      <c r="CB142" s="135">
        <v>0.13434243544076066</v>
      </c>
      <c r="CC142" s="135">
        <v>7.477264285714285</v>
      </c>
      <c r="CD142" s="135">
        <v>29</v>
      </c>
      <c r="CE142" s="135">
        <v>7.656429496636977</v>
      </c>
      <c r="CK142" s="205" t="s">
        <v>537</v>
      </c>
      <c r="CL142" s="135">
        <v>4.3596449999999995</v>
      </c>
      <c r="CM142" s="135">
        <v>4.0519024999999997</v>
      </c>
      <c r="CN142" s="135">
        <v>0.52043569674407175</v>
      </c>
      <c r="CO142" s="135">
        <v>0.47956430325592814</v>
      </c>
      <c r="CP142" s="135">
        <v>0.23017694818613518</v>
      </c>
      <c r="CQ142" s="135">
        <v>0.11931851319268037</v>
      </c>
      <c r="CR142" s="135">
        <v>8.4115474999999993</v>
      </c>
      <c r="CS142" s="135">
        <v>36.25</v>
      </c>
      <c r="CT142" s="135">
        <v>8.3394901369026808</v>
      </c>
    </row>
    <row r="143" spans="1:117" x14ac:dyDescent="0.35">
      <c r="D143" s="205" t="s">
        <v>529</v>
      </c>
      <c r="E143" s="135">
        <v>3.4292236363636373</v>
      </c>
      <c r="F143" s="135">
        <v>6.338092727272727</v>
      </c>
      <c r="G143" s="135">
        <v>0.36687659224966446</v>
      </c>
      <c r="H143" s="135">
        <v>0.63312340775033549</v>
      </c>
      <c r="I143" s="135">
        <v>0.30095036147225018</v>
      </c>
      <c r="J143" s="135">
        <v>0.1051739263348753</v>
      </c>
      <c r="K143" s="135">
        <v>9.7673163636363647</v>
      </c>
      <c r="L143" s="135">
        <v>26.818181818181817</v>
      </c>
      <c r="M143" s="135">
        <v>7.8567574056363494</v>
      </c>
      <c r="S143" s="205" t="s">
        <v>529</v>
      </c>
      <c r="T143" s="135">
        <v>4.2237000000000027</v>
      </c>
      <c r="U143" s="135">
        <v>6.3164539999999985</v>
      </c>
      <c r="V143" s="135">
        <v>0.41865261982328195</v>
      </c>
      <c r="W143" s="135">
        <v>0.58134738017671816</v>
      </c>
      <c r="X143" s="135">
        <v>0.24151303671181665</v>
      </c>
      <c r="Y143" s="135">
        <v>9.8864462054096075E-2</v>
      </c>
      <c r="Z143" s="135">
        <v>10.540154000000001</v>
      </c>
      <c r="AA143" s="135">
        <v>35.4</v>
      </c>
      <c r="AB143" s="135">
        <v>8.4018675236792131</v>
      </c>
      <c r="AM143" s="205" t="s">
        <v>529</v>
      </c>
      <c r="AN143" s="135">
        <v>3.0524016666666633</v>
      </c>
      <c r="AO143" s="135">
        <v>8.1094583333333308</v>
      </c>
      <c r="AP143" s="135">
        <v>0.27438053566088133</v>
      </c>
      <c r="AQ143" s="135">
        <v>0.72561946433911872</v>
      </c>
      <c r="AR143" s="135">
        <v>0.33166538182644528</v>
      </c>
      <c r="AS143" s="135">
        <v>8.9674861060183131E-2</v>
      </c>
      <c r="AT143" s="135">
        <v>11.161859999999995</v>
      </c>
      <c r="AU143" s="135">
        <v>23.333333333333332</v>
      </c>
      <c r="AV143" s="135">
        <v>7.692753123487047</v>
      </c>
      <c r="BB143" s="205" t="s">
        <v>529</v>
      </c>
      <c r="BC143" s="135">
        <v>4.0090160000000026</v>
      </c>
      <c r="BD143" s="135">
        <v>8.4918399999999963</v>
      </c>
      <c r="BE143" s="135">
        <v>0.32101153298744989</v>
      </c>
      <c r="BF143" s="135">
        <v>0.67898846701255011</v>
      </c>
      <c r="BG143" s="135">
        <v>0.25581481078621005</v>
      </c>
      <c r="BH143" s="135">
        <v>8.0888762269657993E-2</v>
      </c>
      <c r="BI143" s="135">
        <v>12.500855999999999</v>
      </c>
      <c r="BJ143" s="135">
        <v>32.4</v>
      </c>
      <c r="BK143" s="135">
        <v>8.126340154039065</v>
      </c>
      <c r="BR143" s="272"/>
      <c r="BV143" s="205" t="s">
        <v>529</v>
      </c>
      <c r="BW143" s="135">
        <v>3.8814100000000051</v>
      </c>
      <c r="BX143" s="135">
        <v>4.2124540000000028</v>
      </c>
      <c r="BY143" s="135">
        <v>0.47787186015620409</v>
      </c>
      <c r="BZ143" s="135">
        <v>0.52212813984379591</v>
      </c>
      <c r="CA143" s="135">
        <v>0.26409233704721613</v>
      </c>
      <c r="CB143" s="135">
        <v>0.12377280466450588</v>
      </c>
      <c r="CC143" s="135">
        <v>8.0938640000000071</v>
      </c>
      <c r="CD143" s="135">
        <v>31</v>
      </c>
      <c r="CE143" s="135">
        <v>8.0535625442155112</v>
      </c>
      <c r="CK143" s="205" t="s">
        <v>529</v>
      </c>
      <c r="CL143" s="135">
        <v>4.4383840000000019</v>
      </c>
      <c r="CM143" s="135">
        <v>4.1410680000000015</v>
      </c>
      <c r="CN143" s="135">
        <v>0.516293706659114</v>
      </c>
      <c r="CO143" s="135">
        <v>0.483706293340886</v>
      </c>
      <c r="CP143" s="135">
        <v>0.22721126263742328</v>
      </c>
      <c r="CQ143" s="135">
        <v>0.11684016183853418</v>
      </c>
      <c r="CR143" s="135">
        <v>8.5794520000000034</v>
      </c>
      <c r="CS143" s="135">
        <v>38.4</v>
      </c>
      <c r="CT143" s="135">
        <v>8.677394893319363</v>
      </c>
    </row>
    <row r="144" spans="1:117" x14ac:dyDescent="0.35">
      <c r="D144" s="196" t="s">
        <v>553</v>
      </c>
      <c r="E144" s="135">
        <v>3.8365333333333336</v>
      </c>
      <c r="F144" s="135">
        <v>8.1777999999999977</v>
      </c>
      <c r="G144" s="135">
        <v>0.34409146557485559</v>
      </c>
      <c r="H144" s="135">
        <v>0.65590853442514441</v>
      </c>
      <c r="I144" s="135">
        <v>0.26158706904217366</v>
      </c>
      <c r="J144" s="135">
        <v>9.0691223124363535E-2</v>
      </c>
      <c r="K144" s="135">
        <v>12.014333333333333</v>
      </c>
      <c r="L144" s="135">
        <v>27.555555555555557</v>
      </c>
      <c r="M144" s="135">
        <v>7.1925282387070597</v>
      </c>
      <c r="S144" s="205" t="s">
        <v>534</v>
      </c>
      <c r="T144" s="135">
        <v>4.1962536363636369</v>
      </c>
      <c r="U144" s="135">
        <v>6.1897499999999983</v>
      </c>
      <c r="V144" s="135">
        <v>0.42333844052258374</v>
      </c>
      <c r="W144" s="135">
        <v>0.57666155947741649</v>
      </c>
      <c r="X144" s="135">
        <v>0.24037462256254988</v>
      </c>
      <c r="Y144" s="135">
        <v>0.10066782564222419</v>
      </c>
      <c r="Z144" s="135">
        <v>10.386003636363636</v>
      </c>
      <c r="AA144" s="135">
        <v>36.454545454545453</v>
      </c>
      <c r="AB144" s="135">
        <v>8.6894948016753748</v>
      </c>
      <c r="AM144" s="275" t="s">
        <v>553</v>
      </c>
      <c r="AN144" s="277">
        <v>3.9165649999999999</v>
      </c>
      <c r="AO144" s="277">
        <v>10.215871666666667</v>
      </c>
      <c r="AP144" s="277">
        <v>0.27978098431789872</v>
      </c>
      <c r="AQ144" s="277">
        <v>0.72021901568210145</v>
      </c>
      <c r="AR144" s="277">
        <v>0.25635766174576319</v>
      </c>
      <c r="AS144" s="277">
        <v>7.1751911528254872E-2</v>
      </c>
      <c r="AT144" s="277">
        <v>14.132436666666669</v>
      </c>
      <c r="AU144" s="277">
        <v>27.833333333333332</v>
      </c>
      <c r="AV144" s="277">
        <v>7.1194854645624837</v>
      </c>
      <c r="AW144" s="277"/>
      <c r="AX144" s="277"/>
      <c r="AY144" s="277"/>
      <c r="AZ144" s="277"/>
      <c r="BA144" s="277"/>
      <c r="BB144" s="276" t="s">
        <v>534</v>
      </c>
      <c r="BC144" s="277">
        <v>4.0316783333333346</v>
      </c>
      <c r="BD144" s="135">
        <v>8.1016483333333316</v>
      </c>
      <c r="BE144" s="135">
        <v>0.33452630204498623</v>
      </c>
      <c r="BF144" s="135">
        <v>0.66547369795501365</v>
      </c>
      <c r="BG144" s="135">
        <v>0.24966450614905947</v>
      </c>
      <c r="BH144" s="135">
        <v>8.3775244366208201E-2</v>
      </c>
      <c r="BI144" s="135">
        <v>12.133326666666667</v>
      </c>
      <c r="BJ144" s="135">
        <v>34.833333333333336</v>
      </c>
      <c r="BK144" s="135">
        <v>8.6223313993426505</v>
      </c>
      <c r="BR144" s="272"/>
      <c r="BV144" s="196" t="s">
        <v>553</v>
      </c>
      <c r="BW144" s="135">
        <v>3.6764700000000032</v>
      </c>
      <c r="BX144" s="135">
        <v>4.1016566666666625</v>
      </c>
      <c r="BY144" s="135">
        <v>0.4727124280887694</v>
      </c>
      <c r="BZ144" s="135">
        <v>0.52728757191123055</v>
      </c>
      <c r="CA144" s="135">
        <v>0.27204588363499466</v>
      </c>
      <c r="CB144" s="135">
        <v>0.12856984631658086</v>
      </c>
      <c r="CC144" s="135">
        <v>7.7781266666666653</v>
      </c>
      <c r="CD144" s="135">
        <v>27</v>
      </c>
      <c r="CE144" s="135">
        <v>7.3386137869962091</v>
      </c>
      <c r="CK144" s="205" t="s">
        <v>534</v>
      </c>
      <c r="CL144" s="135">
        <v>4.3937440000000008</v>
      </c>
      <c r="CM144" s="135">
        <v>3.8954719999999994</v>
      </c>
      <c r="CN144" s="135">
        <v>0.52991300669570041</v>
      </c>
      <c r="CO144" s="135">
        <v>0.47008699330429959</v>
      </c>
      <c r="CP144" s="135">
        <v>0.22922676225873823</v>
      </c>
      <c r="CQ144" s="135">
        <v>0.12093892317344332</v>
      </c>
      <c r="CR144" s="135">
        <v>8.2892159999999997</v>
      </c>
      <c r="CS144" s="135">
        <v>38.4</v>
      </c>
      <c r="CT144" s="135">
        <v>8.7700908844746426</v>
      </c>
    </row>
    <row r="145" spans="4:98" x14ac:dyDescent="0.35">
      <c r="D145" s="205" t="s">
        <v>529</v>
      </c>
      <c r="E145" s="135">
        <v>3.4592700000000023</v>
      </c>
      <c r="F145" s="135">
        <v>7.8606999999999969</v>
      </c>
      <c r="G145" s="135">
        <v>0.33638867085594076</v>
      </c>
      <c r="H145" s="135">
        <v>0.66361132914405918</v>
      </c>
      <c r="I145" s="135">
        <v>0.29484606586033751</v>
      </c>
      <c r="J145" s="135">
        <v>9.6090350031113103E-2</v>
      </c>
      <c r="K145" s="135">
        <v>11.31997</v>
      </c>
      <c r="L145" s="135">
        <v>25.3</v>
      </c>
      <c r="M145" s="135">
        <v>7.3246276062895319</v>
      </c>
      <c r="S145" s="205" t="s">
        <v>529</v>
      </c>
      <c r="T145" s="135">
        <v>4.3090700000000011</v>
      </c>
      <c r="U145" s="135">
        <v>6.7756270000000001</v>
      </c>
      <c r="V145" s="135">
        <v>0.40197964007214437</v>
      </c>
      <c r="W145" s="135">
        <v>0.59802035992785563</v>
      </c>
      <c r="X145" s="135">
        <v>0.23353855588543926</v>
      </c>
      <c r="Y145" s="135">
        <v>9.3686256995923561E-2</v>
      </c>
      <c r="Z145" s="135">
        <v>11.084697000000002</v>
      </c>
      <c r="AA145" s="135">
        <v>37.1</v>
      </c>
      <c r="AB145" s="135">
        <v>8.6349913168842072</v>
      </c>
      <c r="AM145" s="205" t="s">
        <v>529</v>
      </c>
      <c r="AN145" s="277">
        <v>3.3152985714285728</v>
      </c>
      <c r="AO145" s="277">
        <v>9.7609742857142852</v>
      </c>
      <c r="AP145" s="277">
        <v>0.25472402337194883</v>
      </c>
      <c r="AQ145" s="277">
        <v>0.74527597662805101</v>
      </c>
      <c r="AR145" s="277">
        <v>0.30814997303263236</v>
      </c>
      <c r="AS145" s="277">
        <v>7.7778376092779475E-2</v>
      </c>
      <c r="AT145" s="277">
        <v>13.076272857142857</v>
      </c>
      <c r="AU145" s="277">
        <v>24</v>
      </c>
      <c r="AV145" s="277">
        <v>7.2600996314776269</v>
      </c>
      <c r="AW145" s="277"/>
      <c r="AX145" s="277"/>
      <c r="AY145" s="277"/>
      <c r="AZ145" s="277"/>
      <c r="BA145" s="277"/>
      <c r="BB145" s="205" t="s">
        <v>529</v>
      </c>
      <c r="BC145" s="277">
        <v>4.351618571428574</v>
      </c>
      <c r="BD145" s="135">
        <v>7.8058685714285696</v>
      </c>
      <c r="BE145" s="135">
        <v>0.364069716305712</v>
      </c>
      <c r="BF145" s="135">
        <v>0.63593028369428806</v>
      </c>
      <c r="BG145" s="135">
        <v>0.23104724609079891</v>
      </c>
      <c r="BH145" s="135">
        <v>8.3758374704423127E-2</v>
      </c>
      <c r="BI145" s="135">
        <v>12.157487142857144</v>
      </c>
      <c r="BJ145" s="135">
        <v>36.571428571428569</v>
      </c>
      <c r="BK145" s="135">
        <v>8.420407138483414</v>
      </c>
      <c r="BR145" s="272"/>
      <c r="BV145" s="205" t="s">
        <v>529</v>
      </c>
      <c r="BW145" s="135">
        <v>3.7952033333333381</v>
      </c>
      <c r="BX145" s="135">
        <v>3.4267266666666578</v>
      </c>
      <c r="BY145" s="135">
        <v>0.52693951498525526</v>
      </c>
      <c r="BZ145" s="135">
        <v>0.47306048501474468</v>
      </c>
      <c r="CA145" s="135">
        <v>0.26380361579164957</v>
      </c>
      <c r="CB145" s="135">
        <v>0.13881828922055825</v>
      </c>
      <c r="CC145" s="135">
        <v>7.221929999999996</v>
      </c>
      <c r="CD145" s="135">
        <v>28.333333333333332</v>
      </c>
      <c r="CE145" s="135">
        <v>7.475192880850642</v>
      </c>
      <c r="CK145" s="205" t="s">
        <v>529</v>
      </c>
      <c r="CL145" s="135">
        <v>4.2097899999999981</v>
      </c>
      <c r="CM145" s="135">
        <v>4.3717300000000039</v>
      </c>
      <c r="CN145" s="135">
        <v>0.4904361288604866</v>
      </c>
      <c r="CO145" s="135">
        <v>0.5095638711395134</v>
      </c>
      <c r="CP145" s="135">
        <v>0.2393516120729334</v>
      </c>
      <c r="CQ145" s="135">
        <v>0.11685131567609129</v>
      </c>
      <c r="CR145" s="135">
        <v>8.5815200000000029</v>
      </c>
      <c r="CS145" s="135">
        <v>38.333333333333336</v>
      </c>
      <c r="CT145" s="135">
        <v>9.1356877331527251</v>
      </c>
    </row>
    <row r="146" spans="4:98" x14ac:dyDescent="0.35">
      <c r="D146" s="196" t="s">
        <v>552</v>
      </c>
      <c r="E146" s="135">
        <v>3.5893681818181817</v>
      </c>
      <c r="F146" s="135">
        <v>7.5074709090909089</v>
      </c>
      <c r="G146" s="135">
        <v>0.34510146492295862</v>
      </c>
      <c r="H146" s="135">
        <v>0.65489853507704143</v>
      </c>
      <c r="I146" s="135">
        <v>0.292813000849523</v>
      </c>
      <c r="J146" s="135">
        <v>9.6808739340030592E-2</v>
      </c>
      <c r="K146" s="135">
        <v>11.096839090909091</v>
      </c>
      <c r="L146" s="135">
        <v>28.272727272727273</v>
      </c>
      <c r="M146" s="135">
        <v>7.9140650359587283</v>
      </c>
      <c r="S146" s="205" t="s">
        <v>532</v>
      </c>
      <c r="T146" s="135">
        <v>4.178789090909091</v>
      </c>
      <c r="U146" s="135">
        <v>6.4797563636363638</v>
      </c>
      <c r="V146" s="135">
        <v>0.40703921871766402</v>
      </c>
      <c r="W146" s="135">
        <v>0.59296078128233598</v>
      </c>
      <c r="X146" s="135">
        <v>0.24141124696454092</v>
      </c>
      <c r="Y146" s="135">
        <v>9.7745072861881305E-2</v>
      </c>
      <c r="Z146" s="135">
        <v>10.658545454545454</v>
      </c>
      <c r="AA146" s="135">
        <v>35.272727272727273</v>
      </c>
      <c r="AB146" s="135">
        <v>8.4742649674527701</v>
      </c>
      <c r="AM146" s="275" t="s">
        <v>552</v>
      </c>
      <c r="AN146" s="277">
        <v>3.5142085714285729</v>
      </c>
      <c r="AO146" s="277">
        <v>9.4844642857142851</v>
      </c>
      <c r="AP146" s="277">
        <v>0.26780442427388523</v>
      </c>
      <c r="AQ146" s="277">
        <v>0.73219557572611482</v>
      </c>
      <c r="AR146" s="277">
        <v>0.3050269276946036</v>
      </c>
      <c r="AS146" s="277">
        <v>7.8396061371858644E-2</v>
      </c>
      <c r="AT146" s="277">
        <v>12.998672857142859</v>
      </c>
      <c r="AU146" s="277">
        <v>27.571428571428573</v>
      </c>
      <c r="AV146" s="277">
        <v>7.8948871946424157</v>
      </c>
      <c r="AW146" s="277"/>
      <c r="AX146" s="277"/>
      <c r="AY146" s="277"/>
      <c r="AZ146" s="277"/>
      <c r="BA146" s="277"/>
      <c r="BB146" s="276" t="s">
        <v>532</v>
      </c>
      <c r="BC146" s="277">
        <v>4.1651949999999998</v>
      </c>
      <c r="BD146" s="135">
        <v>8.1636416666666651</v>
      </c>
      <c r="BE146" s="135">
        <v>0.34113674552952827</v>
      </c>
      <c r="BF146" s="135">
        <v>0.65886325447047167</v>
      </c>
      <c r="BG146" s="135">
        <v>0.241980123700028</v>
      </c>
      <c r="BH146" s="135">
        <v>8.2470121981757669E-2</v>
      </c>
      <c r="BI146" s="135">
        <v>12.328836666666666</v>
      </c>
      <c r="BJ146" s="135">
        <v>34.666666666666664</v>
      </c>
      <c r="BK146" s="135">
        <v>8.3393578670786646</v>
      </c>
      <c r="BR146" s="272"/>
      <c r="BV146" s="275" t="s">
        <v>552</v>
      </c>
      <c r="BW146" s="277">
        <v>3.7208974999999969</v>
      </c>
      <c r="BX146" s="277">
        <v>4.0477325000000013</v>
      </c>
      <c r="BY146" s="277">
        <v>0.48037128605883705</v>
      </c>
      <c r="BZ146" s="277">
        <v>0.51962871394116295</v>
      </c>
      <c r="CA146" s="277">
        <v>0.27143862887063197</v>
      </c>
      <c r="CB146" s="277">
        <v>0.12903092578433151</v>
      </c>
      <c r="CC146" s="277">
        <v>7.7686299999999981</v>
      </c>
      <c r="CD146" s="277">
        <v>29.5</v>
      </c>
      <c r="CE146" s="277">
        <v>7.9476262582622752</v>
      </c>
      <c r="CF146" s="277"/>
      <c r="CG146" s="277"/>
      <c r="CH146" s="277"/>
      <c r="CI146" s="277"/>
      <c r="CJ146" s="277"/>
      <c r="CK146" s="276" t="s">
        <v>532</v>
      </c>
      <c r="CL146" s="135">
        <v>4.1951019999999994</v>
      </c>
      <c r="CM146" s="135">
        <v>4.4590940000000012</v>
      </c>
      <c r="CN146" s="135">
        <v>0.48612218654342687</v>
      </c>
      <c r="CO146" s="135">
        <v>0.51387781345657302</v>
      </c>
      <c r="CP146" s="135">
        <v>0.24072859488195633</v>
      </c>
      <c r="CQ146" s="135">
        <v>0.1160750139180297</v>
      </c>
      <c r="CR146" s="135">
        <v>8.6541960000000007</v>
      </c>
      <c r="CS146" s="135">
        <v>36</v>
      </c>
      <c r="CT146" s="135">
        <v>8.6361534879016997</v>
      </c>
    </row>
    <row r="147" spans="4:98" x14ac:dyDescent="0.35">
      <c r="D147" s="205" t="s">
        <v>529</v>
      </c>
      <c r="E147" s="135">
        <v>3.2517727272727295</v>
      </c>
      <c r="F147" s="135">
        <v>6.6492536363636354</v>
      </c>
      <c r="G147" s="135">
        <v>0.34809459242407875</v>
      </c>
      <c r="H147" s="135">
        <v>0.65190540757592141</v>
      </c>
      <c r="I147" s="135">
        <v>0.30983572031442203</v>
      </c>
      <c r="J147" s="135">
        <v>0.10583312225626827</v>
      </c>
      <c r="K147" s="135">
        <v>9.9010263636363636</v>
      </c>
      <c r="L147" s="135">
        <v>24.09090909090909</v>
      </c>
      <c r="M147" s="135">
        <v>7.4155006715189984</v>
      </c>
      <c r="S147" s="205" t="s">
        <v>529</v>
      </c>
      <c r="T147" s="135">
        <v>4.4323620000000004</v>
      </c>
      <c r="U147" s="135">
        <v>6.4563100000000002</v>
      </c>
      <c r="V147" s="135">
        <v>0.42609730399082435</v>
      </c>
      <c r="W147" s="135">
        <v>0.57390269600917565</v>
      </c>
      <c r="X147" s="135">
        <v>0.2271467890456888</v>
      </c>
      <c r="Y147" s="135">
        <v>9.6492410301710588E-2</v>
      </c>
      <c r="Z147" s="135">
        <v>10.888672000000001</v>
      </c>
      <c r="AA147" s="135">
        <v>37.299999999999997</v>
      </c>
      <c r="AB147" s="135">
        <v>8.4364873546643242</v>
      </c>
      <c r="AM147" s="205" t="s">
        <v>529</v>
      </c>
      <c r="AN147" s="277">
        <v>3.0521520000000009</v>
      </c>
      <c r="AO147" s="277">
        <v>9.2026699999999941</v>
      </c>
      <c r="AP147" s="277">
        <v>0.24905151062215386</v>
      </c>
      <c r="AQ147" s="277">
        <v>0.7509484893778462</v>
      </c>
      <c r="AR147" s="277">
        <v>0.32805246130880683</v>
      </c>
      <c r="AS147" s="277">
        <v>8.1683804204899249E-2</v>
      </c>
      <c r="AT147" s="277">
        <v>12.254821999999995</v>
      </c>
      <c r="AU147" s="277">
        <v>22.2</v>
      </c>
      <c r="AV147" s="277">
        <v>7.2806114109509021</v>
      </c>
      <c r="AW147" s="277"/>
      <c r="AX147" s="277"/>
      <c r="AY147" s="277"/>
      <c r="AZ147" s="277"/>
      <c r="BA147" s="277"/>
      <c r="BB147" s="205" t="s">
        <v>529</v>
      </c>
      <c r="BC147" s="277">
        <v>4.430878000000007</v>
      </c>
      <c r="BD147" s="135">
        <v>8.5878779999999999</v>
      </c>
      <c r="BE147" s="135">
        <v>0.34656299176624794</v>
      </c>
      <c r="BF147" s="135">
        <v>0.65343700823375206</v>
      </c>
      <c r="BG147" s="135">
        <v>0.22587806408549316</v>
      </c>
      <c r="BH147" s="135">
        <v>7.8456535578482353E-2</v>
      </c>
      <c r="BI147" s="135">
        <v>13.018756000000007</v>
      </c>
      <c r="BJ147" s="135">
        <v>37</v>
      </c>
      <c r="BK147" s="135">
        <v>8.3376704992717752</v>
      </c>
      <c r="BR147" s="272"/>
      <c r="BV147" s="205" t="s">
        <v>529</v>
      </c>
      <c r="BW147" s="277">
        <v>3.4181233333333361</v>
      </c>
      <c r="BX147" s="277">
        <v>4.5214066666666684</v>
      </c>
      <c r="BY147" s="277">
        <v>0.4306304939256827</v>
      </c>
      <c r="BZ147" s="277">
        <v>0.56936950607431724</v>
      </c>
      <c r="CA147" s="277">
        <v>0.29465510281910151</v>
      </c>
      <c r="CB147" s="277">
        <v>0.12595755396574249</v>
      </c>
      <c r="CC147" s="277">
        <v>7.9395300000000049</v>
      </c>
      <c r="CD147" s="277">
        <v>25.666666666666668</v>
      </c>
      <c r="CE147" s="277">
        <v>7.5279083886590783</v>
      </c>
      <c r="CF147" s="277"/>
      <c r="CG147" s="277"/>
      <c r="CH147" s="277"/>
      <c r="CI147" s="277"/>
      <c r="CJ147" s="277"/>
      <c r="CK147" s="205" t="s">
        <v>529</v>
      </c>
      <c r="CL147" s="135">
        <v>4.4338459999999937</v>
      </c>
      <c r="CM147" s="135">
        <v>4.3247420000000005</v>
      </c>
      <c r="CN147" s="135">
        <v>0.50563161621540087</v>
      </c>
      <c r="CO147" s="135">
        <v>0.49436838378459919</v>
      </c>
      <c r="CP147" s="135">
        <v>0.22841551400588439</v>
      </c>
      <c r="CQ147" s="135">
        <v>0.11452828502493881</v>
      </c>
      <c r="CR147" s="135">
        <v>8.7585879999999943</v>
      </c>
      <c r="CS147" s="135">
        <v>37.6</v>
      </c>
      <c r="CT147" s="135">
        <v>8.5353042100568679</v>
      </c>
    </row>
    <row r="148" spans="4:98" x14ac:dyDescent="0.35">
      <c r="D148" s="236" t="s">
        <v>551</v>
      </c>
      <c r="E148" s="135">
        <v>3.7221736363636357</v>
      </c>
      <c r="F148" s="135">
        <v>6.4041290909090911</v>
      </c>
      <c r="G148" s="135">
        <v>0.38961489743750827</v>
      </c>
      <c r="H148" s="135">
        <v>0.61038510256249179</v>
      </c>
      <c r="I148" s="135">
        <v>0.27025630015550123</v>
      </c>
      <c r="J148" s="135">
        <v>0.1046049129376084</v>
      </c>
      <c r="K148" s="135">
        <v>10.126302727272728</v>
      </c>
      <c r="L148" s="135">
        <v>28.09090909090909</v>
      </c>
      <c r="M148" s="135">
        <v>7.5529426519059975</v>
      </c>
      <c r="S148" s="237" t="s">
        <v>579</v>
      </c>
      <c r="T148" s="135">
        <v>4.0869572727272745</v>
      </c>
      <c r="U148" s="135">
        <v>7.2173763636363617</v>
      </c>
      <c r="V148" s="135">
        <v>0.38850474196370965</v>
      </c>
      <c r="W148" s="135">
        <v>0.61149525803629035</v>
      </c>
      <c r="X148" s="135">
        <v>0.24735070809646628</v>
      </c>
      <c r="Y148" s="135">
        <v>9.5235292467939991E-2</v>
      </c>
      <c r="Z148" s="135">
        <v>11.304333636363635</v>
      </c>
      <c r="AA148" s="135">
        <v>34.18181818181818</v>
      </c>
      <c r="AB148" s="135">
        <v>8.4036762311207127</v>
      </c>
      <c r="AM148" s="275" t="s">
        <v>551</v>
      </c>
      <c r="AN148" s="277">
        <v>3.6521583333333325</v>
      </c>
      <c r="AO148" s="277">
        <v>8.4422116666666671</v>
      </c>
      <c r="AP148" s="277">
        <v>0.30559188631662532</v>
      </c>
      <c r="AQ148" s="277">
        <v>0.69440811368337474</v>
      </c>
      <c r="AR148" s="277">
        <v>0.27619354586405442</v>
      </c>
      <c r="AS148" s="277">
        <v>8.4215708863856001E-2</v>
      </c>
      <c r="AT148" s="277">
        <v>12.09437</v>
      </c>
      <c r="AU148" s="277">
        <v>26.666666666666668</v>
      </c>
      <c r="AV148" s="277">
        <v>7.3241710061128833</v>
      </c>
      <c r="AW148" s="277"/>
      <c r="AX148" s="277"/>
      <c r="AY148" s="277"/>
      <c r="AZ148" s="277"/>
      <c r="BA148" s="277"/>
      <c r="BB148" s="276" t="s">
        <v>579</v>
      </c>
      <c r="BC148" s="277">
        <v>4.0287133333333331</v>
      </c>
      <c r="BD148" s="135">
        <v>9.8282383333333314</v>
      </c>
      <c r="BE148" s="135">
        <v>0.29216535111767461</v>
      </c>
      <c r="BF148" s="135">
        <v>0.70783464888232539</v>
      </c>
      <c r="BG148" s="135">
        <v>0.24972905157340639</v>
      </c>
      <c r="BH148" s="135">
        <v>7.3065616811335929E-2</v>
      </c>
      <c r="BI148" s="135">
        <v>13.856951666666665</v>
      </c>
      <c r="BJ148" s="135">
        <v>33.5</v>
      </c>
      <c r="BK148" s="135">
        <v>8.3414240818083254</v>
      </c>
      <c r="BR148" s="272"/>
      <c r="BV148" s="275" t="s">
        <v>551</v>
      </c>
      <c r="BW148" s="277">
        <v>3.8061920000000002</v>
      </c>
      <c r="BX148" s="277">
        <v>3.9584299999999999</v>
      </c>
      <c r="BY148" s="277">
        <v>0.49044251078256779</v>
      </c>
      <c r="BZ148" s="277">
        <v>0.50955748921743227</v>
      </c>
      <c r="CA148" s="277">
        <v>0.26313160530523744</v>
      </c>
      <c r="CB148" s="277">
        <v>0.12907195782611122</v>
      </c>
      <c r="CC148" s="277">
        <v>7.7646220000000001</v>
      </c>
      <c r="CD148" s="277">
        <v>29.8</v>
      </c>
      <c r="CE148" s="277">
        <v>7.8274686268577343</v>
      </c>
      <c r="CF148" s="277"/>
      <c r="CG148" s="277"/>
      <c r="CH148" s="277"/>
      <c r="CI148" s="277"/>
      <c r="CJ148" s="277"/>
      <c r="CK148" s="276" t="s">
        <v>579</v>
      </c>
      <c r="CL148" s="135">
        <v>4.1568500000000039</v>
      </c>
      <c r="CM148" s="135">
        <v>4.0843419999999977</v>
      </c>
      <c r="CN148" s="135">
        <v>0.50411201097895175</v>
      </c>
      <c r="CO148" s="135">
        <v>0.49588798902104825</v>
      </c>
      <c r="CP148" s="135">
        <v>0.24449669592413806</v>
      </c>
      <c r="CQ148" s="135">
        <v>0.12183890325586492</v>
      </c>
      <c r="CR148" s="135">
        <v>8.2411920000000016</v>
      </c>
      <c r="CS148" s="135">
        <v>35</v>
      </c>
      <c r="CT148" s="135">
        <v>8.4783788102955775</v>
      </c>
    </row>
    <row r="149" spans="4:98" x14ac:dyDescent="0.35">
      <c r="D149" s="205" t="s">
        <v>529</v>
      </c>
      <c r="E149" s="135">
        <v>3.2269866666666651</v>
      </c>
      <c r="F149" s="135">
        <v>6.2620275000000021</v>
      </c>
      <c r="G149" s="135">
        <v>0.3577866765669433</v>
      </c>
      <c r="H149" s="135">
        <v>0.6422133234330567</v>
      </c>
      <c r="I149" s="135">
        <v>0.31277647101221678</v>
      </c>
      <c r="J149" s="135">
        <v>0.11142522301816393</v>
      </c>
      <c r="K149" s="135">
        <v>9.4890141666666672</v>
      </c>
      <c r="L149" s="135">
        <v>23.333333333333332</v>
      </c>
      <c r="M149" s="135">
        <v>7.2759041017893722</v>
      </c>
      <c r="S149" s="205" t="s">
        <v>529</v>
      </c>
      <c r="T149" s="135">
        <v>4.4227959999999999</v>
      </c>
      <c r="U149" s="135">
        <v>6.7184079999999993</v>
      </c>
      <c r="V149" s="135">
        <v>0.41383161912134969</v>
      </c>
      <c r="W149" s="135">
        <v>0.58616838087865031</v>
      </c>
      <c r="X149" s="135">
        <v>0.22742389358802378</v>
      </c>
      <c r="Y149" s="135">
        <v>9.3961542333371964E-2</v>
      </c>
      <c r="Z149" s="135">
        <v>11.141203999999998</v>
      </c>
      <c r="AA149" s="135">
        <v>37.6</v>
      </c>
      <c r="AB149" s="135">
        <v>8.5111738945095166</v>
      </c>
      <c r="AM149" s="205" t="s">
        <v>529</v>
      </c>
      <c r="AN149" s="277">
        <v>3.2715499999999929</v>
      </c>
      <c r="AO149" s="277">
        <v>8.3701100000000022</v>
      </c>
      <c r="AP149" s="277">
        <v>0.28066263391979085</v>
      </c>
      <c r="AQ149" s="277">
        <v>0.71933736608020915</v>
      </c>
      <c r="AR149" s="277">
        <v>0.30856287928572734</v>
      </c>
      <c r="AS149" s="277">
        <v>8.6145172131270875E-2</v>
      </c>
      <c r="AT149" s="277">
        <v>11.641659999999995</v>
      </c>
      <c r="AU149" s="277">
        <v>22.833333333333332</v>
      </c>
      <c r="AV149" s="277">
        <v>7.0162246676287205</v>
      </c>
      <c r="AW149" s="277"/>
      <c r="AX149" s="277"/>
      <c r="AY149" s="277"/>
      <c r="AZ149" s="277"/>
      <c r="BA149" s="277"/>
      <c r="BB149" s="205" t="s">
        <v>529</v>
      </c>
      <c r="BC149" s="277">
        <v>4.4577049999999945</v>
      </c>
      <c r="BD149" s="135">
        <v>8.3156499999999962</v>
      </c>
      <c r="BE149" s="135">
        <v>0.35485015422060845</v>
      </c>
      <c r="BF149" s="135">
        <v>0.6451498457793915</v>
      </c>
      <c r="BG149" s="135">
        <v>0.22547891884044613</v>
      </c>
      <c r="BH149" s="135">
        <v>7.9801549736403937E-2</v>
      </c>
      <c r="BI149" s="135">
        <v>12.77335499999999</v>
      </c>
      <c r="BJ149" s="135">
        <v>35.666666666666664</v>
      </c>
      <c r="BK149" s="135">
        <v>8.0041571772703204</v>
      </c>
      <c r="BR149" s="272"/>
      <c r="BV149" s="205" t="s">
        <v>529</v>
      </c>
      <c r="BW149" s="277">
        <v>3.1824233333333374</v>
      </c>
      <c r="BX149" s="277">
        <v>4.1539450000000029</v>
      </c>
      <c r="BY149" s="277">
        <v>0.43491071921409569</v>
      </c>
      <c r="BZ149" s="277">
        <v>0.56508928078590426</v>
      </c>
      <c r="CA149" s="277">
        <v>0.31699006273870611</v>
      </c>
      <c r="CB149" s="277">
        <v>0.13670527390505699</v>
      </c>
      <c r="CC149" s="277">
        <v>7.3363683333333398</v>
      </c>
      <c r="CD149" s="277">
        <v>23.833333333333332</v>
      </c>
      <c r="CE149" s="277">
        <v>7.5355835359500238</v>
      </c>
      <c r="CF149" s="277"/>
      <c r="CG149" s="277"/>
      <c r="CH149" s="277"/>
      <c r="CI149" s="277"/>
      <c r="CJ149" s="277"/>
      <c r="CK149" s="205" t="s">
        <v>529</v>
      </c>
      <c r="CL149" s="135">
        <v>4.3704325000000068</v>
      </c>
      <c r="CM149" s="135">
        <v>4.3225450000000052</v>
      </c>
      <c r="CN149" s="135">
        <v>0.50230381647246169</v>
      </c>
      <c r="CO149" s="135">
        <v>0.49769618352753836</v>
      </c>
      <c r="CP149" s="135">
        <v>0.23034135570939029</v>
      </c>
      <c r="CQ149" s="135">
        <v>0.11520153122882401</v>
      </c>
      <c r="CR149" s="135">
        <v>8.692977500000012</v>
      </c>
      <c r="CS149" s="135">
        <v>40.5</v>
      </c>
      <c r="CT149" s="135">
        <v>9.271698970368309</v>
      </c>
    </row>
    <row r="150" spans="4:98" x14ac:dyDescent="0.35">
      <c r="D150" s="196" t="s">
        <v>550</v>
      </c>
      <c r="E150" s="135">
        <v>3.7064776923076908</v>
      </c>
      <c r="F150" s="135">
        <v>6.052059230769232</v>
      </c>
      <c r="G150" s="135">
        <v>0.397530790368747</v>
      </c>
      <c r="H150" s="135">
        <v>0.60246920963125294</v>
      </c>
      <c r="I150" s="135">
        <v>0.27096327868798564</v>
      </c>
      <c r="J150" s="135">
        <v>0.10637452854852499</v>
      </c>
      <c r="K150" s="135">
        <v>9.7585369230769228</v>
      </c>
      <c r="L150" s="135">
        <v>28.46153846153846</v>
      </c>
      <c r="M150" s="135">
        <v>7.6706259639455698</v>
      </c>
      <c r="S150" s="205" t="s">
        <v>578</v>
      </c>
      <c r="T150" s="135">
        <v>4.075498333333333</v>
      </c>
      <c r="U150" s="135">
        <v>6.7049336363636369</v>
      </c>
      <c r="V150" s="135">
        <v>0.37281124954891726</v>
      </c>
      <c r="W150" s="135">
        <v>0.6271887504510828</v>
      </c>
      <c r="X150" s="135">
        <v>0.27721204091923668</v>
      </c>
      <c r="Y150" s="135">
        <v>9.793476675653276E-2</v>
      </c>
      <c r="Z150" s="135">
        <v>10.717070909090909</v>
      </c>
      <c r="AA150" s="135">
        <v>34</v>
      </c>
      <c r="AB150" s="135">
        <v>8.4376019425598354</v>
      </c>
      <c r="AM150" s="196" t="s">
        <v>550</v>
      </c>
      <c r="AN150" s="135">
        <v>3.5617628571428548</v>
      </c>
      <c r="AO150" s="135">
        <v>7.875371428571432</v>
      </c>
      <c r="AP150" s="135">
        <v>0.31167348287295804</v>
      </c>
      <c r="AQ150" s="135">
        <v>0.68832651712704196</v>
      </c>
      <c r="AR150" s="135">
        <v>0.28120819669730623</v>
      </c>
      <c r="AS150" s="135">
        <v>8.7487978009299278E-2</v>
      </c>
      <c r="AT150" s="135">
        <v>11.437134285714285</v>
      </c>
      <c r="AU150" s="135">
        <v>25.857142857142858</v>
      </c>
      <c r="AV150" s="135">
        <v>7.2583908061459779</v>
      </c>
      <c r="BB150" s="205" t="s">
        <v>578</v>
      </c>
      <c r="BC150" s="135">
        <v>4.2146633333333323</v>
      </c>
      <c r="BD150" s="135">
        <v>7.8727316666666667</v>
      </c>
      <c r="BE150" s="135">
        <v>0.37660502949029745</v>
      </c>
      <c r="BF150" s="135">
        <v>0.6233949705097025</v>
      </c>
      <c r="BG150" s="135">
        <v>0.22118616170693636</v>
      </c>
      <c r="BH150" s="135">
        <v>8.3161625497008812E-2</v>
      </c>
      <c r="BI150" s="135">
        <v>12.440354999999998</v>
      </c>
      <c r="BJ150" s="135">
        <v>38.666666666666664</v>
      </c>
      <c r="BK150" s="135">
        <v>8.4688735990486954</v>
      </c>
      <c r="BR150" s="272"/>
      <c r="BV150" s="196" t="s">
        <v>550</v>
      </c>
      <c r="BW150" s="135">
        <v>3.8753116666666654</v>
      </c>
      <c r="BX150" s="135">
        <v>3.924861666666668</v>
      </c>
      <c r="BY150" s="135">
        <v>0.49769764911383407</v>
      </c>
      <c r="BZ150" s="135">
        <v>0.50230235088616582</v>
      </c>
      <c r="CA150" s="135">
        <v>0.25901087434377823</v>
      </c>
      <c r="CB150" s="135">
        <v>0.12840883751095497</v>
      </c>
      <c r="CC150" s="135">
        <v>7.8001733333333334</v>
      </c>
      <c r="CD150" s="135">
        <v>31.5</v>
      </c>
      <c r="CE150" s="135">
        <v>8.1515669813784282</v>
      </c>
      <c r="CK150" s="205" t="s">
        <v>578</v>
      </c>
      <c r="CL150" s="135">
        <v>4.5594050000000017</v>
      </c>
      <c r="CM150" s="135">
        <v>5.3020249999999969</v>
      </c>
      <c r="CN150" s="135">
        <v>0.46264028544505986</v>
      </c>
      <c r="CO150" s="135">
        <v>0.53735971455494014</v>
      </c>
      <c r="CP150" s="135">
        <v>0.22105926520152436</v>
      </c>
      <c r="CQ150" s="135">
        <v>0.10233120468003609</v>
      </c>
      <c r="CR150" s="135">
        <v>9.8614299999999986</v>
      </c>
      <c r="CS150" s="135">
        <v>38.5</v>
      </c>
      <c r="CT150" s="135">
        <v>8.5401358845150774</v>
      </c>
    </row>
    <row r="151" spans="4:98" x14ac:dyDescent="0.35">
      <c r="D151" s="205" t="s">
        <v>529</v>
      </c>
      <c r="E151" s="135">
        <v>3.558402000000001</v>
      </c>
      <c r="F151" s="135">
        <v>6.187765999999999</v>
      </c>
      <c r="G151" s="135">
        <v>0.38763978560178269</v>
      </c>
      <c r="H151" s="135">
        <v>0.6123602143982172</v>
      </c>
      <c r="I151" s="135">
        <v>0.28351666232792488</v>
      </c>
      <c r="J151" s="135">
        <v>0.10838100949447238</v>
      </c>
      <c r="K151" s="135">
        <v>9.7461680000000008</v>
      </c>
      <c r="L151" s="135">
        <v>25.8</v>
      </c>
      <c r="M151" s="135">
        <v>7.2654028577358387</v>
      </c>
      <c r="S151" s="205" t="s">
        <v>529</v>
      </c>
      <c r="T151" s="135">
        <v>4.5335742105263099</v>
      </c>
      <c r="U151" s="289">
        <v>7.2170921052631645</v>
      </c>
      <c r="V151" s="135">
        <v>0.39726690108935314</v>
      </c>
      <c r="W151" s="135">
        <v>0.60273309891064675</v>
      </c>
      <c r="X151" s="135">
        <v>0.22252692166853305</v>
      </c>
      <c r="Y151" s="135">
        <v>8.8255229001083221E-2</v>
      </c>
      <c r="Z151" s="135">
        <v>11.750666315789474</v>
      </c>
      <c r="AA151" s="135">
        <v>39.157894736842103</v>
      </c>
      <c r="AB151" s="135">
        <v>8.7133652575772071</v>
      </c>
      <c r="AM151" s="205" t="s">
        <v>529</v>
      </c>
      <c r="AN151" s="135">
        <v>3.3938479999999971</v>
      </c>
      <c r="AO151" s="135">
        <v>8.392528000000004</v>
      </c>
      <c r="AP151" s="135">
        <v>0.28838472167426599</v>
      </c>
      <c r="AQ151" s="135">
        <v>0.71161527832573401</v>
      </c>
      <c r="AR151" s="135">
        <v>0.29689784344570991</v>
      </c>
      <c r="AS151" s="135">
        <v>8.4961812201466674E-2</v>
      </c>
      <c r="AT151" s="135">
        <v>11.786376000000001</v>
      </c>
      <c r="AU151" s="135">
        <v>24</v>
      </c>
      <c r="AV151" s="135">
        <v>7.0805018972944493</v>
      </c>
      <c r="BB151" s="205" t="s">
        <v>529</v>
      </c>
      <c r="BC151" s="135">
        <v>4.5544838461538397</v>
      </c>
      <c r="BD151" s="135">
        <v>8.3619923076923062</v>
      </c>
      <c r="BE151" s="135">
        <v>0.35543311921713872</v>
      </c>
      <c r="BF151" s="135">
        <v>0.64456688078286128</v>
      </c>
      <c r="BG151" s="135">
        <v>0.22167688144502409</v>
      </c>
      <c r="BH151" s="135">
        <v>7.8746595543532832E-2</v>
      </c>
      <c r="BI151" s="135">
        <v>12.916476153846146</v>
      </c>
      <c r="BJ151" s="135">
        <v>38.92307692307692</v>
      </c>
      <c r="BK151" s="135">
        <v>8.7194890312634517</v>
      </c>
      <c r="BR151" s="272"/>
      <c r="BV151" s="205" t="s">
        <v>529</v>
      </c>
      <c r="BW151" s="135">
        <v>3.7229560000000048</v>
      </c>
      <c r="BX151" s="135">
        <v>3.983003999999994</v>
      </c>
      <c r="BY151" s="135">
        <v>0.48689484952929957</v>
      </c>
      <c r="BZ151" s="135">
        <v>0.51310515047070049</v>
      </c>
      <c r="CA151" s="135">
        <v>0.27013548121013981</v>
      </c>
      <c r="CB151" s="135">
        <v>0.13180020678747809</v>
      </c>
      <c r="CC151" s="135">
        <v>7.7059599999999993</v>
      </c>
      <c r="CD151" s="135">
        <v>27.6</v>
      </c>
      <c r="CE151" s="135">
        <v>7.4503038181772299</v>
      </c>
      <c r="CK151" s="205" t="s">
        <v>529</v>
      </c>
      <c r="CL151" s="135">
        <v>4.4882699999999955</v>
      </c>
      <c r="CM151" s="135">
        <v>4.7364750000000226</v>
      </c>
      <c r="CN151" s="135">
        <v>0.48790676181248455</v>
      </c>
      <c r="CO151" s="135">
        <v>0.51209323818751529</v>
      </c>
      <c r="CP151" s="135">
        <v>0.22436867548613584</v>
      </c>
      <c r="CQ151" s="135">
        <v>0.10885726815910907</v>
      </c>
      <c r="CR151" s="135">
        <v>9.2247450000000182</v>
      </c>
      <c r="CS151" s="135">
        <v>39.666666666666664</v>
      </c>
      <c r="CT151" s="135">
        <v>8.6919320496753549</v>
      </c>
    </row>
    <row r="152" spans="4:98" x14ac:dyDescent="0.35">
      <c r="D152" s="196" t="s">
        <v>549</v>
      </c>
      <c r="E152" s="135">
        <v>4.0292216666666683</v>
      </c>
      <c r="F152" s="135">
        <v>5.5292699999999995</v>
      </c>
      <c r="G152" s="135">
        <v>0.43952134813526106</v>
      </c>
      <c r="H152" s="135">
        <v>0.560478651864739</v>
      </c>
      <c r="I152" s="135">
        <v>0.25237034566731331</v>
      </c>
      <c r="J152" s="135">
        <v>0.10734607667312386</v>
      </c>
      <c r="K152" s="135">
        <v>9.5584916666666668</v>
      </c>
      <c r="L152" s="135">
        <v>32.083333333333336</v>
      </c>
      <c r="M152" s="135">
        <v>7.9684155598985953</v>
      </c>
      <c r="AM152" s="196" t="s">
        <v>549</v>
      </c>
      <c r="AN152" s="135">
        <v>3.5972816666666692</v>
      </c>
      <c r="AO152" s="135">
        <v>7.426523333333332</v>
      </c>
      <c r="AP152" s="135">
        <v>0.32709730255093405</v>
      </c>
      <c r="AQ152" s="135">
        <v>0.67290269744906606</v>
      </c>
      <c r="AR152" s="135">
        <v>0.2800933440522097</v>
      </c>
      <c r="AS152" s="135">
        <v>9.0849917047408454E-2</v>
      </c>
      <c r="AT152" s="135">
        <v>11.023805000000001</v>
      </c>
      <c r="AU152" s="135">
        <v>28.166666666666668</v>
      </c>
      <c r="AV152" s="135">
        <v>7.8593326281976177</v>
      </c>
      <c r="BR152" s="272"/>
      <c r="BV152" s="196" t="s">
        <v>549</v>
      </c>
      <c r="BW152" s="135">
        <v>4.4611616666666682</v>
      </c>
      <c r="BX152" s="135">
        <v>3.6320166666666651</v>
      </c>
      <c r="BY152" s="135">
        <v>0.55194539371958806</v>
      </c>
      <c r="BZ152" s="135">
        <v>0.44805460628041183</v>
      </c>
      <c r="CA152" s="135">
        <v>0.22464734728241689</v>
      </c>
      <c r="CB152" s="135">
        <v>0.12384223629883927</v>
      </c>
      <c r="CC152" s="135">
        <v>8.0931783333333343</v>
      </c>
      <c r="CD152" s="135">
        <v>36</v>
      </c>
      <c r="CE152" s="135">
        <v>8.0774984915995738</v>
      </c>
    </row>
    <row r="153" spans="4:98" x14ac:dyDescent="0.35">
      <c r="D153" s="205" t="s">
        <v>529</v>
      </c>
      <c r="E153" s="135">
        <v>3.4128216666666682</v>
      </c>
      <c r="F153" s="289">
        <v>6.1957316666666626</v>
      </c>
      <c r="G153" s="135">
        <v>0.38602885328704883</v>
      </c>
      <c r="H153" s="135">
        <v>0.61397114671295105</v>
      </c>
      <c r="I153" s="135">
        <v>0.29961561979995682</v>
      </c>
      <c r="J153" s="135">
        <v>0.11020922769453471</v>
      </c>
      <c r="K153" s="135">
        <v>9.6085533333333313</v>
      </c>
      <c r="L153" s="135">
        <v>26.5</v>
      </c>
      <c r="M153" s="135">
        <v>7.7331898552516938</v>
      </c>
      <c r="AM153" s="205" t="s">
        <v>529</v>
      </c>
      <c r="AN153" s="135">
        <v>3.0452283333333319</v>
      </c>
      <c r="AO153" s="135">
        <v>8.7450799999999962</v>
      </c>
      <c r="AP153" s="135">
        <v>0.26177626647692187</v>
      </c>
      <c r="AQ153" s="135">
        <v>0.73822373352307802</v>
      </c>
      <c r="AR153" s="135">
        <v>0.33449504177357747</v>
      </c>
      <c r="AS153" s="135">
        <v>8.5427522179011062E-2</v>
      </c>
      <c r="AT153" s="135">
        <v>11.790308333333329</v>
      </c>
      <c r="AU153" s="135">
        <v>22.5</v>
      </c>
      <c r="AV153" s="135">
        <v>7.3975274744918655</v>
      </c>
      <c r="BR153" s="272"/>
      <c r="BV153" s="205" t="s">
        <v>529</v>
      </c>
      <c r="BW153" s="135">
        <v>3.780415000000005</v>
      </c>
      <c r="BX153" s="135">
        <v>3.6463833333333278</v>
      </c>
      <c r="BY153" s="135">
        <v>0.51028144009717558</v>
      </c>
      <c r="BZ153" s="135">
        <v>0.48971855990282442</v>
      </c>
      <c r="CA153" s="135">
        <v>0.26473619782633617</v>
      </c>
      <c r="CB153" s="135">
        <v>0.13499093321005839</v>
      </c>
      <c r="CC153" s="135">
        <v>7.4267983333333332</v>
      </c>
      <c r="CD153" s="135">
        <v>30.5</v>
      </c>
      <c r="CE153" s="135">
        <v>8.0688522360115229</v>
      </c>
    </row>
    <row r="154" spans="4:98" x14ac:dyDescent="0.35">
      <c r="D154" s="196"/>
      <c r="AM154" s="196"/>
      <c r="BR154" s="272"/>
      <c r="BV154" s="196"/>
    </row>
    <row r="155" spans="4:98" x14ac:dyDescent="0.35">
      <c r="D155" s="205" t="s">
        <v>577</v>
      </c>
      <c r="S155" s="205" t="s">
        <v>577</v>
      </c>
      <c r="AM155" s="205" t="s">
        <v>577</v>
      </c>
      <c r="BB155" s="205" t="s">
        <v>577</v>
      </c>
      <c r="BR155" s="272"/>
      <c r="BV155" s="205" t="s">
        <v>577</v>
      </c>
      <c r="CK155" s="205" t="s">
        <v>577</v>
      </c>
    </row>
    <row r="156" spans="4:98" x14ac:dyDescent="0.35">
      <c r="D156" s="196" t="s">
        <v>530</v>
      </c>
      <c r="E156" s="135">
        <f>1-((E139-E139)/E139)</f>
        <v>1</v>
      </c>
      <c r="F156" s="135">
        <f t="shared" ref="F156:M156" si="219">1-((F139-F139)/F139)</f>
        <v>1</v>
      </c>
      <c r="G156" s="135">
        <f t="shared" si="219"/>
        <v>1</v>
      </c>
      <c r="H156" s="135">
        <f t="shared" si="219"/>
        <v>1</v>
      </c>
      <c r="I156" s="135">
        <f t="shared" si="219"/>
        <v>1</v>
      </c>
      <c r="J156" s="135">
        <f t="shared" si="219"/>
        <v>1</v>
      </c>
      <c r="K156" s="135">
        <f t="shared" si="219"/>
        <v>1</v>
      </c>
      <c r="L156" s="135">
        <f t="shared" si="219"/>
        <v>1</v>
      </c>
      <c r="M156" s="135">
        <f t="shared" si="219"/>
        <v>1</v>
      </c>
      <c r="S156" s="196" t="s">
        <v>530</v>
      </c>
      <c r="T156" s="135">
        <f>1-((T139-T139)/T139)</f>
        <v>1</v>
      </c>
      <c r="U156" s="135">
        <f t="shared" ref="U156:AB156" si="220">1-((U139-U139)/U139)</f>
        <v>1</v>
      </c>
      <c r="V156" s="135">
        <f t="shared" si="220"/>
        <v>1</v>
      </c>
      <c r="W156" s="135">
        <f t="shared" si="220"/>
        <v>1</v>
      </c>
      <c r="X156" s="135">
        <f t="shared" si="220"/>
        <v>1</v>
      </c>
      <c r="Y156" s="135">
        <f t="shared" si="220"/>
        <v>1</v>
      </c>
      <c r="Z156" s="135">
        <f t="shared" si="220"/>
        <v>1</v>
      </c>
      <c r="AA156" s="135">
        <f t="shared" si="220"/>
        <v>1</v>
      </c>
      <c r="AB156" s="135">
        <f t="shared" si="220"/>
        <v>1</v>
      </c>
      <c r="AM156" s="196" t="s">
        <v>530</v>
      </c>
      <c r="AN156" s="135">
        <f>1-((AN139-AN139)/AN139)</f>
        <v>1</v>
      </c>
      <c r="AO156" s="135">
        <f t="shared" ref="AO156:AV156" si="221">1-((AO139-AO139)/AO139)</f>
        <v>1</v>
      </c>
      <c r="AP156" s="135">
        <f t="shared" si="221"/>
        <v>1</v>
      </c>
      <c r="AQ156" s="135">
        <f t="shared" si="221"/>
        <v>1</v>
      </c>
      <c r="AR156" s="135">
        <f t="shared" si="221"/>
        <v>1</v>
      </c>
      <c r="AS156" s="135">
        <f t="shared" si="221"/>
        <v>1</v>
      </c>
      <c r="AT156" s="135">
        <f t="shared" si="221"/>
        <v>1</v>
      </c>
      <c r="AU156" s="135">
        <f t="shared" si="221"/>
        <v>1</v>
      </c>
      <c r="AV156" s="135">
        <f t="shared" si="221"/>
        <v>1</v>
      </c>
      <c r="BB156" s="196" t="s">
        <v>530</v>
      </c>
      <c r="BC156" s="135">
        <f>1-((BC139-BC139)/BC139)</f>
        <v>1</v>
      </c>
      <c r="BD156" s="135">
        <f t="shared" ref="BD156:BK156" si="222">1-((BD139-BD139)/BD139)</f>
        <v>1</v>
      </c>
      <c r="BE156" s="135">
        <f t="shared" si="222"/>
        <v>1</v>
      </c>
      <c r="BF156" s="135">
        <f t="shared" si="222"/>
        <v>1</v>
      </c>
      <c r="BG156" s="135">
        <f t="shared" si="222"/>
        <v>1</v>
      </c>
      <c r="BH156" s="135">
        <f t="shared" si="222"/>
        <v>1</v>
      </c>
      <c r="BI156" s="135">
        <f t="shared" si="222"/>
        <v>1</v>
      </c>
      <c r="BJ156" s="135">
        <f t="shared" si="222"/>
        <v>1</v>
      </c>
      <c r="BK156" s="135">
        <f t="shared" si="222"/>
        <v>1</v>
      </c>
      <c r="BR156" s="272"/>
      <c r="BV156" s="196" t="s">
        <v>530</v>
      </c>
      <c r="BW156" s="135">
        <f>1-((BW139-BW139)/BW139)</f>
        <v>1</v>
      </c>
      <c r="BX156" s="135">
        <f t="shared" ref="BX156:CE156" si="223">1-((BX139-BX139)/BX139)</f>
        <v>1</v>
      </c>
      <c r="BY156" s="135">
        <f t="shared" si="223"/>
        <v>1</v>
      </c>
      <c r="BZ156" s="135">
        <f t="shared" si="223"/>
        <v>1</v>
      </c>
      <c r="CA156" s="135">
        <f t="shared" si="223"/>
        <v>1</v>
      </c>
      <c r="CB156" s="135">
        <f t="shared" si="223"/>
        <v>1</v>
      </c>
      <c r="CC156" s="135">
        <f t="shared" si="223"/>
        <v>1</v>
      </c>
      <c r="CD156" s="135">
        <f t="shared" si="223"/>
        <v>1</v>
      </c>
      <c r="CE156" s="135">
        <f t="shared" si="223"/>
        <v>1</v>
      </c>
      <c r="CK156" s="196" t="s">
        <v>530</v>
      </c>
      <c r="CL156" s="135">
        <f>1-((CL139-CL139)/CL139)</f>
        <v>1</v>
      </c>
      <c r="CM156" s="135">
        <f t="shared" ref="CM156:CT156" si="224">1-((CM139-CM139)/CM139)</f>
        <v>1</v>
      </c>
      <c r="CN156" s="135">
        <f t="shared" si="224"/>
        <v>1</v>
      </c>
      <c r="CO156" s="135">
        <f t="shared" si="224"/>
        <v>1</v>
      </c>
      <c r="CP156" s="135">
        <f t="shared" si="224"/>
        <v>1</v>
      </c>
      <c r="CQ156" s="135">
        <f t="shared" si="224"/>
        <v>1</v>
      </c>
      <c r="CR156" s="135">
        <f t="shared" si="224"/>
        <v>1</v>
      </c>
      <c r="CS156" s="135">
        <f t="shared" si="224"/>
        <v>1</v>
      </c>
      <c r="CT156" s="135">
        <f t="shared" si="224"/>
        <v>1</v>
      </c>
    </row>
    <row r="157" spans="4:98" x14ac:dyDescent="0.35">
      <c r="D157" s="196" t="s">
        <v>536</v>
      </c>
      <c r="E157" s="135">
        <f>1-((E139-E140)/E139)</f>
        <v>0.93653507344024867</v>
      </c>
      <c r="F157" s="135">
        <f t="shared" ref="F157:M157" si="225">1-((F139-F140)/F139)</f>
        <v>0.52490994886582865</v>
      </c>
      <c r="G157" s="135">
        <f t="shared" si="225"/>
        <v>1.5811953274131179</v>
      </c>
      <c r="H157" s="135">
        <f t="shared" si="225"/>
        <v>0.82292106469658877</v>
      </c>
      <c r="I157" s="135">
        <f t="shared" si="225"/>
        <v>1.0613174564704364</v>
      </c>
      <c r="J157" s="135">
        <f t="shared" si="225"/>
        <v>1.6727564961741312</v>
      </c>
      <c r="K157" s="135">
        <f t="shared" si="225"/>
        <v>0.62087789439251728</v>
      </c>
      <c r="L157" s="135">
        <f t="shared" si="225"/>
        <v>1.1425049309664694</v>
      </c>
      <c r="M157" s="135">
        <f t="shared" si="225"/>
        <v>1.2087293629455709</v>
      </c>
      <c r="S157" s="205" t="s">
        <v>539</v>
      </c>
      <c r="T157" s="135">
        <f>1-((T139-T140)/T139)</f>
        <v>1.077845996382055</v>
      </c>
      <c r="U157" s="135">
        <f t="shared" ref="U157:AB157" si="226">1-((U139-U140)/U139)</f>
        <v>0.9688009392943705</v>
      </c>
      <c r="V157" s="135">
        <f t="shared" si="226"/>
        <v>1.052425934460234</v>
      </c>
      <c r="W157" s="135">
        <f t="shared" si="226"/>
        <v>0.9637726531918217</v>
      </c>
      <c r="X157" s="135">
        <f t="shared" si="226"/>
        <v>0.90138602371017407</v>
      </c>
      <c r="Y157" s="135">
        <f t="shared" si="226"/>
        <v>0.97835999507072113</v>
      </c>
      <c r="Z157" s="135">
        <f t="shared" si="226"/>
        <v>1.0112064065331028</v>
      </c>
      <c r="AA157" s="135">
        <f t="shared" si="226"/>
        <v>1.4222343921139102</v>
      </c>
      <c r="AB157" s="135">
        <f t="shared" si="226"/>
        <v>1.3345700058003174</v>
      </c>
      <c r="AM157" s="196" t="s">
        <v>536</v>
      </c>
      <c r="AN157" s="135">
        <f>1-((AN139-AN140)/AN139)</f>
        <v>0.89405724549127608</v>
      </c>
      <c r="AO157" s="135">
        <f t="shared" ref="AO157:AV157" si="227">1-((AO139-AO140)/AO139)</f>
        <v>0.6949090449499794</v>
      </c>
      <c r="AP157" s="135">
        <f t="shared" si="227"/>
        <v>1.2052290297211714</v>
      </c>
      <c r="AQ157" s="135">
        <f t="shared" si="227"/>
        <v>0.9374706981246167</v>
      </c>
      <c r="AR157" s="135">
        <f t="shared" si="227"/>
        <v>1.1156738955668681</v>
      </c>
      <c r="AS157" s="135">
        <f t="shared" si="227"/>
        <v>1.3486647302736108</v>
      </c>
      <c r="AT157" s="135">
        <f t="shared" si="227"/>
        <v>0.74133926147537976</v>
      </c>
      <c r="AU157" s="135">
        <f t="shared" si="227"/>
        <v>1.0493096646942801</v>
      </c>
      <c r="AV157" s="135">
        <f t="shared" si="227"/>
        <v>1.1658801418395421</v>
      </c>
      <c r="BB157" s="205" t="s">
        <v>539</v>
      </c>
      <c r="BC157" s="135">
        <f>1-((BC139-BC140)/BC139)</f>
        <v>1.1356339172030756</v>
      </c>
      <c r="BD157" s="135">
        <f t="shared" ref="BD157:BK157" si="228">1-((BD139-BD140)/BD139)</f>
        <v>0.97925733717059338</v>
      </c>
      <c r="BE157" s="135">
        <f t="shared" si="228"/>
        <v>1.0800824974247407</v>
      </c>
      <c r="BF157" s="135">
        <f t="shared" si="228"/>
        <v>0.95996975722469968</v>
      </c>
      <c r="BG157" s="135">
        <f t="shared" si="228"/>
        <v>0.84035429373950321</v>
      </c>
      <c r="BH157" s="135">
        <f t="shared" si="228"/>
        <v>0.9380557472198795</v>
      </c>
      <c r="BI157" s="135">
        <f t="shared" si="228"/>
        <v>1.0298508666293922</v>
      </c>
      <c r="BJ157" s="135">
        <f t="shared" si="228"/>
        <v>1.4545454545454546</v>
      </c>
      <c r="BK157" s="135">
        <f t="shared" si="228"/>
        <v>1.2891852413968619</v>
      </c>
      <c r="BR157" s="272"/>
      <c r="BV157" s="196" t="s">
        <v>536</v>
      </c>
      <c r="BW157" s="135">
        <f>1-((BW139-BW140)/BW139)</f>
        <v>0.97901290138922248</v>
      </c>
      <c r="BX157" s="135">
        <f t="shared" ref="BX157:CE157" si="229">1-((BX139-BX140)/BX139)</f>
        <v>0.35491085278167778</v>
      </c>
      <c r="BY157" s="135">
        <f t="shared" si="229"/>
        <v>1.9571616251050648</v>
      </c>
      <c r="BZ157" s="135">
        <f t="shared" si="229"/>
        <v>0.70837143126856073</v>
      </c>
      <c r="CA157" s="135">
        <f t="shared" si="229"/>
        <v>1.0069610173740047</v>
      </c>
      <c r="CB157" s="135">
        <f t="shared" si="229"/>
        <v>1.9968482620746513</v>
      </c>
      <c r="CC157" s="135">
        <f t="shared" si="229"/>
        <v>0.50041652730965502</v>
      </c>
      <c r="CD157" s="135">
        <f t="shared" si="229"/>
        <v>1.2357001972386588</v>
      </c>
      <c r="CE157" s="135">
        <f t="shared" si="229"/>
        <v>1.2515785840516001</v>
      </c>
      <c r="CK157" s="205" t="s">
        <v>539</v>
      </c>
      <c r="CL157" s="135">
        <f>1-((CL139-CL140)/CL139)</f>
        <v>1.0094485620316072</v>
      </c>
      <c r="CM157" s="135">
        <f t="shared" ref="CM157:CT157" si="230">1-((CM139-CM140)/CM139)</f>
        <v>0.99497200179297351</v>
      </c>
      <c r="CN157" s="135">
        <f t="shared" si="230"/>
        <v>1.0099289695588476</v>
      </c>
      <c r="CO157" s="135">
        <f t="shared" si="230"/>
        <v>0.98970159034943472</v>
      </c>
      <c r="CP157" s="135">
        <f t="shared" si="230"/>
        <v>0.99705009505855868</v>
      </c>
      <c r="CQ157" s="135">
        <f t="shared" si="230"/>
        <v>1.0010774379057088</v>
      </c>
      <c r="CR157" s="135">
        <f t="shared" si="230"/>
        <v>1.0023441750469877</v>
      </c>
      <c r="CS157" s="135">
        <f t="shared" si="230"/>
        <v>1.3802690582959642</v>
      </c>
      <c r="CT157" s="135">
        <f t="shared" si="230"/>
        <v>1.3967349583268283</v>
      </c>
    </row>
    <row r="158" spans="4:98" x14ac:dyDescent="0.35">
      <c r="D158" s="205" t="s">
        <v>529</v>
      </c>
      <c r="E158" s="135">
        <f>1-((E139-E141)/E139)</f>
        <v>0.95751040147965583</v>
      </c>
      <c r="F158" s="135">
        <f t="shared" ref="F158:M158" si="231">1-((F139-F141)/F139)</f>
        <v>0.54177806865277223</v>
      </c>
      <c r="G158" s="135">
        <f t="shared" si="231"/>
        <v>1.5610979938387077</v>
      </c>
      <c r="H158" s="135">
        <f t="shared" si="231"/>
        <v>0.82904433214891704</v>
      </c>
      <c r="I158" s="135">
        <f t="shared" si="231"/>
        <v>1.0434278058094828</v>
      </c>
      <c r="J158" s="135">
        <f t="shared" si="231"/>
        <v>1.6268678699893129</v>
      </c>
      <c r="K158" s="135">
        <f t="shared" si="231"/>
        <v>0.63870358531471838</v>
      </c>
      <c r="L158" s="135">
        <f t="shared" si="231"/>
        <v>1.172189349112426</v>
      </c>
      <c r="M158" s="135">
        <f t="shared" si="231"/>
        <v>1.2194682005130293</v>
      </c>
      <c r="S158" s="205" t="s">
        <v>529</v>
      </c>
      <c r="T158" s="135">
        <f>1-((T139-T141)/T139)</f>
        <v>1.0034916457948153</v>
      </c>
      <c r="U158" s="135">
        <f t="shared" ref="U158:AB158" si="232">1-((U139-U141)/U139)</f>
        <v>0.87567334216119919</v>
      </c>
      <c r="V158" s="135">
        <f t="shared" si="232"/>
        <v>1.0657401827393405</v>
      </c>
      <c r="W158" s="135">
        <f t="shared" si="232"/>
        <v>0.95457224704048715</v>
      </c>
      <c r="X158" s="135">
        <f t="shared" si="232"/>
        <v>0.96475187659710315</v>
      </c>
      <c r="Y158" s="135">
        <f t="shared" si="232"/>
        <v>1.0619598195849633</v>
      </c>
      <c r="Z158" s="135">
        <f t="shared" si="232"/>
        <v>0.92537935389621251</v>
      </c>
      <c r="AA158" s="135">
        <f t="shared" si="232"/>
        <v>1.4030668127053669</v>
      </c>
      <c r="AB158" s="135">
        <f t="shared" si="232"/>
        <v>1.409231437684465</v>
      </c>
      <c r="AM158" s="205" t="s">
        <v>529</v>
      </c>
      <c r="AN158" s="135">
        <f>1-((AN139-AN141)/AN139)</f>
        <v>0.92633772606527276</v>
      </c>
      <c r="AO158" s="135">
        <f t="shared" ref="AO158:AV158" si="233">1-((AO139-AO141)/AO139)</f>
        <v>0.70776319501010909</v>
      </c>
      <c r="AP158" s="135">
        <f t="shared" si="233"/>
        <v>1.2184236306773446</v>
      </c>
      <c r="AQ158" s="135">
        <f t="shared" si="233"/>
        <v>0.93345055931952314</v>
      </c>
      <c r="AR158" s="135">
        <f t="shared" si="233"/>
        <v>1.073644191432239</v>
      </c>
      <c r="AS158" s="135">
        <f t="shared" si="233"/>
        <v>1.315268607116902</v>
      </c>
      <c r="AT158" s="135">
        <f t="shared" si="233"/>
        <v>0.7587225447619268</v>
      </c>
      <c r="AU158" s="135">
        <f t="shared" si="233"/>
        <v>1.1100591715976331</v>
      </c>
      <c r="AV158" s="135">
        <f t="shared" si="233"/>
        <v>1.1901003907111731</v>
      </c>
      <c r="BB158" s="205" t="s">
        <v>529</v>
      </c>
      <c r="BC158" s="135">
        <f>1-((BC139-BC141)/BC139)</f>
        <v>1.0451525933495764</v>
      </c>
      <c r="BD158" s="135">
        <f t="shared" ref="BD158:BK158" si="234">1-((BD139-BD141)/BD139)</f>
        <v>0.88480371460559648</v>
      </c>
      <c r="BE158" s="135">
        <f t="shared" si="234"/>
        <v>1.0868221090220016</v>
      </c>
      <c r="BF158" s="135">
        <f t="shared" si="234"/>
        <v>0.95660087766767643</v>
      </c>
      <c r="BG158" s="135">
        <f t="shared" si="234"/>
        <v>0.91566027552494234</v>
      </c>
      <c r="BH158" s="135">
        <f t="shared" si="234"/>
        <v>1.026705694981958</v>
      </c>
      <c r="BI158" s="135">
        <f t="shared" si="234"/>
        <v>0.93668242763752096</v>
      </c>
      <c r="BJ158" s="135">
        <f t="shared" si="234"/>
        <v>1.3963636363636363</v>
      </c>
      <c r="BK158" s="135">
        <f t="shared" si="234"/>
        <v>1.3467339556420239</v>
      </c>
      <c r="BR158" s="272"/>
      <c r="BV158" s="205" t="s">
        <v>529</v>
      </c>
      <c r="BW158" s="135">
        <f>1-((BW139-BW141)/BW139)</f>
        <v>0.98868307689404</v>
      </c>
      <c r="BX158" s="135">
        <f t="shared" ref="BX158:CE158" si="235">1-((BX139-BX141)/BX139)</f>
        <v>0.37579294229543558</v>
      </c>
      <c r="BY158" s="135">
        <f t="shared" si="235"/>
        <v>1.9037723570000709</v>
      </c>
      <c r="BZ158" s="135">
        <f t="shared" si="235"/>
        <v>0.72463810497831105</v>
      </c>
      <c r="CA158" s="135">
        <f t="shared" si="235"/>
        <v>1.0132114201867264</v>
      </c>
      <c r="CB158" s="135">
        <f t="shared" si="235"/>
        <v>1.9384671328617233</v>
      </c>
      <c r="CC158" s="135">
        <f t="shared" si="235"/>
        <v>0.51868462586750996</v>
      </c>
      <c r="CD158" s="135">
        <f t="shared" si="235"/>
        <v>1.2343195266272189</v>
      </c>
      <c r="CE158" s="135">
        <f t="shared" si="235"/>
        <v>1.248836010314885</v>
      </c>
      <c r="CK158" s="205" t="s">
        <v>529</v>
      </c>
      <c r="CL158" s="135">
        <f>1-((CL139-CL141)/CL139)</f>
        <v>0.95259996256493429</v>
      </c>
      <c r="CM158" s="135">
        <f t="shared" ref="CM158:CT158" si="236">1-((CM139-CM141)/CM139)</f>
        <v>0.90006197720136949</v>
      </c>
      <c r="CN158" s="135">
        <f t="shared" si="236"/>
        <v>1.0281448447575883</v>
      </c>
      <c r="CO158" s="135">
        <f t="shared" si="236"/>
        <v>0.97080793337643656</v>
      </c>
      <c r="CP158" s="135">
        <f t="shared" si="236"/>
        <v>1.0441629138861512</v>
      </c>
      <c r="CQ158" s="135">
        <f t="shared" si="236"/>
        <v>1.0789326980162408</v>
      </c>
      <c r="CR158" s="135">
        <f t="shared" si="236"/>
        <v>0.92681689163770253</v>
      </c>
      <c r="CS158" s="135">
        <f t="shared" si="236"/>
        <v>1.4044843049327351</v>
      </c>
      <c r="CT158" s="135">
        <f t="shared" si="236"/>
        <v>1.493393161473255</v>
      </c>
    </row>
    <row r="159" spans="4:98" x14ac:dyDescent="0.35">
      <c r="D159" s="196" t="s">
        <v>538</v>
      </c>
      <c r="E159" s="135">
        <f>1-((E139-E142)/E139)</f>
        <v>0.95226969189175437</v>
      </c>
      <c r="F159" s="135">
        <f t="shared" ref="F159:M159" si="237">1-((F139-F142)/F139)</f>
        <v>0.44733588348300812</v>
      </c>
      <c r="G159" s="135">
        <f t="shared" si="237"/>
        <v>1.7709381910815107</v>
      </c>
      <c r="H159" s="135">
        <f t="shared" si="237"/>
        <v>0.76511009703212107</v>
      </c>
      <c r="I159" s="135">
        <f t="shared" si="237"/>
        <v>1.0491100991700477</v>
      </c>
      <c r="J159" s="135">
        <f t="shared" si="237"/>
        <v>1.8417268910854196</v>
      </c>
      <c r="K159" s="135">
        <f t="shared" si="237"/>
        <v>0.56505819275665681</v>
      </c>
      <c r="L159" s="135">
        <f t="shared" si="237"/>
        <v>1.1374601729631315</v>
      </c>
      <c r="M159" s="135">
        <f t="shared" si="237"/>
        <v>1.1858390472870244</v>
      </c>
      <c r="S159" s="205" t="s">
        <v>537</v>
      </c>
      <c r="T159" s="135">
        <f>1-((T139-T142)/T139)</f>
        <v>1.0598334575903459</v>
      </c>
      <c r="U159" s="135">
        <f t="shared" ref="U159:AB159" si="238">1-((U139-U142)/U139)</f>
        <v>0.97458050061475787</v>
      </c>
      <c r="V159" s="135">
        <f t="shared" si="238"/>
        <v>1.0453624220665736</v>
      </c>
      <c r="W159" s="135">
        <f t="shared" si="238"/>
        <v>0.9686536785050297</v>
      </c>
      <c r="X159" s="135">
        <f t="shared" si="238"/>
        <v>0.91355633920089085</v>
      </c>
      <c r="Y159" s="135">
        <f t="shared" si="238"/>
        <v>0.99350809323674882</v>
      </c>
      <c r="Z159" s="135">
        <f t="shared" si="238"/>
        <v>1.0077336904115806</v>
      </c>
      <c r="AA159" s="135">
        <f t="shared" si="238"/>
        <v>1.5065717415115003</v>
      </c>
      <c r="AB159" s="135">
        <f t="shared" si="238"/>
        <v>1.4343329474857134</v>
      </c>
      <c r="AM159" s="196" t="s">
        <v>538</v>
      </c>
      <c r="AN159" s="135">
        <f>1-((AN139-AN142)/AN139)</f>
        <v>0.89591166094966534</v>
      </c>
      <c r="AO159" s="135">
        <f t="shared" ref="AO159:AV159" si="239">1-((AO139-AO142)/AO139)</f>
        <v>0.62336297702982701</v>
      </c>
      <c r="AP159" s="135">
        <f t="shared" si="239"/>
        <v>1.3012220384697071</v>
      </c>
      <c r="AQ159" s="135">
        <f t="shared" si="239"/>
        <v>0.90822349157631055</v>
      </c>
      <c r="AR159" s="135">
        <f t="shared" si="239"/>
        <v>1.1126352598488767</v>
      </c>
      <c r="AS159" s="135">
        <f t="shared" si="239"/>
        <v>1.4533644206401946</v>
      </c>
      <c r="AT159" s="135">
        <f t="shared" si="239"/>
        <v>0.6869060789695649</v>
      </c>
      <c r="AU159" s="135">
        <f t="shared" si="239"/>
        <v>1.0631163708086786</v>
      </c>
      <c r="AV159" s="135">
        <f t="shared" si="239"/>
        <v>1.1814555634023038</v>
      </c>
      <c r="BB159" s="205" t="s">
        <v>537</v>
      </c>
      <c r="BC159" s="135">
        <f>1-((BC139-BC142)/BC139)</f>
        <v>1.1439363983453317</v>
      </c>
      <c r="BD159" s="135">
        <f t="shared" ref="BD159:BK159" si="240">1-((BD139-BD142)/BD139)</f>
        <v>0.94376884930588856</v>
      </c>
      <c r="BE159" s="135">
        <f t="shared" si="240"/>
        <v>1.1218679598589429</v>
      </c>
      <c r="BF159" s="135">
        <f t="shared" si="240"/>
        <v>0.93908276868776919</v>
      </c>
      <c r="BG159" s="135">
        <f t="shared" si="240"/>
        <v>0.83830861331819218</v>
      </c>
      <c r="BH159" s="135">
        <f t="shared" si="240"/>
        <v>0.96985528826501477</v>
      </c>
      <c r="BI159" s="135">
        <f t="shared" si="240"/>
        <v>1.0085303550692135</v>
      </c>
      <c r="BJ159" s="135">
        <f t="shared" si="240"/>
        <v>1.545974025974026</v>
      </c>
      <c r="BK159" s="135">
        <f t="shared" si="240"/>
        <v>1.360286892261418</v>
      </c>
      <c r="BR159" s="272"/>
      <c r="BV159" s="196" t="s">
        <v>538</v>
      </c>
      <c r="BW159" s="135">
        <f>1-((BW139-BW142)/BW139)</f>
        <v>1.0005765755564029</v>
      </c>
      <c r="BX159" s="135">
        <f t="shared" ref="BX159:CE159" si="241">1-((BX139-BX142)/BX139)</f>
        <v>0.29645551758573485</v>
      </c>
      <c r="BY159" s="135">
        <f t="shared" si="241"/>
        <v>2.1735520361773428</v>
      </c>
      <c r="BZ159" s="135">
        <f t="shared" si="241"/>
        <v>0.64244147313710154</v>
      </c>
      <c r="CA159" s="135">
        <f t="shared" si="241"/>
        <v>0.99465996144533708</v>
      </c>
      <c r="CB159" s="135">
        <f t="shared" si="241"/>
        <v>2.1746090086098984</v>
      </c>
      <c r="CC159" s="135">
        <f t="shared" si="241"/>
        <v>0.46061714743130677</v>
      </c>
      <c r="CD159" s="135">
        <f t="shared" si="241"/>
        <v>1.2011834319526629</v>
      </c>
      <c r="CE159" s="135">
        <f t="shared" si="241"/>
        <v>1.1895963191882131</v>
      </c>
      <c r="CK159" s="205" t="s">
        <v>537</v>
      </c>
      <c r="CL159" s="135">
        <f>1-((CL139-CL142)/CL139)</f>
        <v>0.95378726186801044</v>
      </c>
      <c r="CM159" s="135">
        <f t="shared" ref="CM159:CT159" si="242">1-((CM139-CM142)/CM139)</f>
        <v>0.91987390906125777</v>
      </c>
      <c r="CN159" s="135">
        <f t="shared" si="242"/>
        <v>1.0222015388152159</v>
      </c>
      <c r="CO159" s="135">
        <f t="shared" si="242"/>
        <v>0.97697237963749395</v>
      </c>
      <c r="CP159" s="135">
        <f t="shared" si="242"/>
        <v>1.0395857066389611</v>
      </c>
      <c r="CQ159" s="135">
        <f t="shared" si="242"/>
        <v>1.0683573094531762</v>
      </c>
      <c r="CR159" s="135">
        <f t="shared" si="242"/>
        <v>0.93714424872721491</v>
      </c>
      <c r="CS159" s="135">
        <f t="shared" si="242"/>
        <v>1.4630044843049328</v>
      </c>
      <c r="CT159" s="135">
        <f t="shared" si="242"/>
        <v>1.5564561902578431</v>
      </c>
    </row>
    <row r="160" spans="4:98" x14ac:dyDescent="0.35">
      <c r="D160" s="205" t="s">
        <v>529</v>
      </c>
      <c r="E160" s="135">
        <f>1-((E139-E143)/E139)</f>
        <v>0.90608482377814292</v>
      </c>
      <c r="F160" s="135">
        <f t="shared" ref="F160:M160" si="243">1-((F139-F143)/F139)</f>
        <v>0.50914579712305852</v>
      </c>
      <c r="G160" s="135">
        <f t="shared" si="243"/>
        <v>1.5710116904611173</v>
      </c>
      <c r="H160" s="135">
        <f t="shared" si="243"/>
        <v>0.82602382121220486</v>
      </c>
      <c r="I160" s="135">
        <f t="shared" si="243"/>
        <v>1.1210196532898662</v>
      </c>
      <c r="J160" s="135">
        <f t="shared" si="243"/>
        <v>1.7024566134171808</v>
      </c>
      <c r="K160" s="135">
        <f t="shared" si="243"/>
        <v>0.60168976641268057</v>
      </c>
      <c r="L160" s="135">
        <f t="shared" si="243"/>
        <v>1.1108122646584184</v>
      </c>
      <c r="M160" s="135">
        <f t="shared" si="243"/>
        <v>1.2207217077627437</v>
      </c>
      <c r="S160" s="205" t="s">
        <v>529</v>
      </c>
      <c r="T160" s="135">
        <f>1-((T139-T143)/T139)</f>
        <v>0.99345334232355542</v>
      </c>
      <c r="U160" s="135">
        <f t="shared" ref="U160:AB160" si="244">1-((U139-U143)/U139)</f>
        <v>0.94540367601575093</v>
      </c>
      <c r="V160" s="135">
        <f t="shared" si="244"/>
        <v>1.0245003216899193</v>
      </c>
      <c r="W160" s="135">
        <f t="shared" si="244"/>
        <v>0.98306979818460116</v>
      </c>
      <c r="X160" s="135">
        <f t="shared" si="244"/>
        <v>0.9891696108084127</v>
      </c>
      <c r="Y160" s="135">
        <f t="shared" si="244"/>
        <v>1.0299840808128815</v>
      </c>
      <c r="Z160" s="135">
        <f t="shared" si="244"/>
        <v>0.96408924145875119</v>
      </c>
      <c r="AA160" s="135">
        <f t="shared" si="244"/>
        <v>1.4927710843373494</v>
      </c>
      <c r="AB160" s="135">
        <f t="shared" si="244"/>
        <v>1.5170154415230268</v>
      </c>
      <c r="AM160" s="205" t="s">
        <v>529</v>
      </c>
      <c r="AN160" s="135">
        <f>1-((AN139-AN143)/AN139)</f>
        <v>0.80651923569924167</v>
      </c>
      <c r="AO160" s="135">
        <f t="shared" ref="AO160:AV160" si="245">1-((AO139-AO143)/AO139)</f>
        <v>0.65144149904822979</v>
      </c>
      <c r="AP160" s="135">
        <f t="shared" si="245"/>
        <v>1.174931947865699</v>
      </c>
      <c r="AQ160" s="135">
        <f t="shared" si="245"/>
        <v>0.94670163090180648</v>
      </c>
      <c r="AR160" s="135">
        <f t="shared" si="245"/>
        <v>1.2354310176750385</v>
      </c>
      <c r="AS160" s="135">
        <f t="shared" si="245"/>
        <v>1.4515723201497668</v>
      </c>
      <c r="AT160" s="135">
        <f t="shared" si="245"/>
        <v>0.68759694946859362</v>
      </c>
      <c r="AU160" s="135">
        <f t="shared" si="245"/>
        <v>0.96646942800788949</v>
      </c>
      <c r="AV160" s="135">
        <f t="shared" si="245"/>
        <v>1.1952400011184638</v>
      </c>
      <c r="BB160" s="205" t="s">
        <v>529</v>
      </c>
      <c r="BC160" s="135">
        <f>1-((BC139-BC143)/BC139)</f>
        <v>0.99925000467345182</v>
      </c>
      <c r="BD160" s="135">
        <f t="shared" ref="BD160:BK160" si="246">1-((BD139-BD143)/BD139)</f>
        <v>1.0123182409268228</v>
      </c>
      <c r="BE160" s="135">
        <f t="shared" si="246"/>
        <v>0.96321111713889873</v>
      </c>
      <c r="BF160" s="135">
        <f t="shared" si="246"/>
        <v>1.0183893854427548</v>
      </c>
      <c r="BG160" s="135">
        <f t="shared" si="246"/>
        <v>0.9793220375294055</v>
      </c>
      <c r="BH160" s="135">
        <f t="shared" si="246"/>
        <v>0.96052435676921033</v>
      </c>
      <c r="BI160" s="135">
        <f t="shared" si="246"/>
        <v>1.0080901896692613</v>
      </c>
      <c r="BJ160" s="135">
        <f t="shared" si="246"/>
        <v>1.4138181818181816</v>
      </c>
      <c r="BK160" s="135">
        <f t="shared" si="246"/>
        <v>1.4322735488774558</v>
      </c>
      <c r="BR160" s="272"/>
      <c r="BV160" s="205" t="s">
        <v>529</v>
      </c>
      <c r="BW160" s="135">
        <f>1-((BW139-BW143)/BW139)</f>
        <v>1.0255635294728254</v>
      </c>
      <c r="BX160" s="135">
        <f t="shared" ref="BX160:CE160" si="247">1-((BX139-BX143)/BX139)</f>
        <v>0.33839095481285308</v>
      </c>
      <c r="BY160" s="135">
        <f t="shared" si="247"/>
        <v>2.0463073815756188</v>
      </c>
      <c r="BZ160" s="135">
        <f t="shared" si="247"/>
        <v>0.68121044958468324</v>
      </c>
      <c r="CA160" s="135">
        <f t="shared" si="247"/>
        <v>0.98372601602765941</v>
      </c>
      <c r="CB160" s="135">
        <f t="shared" si="247"/>
        <v>2.0035177653380773</v>
      </c>
      <c r="CC160" s="135">
        <f t="shared" si="247"/>
        <v>0.49860114674558509</v>
      </c>
      <c r="CD160" s="135">
        <f t="shared" si="247"/>
        <v>1.2840236686390534</v>
      </c>
      <c r="CE160" s="135">
        <f t="shared" si="247"/>
        <v>1.2512997557358796</v>
      </c>
      <c r="CK160" s="205" t="s">
        <v>529</v>
      </c>
      <c r="CL160" s="135">
        <f>1-((CL139-CL143)/CL139)</f>
        <v>0.97101349363968625</v>
      </c>
      <c r="CM160" s="135">
        <f t="shared" ref="CM160:CT160" si="248">1-((CM139-CM143)/CM139)</f>
        <v>0.94011650301271721</v>
      </c>
      <c r="CN160" s="135">
        <f t="shared" si="248"/>
        <v>1.014066146364065</v>
      </c>
      <c r="CO160" s="135">
        <f t="shared" si="248"/>
        <v>0.9854104762227951</v>
      </c>
      <c r="CP160" s="135">
        <f t="shared" si="248"/>
        <v>1.0261912971156693</v>
      </c>
      <c r="CQ160" s="135">
        <f t="shared" si="248"/>
        <v>1.0461665805063651</v>
      </c>
      <c r="CR160" s="135">
        <f t="shared" si="248"/>
        <v>0.95585076337394581</v>
      </c>
      <c r="CS160" s="135">
        <f t="shared" si="248"/>
        <v>1.5497757847533631</v>
      </c>
      <c r="CT160" s="135">
        <f t="shared" si="248"/>
        <v>1.6195216704261126</v>
      </c>
    </row>
    <row r="161" spans="1:117" x14ac:dyDescent="0.35">
      <c r="D161" s="196" t="s">
        <v>553</v>
      </c>
      <c r="E161" s="135">
        <f>1-((E139-E144)/E139)</f>
        <v>1.013706015667881</v>
      </c>
      <c r="F161" s="135">
        <f t="shared" ref="F161:M161" si="249">1-((F139-F144)/F139)</f>
        <v>0.65693145854377211</v>
      </c>
      <c r="G161" s="135">
        <f t="shared" si="249"/>
        <v>1.4734429135727769</v>
      </c>
      <c r="H161" s="135">
        <f t="shared" si="249"/>
        <v>0.85575113372716349</v>
      </c>
      <c r="I161" s="135">
        <f t="shared" si="249"/>
        <v>0.97439406288870345</v>
      </c>
      <c r="J161" s="135">
        <f t="shared" si="249"/>
        <v>1.4680242334526983</v>
      </c>
      <c r="K161" s="135">
        <f t="shared" si="249"/>
        <v>0.74011132104316335</v>
      </c>
      <c r="L161" s="135">
        <f t="shared" si="249"/>
        <v>1.141354372123603</v>
      </c>
      <c r="M161" s="135">
        <f t="shared" si="249"/>
        <v>1.1175189586975811</v>
      </c>
      <c r="S161" s="205" t="s">
        <v>534</v>
      </c>
      <c r="T161" s="135">
        <f>1-((T139-T144)/T139)</f>
        <v>0.98699770350233818</v>
      </c>
      <c r="U161" s="135">
        <f t="shared" ref="U161:AB161" si="250">1-((U139-U144)/U139)</f>
        <v>0.92643948703156775</v>
      </c>
      <c r="V161" s="135">
        <f t="shared" si="250"/>
        <v>1.0359671669609281</v>
      </c>
      <c r="W161" s="135">
        <f t="shared" si="250"/>
        <v>0.97514598366979</v>
      </c>
      <c r="X161" s="135">
        <f t="shared" si="250"/>
        <v>0.98450698598161013</v>
      </c>
      <c r="Y161" s="135">
        <f t="shared" si="250"/>
        <v>1.0487717801448539</v>
      </c>
      <c r="Z161" s="135">
        <f t="shared" si="250"/>
        <v>0.94998938037998759</v>
      </c>
      <c r="AA161" s="135">
        <f t="shared" si="250"/>
        <v>1.5372398685651696</v>
      </c>
      <c r="AB161" s="135">
        <f t="shared" si="250"/>
        <v>1.5689485410266406</v>
      </c>
      <c r="AM161" s="196" t="s">
        <v>553</v>
      </c>
      <c r="AN161" s="135">
        <f>1-((AN139-AN144)/AN139)</f>
        <v>1.0348523409816872</v>
      </c>
      <c r="AO161" s="135">
        <f t="shared" ref="AO161:AV161" si="251">1-((AO139-AO144)/AO139)</f>
        <v>0.82065194481148129</v>
      </c>
      <c r="AP161" s="135">
        <f t="shared" si="251"/>
        <v>1.1980573479406531</v>
      </c>
      <c r="AQ161" s="135">
        <f t="shared" si="251"/>
        <v>0.93965577036131487</v>
      </c>
      <c r="AR161" s="135">
        <f t="shared" si="251"/>
        <v>0.95491487593689073</v>
      </c>
      <c r="AS161" s="135">
        <f t="shared" si="251"/>
        <v>1.1614524679592184</v>
      </c>
      <c r="AT161" s="135">
        <f t="shared" si="251"/>
        <v>0.87059149107389855</v>
      </c>
      <c r="AU161" s="135">
        <f t="shared" si="251"/>
        <v>1.1528599605522682</v>
      </c>
      <c r="AV161" s="135">
        <f t="shared" si="251"/>
        <v>1.1061701419542347</v>
      </c>
      <c r="BB161" s="205" t="s">
        <v>534</v>
      </c>
      <c r="BC161" s="135">
        <f>1-((BC139-BC144)/BC139)</f>
        <v>1.0048986068963524</v>
      </c>
      <c r="BD161" s="135">
        <f t="shared" ref="BD161:BK161" si="252">1-((BD139-BD144)/BD139)</f>
        <v>0.96580321690089865</v>
      </c>
      <c r="BE161" s="135">
        <f t="shared" si="252"/>
        <v>1.0037628558276541</v>
      </c>
      <c r="BF161" s="135">
        <f t="shared" si="252"/>
        <v>0.99811908922482084</v>
      </c>
      <c r="BG161" s="135">
        <f t="shared" si="252"/>
        <v>0.95577715812946129</v>
      </c>
      <c r="BH161" s="135">
        <f t="shared" si="252"/>
        <v>0.99480027200539556</v>
      </c>
      <c r="BI161" s="135">
        <f t="shared" si="252"/>
        <v>0.9784520020644274</v>
      </c>
      <c r="BJ161" s="135">
        <f t="shared" si="252"/>
        <v>1.52</v>
      </c>
      <c r="BK161" s="135">
        <f t="shared" si="252"/>
        <v>1.5196923779760663</v>
      </c>
      <c r="BR161" s="272"/>
      <c r="BV161" s="196" t="s">
        <v>553</v>
      </c>
      <c r="BW161" s="135">
        <f>1-((BW139-BW144)/BW139)</f>
        <v>0.97141336504027054</v>
      </c>
      <c r="BX161" s="135">
        <f t="shared" ref="BX161:CE161" si="253">1-((BX139-BX144)/BX139)</f>
        <v>0.32949048600835418</v>
      </c>
      <c r="BY161" s="135">
        <f t="shared" si="253"/>
        <v>2.0242140448370245</v>
      </c>
      <c r="BZ161" s="135">
        <f t="shared" si="253"/>
        <v>0.68794186045886108</v>
      </c>
      <c r="CA161" s="135">
        <f t="shared" si="253"/>
        <v>1.013352436792329</v>
      </c>
      <c r="CB161" s="135">
        <f t="shared" si="253"/>
        <v>2.0811677644396576</v>
      </c>
      <c r="CC161" s="135">
        <f t="shared" si="253"/>
        <v>0.47915098098169318</v>
      </c>
      <c r="CD161" s="135">
        <f t="shared" si="253"/>
        <v>1.1183431952662721</v>
      </c>
      <c r="CE161" s="135">
        <f t="shared" si="253"/>
        <v>1.1402165921842731</v>
      </c>
      <c r="CK161" s="205" t="s">
        <v>534</v>
      </c>
      <c r="CL161" s="135">
        <f>1-((CL139-CL144)/CL139)</f>
        <v>0.96124731695103638</v>
      </c>
      <c r="CM161" s="135">
        <f t="shared" ref="CM161:CT161" si="254">1-((CM139-CM144)/CM139)</f>
        <v>0.88436063214222838</v>
      </c>
      <c r="CN161" s="135">
        <f t="shared" si="254"/>
        <v>1.0408161743542297</v>
      </c>
      <c r="CO161" s="135">
        <f t="shared" si="254"/>
        <v>0.95766512512930468</v>
      </c>
      <c r="CP161" s="135">
        <f t="shared" si="254"/>
        <v>1.0352942269032381</v>
      </c>
      <c r="CQ161" s="135">
        <f t="shared" si="254"/>
        <v>1.0828661798785342</v>
      </c>
      <c r="CR161" s="135">
        <f t="shared" si="254"/>
        <v>0.92351509646204932</v>
      </c>
      <c r="CS161" s="135">
        <f t="shared" si="254"/>
        <v>1.5497757847533631</v>
      </c>
      <c r="CT161" s="135">
        <f t="shared" si="254"/>
        <v>1.6368221584508285</v>
      </c>
    </row>
    <row r="162" spans="1:117" x14ac:dyDescent="0.35">
      <c r="D162" s="205" t="s">
        <v>529</v>
      </c>
      <c r="E162" s="135">
        <f>1-((E139-E145)/E139)</f>
        <v>0.91402380851274567</v>
      </c>
      <c r="F162" s="135">
        <f t="shared" ref="F162:M162" si="255">1-((F139-F145)/F139)</f>
        <v>0.63145847491685159</v>
      </c>
      <c r="G162" s="135">
        <f t="shared" si="255"/>
        <v>1.4404585782178454</v>
      </c>
      <c r="H162" s="135">
        <f t="shared" si="255"/>
        <v>0.86580082048624196</v>
      </c>
      <c r="I162" s="135">
        <f t="shared" si="255"/>
        <v>1.0982815667929136</v>
      </c>
      <c r="J162" s="135">
        <f t="shared" si="255"/>
        <v>1.5554202224529345</v>
      </c>
      <c r="K162" s="135">
        <f t="shared" si="255"/>
        <v>0.69733689905410012</v>
      </c>
      <c r="L162" s="135">
        <f t="shared" si="255"/>
        <v>1.0479289940828402</v>
      </c>
      <c r="M162" s="135">
        <f t="shared" si="255"/>
        <v>1.1380435284741621</v>
      </c>
      <c r="S162" s="205" t="s">
        <v>529</v>
      </c>
      <c r="T162" s="135">
        <f>1-((T139-T145)/T139)</f>
        <v>1.0135331566650476</v>
      </c>
      <c r="U162" s="135">
        <f t="shared" ref="U162:AB162" si="256">1-((U139-U145)/U139)</f>
        <v>1.0141295532448389</v>
      </c>
      <c r="V162" s="135">
        <f t="shared" si="256"/>
        <v>0.98369925581869599</v>
      </c>
      <c r="W162" s="135">
        <f t="shared" si="256"/>
        <v>1.0112641332723489</v>
      </c>
      <c r="X162" s="135">
        <f t="shared" si="256"/>
        <v>0.95650837561041668</v>
      </c>
      <c r="Y162" s="135">
        <f t="shared" si="256"/>
        <v>0.97603680121119718</v>
      </c>
      <c r="Z162" s="135">
        <f t="shared" si="256"/>
        <v>1.0138976264037598</v>
      </c>
      <c r="AA162" s="135">
        <f t="shared" si="256"/>
        <v>1.5644578313253013</v>
      </c>
      <c r="AB162" s="135">
        <f t="shared" si="256"/>
        <v>1.5591075589102252</v>
      </c>
      <c r="AM162" s="205" t="s">
        <v>529</v>
      </c>
      <c r="AN162" s="135">
        <f>1-((AN139-AN145)/AN139)</f>
        <v>0.87598303301390434</v>
      </c>
      <c r="AO162" s="135">
        <f t="shared" ref="AO162:AV162" si="257">1-((AO139-AO145)/AO139)</f>
        <v>0.78410954955153478</v>
      </c>
      <c r="AP162" s="135">
        <f t="shared" si="257"/>
        <v>1.0907602910961907</v>
      </c>
      <c r="AQ162" s="135">
        <f t="shared" si="257"/>
        <v>0.97234710095369137</v>
      </c>
      <c r="AR162" s="135">
        <f t="shared" si="257"/>
        <v>1.1478377172913794</v>
      </c>
      <c r="AS162" s="135">
        <f t="shared" si="257"/>
        <v>1.2590032090120138</v>
      </c>
      <c r="AT162" s="135">
        <f t="shared" si="257"/>
        <v>0.80552930488201813</v>
      </c>
      <c r="AU162" s="135">
        <f t="shared" si="257"/>
        <v>0.99408284023668636</v>
      </c>
      <c r="AV162" s="135">
        <f t="shared" si="257"/>
        <v>1.1280176748625499</v>
      </c>
      <c r="BB162" s="205" t="s">
        <v>529</v>
      </c>
      <c r="BC162" s="135">
        <f>1-((BC139-BC145)/BC139)</f>
        <v>1.0846439320364598</v>
      </c>
      <c r="BD162" s="135">
        <f t="shared" ref="BD162:BK162" si="258">1-((BD139-BD145)/BD139)</f>
        <v>0.93054310268852736</v>
      </c>
      <c r="BE162" s="135">
        <f t="shared" si="258"/>
        <v>1.0924093439751172</v>
      </c>
      <c r="BF162" s="135">
        <f t="shared" si="258"/>
        <v>0.95380802805873344</v>
      </c>
      <c r="BG162" s="135">
        <f t="shared" si="258"/>
        <v>0.88450570595108191</v>
      </c>
      <c r="BH162" s="135">
        <f t="shared" si="258"/>
        <v>0.99459995096474219</v>
      </c>
      <c r="BI162" s="135">
        <f t="shared" si="258"/>
        <v>0.98040034376401641</v>
      </c>
      <c r="BJ162" s="135">
        <f t="shared" si="258"/>
        <v>1.5958441558441556</v>
      </c>
      <c r="BK162" s="135">
        <f t="shared" si="258"/>
        <v>1.4841030755074058</v>
      </c>
      <c r="BR162" s="272"/>
      <c r="BV162" s="205" t="s">
        <v>529</v>
      </c>
      <c r="BW162" s="135">
        <f>1-((BW139-BW145)/BW139)</f>
        <v>1.0027856180100441</v>
      </c>
      <c r="BX162" s="135">
        <f t="shared" ref="BX162:CE162" si="259">1-((BX139-BX145)/BX139)</f>
        <v>0.27527263410259073</v>
      </c>
      <c r="BY162" s="135">
        <f t="shared" si="259"/>
        <v>2.256421248168373</v>
      </c>
      <c r="BZ162" s="135">
        <f t="shared" si="259"/>
        <v>0.61719283272885961</v>
      </c>
      <c r="CA162" s="135">
        <f t="shared" si="259"/>
        <v>0.98265054896315984</v>
      </c>
      <c r="CB162" s="135">
        <f t="shared" si="259"/>
        <v>2.2470599204817501</v>
      </c>
      <c r="CC162" s="135">
        <f t="shared" si="259"/>
        <v>0.44488795212229149</v>
      </c>
      <c r="CD162" s="135">
        <f t="shared" si="259"/>
        <v>1.1735700197238659</v>
      </c>
      <c r="CE162" s="135">
        <f t="shared" si="259"/>
        <v>1.161437186901257</v>
      </c>
      <c r="CK162" s="205" t="s">
        <v>529</v>
      </c>
      <c r="CL162" s="135">
        <f>1-((CL139-CL145)/CL139)</f>
        <v>0.92100253051322534</v>
      </c>
      <c r="CM162" s="135">
        <f t="shared" ref="CM162:CT162" si="260">1-((CM139-CM145)/CM139)</f>
        <v>0.99248201664782809</v>
      </c>
      <c r="CN162" s="135">
        <f t="shared" si="260"/>
        <v>0.96327859281777339</v>
      </c>
      <c r="CO162" s="135">
        <f t="shared" si="260"/>
        <v>1.0380877483676842</v>
      </c>
      <c r="CP162" s="135">
        <f t="shared" si="260"/>
        <v>1.0810227380840873</v>
      </c>
      <c r="CQ162" s="135">
        <f t="shared" si="260"/>
        <v>1.046266450036782</v>
      </c>
      <c r="CR162" s="135">
        <f t="shared" si="260"/>
        <v>0.95608116263238985</v>
      </c>
      <c r="CS162" s="135">
        <f t="shared" si="260"/>
        <v>1.547085201793722</v>
      </c>
      <c r="CT162" s="135">
        <f t="shared" si="260"/>
        <v>1.7050560035567481</v>
      </c>
    </row>
    <row r="163" spans="1:117" x14ac:dyDescent="0.35">
      <c r="D163" s="196" t="s">
        <v>552</v>
      </c>
      <c r="E163" s="135">
        <f>1-((E139-E146)/E139)</f>
        <v>0.94839893263605379</v>
      </c>
      <c r="F163" s="135">
        <f t="shared" ref="F163:M163" si="261">1-((F139-F146)/F139)</f>
        <v>0.60308320260755099</v>
      </c>
      <c r="G163" s="135">
        <f t="shared" si="261"/>
        <v>1.4777678577549562</v>
      </c>
      <c r="H163" s="135">
        <f t="shared" si="261"/>
        <v>0.85443340718170802</v>
      </c>
      <c r="I163" s="135">
        <f t="shared" si="261"/>
        <v>1.090708537731278</v>
      </c>
      <c r="J163" s="135">
        <f t="shared" si="261"/>
        <v>1.5670488330087546</v>
      </c>
      <c r="K163" s="135">
        <f t="shared" si="261"/>
        <v>0.68359150783587463</v>
      </c>
      <c r="L163" s="135">
        <f t="shared" si="261"/>
        <v>1.171059709521248</v>
      </c>
      <c r="M163" s="135">
        <f t="shared" si="261"/>
        <v>1.2296257205434851</v>
      </c>
      <c r="S163" s="205" t="s">
        <v>532</v>
      </c>
      <c r="T163" s="135">
        <f>1-((T139-T146)/T139)</f>
        <v>0.98288988072752459</v>
      </c>
      <c r="U163" s="135">
        <f t="shared" ref="U163:AB163" si="262">1-((U139-U146)/U139)</f>
        <v>0.96984565800182743</v>
      </c>
      <c r="V163" s="135">
        <f t="shared" si="262"/>
        <v>0.99608073799391417</v>
      </c>
      <c r="W163" s="135">
        <f t="shared" si="262"/>
        <v>1.0027082867551802</v>
      </c>
      <c r="X163" s="135">
        <f t="shared" si="262"/>
        <v>0.98875270857378439</v>
      </c>
      <c r="Y163" s="135">
        <f t="shared" si="262"/>
        <v>1.0183221243903164</v>
      </c>
      <c r="Z163" s="135">
        <f t="shared" si="262"/>
        <v>0.9749182983784056</v>
      </c>
      <c r="AA163" s="135">
        <f t="shared" si="262"/>
        <v>1.4874041621029572</v>
      </c>
      <c r="AB163" s="135">
        <f t="shared" si="262"/>
        <v>1.5300873020137749</v>
      </c>
      <c r="AM163" s="196" t="s">
        <v>552</v>
      </c>
      <c r="AN163" s="135">
        <f>1-((AN139-AN146)/AN139)</f>
        <v>0.92853992384673045</v>
      </c>
      <c r="AO163" s="135">
        <f t="shared" ref="AO163:AV163" si="263">1-((AO139-AO146)/AO139)</f>
        <v>0.76189720422614915</v>
      </c>
      <c r="AP163" s="135">
        <f t="shared" si="263"/>
        <v>1.14677221218075</v>
      </c>
      <c r="AQ163" s="135">
        <f t="shared" si="263"/>
        <v>0.95528135578657281</v>
      </c>
      <c r="AR163" s="135">
        <f t="shared" si="263"/>
        <v>1.1362045855519169</v>
      </c>
      <c r="AS163" s="135">
        <f t="shared" si="263"/>
        <v>1.2690017174353898</v>
      </c>
      <c r="AT163" s="135">
        <f t="shared" si="263"/>
        <v>0.80074896152716857</v>
      </c>
      <c r="AU163" s="135">
        <f t="shared" si="263"/>
        <v>1.1420118343195267</v>
      </c>
      <c r="AV163" s="135">
        <f t="shared" si="263"/>
        <v>1.2266460170864257</v>
      </c>
      <c r="BB163" s="205" t="s">
        <v>532</v>
      </c>
      <c r="BC163" s="135">
        <f>1-((BC139-BC146)/BC139)</f>
        <v>1.0381777282045856</v>
      </c>
      <c r="BD163" s="135">
        <f t="shared" ref="BD163:BK163" si="264">1-((BD139-BD146)/BD139)</f>
        <v>0.97319348592965926</v>
      </c>
      <c r="BE163" s="135">
        <f t="shared" si="264"/>
        <v>1.0235978212392494</v>
      </c>
      <c r="BF163" s="135">
        <f t="shared" si="264"/>
        <v>0.98820433248771955</v>
      </c>
      <c r="BG163" s="135">
        <f t="shared" si="264"/>
        <v>0.92635945141415343</v>
      </c>
      <c r="BH163" s="135">
        <f t="shared" si="264"/>
        <v>0.97930242281529012</v>
      </c>
      <c r="BI163" s="135">
        <f t="shared" si="264"/>
        <v>0.99421825942970188</v>
      </c>
      <c r="BJ163" s="135">
        <f t="shared" si="264"/>
        <v>1.5127272727272727</v>
      </c>
      <c r="BK163" s="135">
        <f t="shared" si="264"/>
        <v>1.4698180806156877</v>
      </c>
      <c r="BR163" s="272"/>
      <c r="BV163" s="196" t="s">
        <v>552</v>
      </c>
      <c r="BW163" s="135">
        <f>1-((BW139-BW146)/BW139)</f>
        <v>0.98315219801737097</v>
      </c>
      <c r="BX163" s="135">
        <f t="shared" ref="BX163:CE163" si="265">1-((BX139-BX146)/BX139)</f>
        <v>0.32515869977500444</v>
      </c>
      <c r="BY163" s="135">
        <f t="shared" si="265"/>
        <v>2.0570102375098172</v>
      </c>
      <c r="BZ163" s="135">
        <f t="shared" si="265"/>
        <v>0.67794949712319441</v>
      </c>
      <c r="CA163" s="135">
        <f t="shared" si="265"/>
        <v>1.0110904540451602</v>
      </c>
      <c r="CB163" s="135">
        <f t="shared" si="265"/>
        <v>2.0886312852621436</v>
      </c>
      <c r="CC163" s="135">
        <f t="shared" si="265"/>
        <v>0.47856596387611039</v>
      </c>
      <c r="CD163" s="135">
        <f t="shared" si="265"/>
        <v>1.2218934911242605</v>
      </c>
      <c r="CE163" s="135">
        <f t="shared" si="265"/>
        <v>1.2348402015933391</v>
      </c>
      <c r="CK163" s="205" t="s">
        <v>532</v>
      </c>
      <c r="CL163" s="135">
        <f>1-((CL139-CL146)/CL139)</f>
        <v>0.91778914334470219</v>
      </c>
      <c r="CM163" s="135">
        <f t="shared" ref="CM163:CT163" si="266">1-((CM139-CM146)/CM139)</f>
        <v>1.0123156291770599</v>
      </c>
      <c r="CN163" s="135">
        <f t="shared" si="266"/>
        <v>0.95480546443237169</v>
      </c>
      <c r="CO163" s="135">
        <f t="shared" si="266"/>
        <v>1.0468761474676636</v>
      </c>
      <c r="CP163" s="135">
        <f t="shared" si="266"/>
        <v>1.0872418302122453</v>
      </c>
      <c r="CQ163" s="135">
        <f t="shared" si="266"/>
        <v>1.0393155784966115</v>
      </c>
      <c r="CR163" s="135">
        <f t="shared" si="266"/>
        <v>0.96417811452150382</v>
      </c>
      <c r="CS163" s="135">
        <f t="shared" si="266"/>
        <v>1.452914798206278</v>
      </c>
      <c r="CT163" s="135">
        <f t="shared" si="266"/>
        <v>1.6118245043280066</v>
      </c>
    </row>
    <row r="164" spans="1:117" x14ac:dyDescent="0.35">
      <c r="D164" s="205" t="s">
        <v>529</v>
      </c>
      <c r="E164" s="135">
        <f>1-((E139-E147)/E139)</f>
        <v>0.85919795002983179</v>
      </c>
      <c r="F164" s="135">
        <f t="shared" ref="F164:M164" si="267">1-((F139-F147)/F139)</f>
        <v>0.53414168719751576</v>
      </c>
      <c r="G164" s="135">
        <f t="shared" si="267"/>
        <v>1.4905848060003226</v>
      </c>
      <c r="H164" s="135">
        <f t="shared" si="267"/>
        <v>0.85052833182738552</v>
      </c>
      <c r="I164" s="135">
        <f t="shared" si="267"/>
        <v>1.1541170114052708</v>
      </c>
      <c r="J164" s="135">
        <f t="shared" si="267"/>
        <v>1.7131270570815147</v>
      </c>
      <c r="K164" s="135">
        <f t="shared" si="267"/>
        <v>0.60992661834537332</v>
      </c>
      <c r="L164" s="135">
        <f t="shared" si="267"/>
        <v>0.99784830554061321</v>
      </c>
      <c r="M164" s="135">
        <f t="shared" si="267"/>
        <v>1.1521626768262507</v>
      </c>
      <c r="S164" s="205" t="s">
        <v>529</v>
      </c>
      <c r="T164" s="135">
        <f>1-((T139-T147)/T139)</f>
        <v>1.0425325764822115</v>
      </c>
      <c r="U164" s="135">
        <f t="shared" ref="U164:AB164" si="268">1-((U139-U147)/U139)</f>
        <v>0.96633636649570387</v>
      </c>
      <c r="V164" s="135">
        <f t="shared" si="268"/>
        <v>1.042718483868736</v>
      </c>
      <c r="W164" s="135">
        <f t="shared" si="268"/>
        <v>0.97048069154768912</v>
      </c>
      <c r="X164" s="135">
        <f t="shared" si="268"/>
        <v>0.93032949266755349</v>
      </c>
      <c r="Y164" s="135">
        <f t="shared" si="268"/>
        <v>1.0052717069926052</v>
      </c>
      <c r="Z164" s="135">
        <f t="shared" si="268"/>
        <v>0.99596756641061823</v>
      </c>
      <c r="AA164" s="135">
        <f t="shared" si="268"/>
        <v>1.57289156626506</v>
      </c>
      <c r="AB164" s="135">
        <f t="shared" si="268"/>
        <v>1.5232662920677795</v>
      </c>
      <c r="AM164" s="205" t="s">
        <v>529</v>
      </c>
      <c r="AN164" s="135">
        <f>1-((AN139-AN147)/AN139)</f>
        <v>0.80645326765467695</v>
      </c>
      <c r="AO164" s="135">
        <f t="shared" ref="AO164:AV164" si="269">1-((AO139-AO147)/AO139)</f>
        <v>0.73926036655298644</v>
      </c>
      <c r="AP164" s="135">
        <f t="shared" si="269"/>
        <v>1.0664698783730122</v>
      </c>
      <c r="AQ164" s="135">
        <f t="shared" si="269"/>
        <v>0.97974791823528595</v>
      </c>
      <c r="AR164" s="135">
        <f t="shared" si="269"/>
        <v>1.2219731341681588</v>
      </c>
      <c r="AS164" s="135">
        <f t="shared" si="269"/>
        <v>1.3222206066066775</v>
      </c>
      <c r="AT164" s="135">
        <f t="shared" si="269"/>
        <v>0.75492599114131598</v>
      </c>
      <c r="AU164" s="135">
        <f t="shared" si="269"/>
        <v>0.91952662721893486</v>
      </c>
      <c r="AV164" s="135">
        <f t="shared" si="269"/>
        <v>1.1312046352299283</v>
      </c>
      <c r="BB164" s="205" t="s">
        <v>529</v>
      </c>
      <c r="BC164" s="135">
        <f>1-((BC139-BC147)/BC139)</f>
        <v>1.1043993993058394</v>
      </c>
      <c r="BD164" s="135">
        <f t="shared" ref="BD164:BK164" si="270">1-((BD139-BD147)/BD139)</f>
        <v>1.0237669987015965</v>
      </c>
      <c r="BE164" s="135">
        <f t="shared" si="270"/>
        <v>1.0398795437396864</v>
      </c>
      <c r="BF164" s="135">
        <f t="shared" si="270"/>
        <v>0.98006570887517475</v>
      </c>
      <c r="BG164" s="135">
        <f t="shared" si="270"/>
        <v>0.86471680538571538</v>
      </c>
      <c r="BH164" s="135">
        <f t="shared" si="270"/>
        <v>0.93164255770953164</v>
      </c>
      <c r="BI164" s="135">
        <f t="shared" si="270"/>
        <v>1.0498545223861344</v>
      </c>
      <c r="BJ164" s="135">
        <f t="shared" si="270"/>
        <v>1.6145454545454545</v>
      </c>
      <c r="BK164" s="135">
        <f t="shared" si="270"/>
        <v>1.4695206807737879</v>
      </c>
      <c r="BR164" s="272"/>
      <c r="BV164" s="205" t="s">
        <v>529</v>
      </c>
      <c r="BW164" s="135">
        <f>1-((BW139-BW147)/BW139)</f>
        <v>0.90315185200912818</v>
      </c>
      <c r="BX164" s="135">
        <f t="shared" ref="BX164:CE164" si="271">1-((BX139-BX147)/BX139)</f>
        <v>0.36320945440129004</v>
      </c>
      <c r="BY164" s="135">
        <f t="shared" si="271"/>
        <v>1.8440139123564143</v>
      </c>
      <c r="BZ164" s="135">
        <f t="shared" si="271"/>
        <v>0.74284534315413486</v>
      </c>
      <c r="CA164" s="135">
        <f t="shared" si="271"/>
        <v>1.0975702424361979</v>
      </c>
      <c r="CB164" s="135">
        <f t="shared" si="271"/>
        <v>2.0388824324772128</v>
      </c>
      <c r="CC164" s="135">
        <f t="shared" si="271"/>
        <v>0.48909380768208777</v>
      </c>
      <c r="CD164" s="135">
        <f t="shared" si="271"/>
        <v>1.0631163708086786</v>
      </c>
      <c r="CE164" s="135">
        <f t="shared" si="271"/>
        <v>1.1696277114898526</v>
      </c>
      <c r="CK164" s="205" t="s">
        <v>529</v>
      </c>
      <c r="CL164" s="135">
        <f>1-((CL139-CL147)/CL139)</f>
        <v>0.97002068652021556</v>
      </c>
      <c r="CM164" s="135">
        <f t="shared" ref="CM164:CT164" si="272">1-((CM139-CM147)/CM139)</f>
        <v>0.98181467328530314</v>
      </c>
      <c r="CN164" s="135">
        <f t="shared" si="272"/>
        <v>0.99312445207457789</v>
      </c>
      <c r="CO164" s="135">
        <f t="shared" si="272"/>
        <v>1.0071313753847697</v>
      </c>
      <c r="CP164" s="135">
        <f t="shared" si="272"/>
        <v>1.0316302540560498</v>
      </c>
      <c r="CQ164" s="135">
        <f t="shared" si="272"/>
        <v>1.0254664357738255</v>
      </c>
      <c r="CR164" s="135">
        <f t="shared" si="272"/>
        <v>0.97580859778431916</v>
      </c>
      <c r="CS164" s="135">
        <f t="shared" si="272"/>
        <v>1.5174887892376683</v>
      </c>
      <c r="CT164" s="135">
        <f t="shared" si="272"/>
        <v>1.5930023125383632</v>
      </c>
    </row>
    <row r="165" spans="1:117" x14ac:dyDescent="0.35">
      <c r="D165" s="196" t="s">
        <v>551</v>
      </c>
      <c r="E165" s="135">
        <f>1-((E139-E148)/E139)</f>
        <v>0.98348938448135703</v>
      </c>
      <c r="F165" s="135">
        <f t="shared" ref="F165:M165" si="273">1-((F139-F148)/F139)</f>
        <v>0.51445056914983389</v>
      </c>
      <c r="G165" s="135">
        <f t="shared" si="273"/>
        <v>1.668379971856039</v>
      </c>
      <c r="H165" s="135">
        <f t="shared" si="273"/>
        <v>0.79635759578248799</v>
      </c>
      <c r="I165" s="135">
        <f t="shared" si="273"/>
        <v>1.0066863598954585</v>
      </c>
      <c r="J165" s="135">
        <f t="shared" si="273"/>
        <v>1.6932459596452984</v>
      </c>
      <c r="K165" s="135">
        <f t="shared" si="273"/>
        <v>0.62380417463292237</v>
      </c>
      <c r="L165" s="135">
        <f t="shared" si="273"/>
        <v>1.1635287789133943</v>
      </c>
      <c r="M165" s="135">
        <f t="shared" si="273"/>
        <v>1.1735173401248715</v>
      </c>
      <c r="S165" s="205" t="s">
        <v>579</v>
      </c>
      <c r="T165" s="135">
        <f>1-((T139-T148)/T139)</f>
        <v>0.96129018692721335</v>
      </c>
      <c r="U165" s="135">
        <f t="shared" ref="U165:AB165" si="274">1-((U139-U148)/U139)</f>
        <v>1.0802475796342397</v>
      </c>
      <c r="V165" s="135">
        <f t="shared" si="274"/>
        <v>0.95072433390692701</v>
      </c>
      <c r="W165" s="135">
        <f t="shared" si="274"/>
        <v>1.0340504497084704</v>
      </c>
      <c r="X165" s="135">
        <f t="shared" si="274"/>
        <v>1.0130790742899705</v>
      </c>
      <c r="Y165" s="135">
        <f t="shared" si="274"/>
        <v>0.99217487391843939</v>
      </c>
      <c r="Z165" s="135">
        <f t="shared" si="274"/>
        <v>1.0339874010074674</v>
      </c>
      <c r="AA165" s="135">
        <f t="shared" si="274"/>
        <v>1.4414019715224533</v>
      </c>
      <c r="AB165" s="135">
        <f t="shared" si="274"/>
        <v>1.5173420161935056</v>
      </c>
      <c r="AM165" s="196" t="s">
        <v>551</v>
      </c>
      <c r="AN165" s="135">
        <f>1-((AN139-AN148)/AN139)</f>
        <v>0.96498962761648965</v>
      </c>
      <c r="AO165" s="135">
        <f t="shared" ref="AO165:AV165" si="275">1-((AO139-AO148)/AO139)</f>
        <v>0.67817193175653401</v>
      </c>
      <c r="AP165" s="135">
        <f t="shared" si="275"/>
        <v>1.3085828751559503</v>
      </c>
      <c r="AQ165" s="135">
        <f t="shared" si="275"/>
        <v>0.90598078751132138</v>
      </c>
      <c r="AR165" s="135">
        <f t="shared" si="275"/>
        <v>1.028802196849895</v>
      </c>
      <c r="AS165" s="135">
        <f t="shared" si="275"/>
        <v>1.3632046982099342</v>
      </c>
      <c r="AT165" s="135">
        <f t="shared" si="275"/>
        <v>0.74504176882208495</v>
      </c>
      <c r="AU165" s="135">
        <f t="shared" si="275"/>
        <v>1.1045364891518739</v>
      </c>
      <c r="AV165" s="135">
        <f t="shared" si="275"/>
        <v>1.1379725854987557</v>
      </c>
      <c r="BB165" s="205" t="s">
        <v>579</v>
      </c>
      <c r="BC165" s="135">
        <f>1-((BC139-BC148)/BC139)</f>
        <v>1.0041595786001674</v>
      </c>
      <c r="BD165" s="135">
        <f t="shared" ref="BD165:BK165" si="276">1-((BD139-BD148)/BD139)</f>
        <v>1.1716312296286282</v>
      </c>
      <c r="BE165" s="135">
        <f t="shared" si="276"/>
        <v>0.87665670955920483</v>
      </c>
      <c r="BF165" s="135">
        <f t="shared" si="276"/>
        <v>1.0616546938448008</v>
      </c>
      <c r="BG165" s="135">
        <f t="shared" si="276"/>
        <v>0.95602425389491119</v>
      </c>
      <c r="BH165" s="135">
        <f t="shared" si="276"/>
        <v>0.8676273764171516</v>
      </c>
      <c r="BI165" s="135">
        <f t="shared" si="276"/>
        <v>1.1174480398692528</v>
      </c>
      <c r="BJ165" s="135">
        <f t="shared" si="276"/>
        <v>1.4618181818181817</v>
      </c>
      <c r="BK165" s="135">
        <f t="shared" si="276"/>
        <v>1.470182252511953</v>
      </c>
      <c r="BR165" s="272"/>
      <c r="BV165" s="196" t="s">
        <v>551</v>
      </c>
      <c r="BW165" s="135">
        <f>1-((BW139-BW148)/BW139)</f>
        <v>1.0056890927191993</v>
      </c>
      <c r="BX165" s="135">
        <f t="shared" ref="BX165:CE165" si="277">1-((BX139-BX148)/BX139)</f>
        <v>0.31798493402179373</v>
      </c>
      <c r="BY165" s="135">
        <f t="shared" si="277"/>
        <v>2.1001364878961457</v>
      </c>
      <c r="BZ165" s="135">
        <f t="shared" si="277"/>
        <v>0.66480976570788819</v>
      </c>
      <c r="CA165" s="135">
        <f t="shared" si="277"/>
        <v>0.98014735555013466</v>
      </c>
      <c r="CB165" s="135">
        <f t="shared" si="277"/>
        <v>2.0892954733677342</v>
      </c>
      <c r="CC165" s="135">
        <f t="shared" si="277"/>
        <v>0.47831906160592697</v>
      </c>
      <c r="CD165" s="135">
        <f t="shared" si="277"/>
        <v>1.2343195266272189</v>
      </c>
      <c r="CE165" s="135">
        <f t="shared" si="277"/>
        <v>1.2161710456762107</v>
      </c>
      <c r="CK165" s="205" t="s">
        <v>579</v>
      </c>
      <c r="CL165" s="135">
        <f>1-((CL139-CL148)/CL139)</f>
        <v>0.90942051004062108</v>
      </c>
      <c r="CM165" s="135">
        <f t="shared" ref="CM165:CT165" si="278">1-((CM139-CM148)/CM139)</f>
        <v>0.92723841244528316</v>
      </c>
      <c r="CN165" s="135">
        <f t="shared" si="278"/>
        <v>0.99013975517386965</v>
      </c>
      <c r="CO165" s="135">
        <f t="shared" si="278"/>
        <v>1.0102271277872812</v>
      </c>
      <c r="CP165" s="135">
        <f t="shared" si="278"/>
        <v>1.1042603197503713</v>
      </c>
      <c r="CQ165" s="135">
        <f t="shared" si="278"/>
        <v>1.0909244457225338</v>
      </c>
      <c r="CR165" s="135">
        <f t="shared" si="278"/>
        <v>0.91816466416634224</v>
      </c>
      <c r="CS165" s="135">
        <f t="shared" si="278"/>
        <v>1.4125560538116591</v>
      </c>
      <c r="CT165" s="135">
        <f t="shared" si="278"/>
        <v>1.5823779351019904</v>
      </c>
    </row>
    <row r="166" spans="1:117" x14ac:dyDescent="0.35">
      <c r="D166" s="205" t="s">
        <v>529</v>
      </c>
      <c r="E166" s="135">
        <f>1-((E139-E149)/E139)</f>
        <v>0.85264886611525359</v>
      </c>
      <c r="F166" s="135">
        <f t="shared" ref="F166:M166" si="279">1-((F139-F149)/F139)</f>
        <v>0.50303539570742906</v>
      </c>
      <c r="G166" s="135">
        <f t="shared" si="279"/>
        <v>1.5320875287551483</v>
      </c>
      <c r="H166" s="135">
        <f t="shared" si="279"/>
        <v>0.83788325776884376</v>
      </c>
      <c r="I166" s="135">
        <f t="shared" si="279"/>
        <v>1.1650711079929161</v>
      </c>
      <c r="J166" s="135">
        <f t="shared" si="279"/>
        <v>1.8036467253752677</v>
      </c>
      <c r="K166" s="135">
        <f t="shared" si="279"/>
        <v>0.58454569350128671</v>
      </c>
      <c r="L166" s="135">
        <f t="shared" si="279"/>
        <v>0.96646942800788949</v>
      </c>
      <c r="M166" s="135">
        <f t="shared" si="279"/>
        <v>1.1304732502345729</v>
      </c>
      <c r="S166" s="205" t="s">
        <v>529</v>
      </c>
      <c r="T166" s="135">
        <f>1-((T139-T149)/T139)</f>
        <v>1.0402825647217484</v>
      </c>
      <c r="U166" s="135">
        <f t="shared" ref="U166:AB166" si="280">1-((U139-U149)/U139)</f>
        <v>1.005565404287537</v>
      </c>
      <c r="V166" s="135">
        <f t="shared" si="280"/>
        <v>1.012702672431014</v>
      </c>
      <c r="W166" s="135">
        <f t="shared" si="280"/>
        <v>0.99122220472964406</v>
      </c>
      <c r="X166" s="135">
        <f t="shared" si="280"/>
        <v>0.93146443509561716</v>
      </c>
      <c r="Y166" s="135">
        <f t="shared" si="280"/>
        <v>0.97890476315992969</v>
      </c>
      <c r="Z166" s="135">
        <f t="shared" si="280"/>
        <v>1.019066221736153</v>
      </c>
      <c r="AA166" s="135">
        <f t="shared" si="280"/>
        <v>1.5855421686746989</v>
      </c>
      <c r="AB166" s="135">
        <f t="shared" si="280"/>
        <v>1.5367514647272822</v>
      </c>
      <c r="AM166" s="205" t="s">
        <v>529</v>
      </c>
      <c r="AN166" s="135">
        <f>1-((AN139-AN149)/AN139)</f>
        <v>0.86442358958389098</v>
      </c>
      <c r="AO166" s="135">
        <f t="shared" ref="AO166:AV166" si="281">1-((AO139-AO149)/AO139)</f>
        <v>0.67237992742202246</v>
      </c>
      <c r="AP166" s="135">
        <f t="shared" si="281"/>
        <v>1.2018326823738743</v>
      </c>
      <c r="AQ166" s="135">
        <f t="shared" si="281"/>
        <v>0.93850549923848114</v>
      </c>
      <c r="AR166" s="135">
        <f t="shared" si="281"/>
        <v>1.1493757650359355</v>
      </c>
      <c r="AS166" s="135">
        <f t="shared" si="281"/>
        <v>1.3944370351058397</v>
      </c>
      <c r="AT166" s="135">
        <f t="shared" si="281"/>
        <v>0.71715376314973911</v>
      </c>
      <c r="AU166" s="135">
        <f t="shared" si="281"/>
        <v>0.94575936883629186</v>
      </c>
      <c r="AV166" s="135">
        <f t="shared" si="281"/>
        <v>1.0901262844351651</v>
      </c>
      <c r="BB166" s="205" t="s">
        <v>529</v>
      </c>
      <c r="BC166" s="135">
        <f>1-((BC139-BC149)/BC139)</f>
        <v>1.1110860475694937</v>
      </c>
      <c r="BD166" s="135">
        <f t="shared" ref="BD166:BK166" si="282">1-((BD139-BD149)/BD139)</f>
        <v>0.99131450665145993</v>
      </c>
      <c r="BE166" s="135">
        <f t="shared" si="282"/>
        <v>1.0647455880568175</v>
      </c>
      <c r="BF166" s="135">
        <f t="shared" si="282"/>
        <v>0.96763610411900947</v>
      </c>
      <c r="BG166" s="135">
        <f t="shared" si="282"/>
        <v>0.86318877918016346</v>
      </c>
      <c r="BH166" s="135">
        <f t="shared" si="282"/>
        <v>0.9476141070648828</v>
      </c>
      <c r="BI166" s="135">
        <f t="shared" si="282"/>
        <v>1.0300649703238562</v>
      </c>
      <c r="BJ166" s="135">
        <f t="shared" si="282"/>
        <v>1.5563636363636362</v>
      </c>
      <c r="BK166" s="135">
        <f t="shared" si="282"/>
        <v>1.4107387075550679</v>
      </c>
      <c r="BR166" s="272"/>
      <c r="BV166" s="205" t="s">
        <v>529</v>
      </c>
      <c r="BW166" s="135">
        <f>1-((BW139-BW149)/BW139)</f>
        <v>0.84087414264661731</v>
      </c>
      <c r="BX166" s="135">
        <f t="shared" ref="BX166:CE166" si="283">1-((BX139-BX149)/BX139)</f>
        <v>0.33369086399283576</v>
      </c>
      <c r="BY166" s="135">
        <f t="shared" si="283"/>
        <v>1.8623423751364221</v>
      </c>
      <c r="BZ166" s="135">
        <f t="shared" si="283"/>
        <v>0.73726101629920637</v>
      </c>
      <c r="CA166" s="135">
        <f t="shared" si="283"/>
        <v>1.1807664509498963</v>
      </c>
      <c r="CB166" s="135">
        <f t="shared" si="283"/>
        <v>2.2128564156446959</v>
      </c>
      <c r="CC166" s="135">
        <f t="shared" si="283"/>
        <v>0.45193762385283431</v>
      </c>
      <c r="CD166" s="135">
        <f t="shared" si="283"/>
        <v>0.98717948717948711</v>
      </c>
      <c r="CE166" s="135">
        <f t="shared" si="283"/>
        <v>1.1708202160339807</v>
      </c>
      <c r="CK166" s="205" t="s">
        <v>529</v>
      </c>
      <c r="CL166" s="135">
        <f>1-((CL139-CL149)/CL139)</f>
        <v>0.95614731184625601</v>
      </c>
      <c r="CM166" s="135">
        <f t="shared" ref="CM166:CT166" si="284">1-((CM139-CM149)/CM139)</f>
        <v>0.98131590437904159</v>
      </c>
      <c r="CN166" s="135">
        <f t="shared" si="284"/>
        <v>0.98658823244286786</v>
      </c>
      <c r="CO166" s="135">
        <f t="shared" si="284"/>
        <v>1.0139107966464087</v>
      </c>
      <c r="CP166" s="135">
        <f t="shared" si="284"/>
        <v>1.0403282471608803</v>
      </c>
      <c r="CQ166" s="135">
        <f t="shared" si="284"/>
        <v>1.0314945657239603</v>
      </c>
      <c r="CR166" s="135">
        <f t="shared" si="284"/>
        <v>0.96849882479295213</v>
      </c>
      <c r="CS166" s="135">
        <f t="shared" si="284"/>
        <v>1.6345291479820627</v>
      </c>
      <c r="CT166" s="135">
        <f t="shared" si="284"/>
        <v>1.7304407127696122</v>
      </c>
    </row>
    <row r="167" spans="1:117" x14ac:dyDescent="0.35">
      <c r="D167" s="196" t="s">
        <v>550</v>
      </c>
      <c r="E167" s="135">
        <f>1-((E139-E150)/E139)</f>
        <v>0.97934213186325614</v>
      </c>
      <c r="F167" s="135">
        <f t="shared" ref="F167:M167" si="285">1-((F139-F150)/F139)</f>
        <v>0.48616841909346431</v>
      </c>
      <c r="G167" s="135">
        <f t="shared" si="285"/>
        <v>1.702276820546107</v>
      </c>
      <c r="H167" s="135">
        <f t="shared" si="285"/>
        <v>0.78602988392201134</v>
      </c>
      <c r="I167" s="135">
        <f t="shared" si="285"/>
        <v>1.0093198069047657</v>
      </c>
      <c r="J167" s="135">
        <f t="shared" si="285"/>
        <v>1.7218908329993534</v>
      </c>
      <c r="K167" s="135">
        <f t="shared" si="285"/>
        <v>0.60114893212997922</v>
      </c>
      <c r="L167" s="135">
        <f t="shared" si="285"/>
        <v>1.1788802913063268</v>
      </c>
      <c r="M167" s="135">
        <f t="shared" si="285"/>
        <v>1.1918020555909574</v>
      </c>
      <c r="S167" s="205" t="s">
        <v>578</v>
      </c>
      <c r="T167" s="135">
        <f t="shared" ref="T167:AB167" si="286">1-((T139-T150)/T139)</f>
        <v>0.95859493829677223</v>
      </c>
      <c r="U167" s="135">
        <f t="shared" si="286"/>
        <v>1.0035486536053044</v>
      </c>
      <c r="V167" s="135">
        <f t="shared" si="286"/>
        <v>0.91232020775054501</v>
      </c>
      <c r="W167" s="135">
        <f t="shared" si="286"/>
        <v>1.0605884525396381</v>
      </c>
      <c r="X167" s="135">
        <f t="shared" si="286"/>
        <v>1.1353827120922069</v>
      </c>
      <c r="Y167" s="135">
        <f t="shared" si="286"/>
        <v>1.0202983824678802</v>
      </c>
      <c r="Z167" s="135">
        <f t="shared" si="286"/>
        <v>0.98027151817754288</v>
      </c>
      <c r="AA167" s="135">
        <f t="shared" si="286"/>
        <v>1.4337349397590362</v>
      </c>
      <c r="AB167" s="135">
        <f t="shared" si="286"/>
        <v>1.5234675386410754</v>
      </c>
      <c r="AM167" s="196" t="s">
        <v>550</v>
      </c>
      <c r="AN167" s="135">
        <f t="shared" ref="AN167:AV167" si="287">1-((AN139-AN150)/AN139)</f>
        <v>0.94110493014565222</v>
      </c>
      <c r="AO167" s="135">
        <f t="shared" si="287"/>
        <v>0.63263704653395569</v>
      </c>
      <c r="AP167" s="135">
        <f t="shared" si="287"/>
        <v>1.3346250361673155</v>
      </c>
      <c r="AQ167" s="135">
        <f t="shared" si="287"/>
        <v>0.89804624652762421</v>
      </c>
      <c r="AR167" s="135">
        <f t="shared" si="287"/>
        <v>1.0474814305645888</v>
      </c>
      <c r="AS167" s="135">
        <f t="shared" si="287"/>
        <v>1.4161731138779305</v>
      </c>
      <c r="AT167" s="135">
        <f t="shared" si="287"/>
        <v>0.7045544958922445</v>
      </c>
      <c r="AU167" s="135">
        <f t="shared" si="287"/>
        <v>1.0710059171597635</v>
      </c>
      <c r="AV167" s="135">
        <f t="shared" si="287"/>
        <v>1.1277521709059657</v>
      </c>
      <c r="BB167" s="205" t="s">
        <v>578</v>
      </c>
      <c r="BC167" s="135">
        <f t="shared" ref="BC167:BK167" si="288">1-((BC139-BC150)/BC139)</f>
        <v>1.0505077444266513</v>
      </c>
      <c r="BD167" s="135">
        <f t="shared" si="288"/>
        <v>0.93851389947159825</v>
      </c>
      <c r="BE167" s="135">
        <f t="shared" si="288"/>
        <v>1.1300221764607419</v>
      </c>
      <c r="BF167" s="135">
        <f t="shared" si="288"/>
        <v>0.93500678104116575</v>
      </c>
      <c r="BG167" s="135">
        <f t="shared" si="288"/>
        <v>0.84675504866359441</v>
      </c>
      <c r="BH167" s="135">
        <f t="shared" si="288"/>
        <v>0.98751377320010625</v>
      </c>
      <c r="BI167" s="135">
        <f t="shared" si="288"/>
        <v>1.0032112866113283</v>
      </c>
      <c r="BJ167" s="135">
        <f t="shared" si="288"/>
        <v>1.687272727272727</v>
      </c>
      <c r="BK167" s="135">
        <f t="shared" si="288"/>
        <v>1.4926453255436491</v>
      </c>
      <c r="BR167" s="272"/>
      <c r="BV167" s="196" t="s">
        <v>550</v>
      </c>
      <c r="BW167" s="135">
        <f t="shared" ref="BW167:CE167" si="289">1-((BW139-BW150)/BW139)</f>
        <v>1.0239522005337951</v>
      </c>
      <c r="BX167" s="135">
        <f t="shared" si="289"/>
        <v>0.31528835374622455</v>
      </c>
      <c r="BY167" s="135">
        <f t="shared" si="289"/>
        <v>2.1312039023213627</v>
      </c>
      <c r="BZ167" s="135">
        <f t="shared" si="289"/>
        <v>0.65534412754879634</v>
      </c>
      <c r="CA167" s="135">
        <f t="shared" si="289"/>
        <v>0.96479791263497228</v>
      </c>
      <c r="CB167" s="135">
        <f t="shared" si="289"/>
        <v>2.0785615053076798</v>
      </c>
      <c r="CC167" s="135">
        <f t="shared" si="289"/>
        <v>0.48050910774066991</v>
      </c>
      <c r="CD167" s="135">
        <f t="shared" si="289"/>
        <v>1.304733727810651</v>
      </c>
      <c r="CE167" s="135">
        <f t="shared" si="289"/>
        <v>1.2665269210567811</v>
      </c>
      <c r="CK167" s="205" t="s">
        <v>578</v>
      </c>
      <c r="CL167" s="135">
        <f t="shared" ref="CL167:CT167" si="290">1-((CL139-CL150)/CL139)</f>
        <v>0.99749002744428006</v>
      </c>
      <c r="CM167" s="135">
        <f t="shared" si="290"/>
        <v>1.2036801138947724</v>
      </c>
      <c r="CN167" s="135">
        <f t="shared" si="290"/>
        <v>0.90868404042701334</v>
      </c>
      <c r="CO167" s="135">
        <f t="shared" si="290"/>
        <v>1.0947136713173922</v>
      </c>
      <c r="CP167" s="135">
        <f t="shared" si="290"/>
        <v>0.99840602733935691</v>
      </c>
      <c r="CQ167" s="135">
        <f t="shared" si="290"/>
        <v>0.91625589005220931</v>
      </c>
      <c r="CR167" s="135">
        <f t="shared" si="290"/>
        <v>1.0986780266919991</v>
      </c>
      <c r="CS167" s="135">
        <f t="shared" si="290"/>
        <v>1.553811659192825</v>
      </c>
      <c r="CT167" s="135">
        <f t="shared" si="290"/>
        <v>1.5939040810513463</v>
      </c>
    </row>
    <row r="168" spans="1:117" x14ac:dyDescent="0.35">
      <c r="D168" s="205" t="s">
        <v>529</v>
      </c>
      <c r="E168" s="135">
        <f>1-((E139-E151)/E139)</f>
        <v>0.94021690942290426</v>
      </c>
      <c r="F168" s="135">
        <f t="shared" ref="F168:M168" si="291">1-((F139-F151)/F139)</f>
        <v>0.49706988964117038</v>
      </c>
      <c r="G168" s="135">
        <f t="shared" si="291"/>
        <v>1.6599222946712775</v>
      </c>
      <c r="H168" s="135">
        <f t="shared" si="291"/>
        <v>0.79893448585778082</v>
      </c>
      <c r="I168" s="135">
        <f t="shared" si="291"/>
        <v>1.0560803082273633</v>
      </c>
      <c r="J168" s="135">
        <f t="shared" si="291"/>
        <v>1.7543698596475292</v>
      </c>
      <c r="K168" s="135">
        <f t="shared" si="291"/>
        <v>0.60038697724289924</v>
      </c>
      <c r="L168" s="135">
        <f t="shared" si="291"/>
        <v>1.0686390532544379</v>
      </c>
      <c r="M168" s="135">
        <f t="shared" si="291"/>
        <v>1.1288416488101141</v>
      </c>
      <c r="S168" s="205" t="s">
        <v>529</v>
      </c>
      <c r="T168" s="135">
        <f>1-((T139-T151)/T139)</f>
        <v>1.066338625404085</v>
      </c>
      <c r="U168" s="135">
        <f t="shared" ref="U168:AB168" si="292">1-((U139-U151)/U139)</f>
        <v>1.0802050337832036</v>
      </c>
      <c r="V168" s="135">
        <f t="shared" si="292"/>
        <v>0.97216653781982554</v>
      </c>
      <c r="W168" s="135">
        <f t="shared" si="292"/>
        <v>1.0192334671313934</v>
      </c>
      <c r="X168" s="135">
        <f t="shared" si="292"/>
        <v>0.91140781258905512</v>
      </c>
      <c r="Y168" s="135">
        <f t="shared" si="292"/>
        <v>0.9194555761591271</v>
      </c>
      <c r="Z168" s="135">
        <f t="shared" si="292"/>
        <v>1.0748126616579199</v>
      </c>
      <c r="AA168" s="135">
        <f t="shared" si="292"/>
        <v>1.6512365250475585</v>
      </c>
      <c r="AB168" s="135">
        <f t="shared" si="292"/>
        <v>1.5732585173619276</v>
      </c>
      <c r="AM168" s="205" t="s">
        <v>529</v>
      </c>
      <c r="AN168" s="135">
        <f>1-((AN139-AN151)/AN139)</f>
        <v>0.8967377147413651</v>
      </c>
      <c r="AO168" s="135">
        <f t="shared" ref="AO168:AV168" si="293">1-((AO139-AO151)/AO139)</f>
        <v>0.67418078944330384</v>
      </c>
      <c r="AP168" s="135">
        <f t="shared" si="293"/>
        <v>1.2348996329325281</v>
      </c>
      <c r="AQ168" s="135">
        <f t="shared" si="293"/>
        <v>0.92843064123038344</v>
      </c>
      <c r="AR168" s="135">
        <f t="shared" si="293"/>
        <v>1.1059242989236544</v>
      </c>
      <c r="AS168" s="135">
        <f t="shared" si="293"/>
        <v>1.375281917399827</v>
      </c>
      <c r="AT168" s="135">
        <f t="shared" si="293"/>
        <v>0.72606861068763162</v>
      </c>
      <c r="AU168" s="135">
        <f t="shared" si="293"/>
        <v>0.99408284023668636</v>
      </c>
      <c r="AV168" s="135">
        <f t="shared" si="293"/>
        <v>1.1001131792209857</v>
      </c>
      <c r="BB168" s="205" t="s">
        <v>529</v>
      </c>
      <c r="BC168" s="135">
        <f>1-((BC139-BC151)/BC139)</f>
        <v>1.1352082417616649</v>
      </c>
      <c r="BD168" s="135">
        <f t="shared" ref="BD168:BK168" si="294">1-((BD139-BD151)/BD139)</f>
        <v>0.99683900586524266</v>
      </c>
      <c r="BE168" s="135">
        <f t="shared" si="294"/>
        <v>1.0664948036078448</v>
      </c>
      <c r="BF168" s="135">
        <f t="shared" si="294"/>
        <v>0.96676173674254551</v>
      </c>
      <c r="BG168" s="135">
        <f t="shared" si="294"/>
        <v>0.84863364455991097</v>
      </c>
      <c r="BH168" s="135">
        <f t="shared" si="294"/>
        <v>0.93508691331019977</v>
      </c>
      <c r="BI168" s="135">
        <f t="shared" si="294"/>
        <v>1.0416065024498526</v>
      </c>
      <c r="BJ168" s="135">
        <f t="shared" si="294"/>
        <v>1.6984615384615382</v>
      </c>
      <c r="BK168" s="135">
        <f t="shared" si="294"/>
        <v>1.53681648349392</v>
      </c>
      <c r="BR168" s="272"/>
      <c r="BV168" s="205" t="s">
        <v>529</v>
      </c>
      <c r="BW168" s="135">
        <f>1-((BW139-BW151)/BW139)</f>
        <v>0.98369610410444452</v>
      </c>
      <c r="BX168" s="135">
        <f t="shared" ref="BX168:CE168" si="295">1-((BX139-BX151)/BX139)</f>
        <v>0.31995898983903681</v>
      </c>
      <c r="BY168" s="135">
        <f t="shared" si="295"/>
        <v>2.0849449564100277</v>
      </c>
      <c r="BZ168" s="135">
        <f t="shared" si="295"/>
        <v>0.66943833048517831</v>
      </c>
      <c r="CA168" s="135">
        <f t="shared" si="295"/>
        <v>1.006236317531072</v>
      </c>
      <c r="CB168" s="135">
        <f t="shared" si="295"/>
        <v>2.1334578018952319</v>
      </c>
      <c r="CC168" s="135">
        <f t="shared" si="295"/>
        <v>0.47470534379816676</v>
      </c>
      <c r="CD168" s="135">
        <f t="shared" si="295"/>
        <v>1.1431952662721894</v>
      </c>
      <c r="CE168" s="135">
        <f t="shared" si="295"/>
        <v>1.1575701183992431</v>
      </c>
      <c r="CK168" s="205" t="s">
        <v>529</v>
      </c>
      <c r="CL168" s="135">
        <f>1-((CL139-CL151)/CL139)</f>
        <v>0.98192737111033845</v>
      </c>
      <c r="CM168" s="135">
        <f t="shared" ref="CM168:CT168" si="296">1-((CM139-CM151)/CM139)</f>
        <v>1.075287417064192</v>
      </c>
      <c r="CN168" s="135">
        <f t="shared" si="296"/>
        <v>0.95831059599343638</v>
      </c>
      <c r="CO168" s="135">
        <f t="shared" si="296"/>
        <v>1.0432405959151054</v>
      </c>
      <c r="CP168" s="135">
        <f t="shared" si="296"/>
        <v>1.0133528569693333</v>
      </c>
      <c r="CQ168" s="135">
        <f t="shared" si="296"/>
        <v>0.97468913258318257</v>
      </c>
      <c r="CR168" s="135">
        <f t="shared" si="296"/>
        <v>1.0277439107043205</v>
      </c>
      <c r="CS168" s="135">
        <f t="shared" si="296"/>
        <v>1.600896860986547</v>
      </c>
      <c r="CT168" s="135">
        <f t="shared" si="296"/>
        <v>1.6222348395320878</v>
      </c>
    </row>
    <row r="169" spans="1:117" x14ac:dyDescent="0.35">
      <c r="D169" s="196" t="s">
        <v>549</v>
      </c>
      <c r="E169" s="135">
        <f>1-((E139-E152)/E139)</f>
        <v>1.064618989876112</v>
      </c>
      <c r="F169" s="135">
        <f t="shared" ref="F169:M169" si="297">1-((F139-F152)/F139)</f>
        <v>0.44417219860871182</v>
      </c>
      <c r="G169" s="135">
        <f t="shared" si="297"/>
        <v>1.8820856678090703</v>
      </c>
      <c r="H169" s="135">
        <f t="shared" si="297"/>
        <v>0.73124561823773671</v>
      </c>
      <c r="I169" s="135">
        <f t="shared" si="297"/>
        <v>0.94006239439822636</v>
      </c>
      <c r="J169" s="135">
        <f t="shared" si="297"/>
        <v>1.7376173403915942</v>
      </c>
      <c r="K169" s="135">
        <f t="shared" si="297"/>
        <v>0.58882567166412914</v>
      </c>
      <c r="L169" s="135">
        <f t="shared" si="297"/>
        <v>1.3288954635108483</v>
      </c>
      <c r="M169" s="135">
        <f t="shared" si="297"/>
        <v>1.2380702811906139</v>
      </c>
      <c r="S169" s="196"/>
      <c r="AM169" s="196" t="s">
        <v>549</v>
      </c>
      <c r="AN169" s="135">
        <f t="shared" ref="AN169:AV169" si="298">1-((AN139-AN152)/AN139)</f>
        <v>0.95048986903587929</v>
      </c>
      <c r="AO169" s="135">
        <f t="shared" si="298"/>
        <v>0.59658059689354392</v>
      </c>
      <c r="AP169" s="135">
        <f t="shared" si="298"/>
        <v>1.4006717710573273</v>
      </c>
      <c r="AQ169" s="135">
        <f t="shared" si="298"/>
        <v>0.87792308836899602</v>
      </c>
      <c r="AR169" s="135">
        <f t="shared" si="298"/>
        <v>1.0433286801921966</v>
      </c>
      <c r="AS169" s="135">
        <f t="shared" si="298"/>
        <v>1.4705930214423821</v>
      </c>
      <c r="AT169" s="135">
        <f t="shared" si="298"/>
        <v>0.67909243526944729</v>
      </c>
      <c r="AU169" s="135">
        <f t="shared" si="298"/>
        <v>1.1666666666666667</v>
      </c>
      <c r="AV169" s="135">
        <f t="shared" si="298"/>
        <v>1.2211218257657008</v>
      </c>
      <c r="BB169" s="196"/>
      <c r="BR169" s="272"/>
      <c r="BV169" s="196" t="s">
        <v>549</v>
      </c>
      <c r="BW169" s="135">
        <f t="shared" ref="BW169:CE169" si="299">1-((BW139-BW152)/BW139)</f>
        <v>1.1787481107163464</v>
      </c>
      <c r="BX169" s="135">
        <f t="shared" si="299"/>
        <v>0.29176380032387961</v>
      </c>
      <c r="BY169" s="135">
        <f t="shared" si="299"/>
        <v>2.3634995645608132</v>
      </c>
      <c r="BZ169" s="135">
        <f t="shared" si="299"/>
        <v>0.58456814810647728</v>
      </c>
      <c r="CA169" s="135">
        <f t="shared" si="299"/>
        <v>0.83679610860425591</v>
      </c>
      <c r="CB169" s="135">
        <f t="shared" si="299"/>
        <v>2.0046416593408063</v>
      </c>
      <c r="CC169" s="135">
        <f t="shared" si="299"/>
        <v>0.49855890805881098</v>
      </c>
      <c r="CD169" s="135">
        <f t="shared" si="299"/>
        <v>1.4911242603550297</v>
      </c>
      <c r="CE169" s="135">
        <f t="shared" si="299"/>
        <v>1.2550187366155272</v>
      </c>
      <c r="CK169" s="196"/>
    </row>
    <row r="170" spans="1:117" x14ac:dyDescent="0.35">
      <c r="D170" s="205" t="s">
        <v>529</v>
      </c>
      <c r="E170" s="135">
        <f>1-((E139-E153)/E139)</f>
        <v>0.90175102190389367</v>
      </c>
      <c r="F170" s="135">
        <f t="shared" ref="F170:M170" si="300">1-((F139-F153)/F139)</f>
        <v>0.49770978020117485</v>
      </c>
      <c r="G170" s="135">
        <f t="shared" si="300"/>
        <v>1.6530240799787843</v>
      </c>
      <c r="H170" s="135">
        <f t="shared" si="300"/>
        <v>0.80103623798073409</v>
      </c>
      <c r="I170" s="135">
        <f t="shared" si="300"/>
        <v>1.1160478312279616</v>
      </c>
      <c r="J170" s="135">
        <f t="shared" si="300"/>
        <v>1.7839633366045047</v>
      </c>
      <c r="K170" s="135">
        <f t="shared" si="300"/>
        <v>0.5919095886175143</v>
      </c>
      <c r="L170" s="135">
        <f t="shared" si="300"/>
        <v>1.0976331360946745</v>
      </c>
      <c r="M170" s="135">
        <f t="shared" si="300"/>
        <v>1.2015227452210973</v>
      </c>
      <c r="S170" s="196"/>
      <c r="AM170" s="205" t="s">
        <v>529</v>
      </c>
      <c r="AN170" s="135">
        <f>1-((AN139-AN153)/AN139)</f>
        <v>0.80462386544682918</v>
      </c>
      <c r="AO170" s="135">
        <f t="shared" ref="AO170:AV170" si="301">1-((AO139-AO153)/AO139)</f>
        <v>0.70250167031254973</v>
      </c>
      <c r="AP170" s="135">
        <f t="shared" si="301"/>
        <v>1.1209588826551391</v>
      </c>
      <c r="AQ170" s="135">
        <f t="shared" si="301"/>
        <v>0.9631461762581629</v>
      </c>
      <c r="AR170" s="135">
        <f t="shared" si="301"/>
        <v>1.2459713087627262</v>
      </c>
      <c r="AS170" s="135">
        <f t="shared" si="301"/>
        <v>1.3828203925602993</v>
      </c>
      <c r="AT170" s="135">
        <f t="shared" si="301"/>
        <v>0.72631085171236132</v>
      </c>
      <c r="AU170" s="135">
        <f t="shared" si="301"/>
        <v>0.93195266272189348</v>
      </c>
      <c r="AV170" s="135">
        <f t="shared" si="301"/>
        <v>1.1493701416064184</v>
      </c>
      <c r="BB170" s="196"/>
      <c r="BR170" s="272"/>
      <c r="BV170" s="205" t="s">
        <v>529</v>
      </c>
      <c r="BW170" s="135">
        <f>1-((BW139-BW153)/BW139)</f>
        <v>0.99887817836095938</v>
      </c>
      <c r="BX170" s="135">
        <f t="shared" ref="BX170:CE170" si="302">1-((BX139-BX153)/BX139)</f>
        <v>0.29291789008979985</v>
      </c>
      <c r="BY170" s="135">
        <f t="shared" si="302"/>
        <v>2.1850892773024286</v>
      </c>
      <c r="BZ170" s="135">
        <f t="shared" si="302"/>
        <v>0.63892629970330572</v>
      </c>
      <c r="CA170" s="135">
        <f t="shared" si="302"/>
        <v>0.98612435369319718</v>
      </c>
      <c r="CB170" s="135">
        <f t="shared" si="302"/>
        <v>2.1851062806487107</v>
      </c>
      <c r="CC170" s="135">
        <f t="shared" si="302"/>
        <v>0.45750832552266718</v>
      </c>
      <c r="CD170" s="135">
        <f t="shared" si="302"/>
        <v>1.2633136094674557</v>
      </c>
      <c r="CE170" s="135">
        <f t="shared" si="302"/>
        <v>1.2536753488357764</v>
      </c>
      <c r="CK170" s="196"/>
    </row>
    <row r="171" spans="1:117" s="214" customFormat="1" x14ac:dyDescent="0.35">
      <c r="A171" s="194"/>
      <c r="B171" s="135"/>
      <c r="C171" s="135"/>
      <c r="D171" s="205"/>
      <c r="E171" s="135"/>
      <c r="F171" s="135"/>
      <c r="G171" s="135"/>
      <c r="H171" s="135"/>
      <c r="I171" s="135"/>
      <c r="J171" s="135"/>
      <c r="K171" s="135"/>
      <c r="L171" s="135"/>
      <c r="M171" s="135"/>
      <c r="N171" s="135"/>
      <c r="O171" s="135"/>
      <c r="P171" s="194"/>
      <c r="Q171" s="135"/>
      <c r="R171" s="135"/>
      <c r="S171" s="135"/>
      <c r="T171" s="194"/>
      <c r="U171" s="194"/>
      <c r="V171" s="194"/>
      <c r="W171" s="194"/>
      <c r="X171" s="194"/>
      <c r="Y171" s="194"/>
      <c r="Z171" s="194"/>
      <c r="AA171" s="194"/>
      <c r="AB171" s="194"/>
      <c r="AC171" s="135"/>
      <c r="AD171" s="135"/>
      <c r="AE171" s="135"/>
      <c r="AF171" s="135"/>
      <c r="AG171" s="135"/>
      <c r="AH171" s="135"/>
      <c r="AI171" s="272"/>
      <c r="AJ171" s="194"/>
      <c r="AK171" s="135"/>
      <c r="AL171" s="135"/>
      <c r="AM171" s="205"/>
      <c r="AN171" s="135"/>
      <c r="AO171" s="135"/>
      <c r="AP171" s="135"/>
      <c r="AQ171" s="135"/>
      <c r="AR171" s="135"/>
      <c r="AS171" s="135"/>
      <c r="AT171" s="135"/>
      <c r="AU171" s="135"/>
      <c r="AV171" s="135"/>
      <c r="AW171" s="135"/>
      <c r="AX171" s="135"/>
      <c r="AY171" s="194"/>
      <c r="AZ171" s="135"/>
      <c r="BA171" s="135"/>
      <c r="BB171" s="135"/>
      <c r="BC171" s="194"/>
      <c r="BD171" s="194"/>
      <c r="BE171" s="194"/>
      <c r="BF171" s="194"/>
      <c r="BG171" s="194"/>
      <c r="BH171" s="194"/>
      <c r="BI171" s="194"/>
      <c r="BJ171" s="194"/>
      <c r="BK171" s="194"/>
      <c r="BL171" s="135"/>
      <c r="BM171" s="135"/>
      <c r="BN171" s="135"/>
      <c r="BO171" s="135"/>
      <c r="BP171" s="135"/>
      <c r="BQ171" s="135"/>
      <c r="BR171" s="272"/>
      <c r="BS171" s="194"/>
      <c r="BT171" s="135"/>
      <c r="BU171" s="135"/>
      <c r="BV171" s="205"/>
      <c r="BW171" s="135"/>
      <c r="BX171" s="135"/>
      <c r="BY171" s="135"/>
      <c r="BZ171" s="135"/>
      <c r="CA171" s="135"/>
      <c r="CB171" s="135"/>
      <c r="CC171" s="135"/>
      <c r="CD171" s="135"/>
      <c r="CE171" s="135"/>
      <c r="CF171" s="135"/>
      <c r="CG171" s="135"/>
      <c r="CH171" s="194"/>
      <c r="CI171" s="135"/>
      <c r="CJ171" s="135"/>
      <c r="CK171" s="135"/>
      <c r="CL171" s="194"/>
      <c r="CM171" s="194"/>
      <c r="CN171" s="194"/>
      <c r="CO171" s="194"/>
      <c r="CP171" s="194"/>
      <c r="CQ171" s="194"/>
      <c r="CR171" s="194"/>
      <c r="CS171" s="194"/>
      <c r="CT171" s="194"/>
      <c r="CU171" s="135"/>
      <c r="CV171" s="135"/>
      <c r="CW171" s="135"/>
      <c r="CX171" s="135"/>
      <c r="CY171" s="135"/>
      <c r="CZ171" s="135"/>
      <c r="DA171" s="135"/>
      <c r="DB171" s="135"/>
      <c r="DC171" s="135"/>
      <c r="DD171" s="135"/>
      <c r="DE171" s="135"/>
      <c r="DF171" s="135"/>
      <c r="DG171" s="135"/>
      <c r="DH171" s="135"/>
      <c r="DI171" s="135"/>
      <c r="DJ171" s="135"/>
      <c r="DK171" s="135"/>
      <c r="DL171" s="135"/>
      <c r="DM171" s="135"/>
    </row>
    <row r="172" spans="1:117" x14ac:dyDescent="0.35">
      <c r="A172" s="216"/>
      <c r="B172" s="214"/>
      <c r="C172" s="214"/>
      <c r="D172" s="215"/>
      <c r="E172" s="214"/>
      <c r="F172" s="214"/>
      <c r="G172" s="214"/>
      <c r="H172" s="214"/>
      <c r="I172" s="214"/>
      <c r="J172" s="214"/>
      <c r="K172" s="214"/>
      <c r="L172" s="214"/>
      <c r="M172" s="214"/>
      <c r="N172" s="214"/>
      <c r="O172" s="214"/>
      <c r="P172" s="216"/>
      <c r="Q172" s="214"/>
      <c r="R172" s="214"/>
      <c r="S172" s="214"/>
      <c r="T172" s="216"/>
      <c r="U172" s="216"/>
      <c r="V172" s="216"/>
      <c r="W172" s="216"/>
      <c r="X172" s="216"/>
      <c r="Y172" s="216"/>
      <c r="Z172" s="216"/>
      <c r="AA172" s="216"/>
      <c r="AB172" s="216"/>
      <c r="AC172" s="214"/>
      <c r="AD172" s="214"/>
      <c r="AE172" s="214"/>
      <c r="AF172" s="214"/>
      <c r="AG172" s="214"/>
      <c r="AH172" s="214"/>
      <c r="AJ172" s="216"/>
      <c r="AK172" s="214"/>
      <c r="AL172" s="214"/>
      <c r="AM172" s="215"/>
      <c r="AN172" s="214"/>
      <c r="AO172" s="214"/>
      <c r="AP172" s="214"/>
      <c r="AQ172" s="214"/>
      <c r="AR172" s="214"/>
      <c r="AS172" s="214"/>
      <c r="AT172" s="214"/>
      <c r="AU172" s="214"/>
      <c r="AV172" s="214"/>
      <c r="AW172" s="214"/>
      <c r="AX172" s="214"/>
      <c r="AY172" s="216"/>
      <c r="AZ172" s="214"/>
      <c r="BA172" s="214"/>
      <c r="BB172" s="214"/>
      <c r="BC172" s="216"/>
      <c r="BD172" s="216"/>
      <c r="BE172" s="216"/>
      <c r="BF172" s="216"/>
      <c r="BG172" s="216"/>
      <c r="BH172" s="216"/>
      <c r="BI172" s="216"/>
      <c r="BJ172" s="216"/>
      <c r="BK172" s="216"/>
      <c r="BL172" s="214"/>
      <c r="BM172" s="214"/>
      <c r="BN172" s="214"/>
      <c r="BO172" s="214"/>
      <c r="BP172" s="214"/>
      <c r="BQ172" s="214"/>
      <c r="BR172" s="272"/>
      <c r="BS172" s="216"/>
      <c r="BT172" s="214"/>
      <c r="BU172" s="214"/>
      <c r="BV172" s="215"/>
      <c r="BW172" s="214"/>
      <c r="BX172" s="214"/>
      <c r="BY172" s="214"/>
      <c r="BZ172" s="214"/>
      <c r="CA172" s="214"/>
      <c r="CB172" s="214"/>
      <c r="CC172" s="214"/>
      <c r="CD172" s="214"/>
      <c r="CE172" s="214"/>
      <c r="CF172" s="214"/>
      <c r="CG172" s="214"/>
      <c r="CH172" s="216"/>
      <c r="CI172" s="214"/>
      <c r="CJ172" s="214"/>
      <c r="CK172" s="214"/>
      <c r="CL172" s="216"/>
      <c r="CM172" s="216"/>
      <c r="CN172" s="216"/>
      <c r="CO172" s="216"/>
      <c r="CP172" s="216"/>
      <c r="CQ172" s="216"/>
      <c r="CR172" s="216"/>
      <c r="CS172" s="216"/>
      <c r="CT172" s="216"/>
      <c r="CU172" s="214"/>
      <c r="CV172" s="214"/>
      <c r="CW172" s="214"/>
      <c r="CX172" s="214"/>
      <c r="CY172" s="214"/>
      <c r="CZ172" s="214"/>
      <c r="DA172" s="214"/>
      <c r="DB172" s="214"/>
      <c r="DC172" s="214"/>
      <c r="DD172" s="214"/>
      <c r="DE172" s="214"/>
      <c r="DF172" s="214"/>
      <c r="DG172" s="214"/>
      <c r="DH172" s="214"/>
      <c r="DI172" s="214"/>
      <c r="DJ172" s="214"/>
      <c r="DK172" s="214"/>
      <c r="DL172" s="214"/>
      <c r="DM172" s="214"/>
    </row>
    <row r="173" spans="1:117" x14ac:dyDescent="0.35">
      <c r="BR173" s="272"/>
    </row>
    <row r="174" spans="1:117" x14ac:dyDescent="0.35">
      <c r="D174" s="195" t="s">
        <v>448</v>
      </c>
      <c r="S174" s="195" t="s">
        <v>448</v>
      </c>
      <c r="AM174" s="195" t="s">
        <v>448</v>
      </c>
      <c r="BB174" s="195" t="s">
        <v>448</v>
      </c>
      <c r="BR174" s="272"/>
      <c r="BV174" s="195" t="s">
        <v>448</v>
      </c>
      <c r="CK174" s="195" t="s">
        <v>448</v>
      </c>
    </row>
    <row r="175" spans="1:117" ht="16" thickBot="1" x14ac:dyDescent="0.4">
      <c r="D175" s="9" t="s">
        <v>444</v>
      </c>
      <c r="E175" s="9" t="s">
        <v>3</v>
      </c>
      <c r="F175" s="9" t="s">
        <v>4</v>
      </c>
      <c r="G175" s="9" t="s">
        <v>5</v>
      </c>
      <c r="H175" s="9" t="s">
        <v>6</v>
      </c>
      <c r="I175" s="9" t="s">
        <v>7</v>
      </c>
      <c r="J175" s="9" t="s">
        <v>8</v>
      </c>
      <c r="K175" s="9" t="s">
        <v>9</v>
      </c>
      <c r="L175" s="9" t="s">
        <v>10</v>
      </c>
      <c r="M175" s="9" t="s">
        <v>139</v>
      </c>
      <c r="S175" s="9" t="s">
        <v>444</v>
      </c>
      <c r="T175" s="9" t="s">
        <v>3</v>
      </c>
      <c r="U175" s="9" t="s">
        <v>4</v>
      </c>
      <c r="V175" s="9" t="s">
        <v>5</v>
      </c>
      <c r="W175" s="9" t="s">
        <v>6</v>
      </c>
      <c r="X175" s="9" t="s">
        <v>7</v>
      </c>
      <c r="Y175" s="9" t="s">
        <v>8</v>
      </c>
      <c r="Z175" s="9" t="s">
        <v>9</v>
      </c>
      <c r="AA175" s="9" t="s">
        <v>10</v>
      </c>
      <c r="AB175" s="9" t="s">
        <v>139</v>
      </c>
      <c r="AM175" s="9" t="s">
        <v>444</v>
      </c>
      <c r="AN175" s="9" t="s">
        <v>3</v>
      </c>
      <c r="AO175" s="9" t="s">
        <v>4</v>
      </c>
      <c r="AP175" s="9" t="s">
        <v>5</v>
      </c>
      <c r="AQ175" s="9" t="s">
        <v>6</v>
      </c>
      <c r="AR175" s="9" t="s">
        <v>7</v>
      </c>
      <c r="AS175" s="9" t="s">
        <v>8</v>
      </c>
      <c r="AT175" s="9" t="s">
        <v>9</v>
      </c>
      <c r="AU175" s="9" t="s">
        <v>10</v>
      </c>
      <c r="AV175" s="9" t="s">
        <v>139</v>
      </c>
      <c r="BB175" s="9" t="s">
        <v>444</v>
      </c>
      <c r="BC175" s="9" t="s">
        <v>3</v>
      </c>
      <c r="BD175" s="9" t="s">
        <v>4</v>
      </c>
      <c r="BE175" s="9" t="s">
        <v>5</v>
      </c>
      <c r="BF175" s="9" t="s">
        <v>6</v>
      </c>
      <c r="BG175" s="9" t="s">
        <v>7</v>
      </c>
      <c r="BH175" s="9" t="s">
        <v>8</v>
      </c>
      <c r="BI175" s="9" t="s">
        <v>9</v>
      </c>
      <c r="BJ175" s="9" t="s">
        <v>10</v>
      </c>
      <c r="BK175" s="9" t="s">
        <v>139</v>
      </c>
      <c r="BR175" s="272"/>
      <c r="BV175" s="9" t="s">
        <v>444</v>
      </c>
      <c r="BW175" s="9" t="s">
        <v>3</v>
      </c>
      <c r="BX175" s="9" t="s">
        <v>4</v>
      </c>
      <c r="BY175" s="9" t="s">
        <v>5</v>
      </c>
      <c r="BZ175" s="9" t="s">
        <v>6</v>
      </c>
      <c r="CA175" s="9" t="s">
        <v>7</v>
      </c>
      <c r="CB175" s="9" t="s">
        <v>8</v>
      </c>
      <c r="CC175" s="9" t="s">
        <v>9</v>
      </c>
      <c r="CD175" s="9" t="s">
        <v>10</v>
      </c>
      <c r="CE175" s="9" t="s">
        <v>139</v>
      </c>
      <c r="CK175" s="9" t="s">
        <v>444</v>
      </c>
      <c r="CL175" s="9" t="s">
        <v>3</v>
      </c>
      <c r="CM175" s="9" t="s">
        <v>4</v>
      </c>
      <c r="CN175" s="9" t="s">
        <v>5</v>
      </c>
      <c r="CO175" s="9" t="s">
        <v>6</v>
      </c>
      <c r="CP175" s="9" t="s">
        <v>7</v>
      </c>
      <c r="CQ175" s="9" t="s">
        <v>8</v>
      </c>
      <c r="CR175" s="9" t="s">
        <v>9</v>
      </c>
      <c r="CS175" s="9" t="s">
        <v>10</v>
      </c>
      <c r="CT175" s="9" t="s">
        <v>139</v>
      </c>
    </row>
    <row r="176" spans="1:117" x14ac:dyDescent="0.35">
      <c r="D176" s="196" t="s">
        <v>530</v>
      </c>
      <c r="E176" s="135">
        <v>3.2848775000000021</v>
      </c>
      <c r="F176" s="289">
        <v>6.1151333333333318</v>
      </c>
      <c r="G176" s="135">
        <v>0.35026243911576321</v>
      </c>
      <c r="H176" s="135">
        <v>0.64973756088423673</v>
      </c>
      <c r="I176" s="135">
        <v>0.31703583122020634</v>
      </c>
      <c r="J176" s="135">
        <v>0.10737190789071832</v>
      </c>
      <c r="K176" s="135">
        <v>9.400010833333333</v>
      </c>
      <c r="L176" s="135">
        <v>18</v>
      </c>
      <c r="M176" s="135">
        <v>5.5489177623547272</v>
      </c>
      <c r="S176" s="196" t="s">
        <v>530</v>
      </c>
      <c r="T176" s="135">
        <v>3.0623415789473682</v>
      </c>
      <c r="U176" s="289">
        <v>8.7185394736842117</v>
      </c>
      <c r="V176" s="135">
        <v>0.27109652832576431</v>
      </c>
      <c r="W176" s="135">
        <v>0.72890347167423553</v>
      </c>
      <c r="X176" s="135">
        <v>0.32769912799320783</v>
      </c>
      <c r="Y176" s="135">
        <v>8.8378293854748047E-2</v>
      </c>
      <c r="Z176" s="135">
        <v>11.780881052631578</v>
      </c>
      <c r="AA176" s="135">
        <v>18.842105263157894</v>
      </c>
      <c r="AB176" s="135">
        <v>6.1518000114950553</v>
      </c>
      <c r="AM176" s="196" t="s">
        <v>530</v>
      </c>
      <c r="AN176" s="13">
        <v>3.2848775000000021</v>
      </c>
      <c r="AO176" s="13">
        <v>6.1151333333333318</v>
      </c>
      <c r="AP176" s="13">
        <v>0.35026243911576321</v>
      </c>
      <c r="AQ176" s="13">
        <v>0.64973756088423673</v>
      </c>
      <c r="AR176" s="13">
        <v>0.31703583122020634</v>
      </c>
      <c r="AS176" s="13">
        <v>0.10737190789071832</v>
      </c>
      <c r="AT176" s="13">
        <v>9.400010833333333</v>
      </c>
      <c r="AU176" s="13">
        <v>18</v>
      </c>
      <c r="AV176" s="13">
        <v>5.5489177623547272</v>
      </c>
      <c r="AW176" s="282" t="s">
        <v>721</v>
      </c>
      <c r="AX176" s="273" t="s">
        <v>724</v>
      </c>
      <c r="AY176" s="273"/>
      <c r="AZ176" s="273"/>
      <c r="BB176" s="196" t="s">
        <v>530</v>
      </c>
      <c r="BC176" s="135">
        <v>2.9940028571428576</v>
      </c>
      <c r="BD176" s="135">
        <v>10.675785714285711</v>
      </c>
      <c r="BE176" s="135">
        <v>0.23137197960781059</v>
      </c>
      <c r="BF176" s="135">
        <v>0.76862802039218947</v>
      </c>
      <c r="BG176" s="135">
        <v>0.33528464081640869</v>
      </c>
      <c r="BH176" s="135">
        <v>7.7204342613464511E-2</v>
      </c>
      <c r="BI176" s="135">
        <v>13.669788571428569</v>
      </c>
      <c r="BJ176" s="135">
        <v>18.857142857142858</v>
      </c>
      <c r="BK176" s="135">
        <v>6.2982466508546207</v>
      </c>
      <c r="BR176" s="272"/>
      <c r="BV176" s="196" t="s">
        <v>530</v>
      </c>
      <c r="BW176" s="135">
        <v>3.2848775000000021</v>
      </c>
      <c r="BX176" s="135">
        <v>6.1151333333333318</v>
      </c>
      <c r="BY176" s="135">
        <v>0.35026243911576321</v>
      </c>
      <c r="BZ176" s="135">
        <v>0.64973756088423673</v>
      </c>
      <c r="CA176" s="135">
        <v>0.31703583122020634</v>
      </c>
      <c r="CB176" s="135">
        <v>0.10737190789071832</v>
      </c>
      <c r="CC176" s="135">
        <v>9.400010833333333</v>
      </c>
      <c r="CD176" s="135">
        <v>18</v>
      </c>
      <c r="CE176" s="135">
        <v>5.5489177623547272</v>
      </c>
      <c r="CK176" s="196" t="s">
        <v>530</v>
      </c>
      <c r="CL176" s="135">
        <v>3.1022058333333327</v>
      </c>
      <c r="CM176" s="135">
        <v>7.5768125000000017</v>
      </c>
      <c r="CN176" s="135">
        <v>0.29426918174457067</v>
      </c>
      <c r="CO176" s="135">
        <v>0.70573081825542927</v>
      </c>
      <c r="CP176" s="135">
        <v>0.32327424551300737</v>
      </c>
      <c r="CQ176" s="135">
        <v>9.4896432078830098E-2</v>
      </c>
      <c r="CR176" s="135">
        <v>10.679018333333334</v>
      </c>
      <c r="CS176" s="135">
        <v>18.833333333333332</v>
      </c>
      <c r="CT176" s="135">
        <v>6.0663728052019756</v>
      </c>
    </row>
    <row r="177" spans="4:98" x14ac:dyDescent="0.35">
      <c r="D177" s="196" t="s">
        <v>538</v>
      </c>
      <c r="E177" s="135">
        <v>3.885268333333332</v>
      </c>
      <c r="F177" s="135">
        <v>5.9143433333333304</v>
      </c>
      <c r="G177" s="135">
        <v>0.39715642742449792</v>
      </c>
      <c r="H177" s="135">
        <v>0.60284357257550203</v>
      </c>
      <c r="I177" s="135">
        <v>0.26073641792141755</v>
      </c>
      <c r="J177" s="135">
        <v>0.10263224696425839</v>
      </c>
      <c r="K177" s="135">
        <v>9.7996116666666673</v>
      </c>
      <c r="L177" s="135">
        <v>21.166666666666668</v>
      </c>
      <c r="M177" s="135">
        <v>5.4737456766190098</v>
      </c>
      <c r="S177" s="205" t="s">
        <v>539</v>
      </c>
      <c r="T177" s="135">
        <v>2.9551371428571422</v>
      </c>
      <c r="U177" s="135">
        <v>12.538245714285717</v>
      </c>
      <c r="V177" s="135">
        <v>0.19282887532359788</v>
      </c>
      <c r="W177" s="135">
        <v>0.80717112467640206</v>
      </c>
      <c r="X177" s="135">
        <v>0.34560707941078467</v>
      </c>
      <c r="Y177" s="135">
        <v>6.5367710618051134E-2</v>
      </c>
      <c r="Z177" s="135">
        <v>15.493382857142858</v>
      </c>
      <c r="AA177" s="135">
        <v>14.285714285714286</v>
      </c>
      <c r="AB177" s="135">
        <v>4.8621473402413971</v>
      </c>
      <c r="AM177" s="196" t="s">
        <v>538</v>
      </c>
      <c r="AN177" s="135">
        <v>3.885268333333332</v>
      </c>
      <c r="AO177" s="135">
        <v>5.9143433333333348</v>
      </c>
      <c r="AP177" s="135">
        <v>0.39715642742449792</v>
      </c>
      <c r="AQ177" s="135">
        <v>0.60284357257550203</v>
      </c>
      <c r="AR177" s="135">
        <v>0.26073641792141755</v>
      </c>
      <c r="AS177" s="135">
        <v>0.10263224696425839</v>
      </c>
      <c r="AT177" s="135">
        <v>9.7996116666666673</v>
      </c>
      <c r="AU177" s="135">
        <v>21.166666666666668</v>
      </c>
      <c r="AV177" s="135">
        <v>5.4737456766190098</v>
      </c>
      <c r="AW177" s="282" t="s">
        <v>721</v>
      </c>
      <c r="AX177" s="273" t="s">
        <v>724</v>
      </c>
      <c r="AY177" s="273"/>
      <c r="AZ177" s="273"/>
      <c r="BB177" s="205" t="s">
        <v>539</v>
      </c>
      <c r="BC177" s="135">
        <v>2.9551371428571422</v>
      </c>
      <c r="BD177" s="135">
        <v>12.538245714285717</v>
      </c>
      <c r="BE177" s="135">
        <v>0.19282887532359788</v>
      </c>
      <c r="BF177" s="135">
        <v>0.80717112467640206</v>
      </c>
      <c r="BG177" s="135">
        <v>0.34560707941078467</v>
      </c>
      <c r="BH177" s="135">
        <v>6.5367710618051134E-2</v>
      </c>
      <c r="BI177" s="135">
        <v>15.493382857142858</v>
      </c>
      <c r="BJ177" s="135">
        <v>14.285714285714286</v>
      </c>
      <c r="BK177" s="135">
        <v>4.8621473402413971</v>
      </c>
      <c r="BL177" s="282" t="s">
        <v>721</v>
      </c>
      <c r="BM177" s="273" t="s">
        <v>726</v>
      </c>
      <c r="BN177" s="273"/>
      <c r="BO177" s="273"/>
      <c r="BR177" s="272"/>
      <c r="BV177" s="196" t="s">
        <v>538</v>
      </c>
      <c r="BW177" s="135">
        <v>3.885268333333332</v>
      </c>
      <c r="BX177" s="135">
        <v>5.9143433333333348</v>
      </c>
      <c r="BY177" s="135">
        <v>0.39715642742449792</v>
      </c>
      <c r="BZ177" s="135">
        <v>0.60284357257550203</v>
      </c>
      <c r="CA177" s="135">
        <v>0.26073641792141755</v>
      </c>
      <c r="CB177" s="135">
        <v>0.10263224696425839</v>
      </c>
      <c r="CC177" s="135">
        <v>9.7996116666666673</v>
      </c>
      <c r="CD177" s="135">
        <v>21.166666666666668</v>
      </c>
      <c r="CE177" s="135">
        <v>5.4737456766190098</v>
      </c>
      <c r="CK177" s="205" t="s">
        <v>539</v>
      </c>
      <c r="CL177" s="135">
        <v>2.9551371428571422</v>
      </c>
      <c r="CM177" s="135">
        <v>12.538245714285717</v>
      </c>
      <c r="CN177" s="135">
        <v>0.19282887532359788</v>
      </c>
      <c r="CO177" s="135">
        <v>0.80717112467640206</v>
      </c>
      <c r="CP177" s="135">
        <v>0.34560707941078467</v>
      </c>
      <c r="CQ177" s="135">
        <v>6.5367710618051134E-2</v>
      </c>
      <c r="CR177" s="135">
        <v>15.493382857142858</v>
      </c>
      <c r="CS177" s="135">
        <v>14.285714285714286</v>
      </c>
      <c r="CT177" s="135">
        <v>4.8621473402413971</v>
      </c>
    </row>
    <row r="178" spans="4:98" x14ac:dyDescent="0.35">
      <c r="D178" s="205" t="s">
        <v>529</v>
      </c>
      <c r="E178" s="135">
        <v>3.0187499999999985</v>
      </c>
      <c r="F178" s="289">
        <v>7.2699263636363645</v>
      </c>
      <c r="G178" s="135">
        <v>0.29368898238609076</v>
      </c>
      <c r="H178" s="135">
        <v>0.70631101761390924</v>
      </c>
      <c r="I178" s="135">
        <v>0.33658418359662784</v>
      </c>
      <c r="J178" s="135">
        <v>9.7683645775158812E-2</v>
      </c>
      <c r="K178" s="135">
        <v>10.288676363636363</v>
      </c>
      <c r="L178" s="135">
        <v>17.454545454545453</v>
      </c>
      <c r="M178" s="135">
        <v>5.8165658510885896</v>
      </c>
      <c r="S178" s="237" t="s">
        <v>534</v>
      </c>
      <c r="T178" s="135">
        <v>3.3066159999999996</v>
      </c>
      <c r="U178" s="135">
        <v>8.5996240000000004</v>
      </c>
      <c r="V178" s="135">
        <v>0.27773374916111787</v>
      </c>
      <c r="W178" s="135">
        <v>0.72226625083888218</v>
      </c>
      <c r="X178" s="135">
        <v>0.30827610211918455</v>
      </c>
      <c r="Y178" s="135">
        <v>8.4558639091529095E-2</v>
      </c>
      <c r="Z178" s="135">
        <v>11.90624</v>
      </c>
      <c r="AA178" s="135">
        <v>18.7</v>
      </c>
      <c r="AB178" s="135">
        <v>5.6971959793500426</v>
      </c>
      <c r="AM178" s="205" t="s">
        <v>529</v>
      </c>
      <c r="AN178" s="135">
        <v>3.0187499999999985</v>
      </c>
      <c r="AO178" s="135">
        <v>7.2699263636363645</v>
      </c>
      <c r="AP178" s="135">
        <v>0.29368898238609076</v>
      </c>
      <c r="AQ178" s="135">
        <v>0.70631101761390924</v>
      </c>
      <c r="AR178" s="135">
        <v>0.33658418359662784</v>
      </c>
      <c r="AS178" s="135">
        <v>9.7683645775158812E-2</v>
      </c>
      <c r="AT178" s="135">
        <v>10.288676363636363</v>
      </c>
      <c r="AU178" s="135">
        <v>17.454545454545453</v>
      </c>
      <c r="AV178" s="135">
        <v>5.8165658510885896</v>
      </c>
      <c r="AW178" s="282" t="s">
        <v>721</v>
      </c>
      <c r="AX178" s="273" t="s">
        <v>724</v>
      </c>
      <c r="AY178" s="273"/>
      <c r="AZ178" s="273"/>
      <c r="BB178" s="205" t="s">
        <v>534</v>
      </c>
      <c r="BC178" s="135">
        <v>3.1224366666666654</v>
      </c>
      <c r="BD178" s="135">
        <v>7.654390000000002</v>
      </c>
      <c r="BE178" s="135">
        <v>0.28982777793653081</v>
      </c>
      <c r="BF178" s="135">
        <v>0.71017222206346931</v>
      </c>
      <c r="BG178" s="135">
        <v>0.32201696104394345</v>
      </c>
      <c r="BH178" s="135">
        <v>9.2794936877764342E-2</v>
      </c>
      <c r="BI178" s="135">
        <v>10.776826666666667</v>
      </c>
      <c r="BJ178" s="135">
        <v>18</v>
      </c>
      <c r="BK178" s="135">
        <v>5.7794454700982527</v>
      </c>
      <c r="BR178" s="272"/>
      <c r="BV178" s="205" t="s">
        <v>529</v>
      </c>
      <c r="BW178" s="135">
        <v>3.0187499999999985</v>
      </c>
      <c r="BX178" s="135">
        <v>7.2699263636363645</v>
      </c>
      <c r="BY178" s="135">
        <v>0.29368898238609076</v>
      </c>
      <c r="BZ178" s="135">
        <v>0.70631101761390924</v>
      </c>
      <c r="CA178" s="135">
        <v>0.33658418359662784</v>
      </c>
      <c r="CB178" s="135">
        <v>9.7683645775158812E-2</v>
      </c>
      <c r="CC178" s="135">
        <v>10.288676363636363</v>
      </c>
      <c r="CD178" s="135">
        <v>17.454545454545453</v>
      </c>
      <c r="CE178" s="135">
        <v>5.8165658510885896</v>
      </c>
      <c r="CK178" s="205" t="s">
        <v>534</v>
      </c>
      <c r="CL178" s="135">
        <v>3.3855499999999998</v>
      </c>
      <c r="CM178" s="135">
        <v>9.0047242857142855</v>
      </c>
      <c r="CN178" s="135">
        <v>0.27255059397165521</v>
      </c>
      <c r="CO178" s="135">
        <v>0.72744940602834496</v>
      </c>
      <c r="CP178" s="135">
        <v>0.30238716258000203</v>
      </c>
      <c r="CQ178" s="135">
        <v>8.1028797183142584E-2</v>
      </c>
      <c r="CR178" s="135">
        <v>12.390274285714284</v>
      </c>
      <c r="CS178" s="135">
        <v>19</v>
      </c>
      <c r="CT178" s="135">
        <v>5.6619461976008081</v>
      </c>
    </row>
    <row r="179" spans="4:98" x14ac:dyDescent="0.35">
      <c r="D179" s="196" t="s">
        <v>553</v>
      </c>
      <c r="E179" s="135">
        <v>3.5155574999999999</v>
      </c>
      <c r="F179" s="135">
        <v>6.3369566666666666</v>
      </c>
      <c r="G179" s="135">
        <v>0.35595878612047355</v>
      </c>
      <c r="H179" s="135">
        <v>0.6440412138795264</v>
      </c>
      <c r="I179" s="135">
        <v>0.29209747534327385</v>
      </c>
      <c r="J179" s="135">
        <v>0.10173409762816915</v>
      </c>
      <c r="K179" s="135">
        <v>9.8525141666666674</v>
      </c>
      <c r="L179" s="135">
        <v>21.416666666666668</v>
      </c>
      <c r="M179" s="135">
        <v>6.1476007524367846</v>
      </c>
      <c r="S179" s="205" t="s">
        <v>529</v>
      </c>
      <c r="T179" s="135">
        <v>2.9025129999999946</v>
      </c>
      <c r="U179" s="289">
        <v>8.3196510000000057</v>
      </c>
      <c r="V179" s="135">
        <v>0.25820678053132701</v>
      </c>
      <c r="W179" s="135">
        <v>0.74179321946867316</v>
      </c>
      <c r="X179" s="135">
        <v>0.36667708862981352</v>
      </c>
      <c r="Y179" s="135">
        <v>9.0945897866718473E-2</v>
      </c>
      <c r="Z179" s="135">
        <v>11.222164000000001</v>
      </c>
      <c r="AA179" s="135">
        <v>17.899999999999999</v>
      </c>
      <c r="AB179" s="135">
        <v>6.2874534506982895</v>
      </c>
      <c r="AM179" s="196" t="s">
        <v>553</v>
      </c>
      <c r="AN179" s="135">
        <v>3.5155574999999999</v>
      </c>
      <c r="AO179" s="135">
        <v>6.3369566666666666</v>
      </c>
      <c r="AP179" s="135">
        <v>0.35595878612047355</v>
      </c>
      <c r="AQ179" s="135">
        <v>0.6440412138795264</v>
      </c>
      <c r="AR179" s="135">
        <v>0.29209747534327385</v>
      </c>
      <c r="AS179" s="135">
        <v>0.10173409762816915</v>
      </c>
      <c r="AT179" s="135">
        <v>9.8525141666666674</v>
      </c>
      <c r="AU179" s="135">
        <v>21.416666666666668</v>
      </c>
      <c r="AV179" s="135">
        <v>6.1476007524367846</v>
      </c>
      <c r="AW179" s="282" t="s">
        <v>721</v>
      </c>
      <c r="AX179" s="273" t="s">
        <v>724</v>
      </c>
      <c r="AY179" s="273"/>
      <c r="AZ179" s="273"/>
      <c r="BB179" s="205" t="s">
        <v>529</v>
      </c>
      <c r="BC179" s="135">
        <v>2.2655733333333266</v>
      </c>
      <c r="BD179" s="135">
        <v>7.3798433333333406</v>
      </c>
      <c r="BE179" s="135">
        <v>0.234747107832425</v>
      </c>
      <c r="BF179" s="135">
        <v>0.76525289216757508</v>
      </c>
      <c r="BG179" s="135">
        <v>0.48417257903013516</v>
      </c>
      <c r="BH179" s="135">
        <v>0.10517558192687804</v>
      </c>
      <c r="BI179" s="135">
        <v>9.6454166666666676</v>
      </c>
      <c r="BJ179" s="135">
        <v>15.666666666666666</v>
      </c>
      <c r="BK179" s="135">
        <v>7.1322753048730929</v>
      </c>
      <c r="BR179" s="272"/>
      <c r="BV179" s="196" t="s">
        <v>553</v>
      </c>
      <c r="BW179" s="135">
        <v>3.5155574999999999</v>
      </c>
      <c r="BX179" s="135">
        <v>6.3369566666666666</v>
      </c>
      <c r="BY179" s="135">
        <v>0.35595878612047355</v>
      </c>
      <c r="BZ179" s="135">
        <v>0.6440412138795264</v>
      </c>
      <c r="CA179" s="135">
        <v>0.29209747534327385</v>
      </c>
      <c r="CB179" s="135">
        <v>0.10173409762816915</v>
      </c>
      <c r="CC179" s="135">
        <v>9.8525141666666674</v>
      </c>
      <c r="CD179" s="135">
        <v>21.416666666666668</v>
      </c>
      <c r="CE179" s="135">
        <v>6.1476007524367846</v>
      </c>
      <c r="CK179" s="205" t="s">
        <v>529</v>
      </c>
      <c r="CL179" s="135">
        <v>3.1754871428571385</v>
      </c>
      <c r="CM179" s="135">
        <v>8.7224257142857198</v>
      </c>
      <c r="CN179" s="135">
        <v>0.26826092597371359</v>
      </c>
      <c r="CO179" s="135">
        <v>0.73173907402628657</v>
      </c>
      <c r="CP179" s="135">
        <v>0.31632187845824716</v>
      </c>
      <c r="CQ179" s="135">
        <v>8.4847461840935834E-2</v>
      </c>
      <c r="CR179" s="135">
        <v>11.897912857142858</v>
      </c>
      <c r="CS179" s="135">
        <v>18.857142857142858</v>
      </c>
      <c r="CT179" s="135">
        <v>5.9253869417662299</v>
      </c>
    </row>
    <row r="180" spans="4:98" x14ac:dyDescent="0.35">
      <c r="D180" s="205" t="s">
        <v>529</v>
      </c>
      <c r="E180" s="135">
        <v>2.8354163636363654</v>
      </c>
      <c r="F180" s="289">
        <v>7.2608536363636347</v>
      </c>
      <c r="G180" s="135">
        <v>0.28183209536614046</v>
      </c>
      <c r="H180" s="135">
        <v>0.7181679046338596</v>
      </c>
      <c r="I180" s="135">
        <v>0.35424093547205121</v>
      </c>
      <c r="J180" s="135">
        <v>9.9805381727433196E-2</v>
      </c>
      <c r="K180" s="135">
        <v>10.096270000000001</v>
      </c>
      <c r="L180" s="135">
        <v>16.90909090909091</v>
      </c>
      <c r="M180" s="135">
        <v>5.9708166186112326</v>
      </c>
      <c r="S180" s="205" t="s">
        <v>532</v>
      </c>
      <c r="T180" s="135">
        <v>2.843993750000001</v>
      </c>
      <c r="U180" s="135">
        <v>11.40952375</v>
      </c>
      <c r="V180" s="135">
        <v>0.20987268675936693</v>
      </c>
      <c r="W180" s="135">
        <v>0.79012731324063301</v>
      </c>
      <c r="X180" s="135">
        <v>0.36334298526280956</v>
      </c>
      <c r="Y180" s="135">
        <v>7.5560886339344907E-2</v>
      </c>
      <c r="Z180" s="135">
        <v>14.253517500000001</v>
      </c>
      <c r="AA180" s="135">
        <v>14.375</v>
      </c>
      <c r="AB180" s="135">
        <v>5.0910259717685342</v>
      </c>
      <c r="AM180" s="205" t="s">
        <v>529</v>
      </c>
      <c r="AN180" s="135">
        <v>2.8354163636363654</v>
      </c>
      <c r="AO180" s="135">
        <v>7.2608536363636347</v>
      </c>
      <c r="AP180" s="135">
        <v>0.28183209536614046</v>
      </c>
      <c r="AQ180" s="135">
        <v>0.7181679046338596</v>
      </c>
      <c r="AR180" s="135">
        <v>0.35424093547205121</v>
      </c>
      <c r="AS180" s="135">
        <v>9.9805381727433196E-2</v>
      </c>
      <c r="AT180" s="135">
        <v>10.096270000000001</v>
      </c>
      <c r="AU180" s="135">
        <v>16.90909090909091</v>
      </c>
      <c r="AV180" s="135">
        <v>5.9708166186112326</v>
      </c>
      <c r="BB180" s="205" t="s">
        <v>532</v>
      </c>
      <c r="BC180" s="135">
        <v>2.9156600000000008</v>
      </c>
      <c r="BD180" s="135">
        <v>11.781879999999999</v>
      </c>
      <c r="BE180" s="135">
        <v>0.19837741554028776</v>
      </c>
      <c r="BF180" s="135">
        <v>0.80162258445971224</v>
      </c>
      <c r="BG180" s="135">
        <v>0.34297551840749596</v>
      </c>
      <c r="BH180" s="135">
        <v>6.8038596935269438E-2</v>
      </c>
      <c r="BI180" s="135">
        <v>14.69754</v>
      </c>
      <c r="BJ180" s="135">
        <v>15</v>
      </c>
      <c r="BK180" s="135">
        <v>5.1446327761124397</v>
      </c>
      <c r="BL180" s="282" t="s">
        <v>721</v>
      </c>
      <c r="BM180" s="273" t="s">
        <v>726</v>
      </c>
      <c r="BN180" s="273"/>
      <c r="BO180" s="273"/>
      <c r="BR180" s="272"/>
      <c r="BV180" s="205" t="s">
        <v>529</v>
      </c>
      <c r="BW180" s="135">
        <v>2.8354163636363654</v>
      </c>
      <c r="BX180" s="135">
        <v>7.2608536363636347</v>
      </c>
      <c r="BY180" s="135">
        <v>0.28183209536614046</v>
      </c>
      <c r="BZ180" s="135">
        <v>0.7181679046338596</v>
      </c>
      <c r="CA180" s="135">
        <v>0.35424093547205121</v>
      </c>
      <c r="CB180" s="135">
        <v>9.9805381727433196E-2</v>
      </c>
      <c r="CC180" s="135">
        <v>10.096270000000001</v>
      </c>
      <c r="CD180" s="135">
        <v>16.90909090909091</v>
      </c>
      <c r="CE180" s="135">
        <v>5.9708166186112326</v>
      </c>
      <c r="CK180" s="205" t="s">
        <v>532</v>
      </c>
      <c r="CL180" s="135">
        <v>1.0509093875679916</v>
      </c>
      <c r="CM180" s="135">
        <v>4.5247386727329113</v>
      </c>
      <c r="CN180" s="135">
        <v>7.3093187641879484E-2</v>
      </c>
      <c r="CO180" s="135">
        <v>0.27913765718756928</v>
      </c>
      <c r="CP180" s="135">
        <v>0.1279803144363145</v>
      </c>
      <c r="CQ180" s="135">
        <v>2.6462608323419009E-2</v>
      </c>
      <c r="CR180" s="135">
        <v>5.5365793419106177</v>
      </c>
      <c r="CS180" s="135">
        <v>6.1384185760571155</v>
      </c>
      <c r="CT180" s="135">
        <v>2.0042971827120835</v>
      </c>
    </row>
    <row r="181" spans="4:98" x14ac:dyDescent="0.35">
      <c r="D181" s="196" t="s">
        <v>552</v>
      </c>
      <c r="E181" s="135">
        <v>4.9184724999999991</v>
      </c>
      <c r="F181" s="135">
        <v>5.4171441666666666</v>
      </c>
      <c r="G181" s="135">
        <v>0.47070433917203358</v>
      </c>
      <c r="H181" s="135">
        <v>0.52929566082796642</v>
      </c>
      <c r="I181" s="135">
        <v>0.23187915269865941</v>
      </c>
      <c r="J181" s="135">
        <v>0.10091063507418861</v>
      </c>
      <c r="K181" s="135">
        <v>10.335616666666667</v>
      </c>
      <c r="L181" s="135">
        <v>34.916666666666664</v>
      </c>
      <c r="M181" s="135">
        <v>6.9169012695452947</v>
      </c>
      <c r="S181" s="205" t="s">
        <v>529</v>
      </c>
      <c r="T181" s="135">
        <v>3.1095649999999986</v>
      </c>
      <c r="U181" s="289">
        <v>11.865703333333334</v>
      </c>
      <c r="V181" s="135">
        <v>0.21489575762198843</v>
      </c>
      <c r="W181" s="135">
        <v>0.78510424237801157</v>
      </c>
      <c r="X181" s="135">
        <v>0.32286962753066778</v>
      </c>
      <c r="Y181" s="135">
        <v>6.9150999295833196E-2</v>
      </c>
      <c r="Z181" s="135">
        <v>14.975268333333332</v>
      </c>
      <c r="AA181" s="135">
        <v>14.833333333333334</v>
      </c>
      <c r="AB181" s="135">
        <v>4.7234075618877904</v>
      </c>
      <c r="AM181" s="196" t="s">
        <v>552</v>
      </c>
      <c r="AN181" s="135">
        <v>5.1301999999999994</v>
      </c>
      <c r="AO181" s="135">
        <v>4.6208828571428588</v>
      </c>
      <c r="AP181" s="135">
        <v>0.51141485252348107</v>
      </c>
      <c r="AQ181" s="135">
        <v>0.48858514747651899</v>
      </c>
      <c r="AR181" s="135">
        <v>0.23868564389373567</v>
      </c>
      <c r="AS181" s="135">
        <v>0.10860508409382481</v>
      </c>
      <c r="AT181" s="135">
        <v>9.7510828571428583</v>
      </c>
      <c r="AU181" s="135">
        <v>41</v>
      </c>
      <c r="AV181" s="135">
        <v>7.7423193286195664</v>
      </c>
      <c r="BB181" s="205" t="s">
        <v>529</v>
      </c>
      <c r="BC181" s="135">
        <v>2.9362349999999964</v>
      </c>
      <c r="BD181" s="135">
        <v>14.062885000000009</v>
      </c>
      <c r="BE181" s="135">
        <v>0.18557052320124395</v>
      </c>
      <c r="BF181" s="135">
        <v>0.8144294767987561</v>
      </c>
      <c r="BG181" s="135">
        <v>0.34081279250233287</v>
      </c>
      <c r="BH181" s="135">
        <v>6.3666567844154365E-2</v>
      </c>
      <c r="BI181" s="135">
        <v>16.999120000000005</v>
      </c>
      <c r="BJ181" s="135">
        <v>12</v>
      </c>
      <c r="BK181" s="135">
        <v>4.0716428955798509</v>
      </c>
      <c r="BR181" s="272"/>
      <c r="BV181" s="196" t="s">
        <v>552</v>
      </c>
      <c r="BW181" s="135">
        <v>4.639590000000001</v>
      </c>
      <c r="BX181" s="135">
        <v>6.5143739999999983</v>
      </c>
      <c r="BY181" s="135">
        <v>0.41694519407657527</v>
      </c>
      <c r="BZ181" s="135">
        <v>0.58305480592342473</v>
      </c>
      <c r="CA181" s="135">
        <v>0.21595582422676007</v>
      </c>
      <c r="CB181" s="135">
        <v>9.0138406446697933E-2</v>
      </c>
      <c r="CC181" s="135">
        <v>11.153964</v>
      </c>
      <c r="CD181" s="135">
        <v>26.4</v>
      </c>
      <c r="CE181" s="135">
        <v>5.6909793380545963</v>
      </c>
      <c r="CK181" s="205" t="s">
        <v>529</v>
      </c>
      <c r="CL181" s="135">
        <v>3.1962299999999999</v>
      </c>
      <c r="CM181" s="135">
        <v>10.767112499999996</v>
      </c>
      <c r="CN181" s="135">
        <v>0.22955837483236063</v>
      </c>
      <c r="CO181" s="135">
        <v>0.77044162516763937</v>
      </c>
      <c r="CP181" s="135">
        <v>0.31389804504483521</v>
      </c>
      <c r="CQ181" s="135">
        <v>7.1893215021672632E-2</v>
      </c>
      <c r="CR181" s="135">
        <v>13.963342499999996</v>
      </c>
      <c r="CS181" s="135">
        <v>16.25</v>
      </c>
      <c r="CT181" s="135">
        <v>5.0492898950417615</v>
      </c>
    </row>
    <row r="182" spans="4:98" x14ac:dyDescent="0.35">
      <c r="D182" s="205" t="s">
        <v>529</v>
      </c>
      <c r="E182" s="135">
        <v>4.369043076923071</v>
      </c>
      <c r="F182" s="289">
        <v>4.3494830769230823</v>
      </c>
      <c r="G182" s="135">
        <v>0.50200336157002601</v>
      </c>
      <c r="H182" s="135">
        <v>0.49799663842997399</v>
      </c>
      <c r="I182" s="135">
        <v>0.24516716960863982</v>
      </c>
      <c r="J182" s="135">
        <v>0.11825283036523007</v>
      </c>
      <c r="K182" s="135">
        <v>8.7185261538461525</v>
      </c>
      <c r="L182" s="135">
        <v>35</v>
      </c>
      <c r="M182" s="135">
        <v>7.9956311611394657</v>
      </c>
      <c r="AM182" s="205" t="s">
        <v>529</v>
      </c>
      <c r="AN182" s="135">
        <v>4.046378333333327</v>
      </c>
      <c r="AO182" s="135">
        <v>5.1735066666666683</v>
      </c>
      <c r="AP182" s="135">
        <v>0.43325490241801745</v>
      </c>
      <c r="AQ182" s="135">
        <v>0.56674509758198255</v>
      </c>
      <c r="AR182" s="135">
        <v>0.27657596744443208</v>
      </c>
      <c r="AS182" s="135">
        <v>0.11446882064116927</v>
      </c>
      <c r="AT182" s="135">
        <v>9.2198849999999961</v>
      </c>
      <c r="AU182" s="135">
        <v>30.833333333333332</v>
      </c>
      <c r="AV182" s="135">
        <v>7.6624727638900216</v>
      </c>
      <c r="BR182" s="272"/>
      <c r="BV182" s="205" t="s">
        <v>529</v>
      </c>
      <c r="BW182" s="135">
        <v>4.6456128571428508</v>
      </c>
      <c r="BX182" s="135">
        <v>3.6431771428571511</v>
      </c>
      <c r="BY182" s="135">
        <v>0.56093061227174756</v>
      </c>
      <c r="BZ182" s="135">
        <v>0.43906938772825249</v>
      </c>
      <c r="CA182" s="135">
        <v>0.21824534289224659</v>
      </c>
      <c r="CB182" s="135">
        <v>0.12149626727156786</v>
      </c>
      <c r="CC182" s="135">
        <v>8.2887900000000023</v>
      </c>
      <c r="CD182" s="135">
        <v>38.571428571428569</v>
      </c>
      <c r="CE182" s="135">
        <v>8.2811955016389902</v>
      </c>
    </row>
    <row r="183" spans="4:98" x14ac:dyDescent="0.35">
      <c r="D183" s="236" t="s">
        <v>551</v>
      </c>
      <c r="E183" s="135">
        <v>3.7708014285714291</v>
      </c>
      <c r="F183" s="135">
        <v>4.79948</v>
      </c>
      <c r="G183" s="135">
        <v>0.43788167103805753</v>
      </c>
      <c r="H183" s="135">
        <v>0.56211832896194236</v>
      </c>
      <c r="I183" s="135">
        <v>0.28221707392907708</v>
      </c>
      <c r="J183" s="135">
        <v>0.11975572000779906</v>
      </c>
      <c r="K183" s="135">
        <v>8.5702814285714286</v>
      </c>
      <c r="L183" s="135">
        <v>25.714285714285715</v>
      </c>
      <c r="M183" s="135">
        <v>6.848151322923262</v>
      </c>
      <c r="S183" s="205"/>
      <c r="AM183" s="196" t="s">
        <v>551</v>
      </c>
      <c r="AN183" s="135">
        <v>3.2068020000000019</v>
      </c>
      <c r="AO183" s="135">
        <v>4.9457100000000001</v>
      </c>
      <c r="AP183" s="135">
        <v>0.38746654701186678</v>
      </c>
      <c r="AQ183" s="135">
        <v>0.61253345298813322</v>
      </c>
      <c r="AR183" s="135">
        <v>0.34791992177922826</v>
      </c>
      <c r="AS183" s="135">
        <v>0.12971137808817321</v>
      </c>
      <c r="AT183" s="135">
        <v>8.1525120000000015</v>
      </c>
      <c r="AU183" s="135">
        <v>22</v>
      </c>
      <c r="AV183" s="135">
        <v>6.9419293986252129</v>
      </c>
      <c r="BB183" s="205"/>
      <c r="BR183" s="272"/>
      <c r="BV183" s="196" t="s">
        <v>551</v>
      </c>
      <c r="BW183" s="135">
        <v>4.0841344444444445</v>
      </c>
      <c r="BX183" s="135">
        <v>4.7182411111111096</v>
      </c>
      <c r="BY183" s="135">
        <v>0.46589007327483006</v>
      </c>
      <c r="BZ183" s="135">
        <v>0.53410992672516988</v>
      </c>
      <c r="CA183" s="135">
        <v>0.24571549179010407</v>
      </c>
      <c r="CB183" s="135">
        <v>0.11422479885203561</v>
      </c>
      <c r="CC183" s="135">
        <v>8.8023755555555532</v>
      </c>
      <c r="CD183" s="135">
        <v>27.777777777777779</v>
      </c>
      <c r="CE183" s="135">
        <v>6.7960523919777298</v>
      </c>
      <c r="CK183" s="205"/>
    </row>
    <row r="184" spans="4:98" x14ac:dyDescent="0.35">
      <c r="D184" s="205" t="s">
        <v>529</v>
      </c>
      <c r="E184" s="135">
        <v>3.4673720000000059</v>
      </c>
      <c r="F184" s="289">
        <v>7.2056739999999966</v>
      </c>
      <c r="G184" s="135">
        <v>0.32483880912641216</v>
      </c>
      <c r="H184" s="135">
        <v>0.67516119087358784</v>
      </c>
      <c r="I184" s="135">
        <v>0.30423975303715722</v>
      </c>
      <c r="J184" s="135">
        <v>9.4083671086967649E-2</v>
      </c>
      <c r="K184" s="135">
        <v>10.673046000000003</v>
      </c>
      <c r="L184" s="135">
        <v>20.399999999999999</v>
      </c>
      <c r="M184" s="135">
        <v>5.8896218158519638</v>
      </c>
      <c r="S184" s="205"/>
      <c r="AM184" s="205" t="s">
        <v>529</v>
      </c>
      <c r="AN184" s="135">
        <v>2.9725949999999983</v>
      </c>
      <c r="AO184" s="135">
        <v>7.6836649999999977</v>
      </c>
      <c r="AP184" s="135">
        <v>0.2766430628533742</v>
      </c>
      <c r="AQ184" s="135">
        <v>0.72335693714662574</v>
      </c>
      <c r="AR184" s="135">
        <v>0.36391257582273795</v>
      </c>
      <c r="AS184" s="135">
        <v>9.395262761187298E-2</v>
      </c>
      <c r="AT184" s="135">
        <v>10.656259999999996</v>
      </c>
      <c r="AU184" s="135">
        <v>16.5</v>
      </c>
      <c r="AV184" s="135">
        <v>5.6543853230290964</v>
      </c>
      <c r="BB184" s="205"/>
      <c r="BR184" s="272"/>
      <c r="BV184" s="205" t="s">
        <v>529</v>
      </c>
      <c r="BW184" s="135">
        <v>3.7972233333333443</v>
      </c>
      <c r="BX184" s="135">
        <v>6.8870133333333285</v>
      </c>
      <c r="BY184" s="135">
        <v>0.35696930664177079</v>
      </c>
      <c r="BZ184" s="135">
        <v>0.64303069335822916</v>
      </c>
      <c r="CA184" s="135">
        <v>0.26445787118010339</v>
      </c>
      <c r="CB184" s="135">
        <v>9.417103340369741E-2</v>
      </c>
      <c r="CC184" s="135">
        <v>10.684236666666672</v>
      </c>
      <c r="CD184" s="135">
        <v>23</v>
      </c>
      <c r="CE184" s="135">
        <v>6.0464461444005417</v>
      </c>
      <c r="CK184" s="205"/>
    </row>
    <row r="185" spans="4:98" x14ac:dyDescent="0.35">
      <c r="D185" s="275" t="s">
        <v>550</v>
      </c>
      <c r="E185" s="135">
        <v>3.8858618181818176</v>
      </c>
      <c r="F185" s="135">
        <v>9.8907118181818188</v>
      </c>
      <c r="G185" s="135">
        <v>0.32898127076653161</v>
      </c>
      <c r="H185" s="135">
        <v>0.67101872923346839</v>
      </c>
      <c r="I185" s="135">
        <v>0.26204805560785682</v>
      </c>
      <c r="J185" s="135">
        <v>8.5175427423556049E-2</v>
      </c>
      <c r="K185" s="135">
        <v>13.776573636363635</v>
      </c>
      <c r="L185" s="135">
        <v>21.90909090909091</v>
      </c>
      <c r="M185" s="135">
        <v>5.6388023320603464</v>
      </c>
      <c r="S185" s="205"/>
      <c r="AM185" s="196" t="s">
        <v>550</v>
      </c>
      <c r="AN185" s="135">
        <v>3.8858618181818176</v>
      </c>
      <c r="AO185" s="135">
        <v>9.8907118181818188</v>
      </c>
      <c r="AP185" s="135">
        <v>0.32898127076653161</v>
      </c>
      <c r="AQ185" s="135">
        <v>0.67101872923346839</v>
      </c>
      <c r="AR185" s="135">
        <v>0.26204805560785682</v>
      </c>
      <c r="AS185" s="135">
        <v>8.5175427423556049E-2</v>
      </c>
      <c r="AT185" s="135">
        <v>13.776573636363635</v>
      </c>
      <c r="AU185" s="135">
        <v>21.90909090909091</v>
      </c>
      <c r="AV185" s="135">
        <v>5.6388023320603464</v>
      </c>
      <c r="AW185" s="282" t="s">
        <v>721</v>
      </c>
      <c r="AX185" s="273" t="s">
        <v>724</v>
      </c>
      <c r="AY185" s="273"/>
      <c r="AZ185" s="273"/>
      <c r="BB185" s="205"/>
      <c r="BR185" s="272"/>
      <c r="BV185" s="196" t="s">
        <v>550</v>
      </c>
      <c r="BW185" s="135">
        <v>3.8858618181818176</v>
      </c>
      <c r="BX185" s="135">
        <v>9.8907118181818188</v>
      </c>
      <c r="BY185" s="135">
        <v>0.32898127076653161</v>
      </c>
      <c r="BZ185" s="135">
        <v>0.67101872923346839</v>
      </c>
      <c r="CA185" s="135">
        <v>0.26204805560785682</v>
      </c>
      <c r="CB185" s="135">
        <v>8.5175427423556049E-2</v>
      </c>
      <c r="CC185" s="135">
        <v>13.776573636363635</v>
      </c>
      <c r="CD185" s="135">
        <v>21.90909090909091</v>
      </c>
      <c r="CE185" s="135">
        <v>5.6388023320603464</v>
      </c>
      <c r="CK185" s="205"/>
    </row>
    <row r="186" spans="4:98" x14ac:dyDescent="0.35">
      <c r="D186" s="205" t="s">
        <v>529</v>
      </c>
      <c r="E186" s="135">
        <v>2.3275133333333287</v>
      </c>
      <c r="F186" s="289">
        <v>11.967358333333337</v>
      </c>
      <c r="G186" s="135">
        <v>0.16696914270728228</v>
      </c>
      <c r="H186" s="135">
        <v>0.83303085729271764</v>
      </c>
      <c r="I186" s="135">
        <v>0.43876796621609504</v>
      </c>
      <c r="J186" s="135">
        <v>7.137838143262458E-2</v>
      </c>
      <c r="K186" s="135">
        <v>14.294871666666666</v>
      </c>
      <c r="L186" s="135">
        <v>13.166666666666666</v>
      </c>
      <c r="M186" s="135">
        <v>5.7092364855838253</v>
      </c>
      <c r="S186" s="205"/>
      <c r="AM186" s="205" t="s">
        <v>529</v>
      </c>
      <c r="AN186" s="135">
        <v>2.3275133333333287</v>
      </c>
      <c r="AO186" s="135">
        <v>11.967358333333337</v>
      </c>
      <c r="AP186" s="135">
        <v>0.16696914270728228</v>
      </c>
      <c r="AQ186" s="135">
        <v>0.83303085729271764</v>
      </c>
      <c r="AR186" s="135">
        <v>0.43876796621609504</v>
      </c>
      <c r="AS186" s="135">
        <v>7.137838143262458E-2</v>
      </c>
      <c r="AT186" s="135">
        <v>14.294871666666666</v>
      </c>
      <c r="AU186" s="135">
        <v>13.166666666666666</v>
      </c>
      <c r="AV186" s="135">
        <v>5.7092364855838253</v>
      </c>
      <c r="AW186" s="282" t="s">
        <v>721</v>
      </c>
      <c r="AX186" s="273" t="s">
        <v>724</v>
      </c>
      <c r="AY186" s="273"/>
      <c r="AZ186" s="273"/>
      <c r="BB186" s="205"/>
      <c r="BR186" s="272"/>
      <c r="BV186" s="205" t="s">
        <v>529</v>
      </c>
      <c r="BW186" s="135">
        <v>2.3275133333333287</v>
      </c>
      <c r="BX186" s="135">
        <v>11.967358333333337</v>
      </c>
      <c r="BY186" s="135">
        <v>0.16696914270728228</v>
      </c>
      <c r="BZ186" s="135">
        <v>0.83303085729271764</v>
      </c>
      <c r="CA186" s="135">
        <v>0.43876796621609504</v>
      </c>
      <c r="CB186" s="135">
        <v>7.137838143262458E-2</v>
      </c>
      <c r="CC186" s="135">
        <v>14.294871666666666</v>
      </c>
      <c r="CD186" s="135">
        <v>13.166666666666666</v>
      </c>
      <c r="CE186" s="135">
        <v>5.7092364855838253</v>
      </c>
      <c r="CK186" s="205"/>
    </row>
    <row r="187" spans="4:98" x14ac:dyDescent="0.35">
      <c r="D187" s="196"/>
      <c r="S187" s="205"/>
      <c r="AM187" s="196"/>
      <c r="BB187" s="205"/>
      <c r="BR187" s="272"/>
      <c r="BV187" s="196"/>
      <c r="CK187" s="205"/>
    </row>
    <row r="188" spans="4:98" x14ac:dyDescent="0.35">
      <c r="D188" s="205" t="s">
        <v>577</v>
      </c>
      <c r="S188" s="205" t="s">
        <v>577</v>
      </c>
      <c r="AM188" s="205" t="s">
        <v>577</v>
      </c>
      <c r="BB188" s="205" t="s">
        <v>577</v>
      </c>
      <c r="BR188" s="272"/>
      <c r="BV188" s="205" t="s">
        <v>577</v>
      </c>
      <c r="CK188" s="205" t="s">
        <v>577</v>
      </c>
    </row>
    <row r="189" spans="4:98" x14ac:dyDescent="0.35">
      <c r="D189" s="196" t="s">
        <v>530</v>
      </c>
      <c r="E189" s="135">
        <f>1-((E176-E176)/E176)</f>
        <v>1</v>
      </c>
      <c r="F189" s="135">
        <f t="shared" ref="F189:M189" si="303">1-((F176-F176)/F176)</f>
        <v>1</v>
      </c>
      <c r="G189" s="135">
        <f t="shared" si="303"/>
        <v>1</v>
      </c>
      <c r="H189" s="135">
        <f t="shared" si="303"/>
        <v>1</v>
      </c>
      <c r="I189" s="135">
        <f t="shared" si="303"/>
        <v>1</v>
      </c>
      <c r="J189" s="135">
        <f t="shared" si="303"/>
        <v>1</v>
      </c>
      <c r="K189" s="135">
        <f t="shared" si="303"/>
        <v>1</v>
      </c>
      <c r="L189" s="135">
        <f t="shared" si="303"/>
        <v>1</v>
      </c>
      <c r="M189" s="135">
        <f t="shared" si="303"/>
        <v>1</v>
      </c>
      <c r="S189" s="196" t="s">
        <v>530</v>
      </c>
      <c r="T189" s="135">
        <f>1-((T176-T176)/T176)</f>
        <v>1</v>
      </c>
      <c r="U189" s="135">
        <f t="shared" ref="U189:AB189" si="304">1-((U176-U176)/U176)</f>
        <v>1</v>
      </c>
      <c r="V189" s="135">
        <f t="shared" si="304"/>
        <v>1</v>
      </c>
      <c r="W189" s="135">
        <f t="shared" si="304"/>
        <v>1</v>
      </c>
      <c r="X189" s="135">
        <f t="shared" si="304"/>
        <v>1</v>
      </c>
      <c r="Y189" s="135">
        <f t="shared" si="304"/>
        <v>1</v>
      </c>
      <c r="Z189" s="135">
        <f t="shared" si="304"/>
        <v>1</v>
      </c>
      <c r="AA189" s="135">
        <f t="shared" si="304"/>
        <v>1</v>
      </c>
      <c r="AB189" s="135">
        <f t="shared" si="304"/>
        <v>1</v>
      </c>
      <c r="AM189" s="196" t="s">
        <v>530</v>
      </c>
      <c r="AN189" s="135">
        <f>1-((AN176-AN176)/AN176)</f>
        <v>1</v>
      </c>
      <c r="AO189" s="135">
        <f t="shared" ref="AO189:AV189" si="305">1-((AO176-AO176)/AO176)</f>
        <v>1</v>
      </c>
      <c r="AP189" s="135">
        <f t="shared" si="305"/>
        <v>1</v>
      </c>
      <c r="AQ189" s="135">
        <f t="shared" si="305"/>
        <v>1</v>
      </c>
      <c r="AR189" s="135">
        <f t="shared" si="305"/>
        <v>1</v>
      </c>
      <c r="AS189" s="135">
        <f t="shared" si="305"/>
        <v>1</v>
      </c>
      <c r="AT189" s="135">
        <f t="shared" si="305"/>
        <v>1</v>
      </c>
      <c r="AU189" s="135">
        <f t="shared" si="305"/>
        <v>1</v>
      </c>
      <c r="AV189" s="135">
        <f t="shared" si="305"/>
        <v>1</v>
      </c>
      <c r="BB189" s="196" t="s">
        <v>530</v>
      </c>
      <c r="BC189" s="135">
        <f>1-((BC176-BC176)/BC176)</f>
        <v>1</v>
      </c>
      <c r="BD189" s="135">
        <f t="shared" ref="BD189:BK189" si="306">1-((BD176-BD176)/BD176)</f>
        <v>1</v>
      </c>
      <c r="BE189" s="135">
        <f t="shared" si="306"/>
        <v>1</v>
      </c>
      <c r="BF189" s="135">
        <f t="shared" si="306"/>
        <v>1</v>
      </c>
      <c r="BG189" s="135">
        <f t="shared" si="306"/>
        <v>1</v>
      </c>
      <c r="BH189" s="135">
        <f t="shared" si="306"/>
        <v>1</v>
      </c>
      <c r="BI189" s="135">
        <f t="shared" si="306"/>
        <v>1</v>
      </c>
      <c r="BJ189" s="135">
        <f t="shared" si="306"/>
        <v>1</v>
      </c>
      <c r="BK189" s="135">
        <f t="shared" si="306"/>
        <v>1</v>
      </c>
      <c r="BR189" s="272"/>
      <c r="BV189" s="196" t="s">
        <v>530</v>
      </c>
      <c r="BW189" s="135">
        <f>1-((BW176-BW176)/BW176)</f>
        <v>1</v>
      </c>
      <c r="BX189" s="135">
        <f t="shared" ref="BX189:CE189" si="307">1-((BX176-BX176)/BX176)</f>
        <v>1</v>
      </c>
      <c r="BY189" s="135">
        <f t="shared" si="307"/>
        <v>1</v>
      </c>
      <c r="BZ189" s="135">
        <f t="shared" si="307"/>
        <v>1</v>
      </c>
      <c r="CA189" s="135">
        <f t="shared" si="307"/>
        <v>1</v>
      </c>
      <c r="CB189" s="135">
        <f t="shared" si="307"/>
        <v>1</v>
      </c>
      <c r="CC189" s="135">
        <f t="shared" si="307"/>
        <v>1</v>
      </c>
      <c r="CD189" s="135">
        <f t="shared" si="307"/>
        <v>1</v>
      </c>
      <c r="CE189" s="135">
        <f t="shared" si="307"/>
        <v>1</v>
      </c>
      <c r="CK189" s="196" t="s">
        <v>530</v>
      </c>
      <c r="CL189" s="135">
        <f>1-((CL176-CL176)/CL176)</f>
        <v>1</v>
      </c>
      <c r="CM189" s="135">
        <f t="shared" ref="CM189:CT189" si="308">1-((CM176-CM176)/CM176)</f>
        <v>1</v>
      </c>
      <c r="CN189" s="135">
        <f t="shared" si="308"/>
        <v>1</v>
      </c>
      <c r="CO189" s="135">
        <f t="shared" si="308"/>
        <v>1</v>
      </c>
      <c r="CP189" s="135">
        <f t="shared" si="308"/>
        <v>1</v>
      </c>
      <c r="CQ189" s="135">
        <f t="shared" si="308"/>
        <v>1</v>
      </c>
      <c r="CR189" s="135">
        <f t="shared" si="308"/>
        <v>1</v>
      </c>
      <c r="CS189" s="135">
        <f t="shared" si="308"/>
        <v>1</v>
      </c>
      <c r="CT189" s="135">
        <f t="shared" si="308"/>
        <v>1</v>
      </c>
    </row>
    <row r="190" spans="4:98" x14ac:dyDescent="0.35">
      <c r="D190" s="196" t="s">
        <v>538</v>
      </c>
      <c r="E190" s="135">
        <f>1-((E176-E177)/E176)</f>
        <v>1.1827741927464053</v>
      </c>
      <c r="F190" s="135">
        <f t="shared" ref="F190:M190" si="309">1-((F176-F177)/F176)</f>
        <v>0.96716506590207874</v>
      </c>
      <c r="G190" s="135">
        <f t="shared" si="309"/>
        <v>1.1338824352023542</v>
      </c>
      <c r="H190" s="135">
        <f t="shared" si="309"/>
        <v>0.92782626227593179</v>
      </c>
      <c r="I190" s="135">
        <f t="shared" si="309"/>
        <v>0.82241939946628806</v>
      </c>
      <c r="J190" s="135">
        <f t="shared" si="309"/>
        <v>0.95585753276095375</v>
      </c>
      <c r="K190" s="135">
        <f t="shared" si="309"/>
        <v>1.0425106779575521</v>
      </c>
      <c r="L190" s="135">
        <f t="shared" si="309"/>
        <v>1.175925925925926</v>
      </c>
      <c r="M190" s="135">
        <f t="shared" si="309"/>
        <v>0.98645283838125986</v>
      </c>
      <c r="S190" s="205" t="s">
        <v>539</v>
      </c>
      <c r="T190" s="135">
        <f>1-((T176-T177)/T176)</f>
        <v>0.96499265894202568</v>
      </c>
      <c r="U190" s="135">
        <f t="shared" ref="U190:AB190" si="310">1-((U176-U177)/U176)</f>
        <v>1.4381130867309595</v>
      </c>
      <c r="V190" s="135">
        <f t="shared" si="310"/>
        <v>0.71129230799991738</v>
      </c>
      <c r="W190" s="135">
        <f t="shared" si="310"/>
        <v>1.1073772537019089</v>
      </c>
      <c r="X190" s="135">
        <f t="shared" si="310"/>
        <v>1.0546475406487748</v>
      </c>
      <c r="Y190" s="135">
        <f t="shared" si="310"/>
        <v>0.73963535351208076</v>
      </c>
      <c r="Z190" s="135">
        <f t="shared" si="310"/>
        <v>1.3151293853087493</v>
      </c>
      <c r="AA190" s="135">
        <f t="shared" si="310"/>
        <v>0.75818036711891468</v>
      </c>
      <c r="AB190" s="135">
        <f t="shared" si="310"/>
        <v>0.79036173659028985</v>
      </c>
      <c r="AM190" s="196" t="s">
        <v>538</v>
      </c>
      <c r="AN190" s="135">
        <f>1-((AN176-AN177)/AN176)</f>
        <v>1.1827741927464053</v>
      </c>
      <c r="AO190" s="135">
        <f t="shared" ref="AO190:AV190" si="311">1-((AO176-AO177)/AO176)</f>
        <v>0.96716506590207951</v>
      </c>
      <c r="AP190" s="135">
        <f t="shared" si="311"/>
        <v>1.1338824352023542</v>
      </c>
      <c r="AQ190" s="135">
        <f t="shared" si="311"/>
        <v>0.92782626227593179</v>
      </c>
      <c r="AR190" s="135">
        <f t="shared" si="311"/>
        <v>0.82241939946628806</v>
      </c>
      <c r="AS190" s="135">
        <f t="shared" si="311"/>
        <v>0.95585753276095375</v>
      </c>
      <c r="AT190" s="135">
        <f t="shared" si="311"/>
        <v>1.0425106779575521</v>
      </c>
      <c r="AU190" s="135">
        <f t="shared" si="311"/>
        <v>1.175925925925926</v>
      </c>
      <c r="AV190" s="135">
        <f t="shared" si="311"/>
        <v>0.98645283838125986</v>
      </c>
      <c r="BB190" s="205" t="s">
        <v>539</v>
      </c>
      <c r="BC190" s="135">
        <f>1-((BC176-BC177)/BC176)</f>
        <v>0.98701881189158103</v>
      </c>
      <c r="BD190" s="135">
        <f t="shared" ref="BD190:BK190" si="312">1-((BD176-BD177)/BD176)</f>
        <v>1.1744564802858277</v>
      </c>
      <c r="BE190" s="135">
        <f t="shared" si="312"/>
        <v>0.83341498676916026</v>
      </c>
      <c r="BF190" s="135">
        <f t="shared" si="312"/>
        <v>1.0501453281192457</v>
      </c>
      <c r="BG190" s="135">
        <f t="shared" si="312"/>
        <v>1.0307870905426539</v>
      </c>
      <c r="BH190" s="135">
        <f t="shared" si="312"/>
        <v>0.8466843755839577</v>
      </c>
      <c r="BI190" s="135">
        <f t="shared" si="312"/>
        <v>1.1334032546432951</v>
      </c>
      <c r="BJ190" s="135">
        <f t="shared" si="312"/>
        <v>0.75757575757575757</v>
      </c>
      <c r="BK190" s="135">
        <f t="shared" si="312"/>
        <v>0.77198426955566168</v>
      </c>
      <c r="BR190" s="272"/>
      <c r="BV190" s="196" t="s">
        <v>538</v>
      </c>
      <c r="BW190" s="135">
        <f>1-((BW176-BW177)/BW176)</f>
        <v>1.1827741927464053</v>
      </c>
      <c r="BX190" s="135">
        <f t="shared" ref="BX190:CE190" si="313">1-((BX176-BX177)/BX176)</f>
        <v>0.96716506590207951</v>
      </c>
      <c r="BY190" s="135">
        <f t="shared" si="313"/>
        <v>1.1338824352023542</v>
      </c>
      <c r="BZ190" s="135">
        <f t="shared" si="313"/>
        <v>0.92782626227593179</v>
      </c>
      <c r="CA190" s="135">
        <f t="shared" si="313"/>
        <v>0.82241939946628806</v>
      </c>
      <c r="CB190" s="135">
        <f t="shared" si="313"/>
        <v>0.95585753276095375</v>
      </c>
      <c r="CC190" s="135">
        <f t="shared" si="313"/>
        <v>1.0425106779575521</v>
      </c>
      <c r="CD190" s="135">
        <f t="shared" si="313"/>
        <v>1.175925925925926</v>
      </c>
      <c r="CE190" s="135">
        <f t="shared" si="313"/>
        <v>0.98645283838125986</v>
      </c>
      <c r="CK190" s="205" t="s">
        <v>539</v>
      </c>
      <c r="CL190" s="135">
        <f>1-((CL176-CL177)/CL176)</f>
        <v>0.95259222038204838</v>
      </c>
      <c r="CM190" s="135">
        <f t="shared" ref="CM190:CT190" si="314">1-((CM176-CM177)/CM176)</f>
        <v>1.6548180008790918</v>
      </c>
      <c r="CN190" s="135">
        <f t="shared" si="314"/>
        <v>0.65528056380357136</v>
      </c>
      <c r="CO190" s="135">
        <f t="shared" si="314"/>
        <v>1.1437379575852076</v>
      </c>
      <c r="CP190" s="135">
        <f t="shared" si="314"/>
        <v>1.0690832449777652</v>
      </c>
      <c r="CQ190" s="135">
        <f t="shared" si="314"/>
        <v>0.68883212135679062</v>
      </c>
      <c r="CR190" s="135">
        <f t="shared" si="314"/>
        <v>1.450824633270086</v>
      </c>
      <c r="CS190" s="135">
        <f t="shared" si="314"/>
        <v>0.75853350189633384</v>
      </c>
      <c r="CT190" s="135">
        <f t="shared" si="314"/>
        <v>0.80149168149904293</v>
      </c>
    </row>
    <row r="191" spans="4:98" x14ac:dyDescent="0.35">
      <c r="D191" s="205" t="s">
        <v>529</v>
      </c>
      <c r="E191" s="135">
        <f>1-((E176-E178)/E176)</f>
        <v>0.91898404126181155</v>
      </c>
      <c r="F191" s="135">
        <f t="shared" ref="F191:M191" si="315">1-((F176-F178)/F176)</f>
        <v>1.1888418399658278</v>
      </c>
      <c r="G191" s="135">
        <f t="shared" si="315"/>
        <v>0.83848266210761269</v>
      </c>
      <c r="H191" s="135">
        <f t="shared" si="315"/>
        <v>1.0870712425070224</v>
      </c>
      <c r="I191" s="135">
        <f t="shared" si="315"/>
        <v>1.0616597571990014</v>
      </c>
      <c r="J191" s="135">
        <f t="shared" si="315"/>
        <v>0.90976911646740888</v>
      </c>
      <c r="K191" s="135">
        <f t="shared" si="315"/>
        <v>1.0945387772481854</v>
      </c>
      <c r="L191" s="135">
        <f t="shared" si="315"/>
        <v>0.96969696969696961</v>
      </c>
      <c r="M191" s="135">
        <f t="shared" si="315"/>
        <v>1.0482342864314291</v>
      </c>
      <c r="S191" s="205" t="s">
        <v>534</v>
      </c>
      <c r="T191" s="135">
        <f>1-((T176-T178)/T176)</f>
        <v>1.0797672025654945</v>
      </c>
      <c r="U191" s="135">
        <f t="shared" ref="U191:AB191" si="316">1-((U176-U178)/U176)</f>
        <v>0.98636061991310098</v>
      </c>
      <c r="V191" s="135">
        <f t="shared" si="316"/>
        <v>1.0244828691696779</v>
      </c>
      <c r="W191" s="135">
        <f t="shared" si="316"/>
        <v>0.99089423895854389</v>
      </c>
      <c r="X191" s="135">
        <f t="shared" si="316"/>
        <v>0.94072908892688334</v>
      </c>
      <c r="Y191" s="135">
        <f t="shared" si="316"/>
        <v>0.9567806234243823</v>
      </c>
      <c r="Z191" s="135">
        <f t="shared" si="316"/>
        <v>1.0106408804917371</v>
      </c>
      <c r="AA191" s="135">
        <f t="shared" si="316"/>
        <v>0.99245810055865924</v>
      </c>
      <c r="AB191" s="135">
        <f t="shared" si="316"/>
        <v>0.926102273920551</v>
      </c>
      <c r="AM191" s="205" t="s">
        <v>529</v>
      </c>
      <c r="AN191" s="135">
        <f>1-((AN176-AN178)/AN176)</f>
        <v>0.91898404126181155</v>
      </c>
      <c r="AO191" s="135">
        <f t="shared" ref="AO191:AV191" si="317">1-((AO176-AO178)/AO176)</f>
        <v>1.1888418399658278</v>
      </c>
      <c r="AP191" s="135">
        <f t="shared" si="317"/>
        <v>0.83848266210761269</v>
      </c>
      <c r="AQ191" s="135">
        <f t="shared" si="317"/>
        <v>1.0870712425070224</v>
      </c>
      <c r="AR191" s="135">
        <f t="shared" si="317"/>
        <v>1.0616597571990014</v>
      </c>
      <c r="AS191" s="135">
        <f t="shared" si="317"/>
        <v>0.90976911646740888</v>
      </c>
      <c r="AT191" s="135">
        <f t="shared" si="317"/>
        <v>1.0945387772481854</v>
      </c>
      <c r="AU191" s="135">
        <f t="shared" si="317"/>
        <v>0.96969696969696961</v>
      </c>
      <c r="AV191" s="135">
        <f t="shared" si="317"/>
        <v>1.0482342864314291</v>
      </c>
      <c r="BB191" s="205" t="s">
        <v>534</v>
      </c>
      <c r="BC191" s="135">
        <f>1-((BC176-BC178)/BC176)</f>
        <v>1.0428970230330277</v>
      </c>
      <c r="BD191" s="135">
        <f t="shared" ref="BD191:BK191" si="318">1-((BD176-BD178)/BD176)</f>
        <v>0.71698610339821134</v>
      </c>
      <c r="BE191" s="135">
        <f t="shared" si="318"/>
        <v>1.2526485637016476</v>
      </c>
      <c r="BF191" s="135">
        <f t="shared" si="318"/>
        <v>0.92394786973952192</v>
      </c>
      <c r="BG191" s="135">
        <f t="shared" si="318"/>
        <v>0.96042860853942247</v>
      </c>
      <c r="BH191" s="135">
        <f t="shared" si="318"/>
        <v>1.2019393435205654</v>
      </c>
      <c r="BI191" s="135">
        <f t="shared" si="318"/>
        <v>0.78836820411337416</v>
      </c>
      <c r="BJ191" s="135">
        <f t="shared" si="318"/>
        <v>0.95454545454545447</v>
      </c>
      <c r="BK191" s="135">
        <f t="shared" si="318"/>
        <v>0.91762768123951277</v>
      </c>
      <c r="BR191" s="272"/>
      <c r="BV191" s="205" t="s">
        <v>529</v>
      </c>
      <c r="BW191" s="135">
        <f>1-((BW176-BW178)/BW176)</f>
        <v>0.91898404126181155</v>
      </c>
      <c r="BX191" s="135">
        <f t="shared" ref="BX191:CE191" si="319">1-((BX176-BX178)/BX176)</f>
        <v>1.1888418399658278</v>
      </c>
      <c r="BY191" s="135">
        <f t="shared" si="319"/>
        <v>0.83848266210761269</v>
      </c>
      <c r="BZ191" s="135">
        <f t="shared" si="319"/>
        <v>1.0870712425070224</v>
      </c>
      <c r="CA191" s="135">
        <f t="shared" si="319"/>
        <v>1.0616597571990014</v>
      </c>
      <c r="CB191" s="135">
        <f t="shared" si="319"/>
        <v>0.90976911646740888</v>
      </c>
      <c r="CC191" s="135">
        <f t="shared" si="319"/>
        <v>1.0945387772481854</v>
      </c>
      <c r="CD191" s="135">
        <f t="shared" si="319"/>
        <v>0.96969696969696961</v>
      </c>
      <c r="CE191" s="135">
        <f t="shared" si="319"/>
        <v>1.0482342864314291</v>
      </c>
      <c r="CK191" s="205" t="s">
        <v>534</v>
      </c>
      <c r="CL191" s="135">
        <f>1-((CL176-CL178)/CL176)</f>
        <v>1.0913363528693429</v>
      </c>
      <c r="CM191" s="135">
        <f t="shared" ref="CM191:CT191" si="320">1-((CM176-CM178)/CM176)</f>
        <v>1.188458112922061</v>
      </c>
      <c r="CN191" s="135">
        <f t="shared" si="320"/>
        <v>0.9261948273204923</v>
      </c>
      <c r="CO191" s="135">
        <f t="shared" si="320"/>
        <v>1.0307746058569529</v>
      </c>
      <c r="CP191" s="135">
        <f t="shared" si="320"/>
        <v>0.93538896703676655</v>
      </c>
      <c r="CQ191" s="135">
        <f t="shared" si="320"/>
        <v>0.85386558175161187</v>
      </c>
      <c r="CR191" s="135">
        <f t="shared" si="320"/>
        <v>1.160244687195588</v>
      </c>
      <c r="CS191" s="135">
        <f t="shared" si="320"/>
        <v>1.0088495575221239</v>
      </c>
      <c r="CT191" s="135">
        <f t="shared" si="320"/>
        <v>0.93333304421146557</v>
      </c>
    </row>
    <row r="192" spans="4:98" x14ac:dyDescent="0.35">
      <c r="D192" s="196" t="s">
        <v>553</v>
      </c>
      <c r="E192" s="135">
        <f>1-((E176-E179)/E176)</f>
        <v>1.0702248409567776</v>
      </c>
      <c r="F192" s="135">
        <f t="shared" ref="F192:M192" si="321">1-((F176-F179)/F176)</f>
        <v>1.0362744884276169</v>
      </c>
      <c r="G192" s="135">
        <f t="shared" si="321"/>
        <v>1.0162630826733541</v>
      </c>
      <c r="H192" s="135">
        <f t="shared" si="321"/>
        <v>0.99123284946470069</v>
      </c>
      <c r="I192" s="135">
        <f t="shared" si="321"/>
        <v>0.92133899887293547</v>
      </c>
      <c r="J192" s="135">
        <f t="shared" si="321"/>
        <v>0.94749268804753606</v>
      </c>
      <c r="K192" s="135">
        <f t="shared" si="321"/>
        <v>1.0481385970033901</v>
      </c>
      <c r="L192" s="135">
        <f t="shared" si="321"/>
        <v>1.1898148148148149</v>
      </c>
      <c r="M192" s="135">
        <f t="shared" si="321"/>
        <v>1.1078918476939188</v>
      </c>
      <c r="S192" s="205" t="s">
        <v>529</v>
      </c>
      <c r="T192" s="135">
        <f>1-((T176-T179)/T176)</f>
        <v>0.94780837642471216</v>
      </c>
      <c r="U192" s="135">
        <f t="shared" ref="U192:AB192" si="322">1-((U176-U179)/U176)</f>
        <v>0.95424824594896895</v>
      </c>
      <c r="V192" s="135">
        <f t="shared" si="322"/>
        <v>0.95245329081105645</v>
      </c>
      <c r="W192" s="135">
        <f t="shared" si="322"/>
        <v>1.0176837514092654</v>
      </c>
      <c r="X192" s="135">
        <f t="shared" si="322"/>
        <v>1.1189443526301162</v>
      </c>
      <c r="Y192" s="135">
        <f t="shared" si="322"/>
        <v>1.0290524279207103</v>
      </c>
      <c r="Z192" s="135">
        <f t="shared" si="322"/>
        <v>0.95257425568295906</v>
      </c>
      <c r="AA192" s="135">
        <f t="shared" si="322"/>
        <v>0.95</v>
      </c>
      <c r="AB192" s="135">
        <f t="shared" si="322"/>
        <v>1.0220510157920863</v>
      </c>
      <c r="AM192" s="196" t="s">
        <v>553</v>
      </c>
      <c r="AN192" s="135">
        <f>1-((AN176-AN179)/AN176)</f>
        <v>1.0702248409567776</v>
      </c>
      <c r="AO192" s="135">
        <f t="shared" ref="AO192:AV192" si="323">1-((AO176-AO179)/AO176)</f>
        <v>1.0362744884276169</v>
      </c>
      <c r="AP192" s="135">
        <f t="shared" si="323"/>
        <v>1.0162630826733541</v>
      </c>
      <c r="AQ192" s="135">
        <f t="shared" si="323"/>
        <v>0.99123284946470069</v>
      </c>
      <c r="AR192" s="135">
        <f t="shared" si="323"/>
        <v>0.92133899887293547</v>
      </c>
      <c r="AS192" s="135">
        <f t="shared" si="323"/>
        <v>0.94749268804753606</v>
      </c>
      <c r="AT192" s="135">
        <f t="shared" si="323"/>
        <v>1.0481385970033901</v>
      </c>
      <c r="AU192" s="135">
        <f t="shared" si="323"/>
        <v>1.1898148148148149</v>
      </c>
      <c r="AV192" s="135">
        <f t="shared" si="323"/>
        <v>1.1078918476939188</v>
      </c>
      <c r="BB192" s="205" t="s">
        <v>529</v>
      </c>
      <c r="BC192" s="135">
        <f>1-((BC176-BC179)/BC176)</f>
        <v>0.75670379803689869</v>
      </c>
      <c r="BD192" s="135">
        <f t="shared" ref="BD192:BK192" si="324">1-((BD176-BD179)/BD176)</f>
        <v>0.69126933893568765</v>
      </c>
      <c r="BE192" s="135">
        <f t="shared" si="324"/>
        <v>1.0145874544978846</v>
      </c>
      <c r="BF192" s="135">
        <f t="shared" si="324"/>
        <v>0.99560889255261309</v>
      </c>
      <c r="BG192" s="135">
        <f t="shared" si="324"/>
        <v>1.4440642966859101</v>
      </c>
      <c r="BH192" s="135">
        <f t="shared" si="324"/>
        <v>1.3623013727797135</v>
      </c>
      <c r="BI192" s="135">
        <f t="shared" si="324"/>
        <v>0.70560101323196012</v>
      </c>
      <c r="BJ192" s="135">
        <f t="shared" si="324"/>
        <v>0.83080808080808077</v>
      </c>
      <c r="BK192" s="135">
        <f t="shared" si="324"/>
        <v>1.1324223550224572</v>
      </c>
      <c r="BR192" s="272"/>
      <c r="BV192" s="196" t="s">
        <v>553</v>
      </c>
      <c r="BW192" s="135">
        <f>1-((BW176-BW179)/BW176)</f>
        <v>1.0702248409567776</v>
      </c>
      <c r="BX192" s="135">
        <f t="shared" ref="BX192:CE192" si="325">1-((BX176-BX179)/BX176)</f>
        <v>1.0362744884276169</v>
      </c>
      <c r="BY192" s="135">
        <f t="shared" si="325"/>
        <v>1.0162630826733541</v>
      </c>
      <c r="BZ192" s="135">
        <f t="shared" si="325"/>
        <v>0.99123284946470069</v>
      </c>
      <c r="CA192" s="135">
        <f t="shared" si="325"/>
        <v>0.92133899887293547</v>
      </c>
      <c r="CB192" s="135">
        <f t="shared" si="325"/>
        <v>0.94749268804753606</v>
      </c>
      <c r="CC192" s="135">
        <f t="shared" si="325"/>
        <v>1.0481385970033901</v>
      </c>
      <c r="CD192" s="135">
        <f t="shared" si="325"/>
        <v>1.1898148148148149</v>
      </c>
      <c r="CE192" s="135">
        <f t="shared" si="325"/>
        <v>1.1078918476939188</v>
      </c>
      <c r="CK192" s="205" t="s">
        <v>529</v>
      </c>
      <c r="CL192" s="135">
        <f>1-((CL176-CL179)/CL176)</f>
        <v>1.023622323424318</v>
      </c>
      <c r="CM192" s="135">
        <f t="shared" ref="CM192:CT192" si="326">1-((CM176-CM179)/CM176)</f>
        <v>1.1511998897010738</v>
      </c>
      <c r="CN192" s="135">
        <f t="shared" si="326"/>
        <v>0.91161746664510535</v>
      </c>
      <c r="CO192" s="135">
        <f t="shared" si="326"/>
        <v>1.0368529403819291</v>
      </c>
      <c r="CP192" s="135">
        <f t="shared" si="326"/>
        <v>0.97849390370170863</v>
      </c>
      <c r="CQ192" s="135">
        <f t="shared" si="326"/>
        <v>0.89410592139495171</v>
      </c>
      <c r="CR192" s="135">
        <f t="shared" si="326"/>
        <v>1.1141391919896686</v>
      </c>
      <c r="CS192" s="135">
        <f t="shared" si="326"/>
        <v>1.0012642225031607</v>
      </c>
      <c r="CT192" s="135">
        <f t="shared" si="326"/>
        <v>0.97675944621885935</v>
      </c>
    </row>
    <row r="193" spans="1:117" x14ac:dyDescent="0.35">
      <c r="D193" s="205" t="s">
        <v>529</v>
      </c>
      <c r="E193" s="135">
        <f>1-((E176-E180)/E176)</f>
        <v>0.86317263387641197</v>
      </c>
      <c r="F193" s="135">
        <f t="shared" ref="F193:M193" si="327">1-((F176-F180)/F176)</f>
        <v>1.1873581883791529</v>
      </c>
      <c r="G193" s="135">
        <f t="shared" si="327"/>
        <v>0.80463122474001203</v>
      </c>
      <c r="H193" s="135">
        <f t="shared" si="327"/>
        <v>1.1053199751242564</v>
      </c>
      <c r="I193" s="135">
        <f t="shared" si="327"/>
        <v>1.1173529947976226</v>
      </c>
      <c r="J193" s="135">
        <f t="shared" si="327"/>
        <v>0.92952974095434504</v>
      </c>
      <c r="K193" s="135">
        <f t="shared" si="327"/>
        <v>1.0740700387490689</v>
      </c>
      <c r="L193" s="135">
        <f t="shared" si="327"/>
        <v>0.93939393939393945</v>
      </c>
      <c r="M193" s="135">
        <f t="shared" si="327"/>
        <v>1.0760326381332905</v>
      </c>
      <c r="S193" s="205" t="s">
        <v>532</v>
      </c>
      <c r="T193" s="135">
        <f>1-((T176-T180)/T176)</f>
        <v>0.92869906138216596</v>
      </c>
      <c r="U193" s="135">
        <f t="shared" ref="U193:AB193" si="328">1-((U176-U180)/U176)</f>
        <v>1.3086508106590764</v>
      </c>
      <c r="V193" s="135">
        <f t="shared" si="328"/>
        <v>0.77416220729751473</v>
      </c>
      <c r="W193" s="135">
        <f t="shared" si="328"/>
        <v>1.0839944436343141</v>
      </c>
      <c r="X193" s="135">
        <f t="shared" si="328"/>
        <v>1.1087700705457493</v>
      </c>
      <c r="Y193" s="135">
        <f t="shared" si="328"/>
        <v>0.85497109124477022</v>
      </c>
      <c r="Z193" s="135">
        <f t="shared" si="328"/>
        <v>1.2098855286223344</v>
      </c>
      <c r="AA193" s="135">
        <f t="shared" si="328"/>
        <v>0.76291899441340782</v>
      </c>
      <c r="AB193" s="135">
        <f t="shared" si="328"/>
        <v>0.8275668848557507</v>
      </c>
      <c r="AM193" s="205" t="s">
        <v>529</v>
      </c>
      <c r="AN193" s="135">
        <f>1-((AN176-AN180)/AN176)</f>
        <v>0.86317263387641197</v>
      </c>
      <c r="AO193" s="135">
        <f t="shared" ref="AO193:AV193" si="329">1-((AO176-AO180)/AO176)</f>
        <v>1.1873581883791529</v>
      </c>
      <c r="AP193" s="135">
        <f t="shared" si="329"/>
        <v>0.80463122474001203</v>
      </c>
      <c r="AQ193" s="135">
        <f t="shared" si="329"/>
        <v>1.1053199751242564</v>
      </c>
      <c r="AR193" s="135">
        <f t="shared" si="329"/>
        <v>1.1173529947976226</v>
      </c>
      <c r="AS193" s="135">
        <f t="shared" si="329"/>
        <v>0.92952974095434504</v>
      </c>
      <c r="AT193" s="135">
        <f t="shared" si="329"/>
        <v>1.0740700387490689</v>
      </c>
      <c r="AU193" s="135">
        <f t="shared" si="329"/>
        <v>0.93939393939393945</v>
      </c>
      <c r="AV193" s="135">
        <f t="shared" si="329"/>
        <v>1.0760326381332905</v>
      </c>
      <c r="BB193" s="205" t="s">
        <v>532</v>
      </c>
      <c r="BC193" s="135">
        <f>1-((BC176-BC180)/BC176)</f>
        <v>0.97383340601831669</v>
      </c>
      <c r="BD193" s="135">
        <f t="shared" ref="BD193:BK193" si="330">1-((BD176-BD180)/BD176)</f>
        <v>1.1036077638982746</v>
      </c>
      <c r="BE193" s="135">
        <f t="shared" si="330"/>
        <v>0.85739602468954712</v>
      </c>
      <c r="BF193" s="135">
        <f t="shared" si="330"/>
        <v>1.0429265694095922</v>
      </c>
      <c r="BG193" s="135">
        <f t="shared" si="330"/>
        <v>1.0229383534311629</v>
      </c>
      <c r="BH193" s="135">
        <f t="shared" si="330"/>
        <v>0.88127940258380544</v>
      </c>
      <c r="BI193" s="135">
        <f t="shared" si="330"/>
        <v>1.0751841495719656</v>
      </c>
      <c r="BJ193" s="135">
        <f t="shared" si="330"/>
        <v>0.79545454545454541</v>
      </c>
      <c r="BK193" s="135">
        <f t="shared" si="330"/>
        <v>0.81683571020743606</v>
      </c>
      <c r="BR193" s="272"/>
      <c r="BV193" s="205" t="s">
        <v>529</v>
      </c>
      <c r="BW193" s="135">
        <f>1-((BW176-BW180)/BW176)</f>
        <v>0.86317263387641197</v>
      </c>
      <c r="BX193" s="135">
        <f t="shared" ref="BX193:CE193" si="331">1-((BX176-BX180)/BX176)</f>
        <v>1.1873581883791529</v>
      </c>
      <c r="BY193" s="135">
        <f t="shared" si="331"/>
        <v>0.80463122474001203</v>
      </c>
      <c r="BZ193" s="135">
        <f t="shared" si="331"/>
        <v>1.1053199751242564</v>
      </c>
      <c r="CA193" s="135">
        <f t="shared" si="331"/>
        <v>1.1173529947976226</v>
      </c>
      <c r="CB193" s="135">
        <f t="shared" si="331"/>
        <v>0.92952974095434504</v>
      </c>
      <c r="CC193" s="135">
        <f t="shared" si="331"/>
        <v>1.0740700387490689</v>
      </c>
      <c r="CD193" s="135">
        <f t="shared" si="331"/>
        <v>0.93939393939393945</v>
      </c>
      <c r="CE193" s="135">
        <f t="shared" si="331"/>
        <v>1.0760326381332905</v>
      </c>
      <c r="CK193" s="205" t="s">
        <v>532</v>
      </c>
      <c r="CL193" s="135">
        <f>1-((CL176-CL180)/CL176)</f>
        <v>0.33876197906532379</v>
      </c>
      <c r="CM193" s="135">
        <f t="shared" ref="CM193:CT193" si="332">1-((CM176-CM180)/CM176)</f>
        <v>0.59718234715890228</v>
      </c>
      <c r="CN193" s="135">
        <f t="shared" si="332"/>
        <v>0.24838886358587597</v>
      </c>
      <c r="CO193" s="135">
        <f>1-((CO176-CO180)/CO176)</f>
        <v>0.39552992439468526</v>
      </c>
      <c r="CP193" s="135">
        <f t="shared" si="332"/>
        <v>0.39588775231141959</v>
      </c>
      <c r="CQ193" s="135">
        <f t="shared" si="332"/>
        <v>0.27885777940983736</v>
      </c>
      <c r="CR193" s="135">
        <f t="shared" si="332"/>
        <v>0.51845395982033471</v>
      </c>
      <c r="CS193" s="135">
        <f t="shared" si="332"/>
        <v>0.32593372970214785</v>
      </c>
      <c r="CT193" s="135">
        <f t="shared" si="332"/>
        <v>0.33039466037982002</v>
      </c>
    </row>
    <row r="194" spans="1:117" x14ac:dyDescent="0.35">
      <c r="D194" s="196" t="s">
        <v>552</v>
      </c>
      <c r="E194" s="135">
        <f>1-((E176-E181)/E176)</f>
        <v>1.497307738264211</v>
      </c>
      <c r="F194" s="135">
        <f t="shared" ref="F194:M194" si="333">1-((F176-F181)/F176)</f>
        <v>0.8858587166265115</v>
      </c>
      <c r="G194" s="135">
        <f t="shared" si="333"/>
        <v>1.3438618778545759</v>
      </c>
      <c r="H194" s="135">
        <f t="shared" si="333"/>
        <v>0.81462992551583557</v>
      </c>
      <c r="I194" s="135">
        <f t="shared" si="333"/>
        <v>0.73139730549131876</v>
      </c>
      <c r="J194" s="135">
        <f t="shared" si="333"/>
        <v>0.93982343293083792</v>
      </c>
      <c r="K194" s="135">
        <f t="shared" si="333"/>
        <v>1.0995324207516428</v>
      </c>
      <c r="L194" s="135">
        <f t="shared" si="333"/>
        <v>1.9398148148148147</v>
      </c>
      <c r="M194" s="135">
        <f t="shared" si="333"/>
        <v>1.2465315879199574</v>
      </c>
      <c r="S194" s="205" t="s">
        <v>529</v>
      </c>
      <c r="T194" s="135">
        <f>1-((T176-T181)/T176)</f>
        <v>1.0154206902904876</v>
      </c>
      <c r="U194" s="135">
        <f t="shared" ref="U194:AB194" si="334">1-((U176-U181)/U176)</f>
        <v>1.3609737467093463</v>
      </c>
      <c r="V194" s="135">
        <f t="shared" si="334"/>
        <v>0.79269092433289301</v>
      </c>
      <c r="W194" s="135">
        <f t="shared" si="334"/>
        <v>1.0771031733113949</v>
      </c>
      <c r="X194" s="135">
        <f t="shared" si="334"/>
        <v>0.98526239452599296</v>
      </c>
      <c r="Y194" s="135">
        <f t="shared" si="334"/>
        <v>0.78244324799350173</v>
      </c>
      <c r="Z194" s="135">
        <f t="shared" si="334"/>
        <v>1.2711501174174238</v>
      </c>
      <c r="AA194" s="135">
        <f t="shared" si="334"/>
        <v>0.78724394785847307</v>
      </c>
      <c r="AB194" s="135">
        <f t="shared" si="334"/>
        <v>0.76780902387297756</v>
      </c>
      <c r="AM194" s="196" t="s">
        <v>552</v>
      </c>
      <c r="AN194" s="135">
        <f>1-((AN176-AN181)/AN176)</f>
        <v>1.5617629576749805</v>
      </c>
      <c r="AO194" s="135">
        <f t="shared" ref="AO194:AV194" si="335">1-((AO176-AO181)/AO176)</f>
        <v>0.7556471143408473</v>
      </c>
      <c r="AP194" s="135">
        <f t="shared" si="335"/>
        <v>1.4600904790549245</v>
      </c>
      <c r="AQ194" s="135">
        <f t="shared" si="335"/>
        <v>0.75197306865189817</v>
      </c>
      <c r="AR194" s="135">
        <f t="shared" si="335"/>
        <v>0.75286645984172584</v>
      </c>
      <c r="AS194" s="135">
        <f t="shared" si="335"/>
        <v>1.0114850916532245</v>
      </c>
      <c r="AT194" s="135">
        <f t="shared" si="335"/>
        <v>1.0373480445963521</v>
      </c>
      <c r="AU194" s="135">
        <f t="shared" si="335"/>
        <v>2.2777777777777777</v>
      </c>
      <c r="AV194" s="135">
        <f t="shared" si="335"/>
        <v>1.3952845690281148</v>
      </c>
      <c r="BB194" s="205" t="s">
        <v>529</v>
      </c>
      <c r="BC194" s="135">
        <f>1-((BC176-BC181)/BC176)</f>
        <v>0.98070547694867982</v>
      </c>
      <c r="BD194" s="135">
        <f t="shared" ref="BD194:BK194" si="336">1-((BD176-BD181)/BD176)</f>
        <v>1.3172693210937982</v>
      </c>
      <c r="BE194" s="135">
        <f t="shared" si="336"/>
        <v>0.80204406564613895</v>
      </c>
      <c r="BF194" s="135">
        <f t="shared" si="336"/>
        <v>1.0595885853643439</v>
      </c>
      <c r="BG194" s="135">
        <f t="shared" si="336"/>
        <v>1.0164879359593189</v>
      </c>
      <c r="BH194" s="135">
        <f t="shared" si="336"/>
        <v>0.82465008688579722</v>
      </c>
      <c r="BI194" s="135">
        <f t="shared" si="336"/>
        <v>1.2435539811881307</v>
      </c>
      <c r="BJ194" s="135">
        <f t="shared" si="336"/>
        <v>0.63636363636363635</v>
      </c>
      <c r="BK194" s="135">
        <f t="shared" si="336"/>
        <v>0.64647244245783264</v>
      </c>
      <c r="BR194" s="272"/>
      <c r="BV194" s="196" t="s">
        <v>552</v>
      </c>
      <c r="BW194" s="135">
        <f>1-((BW176-BW181)/BW176)</f>
        <v>1.4124088341193843</v>
      </c>
      <c r="BX194" s="135">
        <f t="shared" ref="BX194:CE194" si="337">1-((BX176-BX181)/BX176)</f>
        <v>1.0652873199821209</v>
      </c>
      <c r="BY194" s="135">
        <f t="shared" si="337"/>
        <v>1.1903794055941384</v>
      </c>
      <c r="BZ194" s="135">
        <f t="shared" si="337"/>
        <v>0.89736970897901835</v>
      </c>
      <c r="CA194" s="135">
        <f t="shared" si="337"/>
        <v>0.68117166250764183</v>
      </c>
      <c r="CB194" s="135">
        <f t="shared" si="337"/>
        <v>0.8394971107194964</v>
      </c>
      <c r="CC194" s="135">
        <f t="shared" si="337"/>
        <v>1.1865905473690501</v>
      </c>
      <c r="CD194" s="135">
        <f t="shared" si="337"/>
        <v>1.4666666666666666</v>
      </c>
      <c r="CE194" s="135">
        <f t="shared" si="337"/>
        <v>1.0256016725754435</v>
      </c>
      <c r="CK194" s="205" t="s">
        <v>529</v>
      </c>
      <c r="CL194" s="135">
        <f>1-((CL176-CL181)/CL176)</f>
        <v>1.0303088098334332</v>
      </c>
      <c r="CM194" s="135">
        <f t="shared" ref="CM194:CT194" si="338">1-((CM176-CM181)/CM176)</f>
        <v>1.4210609672603081</v>
      </c>
      <c r="CN194" s="135">
        <f t="shared" si="338"/>
        <v>0.78009655469671357</v>
      </c>
      <c r="CO194" s="135">
        <f t="shared" si="338"/>
        <v>1.0916933273116449</v>
      </c>
      <c r="CP194" s="135">
        <f t="shared" si="338"/>
        <v>0.97099614151664637</v>
      </c>
      <c r="CQ194" s="135">
        <f t="shared" si="338"/>
        <v>0.75759660765697934</v>
      </c>
      <c r="CR194" s="135">
        <f t="shared" si="338"/>
        <v>1.3075492581949242</v>
      </c>
      <c r="CS194" s="135">
        <f t="shared" si="338"/>
        <v>0.86283185840707977</v>
      </c>
      <c r="CT194" s="135">
        <f t="shared" si="338"/>
        <v>0.83234084966092836</v>
      </c>
    </row>
    <row r="195" spans="1:117" x14ac:dyDescent="0.35">
      <c r="D195" s="205" t="s">
        <v>529</v>
      </c>
      <c r="E195" s="135">
        <f>1-((E176-E182)/E176)</f>
        <v>1.3300474909408551</v>
      </c>
      <c r="F195" s="135">
        <f t="shared" ref="F195:M195" si="339">1-((F176-F182)/F176)</f>
        <v>0.71126545241691375</v>
      </c>
      <c r="G195" s="135">
        <f t="shared" si="339"/>
        <v>1.433220652597899</v>
      </c>
      <c r="H195" s="135">
        <f t="shared" si="339"/>
        <v>0.76645813388446182</v>
      </c>
      <c r="I195" s="135">
        <f t="shared" si="339"/>
        <v>0.77331060235381388</v>
      </c>
      <c r="J195" s="135">
        <f t="shared" si="339"/>
        <v>1.1013386339896858</v>
      </c>
      <c r="K195" s="135">
        <f t="shared" si="339"/>
        <v>0.92750171339477916</v>
      </c>
      <c r="L195" s="135">
        <f t="shared" si="339"/>
        <v>1.9444444444444444</v>
      </c>
      <c r="M195" s="135">
        <f t="shared" si="339"/>
        <v>1.4409352424330137</v>
      </c>
      <c r="AM195" s="205" t="s">
        <v>529</v>
      </c>
      <c r="AN195" s="135">
        <f>1-((AN176-AN182)/AN176)</f>
        <v>1.2318201617361149</v>
      </c>
      <c r="AO195" s="135">
        <f t="shared" ref="AO195:AV195" si="340">1-((AO176-AO182)/AO176)</f>
        <v>0.84601698518429735</v>
      </c>
      <c r="AP195" s="135">
        <f t="shared" si="340"/>
        <v>1.2369436571953547</v>
      </c>
      <c r="AQ195" s="135">
        <f t="shared" si="340"/>
        <v>0.87226771499971678</v>
      </c>
      <c r="AR195" s="135">
        <f t="shared" si="340"/>
        <v>0.87238078541453035</v>
      </c>
      <c r="AS195" s="135">
        <f t="shared" si="340"/>
        <v>1.0660965506701632</v>
      </c>
      <c r="AT195" s="135">
        <f t="shared" si="340"/>
        <v>0.98083769938917587</v>
      </c>
      <c r="AU195" s="135">
        <f t="shared" si="340"/>
        <v>1.7129629629629628</v>
      </c>
      <c r="AV195" s="135">
        <f t="shared" si="340"/>
        <v>1.3808949946734101</v>
      </c>
      <c r="BR195" s="272"/>
      <c r="BV195" s="205" t="s">
        <v>529</v>
      </c>
      <c r="BW195" s="135">
        <f>1-((BW176-BW182)/BW176)</f>
        <v>1.4142423445449177</v>
      </c>
      <c r="BX195" s="135">
        <f t="shared" ref="BX195:CE195" si="341">1-((BX176-BX182)/BX176)</f>
        <v>0.59576413861629929</v>
      </c>
      <c r="BY195" s="135">
        <f t="shared" si="341"/>
        <v>1.6014580772286511</v>
      </c>
      <c r="BZ195" s="135">
        <f t="shared" si="341"/>
        <v>0.67576420721424346</v>
      </c>
      <c r="CA195" s="135">
        <f t="shared" si="341"/>
        <v>0.68839330258748577</v>
      </c>
      <c r="CB195" s="135">
        <f t="shared" si="341"/>
        <v>1.1315461339778474</v>
      </c>
      <c r="CC195" s="135">
        <f t="shared" si="341"/>
        <v>0.88178515397101076</v>
      </c>
      <c r="CD195" s="135">
        <f t="shared" si="341"/>
        <v>2.1428571428571428</v>
      </c>
      <c r="CE195" s="135">
        <f t="shared" si="341"/>
        <v>1.4923983119412458</v>
      </c>
    </row>
    <row r="196" spans="1:117" x14ac:dyDescent="0.35">
      <c r="D196" s="196" t="s">
        <v>551</v>
      </c>
      <c r="E196" s="135">
        <f>1-((E176-E183)/E176)</f>
        <v>1.14792756459607</v>
      </c>
      <c r="F196" s="135">
        <f t="shared" ref="F196:M196" si="342">1-((F176-F183)/F176)</f>
        <v>0.78485287865077913</v>
      </c>
      <c r="G196" s="135">
        <f t="shared" si="342"/>
        <v>1.2501530913319991</v>
      </c>
      <c r="H196" s="135">
        <f t="shared" si="342"/>
        <v>0.86514673431677225</v>
      </c>
      <c r="I196" s="135">
        <f t="shared" si="342"/>
        <v>0.8901740627956185</v>
      </c>
      <c r="J196" s="135">
        <f t="shared" si="342"/>
        <v>1.115335681002193</v>
      </c>
      <c r="K196" s="135">
        <f t="shared" si="342"/>
        <v>0.91173101611547036</v>
      </c>
      <c r="L196" s="135">
        <f t="shared" si="342"/>
        <v>1.4285714285714286</v>
      </c>
      <c r="M196" s="135">
        <f t="shared" si="342"/>
        <v>1.2341417941680208</v>
      </c>
      <c r="S196" s="196"/>
      <c r="AM196" s="196" t="s">
        <v>551</v>
      </c>
      <c r="AN196" s="135">
        <f>1-((AN176-AN183)/AN176)</f>
        <v>0.97623183817356962</v>
      </c>
      <c r="AO196" s="135">
        <f t="shared" ref="AO196:AV196" si="343">1-((AO176-AO183)/AO176)</f>
        <v>0.80876568513087777</v>
      </c>
      <c r="AP196" s="135">
        <f t="shared" si="343"/>
        <v>1.1062178062541483</v>
      </c>
      <c r="AQ196" s="135">
        <f t="shared" si="343"/>
        <v>0.94273979197774571</v>
      </c>
      <c r="AR196" s="135">
        <f t="shared" si="343"/>
        <v>1.0974151421312706</v>
      </c>
      <c r="AS196" s="135">
        <f t="shared" si="343"/>
        <v>1.2080569362723041</v>
      </c>
      <c r="AT196" s="135">
        <f t="shared" si="343"/>
        <v>0.86728751110481894</v>
      </c>
      <c r="AU196" s="135">
        <f t="shared" si="343"/>
        <v>1.2222222222222223</v>
      </c>
      <c r="AV196" s="135">
        <f t="shared" si="343"/>
        <v>1.2510420402553146</v>
      </c>
      <c r="BB196" s="196"/>
      <c r="BR196" s="272"/>
      <c r="BV196" s="196" t="s">
        <v>551</v>
      </c>
      <c r="BW196" s="135">
        <f>1-((BW176-BW183)/BW176)</f>
        <v>1.2433140792752368</v>
      </c>
      <c r="BX196" s="135">
        <f t="shared" ref="BX196:CE196" si="344">1-((BX176-BX183)/BX176)</f>
        <v>0.7715679861618352</v>
      </c>
      <c r="BY196" s="135">
        <f t="shared" si="344"/>
        <v>1.3301171385974715</v>
      </c>
      <c r="BZ196" s="135">
        <f t="shared" si="344"/>
        <v>0.82203948006067618</v>
      </c>
      <c r="CA196" s="135">
        <f t="shared" si="344"/>
        <v>0.77504012983136694</v>
      </c>
      <c r="CB196" s="135">
        <f t="shared" si="344"/>
        <v>1.0638238725187976</v>
      </c>
      <c r="CC196" s="135">
        <f t="shared" si="344"/>
        <v>0.93642185223249874</v>
      </c>
      <c r="CD196" s="135">
        <f t="shared" si="344"/>
        <v>1.5432098765432101</v>
      </c>
      <c r="CE196" s="135">
        <f t="shared" si="344"/>
        <v>1.2247527685639679</v>
      </c>
      <c r="CK196" s="196"/>
    </row>
    <row r="197" spans="1:117" x14ac:dyDescent="0.35">
      <c r="D197" s="205" t="s">
        <v>529</v>
      </c>
      <c r="E197" s="135">
        <f>1-((E176-E184)/E176)</f>
        <v>1.0555559529997705</v>
      </c>
      <c r="F197" s="135">
        <f t="shared" ref="F197:M197" si="345">1-((F176-F184)/F176)</f>
        <v>1.1783347324124847</v>
      </c>
      <c r="G197" s="135">
        <f t="shared" si="345"/>
        <v>0.92741548293464482</v>
      </c>
      <c r="H197" s="135">
        <f t="shared" si="345"/>
        <v>1.0391290753681406</v>
      </c>
      <c r="I197" s="135">
        <f t="shared" si="345"/>
        <v>0.95963838493018405</v>
      </c>
      <c r="J197" s="135">
        <f t="shared" si="345"/>
        <v>0.87624102928975367</v>
      </c>
      <c r="K197" s="135">
        <f t="shared" si="345"/>
        <v>1.1354291169699897</v>
      </c>
      <c r="L197" s="135">
        <f t="shared" si="345"/>
        <v>1.1333333333333333</v>
      </c>
      <c r="M197" s="135">
        <f t="shared" si="345"/>
        <v>1.061400090628241</v>
      </c>
      <c r="S197" s="196"/>
      <c r="AM197" s="205" t="s">
        <v>529</v>
      </c>
      <c r="AN197" s="135">
        <f>1-((AN176-AN184)/AN176)</f>
        <v>0.90493328898870551</v>
      </c>
      <c r="AO197" s="135">
        <f t="shared" ref="AO197:AV197" si="346">1-((AO176-AO184)/AO176)</f>
        <v>1.2564999945490423</v>
      </c>
      <c r="AP197" s="135">
        <f t="shared" si="346"/>
        <v>0.78981652600763885</v>
      </c>
      <c r="AQ197" s="135">
        <f t="shared" si="346"/>
        <v>1.1133063265762246</v>
      </c>
      <c r="AR197" s="135">
        <f t="shared" si="346"/>
        <v>1.1478594530533428</v>
      </c>
      <c r="AS197" s="135">
        <f t="shared" si="346"/>
        <v>0.87502056597053945</v>
      </c>
      <c r="AT197" s="135">
        <f t="shared" si="346"/>
        <v>1.1336433743471745</v>
      </c>
      <c r="AU197" s="135">
        <f t="shared" si="346"/>
        <v>0.91666666666666663</v>
      </c>
      <c r="AV197" s="135">
        <f t="shared" si="346"/>
        <v>1.0190068703828858</v>
      </c>
      <c r="BB197" s="196"/>
      <c r="BR197" s="272"/>
      <c r="BV197" s="205" t="s">
        <v>529</v>
      </c>
      <c r="BW197" s="135">
        <f>1-((BW176-BW184)/BW176)</f>
        <v>1.1559710623404804</v>
      </c>
      <c r="BX197" s="135">
        <f t="shared" ref="BX197:CE197" si="347">1-((BX176-BX184)/BX176)</f>
        <v>1.1262245576547794</v>
      </c>
      <c r="BY197" s="135">
        <f t="shared" si="347"/>
        <v>1.0191481208859821</v>
      </c>
      <c r="BZ197" s="135">
        <f t="shared" si="347"/>
        <v>0.98967757456275096</v>
      </c>
      <c r="CA197" s="135">
        <f t="shared" si="347"/>
        <v>0.83415767284807807</v>
      </c>
      <c r="CB197" s="135">
        <f t="shared" si="347"/>
        <v>0.877054671502563</v>
      </c>
      <c r="CC197" s="135">
        <f t="shared" si="347"/>
        <v>1.1366196120518661</v>
      </c>
      <c r="CD197" s="135">
        <f t="shared" si="347"/>
        <v>1.2777777777777777</v>
      </c>
      <c r="CE197" s="135">
        <f t="shared" si="347"/>
        <v>1.0896622374584777</v>
      </c>
      <c r="CK197" s="196"/>
    </row>
    <row r="198" spans="1:117" x14ac:dyDescent="0.35">
      <c r="D198" s="196" t="s">
        <v>550</v>
      </c>
      <c r="E198" s="135">
        <f>1-((E176-E185)/E176)</f>
        <v>1.1829548645822607</v>
      </c>
      <c r="F198" s="135">
        <f t="shared" ref="F198:M198" si="348">1-((F176-F185)/F176)</f>
        <v>1.6174155621870039</v>
      </c>
      <c r="G198" s="135">
        <f t="shared" si="348"/>
        <v>0.9392422196255017</v>
      </c>
      <c r="H198" s="135">
        <f t="shared" si="348"/>
        <v>1.0327534832991183</v>
      </c>
      <c r="I198" s="135">
        <f t="shared" si="348"/>
        <v>0.82655659014719951</v>
      </c>
      <c r="J198" s="135">
        <f t="shared" si="348"/>
        <v>0.79327478757522363</v>
      </c>
      <c r="K198" s="135">
        <f t="shared" si="348"/>
        <v>1.4655912509707534</v>
      </c>
      <c r="L198" s="135">
        <f t="shared" si="348"/>
        <v>1.2171717171717171</v>
      </c>
      <c r="M198" s="135">
        <f t="shared" si="348"/>
        <v>1.0161985766513641</v>
      </c>
      <c r="S198" s="196"/>
      <c r="AM198" s="196" t="s">
        <v>550</v>
      </c>
      <c r="AN198" s="135">
        <f>1-((AN176-AN185)/AN176)</f>
        <v>1.1829548645822607</v>
      </c>
      <c r="AO198" s="135">
        <f t="shared" ref="AO198:AV198" si="349">1-((AO176-AO185)/AO176)</f>
        <v>1.6174155621870039</v>
      </c>
      <c r="AP198" s="135">
        <f t="shared" si="349"/>
        <v>0.9392422196255017</v>
      </c>
      <c r="AQ198" s="135">
        <f t="shared" si="349"/>
        <v>1.0327534832991183</v>
      </c>
      <c r="AR198" s="135">
        <f t="shared" si="349"/>
        <v>0.82655659014719951</v>
      </c>
      <c r="AS198" s="135">
        <f t="shared" si="349"/>
        <v>0.79327478757522363</v>
      </c>
      <c r="AT198" s="135">
        <f t="shared" si="349"/>
        <v>1.4655912509707534</v>
      </c>
      <c r="AU198" s="135">
        <f t="shared" si="349"/>
        <v>1.2171717171717171</v>
      </c>
      <c r="AV198" s="135">
        <f t="shared" si="349"/>
        <v>1.0161985766513641</v>
      </c>
      <c r="BB198" s="196"/>
      <c r="BR198" s="272"/>
      <c r="BV198" s="196" t="s">
        <v>550</v>
      </c>
      <c r="BW198" s="135">
        <f>1-((BW176-BW185)/BW176)</f>
        <v>1.1829548645822607</v>
      </c>
      <c r="BX198" s="135">
        <f t="shared" ref="BX198:CE198" si="350">1-((BX176-BX185)/BX176)</f>
        <v>1.6174155621870039</v>
      </c>
      <c r="BY198" s="135">
        <f t="shared" si="350"/>
        <v>0.9392422196255017</v>
      </c>
      <c r="BZ198" s="135">
        <f t="shared" si="350"/>
        <v>1.0327534832991183</v>
      </c>
      <c r="CA198" s="135">
        <f t="shared" si="350"/>
        <v>0.82655659014719951</v>
      </c>
      <c r="CB198" s="135">
        <f t="shared" si="350"/>
        <v>0.79327478757522363</v>
      </c>
      <c r="CC198" s="135">
        <f t="shared" si="350"/>
        <v>1.4655912509707534</v>
      </c>
      <c r="CD198" s="135">
        <f t="shared" si="350"/>
        <v>1.2171717171717171</v>
      </c>
      <c r="CE198" s="135">
        <f t="shared" si="350"/>
        <v>1.0161985766513641</v>
      </c>
      <c r="CK198" s="196"/>
    </row>
    <row r="199" spans="1:117" x14ac:dyDescent="0.35">
      <c r="D199" s="205" t="s">
        <v>529</v>
      </c>
      <c r="E199" s="135">
        <f>1-((E176-E186)/E176)</f>
        <v>0.70855407342688648</v>
      </c>
      <c r="F199" s="135">
        <f t="shared" ref="F199:M199" si="351">1-((F176-F186)/F176)</f>
        <v>1.9570069336182379</v>
      </c>
      <c r="G199" s="135">
        <f t="shared" si="351"/>
        <v>0.47669725343315583</v>
      </c>
      <c r="H199" s="135">
        <f t="shared" si="351"/>
        <v>1.2821035868067017</v>
      </c>
      <c r="I199" s="135">
        <f t="shared" si="351"/>
        <v>1.3839696432020523</v>
      </c>
      <c r="J199" s="135">
        <f t="shared" si="351"/>
        <v>0.66477706166190631</v>
      </c>
      <c r="K199" s="135">
        <f t="shared" si="351"/>
        <v>1.5207292757552673</v>
      </c>
      <c r="L199" s="135">
        <f t="shared" si="351"/>
        <v>0.7314814814814814</v>
      </c>
      <c r="M199" s="135">
        <f t="shared" si="351"/>
        <v>1.0288918902919666</v>
      </c>
      <c r="S199" s="196"/>
      <c r="AM199" s="196" t="s">
        <v>529</v>
      </c>
      <c r="AN199" s="135">
        <f>1-((AN176-AN186)/AN176)</f>
        <v>0.70855407342688648</v>
      </c>
      <c r="AO199" s="135">
        <f t="shared" ref="AO199:AV199" si="352">1-((AO176-AO186)/AO176)</f>
        <v>1.9570069336182379</v>
      </c>
      <c r="AP199" s="135">
        <f t="shared" si="352"/>
        <v>0.47669725343315583</v>
      </c>
      <c r="AQ199" s="135">
        <f t="shared" si="352"/>
        <v>1.2821035868067017</v>
      </c>
      <c r="AR199" s="135">
        <f t="shared" si="352"/>
        <v>1.3839696432020523</v>
      </c>
      <c r="AS199" s="135">
        <f t="shared" si="352"/>
        <v>0.66477706166190631</v>
      </c>
      <c r="AT199" s="135">
        <f t="shared" si="352"/>
        <v>1.5207292757552673</v>
      </c>
      <c r="AU199" s="135">
        <f t="shared" si="352"/>
        <v>0.7314814814814814</v>
      </c>
      <c r="AV199" s="135">
        <f t="shared" si="352"/>
        <v>1.0288918902919666</v>
      </c>
      <c r="BB199" s="196"/>
      <c r="BR199" s="272"/>
      <c r="BV199" s="205" t="s">
        <v>529</v>
      </c>
      <c r="BW199" s="135">
        <f>1-((BW176-BW186)/BW176)</f>
        <v>0.70855407342688648</v>
      </c>
      <c r="BX199" s="135">
        <f t="shared" ref="BX199:CE199" si="353">1-((BX176-BX186)/BX176)</f>
        <v>1.9570069336182379</v>
      </c>
      <c r="BY199" s="135">
        <f t="shared" si="353"/>
        <v>0.47669725343315583</v>
      </c>
      <c r="BZ199" s="135">
        <f t="shared" si="353"/>
        <v>1.2821035868067017</v>
      </c>
      <c r="CA199" s="135">
        <f t="shared" si="353"/>
        <v>1.3839696432020523</v>
      </c>
      <c r="CB199" s="135">
        <f t="shared" si="353"/>
        <v>0.66477706166190631</v>
      </c>
      <c r="CC199" s="135">
        <f t="shared" si="353"/>
        <v>1.5207292757552673</v>
      </c>
      <c r="CD199" s="135">
        <f t="shared" si="353"/>
        <v>0.7314814814814814</v>
      </c>
      <c r="CE199" s="135">
        <f t="shared" si="353"/>
        <v>1.0288918902919666</v>
      </c>
      <c r="CK199" s="196"/>
    </row>
    <row r="200" spans="1:117" s="214" customFormat="1" x14ac:dyDescent="0.35">
      <c r="A200" s="135"/>
      <c r="B200" s="135"/>
      <c r="C200" s="135"/>
      <c r="D200" s="196"/>
      <c r="E200" s="135"/>
      <c r="F200" s="135"/>
      <c r="G200" s="135"/>
      <c r="H200" s="135"/>
      <c r="I200" s="135"/>
      <c r="J200" s="135"/>
      <c r="K200" s="135"/>
      <c r="L200" s="135"/>
      <c r="M200" s="135"/>
      <c r="N200" s="135"/>
      <c r="O200" s="135"/>
      <c r="P200" s="135"/>
      <c r="Q200" s="135"/>
      <c r="R200" s="135"/>
      <c r="S200" s="205"/>
      <c r="T200" s="135"/>
      <c r="U200" s="135"/>
      <c r="V200" s="135"/>
      <c r="W200" s="135"/>
      <c r="X200" s="135"/>
      <c r="Y200" s="135"/>
      <c r="Z200" s="135"/>
      <c r="AA200" s="135"/>
      <c r="AB200" s="135"/>
      <c r="AC200" s="135"/>
      <c r="AD200" s="135"/>
      <c r="AE200" s="135"/>
      <c r="AF200" s="135"/>
      <c r="AG200" s="135"/>
      <c r="AH200" s="135"/>
      <c r="AI200" s="272"/>
      <c r="AJ200" s="135"/>
      <c r="AK200" s="135"/>
      <c r="AL200" s="135"/>
      <c r="AM200" s="196"/>
      <c r="AN200" s="135"/>
      <c r="AO200" s="135"/>
      <c r="AP200" s="135"/>
      <c r="AQ200" s="135"/>
      <c r="AR200" s="135"/>
      <c r="AS200" s="135"/>
      <c r="AT200" s="135"/>
      <c r="AU200" s="135"/>
      <c r="AV200" s="135"/>
      <c r="AW200" s="135"/>
      <c r="AX200" s="135"/>
      <c r="AY200" s="135"/>
      <c r="AZ200" s="135"/>
      <c r="BA200" s="135"/>
      <c r="BB200" s="205"/>
      <c r="BC200" s="135"/>
      <c r="BD200" s="135"/>
      <c r="BE200" s="135"/>
      <c r="BF200" s="135"/>
      <c r="BG200" s="135"/>
      <c r="BH200" s="135"/>
      <c r="BI200" s="135"/>
      <c r="BJ200" s="135"/>
      <c r="BK200" s="135"/>
      <c r="BL200" s="135"/>
      <c r="BM200" s="135"/>
      <c r="BN200" s="135"/>
      <c r="BO200" s="135"/>
      <c r="BP200" s="135"/>
      <c r="BQ200" s="135"/>
      <c r="BR200" s="272"/>
      <c r="BS200" s="135"/>
      <c r="BT200" s="135"/>
      <c r="BU200" s="135"/>
      <c r="BV200" s="196"/>
      <c r="BW200" s="135"/>
      <c r="BX200" s="135"/>
      <c r="BY200" s="135"/>
      <c r="BZ200" s="135"/>
      <c r="CA200" s="135"/>
      <c r="CB200" s="135"/>
      <c r="CC200" s="135"/>
      <c r="CD200" s="135"/>
      <c r="CE200" s="135"/>
      <c r="CF200" s="135"/>
      <c r="CG200" s="135"/>
      <c r="CH200" s="135"/>
      <c r="CI200" s="135"/>
      <c r="CJ200" s="135"/>
      <c r="CK200" s="205"/>
      <c r="CL200" s="135"/>
      <c r="CM200" s="135"/>
      <c r="CN200" s="135"/>
      <c r="CO200" s="135"/>
      <c r="CP200" s="135"/>
      <c r="CQ200" s="135"/>
      <c r="CR200" s="135"/>
      <c r="CS200" s="135"/>
      <c r="CT200" s="135"/>
      <c r="CU200" s="135"/>
      <c r="CV200" s="135"/>
      <c r="CW200" s="135"/>
      <c r="CX200" s="135"/>
      <c r="CY200" s="135"/>
      <c r="CZ200" s="135"/>
      <c r="DA200" s="135"/>
      <c r="DB200" s="135"/>
      <c r="DC200" s="135"/>
      <c r="DD200" s="135"/>
      <c r="DE200" s="135"/>
      <c r="DF200" s="135"/>
      <c r="DG200" s="135"/>
      <c r="DH200" s="135"/>
      <c r="DI200" s="135"/>
      <c r="DJ200" s="135"/>
      <c r="DK200" s="135"/>
      <c r="DL200" s="135"/>
      <c r="DM200" s="135"/>
    </row>
    <row r="201" spans="1:117" x14ac:dyDescent="0.35">
      <c r="A201" s="214"/>
      <c r="B201" s="214"/>
      <c r="C201" s="214"/>
      <c r="D201" s="217"/>
      <c r="E201" s="214"/>
      <c r="F201" s="214"/>
      <c r="G201" s="214"/>
      <c r="H201" s="214"/>
      <c r="I201" s="214"/>
      <c r="J201" s="214"/>
      <c r="K201" s="214"/>
      <c r="L201" s="214"/>
      <c r="M201" s="214"/>
      <c r="N201" s="214"/>
      <c r="O201" s="214"/>
      <c r="P201" s="214"/>
      <c r="Q201" s="214"/>
      <c r="R201" s="214"/>
      <c r="S201" s="215"/>
      <c r="T201" s="214"/>
      <c r="U201" s="214"/>
      <c r="V201" s="214"/>
      <c r="W201" s="214"/>
      <c r="X201" s="214"/>
      <c r="Y201" s="214"/>
      <c r="Z201" s="214"/>
      <c r="AA201" s="214"/>
      <c r="AB201" s="214"/>
      <c r="AC201" s="214"/>
      <c r="AD201" s="214"/>
      <c r="AE201" s="214"/>
      <c r="AF201" s="214"/>
      <c r="AG201" s="214"/>
      <c r="AH201" s="214"/>
      <c r="AJ201" s="214"/>
      <c r="AK201" s="214"/>
      <c r="AL201" s="214"/>
      <c r="AM201" s="217"/>
      <c r="AN201" s="214"/>
      <c r="AO201" s="214"/>
      <c r="AP201" s="214"/>
      <c r="AQ201" s="214"/>
      <c r="AR201" s="214"/>
      <c r="AS201" s="214"/>
      <c r="AT201" s="214"/>
      <c r="AU201" s="214"/>
      <c r="AV201" s="214"/>
      <c r="AW201" s="214"/>
      <c r="AX201" s="214"/>
      <c r="AY201" s="214"/>
      <c r="AZ201" s="214"/>
      <c r="BA201" s="214"/>
      <c r="BB201" s="215"/>
      <c r="BC201" s="214"/>
      <c r="BD201" s="214"/>
      <c r="BE201" s="214"/>
      <c r="BF201" s="214"/>
      <c r="BG201" s="214"/>
      <c r="BH201" s="214"/>
      <c r="BI201" s="214"/>
      <c r="BJ201" s="214"/>
      <c r="BK201" s="214"/>
      <c r="BL201" s="214"/>
      <c r="BM201" s="214"/>
      <c r="BN201" s="214"/>
      <c r="BO201" s="214"/>
      <c r="BP201" s="214"/>
      <c r="BQ201" s="214"/>
      <c r="BR201" s="272"/>
      <c r="BS201" s="214"/>
      <c r="BT201" s="214"/>
      <c r="BU201" s="214"/>
      <c r="BV201" s="217"/>
      <c r="BW201" s="214"/>
      <c r="BX201" s="214"/>
      <c r="BY201" s="214"/>
      <c r="BZ201" s="214"/>
      <c r="CA201" s="214"/>
      <c r="CB201" s="214"/>
      <c r="CC201" s="214"/>
      <c r="CD201" s="214"/>
      <c r="CE201" s="214"/>
      <c r="CF201" s="214"/>
      <c r="CG201" s="214"/>
      <c r="CH201" s="214"/>
      <c r="CI201" s="214"/>
      <c r="CJ201" s="214"/>
      <c r="CK201" s="215"/>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14"/>
      <c r="DI201" s="214"/>
      <c r="DJ201" s="214"/>
      <c r="DK201" s="214"/>
      <c r="DL201" s="214"/>
      <c r="DM201" s="214"/>
    </row>
    <row r="202" spans="1:117" x14ac:dyDescent="0.35">
      <c r="D202" s="196"/>
      <c r="S202" s="205"/>
      <c r="AM202" s="196"/>
      <c r="BB202" s="205"/>
      <c r="BR202" s="272"/>
      <c r="BV202" s="196"/>
      <c r="CK202" s="205"/>
    </row>
    <row r="203" spans="1:117" x14ac:dyDescent="0.35">
      <c r="D203" s="195" t="s">
        <v>561</v>
      </c>
      <c r="S203" s="205"/>
      <c r="AM203" s="195" t="s">
        <v>561</v>
      </c>
      <c r="BB203" s="205"/>
      <c r="BR203" s="272"/>
      <c r="BV203" s="195" t="s">
        <v>561</v>
      </c>
      <c r="CK203" s="205"/>
    </row>
    <row r="204" spans="1:117" ht="16" thickBot="1" x14ac:dyDescent="0.4">
      <c r="D204" s="9" t="s">
        <v>444</v>
      </c>
      <c r="E204" s="9" t="s">
        <v>3</v>
      </c>
      <c r="F204" s="9" t="s">
        <v>4</v>
      </c>
      <c r="G204" s="9" t="s">
        <v>5</v>
      </c>
      <c r="H204" s="9" t="s">
        <v>6</v>
      </c>
      <c r="I204" s="9" t="s">
        <v>7</v>
      </c>
      <c r="J204" s="9" t="s">
        <v>8</v>
      </c>
      <c r="K204" s="9" t="s">
        <v>9</v>
      </c>
      <c r="L204" s="9" t="s">
        <v>10</v>
      </c>
      <c r="M204" s="9" t="s">
        <v>139</v>
      </c>
      <c r="S204" s="205"/>
      <c r="AM204" s="9" t="s">
        <v>444</v>
      </c>
      <c r="AN204" s="9" t="s">
        <v>3</v>
      </c>
      <c r="AO204" s="9" t="s">
        <v>4</v>
      </c>
      <c r="AP204" s="9" t="s">
        <v>5</v>
      </c>
      <c r="AQ204" s="9" t="s">
        <v>6</v>
      </c>
      <c r="AR204" s="9" t="s">
        <v>7</v>
      </c>
      <c r="AS204" s="9" t="s">
        <v>8</v>
      </c>
      <c r="AT204" s="9" t="s">
        <v>9</v>
      </c>
      <c r="AU204" s="9" t="s">
        <v>10</v>
      </c>
      <c r="AV204" s="9" t="s">
        <v>139</v>
      </c>
      <c r="BB204" s="205"/>
      <c r="BR204" s="272"/>
      <c r="BV204" s="9" t="s">
        <v>444</v>
      </c>
      <c r="BW204" s="9" t="s">
        <v>3</v>
      </c>
      <c r="BX204" s="9" t="s">
        <v>4</v>
      </c>
      <c r="BY204" s="9" t="s">
        <v>5</v>
      </c>
      <c r="BZ204" s="9" t="s">
        <v>6</v>
      </c>
      <c r="CA204" s="9" t="s">
        <v>7</v>
      </c>
      <c r="CB204" s="9" t="s">
        <v>8</v>
      </c>
      <c r="CC204" s="9" t="s">
        <v>9</v>
      </c>
      <c r="CD204" s="9" t="s">
        <v>10</v>
      </c>
      <c r="CE204" s="9" t="s">
        <v>139</v>
      </c>
      <c r="CK204" s="205"/>
    </row>
    <row r="205" spans="1:117" x14ac:dyDescent="0.35">
      <c r="D205" s="196" t="s">
        <v>530</v>
      </c>
      <c r="E205" s="135">
        <v>3.3543185714285713</v>
      </c>
      <c r="F205" s="289">
        <v>11.235252857142855</v>
      </c>
      <c r="G205" s="135">
        <v>0.2714076808769868</v>
      </c>
      <c r="H205" s="135">
        <v>0.72859231912301325</v>
      </c>
      <c r="I205" s="135">
        <v>0.30296790146664809</v>
      </c>
      <c r="J205" s="135">
        <v>8.1751799231251879E-2</v>
      </c>
      <c r="K205" s="135">
        <v>14.589571428571428</v>
      </c>
      <c r="L205" s="135">
        <v>13.571428571428571</v>
      </c>
      <c r="M205" s="135">
        <v>4.0214299949894396</v>
      </c>
      <c r="Q205" s="353" t="s">
        <v>811</v>
      </c>
      <c r="R205" s="354"/>
      <c r="S205" s="354"/>
      <c r="T205" s="354"/>
      <c r="U205" s="354"/>
      <c r="V205" s="354"/>
      <c r="W205" s="354"/>
      <c r="X205" s="354"/>
      <c r="AM205" s="196" t="s">
        <v>530</v>
      </c>
      <c r="AN205" s="135">
        <v>3.3543185714285713</v>
      </c>
      <c r="AO205" s="135">
        <v>11.235252857142855</v>
      </c>
      <c r="AP205" s="135">
        <v>0.2714076808769868</v>
      </c>
      <c r="AQ205" s="135">
        <v>0.72859231912301325</v>
      </c>
      <c r="AR205" s="135">
        <v>0.30296790146664809</v>
      </c>
      <c r="AS205" s="135">
        <v>8.1751799231251879E-2</v>
      </c>
      <c r="AT205" s="135">
        <v>14.589571428571428</v>
      </c>
      <c r="AU205" s="135">
        <v>13.571428571428571</v>
      </c>
      <c r="AV205" s="135">
        <v>4.0214299949894396</v>
      </c>
      <c r="BB205" s="205"/>
      <c r="BR205" s="272"/>
      <c r="BV205" s="196" t="s">
        <v>530</v>
      </c>
      <c r="BW205" s="135">
        <v>3.3543185714285713</v>
      </c>
      <c r="BX205" s="135">
        <v>11.235252857142855</v>
      </c>
      <c r="BY205" s="135">
        <v>0.2714076808769868</v>
      </c>
      <c r="BZ205" s="135">
        <v>0.72859231912301325</v>
      </c>
      <c r="CA205" s="135">
        <v>0.30296790146664809</v>
      </c>
      <c r="CB205" s="135">
        <v>8.1751799231251879E-2</v>
      </c>
      <c r="CC205" s="135">
        <v>14.589571428571428</v>
      </c>
      <c r="CD205" s="135">
        <v>13.571428571428571</v>
      </c>
      <c r="CE205" s="135">
        <v>4.0214299949894396</v>
      </c>
      <c r="CK205" s="205"/>
    </row>
    <row r="206" spans="1:117" x14ac:dyDescent="0.35">
      <c r="D206" s="196" t="s">
        <v>553</v>
      </c>
      <c r="E206" s="135">
        <v>3.7604037499999996</v>
      </c>
      <c r="F206" s="135">
        <v>11.273871250000001</v>
      </c>
      <c r="G206" s="135">
        <v>0.28471247933610827</v>
      </c>
      <c r="H206" s="135">
        <v>0.71528752066389167</v>
      </c>
      <c r="I206" s="135">
        <v>0.28730106308882009</v>
      </c>
      <c r="J206" s="135">
        <v>7.3110248814032539E-2</v>
      </c>
      <c r="K206" s="135">
        <v>15.034274999999999</v>
      </c>
      <c r="L206" s="135">
        <v>21.25</v>
      </c>
      <c r="M206" s="135">
        <v>6.1167398917345537</v>
      </c>
      <c r="Q206" s="354"/>
      <c r="R206" s="354"/>
      <c r="S206" s="354"/>
      <c r="T206" s="354"/>
      <c r="U206" s="354"/>
      <c r="V206" s="354"/>
      <c r="W206" s="354"/>
      <c r="X206" s="354"/>
      <c r="AM206" s="196" t="s">
        <v>553</v>
      </c>
      <c r="AN206" s="135">
        <v>3.7604037499999996</v>
      </c>
      <c r="AO206" s="135">
        <v>11.273871250000001</v>
      </c>
      <c r="AP206" s="135">
        <v>0.28471247933610827</v>
      </c>
      <c r="AQ206" s="135">
        <v>0.71528752066389167</v>
      </c>
      <c r="AR206" s="135">
        <v>0.28730106308882009</v>
      </c>
      <c r="AS206" s="135">
        <v>7.3110248814032539E-2</v>
      </c>
      <c r="AT206" s="135">
        <v>15.034274999999999</v>
      </c>
      <c r="AU206" s="135">
        <v>21.25</v>
      </c>
      <c r="AV206" s="135">
        <v>6.1167398917345537</v>
      </c>
      <c r="BB206" s="205"/>
      <c r="BR206" s="272"/>
      <c r="BV206" s="196" t="s">
        <v>553</v>
      </c>
      <c r="BW206" s="135">
        <v>3.7604037499999996</v>
      </c>
      <c r="BX206" s="135">
        <v>11.273871250000001</v>
      </c>
      <c r="BY206" s="135">
        <v>0.28471247933610827</v>
      </c>
      <c r="BZ206" s="135">
        <v>0.71528752066389167</v>
      </c>
      <c r="CA206" s="135">
        <v>0.28730106308882009</v>
      </c>
      <c r="CB206" s="135">
        <v>7.3110248814032539E-2</v>
      </c>
      <c r="CC206" s="135">
        <v>15.034274999999999</v>
      </c>
      <c r="CD206" s="135">
        <v>21.25</v>
      </c>
      <c r="CE206" s="135">
        <v>6.1167398917345537</v>
      </c>
      <c r="CK206" s="205"/>
    </row>
    <row r="207" spans="1:117" x14ac:dyDescent="0.35">
      <c r="D207" s="196" t="s">
        <v>552</v>
      </c>
      <c r="E207" s="135">
        <v>3.897627</v>
      </c>
      <c r="F207" s="135">
        <v>8.7138049999999989</v>
      </c>
      <c r="G207" s="135">
        <v>0.3175974139408671</v>
      </c>
      <c r="H207" s="135">
        <v>0.68240258605913306</v>
      </c>
      <c r="I207" s="135">
        <v>0.26814193821611698</v>
      </c>
      <c r="J207" s="135">
        <v>8.1526249461063863E-2</v>
      </c>
      <c r="K207" s="135">
        <v>12.611432000000001</v>
      </c>
      <c r="L207" s="135">
        <v>19</v>
      </c>
      <c r="M207" s="135">
        <v>4.9317046094627122</v>
      </c>
      <c r="Q207" s="354"/>
      <c r="R207" s="354"/>
      <c r="S207" s="354"/>
      <c r="T207" s="354"/>
      <c r="U207" s="354"/>
      <c r="V207" s="354"/>
      <c r="W207" s="354"/>
      <c r="X207" s="354"/>
      <c r="AM207" s="196" t="s">
        <v>552</v>
      </c>
      <c r="AN207" s="135">
        <v>3.897627</v>
      </c>
      <c r="AO207" s="135">
        <v>8.7138049999999989</v>
      </c>
      <c r="AP207" s="135">
        <v>0.3175974139408671</v>
      </c>
      <c r="AQ207" s="135">
        <v>0.68240258605913306</v>
      </c>
      <c r="AR207" s="135">
        <v>0.26814193821611698</v>
      </c>
      <c r="AS207" s="135">
        <v>8.1526249461063863E-2</v>
      </c>
      <c r="AT207" s="135">
        <v>12.611432000000001</v>
      </c>
      <c r="AU207" s="135">
        <v>19</v>
      </c>
      <c r="AV207" s="135">
        <v>4.9317046094627122</v>
      </c>
      <c r="BB207" s="205"/>
      <c r="BR207" s="272"/>
      <c r="BV207" s="196" t="s">
        <v>552</v>
      </c>
      <c r="BW207" s="135">
        <v>3.897627</v>
      </c>
      <c r="BX207" s="135">
        <v>8.7138049999999989</v>
      </c>
      <c r="BY207" s="135">
        <v>0.3175974139408671</v>
      </c>
      <c r="BZ207" s="135">
        <v>0.68240258605913306</v>
      </c>
      <c r="CA207" s="135">
        <v>0.26814193821611698</v>
      </c>
      <c r="CB207" s="135">
        <v>8.1526249461063863E-2</v>
      </c>
      <c r="CC207" s="135">
        <v>12.611432000000001</v>
      </c>
      <c r="CD207" s="135">
        <v>19</v>
      </c>
      <c r="CE207" s="135">
        <v>4.9317046094627122</v>
      </c>
      <c r="CK207" s="205"/>
    </row>
    <row r="208" spans="1:117" x14ac:dyDescent="0.35">
      <c r="D208" s="196" t="s">
        <v>551</v>
      </c>
      <c r="E208" s="135">
        <v>3.9201266666666674</v>
      </c>
      <c r="F208" s="135">
        <v>10.512689999999999</v>
      </c>
      <c r="G208" s="135">
        <v>0.28834239709876841</v>
      </c>
      <c r="H208" s="135">
        <v>0.71165760290123137</v>
      </c>
      <c r="I208" s="135">
        <v>0.25797078776301474</v>
      </c>
      <c r="J208" s="135">
        <v>7.4025502478473018E-2</v>
      </c>
      <c r="K208" s="135">
        <v>14.432816666666668</v>
      </c>
      <c r="L208" s="135">
        <v>22</v>
      </c>
      <c r="M208" s="135">
        <v>5.6247773626646023</v>
      </c>
      <c r="Q208" s="354"/>
      <c r="R208" s="354"/>
      <c r="S208" s="354"/>
      <c r="T208" s="354"/>
      <c r="U208" s="354"/>
      <c r="V208" s="354"/>
      <c r="W208" s="354"/>
      <c r="X208" s="354"/>
      <c r="AM208" s="196" t="s">
        <v>551</v>
      </c>
      <c r="AN208" s="135">
        <v>3.9201266666666674</v>
      </c>
      <c r="AO208" s="135">
        <v>10.512689999999999</v>
      </c>
      <c r="AP208" s="135">
        <v>0.28834239709876841</v>
      </c>
      <c r="AQ208" s="135">
        <v>0.71165760290123137</v>
      </c>
      <c r="AR208" s="135">
        <v>0.25797078776301474</v>
      </c>
      <c r="AS208" s="135">
        <v>7.4025502478473018E-2</v>
      </c>
      <c r="AT208" s="135">
        <v>14.432816666666668</v>
      </c>
      <c r="AU208" s="135">
        <v>22</v>
      </c>
      <c r="AV208" s="135">
        <v>5.6247773626646023</v>
      </c>
      <c r="BB208" s="205"/>
      <c r="BR208" s="272"/>
      <c r="BV208" s="196" t="s">
        <v>551</v>
      </c>
      <c r="BW208" s="135">
        <v>3.9201266666666674</v>
      </c>
      <c r="BX208" s="135">
        <v>10.512689999999999</v>
      </c>
      <c r="BY208" s="135">
        <v>0.28834239709876841</v>
      </c>
      <c r="BZ208" s="135">
        <v>0.71165760290123137</v>
      </c>
      <c r="CA208" s="135">
        <v>0.25797078776301474</v>
      </c>
      <c r="CB208" s="135">
        <v>7.4025502478473018E-2</v>
      </c>
      <c r="CC208" s="135">
        <v>14.432816666666668</v>
      </c>
      <c r="CD208" s="135">
        <v>22</v>
      </c>
      <c r="CE208" s="135">
        <v>5.6247773626646023</v>
      </c>
      <c r="CK208" s="205"/>
    </row>
    <row r="209" spans="1:117" x14ac:dyDescent="0.35">
      <c r="D209" s="196" t="s">
        <v>550</v>
      </c>
      <c r="E209" s="135">
        <v>3.7907449999999985</v>
      </c>
      <c r="F209" s="135">
        <v>10.077314000000001</v>
      </c>
      <c r="G209" s="135">
        <v>0.29052156188374023</v>
      </c>
      <c r="H209" s="135">
        <v>0.70947843811625977</v>
      </c>
      <c r="I209" s="135">
        <v>0.26966519584734822</v>
      </c>
      <c r="J209" s="135">
        <v>7.6978027001339946E-2</v>
      </c>
      <c r="K209" s="135">
        <v>13.868058999999999</v>
      </c>
      <c r="L209" s="135">
        <v>21.5</v>
      </c>
      <c r="M209" s="135">
        <v>5.669497285295912</v>
      </c>
      <c r="Q209" s="354"/>
      <c r="R209" s="354"/>
      <c r="S209" s="354"/>
      <c r="T209" s="354"/>
      <c r="U209" s="354"/>
      <c r="V209" s="354"/>
      <c r="W209" s="354"/>
      <c r="X209" s="354"/>
      <c r="AM209" s="196" t="s">
        <v>550</v>
      </c>
      <c r="AN209" s="135">
        <v>3.7907449999999985</v>
      </c>
      <c r="AO209" s="135">
        <v>10.077314000000001</v>
      </c>
      <c r="AP209" s="135">
        <v>0.29052156188374023</v>
      </c>
      <c r="AQ209" s="135">
        <v>0.70947843811625977</v>
      </c>
      <c r="AR209" s="135">
        <v>0.26966519584734822</v>
      </c>
      <c r="AS209" s="135">
        <v>7.6978027001339946E-2</v>
      </c>
      <c r="AT209" s="135">
        <v>13.868058999999999</v>
      </c>
      <c r="AU209" s="135">
        <v>21.5</v>
      </c>
      <c r="AV209" s="135">
        <v>5.669497285295912</v>
      </c>
      <c r="BB209" s="205"/>
      <c r="BR209" s="272"/>
      <c r="BV209" s="196" t="s">
        <v>550</v>
      </c>
      <c r="BW209" s="135">
        <v>3.7907449999999985</v>
      </c>
      <c r="BX209" s="135">
        <v>10.077314000000001</v>
      </c>
      <c r="BY209" s="135">
        <v>0.29052156188374023</v>
      </c>
      <c r="BZ209" s="135">
        <v>0.70947843811625977</v>
      </c>
      <c r="CA209" s="135">
        <v>0.26966519584734822</v>
      </c>
      <c r="CB209" s="135">
        <v>7.6978027001339946E-2</v>
      </c>
      <c r="CC209" s="135">
        <v>13.868058999999999</v>
      </c>
      <c r="CD209" s="135">
        <v>21.5</v>
      </c>
      <c r="CE209" s="135">
        <v>5.669497285295912</v>
      </c>
      <c r="CK209" s="205"/>
    </row>
    <row r="210" spans="1:117" x14ac:dyDescent="0.35">
      <c r="D210" s="196" t="s">
        <v>573</v>
      </c>
      <c r="E210" s="135">
        <v>4.0132625000000015</v>
      </c>
      <c r="F210" s="135">
        <v>9.9114074999999975</v>
      </c>
      <c r="G210" s="135">
        <v>0.29405283417899947</v>
      </c>
      <c r="H210" s="135">
        <v>0.70594716582100059</v>
      </c>
      <c r="I210" s="135">
        <v>0.2591319730628891</v>
      </c>
      <c r="J210" s="135">
        <v>7.2511953365112083E-2</v>
      </c>
      <c r="K210" s="135">
        <v>13.924669999999999</v>
      </c>
      <c r="L210" s="135">
        <v>22.75</v>
      </c>
      <c r="M210" s="135">
        <v>5.7131313090035256</v>
      </c>
      <c r="Q210" s="354"/>
      <c r="R210" s="354"/>
      <c r="S210" s="354"/>
      <c r="T210" s="354"/>
      <c r="U210" s="354"/>
      <c r="V210" s="354"/>
      <c r="W210" s="354"/>
      <c r="X210" s="354"/>
      <c r="AM210" s="196" t="s">
        <v>573</v>
      </c>
      <c r="AN210" s="135">
        <v>4.0132625000000015</v>
      </c>
      <c r="AO210" s="135">
        <v>9.9114074999999975</v>
      </c>
      <c r="AP210" s="135">
        <v>0.29405283417899947</v>
      </c>
      <c r="AQ210" s="135">
        <v>0.70594716582100059</v>
      </c>
      <c r="AR210" s="135">
        <v>0.2591319730628891</v>
      </c>
      <c r="AS210" s="135">
        <v>7.2511953365112083E-2</v>
      </c>
      <c r="AT210" s="135">
        <v>13.924669999999999</v>
      </c>
      <c r="AU210" s="135">
        <v>22.75</v>
      </c>
      <c r="AV210" s="135">
        <v>5.7131313090035256</v>
      </c>
      <c r="BB210" s="205"/>
      <c r="BR210" s="272"/>
      <c r="BV210" s="196" t="s">
        <v>573</v>
      </c>
      <c r="BW210" s="135">
        <v>4.0132625000000015</v>
      </c>
      <c r="BX210" s="135">
        <v>9.9114074999999975</v>
      </c>
      <c r="BY210" s="135">
        <v>0.29405283417899947</v>
      </c>
      <c r="BZ210" s="135">
        <v>0.70594716582100059</v>
      </c>
      <c r="CA210" s="135">
        <v>0.2591319730628891</v>
      </c>
      <c r="CB210" s="135">
        <v>7.2511953365112083E-2</v>
      </c>
      <c r="CC210" s="135">
        <v>13.924669999999999</v>
      </c>
      <c r="CD210" s="135">
        <v>22.75</v>
      </c>
      <c r="CE210" s="135">
        <v>5.7131313090035256</v>
      </c>
      <c r="CK210" s="205"/>
    </row>
    <row r="211" spans="1:117" x14ac:dyDescent="0.35">
      <c r="D211" s="196"/>
      <c r="Q211" s="354"/>
      <c r="R211" s="354"/>
      <c r="S211" s="354"/>
      <c r="T211" s="354"/>
      <c r="U211" s="354"/>
      <c r="V211" s="354"/>
      <c r="W211" s="354"/>
      <c r="X211" s="354"/>
      <c r="AM211" s="196"/>
      <c r="BB211" s="205"/>
      <c r="BR211" s="272"/>
      <c r="BV211" s="196"/>
      <c r="CK211" s="205"/>
    </row>
    <row r="212" spans="1:117" x14ac:dyDescent="0.35">
      <c r="D212" s="196"/>
      <c r="Q212" s="354"/>
      <c r="R212" s="354"/>
      <c r="S212" s="354"/>
      <c r="T212" s="354"/>
      <c r="U212" s="354"/>
      <c r="V212" s="354"/>
      <c r="W212" s="354"/>
      <c r="X212" s="354"/>
      <c r="AM212" s="196"/>
      <c r="BB212" s="205"/>
      <c r="BR212" s="272"/>
      <c r="BV212" s="196"/>
      <c r="CK212" s="205"/>
    </row>
    <row r="213" spans="1:117" x14ac:dyDescent="0.35">
      <c r="D213" s="205" t="s">
        <v>577</v>
      </c>
      <c r="Q213" s="354"/>
      <c r="R213" s="354"/>
      <c r="S213" s="354"/>
      <c r="T213" s="354"/>
      <c r="U213" s="354"/>
      <c r="V213" s="354"/>
      <c r="W213" s="354"/>
      <c r="X213" s="354"/>
      <c r="AM213" s="205" t="s">
        <v>577</v>
      </c>
      <c r="BB213" s="205"/>
      <c r="BR213" s="272"/>
      <c r="BV213" s="205" t="s">
        <v>577</v>
      </c>
      <c r="CK213" s="205"/>
    </row>
    <row r="214" spans="1:117" x14ac:dyDescent="0.35">
      <c r="D214" s="196" t="s">
        <v>530</v>
      </c>
      <c r="E214" s="135">
        <f>1-((E205-E205)/E205)</f>
        <v>1</v>
      </c>
      <c r="F214" s="135">
        <f t="shared" ref="F214:M214" si="354">1-((F205-F205)/F205)</f>
        <v>1</v>
      </c>
      <c r="G214" s="135">
        <f t="shared" si="354"/>
        <v>1</v>
      </c>
      <c r="H214" s="135">
        <f t="shared" si="354"/>
        <v>1</v>
      </c>
      <c r="I214" s="135">
        <f t="shared" si="354"/>
        <v>1</v>
      </c>
      <c r="J214" s="135">
        <f t="shared" si="354"/>
        <v>1</v>
      </c>
      <c r="K214" s="135">
        <f t="shared" si="354"/>
        <v>1</v>
      </c>
      <c r="L214" s="135">
        <f t="shared" si="354"/>
        <v>1</v>
      </c>
      <c r="M214" s="135">
        <f t="shared" si="354"/>
        <v>1</v>
      </c>
      <c r="S214" s="205"/>
      <c r="AM214" s="196" t="s">
        <v>530</v>
      </c>
      <c r="AN214" s="135">
        <f>1-((AN205-AN205)/AN205)</f>
        <v>1</v>
      </c>
      <c r="AO214" s="135">
        <f t="shared" ref="AO214:AV214" si="355">1-((AO205-AO205)/AO205)</f>
        <v>1</v>
      </c>
      <c r="AP214" s="135">
        <f t="shared" si="355"/>
        <v>1</v>
      </c>
      <c r="AQ214" s="135">
        <f t="shared" si="355"/>
        <v>1</v>
      </c>
      <c r="AR214" s="135">
        <f t="shared" si="355"/>
        <v>1</v>
      </c>
      <c r="AS214" s="135">
        <f t="shared" si="355"/>
        <v>1</v>
      </c>
      <c r="AT214" s="135">
        <f t="shared" si="355"/>
        <v>1</v>
      </c>
      <c r="AU214" s="135">
        <f t="shared" si="355"/>
        <v>1</v>
      </c>
      <c r="AV214" s="135">
        <f t="shared" si="355"/>
        <v>1</v>
      </c>
      <c r="BB214" s="205"/>
      <c r="BR214" s="272"/>
      <c r="BV214" s="196" t="s">
        <v>530</v>
      </c>
      <c r="BW214" s="135">
        <f>1-((BW205-BW205)/BW205)</f>
        <v>1</v>
      </c>
      <c r="BX214" s="135">
        <f t="shared" ref="BX214:CE214" si="356">1-((BX205-BX205)/BX205)</f>
        <v>1</v>
      </c>
      <c r="BY214" s="135">
        <f t="shared" si="356"/>
        <v>1</v>
      </c>
      <c r="BZ214" s="135">
        <f t="shared" si="356"/>
        <v>1</v>
      </c>
      <c r="CA214" s="135">
        <f t="shared" si="356"/>
        <v>1</v>
      </c>
      <c r="CB214" s="135">
        <f t="shared" si="356"/>
        <v>1</v>
      </c>
      <c r="CC214" s="135">
        <f t="shared" si="356"/>
        <v>1</v>
      </c>
      <c r="CD214" s="135">
        <f t="shared" si="356"/>
        <v>1</v>
      </c>
      <c r="CE214" s="135">
        <f t="shared" si="356"/>
        <v>1</v>
      </c>
      <c r="CK214" s="205"/>
    </row>
    <row r="215" spans="1:117" x14ac:dyDescent="0.35">
      <c r="D215" s="196" t="s">
        <v>553</v>
      </c>
      <c r="E215" s="135">
        <f>1-((E205-E206)/E205)</f>
        <v>1.1210633903500944</v>
      </c>
      <c r="F215" s="135">
        <f t="shared" ref="F215:M215" si="357">1-((F205-F206)/F205)</f>
        <v>1.003437251777791</v>
      </c>
      <c r="G215" s="135">
        <f t="shared" si="357"/>
        <v>1.0490214514789349</v>
      </c>
      <c r="H215" s="135">
        <f t="shared" si="357"/>
        <v>0.98173903552107689</v>
      </c>
      <c r="I215" s="135">
        <f t="shared" si="357"/>
        <v>0.94828878471288258</v>
      </c>
      <c r="J215" s="135">
        <f t="shared" si="357"/>
        <v>0.8942952877064525</v>
      </c>
      <c r="K215" s="135">
        <f t="shared" si="357"/>
        <v>1.0304809208142802</v>
      </c>
      <c r="L215" s="135">
        <f t="shared" si="357"/>
        <v>1.5657894736842106</v>
      </c>
      <c r="M215" s="135">
        <f t="shared" si="357"/>
        <v>1.5210360243385552</v>
      </c>
      <c r="S215" s="205"/>
      <c r="AM215" s="196" t="s">
        <v>553</v>
      </c>
      <c r="AN215" s="135">
        <f>1-((AN205-AN206)/AN205)</f>
        <v>1.1210633903500944</v>
      </c>
      <c r="AO215" s="135">
        <f t="shared" ref="AO215:AV215" si="358">1-((AO205-AO206)/AO205)</f>
        <v>1.003437251777791</v>
      </c>
      <c r="AP215" s="135">
        <f t="shared" si="358"/>
        <v>1.0490214514789349</v>
      </c>
      <c r="AQ215" s="135">
        <f t="shared" si="358"/>
        <v>0.98173903552107689</v>
      </c>
      <c r="AR215" s="135">
        <f t="shared" si="358"/>
        <v>0.94828878471288258</v>
      </c>
      <c r="AS215" s="135">
        <f t="shared" si="358"/>
        <v>0.8942952877064525</v>
      </c>
      <c r="AT215" s="135">
        <f t="shared" si="358"/>
        <v>1.0304809208142802</v>
      </c>
      <c r="AU215" s="135">
        <f t="shared" si="358"/>
        <v>1.5657894736842106</v>
      </c>
      <c r="AV215" s="135">
        <f t="shared" si="358"/>
        <v>1.5210360243385552</v>
      </c>
      <c r="BB215" s="205"/>
      <c r="BR215" s="272"/>
      <c r="BV215" s="196" t="s">
        <v>553</v>
      </c>
      <c r="BW215" s="135">
        <f>1-((BW205-BW206)/BW205)</f>
        <v>1.1210633903500944</v>
      </c>
      <c r="BX215" s="135">
        <f t="shared" ref="BX215:CE215" si="359">1-((BX205-BX206)/BX205)</f>
        <v>1.003437251777791</v>
      </c>
      <c r="BY215" s="135">
        <f t="shared" si="359"/>
        <v>1.0490214514789349</v>
      </c>
      <c r="BZ215" s="135">
        <f t="shared" si="359"/>
        <v>0.98173903552107689</v>
      </c>
      <c r="CA215" s="135">
        <f t="shared" si="359"/>
        <v>0.94828878471288258</v>
      </c>
      <c r="CB215" s="135">
        <f t="shared" si="359"/>
        <v>0.8942952877064525</v>
      </c>
      <c r="CC215" s="135">
        <f t="shared" si="359"/>
        <v>1.0304809208142802</v>
      </c>
      <c r="CD215" s="135">
        <f t="shared" si="359"/>
        <v>1.5657894736842106</v>
      </c>
      <c r="CE215" s="135">
        <f t="shared" si="359"/>
        <v>1.5210360243385552</v>
      </c>
      <c r="CK215" s="205"/>
    </row>
    <row r="216" spans="1:117" x14ac:dyDescent="0.35">
      <c r="D216" s="196" t="s">
        <v>552</v>
      </c>
      <c r="E216" s="135">
        <f>1-((E205-E207)/E205)</f>
        <v>1.1619728171316892</v>
      </c>
      <c r="F216" s="135">
        <f t="shared" ref="F216:M216" si="360">1-((F205-F207)/F205)</f>
        <v>0.77557711524580097</v>
      </c>
      <c r="G216" s="135">
        <f t="shared" si="360"/>
        <v>1.170185799144039</v>
      </c>
      <c r="H216" s="135">
        <f t="shared" si="360"/>
        <v>0.93660414493598076</v>
      </c>
      <c r="I216" s="135">
        <f t="shared" si="360"/>
        <v>0.88505065031001351</v>
      </c>
      <c r="J216" s="135">
        <f t="shared" si="360"/>
        <v>0.99724104212617992</v>
      </c>
      <c r="K216" s="135">
        <f t="shared" si="360"/>
        <v>0.86441415100805863</v>
      </c>
      <c r="L216" s="135">
        <f t="shared" si="360"/>
        <v>1.4</v>
      </c>
      <c r="M216" s="135">
        <f t="shared" si="360"/>
        <v>1.2263559518896121</v>
      </c>
      <c r="S216" s="205"/>
      <c r="AM216" s="196" t="s">
        <v>552</v>
      </c>
      <c r="AN216" s="135">
        <f>1-((AN205-AN207)/AN205)</f>
        <v>1.1619728171316892</v>
      </c>
      <c r="AO216" s="135">
        <f t="shared" ref="AO216:AV216" si="361">1-((AO205-AO207)/AO205)</f>
        <v>0.77557711524580097</v>
      </c>
      <c r="AP216" s="135">
        <f t="shared" si="361"/>
        <v>1.170185799144039</v>
      </c>
      <c r="AQ216" s="135">
        <f t="shared" si="361"/>
        <v>0.93660414493598076</v>
      </c>
      <c r="AR216" s="135">
        <f t="shared" si="361"/>
        <v>0.88505065031001351</v>
      </c>
      <c r="AS216" s="135">
        <f t="shared" si="361"/>
        <v>0.99724104212617992</v>
      </c>
      <c r="AT216" s="135">
        <f t="shared" si="361"/>
        <v>0.86441415100805863</v>
      </c>
      <c r="AU216" s="135">
        <f t="shared" si="361"/>
        <v>1.4</v>
      </c>
      <c r="AV216" s="135">
        <f t="shared" si="361"/>
        <v>1.2263559518896121</v>
      </c>
      <c r="BB216" s="205"/>
      <c r="BR216" s="272"/>
      <c r="BV216" s="196" t="s">
        <v>552</v>
      </c>
      <c r="BW216" s="135">
        <f>1-((BW205-BW207)/BW205)</f>
        <v>1.1619728171316892</v>
      </c>
      <c r="BX216" s="135">
        <f t="shared" ref="BX216:CE216" si="362">1-((BX205-BX207)/BX205)</f>
        <v>0.77557711524580097</v>
      </c>
      <c r="BY216" s="135">
        <f t="shared" si="362"/>
        <v>1.170185799144039</v>
      </c>
      <c r="BZ216" s="135">
        <f t="shared" si="362"/>
        <v>0.93660414493598076</v>
      </c>
      <c r="CA216" s="135">
        <f t="shared" si="362"/>
        <v>0.88505065031001351</v>
      </c>
      <c r="CB216" s="135">
        <f t="shared" si="362"/>
        <v>0.99724104212617992</v>
      </c>
      <c r="CC216" s="135">
        <f t="shared" si="362"/>
        <v>0.86441415100805863</v>
      </c>
      <c r="CD216" s="135">
        <f t="shared" si="362"/>
        <v>1.4</v>
      </c>
      <c r="CE216" s="135">
        <f t="shared" si="362"/>
        <v>1.2263559518896121</v>
      </c>
      <c r="CK216" s="205"/>
    </row>
    <row r="217" spans="1:117" x14ac:dyDescent="0.35">
      <c r="D217" s="196" t="s">
        <v>551</v>
      </c>
      <c r="E217" s="135">
        <f>1-((E205-E208)/E205)</f>
        <v>1.168680488507424</v>
      </c>
      <c r="F217" s="135">
        <f t="shared" ref="F217:M217" si="363">1-((F205-F208)/F205)</f>
        <v>0.93568788648281431</v>
      </c>
      <c r="G217" s="135">
        <f t="shared" si="363"/>
        <v>1.0623958620738414</v>
      </c>
      <c r="H217" s="135">
        <f t="shared" si="363"/>
        <v>0.9767569383078788</v>
      </c>
      <c r="I217" s="135">
        <f t="shared" si="363"/>
        <v>0.85147894055507134</v>
      </c>
      <c r="J217" s="135">
        <f t="shared" si="363"/>
        <v>0.90549080478432731</v>
      </c>
      <c r="K217" s="135">
        <f t="shared" si="363"/>
        <v>0.98925569797082724</v>
      </c>
      <c r="L217" s="135">
        <f t="shared" si="363"/>
        <v>1.6210526315789475</v>
      </c>
      <c r="M217" s="135">
        <f t="shared" si="363"/>
        <v>1.3987008028668599</v>
      </c>
      <c r="S217" s="205"/>
      <c r="AM217" s="196" t="s">
        <v>551</v>
      </c>
      <c r="AN217" s="135">
        <f>1-((AN205-AN208)/AN205)</f>
        <v>1.168680488507424</v>
      </c>
      <c r="AO217" s="135">
        <f t="shared" ref="AO217:AV217" si="364">1-((AO205-AO208)/AO205)</f>
        <v>0.93568788648281431</v>
      </c>
      <c r="AP217" s="135">
        <f t="shared" si="364"/>
        <v>1.0623958620738414</v>
      </c>
      <c r="AQ217" s="135">
        <f t="shared" si="364"/>
        <v>0.9767569383078788</v>
      </c>
      <c r="AR217" s="135">
        <f t="shared" si="364"/>
        <v>0.85147894055507134</v>
      </c>
      <c r="AS217" s="135">
        <f t="shared" si="364"/>
        <v>0.90549080478432731</v>
      </c>
      <c r="AT217" s="135">
        <f t="shared" si="364"/>
        <v>0.98925569797082724</v>
      </c>
      <c r="AU217" s="135">
        <f t="shared" si="364"/>
        <v>1.6210526315789475</v>
      </c>
      <c r="AV217" s="135">
        <f t="shared" si="364"/>
        <v>1.3987008028668599</v>
      </c>
      <c r="BB217" s="205"/>
      <c r="BR217" s="272"/>
      <c r="BV217" s="196" t="s">
        <v>551</v>
      </c>
      <c r="BW217" s="135">
        <f>1-((BW205-BW208)/BW205)</f>
        <v>1.168680488507424</v>
      </c>
      <c r="BX217" s="135">
        <f t="shared" ref="BX217:CE217" si="365">1-((BX205-BX208)/BX205)</f>
        <v>0.93568788648281431</v>
      </c>
      <c r="BY217" s="135">
        <f t="shared" si="365"/>
        <v>1.0623958620738414</v>
      </c>
      <c r="BZ217" s="135">
        <f t="shared" si="365"/>
        <v>0.9767569383078788</v>
      </c>
      <c r="CA217" s="135">
        <f t="shared" si="365"/>
        <v>0.85147894055507134</v>
      </c>
      <c r="CB217" s="135">
        <f t="shared" si="365"/>
        <v>0.90549080478432731</v>
      </c>
      <c r="CC217" s="135">
        <f t="shared" si="365"/>
        <v>0.98925569797082724</v>
      </c>
      <c r="CD217" s="135">
        <f t="shared" si="365"/>
        <v>1.6210526315789475</v>
      </c>
      <c r="CE217" s="135">
        <f t="shared" si="365"/>
        <v>1.3987008028668599</v>
      </c>
      <c r="CK217" s="205"/>
    </row>
    <row r="218" spans="1:117" x14ac:dyDescent="0.35">
      <c r="D218" s="196" t="s">
        <v>550</v>
      </c>
      <c r="E218" s="135">
        <f>1-((E205-E209)/E205)</f>
        <v>1.1301088192066258</v>
      </c>
      <c r="F218" s="135">
        <f t="shared" ref="F218:M218" si="366">1-((F205-F209)/F205)</f>
        <v>0.89693700071852944</v>
      </c>
      <c r="G218" s="135">
        <f t="shared" si="366"/>
        <v>1.0704249818759426</v>
      </c>
      <c r="H218" s="135">
        <f t="shared" si="366"/>
        <v>0.97376601357840231</v>
      </c>
      <c r="I218" s="135">
        <f t="shared" si="366"/>
        <v>0.89007843584061674</v>
      </c>
      <c r="J218" s="135">
        <f t="shared" si="366"/>
        <v>0.94160651784056359</v>
      </c>
      <c r="K218" s="135">
        <f t="shared" si="366"/>
        <v>0.95054601623468815</v>
      </c>
      <c r="L218" s="135">
        <f t="shared" si="366"/>
        <v>1.5842105263157895</v>
      </c>
      <c r="M218" s="135">
        <f t="shared" si="366"/>
        <v>1.4098212059789443</v>
      </c>
      <c r="S218" s="205"/>
      <c r="AM218" s="196" t="s">
        <v>550</v>
      </c>
      <c r="AN218" s="135">
        <f>1-((AN205-AN209)/AN205)</f>
        <v>1.1301088192066258</v>
      </c>
      <c r="AO218" s="135">
        <f t="shared" ref="AO218:AV218" si="367">1-((AO205-AO209)/AO205)</f>
        <v>0.89693700071852944</v>
      </c>
      <c r="AP218" s="135">
        <f t="shared" si="367"/>
        <v>1.0704249818759426</v>
      </c>
      <c r="AQ218" s="135">
        <f t="shared" si="367"/>
        <v>0.97376601357840231</v>
      </c>
      <c r="AR218" s="135">
        <f t="shared" si="367"/>
        <v>0.89007843584061674</v>
      </c>
      <c r="AS218" s="135">
        <f t="shared" si="367"/>
        <v>0.94160651784056359</v>
      </c>
      <c r="AT218" s="135">
        <f t="shared" si="367"/>
        <v>0.95054601623468815</v>
      </c>
      <c r="AU218" s="135">
        <f t="shared" si="367"/>
        <v>1.5842105263157895</v>
      </c>
      <c r="AV218" s="135">
        <f t="shared" si="367"/>
        <v>1.4098212059789443</v>
      </c>
      <c r="BB218" s="205"/>
      <c r="BR218" s="272"/>
      <c r="BV218" s="196" t="s">
        <v>550</v>
      </c>
      <c r="BW218" s="135">
        <f>1-((BW205-BW209)/BW205)</f>
        <v>1.1301088192066258</v>
      </c>
      <c r="BX218" s="135">
        <f t="shared" ref="BX218:CE218" si="368">1-((BX205-BX209)/BX205)</f>
        <v>0.89693700071852944</v>
      </c>
      <c r="BY218" s="135">
        <f t="shared" si="368"/>
        <v>1.0704249818759426</v>
      </c>
      <c r="BZ218" s="135">
        <f t="shared" si="368"/>
        <v>0.97376601357840231</v>
      </c>
      <c r="CA218" s="135">
        <f t="shared" si="368"/>
        <v>0.89007843584061674</v>
      </c>
      <c r="CB218" s="135">
        <f t="shared" si="368"/>
        <v>0.94160651784056359</v>
      </c>
      <c r="CC218" s="135">
        <f t="shared" si="368"/>
        <v>0.95054601623468815</v>
      </c>
      <c r="CD218" s="135">
        <f t="shared" si="368"/>
        <v>1.5842105263157895</v>
      </c>
      <c r="CE218" s="135">
        <f t="shared" si="368"/>
        <v>1.4098212059789443</v>
      </c>
      <c r="CK218" s="205"/>
    </row>
    <row r="219" spans="1:117" x14ac:dyDescent="0.35">
      <c r="A219" s="194"/>
      <c r="D219" s="196" t="s">
        <v>573</v>
      </c>
      <c r="E219" s="135">
        <f>1-((E206-E210)/E206)</f>
        <v>1.0672424470377688</v>
      </c>
      <c r="F219" s="135">
        <f t="shared" ref="F219:M219" si="369">1-((F206-F210)/F206)</f>
        <v>0.87914854447180213</v>
      </c>
      <c r="G219" s="135">
        <f t="shared" si="369"/>
        <v>1.0328062713115738</v>
      </c>
      <c r="H219" s="135">
        <f t="shared" si="369"/>
        <v>0.98694181769839651</v>
      </c>
      <c r="I219" s="135">
        <f t="shared" si="369"/>
        <v>0.90195271217210071</v>
      </c>
      <c r="J219" s="135">
        <f t="shared" si="369"/>
        <v>0.99181653107976264</v>
      </c>
      <c r="K219" s="135">
        <f t="shared" si="369"/>
        <v>0.9261949778090397</v>
      </c>
      <c r="L219" s="135">
        <f t="shared" si="369"/>
        <v>1.0705882352941176</v>
      </c>
      <c r="M219" s="135">
        <f t="shared" si="369"/>
        <v>0.93401573552662953</v>
      </c>
      <c r="P219" s="194"/>
      <c r="T219" s="194"/>
      <c r="U219" s="194"/>
      <c r="V219" s="194"/>
      <c r="W219" s="194"/>
      <c r="X219" s="194"/>
      <c r="Y219" s="194"/>
      <c r="Z219" s="194"/>
      <c r="AA219" s="194"/>
      <c r="AB219" s="194"/>
      <c r="AJ219" s="194"/>
      <c r="AM219" s="196" t="s">
        <v>573</v>
      </c>
      <c r="AN219" s="135">
        <f>1-((AN206-AN210)/AN206)</f>
        <v>1.0672424470377688</v>
      </c>
      <c r="AO219" s="135">
        <f t="shared" ref="AO219:AV219" si="370">1-((AO206-AO210)/AO206)</f>
        <v>0.87914854447180213</v>
      </c>
      <c r="AP219" s="135">
        <f t="shared" si="370"/>
        <v>1.0328062713115738</v>
      </c>
      <c r="AQ219" s="135">
        <f t="shared" si="370"/>
        <v>0.98694181769839651</v>
      </c>
      <c r="AR219" s="135">
        <f t="shared" si="370"/>
        <v>0.90195271217210071</v>
      </c>
      <c r="AS219" s="135">
        <f t="shared" si="370"/>
        <v>0.99181653107976264</v>
      </c>
      <c r="AT219" s="135">
        <f t="shared" si="370"/>
        <v>0.9261949778090397</v>
      </c>
      <c r="AU219" s="135">
        <f t="shared" si="370"/>
        <v>1.0705882352941176</v>
      </c>
      <c r="AV219" s="135">
        <f t="shared" si="370"/>
        <v>0.93401573552662953</v>
      </c>
      <c r="AY219" s="194"/>
      <c r="BC219" s="194"/>
      <c r="BD219" s="194"/>
      <c r="BE219" s="194"/>
      <c r="BF219" s="194"/>
      <c r="BG219" s="194"/>
      <c r="BH219" s="194"/>
      <c r="BI219" s="194"/>
      <c r="BJ219" s="194"/>
      <c r="BK219" s="194"/>
      <c r="BR219" s="272"/>
      <c r="BS219" s="194"/>
      <c r="BV219" s="196" t="s">
        <v>573</v>
      </c>
      <c r="BW219" s="135">
        <f>1-((BW206-BW210)/BW206)</f>
        <v>1.0672424470377688</v>
      </c>
      <c r="BX219" s="135">
        <f t="shared" ref="BX219:CE219" si="371">1-((BX206-BX210)/BX206)</f>
        <v>0.87914854447180213</v>
      </c>
      <c r="BY219" s="135">
        <f t="shared" si="371"/>
        <v>1.0328062713115738</v>
      </c>
      <c r="BZ219" s="135">
        <f t="shared" si="371"/>
        <v>0.98694181769839651</v>
      </c>
      <c r="CA219" s="135">
        <f t="shared" si="371"/>
        <v>0.90195271217210071</v>
      </c>
      <c r="CB219" s="135">
        <f t="shared" si="371"/>
        <v>0.99181653107976264</v>
      </c>
      <c r="CC219" s="135">
        <f t="shared" si="371"/>
        <v>0.9261949778090397</v>
      </c>
      <c r="CD219" s="135">
        <f t="shared" si="371"/>
        <v>1.0705882352941176</v>
      </c>
      <c r="CE219" s="135">
        <f t="shared" si="371"/>
        <v>0.93401573552662953</v>
      </c>
      <c r="CH219" s="194"/>
      <c r="CL219" s="194"/>
      <c r="CM219" s="194"/>
      <c r="CN219" s="194"/>
      <c r="CO219" s="194"/>
      <c r="CP219" s="194"/>
      <c r="CQ219" s="194"/>
      <c r="CR219" s="194"/>
      <c r="CS219" s="194"/>
      <c r="CT219" s="194"/>
    </row>
    <row r="220" spans="1:117" s="214" customFormat="1" x14ac:dyDescent="0.35">
      <c r="A220" s="194"/>
      <c r="B220" s="135"/>
      <c r="C220" s="135"/>
      <c r="D220" s="196"/>
      <c r="E220" s="194"/>
      <c r="F220" s="194"/>
      <c r="G220" s="194"/>
      <c r="H220" s="194"/>
      <c r="I220" s="194"/>
      <c r="J220" s="194"/>
      <c r="K220" s="194"/>
      <c r="L220" s="194"/>
      <c r="M220" s="194"/>
      <c r="N220" s="135"/>
      <c r="O220" s="135"/>
      <c r="P220" s="194"/>
      <c r="Q220" s="135"/>
      <c r="R220" s="135"/>
      <c r="S220" s="135"/>
      <c r="T220" s="194"/>
      <c r="U220" s="194"/>
      <c r="V220" s="194"/>
      <c r="W220" s="194"/>
      <c r="X220" s="194"/>
      <c r="Y220" s="194"/>
      <c r="Z220" s="194"/>
      <c r="AA220" s="194"/>
      <c r="AB220" s="194"/>
      <c r="AC220" s="135"/>
      <c r="AD220" s="135"/>
      <c r="AE220" s="135"/>
      <c r="AF220" s="135"/>
      <c r="AG220" s="135"/>
      <c r="AH220" s="135"/>
      <c r="AI220" s="272"/>
      <c r="AJ220" s="194"/>
      <c r="AK220" s="135"/>
      <c r="AL220" s="135"/>
      <c r="AM220" s="196"/>
      <c r="AN220" s="194"/>
      <c r="AO220" s="194"/>
      <c r="AP220" s="194"/>
      <c r="AQ220" s="194"/>
      <c r="AR220" s="194"/>
      <c r="AS220" s="194"/>
      <c r="AT220" s="194"/>
      <c r="AU220" s="194"/>
      <c r="AV220" s="194"/>
      <c r="AW220" s="135"/>
      <c r="AX220" s="135"/>
      <c r="AY220" s="194"/>
      <c r="AZ220" s="135"/>
      <c r="BA220" s="135"/>
      <c r="BB220" s="135"/>
      <c r="BC220" s="194"/>
      <c r="BD220" s="194"/>
      <c r="BE220" s="194"/>
      <c r="BF220" s="194"/>
      <c r="BG220" s="194"/>
      <c r="BH220" s="194"/>
      <c r="BI220" s="194"/>
      <c r="BJ220" s="194"/>
      <c r="BK220" s="194"/>
      <c r="BL220" s="135"/>
      <c r="BM220" s="135"/>
      <c r="BN220" s="135"/>
      <c r="BO220" s="135"/>
      <c r="BP220" s="135"/>
      <c r="BQ220" s="135"/>
      <c r="BR220" s="272"/>
      <c r="BS220" s="194"/>
      <c r="BT220" s="135"/>
      <c r="BU220" s="135"/>
      <c r="BV220" s="196"/>
      <c r="BW220" s="194"/>
      <c r="BX220" s="194"/>
      <c r="BY220" s="194"/>
      <c r="BZ220" s="194"/>
      <c r="CA220" s="194"/>
      <c r="CB220" s="194"/>
      <c r="CC220" s="194"/>
      <c r="CD220" s="194"/>
      <c r="CE220" s="194"/>
      <c r="CF220" s="135"/>
      <c r="CG220" s="135"/>
      <c r="CH220" s="194"/>
      <c r="CI220" s="135"/>
      <c r="CJ220" s="135"/>
      <c r="CK220" s="135"/>
      <c r="CL220" s="194"/>
      <c r="CM220" s="194"/>
      <c r="CN220" s="194"/>
      <c r="CO220" s="194"/>
      <c r="CP220" s="194"/>
      <c r="CQ220" s="194"/>
      <c r="CR220" s="194"/>
      <c r="CS220" s="194"/>
      <c r="CT220" s="194"/>
      <c r="CU220" s="135"/>
      <c r="CV220" s="135"/>
      <c r="CW220" s="135"/>
      <c r="CX220" s="135"/>
      <c r="CY220" s="135"/>
      <c r="CZ220" s="135"/>
      <c r="DA220" s="135"/>
      <c r="DB220" s="135"/>
      <c r="DC220" s="135"/>
      <c r="DD220" s="135"/>
      <c r="DE220" s="135"/>
      <c r="DF220" s="135"/>
      <c r="DG220" s="135"/>
      <c r="DH220" s="135"/>
      <c r="DI220" s="135"/>
      <c r="DJ220" s="135"/>
      <c r="DK220" s="135"/>
      <c r="DL220" s="135"/>
      <c r="DM220" s="135"/>
    </row>
    <row r="221" spans="1:117" x14ac:dyDescent="0.35">
      <c r="A221" s="214"/>
      <c r="B221" s="214"/>
      <c r="C221" s="214"/>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J221" s="214"/>
      <c r="AK221" s="214"/>
      <c r="AL221" s="214"/>
      <c r="AM221" s="214"/>
      <c r="AN221" s="214"/>
      <c r="AO221" s="214"/>
      <c r="AP221" s="214"/>
      <c r="AQ221" s="214"/>
      <c r="AR221" s="214"/>
      <c r="AS221" s="214"/>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72"/>
      <c r="BS221" s="214"/>
      <c r="BT221" s="214"/>
      <c r="BU221" s="214"/>
      <c r="BV221" s="214"/>
      <c r="BW221" s="21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14"/>
      <c r="DI221" s="214"/>
      <c r="DJ221" s="214"/>
      <c r="DK221" s="214"/>
      <c r="DL221" s="214"/>
      <c r="DM221" s="214"/>
    </row>
    <row r="222" spans="1:117" x14ac:dyDescent="0.35">
      <c r="BR222" s="272"/>
    </row>
    <row r="223" spans="1:117" x14ac:dyDescent="0.35">
      <c r="D223" s="195" t="s">
        <v>377</v>
      </c>
      <c r="S223" s="195" t="s">
        <v>377</v>
      </c>
      <c r="AM223" s="195" t="s">
        <v>377</v>
      </c>
      <c r="BB223" s="195" t="s">
        <v>377</v>
      </c>
      <c r="BR223" s="272"/>
      <c r="BV223" s="195" t="s">
        <v>377</v>
      </c>
      <c r="CK223" s="195" t="s">
        <v>377</v>
      </c>
    </row>
    <row r="224" spans="1:117" ht="16" thickBot="1" x14ac:dyDescent="0.4">
      <c r="D224" s="9" t="s">
        <v>444</v>
      </c>
      <c r="E224" s="9" t="s">
        <v>3</v>
      </c>
      <c r="F224" s="9" t="s">
        <v>4</v>
      </c>
      <c r="G224" s="9" t="s">
        <v>5</v>
      </c>
      <c r="H224" s="9" t="s">
        <v>6</v>
      </c>
      <c r="I224" s="9" t="s">
        <v>7</v>
      </c>
      <c r="J224" s="9" t="s">
        <v>8</v>
      </c>
      <c r="K224" s="9" t="s">
        <v>9</v>
      </c>
      <c r="L224" s="9" t="s">
        <v>10</v>
      </c>
      <c r="M224" s="9" t="s">
        <v>139</v>
      </c>
      <c r="S224" s="9" t="s">
        <v>444</v>
      </c>
      <c r="T224" s="9" t="s">
        <v>3</v>
      </c>
      <c r="U224" s="9" t="s">
        <v>4</v>
      </c>
      <c r="V224" s="9" t="s">
        <v>5</v>
      </c>
      <c r="W224" s="9" t="s">
        <v>6</v>
      </c>
      <c r="X224" s="9" t="s">
        <v>7</v>
      </c>
      <c r="Y224" s="9" t="s">
        <v>8</v>
      </c>
      <c r="Z224" s="9" t="s">
        <v>9</v>
      </c>
      <c r="AA224" s="9" t="s">
        <v>10</v>
      </c>
      <c r="AB224" s="9" t="s">
        <v>139</v>
      </c>
      <c r="AM224" s="9" t="s">
        <v>444</v>
      </c>
      <c r="AN224" s="9" t="s">
        <v>3</v>
      </c>
      <c r="AO224" s="9" t="s">
        <v>4</v>
      </c>
      <c r="AP224" s="9" t="s">
        <v>5</v>
      </c>
      <c r="AQ224" s="9" t="s">
        <v>6</v>
      </c>
      <c r="AR224" s="9" t="s">
        <v>7</v>
      </c>
      <c r="AS224" s="9" t="s">
        <v>8</v>
      </c>
      <c r="AT224" s="9" t="s">
        <v>9</v>
      </c>
      <c r="AU224" s="9" t="s">
        <v>10</v>
      </c>
      <c r="AV224" s="9" t="s">
        <v>139</v>
      </c>
      <c r="BB224" s="9" t="s">
        <v>444</v>
      </c>
      <c r="BC224" s="9" t="s">
        <v>3</v>
      </c>
      <c r="BD224" s="9" t="s">
        <v>4</v>
      </c>
      <c r="BE224" s="9" t="s">
        <v>5</v>
      </c>
      <c r="BF224" s="9" t="s">
        <v>6</v>
      </c>
      <c r="BG224" s="9" t="s">
        <v>7</v>
      </c>
      <c r="BH224" s="9" t="s">
        <v>8</v>
      </c>
      <c r="BI224" s="9" t="s">
        <v>9</v>
      </c>
      <c r="BJ224" s="9" t="s">
        <v>10</v>
      </c>
      <c r="BK224" s="9" t="s">
        <v>139</v>
      </c>
      <c r="BR224" s="272"/>
      <c r="BV224" s="9" t="s">
        <v>444</v>
      </c>
      <c r="BW224" s="9" t="s">
        <v>3</v>
      </c>
      <c r="BX224" s="9" t="s">
        <v>4</v>
      </c>
      <c r="BY224" s="9" t="s">
        <v>5</v>
      </c>
      <c r="BZ224" s="9" t="s">
        <v>6</v>
      </c>
      <c r="CA224" s="9" t="s">
        <v>7</v>
      </c>
      <c r="CB224" s="9" t="s">
        <v>8</v>
      </c>
      <c r="CC224" s="9" t="s">
        <v>9</v>
      </c>
      <c r="CD224" s="9" t="s">
        <v>10</v>
      </c>
      <c r="CE224" s="9" t="s">
        <v>139</v>
      </c>
      <c r="CK224" s="9" t="s">
        <v>444</v>
      </c>
      <c r="CL224" s="9" t="s">
        <v>3</v>
      </c>
      <c r="CM224" s="9" t="s">
        <v>4</v>
      </c>
      <c r="CN224" s="9" t="s">
        <v>5</v>
      </c>
      <c r="CO224" s="9" t="s">
        <v>6</v>
      </c>
      <c r="CP224" s="9" t="s">
        <v>7</v>
      </c>
      <c r="CQ224" s="9" t="s">
        <v>8</v>
      </c>
      <c r="CR224" s="9" t="s">
        <v>9</v>
      </c>
      <c r="CS224" s="9" t="s">
        <v>10</v>
      </c>
      <c r="CT224" s="9" t="s">
        <v>139</v>
      </c>
    </row>
    <row r="225" spans="1:117" x14ac:dyDescent="0.35">
      <c r="D225" s="196" t="s">
        <v>530</v>
      </c>
      <c r="E225" s="135">
        <v>7.3761771428571432</v>
      </c>
      <c r="F225" s="289">
        <v>9.2101542857142853</v>
      </c>
      <c r="G225" s="135">
        <v>0.45321150556167938</v>
      </c>
      <c r="H225" s="135">
        <v>0.54678849443832067</v>
      </c>
      <c r="I225" s="135">
        <v>0.13608962987664547</v>
      </c>
      <c r="J225" s="135">
        <v>6.1445199457162876E-2</v>
      </c>
      <c r="K225" s="135">
        <v>16.58633142857143</v>
      </c>
      <c r="L225" s="135">
        <v>25.857142857142858</v>
      </c>
      <c r="M225" s="135">
        <v>3.5075638017680286</v>
      </c>
      <c r="S225" s="196" t="s">
        <v>530</v>
      </c>
      <c r="T225" s="135">
        <v>7.2473685714285727</v>
      </c>
      <c r="U225" s="289">
        <v>8.2460714285714278</v>
      </c>
      <c r="V225" s="135">
        <v>0.46492013718671865</v>
      </c>
      <c r="W225" s="135">
        <v>0.53507986281328135</v>
      </c>
      <c r="X225" s="135">
        <v>0.14258302466395981</v>
      </c>
      <c r="Y225" s="135">
        <v>6.5125447184354382E-2</v>
      </c>
      <c r="Z225" s="135">
        <v>15.493440000000001</v>
      </c>
      <c r="AA225" s="135">
        <v>29.857142857142858</v>
      </c>
      <c r="AB225" s="135">
        <v>4.0797927313842317</v>
      </c>
      <c r="AM225" s="275" t="s">
        <v>530</v>
      </c>
      <c r="AN225" s="277">
        <v>7.2219650000000009</v>
      </c>
      <c r="AO225" s="277">
        <v>11.047495000000001</v>
      </c>
      <c r="AP225" s="277">
        <v>0.39676460938959812</v>
      </c>
      <c r="AQ225" s="277">
        <v>0.60323539061040188</v>
      </c>
      <c r="AR225" s="277">
        <v>0.13883739705844253</v>
      </c>
      <c r="AS225" s="277">
        <v>5.5077920095054758E-2</v>
      </c>
      <c r="AT225" s="277">
        <v>18.269460000000002</v>
      </c>
      <c r="AU225" s="277">
        <v>25.25</v>
      </c>
      <c r="AV225" s="277">
        <v>3.5070263831832613</v>
      </c>
      <c r="AW225" s="277"/>
      <c r="AX225" s="277"/>
      <c r="AY225" s="277"/>
      <c r="AZ225" s="277"/>
      <c r="BA225" s="277"/>
      <c r="BB225" s="275" t="s">
        <v>530</v>
      </c>
      <c r="BC225" s="135">
        <v>7.8543933333333316</v>
      </c>
      <c r="BD225" s="135">
        <v>8.8266366666666674</v>
      </c>
      <c r="BE225" s="135">
        <v>0.46642609436705779</v>
      </c>
      <c r="BF225" s="135">
        <v>0.53357390563294216</v>
      </c>
      <c r="BG225" s="135">
        <v>0.13291444672829011</v>
      </c>
      <c r="BH225" s="135">
        <v>6.0199161716876864E-2</v>
      </c>
      <c r="BI225" s="135">
        <v>16.68103</v>
      </c>
      <c r="BJ225" s="135">
        <v>32</v>
      </c>
      <c r="BK225" s="135">
        <v>4.0439307337147117</v>
      </c>
      <c r="BR225" s="272"/>
      <c r="BV225" s="196" t="s">
        <v>530</v>
      </c>
      <c r="BW225" s="135">
        <v>7.5817933333333327</v>
      </c>
      <c r="BX225" s="135">
        <v>6.7603666666666662</v>
      </c>
      <c r="BY225" s="135">
        <v>0.52847403379112112</v>
      </c>
      <c r="BZ225" s="135">
        <v>0.47152596620887893</v>
      </c>
      <c r="CA225" s="135">
        <v>0.13242594030091603</v>
      </c>
      <c r="CB225" s="135">
        <v>6.9934905273307035E-2</v>
      </c>
      <c r="CC225" s="135">
        <v>14.342159999999998</v>
      </c>
      <c r="CD225" s="135">
        <v>26.666666666666668</v>
      </c>
      <c r="CE225" s="135">
        <v>3.5082803598810517</v>
      </c>
      <c r="CK225" s="196" t="s">
        <v>530</v>
      </c>
      <c r="CL225" s="135">
        <v>6.7921000000000014</v>
      </c>
      <c r="CM225" s="135">
        <v>7.8106475</v>
      </c>
      <c r="CN225" s="135">
        <v>0.46379066930146429</v>
      </c>
      <c r="CO225" s="135">
        <v>0.53620933069853571</v>
      </c>
      <c r="CP225" s="135">
        <v>0.14983445811571205</v>
      </c>
      <c r="CQ225" s="135">
        <v>6.8820161284962517E-2</v>
      </c>
      <c r="CR225" s="135">
        <v>14.602747500000003</v>
      </c>
      <c r="CS225" s="135">
        <v>28.25</v>
      </c>
      <c r="CT225" s="135">
        <v>4.1066892296363733</v>
      </c>
    </row>
    <row r="226" spans="1:117" x14ac:dyDescent="0.35">
      <c r="D226" s="236" t="s">
        <v>536</v>
      </c>
      <c r="E226" s="135">
        <v>6.7972757142857132</v>
      </c>
      <c r="F226" s="135">
        <v>8.5451700000000024</v>
      </c>
      <c r="G226" s="135">
        <v>0.44586841464311383</v>
      </c>
      <c r="H226" s="135">
        <v>0.55413158535688622</v>
      </c>
      <c r="I226" s="135">
        <v>0.15173025353112116</v>
      </c>
      <c r="J226" s="135">
        <v>6.5686397107070166E-2</v>
      </c>
      <c r="K226" s="135">
        <v>15.342445714285716</v>
      </c>
      <c r="L226" s="135">
        <v>36.857142857142854</v>
      </c>
      <c r="M226" s="135">
        <v>5.4381710335811837</v>
      </c>
      <c r="S226" s="237" t="s">
        <v>539</v>
      </c>
      <c r="T226" s="135">
        <v>7.4707799999999995</v>
      </c>
      <c r="U226" s="135">
        <v>12.227796000000001</v>
      </c>
      <c r="V226" s="135">
        <v>0.38015259289644143</v>
      </c>
      <c r="W226" s="135">
        <v>0.61984740710355857</v>
      </c>
      <c r="X226" s="135">
        <v>0.13469048564968078</v>
      </c>
      <c r="Y226" s="135">
        <v>5.102446389521955E-2</v>
      </c>
      <c r="Z226" s="135">
        <v>19.698576000000003</v>
      </c>
      <c r="AA226" s="135">
        <v>37</v>
      </c>
      <c r="AB226" s="135">
        <v>4.9347101798234618</v>
      </c>
      <c r="AM226" s="275" t="s">
        <v>536</v>
      </c>
      <c r="AN226" s="277">
        <v>5.7565100000000005</v>
      </c>
      <c r="AO226" s="277">
        <v>10.619579999999997</v>
      </c>
      <c r="AP226" s="277">
        <v>0.35713097126881432</v>
      </c>
      <c r="AQ226" s="277">
        <v>0.64286902873118579</v>
      </c>
      <c r="AR226" s="277">
        <v>0.17814112976095126</v>
      </c>
      <c r="AS226" s="277">
        <v>6.1364002529956899E-2</v>
      </c>
      <c r="AT226" s="277">
        <v>16.376089999999998</v>
      </c>
      <c r="AU226" s="277">
        <v>24.5</v>
      </c>
      <c r="AV226" s="277">
        <v>4.3504199411245823</v>
      </c>
      <c r="AW226" s="277"/>
      <c r="AX226" s="277"/>
      <c r="AY226" s="277"/>
      <c r="AZ226" s="277"/>
      <c r="BA226" s="277"/>
      <c r="BB226" s="276" t="s">
        <v>539</v>
      </c>
      <c r="BC226" s="135">
        <v>7.3776849999999996</v>
      </c>
      <c r="BD226" s="135">
        <v>11.958302500000002</v>
      </c>
      <c r="BE226" s="135">
        <v>0.38247730360858306</v>
      </c>
      <c r="BF226" s="135">
        <v>0.61752269639141688</v>
      </c>
      <c r="BG226" s="135">
        <v>0.13648819949933291</v>
      </c>
      <c r="BH226" s="135">
        <v>5.1959650866942542E-2</v>
      </c>
      <c r="BI226" s="135">
        <v>19.335987500000002</v>
      </c>
      <c r="BJ226" s="135">
        <v>35.75</v>
      </c>
      <c r="BK226" s="135">
        <v>4.8296416071430679</v>
      </c>
      <c r="BR226" s="272"/>
      <c r="BV226" s="275" t="s">
        <v>536</v>
      </c>
      <c r="BW226" s="277">
        <v>7.2135819999999979</v>
      </c>
      <c r="BX226" s="277">
        <v>7.7154060000000042</v>
      </c>
      <c r="BY226" s="277">
        <v>0.48136339199283362</v>
      </c>
      <c r="BZ226" s="277">
        <v>0.51863660800716649</v>
      </c>
      <c r="CA226" s="277">
        <v>0.14116590303918911</v>
      </c>
      <c r="CB226" s="277">
        <v>6.7415354937915478E-2</v>
      </c>
      <c r="CC226" s="277">
        <v>14.928988000000004</v>
      </c>
      <c r="CD226" s="277">
        <v>41.8</v>
      </c>
      <c r="CE226" s="277">
        <v>5.8732714705638234</v>
      </c>
      <c r="CF226" s="277"/>
      <c r="CG226" s="277"/>
      <c r="CH226" s="277"/>
      <c r="CI226" s="277"/>
      <c r="CJ226" s="277"/>
      <c r="CK226" s="276" t="s">
        <v>539</v>
      </c>
      <c r="CL226" s="135">
        <v>7.8431599999999975</v>
      </c>
      <c r="CM226" s="135">
        <v>13.305769999999995</v>
      </c>
      <c r="CN226" s="135">
        <v>0.37085375004787474</v>
      </c>
      <c r="CO226" s="135">
        <v>0.6291462499521252</v>
      </c>
      <c r="CP226" s="135">
        <v>0.1274996302510723</v>
      </c>
      <c r="CQ226" s="135">
        <v>4.7283716008327627E-2</v>
      </c>
      <c r="CR226" s="135">
        <v>21.148929999999993</v>
      </c>
      <c r="CS226" s="135">
        <v>42</v>
      </c>
      <c r="CT226" s="135">
        <v>5.3549844705450376</v>
      </c>
    </row>
    <row r="227" spans="1:117" x14ac:dyDescent="0.35">
      <c r="D227" s="196" t="s">
        <v>535</v>
      </c>
      <c r="E227" s="135">
        <v>8.1707228571428576</v>
      </c>
      <c r="F227" s="135">
        <v>7.1459585714285714</v>
      </c>
      <c r="G227" s="135">
        <v>0.52641348254033737</v>
      </c>
      <c r="H227" s="135">
        <v>0.47358651745966246</v>
      </c>
      <c r="I227" s="135">
        <v>0.13225111103079443</v>
      </c>
      <c r="J227" s="135">
        <v>6.7096092826758366E-2</v>
      </c>
      <c r="K227" s="135">
        <v>15.316681428571428</v>
      </c>
      <c r="L227" s="135">
        <v>59.285714285714285</v>
      </c>
      <c r="M227" s="135">
        <v>7.1404756952238113</v>
      </c>
      <c r="S227" s="205" t="s">
        <v>534</v>
      </c>
      <c r="T227" s="135">
        <v>7.1272575000000007</v>
      </c>
      <c r="U227" s="135">
        <v>15.664899999999999</v>
      </c>
      <c r="V227" s="135">
        <v>0.31616026755361432</v>
      </c>
      <c r="W227" s="135">
        <v>0.68383973244638574</v>
      </c>
      <c r="X227" s="135">
        <v>0.14285106816386145</v>
      </c>
      <c r="Y227" s="135">
        <v>4.4129215093877523E-2</v>
      </c>
      <c r="Z227" s="135">
        <v>22.792157499999998</v>
      </c>
      <c r="AA227" s="135">
        <v>33.75</v>
      </c>
      <c r="AB227" s="135">
        <v>4.735172837786112</v>
      </c>
      <c r="AM227" s="196" t="s">
        <v>535</v>
      </c>
      <c r="AN227" s="135">
        <v>8.1707228571428576</v>
      </c>
      <c r="AO227" s="135">
        <v>7.1459585714285714</v>
      </c>
      <c r="AP227" s="135">
        <v>0.52641348254033737</v>
      </c>
      <c r="AQ227" s="135">
        <v>0.47358651745966246</v>
      </c>
      <c r="AR227" s="135">
        <v>0.13225111103079443</v>
      </c>
      <c r="AS227" s="135">
        <v>6.7096092826758366E-2</v>
      </c>
      <c r="AT227" s="135">
        <v>15.316681428571428</v>
      </c>
      <c r="AU227" s="135">
        <v>59.285714285714285</v>
      </c>
      <c r="AV227" s="135">
        <v>7.1404756952238113</v>
      </c>
      <c r="AW227" s="288" t="s">
        <v>727</v>
      </c>
      <c r="AX227" s="274"/>
      <c r="BB227" s="205" t="s">
        <v>534</v>
      </c>
      <c r="BC227" s="135">
        <v>6.572344999999995</v>
      </c>
      <c r="BD227" s="135">
        <v>15.753489999999999</v>
      </c>
      <c r="BE227" s="135">
        <v>0.30121307718641011</v>
      </c>
      <c r="BF227" s="135">
        <v>0.69878692281358989</v>
      </c>
      <c r="BG227" s="135">
        <v>0.15488610386501073</v>
      </c>
      <c r="BH227" s="135">
        <v>4.5235079677689055E-2</v>
      </c>
      <c r="BI227" s="135">
        <v>22.325834999999994</v>
      </c>
      <c r="BJ227" s="135">
        <v>29.5</v>
      </c>
      <c r="BK227" s="135">
        <v>4.5177003451217983</v>
      </c>
      <c r="BR227" s="272"/>
      <c r="BV227" s="196" t="s">
        <v>535</v>
      </c>
      <c r="BW227" s="135">
        <v>8.1707228571428576</v>
      </c>
      <c r="BX227" s="135">
        <v>7.1459585714285714</v>
      </c>
      <c r="BY227" s="135">
        <v>0.52641348254033737</v>
      </c>
      <c r="BZ227" s="135">
        <v>0.47358651745966246</v>
      </c>
      <c r="CA227" s="135">
        <v>0.13225111103079443</v>
      </c>
      <c r="CB227" s="135">
        <v>6.7096092826758366E-2</v>
      </c>
      <c r="CC227" s="135">
        <v>15.316681428571428</v>
      </c>
      <c r="CD227" s="135">
        <v>59.285714285714285</v>
      </c>
      <c r="CE227" s="135">
        <v>7.1404756952238113</v>
      </c>
      <c r="CF227" s="288" t="s">
        <v>727</v>
      </c>
      <c r="CG227" s="274"/>
      <c r="CK227" s="205" t="s">
        <v>534</v>
      </c>
      <c r="CL227" s="135">
        <v>7.6821700000000064</v>
      </c>
      <c r="CM227" s="135">
        <v>15.576309999999998</v>
      </c>
      <c r="CN227" s="135">
        <v>0.33110745792081853</v>
      </c>
      <c r="CO227" s="135">
        <v>0.66889254207918147</v>
      </c>
      <c r="CP227" s="135">
        <v>0.13081603246271215</v>
      </c>
      <c r="CQ227" s="135">
        <v>4.3023350510065991E-2</v>
      </c>
      <c r="CR227" s="135">
        <v>23.258480000000006</v>
      </c>
      <c r="CS227" s="135">
        <v>38</v>
      </c>
      <c r="CT227" s="135">
        <v>4.9526453304504265</v>
      </c>
    </row>
    <row r="228" spans="1:117" x14ac:dyDescent="0.35">
      <c r="D228" s="196" t="s">
        <v>554</v>
      </c>
      <c r="E228" s="135">
        <v>8.8932566666666677</v>
      </c>
      <c r="F228" s="135">
        <v>7.5794016666666657</v>
      </c>
      <c r="G228" s="135">
        <v>0.53977679312042737</v>
      </c>
      <c r="H228" s="135">
        <v>0.46022320687957247</v>
      </c>
      <c r="I228" s="135">
        <v>0.11328941024495731</v>
      </c>
      <c r="J228" s="135">
        <v>6.1007285114675326E-2</v>
      </c>
      <c r="K228" s="135">
        <v>16.472658333333332</v>
      </c>
      <c r="L228" s="135">
        <v>62.5</v>
      </c>
      <c r="M228" s="135">
        <v>7.0218115639036371</v>
      </c>
      <c r="S228" s="205"/>
      <c r="AM228" s="196" t="s">
        <v>554</v>
      </c>
      <c r="AN228" s="135">
        <v>8.8932566666666677</v>
      </c>
      <c r="AO228" s="135">
        <v>7.5794016666666657</v>
      </c>
      <c r="AP228" s="135">
        <v>0.53977679312042737</v>
      </c>
      <c r="AQ228" s="135">
        <v>0.46022320687957247</v>
      </c>
      <c r="AR228" s="135">
        <v>0.11328941024495731</v>
      </c>
      <c r="AS228" s="135">
        <v>6.1007285114675326E-2</v>
      </c>
      <c r="AT228" s="135">
        <v>16.472658333333332</v>
      </c>
      <c r="AU228" s="135">
        <v>62.5</v>
      </c>
      <c r="AV228" s="135">
        <v>7.0218115639036371</v>
      </c>
      <c r="AW228" s="288" t="s">
        <v>727</v>
      </c>
      <c r="AX228" s="274"/>
      <c r="BB228" s="205"/>
      <c r="BR228" s="272"/>
      <c r="BV228" s="196" t="s">
        <v>554</v>
      </c>
      <c r="BW228" s="135">
        <v>8.8932566666666677</v>
      </c>
      <c r="BX228" s="135">
        <v>7.5794016666666657</v>
      </c>
      <c r="BY228" s="135">
        <v>0.53977679312042737</v>
      </c>
      <c r="BZ228" s="135">
        <v>0.46022320687957247</v>
      </c>
      <c r="CA228" s="135">
        <v>0.11328941024495731</v>
      </c>
      <c r="CB228" s="135">
        <v>6.1007285114675326E-2</v>
      </c>
      <c r="CC228" s="135">
        <v>16.472658333333332</v>
      </c>
      <c r="CD228" s="135">
        <v>62.5</v>
      </c>
      <c r="CE228" s="135">
        <v>7.0218115639036371</v>
      </c>
      <c r="CF228" s="288" t="s">
        <v>727</v>
      </c>
      <c r="CG228" s="274"/>
      <c r="CK228" s="205"/>
    </row>
    <row r="229" spans="1:117" x14ac:dyDescent="0.35">
      <c r="D229" s="196"/>
      <c r="S229" s="205"/>
      <c r="AM229" s="196"/>
      <c r="BB229" s="205"/>
      <c r="BR229" s="272"/>
      <c r="BV229" s="196"/>
      <c r="CK229" s="205"/>
    </row>
    <row r="230" spans="1:117" x14ac:dyDescent="0.35">
      <c r="D230" s="205" t="s">
        <v>577</v>
      </c>
      <c r="S230" s="205" t="s">
        <v>577</v>
      </c>
      <c r="AM230" s="205" t="s">
        <v>577</v>
      </c>
      <c r="BB230" s="205" t="s">
        <v>577</v>
      </c>
      <c r="BR230" s="272"/>
      <c r="BV230" s="205" t="s">
        <v>577</v>
      </c>
      <c r="CK230" s="205" t="s">
        <v>577</v>
      </c>
    </row>
    <row r="231" spans="1:117" x14ac:dyDescent="0.35">
      <c r="D231" s="196" t="s">
        <v>530</v>
      </c>
      <c r="E231" s="135">
        <f t="shared" ref="E231:M231" si="372">1-((E225-E225)/E225)</f>
        <v>1</v>
      </c>
      <c r="F231" s="135">
        <f t="shared" si="372"/>
        <v>1</v>
      </c>
      <c r="G231" s="135">
        <f t="shared" si="372"/>
        <v>1</v>
      </c>
      <c r="H231" s="135">
        <f t="shared" si="372"/>
        <v>1</v>
      </c>
      <c r="I231" s="135">
        <f t="shared" si="372"/>
        <v>1</v>
      </c>
      <c r="J231" s="135">
        <f t="shared" si="372"/>
        <v>1</v>
      </c>
      <c r="K231" s="135">
        <f t="shared" si="372"/>
        <v>1</v>
      </c>
      <c r="L231" s="135">
        <f t="shared" si="372"/>
        <v>1</v>
      </c>
      <c r="M231" s="135">
        <f t="shared" si="372"/>
        <v>1</v>
      </c>
      <c r="S231" s="196" t="s">
        <v>530</v>
      </c>
      <c r="T231" s="135">
        <f t="shared" ref="T231:AB231" si="373">1-((T225-T225)/T225)</f>
        <v>1</v>
      </c>
      <c r="U231" s="135">
        <f t="shared" si="373"/>
        <v>1</v>
      </c>
      <c r="V231" s="135">
        <f t="shared" si="373"/>
        <v>1</v>
      </c>
      <c r="W231" s="135">
        <f t="shared" si="373"/>
        <v>1</v>
      </c>
      <c r="X231" s="135">
        <f t="shared" si="373"/>
        <v>1</v>
      </c>
      <c r="Y231" s="135">
        <f t="shared" si="373"/>
        <v>1</v>
      </c>
      <c r="Z231" s="135">
        <f t="shared" si="373"/>
        <v>1</v>
      </c>
      <c r="AA231" s="135">
        <f t="shared" si="373"/>
        <v>1</v>
      </c>
      <c r="AB231" s="135">
        <f t="shared" si="373"/>
        <v>1</v>
      </c>
      <c r="AM231" s="196" t="s">
        <v>530</v>
      </c>
      <c r="AN231" s="135">
        <f t="shared" ref="AN231:AV231" si="374">1-((AN225-AN225)/AN225)</f>
        <v>1</v>
      </c>
      <c r="AO231" s="135">
        <f t="shared" si="374"/>
        <v>1</v>
      </c>
      <c r="AP231" s="135">
        <f t="shared" si="374"/>
        <v>1</v>
      </c>
      <c r="AQ231" s="135">
        <f t="shared" si="374"/>
        <v>1</v>
      </c>
      <c r="AR231" s="135">
        <f t="shared" si="374"/>
        <v>1</v>
      </c>
      <c r="AS231" s="135">
        <f t="shared" si="374"/>
        <v>1</v>
      </c>
      <c r="AT231" s="135">
        <f t="shared" si="374"/>
        <v>1</v>
      </c>
      <c r="AU231" s="135">
        <f t="shared" si="374"/>
        <v>1</v>
      </c>
      <c r="AV231" s="135">
        <f t="shared" si="374"/>
        <v>1</v>
      </c>
      <c r="BB231" s="196" t="s">
        <v>530</v>
      </c>
      <c r="BC231" s="135">
        <f t="shared" ref="BC231:BK231" si="375">1-((BC225-BC225)/BC225)</f>
        <v>1</v>
      </c>
      <c r="BD231" s="135">
        <f t="shared" si="375"/>
        <v>1</v>
      </c>
      <c r="BE231" s="135">
        <f t="shared" si="375"/>
        <v>1</v>
      </c>
      <c r="BF231" s="135">
        <f t="shared" si="375"/>
        <v>1</v>
      </c>
      <c r="BG231" s="135">
        <f t="shared" si="375"/>
        <v>1</v>
      </c>
      <c r="BH231" s="135">
        <f t="shared" si="375"/>
        <v>1</v>
      </c>
      <c r="BI231" s="135">
        <f t="shared" si="375"/>
        <v>1</v>
      </c>
      <c r="BJ231" s="135">
        <f t="shared" si="375"/>
        <v>1</v>
      </c>
      <c r="BK231" s="135">
        <f t="shared" si="375"/>
        <v>1</v>
      </c>
      <c r="BR231" s="272"/>
      <c r="BV231" s="196" t="s">
        <v>530</v>
      </c>
      <c r="BW231" s="135">
        <f t="shared" ref="BW231:CE231" si="376">1-((BW225-BW225)/BW225)</f>
        <v>1</v>
      </c>
      <c r="BX231" s="135">
        <f t="shared" si="376"/>
        <v>1</v>
      </c>
      <c r="BY231" s="135">
        <f t="shared" si="376"/>
        <v>1</v>
      </c>
      <c r="BZ231" s="135">
        <f t="shared" si="376"/>
        <v>1</v>
      </c>
      <c r="CA231" s="135">
        <f t="shared" si="376"/>
        <v>1</v>
      </c>
      <c r="CB231" s="135">
        <f t="shared" si="376"/>
        <v>1</v>
      </c>
      <c r="CC231" s="135">
        <f t="shared" si="376"/>
        <v>1</v>
      </c>
      <c r="CD231" s="135">
        <f t="shared" si="376"/>
        <v>1</v>
      </c>
      <c r="CE231" s="135">
        <f t="shared" si="376"/>
        <v>1</v>
      </c>
      <c r="CK231" s="196" t="s">
        <v>530</v>
      </c>
      <c r="CL231" s="135">
        <f t="shared" ref="CL231:CT231" si="377">1-((CL225-CL225)/CL225)</f>
        <v>1</v>
      </c>
      <c r="CM231" s="135">
        <f t="shared" si="377"/>
        <v>1</v>
      </c>
      <c r="CN231" s="135">
        <f t="shared" si="377"/>
        <v>1</v>
      </c>
      <c r="CO231" s="135">
        <f t="shared" si="377"/>
        <v>1</v>
      </c>
      <c r="CP231" s="135">
        <f t="shared" si="377"/>
        <v>1</v>
      </c>
      <c r="CQ231" s="135">
        <f t="shared" si="377"/>
        <v>1</v>
      </c>
      <c r="CR231" s="135">
        <f t="shared" si="377"/>
        <v>1</v>
      </c>
      <c r="CS231" s="135">
        <f t="shared" si="377"/>
        <v>1</v>
      </c>
      <c r="CT231" s="135">
        <f t="shared" si="377"/>
        <v>1</v>
      </c>
    </row>
    <row r="232" spans="1:117" x14ac:dyDescent="0.35">
      <c r="D232" s="196" t="s">
        <v>536</v>
      </c>
      <c r="E232" s="135">
        <f t="shared" ref="E232:M232" si="378">1-((E225-E226)/E225)</f>
        <v>0.92151741784943164</v>
      </c>
      <c r="F232" s="135">
        <f t="shared" si="378"/>
        <v>0.92779878978295416</v>
      </c>
      <c r="G232" s="135">
        <f t="shared" si="378"/>
        <v>0.98379765114421569</v>
      </c>
      <c r="H232" s="135">
        <f t="shared" si="378"/>
        <v>1.0134294905493735</v>
      </c>
      <c r="I232" s="135">
        <f t="shared" si="378"/>
        <v>1.1149288426212394</v>
      </c>
      <c r="J232" s="135">
        <f t="shared" si="378"/>
        <v>1.0690240683955152</v>
      </c>
      <c r="K232" s="135">
        <f t="shared" si="378"/>
        <v>0.92500537447702214</v>
      </c>
      <c r="L232" s="135">
        <f t="shared" si="378"/>
        <v>1.4254143646408839</v>
      </c>
      <c r="M232" s="135">
        <f t="shared" si="378"/>
        <v>1.5504125771967456</v>
      </c>
      <c r="S232" s="205" t="s">
        <v>539</v>
      </c>
      <c r="T232" s="135">
        <f t="shared" ref="T232:AB232" si="379">1-((T225-T226)/T225)</f>
        <v>1.0308265581320351</v>
      </c>
      <c r="U232" s="135">
        <f t="shared" si="379"/>
        <v>1.4828632162501627</v>
      </c>
      <c r="V232" s="135">
        <f t="shared" si="379"/>
        <v>0.81767289151376699</v>
      </c>
      <c r="W232" s="135">
        <f t="shared" si="379"/>
        <v>1.158420359616219</v>
      </c>
      <c r="X232" s="135">
        <f t="shared" si="379"/>
        <v>0.94464601215411026</v>
      </c>
      <c r="Y232" s="135">
        <f t="shared" si="379"/>
        <v>0.78347967040873656</v>
      </c>
      <c r="Z232" s="135">
        <f t="shared" si="379"/>
        <v>1.2714139661689077</v>
      </c>
      <c r="AA232" s="135">
        <f t="shared" si="379"/>
        <v>1.2392344497607655</v>
      </c>
      <c r="AB232" s="135">
        <f t="shared" si="379"/>
        <v>1.2095492356419699</v>
      </c>
      <c r="AM232" s="196" t="s">
        <v>536</v>
      </c>
      <c r="AN232" s="135">
        <f t="shared" ref="AN232:AV232" si="380">1-((AN225-AN226)/AN225)</f>
        <v>0.79708361920889947</v>
      </c>
      <c r="AO232" s="135">
        <f t="shared" si="380"/>
        <v>0.96126587973110611</v>
      </c>
      <c r="AP232" s="135">
        <f t="shared" si="380"/>
        <v>0.90010793003499456</v>
      </c>
      <c r="AQ232" s="135">
        <f t="shared" si="380"/>
        <v>1.0657017786716383</v>
      </c>
      <c r="AR232" s="135">
        <f t="shared" si="380"/>
        <v>1.2830918292566671</v>
      </c>
      <c r="AS232" s="135">
        <f t="shared" si="380"/>
        <v>1.1141307156125988</v>
      </c>
      <c r="AT232" s="135">
        <f t="shared" si="380"/>
        <v>0.89636420561965136</v>
      </c>
      <c r="AU232" s="135">
        <f t="shared" si="380"/>
        <v>0.97029702970297027</v>
      </c>
      <c r="AV232" s="135">
        <f t="shared" si="380"/>
        <v>1.2404868015779764</v>
      </c>
      <c r="BB232" s="205" t="s">
        <v>539</v>
      </c>
      <c r="BC232" s="135">
        <f t="shared" ref="BC232:BK232" si="381">1-((BC225-BC226)/BC225)</f>
        <v>0.93930679135838213</v>
      </c>
      <c r="BD232" s="135">
        <f t="shared" si="381"/>
        <v>1.3547971839783446</v>
      </c>
      <c r="BE232" s="135">
        <f t="shared" si="381"/>
        <v>0.8200169506545435</v>
      </c>
      <c r="BF232" s="135">
        <f t="shared" si="381"/>
        <v>1.1573330139878037</v>
      </c>
      <c r="BG232" s="135">
        <f t="shared" si="381"/>
        <v>1.0268876172531376</v>
      </c>
      <c r="BH232" s="135">
        <f t="shared" si="381"/>
        <v>0.86312914308199784</v>
      </c>
      <c r="BI232" s="135">
        <f t="shared" si="381"/>
        <v>1.1591602856658132</v>
      </c>
      <c r="BJ232" s="135">
        <f t="shared" si="381"/>
        <v>1.1171875</v>
      </c>
      <c r="BK232" s="135">
        <f t="shared" si="381"/>
        <v>1.1942938505048553</v>
      </c>
      <c r="BR232" s="272"/>
      <c r="BV232" s="196" t="s">
        <v>536</v>
      </c>
      <c r="BW232" s="135">
        <f t="shared" ref="BW232:CE232" si="382">1-((BW225-BW226)/BW225)</f>
        <v>0.95143479686863863</v>
      </c>
      <c r="BX232" s="135">
        <f t="shared" si="382"/>
        <v>1.1412703452968533</v>
      </c>
      <c r="BY232" s="135">
        <f t="shared" si="382"/>
        <v>0.91085533292841414</v>
      </c>
      <c r="BZ232" s="135">
        <f t="shared" si="382"/>
        <v>1.0999110233038965</v>
      </c>
      <c r="CA232" s="135">
        <f t="shared" si="382"/>
        <v>1.0659988724143694</v>
      </c>
      <c r="CB232" s="135">
        <f t="shared" si="382"/>
        <v>0.96397292131096624</v>
      </c>
      <c r="CC232" s="135">
        <f t="shared" si="382"/>
        <v>1.0409162915488326</v>
      </c>
      <c r="CD232" s="135">
        <f t="shared" si="382"/>
        <v>1.5674999999999999</v>
      </c>
      <c r="CE232" s="135">
        <f t="shared" si="382"/>
        <v>1.6741169085936327</v>
      </c>
      <c r="CK232" s="205" t="s">
        <v>539</v>
      </c>
      <c r="CL232" s="135">
        <f t="shared" ref="CL232:CT232" si="383">1-((CL225-CL226)/CL225)</f>
        <v>1.1547474271580211</v>
      </c>
      <c r="CM232" s="135">
        <f t="shared" si="383"/>
        <v>1.7035425039985475</v>
      </c>
      <c r="CN232" s="135">
        <f t="shared" si="383"/>
        <v>0.79961451274221196</v>
      </c>
      <c r="CO232" s="135">
        <f t="shared" si="383"/>
        <v>1.1733220851127633</v>
      </c>
      <c r="CP232" s="135">
        <f t="shared" si="383"/>
        <v>0.85093663937175701</v>
      </c>
      <c r="CQ232" s="135">
        <f t="shared" si="383"/>
        <v>0.68706197610523922</v>
      </c>
      <c r="CR232" s="135">
        <f t="shared" si="383"/>
        <v>1.4482843040325108</v>
      </c>
      <c r="CS232" s="135">
        <f t="shared" si="383"/>
        <v>1.4867256637168142</v>
      </c>
      <c r="CT232" s="135">
        <f t="shared" si="383"/>
        <v>1.3039663269137107</v>
      </c>
    </row>
    <row r="233" spans="1:117" x14ac:dyDescent="0.35">
      <c r="D233" s="196" t="s">
        <v>535</v>
      </c>
      <c r="E233" s="135">
        <f t="shared" ref="E233:M233" si="384">1-((E225-E227)/E225)</f>
        <v>1.1077178189863739</v>
      </c>
      <c r="F233" s="135">
        <f t="shared" si="384"/>
        <v>0.77587826976064311</v>
      </c>
      <c r="G233" s="135">
        <f t="shared" si="384"/>
        <v>1.1615183552940398</v>
      </c>
      <c r="H233" s="135">
        <f t="shared" si="384"/>
        <v>0.86612377962734255</v>
      </c>
      <c r="I233" s="135">
        <f t="shared" si="384"/>
        <v>0.97179418557218245</v>
      </c>
      <c r="J233" s="135">
        <f t="shared" si="384"/>
        <v>1.0919663931359693</v>
      </c>
      <c r="K233" s="135">
        <f t="shared" si="384"/>
        <v>0.92345203003643606</v>
      </c>
      <c r="L233" s="135">
        <f t="shared" si="384"/>
        <v>2.2928176795580111</v>
      </c>
      <c r="M233" s="135">
        <f t="shared" si="384"/>
        <v>2.0357365108011924</v>
      </c>
      <c r="S233" s="205" t="s">
        <v>534</v>
      </c>
      <c r="T233" s="135">
        <f t="shared" ref="T233:AB233" si="385">1-((T225-T227)/T225)</f>
        <v>0.98342694037914835</v>
      </c>
      <c r="U233" s="135">
        <f t="shared" si="385"/>
        <v>1.8996803672744598</v>
      </c>
      <c r="V233" s="135">
        <f t="shared" si="385"/>
        <v>0.6800313478928528</v>
      </c>
      <c r="W233" s="135">
        <f t="shared" si="385"/>
        <v>1.2780143301431153</v>
      </c>
      <c r="X233" s="135">
        <f t="shared" si="385"/>
        <v>1.0018799117253501</v>
      </c>
      <c r="Y233" s="135">
        <f t="shared" si="385"/>
        <v>0.67760325651136633</v>
      </c>
      <c r="Z233" s="135">
        <f t="shared" si="385"/>
        <v>1.4710843750645433</v>
      </c>
      <c r="AA233" s="135">
        <f t="shared" si="385"/>
        <v>1.1303827751196172</v>
      </c>
      <c r="AB233" s="135">
        <f t="shared" si="385"/>
        <v>1.1606405397412227</v>
      </c>
      <c r="AM233" s="196" t="s">
        <v>535</v>
      </c>
      <c r="AN233" s="135">
        <f t="shared" ref="AN233:AV233" si="386">1-((AN225-AN227)/AN225)</f>
        <v>1.1313711513615556</v>
      </c>
      <c r="AO233" s="135">
        <f t="shared" si="386"/>
        <v>0.64683971990288935</v>
      </c>
      <c r="AP233" s="135">
        <f t="shared" si="386"/>
        <v>1.3267652156531737</v>
      </c>
      <c r="AQ233" s="135">
        <f t="shared" si="386"/>
        <v>0.78507747527950855</v>
      </c>
      <c r="AR233" s="135">
        <f t="shared" si="386"/>
        <v>0.95256115306688116</v>
      </c>
      <c r="AS233" s="135">
        <f t="shared" si="386"/>
        <v>1.2182030968301338</v>
      </c>
      <c r="AT233" s="135">
        <f t="shared" si="386"/>
        <v>0.83837625351660239</v>
      </c>
      <c r="AU233" s="135">
        <f t="shared" si="386"/>
        <v>2.3479490806223478</v>
      </c>
      <c r="AV233" s="135">
        <f t="shared" si="386"/>
        <v>2.0360484681448381</v>
      </c>
      <c r="BB233" s="205" t="s">
        <v>534</v>
      </c>
      <c r="BC233" s="135">
        <f t="shared" ref="BC233:BK233" si="387">1-((BC225-BC227)/BC225)</f>
        <v>0.83677309259616017</v>
      </c>
      <c r="BD233" s="135">
        <f t="shared" si="387"/>
        <v>1.7847670177126733</v>
      </c>
      <c r="BE233" s="135">
        <f t="shared" si="387"/>
        <v>0.64578950625641462</v>
      </c>
      <c r="BF233" s="135">
        <f t="shared" si="387"/>
        <v>1.3096347393238184</v>
      </c>
      <c r="BG233" s="135">
        <f t="shared" si="387"/>
        <v>1.1653067644455242</v>
      </c>
      <c r="BH233" s="135">
        <f t="shared" si="387"/>
        <v>0.75142374723479544</v>
      </c>
      <c r="BI233" s="135">
        <f t="shared" si="387"/>
        <v>1.3383966697500091</v>
      </c>
      <c r="BJ233" s="135">
        <f t="shared" si="387"/>
        <v>0.921875</v>
      </c>
      <c r="BK233" s="135">
        <f t="shared" si="387"/>
        <v>1.1171557186816321</v>
      </c>
      <c r="BR233" s="272"/>
      <c r="BV233" s="196" t="s">
        <v>535</v>
      </c>
      <c r="BW233" s="135">
        <f t="shared" ref="BW233:CE233" si="388">1-((BW225-BW227)/BW225)</f>
        <v>1.0776768104744161</v>
      </c>
      <c r="BX233" s="135">
        <f t="shared" si="388"/>
        <v>1.0570371288680454</v>
      </c>
      <c r="BY233" s="135">
        <f t="shared" si="388"/>
        <v>0.99610094135372751</v>
      </c>
      <c r="BZ233" s="135">
        <f t="shared" si="388"/>
        <v>1.0043699634769865</v>
      </c>
      <c r="CA233" s="135">
        <f t="shared" si="388"/>
        <v>0.99867979589403455</v>
      </c>
      <c r="CB233" s="135">
        <f t="shared" si="388"/>
        <v>0.95940778877937227</v>
      </c>
      <c r="CC233" s="135">
        <f t="shared" si="388"/>
        <v>1.0679480237684862</v>
      </c>
      <c r="CD233" s="135">
        <f t="shared" si="388"/>
        <v>2.2232142857142856</v>
      </c>
      <c r="CE233" s="135">
        <f t="shared" si="388"/>
        <v>2.0353207163483109</v>
      </c>
      <c r="CK233" s="205" t="s">
        <v>534</v>
      </c>
      <c r="CL233" s="135">
        <f t="shared" ref="CL233:CT233" si="389">1-((CL225-CL227)/CL225)</f>
        <v>1.1310448903873624</v>
      </c>
      <c r="CM233" s="135">
        <f t="shared" si="389"/>
        <v>1.9942405543202402</v>
      </c>
      <c r="CN233" s="135">
        <f t="shared" si="389"/>
        <v>0.71391573793305108</v>
      </c>
      <c r="CO233" s="135">
        <f t="shared" si="389"/>
        <v>1.2474466664125285</v>
      </c>
      <c r="CP233" s="135">
        <f t="shared" si="389"/>
        <v>0.87307041456169832</v>
      </c>
      <c r="CQ233" s="135">
        <f t="shared" si="389"/>
        <v>0.62515619996762151</v>
      </c>
      <c r="CR233" s="135">
        <f t="shared" si="389"/>
        <v>1.5927468443866473</v>
      </c>
      <c r="CS233" s="135">
        <f t="shared" si="389"/>
        <v>1.3451327433628317</v>
      </c>
      <c r="CT233" s="135">
        <f t="shared" si="389"/>
        <v>1.205994671987624</v>
      </c>
    </row>
    <row r="234" spans="1:117" x14ac:dyDescent="0.35">
      <c r="D234" s="196" t="s">
        <v>554</v>
      </c>
      <c r="E234" s="135">
        <f t="shared" ref="E234:M234" si="390">1-((E225-E228)/E225)</f>
        <v>1.2056728701640003</v>
      </c>
      <c r="F234" s="135">
        <f t="shared" si="390"/>
        <v>0.8229397067129427</v>
      </c>
      <c r="G234" s="135">
        <f t="shared" si="390"/>
        <v>1.1910041702305525</v>
      </c>
      <c r="H234" s="135">
        <f t="shared" si="390"/>
        <v>0.84168414580911954</v>
      </c>
      <c r="I234" s="135">
        <f t="shared" si="390"/>
        <v>0.83246174118957661</v>
      </c>
      <c r="J234" s="135">
        <f t="shared" si="390"/>
        <v>0.99287309104118304</v>
      </c>
      <c r="K234" s="135">
        <f t="shared" si="390"/>
        <v>0.99314658001815359</v>
      </c>
      <c r="L234" s="135">
        <f t="shared" si="390"/>
        <v>2.4171270718232041</v>
      </c>
      <c r="M234" s="135">
        <f t="shared" si="390"/>
        <v>2.0019055848290517</v>
      </c>
      <c r="S234" s="196"/>
      <c r="AM234" s="196" t="s">
        <v>554</v>
      </c>
      <c r="AN234" s="135">
        <f t="shared" ref="AN234:AV234" si="391">1-((AN225-AN228)/AN225)</f>
        <v>1.2314178574206143</v>
      </c>
      <c r="AO234" s="135">
        <f t="shared" si="391"/>
        <v>0.68607423372146037</v>
      </c>
      <c r="AP234" s="135">
        <f t="shared" si="391"/>
        <v>1.3604459176710497</v>
      </c>
      <c r="AQ234" s="135">
        <f t="shared" si="391"/>
        <v>0.762924745535705</v>
      </c>
      <c r="AR234" s="135">
        <f t="shared" si="391"/>
        <v>0.81598627347694375</v>
      </c>
      <c r="AS234" s="135">
        <f t="shared" si="391"/>
        <v>1.107654120006484</v>
      </c>
      <c r="AT234" s="135">
        <f t="shared" si="391"/>
        <v>0.90164998491106629</v>
      </c>
      <c r="AU234" s="135">
        <f t="shared" si="391"/>
        <v>2.4752475247524752</v>
      </c>
      <c r="AV234" s="135">
        <f t="shared" si="391"/>
        <v>2.0022123579036415</v>
      </c>
      <c r="BB234" s="196"/>
      <c r="BR234" s="272"/>
      <c r="BV234" s="196" t="s">
        <v>554</v>
      </c>
      <c r="BW234" s="135">
        <f t="shared" ref="BW234:CE234" si="392">1-((BW225-BW228)/BW225)</f>
        <v>1.1729753470814734</v>
      </c>
      <c r="BX234" s="135">
        <f t="shared" si="392"/>
        <v>1.1211524522831602</v>
      </c>
      <c r="BY234" s="135">
        <f t="shared" si="392"/>
        <v>1.02138753960762</v>
      </c>
      <c r="BZ234" s="135">
        <f t="shared" si="392"/>
        <v>0.97602940211292732</v>
      </c>
      <c r="CA234" s="135">
        <f t="shared" si="392"/>
        <v>0.85549258693218166</v>
      </c>
      <c r="CB234" s="135">
        <f t="shared" si="392"/>
        <v>0.87234385856758667</v>
      </c>
      <c r="CC234" s="135">
        <f t="shared" si="392"/>
        <v>1.1485479407100001</v>
      </c>
      <c r="CD234" s="135">
        <f t="shared" si="392"/>
        <v>2.34375</v>
      </c>
      <c r="CE234" s="135">
        <f t="shared" si="392"/>
        <v>2.0014967002642035</v>
      </c>
      <c r="CK234" s="196"/>
    </row>
    <row r="235" spans="1:117" s="214" customFormat="1" x14ac:dyDescent="0.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272"/>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272"/>
      <c r="BS235" s="135"/>
      <c r="BT235" s="135"/>
      <c r="BU235" s="135"/>
      <c r="BV235" s="135"/>
      <c r="BW235" s="135"/>
      <c r="BX235" s="135"/>
      <c r="BY235" s="135"/>
      <c r="BZ235" s="135"/>
      <c r="CA235" s="135"/>
      <c r="CB235" s="135"/>
      <c r="CC235" s="135"/>
      <c r="CD235" s="135"/>
      <c r="CE235" s="135"/>
      <c r="CF235" s="135"/>
      <c r="CG235" s="135"/>
      <c r="CH235" s="135"/>
      <c r="CI235" s="135"/>
      <c r="CJ235" s="135"/>
      <c r="CK235" s="135"/>
      <c r="CL235" s="135"/>
      <c r="CM235" s="135"/>
      <c r="CN235" s="135"/>
      <c r="CO235" s="135"/>
      <c r="CP235" s="135"/>
      <c r="CQ235" s="135"/>
      <c r="CR235" s="135"/>
      <c r="CS235" s="135"/>
      <c r="CT235" s="135"/>
      <c r="CU235" s="135"/>
      <c r="CV235" s="135"/>
      <c r="CW235" s="135"/>
      <c r="CX235" s="135"/>
      <c r="CY235" s="135"/>
      <c r="CZ235" s="135"/>
      <c r="DA235" s="135"/>
      <c r="DB235" s="135"/>
      <c r="DC235" s="135"/>
      <c r="DD235" s="135"/>
      <c r="DE235" s="135"/>
      <c r="DF235" s="135"/>
      <c r="DG235" s="135"/>
      <c r="DH235" s="135"/>
      <c r="DI235" s="135"/>
      <c r="DJ235" s="135"/>
      <c r="DK235" s="135"/>
      <c r="DL235" s="135"/>
      <c r="DM235" s="135"/>
    </row>
    <row r="236" spans="1:117" x14ac:dyDescent="0.35">
      <c r="A236" s="214"/>
      <c r="B236" s="214"/>
      <c r="C236" s="214"/>
      <c r="D236" s="214"/>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c r="AA236" s="214"/>
      <c r="AB236" s="214"/>
      <c r="AC236" s="214"/>
      <c r="AD236" s="214"/>
      <c r="AE236" s="214"/>
      <c r="AF236" s="214"/>
      <c r="AG236" s="214"/>
      <c r="AH236" s="214"/>
      <c r="AJ236" s="214"/>
      <c r="AK236" s="214"/>
      <c r="AL236" s="214"/>
      <c r="AM236" s="214"/>
      <c r="AN236" s="214"/>
      <c r="AO236" s="214"/>
      <c r="AP236" s="214"/>
      <c r="AQ236" s="214"/>
      <c r="AR236" s="214"/>
      <c r="AS236" s="214"/>
      <c r="AT236" s="214"/>
      <c r="AU236" s="214"/>
      <c r="AV236" s="214"/>
      <c r="AW236" s="214"/>
      <c r="AX236" s="214"/>
      <c r="AY236" s="214"/>
      <c r="AZ236" s="214"/>
      <c r="BA236" s="214"/>
      <c r="BB236" s="214"/>
      <c r="BC236" s="214"/>
      <c r="BD236" s="214"/>
      <c r="BE236" s="214"/>
      <c r="BF236" s="214"/>
      <c r="BG236" s="214"/>
      <c r="BH236" s="214"/>
      <c r="BI236" s="214"/>
      <c r="BJ236" s="214"/>
      <c r="BK236" s="214"/>
      <c r="BL236" s="214"/>
      <c r="BM236" s="214"/>
      <c r="BN236" s="214"/>
      <c r="BO236" s="214"/>
      <c r="BP236" s="214"/>
      <c r="BQ236" s="214"/>
      <c r="BR236" s="214"/>
      <c r="BS236" s="214"/>
      <c r="BT236" s="214"/>
      <c r="BU236" s="214"/>
      <c r="BV236" s="214"/>
      <c r="BW236" s="214"/>
      <c r="BX236" s="214"/>
      <c r="BY236" s="214"/>
      <c r="BZ236" s="214"/>
      <c r="CA236" s="214"/>
      <c r="CB236" s="214"/>
      <c r="CC236" s="214"/>
      <c r="CD236" s="214"/>
      <c r="CE236" s="214"/>
      <c r="CF236" s="214"/>
      <c r="CG236" s="214"/>
      <c r="CH236" s="214"/>
      <c r="CI236" s="214"/>
      <c r="CJ236" s="214"/>
      <c r="CK236" s="214"/>
      <c r="CL236" s="214"/>
      <c r="CM236" s="214"/>
      <c r="CN236" s="214"/>
      <c r="CO236" s="214"/>
      <c r="CP236" s="214"/>
      <c r="CQ236" s="214"/>
      <c r="CR236" s="214"/>
      <c r="CS236" s="214"/>
      <c r="CT236" s="214"/>
      <c r="CU236" s="214"/>
      <c r="CV236" s="214"/>
      <c r="CW236" s="214"/>
      <c r="CX236" s="214"/>
      <c r="CY236" s="214"/>
      <c r="CZ236" s="214"/>
      <c r="DA236" s="214"/>
      <c r="DB236" s="214"/>
      <c r="DC236" s="214"/>
      <c r="DD236" s="214"/>
      <c r="DE236" s="214"/>
      <c r="DF236" s="214"/>
      <c r="DG236" s="214"/>
      <c r="DH236" s="214"/>
      <c r="DI236" s="214"/>
      <c r="DJ236" s="214"/>
      <c r="DK236" s="214"/>
      <c r="DL236" s="214"/>
      <c r="DM236" s="214"/>
    </row>
    <row r="237" spans="1:117" s="277" customFormat="1" x14ac:dyDescent="0.35">
      <c r="AI237" s="272"/>
    </row>
    <row r="238" spans="1:117" s="277" customFormat="1" x14ac:dyDescent="0.35">
      <c r="D238" s="195" t="s">
        <v>731</v>
      </c>
      <c r="E238" s="135"/>
      <c r="F238" s="135"/>
      <c r="G238" s="135"/>
      <c r="H238" s="135"/>
      <c r="I238" s="135"/>
      <c r="J238" s="135"/>
      <c r="K238" s="135"/>
      <c r="L238" s="135"/>
      <c r="M238" s="135"/>
      <c r="N238" s="135"/>
      <c r="O238" s="135"/>
      <c r="P238" s="135"/>
      <c r="Q238" s="135"/>
      <c r="R238" s="135"/>
      <c r="S238" s="195" t="s">
        <v>731</v>
      </c>
      <c r="T238" s="135"/>
      <c r="U238" s="135"/>
      <c r="V238" s="135"/>
      <c r="W238" s="135"/>
      <c r="X238" s="135"/>
      <c r="Y238" s="135"/>
      <c r="Z238" s="135"/>
      <c r="AA238" s="135"/>
      <c r="AB238" s="135"/>
      <c r="AI238" s="272"/>
    </row>
    <row r="239" spans="1:117" s="277" customFormat="1" ht="16" thickBot="1" x14ac:dyDescent="0.4">
      <c r="D239" s="9" t="s">
        <v>444</v>
      </c>
      <c r="E239" s="9" t="s">
        <v>3</v>
      </c>
      <c r="F239" s="9" t="s">
        <v>4</v>
      </c>
      <c r="G239" s="9" t="s">
        <v>5</v>
      </c>
      <c r="H239" s="9" t="s">
        <v>6</v>
      </c>
      <c r="I239" s="9" t="s">
        <v>7</v>
      </c>
      <c r="J239" s="9" t="s">
        <v>8</v>
      </c>
      <c r="K239" s="9" t="s">
        <v>9</v>
      </c>
      <c r="L239" s="9" t="s">
        <v>10</v>
      </c>
      <c r="M239" s="9" t="s">
        <v>139</v>
      </c>
      <c r="N239" s="135"/>
      <c r="O239" s="135"/>
      <c r="P239" s="135"/>
      <c r="Q239" s="135"/>
      <c r="R239" s="135"/>
      <c r="S239" s="9" t="s">
        <v>444</v>
      </c>
      <c r="T239" s="9" t="s">
        <v>3</v>
      </c>
      <c r="U239" s="9" t="s">
        <v>4</v>
      </c>
      <c r="V239" s="9" t="s">
        <v>5</v>
      </c>
      <c r="W239" s="9" t="s">
        <v>6</v>
      </c>
      <c r="X239" s="9" t="s">
        <v>7</v>
      </c>
      <c r="Y239" s="9" t="s">
        <v>8</v>
      </c>
      <c r="Z239" s="9" t="s">
        <v>9</v>
      </c>
      <c r="AA239" s="9" t="s">
        <v>10</v>
      </c>
      <c r="AB239" s="9" t="s">
        <v>139</v>
      </c>
      <c r="AI239" s="272"/>
    </row>
    <row r="240" spans="1:117" s="277" customFormat="1" x14ac:dyDescent="0.35">
      <c r="D240" s="196" t="s">
        <v>530</v>
      </c>
      <c r="E240" s="135">
        <v>1.840952500000002</v>
      </c>
      <c r="F240" s="277">
        <v>5.090125624999998</v>
      </c>
      <c r="G240" s="135">
        <v>0.26722228935626757</v>
      </c>
      <c r="H240" s="135">
        <v>0.73277771064373221</v>
      </c>
      <c r="I240" s="135">
        <v>0.68582136121668658</v>
      </c>
      <c r="J240" s="135">
        <v>0.14829379915653904</v>
      </c>
      <c r="K240" s="135">
        <v>6.931078125</v>
      </c>
      <c r="L240" s="135">
        <v>14.4375</v>
      </c>
      <c r="M240" s="135">
        <v>8.6942343532587962</v>
      </c>
      <c r="N240" s="135"/>
      <c r="O240" s="135"/>
      <c r="P240" s="135"/>
      <c r="Q240" s="135"/>
      <c r="R240" s="135"/>
      <c r="S240" s="196" t="s">
        <v>530</v>
      </c>
      <c r="T240" s="135">
        <v>1.4261695652173925</v>
      </c>
      <c r="U240" s="277">
        <v>3.7376065217391292</v>
      </c>
      <c r="V240" s="135">
        <v>0.28776334845983481</v>
      </c>
      <c r="W240" s="135">
        <v>0.71223665154016513</v>
      </c>
      <c r="X240" s="135">
        <v>0.82274911879389878</v>
      </c>
      <c r="Y240" s="135">
        <v>0.21615995573054952</v>
      </c>
      <c r="Z240" s="135">
        <v>5.1637760869565215</v>
      </c>
      <c r="AA240" s="135">
        <v>14.869565217391305</v>
      </c>
      <c r="AB240" s="135">
        <v>10.747897060860938</v>
      </c>
      <c r="AI240" s="272"/>
    </row>
    <row r="241" spans="4:35" s="277" customFormat="1" x14ac:dyDescent="0.35">
      <c r="D241" s="275" t="s">
        <v>552</v>
      </c>
      <c r="E241" s="164">
        <v>2.0980326666666675</v>
      </c>
      <c r="F241" s="164">
        <v>6.3054493333333328</v>
      </c>
      <c r="G241" s="164">
        <v>0.25538134118500017</v>
      </c>
      <c r="H241" s="164">
        <v>0.74461865881499989</v>
      </c>
      <c r="I241" s="164">
        <v>0.58865777028735056</v>
      </c>
      <c r="J241" s="164">
        <v>0.12257642211987826</v>
      </c>
      <c r="K241" s="164">
        <v>8.4034820000000003</v>
      </c>
      <c r="L241" s="164">
        <v>17.866666666666667</v>
      </c>
      <c r="M241" s="164">
        <v>9.3939694485022489</v>
      </c>
      <c r="S241" s="276" t="s">
        <v>539</v>
      </c>
      <c r="T241" s="135">
        <v>1.5920055000000009</v>
      </c>
      <c r="U241" s="135">
        <v>4.3186384999999996</v>
      </c>
      <c r="V241" s="135">
        <v>0.2702303286700985</v>
      </c>
      <c r="W241" s="135">
        <v>0.72976967132990134</v>
      </c>
      <c r="X241" s="135">
        <v>0.73481984085459495</v>
      </c>
      <c r="Y241" s="135">
        <v>0.19183996684860133</v>
      </c>
      <c r="Z241" s="135">
        <v>5.9106439999999996</v>
      </c>
      <c r="AA241" s="135">
        <v>15.9</v>
      </c>
      <c r="AB241" s="135">
        <v>10.424839330300198</v>
      </c>
      <c r="AI241" s="272"/>
    </row>
    <row r="242" spans="4:35" s="277" customFormat="1" x14ac:dyDescent="0.35">
      <c r="D242" s="205" t="s">
        <v>529</v>
      </c>
      <c r="E242" s="277">
        <v>1.3355157142857195</v>
      </c>
      <c r="F242" s="277">
        <v>6.6026778571428526</v>
      </c>
      <c r="G242" s="277">
        <v>0.17219213283111542</v>
      </c>
      <c r="H242" s="277">
        <v>0.82780786716888444</v>
      </c>
      <c r="I242" s="277">
        <v>1.1992675918326186</v>
      </c>
      <c r="J242" s="277">
        <v>0.15801660175118862</v>
      </c>
      <c r="K242" s="277">
        <v>7.9381935714285721</v>
      </c>
      <c r="L242" s="277">
        <v>14.928571428571429</v>
      </c>
      <c r="M242" s="277">
        <v>13.573253475405769</v>
      </c>
      <c r="S242" s="205" t="s">
        <v>529</v>
      </c>
      <c r="T242" s="135">
        <v>1.7980268421052645</v>
      </c>
      <c r="U242" s="135">
        <v>4.2653057894736834</v>
      </c>
      <c r="V242" s="135">
        <v>0.29881553613827527</v>
      </c>
      <c r="W242" s="135">
        <v>0.70118446386172484</v>
      </c>
      <c r="X242" s="135">
        <v>0.55840219432208149</v>
      </c>
      <c r="Y242" s="135">
        <v>0.16633175624418847</v>
      </c>
      <c r="Z242" s="135">
        <v>6.0633326315789482</v>
      </c>
      <c r="AA242" s="135">
        <v>11.526315789473685</v>
      </c>
      <c r="AB242" s="135">
        <v>6.409682144155231</v>
      </c>
      <c r="AI242" s="272"/>
    </row>
    <row r="243" spans="4:35" s="277" customFormat="1" x14ac:dyDescent="0.35">
      <c r="D243" s="236" t="s">
        <v>551</v>
      </c>
      <c r="E243" s="135">
        <v>2.5199384210526312</v>
      </c>
      <c r="F243" s="135">
        <v>3.795851578947369</v>
      </c>
      <c r="G243" s="135">
        <v>0.41756967273413131</v>
      </c>
      <c r="H243" s="135">
        <v>0.58243032726586885</v>
      </c>
      <c r="I243" s="135">
        <v>0.43223978084912834</v>
      </c>
      <c r="J243" s="135">
        <v>0.16678936983604872</v>
      </c>
      <c r="K243" s="135">
        <v>6.3157899999999998</v>
      </c>
      <c r="L243" s="135">
        <v>20.842105263157894</v>
      </c>
      <c r="M243" s="135">
        <v>8.5127041407608921</v>
      </c>
      <c r="N243" s="135"/>
      <c r="O243" s="135"/>
      <c r="P243" s="135"/>
      <c r="Q243" s="135"/>
      <c r="R243" s="135"/>
      <c r="S243" s="237" t="s">
        <v>534</v>
      </c>
      <c r="T243" s="135">
        <v>1.8284227777777788</v>
      </c>
      <c r="U243" s="135">
        <v>4.8262066666666659</v>
      </c>
      <c r="V243" s="135">
        <v>0.28721507073094987</v>
      </c>
      <c r="W243" s="135">
        <v>0.71278492926905013</v>
      </c>
      <c r="X243" s="135">
        <v>0.54845660526983364</v>
      </c>
      <c r="Y243" s="135">
        <v>0.1569546748230356</v>
      </c>
      <c r="Z243" s="135">
        <v>6.6546294444444447</v>
      </c>
      <c r="AA243" s="135">
        <v>15.166666666666666</v>
      </c>
      <c r="AB243" s="135">
        <v>8.2953664075568252</v>
      </c>
      <c r="AI243" s="272"/>
    </row>
    <row r="244" spans="4:35" s="277" customFormat="1" x14ac:dyDescent="0.35">
      <c r="D244" s="205" t="s">
        <v>529</v>
      </c>
      <c r="E244" s="135">
        <v>2.6487656250000011</v>
      </c>
      <c r="F244" s="135">
        <v>4.5729474999999988</v>
      </c>
      <c r="G244" s="135">
        <v>0.3655784699357868</v>
      </c>
      <c r="H244" s="135">
        <v>0.6344215300642132</v>
      </c>
      <c r="I244" s="135">
        <v>0.48521804244526368</v>
      </c>
      <c r="J244" s="135">
        <v>0.14690433617556611</v>
      </c>
      <c r="K244" s="135">
        <v>7.221713125</v>
      </c>
      <c r="L244" s="135">
        <v>22.3125</v>
      </c>
      <c r="M244" s="135">
        <v>8.8600139014316017</v>
      </c>
      <c r="N244" s="135"/>
      <c r="O244" s="135"/>
      <c r="P244" s="135"/>
      <c r="Q244" s="135"/>
      <c r="R244" s="135"/>
      <c r="S244" s="205" t="s">
        <v>529</v>
      </c>
      <c r="T244" s="135">
        <v>2.0718518749999992</v>
      </c>
      <c r="U244" s="135">
        <v>4.8604950000000011</v>
      </c>
      <c r="V244" s="135">
        <v>0.30135315166840404</v>
      </c>
      <c r="W244" s="135">
        <v>0.69864684833159596</v>
      </c>
      <c r="X244" s="135">
        <v>0.49593689047706713</v>
      </c>
      <c r="Y244" s="135">
        <v>0.14628286506969071</v>
      </c>
      <c r="Z244" s="135">
        <v>6.9323468750000004</v>
      </c>
      <c r="AA244" s="135">
        <v>22.0625</v>
      </c>
      <c r="AB244" s="135">
        <v>10.665037752079431</v>
      </c>
      <c r="AI244" s="272"/>
    </row>
    <row r="245" spans="4:35" s="277" customFormat="1" x14ac:dyDescent="0.35">
      <c r="D245" s="196" t="s">
        <v>550</v>
      </c>
      <c r="E245" s="135">
        <v>2.7870899999999996</v>
      </c>
      <c r="F245" s="135">
        <v>4.6291105882352941</v>
      </c>
      <c r="G245" s="135">
        <v>0.40349848884434736</v>
      </c>
      <c r="H245" s="135">
        <v>0.59650151115565275</v>
      </c>
      <c r="I245" s="135">
        <v>0.4223128825744788</v>
      </c>
      <c r="J245" s="135">
        <v>0.14847533999728707</v>
      </c>
      <c r="K245" s="135">
        <v>7.4162005882352942</v>
      </c>
      <c r="L245" s="135">
        <v>30.823529411764707</v>
      </c>
      <c r="M245" s="135">
        <v>11.244660275490707</v>
      </c>
      <c r="N245" s="135"/>
      <c r="O245" s="135"/>
      <c r="P245" s="135"/>
      <c r="Q245" s="135"/>
      <c r="R245" s="135"/>
      <c r="S245" s="205" t="s">
        <v>533</v>
      </c>
      <c r="T245" s="135">
        <v>1.4645147368421068</v>
      </c>
      <c r="U245" s="135">
        <v>4.7033936842105248</v>
      </c>
      <c r="V245" s="135">
        <v>0.2279988123066535</v>
      </c>
      <c r="W245" s="135">
        <v>0.77200118769334647</v>
      </c>
      <c r="X245" s="135">
        <v>1.1090554737245806</v>
      </c>
      <c r="Y245" s="135">
        <v>0.20522901282058803</v>
      </c>
      <c r="Z245" s="135">
        <v>6.1679084210526325</v>
      </c>
      <c r="AA245" s="135">
        <v>13.789473684210526</v>
      </c>
      <c r="AB245" s="135">
        <v>11.138330222118292</v>
      </c>
      <c r="AI245" s="272"/>
    </row>
    <row r="246" spans="4:35" s="277" customFormat="1" x14ac:dyDescent="0.35">
      <c r="D246" s="205" t="s">
        <v>529</v>
      </c>
      <c r="E246" s="135">
        <v>1.4518205882352879</v>
      </c>
      <c r="F246" s="135">
        <v>5.0896335294117723</v>
      </c>
      <c r="G246" s="135">
        <v>0.23252977312999756</v>
      </c>
      <c r="H246" s="135">
        <v>0.76747022687000244</v>
      </c>
      <c r="I246" s="135">
        <v>0.90104678484873246</v>
      </c>
      <c r="J246" s="135">
        <v>0.17657463266386778</v>
      </c>
      <c r="K246" s="135">
        <v>6.54145411764706</v>
      </c>
      <c r="L246" s="135">
        <v>15.764705882352942</v>
      </c>
      <c r="M246" s="135">
        <v>12.547162308983145</v>
      </c>
      <c r="N246" s="135"/>
      <c r="O246" s="135"/>
      <c r="P246" s="135"/>
      <c r="Q246" s="135"/>
      <c r="R246" s="135"/>
      <c r="S246" s="205"/>
      <c r="T246" s="135"/>
      <c r="U246" s="135"/>
      <c r="V246" s="135"/>
      <c r="W246" s="135"/>
      <c r="X246" s="135"/>
      <c r="Y246" s="135"/>
      <c r="Z246" s="135"/>
      <c r="AA246" s="135"/>
      <c r="AB246" s="135"/>
      <c r="AI246" s="272"/>
    </row>
    <row r="247" spans="4:35" s="277" customFormat="1" x14ac:dyDescent="0.35">
      <c r="D247" s="196" t="s">
        <v>803</v>
      </c>
      <c r="E247" s="135">
        <v>0.73847622222222209</v>
      </c>
      <c r="F247" s="135">
        <v>1.9851264444444445</v>
      </c>
      <c r="G247" s="135">
        <v>0.27561267838821907</v>
      </c>
      <c r="H247" s="135">
        <v>0.72438732161178088</v>
      </c>
      <c r="I247" s="135">
        <v>2.307451000720556</v>
      </c>
      <c r="J247" s="135">
        <v>0.38389048657475955</v>
      </c>
      <c r="K247" s="135">
        <v>2.7236026666666664</v>
      </c>
      <c r="L247" s="135">
        <v>10.488888888888889</v>
      </c>
      <c r="M247" s="135">
        <v>16.119157642312768</v>
      </c>
      <c r="N247" s="135"/>
      <c r="O247" s="135"/>
      <c r="P247" s="135"/>
      <c r="Q247" s="135"/>
      <c r="R247" s="135"/>
      <c r="S247" s="205"/>
      <c r="T247" s="135"/>
      <c r="U247" s="135"/>
      <c r="V247" s="135"/>
      <c r="W247" s="135"/>
      <c r="X247" s="135"/>
      <c r="Y247" s="135"/>
      <c r="Z247" s="135"/>
      <c r="AA247" s="135"/>
      <c r="AB247" s="135"/>
      <c r="AI247" s="272"/>
    </row>
    <row r="248" spans="4:35" s="277" customFormat="1" x14ac:dyDescent="0.35">
      <c r="D248" s="205" t="s">
        <v>529</v>
      </c>
      <c r="E248" s="135">
        <v>0.89969454545454464</v>
      </c>
      <c r="F248" s="135">
        <v>4.3848186363636366</v>
      </c>
      <c r="G248" s="135">
        <v>0.24852398326222574</v>
      </c>
      <c r="H248" s="135">
        <v>0.7514760167377742</v>
      </c>
      <c r="I248" s="135">
        <v>1.3956875439589613</v>
      </c>
      <c r="J248" s="135">
        <v>0.27456904122258802</v>
      </c>
      <c r="K248" s="135">
        <v>5.2845131818181805</v>
      </c>
      <c r="L248" s="135">
        <v>12.818181818181818</v>
      </c>
      <c r="M248" s="135">
        <v>14.562463575686856</v>
      </c>
      <c r="N248" s="135"/>
      <c r="O248" s="135"/>
      <c r="P248" s="135"/>
      <c r="Q248" s="135"/>
      <c r="R248" s="135"/>
      <c r="S248" s="205"/>
      <c r="T248" s="135"/>
      <c r="U248" s="135"/>
      <c r="V248" s="135"/>
      <c r="W248" s="135"/>
      <c r="X248" s="135"/>
      <c r="Y248" s="135"/>
      <c r="Z248" s="135"/>
      <c r="AA248" s="135"/>
      <c r="AB248" s="135"/>
      <c r="AI248" s="272"/>
    </row>
    <row r="249" spans="4:35" s="277" customFormat="1" x14ac:dyDescent="0.35">
      <c r="D249" s="196" t="s">
        <v>804</v>
      </c>
      <c r="E249" s="135">
        <v>1.0339139024390238</v>
      </c>
      <c r="F249" s="135">
        <v>1.8687895121951228</v>
      </c>
      <c r="G249" s="135">
        <v>0.33648741145528083</v>
      </c>
      <c r="H249" s="135">
        <v>0.66351258854471895</v>
      </c>
      <c r="I249" s="135">
        <v>1.696783988813156</v>
      </c>
      <c r="J249" s="135">
        <v>0.38602460687404494</v>
      </c>
      <c r="K249" s="135">
        <v>2.9027034146341464</v>
      </c>
      <c r="L249" s="135">
        <v>14.341463414634147</v>
      </c>
      <c r="M249" s="135">
        <v>15.276358711702487</v>
      </c>
      <c r="N249" s="135"/>
      <c r="O249" s="135"/>
      <c r="P249" s="135"/>
      <c r="Q249" s="135"/>
      <c r="R249" s="135"/>
      <c r="S249" s="205"/>
      <c r="T249" s="135"/>
      <c r="U249" s="135"/>
      <c r="V249" s="135"/>
      <c r="W249" s="135"/>
      <c r="X249" s="135"/>
      <c r="Y249" s="135"/>
      <c r="Z249" s="135"/>
      <c r="AA249" s="135"/>
      <c r="AB249" s="135"/>
      <c r="AI249" s="272"/>
    </row>
    <row r="250" spans="4:35" s="277" customFormat="1" x14ac:dyDescent="0.35">
      <c r="D250" s="196"/>
      <c r="E250" s="135"/>
      <c r="F250" s="135"/>
      <c r="G250" s="135"/>
      <c r="H250" s="135"/>
      <c r="I250" s="135"/>
      <c r="J250" s="135"/>
      <c r="K250" s="135"/>
      <c r="L250" s="135"/>
      <c r="M250" s="135"/>
      <c r="N250" s="135"/>
      <c r="O250" s="135"/>
      <c r="P250" s="135"/>
      <c r="Q250" s="135"/>
      <c r="R250" s="135"/>
      <c r="S250" s="205"/>
      <c r="T250" s="135"/>
      <c r="U250" s="135"/>
      <c r="V250" s="135"/>
      <c r="W250" s="135"/>
      <c r="X250" s="135"/>
      <c r="Y250" s="135"/>
      <c r="Z250" s="135"/>
      <c r="AA250" s="135"/>
      <c r="AB250" s="135"/>
      <c r="AI250" s="272"/>
    </row>
    <row r="251" spans="4:35" s="277" customFormat="1" x14ac:dyDescent="0.35">
      <c r="D251" s="196"/>
      <c r="E251" s="135"/>
      <c r="F251" s="135"/>
      <c r="G251" s="135"/>
      <c r="H251" s="135"/>
      <c r="I251" s="135"/>
      <c r="J251" s="135"/>
      <c r="K251" s="135"/>
      <c r="L251" s="135"/>
      <c r="M251" s="135"/>
      <c r="N251" s="135"/>
      <c r="O251" s="135"/>
      <c r="P251" s="135"/>
      <c r="Q251" s="135"/>
      <c r="R251" s="135"/>
      <c r="S251" s="205"/>
      <c r="T251" s="135"/>
      <c r="U251" s="135"/>
      <c r="V251" s="135"/>
      <c r="W251" s="135"/>
      <c r="X251" s="135"/>
      <c r="Y251" s="135"/>
      <c r="Z251" s="135"/>
      <c r="AA251" s="135"/>
      <c r="AB251" s="135"/>
      <c r="AI251" s="272"/>
    </row>
    <row r="252" spans="4:35" s="277" customFormat="1" x14ac:dyDescent="0.35">
      <c r="D252" s="205" t="s">
        <v>577</v>
      </c>
      <c r="E252" s="135"/>
      <c r="F252" s="135"/>
      <c r="G252" s="135"/>
      <c r="H252" s="135"/>
      <c r="I252" s="135"/>
      <c r="J252" s="135"/>
      <c r="K252" s="135"/>
      <c r="L252" s="135"/>
      <c r="M252" s="135"/>
      <c r="N252" s="135"/>
      <c r="O252" s="135"/>
      <c r="P252" s="135"/>
      <c r="Q252" s="135"/>
      <c r="R252" s="135"/>
      <c r="S252" s="205" t="s">
        <v>577</v>
      </c>
      <c r="T252" s="135"/>
      <c r="U252" s="135"/>
      <c r="V252" s="135"/>
      <c r="W252" s="135"/>
      <c r="X252" s="135"/>
      <c r="Y252" s="135"/>
      <c r="Z252" s="135"/>
      <c r="AA252" s="135"/>
      <c r="AB252" s="135"/>
      <c r="AI252" s="272"/>
    </row>
    <row r="253" spans="4:35" s="277" customFormat="1" x14ac:dyDescent="0.35">
      <c r="D253" s="196" t="s">
        <v>530</v>
      </c>
      <c r="E253" s="135">
        <f t="shared" ref="E253:M253" si="393">1-((E240-E240)/E240)</f>
        <v>1</v>
      </c>
      <c r="F253" s="135">
        <f t="shared" si="393"/>
        <v>1</v>
      </c>
      <c r="G253" s="135">
        <f t="shared" si="393"/>
        <v>1</v>
      </c>
      <c r="H253" s="135">
        <f t="shared" si="393"/>
        <v>1</v>
      </c>
      <c r="I253" s="135">
        <f t="shared" si="393"/>
        <v>1</v>
      </c>
      <c r="J253" s="135">
        <f t="shared" si="393"/>
        <v>1</v>
      </c>
      <c r="K253" s="135">
        <f t="shared" si="393"/>
        <v>1</v>
      </c>
      <c r="L253" s="135">
        <f t="shared" si="393"/>
        <v>1</v>
      </c>
      <c r="M253" s="135">
        <f t="shared" si="393"/>
        <v>1</v>
      </c>
      <c r="N253" s="135"/>
      <c r="O253" s="135"/>
      <c r="P253" s="135"/>
      <c r="Q253" s="135"/>
      <c r="R253" s="135"/>
      <c r="S253" s="196" t="s">
        <v>530</v>
      </c>
      <c r="T253" s="135">
        <f t="shared" ref="T253:AB253" si="394">1-((T240-T240)/T240)</f>
        <v>1</v>
      </c>
      <c r="U253" s="135">
        <f t="shared" si="394"/>
        <v>1</v>
      </c>
      <c r="V253" s="135">
        <f t="shared" si="394"/>
        <v>1</v>
      </c>
      <c r="W253" s="135">
        <f t="shared" si="394"/>
        <v>1</v>
      </c>
      <c r="X253" s="135">
        <f t="shared" si="394"/>
        <v>1</v>
      </c>
      <c r="Y253" s="135">
        <f t="shared" si="394"/>
        <v>1</v>
      </c>
      <c r="Z253" s="135">
        <f t="shared" si="394"/>
        <v>1</v>
      </c>
      <c r="AA253" s="135">
        <f t="shared" si="394"/>
        <v>1</v>
      </c>
      <c r="AB253" s="135">
        <f t="shared" si="394"/>
        <v>1</v>
      </c>
      <c r="AI253" s="272"/>
    </row>
    <row r="254" spans="4:35" s="277" customFormat="1" x14ac:dyDescent="0.35">
      <c r="D254" s="275" t="s">
        <v>552</v>
      </c>
      <c r="E254" s="135">
        <f t="shared" ref="E254:M254" si="395">1-((E240-E241)/E240)</f>
        <v>1.1396451927285822</v>
      </c>
      <c r="F254" s="135">
        <f t="shared" si="395"/>
        <v>1.2387610440033758</v>
      </c>
      <c r="G254" s="135">
        <f t="shared" si="395"/>
        <v>0.95568877057452062</v>
      </c>
      <c r="H254" s="135">
        <f t="shared" si="395"/>
        <v>1.0161589906451516</v>
      </c>
      <c r="I254" s="135">
        <f t="shared" si="395"/>
        <v>0.85832521932976513</v>
      </c>
      <c r="J254" s="135">
        <f t="shared" si="395"/>
        <v>0.82657820365426415</v>
      </c>
      <c r="K254" s="135">
        <f t="shared" si="395"/>
        <v>1.2124350423477588</v>
      </c>
      <c r="L254" s="135">
        <f t="shared" si="395"/>
        <v>1.2375180375180375</v>
      </c>
      <c r="M254" s="135">
        <f t="shared" si="395"/>
        <v>1.0804826586001994</v>
      </c>
      <c r="N254" s="135"/>
      <c r="O254" s="135"/>
      <c r="P254" s="135"/>
      <c r="Q254" s="135"/>
      <c r="R254" s="135"/>
      <c r="S254" s="276" t="s">
        <v>539</v>
      </c>
      <c r="T254" s="135">
        <f t="shared" ref="T254:AB254" si="396">1-((T240-T241)/T240)</f>
        <v>1.116280657522887</v>
      </c>
      <c r="U254" s="135">
        <f t="shared" si="396"/>
        <v>1.1554556304633461</v>
      </c>
      <c r="V254" s="135">
        <f t="shared" si="396"/>
        <v>0.93907139361709391</v>
      </c>
      <c r="W254" s="135">
        <f t="shared" si="396"/>
        <v>1.0246168457517908</v>
      </c>
      <c r="X254" s="135">
        <f t="shared" si="396"/>
        <v>0.893127472359736</v>
      </c>
      <c r="Y254" s="135">
        <f t="shared" si="396"/>
        <v>0.88749077598690918</v>
      </c>
      <c r="Z254" s="135">
        <f t="shared" si="396"/>
        <v>1.1446359990182446</v>
      </c>
      <c r="AA254" s="135">
        <f t="shared" si="396"/>
        <v>1.0692982456140352</v>
      </c>
      <c r="AB254" s="135">
        <f t="shared" si="396"/>
        <v>0.96994223812049973</v>
      </c>
      <c r="AI254" s="272"/>
    </row>
    <row r="255" spans="4:35" s="277" customFormat="1" x14ac:dyDescent="0.35">
      <c r="D255" s="275" t="s">
        <v>530</v>
      </c>
      <c r="E255" s="135">
        <f>1-((E240-E242)/E240)</f>
        <v>0.72544822003051035</v>
      </c>
      <c r="F255" s="135">
        <f t="shared" ref="F255:M255" si="397">1-((F240-F242)/F240)</f>
        <v>1.2971542047437887</v>
      </c>
      <c r="G255" s="135">
        <f t="shared" si="397"/>
        <v>0.64437788197205537</v>
      </c>
      <c r="H255" s="135">
        <f t="shared" si="397"/>
        <v>1.1296848350390869</v>
      </c>
      <c r="I255" s="135">
        <f t="shared" si="397"/>
        <v>1.7486588485739913</v>
      </c>
      <c r="J255" s="135">
        <f t="shared" si="397"/>
        <v>1.0655644581900972</v>
      </c>
      <c r="K255" s="135">
        <f t="shared" si="397"/>
        <v>1.145304298734704</v>
      </c>
      <c r="L255" s="135">
        <f t="shared" si="397"/>
        <v>1.0340136054421769</v>
      </c>
      <c r="M255" s="135">
        <f t="shared" si="397"/>
        <v>1.5611786988831517</v>
      </c>
      <c r="N255" s="135"/>
      <c r="O255" s="135"/>
      <c r="P255" s="135"/>
      <c r="Q255" s="135"/>
      <c r="R255" s="135"/>
      <c r="S255" s="196" t="s">
        <v>530</v>
      </c>
      <c r="T255" s="135">
        <f>1-((T240-T242)/T240)</f>
        <v>1.2607384745524208</v>
      </c>
      <c r="U255" s="135">
        <f t="shared" ref="U255:AB255" si="398">1-((U240-U242)/U240)</f>
        <v>1.1411864156018789</v>
      </c>
      <c r="V255" s="135">
        <f t="shared" si="398"/>
        <v>1.0384072111253706</v>
      </c>
      <c r="W255" s="135">
        <f t="shared" si="398"/>
        <v>0.98448242216327864</v>
      </c>
      <c r="X255" s="135">
        <f t="shared" si="398"/>
        <v>0.67870287742230073</v>
      </c>
      <c r="Y255" s="135">
        <f t="shared" si="398"/>
        <v>0.76948459617343024</v>
      </c>
      <c r="Z255" s="135">
        <f t="shared" si="398"/>
        <v>1.1742051803707501</v>
      </c>
      <c r="AA255" s="135">
        <f t="shared" si="398"/>
        <v>0.7751615881809788</v>
      </c>
      <c r="AB255" s="135">
        <f t="shared" si="398"/>
        <v>0.59636616427007327</v>
      </c>
      <c r="AI255" s="272"/>
    </row>
    <row r="256" spans="4:35" s="277" customFormat="1" x14ac:dyDescent="0.35">
      <c r="D256" s="196" t="s">
        <v>551</v>
      </c>
      <c r="E256" s="135">
        <f>1-((E240-E243)/E240)</f>
        <v>1.3688231614083626</v>
      </c>
      <c r="F256" s="135">
        <f t="shared" ref="F256:M256" si="399">1-((F240-F243)/F240)</f>
        <v>0.74572846695652439</v>
      </c>
      <c r="G256" s="135">
        <f t="shared" si="399"/>
        <v>1.5626303993579547</v>
      </c>
      <c r="H256" s="135">
        <f t="shared" si="399"/>
        <v>0.79482538675229919</v>
      </c>
      <c r="I256" s="135">
        <f t="shared" si="399"/>
        <v>0.63025126555158639</v>
      </c>
      <c r="J256" s="135">
        <f t="shared" si="399"/>
        <v>1.1247224818887116</v>
      </c>
      <c r="K256" s="135">
        <f t="shared" si="399"/>
        <v>0.91122764541050383</v>
      </c>
      <c r="L256" s="135">
        <f t="shared" si="399"/>
        <v>1.4436090225563909</v>
      </c>
      <c r="M256" s="135">
        <f t="shared" si="399"/>
        <v>0.97912062119307119</v>
      </c>
      <c r="N256" s="135"/>
      <c r="O256" s="135"/>
      <c r="P256" s="135"/>
      <c r="Q256" s="135"/>
      <c r="R256" s="135"/>
      <c r="S256" s="205" t="s">
        <v>534</v>
      </c>
      <c r="T256" s="135">
        <f>1-((T240-T243)/T240)</f>
        <v>1.2820514631435642</v>
      </c>
      <c r="U256" s="135">
        <f t="shared" ref="U256:AB256" si="400">1-((U240-U243)/U240)</f>
        <v>1.2912559517958582</v>
      </c>
      <c r="V256" s="135">
        <f t="shared" si="400"/>
        <v>0.9980946922816285</v>
      </c>
      <c r="W256" s="135">
        <f t="shared" si="400"/>
        <v>1.0007697971281027</v>
      </c>
      <c r="X256" s="135">
        <f t="shared" si="400"/>
        <v>0.66661463712515223</v>
      </c>
      <c r="Y256" s="135">
        <f t="shared" si="400"/>
        <v>0.72610430684342275</v>
      </c>
      <c r="Z256" s="135">
        <f t="shared" si="400"/>
        <v>1.2887137885885012</v>
      </c>
      <c r="AA256" s="135">
        <f t="shared" si="400"/>
        <v>1.019980506822612</v>
      </c>
      <c r="AB256" s="135">
        <f t="shared" si="400"/>
        <v>0.77181297518794267</v>
      </c>
      <c r="AI256" s="272"/>
    </row>
    <row r="257" spans="2:35" s="277" customFormat="1" x14ac:dyDescent="0.35">
      <c r="D257" s="196" t="s">
        <v>530</v>
      </c>
      <c r="E257" s="135">
        <f>1-((E240-E244)/E240)</f>
        <v>1.4388017208483099</v>
      </c>
      <c r="F257" s="135">
        <f t="shared" ref="F257:M257" si="401">1-((F240-F244)/F240)</f>
        <v>0.89839580334522695</v>
      </c>
      <c r="G257" s="135">
        <f t="shared" si="401"/>
        <v>1.3680687745638922</v>
      </c>
      <c r="H257" s="135">
        <f t="shared" si="401"/>
        <v>0.86577623861796393</v>
      </c>
      <c r="I257" s="135">
        <f t="shared" si="401"/>
        <v>0.70749916798225554</v>
      </c>
      <c r="J257" s="135">
        <f t="shared" si="401"/>
        <v>0.99063033660965016</v>
      </c>
      <c r="K257" s="135">
        <f t="shared" si="401"/>
        <v>1.0419321489036022</v>
      </c>
      <c r="L257" s="135">
        <f t="shared" si="401"/>
        <v>1.5454545454545454</v>
      </c>
      <c r="M257" s="135">
        <f t="shared" si="401"/>
        <v>1.0190677570257429</v>
      </c>
      <c r="S257" s="196" t="s">
        <v>530</v>
      </c>
      <c r="T257" s="135">
        <f>1-((T240-T244)/T240)</f>
        <v>1.4527388085751114</v>
      </c>
      <c r="U257" s="135">
        <f t="shared" ref="U257:AB257" si="402">1-((U240-U244)/U240)</f>
        <v>1.3004298263420158</v>
      </c>
      <c r="V257" s="135">
        <f t="shared" si="402"/>
        <v>1.047225622308416</v>
      </c>
      <c r="W257" s="135">
        <f t="shared" si="402"/>
        <v>0.98091953962326695</v>
      </c>
      <c r="X257" s="135">
        <f t="shared" si="402"/>
        <v>0.60278021470759047</v>
      </c>
      <c r="Y257" s="135">
        <f t="shared" si="402"/>
        <v>0.67673434043462288</v>
      </c>
      <c r="Z257" s="135">
        <f t="shared" si="402"/>
        <v>1.3424956385136089</v>
      </c>
      <c r="AA257" s="135">
        <f t="shared" si="402"/>
        <v>1.483735380116959</v>
      </c>
      <c r="AB257" s="135">
        <f t="shared" si="402"/>
        <v>0.99229064920213617</v>
      </c>
      <c r="AI257" s="272"/>
    </row>
    <row r="258" spans="2:35" s="277" customFormat="1" x14ac:dyDescent="0.35">
      <c r="D258" s="196" t="s">
        <v>550</v>
      </c>
      <c r="E258" s="135">
        <f>1-((E240-E245)/E240)</f>
        <v>1.5139391157566513</v>
      </c>
      <c r="F258" s="135">
        <f t="shared" ref="F258:M258" si="403">1-((F240-F245)/F240)</f>
        <v>0.90942953657166292</v>
      </c>
      <c r="G258" s="135">
        <f t="shared" si="403"/>
        <v>1.5099731755774042</v>
      </c>
      <c r="H258" s="135">
        <f t="shared" si="403"/>
        <v>0.81402791391080487</v>
      </c>
      <c r="I258" s="135">
        <f t="shared" si="403"/>
        <v>0.61577679911467242</v>
      </c>
      <c r="J258" s="135">
        <f t="shared" si="403"/>
        <v>1.0012241971126277</v>
      </c>
      <c r="K258" s="135">
        <f t="shared" si="403"/>
        <v>1.0699923524863304</v>
      </c>
      <c r="L258" s="135">
        <f t="shared" si="403"/>
        <v>2.1349630761395471</v>
      </c>
      <c r="M258" s="135">
        <f t="shared" si="403"/>
        <v>1.293346811070943</v>
      </c>
      <c r="S258" s="205" t="s">
        <v>533</v>
      </c>
      <c r="T258" s="135">
        <f>1-((T240-T245)/T240)</f>
        <v>1.0268868250731948</v>
      </c>
      <c r="U258" s="135">
        <f t="shared" ref="U258:AB258" si="404">1-((U240-U245)/U240)</f>
        <v>1.2583972274379511</v>
      </c>
      <c r="V258" s="135">
        <f t="shared" si="404"/>
        <v>0.79231359214767039</v>
      </c>
      <c r="W258" s="135">
        <f t="shared" si="404"/>
        <v>1.083911065267344</v>
      </c>
      <c r="X258" s="135">
        <f t="shared" si="404"/>
        <v>1.3479874343109475</v>
      </c>
      <c r="Y258" s="135">
        <f t="shared" si="404"/>
        <v>0.94943123080767433</v>
      </c>
      <c r="Z258" s="135">
        <f t="shared" si="404"/>
        <v>1.1944569859705005</v>
      </c>
      <c r="AA258" s="135">
        <f t="shared" si="404"/>
        <v>0.92736226531240373</v>
      </c>
      <c r="AB258" s="135">
        <f t="shared" si="404"/>
        <v>1.0363264701035459</v>
      </c>
      <c r="AI258" s="272"/>
    </row>
    <row r="259" spans="2:35" s="277" customFormat="1" x14ac:dyDescent="0.35">
      <c r="D259" s="196" t="s">
        <v>530</v>
      </c>
      <c r="E259" s="135">
        <f>1-((E240-E246)/E240)</f>
        <v>0.78862468653334961</v>
      </c>
      <c r="F259" s="135">
        <f t="shared" ref="F259:M259" si="405">1-((F240-F246)/F240)</f>
        <v>0.99990332348855815</v>
      </c>
      <c r="G259" s="135">
        <f t="shared" si="405"/>
        <v>0.87017356856778871</v>
      </c>
      <c r="H259" s="135">
        <f t="shared" si="405"/>
        <v>1.0473438475575267</v>
      </c>
      <c r="I259" s="135">
        <f t="shared" si="405"/>
        <v>1.3138214056940769</v>
      </c>
      <c r="J259" s="135">
        <f t="shared" si="405"/>
        <v>1.1907081325597133</v>
      </c>
      <c r="K259" s="135">
        <f t="shared" si="405"/>
        <v>0.94378594493869739</v>
      </c>
      <c r="L259" s="135">
        <f t="shared" si="405"/>
        <v>1.0919276801629743</v>
      </c>
      <c r="M259" s="135">
        <f t="shared" si="405"/>
        <v>1.4431589717017674</v>
      </c>
      <c r="AI259" s="272"/>
    </row>
    <row r="260" spans="2:35" s="277" customFormat="1" x14ac:dyDescent="0.35">
      <c r="D260" s="196" t="s">
        <v>803</v>
      </c>
      <c r="E260" s="135">
        <f>1-((E240-E247)/E240)</f>
        <v>0.40113811856754655</v>
      </c>
      <c r="F260" s="135">
        <f t="shared" ref="F260:M260" si="406">1-((F240-F247)/F240)</f>
        <v>0.38999556999036644</v>
      </c>
      <c r="G260" s="135">
        <f t="shared" si="406"/>
        <v>1.0313985373456824</v>
      </c>
      <c r="H260" s="135">
        <f t="shared" si="406"/>
        <v>0.98854988503323804</v>
      </c>
      <c r="I260" s="135">
        <f t="shared" si="406"/>
        <v>3.3645073355939292</v>
      </c>
      <c r="J260" s="135">
        <f t="shared" si="406"/>
        <v>2.5887157032744472</v>
      </c>
      <c r="K260" s="135">
        <f t="shared" si="406"/>
        <v>0.39295512437564195</v>
      </c>
      <c r="L260" s="135">
        <f t="shared" si="406"/>
        <v>0.72650312650312654</v>
      </c>
      <c r="M260" s="135">
        <f t="shared" si="406"/>
        <v>1.8540054232919247</v>
      </c>
      <c r="AI260" s="272"/>
    </row>
    <row r="261" spans="2:35" s="277" customFormat="1" x14ac:dyDescent="0.35">
      <c r="D261" s="196" t="s">
        <v>530</v>
      </c>
      <c r="E261" s="135">
        <f>1-((E240-E248)/E240)</f>
        <v>0.48871143902656022</v>
      </c>
      <c r="F261" s="135">
        <f t="shared" ref="F261:M261" si="407">1-((F240-F248)/F240)</f>
        <v>0.86143623152004989</v>
      </c>
      <c r="G261" s="135">
        <f t="shared" si="407"/>
        <v>0.93002714654123497</v>
      </c>
      <c r="H261" s="135">
        <f t="shared" si="407"/>
        <v>1.0255170235426727</v>
      </c>
      <c r="I261" s="135">
        <f t="shared" si="407"/>
        <v>2.0350598900607748</v>
      </c>
      <c r="J261" s="135">
        <f t="shared" si="407"/>
        <v>1.8515207162017122</v>
      </c>
      <c r="K261" s="135">
        <f t="shared" si="407"/>
        <v>0.76243739956663381</v>
      </c>
      <c r="L261" s="135">
        <f t="shared" si="407"/>
        <v>0.88783943329397874</v>
      </c>
      <c r="M261" s="135">
        <f t="shared" si="407"/>
        <v>1.674956411800484</v>
      </c>
      <c r="AI261" s="272"/>
    </row>
    <row r="262" spans="2:35" s="277" customFormat="1" x14ac:dyDescent="0.35">
      <c r="D262" s="196" t="s">
        <v>804</v>
      </c>
      <c r="E262" s="135">
        <f>1-((E240-E249)/E240)</f>
        <v>0.56161900018551414</v>
      </c>
      <c r="F262" s="135">
        <f t="shared" ref="F262:M262" si="408">1-((F240-F249)/F240)</f>
        <v>0.36714015524815724</v>
      </c>
      <c r="G262" s="135">
        <f t="shared" si="408"/>
        <v>1.2592041340034597</v>
      </c>
      <c r="H262" s="135">
        <f t="shared" si="408"/>
        <v>0.90547594298663225</v>
      </c>
      <c r="I262" s="135">
        <f t="shared" si="408"/>
        <v>2.474090316759693</v>
      </c>
      <c r="J262" s="135">
        <f t="shared" si="408"/>
        <v>2.6031068667042314</v>
      </c>
      <c r="K262" s="135">
        <f t="shared" si="408"/>
        <v>0.41879536809205231</v>
      </c>
      <c r="L262" s="135">
        <f t="shared" si="408"/>
        <v>0.99334811529933487</v>
      </c>
      <c r="M262" s="135">
        <f t="shared" si="408"/>
        <v>1.7570677406431496</v>
      </c>
      <c r="AI262" s="272"/>
    </row>
    <row r="263" spans="2:35" s="277" customFormat="1" x14ac:dyDescent="0.35">
      <c r="AI263" s="272"/>
    </row>
    <row r="264" spans="2:35" s="303" customFormat="1" x14ac:dyDescent="0.35">
      <c r="AI264" s="272"/>
    </row>
    <row r="265" spans="2:35" s="277" customFormat="1" x14ac:dyDescent="0.35">
      <c r="AI265" s="272"/>
    </row>
    <row r="266" spans="2:35" s="277" customFormat="1" x14ac:dyDescent="0.35">
      <c r="D266" s="195" t="s">
        <v>732</v>
      </c>
      <c r="E266" s="135"/>
      <c r="F266" s="135"/>
      <c r="G266" s="135"/>
      <c r="H266" s="135"/>
      <c r="I266" s="135"/>
      <c r="J266" s="135"/>
      <c r="K266" s="135"/>
      <c r="L266" s="135"/>
      <c r="M266" s="135"/>
      <c r="N266" s="135"/>
      <c r="O266" s="135"/>
      <c r="P266" s="135"/>
      <c r="Q266" s="135"/>
      <c r="R266" s="135"/>
      <c r="S266" s="195" t="s">
        <v>732</v>
      </c>
      <c r="T266" s="135"/>
      <c r="U266" s="135"/>
      <c r="V266" s="135"/>
      <c r="W266" s="135"/>
      <c r="X266" s="135"/>
      <c r="Y266" s="135"/>
      <c r="Z266" s="135"/>
      <c r="AA266" s="135"/>
      <c r="AB266" s="135"/>
      <c r="AI266" s="272"/>
    </row>
    <row r="267" spans="2:35" s="277" customFormat="1" ht="16" thickBot="1" x14ac:dyDescent="0.4">
      <c r="D267" s="9" t="s">
        <v>444</v>
      </c>
      <c r="E267" s="9" t="s">
        <v>3</v>
      </c>
      <c r="F267" s="9" t="s">
        <v>4</v>
      </c>
      <c r="G267" s="9" t="s">
        <v>5</v>
      </c>
      <c r="H267" s="9" t="s">
        <v>6</v>
      </c>
      <c r="I267" s="9" t="s">
        <v>7</v>
      </c>
      <c r="J267" s="9" t="s">
        <v>8</v>
      </c>
      <c r="K267" s="9" t="s">
        <v>9</v>
      </c>
      <c r="L267" s="9" t="s">
        <v>10</v>
      </c>
      <c r="M267" s="9" t="s">
        <v>139</v>
      </c>
      <c r="N267" s="135"/>
      <c r="O267" s="135"/>
      <c r="P267" s="135"/>
      <c r="Q267" s="135"/>
      <c r="R267" s="135"/>
      <c r="S267" s="9" t="s">
        <v>444</v>
      </c>
      <c r="T267" s="9" t="s">
        <v>3</v>
      </c>
      <c r="U267" s="9" t="s">
        <v>4</v>
      </c>
      <c r="V267" s="9" t="s">
        <v>5</v>
      </c>
      <c r="W267" s="9" t="s">
        <v>6</v>
      </c>
      <c r="X267" s="9" t="s">
        <v>7</v>
      </c>
      <c r="Y267" s="9" t="s">
        <v>8</v>
      </c>
      <c r="Z267" s="9" t="s">
        <v>9</v>
      </c>
      <c r="AA267" s="9" t="s">
        <v>10</v>
      </c>
      <c r="AB267" s="9" t="s">
        <v>139</v>
      </c>
      <c r="AI267" s="272"/>
    </row>
    <row r="268" spans="2:35" s="277" customFormat="1" x14ac:dyDescent="0.35">
      <c r="D268" s="196" t="s">
        <v>530</v>
      </c>
      <c r="E268" s="135">
        <v>2.9071293749999989</v>
      </c>
      <c r="F268" s="277">
        <v>4.2440775000000013</v>
      </c>
      <c r="G268" s="135">
        <v>0.40954749317082095</v>
      </c>
      <c r="H268" s="135">
        <v>0.59045250682917905</v>
      </c>
      <c r="I268" s="135">
        <v>0.35213887654978049</v>
      </c>
      <c r="J268" s="135">
        <v>0.14129319211708599</v>
      </c>
      <c r="K268" s="135">
        <v>7.1512068749999997</v>
      </c>
      <c r="L268" s="135">
        <v>37.3125</v>
      </c>
      <c r="M268" s="135">
        <v>12.912750490450383</v>
      </c>
      <c r="N268" s="135"/>
      <c r="O268" s="135"/>
      <c r="P268" s="135"/>
      <c r="Q268" s="135"/>
      <c r="R268" s="135"/>
      <c r="S268" s="196" t="s">
        <v>530</v>
      </c>
      <c r="T268" s="164">
        <v>3.6606850000000004</v>
      </c>
      <c r="U268" s="164">
        <v>3.7000024999999996</v>
      </c>
      <c r="V268" s="164">
        <v>0.49521018018294088</v>
      </c>
      <c r="W268" s="164">
        <v>0.50478981981705917</v>
      </c>
      <c r="X268" s="164">
        <v>0.30192841444652996</v>
      </c>
      <c r="Y268" s="164">
        <v>0.138093670002047</v>
      </c>
      <c r="Z268" s="164">
        <v>7.3606875</v>
      </c>
      <c r="AA268" s="164">
        <v>25.15625</v>
      </c>
      <c r="AB268" s="164">
        <v>6.9472525354261432</v>
      </c>
      <c r="AI268" s="272"/>
    </row>
    <row r="269" spans="2:35" s="277" customFormat="1" x14ac:dyDescent="0.35">
      <c r="D269" s="236" t="s">
        <v>805</v>
      </c>
      <c r="E269" s="164">
        <v>4.0911955555555561</v>
      </c>
      <c r="F269" s="164">
        <v>3.5334566666666669</v>
      </c>
      <c r="G269" s="164">
        <v>0.54214079586338826</v>
      </c>
      <c r="H269" s="164">
        <v>0.4578592041366118</v>
      </c>
      <c r="I269" s="164">
        <v>0.25412325895171339</v>
      </c>
      <c r="J269" s="164">
        <v>0.13302365364177207</v>
      </c>
      <c r="K269" s="164">
        <v>7.6246522222222222</v>
      </c>
      <c r="L269" s="164">
        <v>27.185185185185187</v>
      </c>
      <c r="M269" s="164">
        <v>6.6924417349032854</v>
      </c>
      <c r="S269" s="237" t="s">
        <v>534</v>
      </c>
      <c r="T269" s="135">
        <v>3.1635631249999991</v>
      </c>
      <c r="U269" s="135">
        <v>4.2696168750000005</v>
      </c>
      <c r="V269" s="135">
        <v>0.42693134876615341</v>
      </c>
      <c r="W269" s="135">
        <v>0.57306865123384654</v>
      </c>
      <c r="X269" s="135">
        <v>0.33233829680552651</v>
      </c>
      <c r="Y269" s="135">
        <v>0.13545238878419041</v>
      </c>
      <c r="Z269" s="135">
        <v>7.4331800000000001</v>
      </c>
      <c r="AA269" s="135">
        <v>29.6875</v>
      </c>
      <c r="AB269" s="135">
        <v>9.3440589030502803</v>
      </c>
      <c r="AI269" s="272"/>
    </row>
    <row r="270" spans="2:35" s="277" customFormat="1" x14ac:dyDescent="0.35">
      <c r="B270" s="278" t="s">
        <v>806</v>
      </c>
      <c r="D270" s="275" t="s">
        <v>805</v>
      </c>
      <c r="E270" s="277">
        <v>2.9758399999999985</v>
      </c>
      <c r="F270" s="277">
        <v>2.9379782352941213</v>
      </c>
      <c r="G270" s="277">
        <v>0.51745690877488659</v>
      </c>
      <c r="H270" s="277">
        <v>0.48254309122511346</v>
      </c>
      <c r="I270" s="277">
        <v>0.35260357001377263</v>
      </c>
      <c r="J270" s="277">
        <v>0.17658657070272721</v>
      </c>
      <c r="K270" s="277">
        <v>5.9138182352941202</v>
      </c>
      <c r="L270" s="277">
        <v>20.625</v>
      </c>
      <c r="M270" s="277">
        <v>6.3805337420865262</v>
      </c>
      <c r="S270" s="276" t="s">
        <v>532</v>
      </c>
      <c r="T270" s="135">
        <v>3.1980457142857159</v>
      </c>
      <c r="U270" s="135">
        <v>4.8274864285714267</v>
      </c>
      <c r="V270" s="135">
        <v>0.39984951331662077</v>
      </c>
      <c r="W270" s="135">
        <v>0.60015048668337923</v>
      </c>
      <c r="X270" s="135">
        <v>0.31705911205370108</v>
      </c>
      <c r="Y270" s="135">
        <v>0.12533695251540466</v>
      </c>
      <c r="Z270" s="135">
        <v>8.0255321428571431</v>
      </c>
      <c r="AA270" s="135">
        <v>28.357142857142858</v>
      </c>
      <c r="AB270" s="135">
        <v>9.0175943738355571</v>
      </c>
      <c r="AI270" s="272"/>
    </row>
    <row r="271" spans="2:35" s="277" customFormat="1" x14ac:dyDescent="0.35">
      <c r="B271" s="278" t="s">
        <v>806</v>
      </c>
      <c r="D271" s="205" t="s">
        <v>529</v>
      </c>
      <c r="E271" s="135">
        <v>2.13880111111111</v>
      </c>
      <c r="F271" s="135">
        <v>5.3098172222222217</v>
      </c>
      <c r="G271" s="135">
        <v>0.29244845325747704</v>
      </c>
      <c r="H271" s="135">
        <v>0.70755154674252296</v>
      </c>
      <c r="I271" s="135">
        <v>0.56447831407411952</v>
      </c>
      <c r="J271" s="135">
        <v>0.1440562053352217</v>
      </c>
      <c r="K271" s="135">
        <v>7.4486183333333322</v>
      </c>
      <c r="L271" s="135">
        <v>17.333333333333332</v>
      </c>
      <c r="M271" s="135">
        <v>7.3549981694115321</v>
      </c>
      <c r="N271" s="135"/>
      <c r="O271" s="135"/>
      <c r="P271" s="135"/>
      <c r="Q271" s="135"/>
      <c r="R271" s="135"/>
      <c r="S271" s="276"/>
      <c r="T271" s="135"/>
      <c r="U271" s="135"/>
      <c r="V271" s="135"/>
      <c r="W271" s="135"/>
      <c r="X271" s="135"/>
      <c r="Y271" s="135"/>
      <c r="Z271" s="135"/>
      <c r="AA271" s="135"/>
      <c r="AB271" s="135"/>
      <c r="AI271" s="272"/>
    </row>
    <row r="272" spans="2:35" s="277" customFormat="1" x14ac:dyDescent="0.35">
      <c r="D272" s="196"/>
      <c r="E272" s="135"/>
      <c r="F272" s="135"/>
      <c r="G272" s="135"/>
      <c r="H272" s="135"/>
      <c r="I272" s="135"/>
      <c r="J272" s="135"/>
      <c r="K272" s="135"/>
      <c r="L272" s="135"/>
      <c r="M272" s="135"/>
      <c r="N272" s="135"/>
      <c r="O272" s="135"/>
      <c r="P272" s="135"/>
      <c r="Q272" s="135"/>
      <c r="R272" s="135"/>
      <c r="S272" s="275"/>
      <c r="T272" s="135"/>
      <c r="U272" s="135"/>
      <c r="V272" s="135"/>
      <c r="W272" s="135"/>
      <c r="X272" s="135"/>
      <c r="Y272" s="135"/>
      <c r="Z272" s="135"/>
      <c r="AA272" s="135"/>
      <c r="AB272" s="135"/>
      <c r="AI272" s="272"/>
    </row>
    <row r="273" spans="2:35" s="277" customFormat="1" x14ac:dyDescent="0.35">
      <c r="D273" s="196"/>
      <c r="E273" s="135"/>
      <c r="F273" s="135"/>
      <c r="G273" s="135"/>
      <c r="H273" s="135"/>
      <c r="I273" s="135"/>
      <c r="J273" s="135"/>
      <c r="K273" s="135"/>
      <c r="L273" s="135"/>
      <c r="M273" s="135"/>
      <c r="N273" s="135"/>
      <c r="O273" s="135"/>
      <c r="P273" s="135"/>
      <c r="Q273" s="135"/>
      <c r="R273" s="135"/>
      <c r="S273" s="205"/>
      <c r="T273" s="135"/>
      <c r="U273" s="135"/>
      <c r="V273" s="135"/>
      <c r="W273" s="135"/>
      <c r="X273" s="135"/>
      <c r="Y273" s="135"/>
      <c r="Z273" s="135"/>
      <c r="AA273" s="135"/>
      <c r="AB273" s="135"/>
      <c r="AI273" s="272"/>
    </row>
    <row r="274" spans="2:35" s="277" customFormat="1" x14ac:dyDescent="0.35">
      <c r="D274" s="196"/>
      <c r="E274" s="135"/>
      <c r="F274" s="135"/>
      <c r="G274" s="135"/>
      <c r="H274" s="135"/>
      <c r="I274" s="135"/>
      <c r="J274" s="135"/>
      <c r="K274" s="135"/>
      <c r="L274" s="135"/>
      <c r="M274" s="135"/>
      <c r="N274" s="135"/>
      <c r="O274" s="135"/>
      <c r="P274" s="135"/>
      <c r="Q274" s="135"/>
      <c r="R274" s="135"/>
      <c r="S274" s="205"/>
      <c r="T274" s="135"/>
      <c r="U274" s="135"/>
      <c r="V274" s="135"/>
      <c r="W274" s="135"/>
      <c r="X274" s="135"/>
      <c r="Y274" s="135"/>
      <c r="Z274" s="135"/>
      <c r="AA274" s="135"/>
      <c r="AB274" s="135"/>
      <c r="AI274" s="272"/>
    </row>
    <row r="275" spans="2:35" s="277" customFormat="1" x14ac:dyDescent="0.35">
      <c r="D275" s="205" t="s">
        <v>577</v>
      </c>
      <c r="E275" s="135"/>
      <c r="F275" s="135"/>
      <c r="G275" s="135"/>
      <c r="H275" s="135"/>
      <c r="I275" s="135"/>
      <c r="J275" s="135"/>
      <c r="K275" s="135"/>
      <c r="L275" s="135"/>
      <c r="M275" s="135"/>
      <c r="N275" s="135"/>
      <c r="O275" s="135"/>
      <c r="P275" s="135"/>
      <c r="Q275" s="135"/>
      <c r="R275" s="135"/>
      <c r="S275" s="205" t="s">
        <v>577</v>
      </c>
      <c r="T275" s="135"/>
      <c r="U275" s="135"/>
      <c r="V275" s="135"/>
      <c r="W275" s="135"/>
      <c r="X275" s="135"/>
      <c r="Y275" s="135"/>
      <c r="Z275" s="135"/>
      <c r="AA275" s="135"/>
      <c r="AB275" s="135"/>
      <c r="AI275" s="272"/>
    </row>
    <row r="276" spans="2:35" s="277" customFormat="1" x14ac:dyDescent="0.35">
      <c r="D276" s="196" t="s">
        <v>530</v>
      </c>
      <c r="E276" s="135">
        <f t="shared" ref="E276:M276" si="409">1-((E268-E268)/E268)</f>
        <v>1</v>
      </c>
      <c r="F276" s="135">
        <f t="shared" si="409"/>
        <v>1</v>
      </c>
      <c r="G276" s="135">
        <f t="shared" si="409"/>
        <v>1</v>
      </c>
      <c r="H276" s="135">
        <f t="shared" si="409"/>
        <v>1</v>
      </c>
      <c r="I276" s="135">
        <f t="shared" si="409"/>
        <v>1</v>
      </c>
      <c r="J276" s="135">
        <f t="shared" si="409"/>
        <v>1</v>
      </c>
      <c r="K276" s="135">
        <f t="shared" si="409"/>
        <v>1</v>
      </c>
      <c r="L276" s="135">
        <f t="shared" si="409"/>
        <v>1</v>
      </c>
      <c r="M276" s="135">
        <f t="shared" si="409"/>
        <v>1</v>
      </c>
      <c r="N276" s="135"/>
      <c r="O276" s="135"/>
      <c r="P276" s="135"/>
      <c r="Q276" s="135"/>
      <c r="R276" s="135"/>
      <c r="S276" s="196" t="s">
        <v>530</v>
      </c>
      <c r="T276" s="135">
        <f t="shared" ref="T276:AB276" si="410">1-((T268-T268)/T268)</f>
        <v>1</v>
      </c>
      <c r="U276" s="135">
        <f t="shared" si="410"/>
        <v>1</v>
      </c>
      <c r="V276" s="135">
        <f t="shared" si="410"/>
        <v>1</v>
      </c>
      <c r="W276" s="135">
        <f t="shared" si="410"/>
        <v>1</v>
      </c>
      <c r="X276" s="135">
        <f t="shared" si="410"/>
        <v>1</v>
      </c>
      <c r="Y276" s="135">
        <f t="shared" si="410"/>
        <v>1</v>
      </c>
      <c r="Z276" s="135">
        <f t="shared" si="410"/>
        <v>1</v>
      </c>
      <c r="AA276" s="135">
        <f t="shared" si="410"/>
        <v>1</v>
      </c>
      <c r="AB276" s="135">
        <f t="shared" si="410"/>
        <v>1</v>
      </c>
      <c r="AI276" s="272"/>
    </row>
    <row r="277" spans="2:35" s="277" customFormat="1" x14ac:dyDescent="0.35">
      <c r="D277" s="275" t="s">
        <v>552</v>
      </c>
      <c r="E277" s="135">
        <f t="shared" ref="E277:M277" si="411">1-((E268-E269)/E268)</f>
        <v>1.4072973809621243</v>
      </c>
      <c r="F277" s="135">
        <f t="shared" si="411"/>
        <v>0.83256176793818348</v>
      </c>
      <c r="G277" s="135">
        <f t="shared" si="411"/>
        <v>1.323755620296919</v>
      </c>
      <c r="H277" s="135">
        <f t="shared" si="411"/>
        <v>0.77543781903033371</v>
      </c>
      <c r="I277" s="135">
        <f t="shared" si="411"/>
        <v>0.72165635740531187</v>
      </c>
      <c r="J277" s="135">
        <f t="shared" si="411"/>
        <v>0.94147249169329283</v>
      </c>
      <c r="K277" s="135">
        <f t="shared" si="411"/>
        <v>1.0662049574984813</v>
      </c>
      <c r="L277" s="135">
        <f t="shared" si="411"/>
        <v>0.72858117749240026</v>
      </c>
      <c r="M277" s="135">
        <f t="shared" si="411"/>
        <v>0.51828165810627846</v>
      </c>
      <c r="N277" s="135"/>
      <c r="O277" s="135"/>
      <c r="P277" s="135"/>
      <c r="Q277" s="135"/>
      <c r="R277" s="135"/>
      <c r="S277" s="276" t="s">
        <v>534</v>
      </c>
      <c r="T277" s="135">
        <f t="shared" ref="T277:AB277" si="412">1-((T268-T269)/T268)</f>
        <v>0.86419976725667436</v>
      </c>
      <c r="U277" s="135">
        <f t="shared" si="412"/>
        <v>1.1539497270609955</v>
      </c>
      <c r="V277" s="135">
        <f t="shared" si="412"/>
        <v>0.86212151092781686</v>
      </c>
      <c r="W277" s="135">
        <f t="shared" si="412"/>
        <v>1.1352619025509119</v>
      </c>
      <c r="X277" s="135">
        <f t="shared" si="412"/>
        <v>1.100718848919011</v>
      </c>
      <c r="Y277" s="135">
        <f t="shared" si="412"/>
        <v>0.98087326364910543</v>
      </c>
      <c r="Z277" s="135">
        <f t="shared" si="412"/>
        <v>1.0098486044951644</v>
      </c>
      <c r="AA277" s="135">
        <f t="shared" si="412"/>
        <v>1.1801242236024845</v>
      </c>
      <c r="AB277" s="135">
        <f t="shared" si="412"/>
        <v>1.3450006107309467</v>
      </c>
      <c r="AI277" s="272"/>
    </row>
    <row r="278" spans="2:35" s="277" customFormat="1" x14ac:dyDescent="0.35">
      <c r="D278" s="275" t="s">
        <v>805</v>
      </c>
      <c r="E278" s="135">
        <f t="shared" ref="E278:M278" si="413">1-((E268-E270)/E268)</f>
        <v>1.0236352140330871</v>
      </c>
      <c r="F278" s="135">
        <f t="shared" si="413"/>
        <v>0.69225367239267444</v>
      </c>
      <c r="G278" s="135">
        <f t="shared" si="413"/>
        <v>1.2634844978993851</v>
      </c>
      <c r="H278" s="135">
        <f t="shared" si="413"/>
        <v>0.81724285297126475</v>
      </c>
      <c r="I278" s="135">
        <f t="shared" si="413"/>
        <v>1.0013196312447668</v>
      </c>
      <c r="J278" s="135">
        <f t="shared" si="413"/>
        <v>1.2497882456813243</v>
      </c>
      <c r="K278" s="135">
        <f t="shared" si="413"/>
        <v>0.82696785852585486</v>
      </c>
      <c r="L278" s="135">
        <f t="shared" si="413"/>
        <v>0.55276381909547734</v>
      </c>
      <c r="M278" s="135">
        <f t="shared" si="413"/>
        <v>0.49412661901933641</v>
      </c>
      <c r="N278" s="135"/>
      <c r="O278" s="135"/>
      <c r="P278" s="135"/>
      <c r="Q278" s="135"/>
      <c r="R278" s="135"/>
      <c r="S278" s="276" t="s">
        <v>532</v>
      </c>
      <c r="T278" s="135">
        <f t="shared" ref="T278:AB278" si="414">1-((T268-T270)/T268)</f>
        <v>0.87361947676069251</v>
      </c>
      <c r="U278" s="135">
        <f t="shared" si="414"/>
        <v>1.3047251802049937</v>
      </c>
      <c r="V278" s="135">
        <f t="shared" si="414"/>
        <v>0.80743395293066889</v>
      </c>
      <c r="W278" s="135">
        <f t="shared" si="414"/>
        <v>1.1889116284097798</v>
      </c>
      <c r="X278" s="135">
        <f t="shared" si="414"/>
        <v>1.0501135265288213</v>
      </c>
      <c r="Y278" s="135">
        <f t="shared" si="414"/>
        <v>0.90762272096575292</v>
      </c>
      <c r="Z278" s="135">
        <f t="shared" si="414"/>
        <v>1.0903237153944034</v>
      </c>
      <c r="AA278" s="135">
        <f t="shared" si="414"/>
        <v>1.1272404614019522</v>
      </c>
      <c r="AB278" s="135">
        <f t="shared" si="414"/>
        <v>1.2980087204045216</v>
      </c>
      <c r="AI278" s="272"/>
    </row>
    <row r="279" spans="2:35" s="277" customFormat="1" x14ac:dyDescent="0.35">
      <c r="D279" s="196" t="s">
        <v>530</v>
      </c>
      <c r="E279" s="135">
        <f t="shared" ref="E279:M279" si="415">1-((E268-E271)/E268)</f>
        <v>0.73570895382360169</v>
      </c>
      <c r="F279" s="135">
        <f t="shared" si="415"/>
        <v>1.2511122198457074</v>
      </c>
      <c r="G279" s="135">
        <f t="shared" si="415"/>
        <v>0.71407701947646329</v>
      </c>
      <c r="H279" s="135">
        <f t="shared" si="415"/>
        <v>1.1983208447063487</v>
      </c>
      <c r="I279" s="135">
        <f t="shared" si="415"/>
        <v>1.6029991337645488</v>
      </c>
      <c r="J279" s="135">
        <f t="shared" si="415"/>
        <v>1.0195551758491384</v>
      </c>
      <c r="K279" s="135">
        <f t="shared" si="415"/>
        <v>1.041588988199049</v>
      </c>
      <c r="L279" s="135">
        <f t="shared" si="415"/>
        <v>0.46454494695700721</v>
      </c>
      <c r="M279" s="135">
        <f t="shared" si="415"/>
        <v>0.56959190645330882</v>
      </c>
      <c r="N279" s="135"/>
      <c r="O279" s="135"/>
      <c r="P279" s="135"/>
      <c r="Q279" s="135"/>
      <c r="R279" s="135"/>
      <c r="S279" s="205"/>
      <c r="T279" s="135"/>
      <c r="U279" s="135"/>
      <c r="V279" s="135"/>
      <c r="W279" s="135"/>
      <c r="X279" s="135"/>
      <c r="Y279" s="135"/>
      <c r="Z279" s="135"/>
      <c r="AA279" s="135"/>
      <c r="AB279" s="135"/>
      <c r="AI279" s="272"/>
    </row>
    <row r="280" spans="2:35" s="277" customFormat="1" x14ac:dyDescent="0.35">
      <c r="D280" s="196"/>
      <c r="E280" s="135"/>
      <c r="F280" s="135"/>
      <c r="G280" s="135"/>
      <c r="H280" s="135"/>
      <c r="I280" s="135"/>
      <c r="J280" s="135"/>
      <c r="K280" s="135"/>
      <c r="L280" s="135"/>
      <c r="M280" s="135"/>
      <c r="S280" s="196"/>
      <c r="T280" s="135"/>
      <c r="U280" s="135"/>
      <c r="V280" s="135"/>
      <c r="W280" s="135"/>
      <c r="X280" s="135"/>
      <c r="Y280" s="135"/>
      <c r="Z280" s="135"/>
      <c r="AA280" s="135"/>
      <c r="AB280" s="135"/>
      <c r="AI280" s="272"/>
    </row>
    <row r="281" spans="2:35" s="303" customFormat="1" x14ac:dyDescent="0.35">
      <c r="D281" s="304"/>
      <c r="S281" s="305"/>
      <c r="AI281" s="272"/>
    </row>
    <row r="282" spans="2:35" s="277" customFormat="1" x14ac:dyDescent="0.35">
      <c r="D282" s="196"/>
      <c r="E282" s="135"/>
      <c r="F282" s="135"/>
      <c r="G282" s="135"/>
      <c r="H282" s="135"/>
      <c r="I282" s="135"/>
      <c r="J282" s="135"/>
      <c r="K282" s="135"/>
      <c r="L282" s="135"/>
      <c r="M282" s="135"/>
      <c r="AI282" s="272"/>
    </row>
    <row r="283" spans="2:35" s="277" customFormat="1" x14ac:dyDescent="0.35">
      <c r="D283" s="195" t="s">
        <v>744</v>
      </c>
      <c r="E283" s="135"/>
      <c r="F283" s="135"/>
      <c r="G283" s="135"/>
      <c r="H283" s="135"/>
      <c r="I283" s="135"/>
      <c r="J283" s="135"/>
      <c r="K283" s="135"/>
      <c r="L283" s="135"/>
      <c r="M283" s="135"/>
      <c r="N283" s="135"/>
      <c r="O283" s="135"/>
      <c r="P283" s="135"/>
      <c r="Q283" s="135"/>
      <c r="R283" s="135"/>
      <c r="S283" s="195" t="s">
        <v>744</v>
      </c>
      <c r="T283" s="135"/>
      <c r="U283" s="135"/>
      <c r="V283" s="135"/>
      <c r="W283" s="135"/>
      <c r="X283" s="135"/>
      <c r="Y283" s="135"/>
      <c r="Z283" s="135"/>
      <c r="AA283" s="135"/>
      <c r="AB283" s="135"/>
      <c r="AI283" s="272"/>
    </row>
    <row r="284" spans="2:35" s="277" customFormat="1" ht="16" thickBot="1" x14ac:dyDescent="0.4">
      <c r="D284" s="9" t="s">
        <v>444</v>
      </c>
      <c r="E284" s="9" t="s">
        <v>3</v>
      </c>
      <c r="F284" s="9" t="s">
        <v>4</v>
      </c>
      <c r="G284" s="9" t="s">
        <v>5</v>
      </c>
      <c r="H284" s="9" t="s">
        <v>6</v>
      </c>
      <c r="I284" s="9" t="s">
        <v>7</v>
      </c>
      <c r="J284" s="9" t="s">
        <v>8</v>
      </c>
      <c r="K284" s="9" t="s">
        <v>9</v>
      </c>
      <c r="L284" s="9" t="s">
        <v>10</v>
      </c>
      <c r="M284" s="9" t="s">
        <v>139</v>
      </c>
      <c r="N284" s="135"/>
      <c r="O284" s="135"/>
      <c r="P284" s="135"/>
      <c r="Q284" s="135"/>
      <c r="R284" s="135"/>
      <c r="S284" s="9" t="s">
        <v>444</v>
      </c>
      <c r="T284" s="9" t="s">
        <v>3</v>
      </c>
      <c r="U284" s="9" t="s">
        <v>4</v>
      </c>
      <c r="V284" s="9" t="s">
        <v>5</v>
      </c>
      <c r="W284" s="9" t="s">
        <v>6</v>
      </c>
      <c r="X284" s="9" t="s">
        <v>7</v>
      </c>
      <c r="Y284" s="9" t="s">
        <v>8</v>
      </c>
      <c r="Z284" s="9" t="s">
        <v>9</v>
      </c>
      <c r="AA284" s="9" t="s">
        <v>10</v>
      </c>
      <c r="AB284" s="9" t="s">
        <v>139</v>
      </c>
      <c r="AI284" s="272"/>
    </row>
    <row r="285" spans="2:35" s="277" customFormat="1" x14ac:dyDescent="0.35">
      <c r="D285" s="196" t="s">
        <v>530</v>
      </c>
      <c r="E285" s="164">
        <v>3.9886425000000019</v>
      </c>
      <c r="F285" s="164">
        <v>17.952419999999996</v>
      </c>
      <c r="G285" s="164">
        <v>0.18268829048497226</v>
      </c>
      <c r="H285" s="164">
        <v>0.81731170951502774</v>
      </c>
      <c r="I285" s="164">
        <v>0.25227131905176825</v>
      </c>
      <c r="J285" s="164">
        <v>4.5681697651168147E-2</v>
      </c>
      <c r="K285" s="164">
        <v>21.941062499999997</v>
      </c>
      <c r="L285" s="164">
        <v>19</v>
      </c>
      <c r="M285" s="164">
        <v>4.7754729940034046</v>
      </c>
      <c r="N285" s="135"/>
      <c r="O285" s="135"/>
      <c r="P285" s="135"/>
      <c r="Q285" s="135"/>
      <c r="R285" s="135"/>
      <c r="S285" s="196" t="s">
        <v>530</v>
      </c>
      <c r="T285" s="135">
        <v>2.7588776190476163</v>
      </c>
      <c r="U285" s="277">
        <v>8.0856400000000033</v>
      </c>
      <c r="V285" s="135">
        <v>0.24923692000411549</v>
      </c>
      <c r="W285" s="135">
        <v>0.75076307999588443</v>
      </c>
      <c r="X285" s="135">
        <v>0.47025935787859785</v>
      </c>
      <c r="Y285" s="135">
        <v>9.6111969466747785E-2</v>
      </c>
      <c r="Z285" s="135">
        <v>10.844517619047618</v>
      </c>
      <c r="AA285" s="135">
        <v>20.19047619047619</v>
      </c>
      <c r="AB285" s="135">
        <v>9.0705391347517725</v>
      </c>
      <c r="AI285" s="272"/>
    </row>
    <row r="286" spans="2:35" s="277" customFormat="1" x14ac:dyDescent="0.35">
      <c r="D286" s="275" t="s">
        <v>553</v>
      </c>
      <c r="E286" s="164">
        <v>6.4873449999999977</v>
      </c>
      <c r="F286" s="164">
        <v>12.765793333333335</v>
      </c>
      <c r="G286" s="164">
        <v>0.33824886664677595</v>
      </c>
      <c r="H286" s="164">
        <v>0.66175113335322411</v>
      </c>
      <c r="I286" s="164">
        <v>0.15626082028726168</v>
      </c>
      <c r="J286" s="164">
        <v>5.2537669164075158E-2</v>
      </c>
      <c r="K286" s="164">
        <v>19.253138333333336</v>
      </c>
      <c r="L286" s="164">
        <v>43</v>
      </c>
      <c r="M286" s="164">
        <v>6.594668980279927</v>
      </c>
      <c r="Q286" s="278" t="s">
        <v>806</v>
      </c>
      <c r="S286" s="276" t="s">
        <v>534</v>
      </c>
      <c r="T286" s="135">
        <v>3.4089350000000067</v>
      </c>
      <c r="U286" s="135">
        <v>25.351359999999996</v>
      </c>
      <c r="V286" s="135">
        <v>0.13269489762989709</v>
      </c>
      <c r="W286" s="135">
        <v>0.86730510237010294</v>
      </c>
      <c r="X286" s="135">
        <v>0.29884406570299055</v>
      </c>
      <c r="Y286" s="135">
        <v>3.9039204154072672E-2</v>
      </c>
      <c r="Z286" s="135">
        <v>28.760295000000003</v>
      </c>
      <c r="AA286" s="135">
        <v>20.333333333333332</v>
      </c>
      <c r="AB286" s="135">
        <v>5.9383516772857803</v>
      </c>
      <c r="AI286" s="272"/>
    </row>
    <row r="287" spans="2:35" s="277" customFormat="1" x14ac:dyDescent="0.35">
      <c r="D287" s="275" t="s">
        <v>807</v>
      </c>
      <c r="E287" s="277">
        <v>5.3939062500000006</v>
      </c>
      <c r="F287" s="277">
        <v>9.6995771428571391</v>
      </c>
      <c r="G287" s="277">
        <v>0.34610108710543602</v>
      </c>
      <c r="H287" s="277">
        <v>0.65389891289456392</v>
      </c>
      <c r="I287" s="277">
        <v>0.26616000494470377</v>
      </c>
      <c r="J287" s="277">
        <v>6.982620492558618E-2</v>
      </c>
      <c r="K287" s="277">
        <v>15.107990000000001</v>
      </c>
      <c r="L287" s="277">
        <v>37.857142857142854</v>
      </c>
      <c r="M287" s="277">
        <v>7.0990375633556937</v>
      </c>
      <c r="Q287" s="278" t="s">
        <v>806</v>
      </c>
      <c r="S287" s="205" t="s">
        <v>529</v>
      </c>
      <c r="T287" s="135">
        <v>3.7858824999999987</v>
      </c>
      <c r="U287" s="135">
        <v>14.782472500000001</v>
      </c>
      <c r="V287" s="135">
        <v>0.21050658465396255</v>
      </c>
      <c r="W287" s="135">
        <v>0.78949341534603745</v>
      </c>
      <c r="X287" s="135">
        <v>0.2797442840000407</v>
      </c>
      <c r="Y287" s="135">
        <v>5.8035301685788826E-2</v>
      </c>
      <c r="Z287" s="135">
        <v>18.568355</v>
      </c>
      <c r="AA287" s="135">
        <v>22.625</v>
      </c>
      <c r="AB287" s="135">
        <v>6.0532611132395342</v>
      </c>
      <c r="AI287" s="272"/>
    </row>
    <row r="288" spans="2:35" s="277" customFormat="1" x14ac:dyDescent="0.35">
      <c r="B288" s="278" t="s">
        <v>806</v>
      </c>
      <c r="D288" s="275" t="s">
        <v>807</v>
      </c>
      <c r="E288" s="277">
        <v>2.8612162962962961</v>
      </c>
      <c r="F288" s="277">
        <v>10.807762222222221</v>
      </c>
      <c r="G288" s="277">
        <v>0.23353343010962641</v>
      </c>
      <c r="H288" s="277">
        <v>0.76646656989037376</v>
      </c>
      <c r="I288" s="277">
        <v>0.40617335225341589</v>
      </c>
      <c r="J288" s="277">
        <v>8.9771702194317293E-2</v>
      </c>
      <c r="K288" s="277">
        <v>13.668978518518522</v>
      </c>
      <c r="L288" s="277">
        <v>25.962962962962962</v>
      </c>
      <c r="M288" s="277">
        <v>9.3411325228420914</v>
      </c>
      <c r="S288" s="237" t="s">
        <v>534</v>
      </c>
      <c r="T288" s="277">
        <v>2.9946483333333327</v>
      </c>
      <c r="U288" s="277">
        <v>16.237921666666665</v>
      </c>
      <c r="V288" s="277">
        <v>0.16550698125379648</v>
      </c>
      <c r="W288" s="277">
        <v>0.83449301874620352</v>
      </c>
      <c r="X288" s="277">
        <v>0.36532192899045068</v>
      </c>
      <c r="Y288" s="135">
        <v>5.6293476367857836E-2</v>
      </c>
      <c r="Z288" s="135">
        <v>19.232569999999996</v>
      </c>
      <c r="AA288" s="135">
        <v>16</v>
      </c>
      <c r="AB288" s="135">
        <v>5.3870018203330243</v>
      </c>
      <c r="AI288" s="272"/>
    </row>
    <row r="289" spans="2:35" s="277" customFormat="1" x14ac:dyDescent="0.35">
      <c r="B289" s="278" t="s">
        <v>806</v>
      </c>
      <c r="D289" s="205" t="s">
        <v>529</v>
      </c>
      <c r="E289" s="135">
        <v>3.6372966666666642</v>
      </c>
      <c r="F289" s="135">
        <v>22.35859666666666</v>
      </c>
      <c r="G289" s="135">
        <v>0.1411770272980592</v>
      </c>
      <c r="H289" s="135">
        <v>0.85882297270194086</v>
      </c>
      <c r="I289" s="135">
        <v>0.27501721956790398</v>
      </c>
      <c r="J289" s="135">
        <v>3.8885265366324785E-2</v>
      </c>
      <c r="K289" s="135">
        <v>25.995893333333324</v>
      </c>
      <c r="L289" s="135">
        <v>19.666666666666668</v>
      </c>
      <c r="M289" s="135">
        <v>5.4065319616808454</v>
      </c>
      <c r="N289" s="135"/>
      <c r="O289" s="135"/>
      <c r="P289" s="135"/>
      <c r="Q289" s="135"/>
      <c r="R289" s="135"/>
      <c r="S289" s="205" t="s">
        <v>533</v>
      </c>
      <c r="T289" s="135">
        <v>5.2224000000000004</v>
      </c>
      <c r="U289" s="135">
        <v>11.615210000000001</v>
      </c>
      <c r="V289" s="135">
        <v>0.33358645264393461</v>
      </c>
      <c r="W289" s="135">
        <v>0.66641354735606551</v>
      </c>
      <c r="X289" s="135">
        <v>0.19578468774376057</v>
      </c>
      <c r="Y289" s="135">
        <v>6.3168581901289808E-2</v>
      </c>
      <c r="Z289" s="135">
        <v>16.837610000000002</v>
      </c>
      <c r="AA289" s="135">
        <v>36.4</v>
      </c>
      <c r="AB289" s="135">
        <v>6.9374716741770825</v>
      </c>
      <c r="AI289" s="272"/>
    </row>
    <row r="290" spans="2:35" s="277" customFormat="1" x14ac:dyDescent="0.35">
      <c r="D290" s="196" t="s">
        <v>808</v>
      </c>
      <c r="E290" s="135">
        <v>4.4373749999999967</v>
      </c>
      <c r="F290" s="135">
        <v>11.701920000000001</v>
      </c>
      <c r="G290" s="135">
        <v>0.2701370473507157</v>
      </c>
      <c r="H290" s="135">
        <v>0.72986295264928425</v>
      </c>
      <c r="I290" s="135">
        <v>0.29953677249261379</v>
      </c>
      <c r="J290" s="135">
        <v>6.2770122910987644E-2</v>
      </c>
      <c r="K290" s="135">
        <v>16.139295000000001</v>
      </c>
      <c r="L290" s="135">
        <v>29.333333333333332</v>
      </c>
      <c r="M290" s="135">
        <v>6.786297744184318</v>
      </c>
      <c r="N290" s="135"/>
      <c r="O290" s="135"/>
      <c r="P290" s="135"/>
      <c r="Q290" s="135"/>
      <c r="R290" s="135"/>
      <c r="T290" s="135"/>
      <c r="U290" s="135"/>
      <c r="V290" s="135"/>
      <c r="W290" s="135"/>
      <c r="X290" s="135"/>
      <c r="Y290" s="135"/>
      <c r="Z290" s="135"/>
      <c r="AA290" s="135"/>
      <c r="AB290" s="135"/>
      <c r="AI290" s="272"/>
    </row>
    <row r="291" spans="2:35" s="277" customFormat="1" x14ac:dyDescent="0.35">
      <c r="D291" s="236" t="s">
        <v>807</v>
      </c>
      <c r="E291" s="135">
        <v>6.5968300000000015</v>
      </c>
      <c r="F291" s="135">
        <v>8.2582683333333318</v>
      </c>
      <c r="G291" s="135">
        <v>0.4539636071366942</v>
      </c>
      <c r="H291" s="135">
        <v>0.54603639286330574</v>
      </c>
      <c r="I291" s="135">
        <v>0.1551394415631506</v>
      </c>
      <c r="J291" s="135">
        <v>6.8382691438225549E-2</v>
      </c>
      <c r="K291" s="135">
        <v>14.855098333333332</v>
      </c>
      <c r="L291" s="13">
        <v>52.166666666666664</v>
      </c>
      <c r="M291" s="13">
        <v>7.8617927421186664</v>
      </c>
      <c r="N291" s="135"/>
      <c r="O291" s="135"/>
      <c r="P291" s="135"/>
      <c r="Q291" s="135"/>
      <c r="R291" s="135"/>
      <c r="S291" s="205"/>
      <c r="T291" s="135"/>
      <c r="U291" s="135"/>
      <c r="V291" s="135"/>
      <c r="W291" s="135"/>
      <c r="X291" s="135"/>
      <c r="Y291" s="135"/>
      <c r="Z291" s="135"/>
      <c r="AA291" s="135"/>
      <c r="AB291" s="135"/>
      <c r="AI291" s="272"/>
    </row>
    <row r="292" spans="2:35" s="277" customFormat="1" x14ac:dyDescent="0.35">
      <c r="D292" s="196"/>
      <c r="E292" s="135"/>
      <c r="F292" s="135"/>
      <c r="G292" s="135"/>
      <c r="H292" s="135"/>
      <c r="I292" s="135"/>
      <c r="J292" s="135"/>
      <c r="K292" s="135"/>
      <c r="L292" s="135"/>
      <c r="M292" s="135"/>
      <c r="N292" s="135"/>
      <c r="O292" s="135"/>
      <c r="P292" s="135"/>
      <c r="Q292" s="135"/>
      <c r="R292" s="135"/>
      <c r="S292" s="205"/>
      <c r="T292" s="135"/>
      <c r="U292" s="135"/>
      <c r="V292" s="135"/>
      <c r="W292" s="135"/>
      <c r="X292" s="135"/>
      <c r="Y292" s="135"/>
      <c r="Z292" s="135"/>
      <c r="AA292" s="135"/>
      <c r="AB292" s="135"/>
      <c r="AI292" s="272"/>
    </row>
    <row r="293" spans="2:35" s="277" customFormat="1" x14ac:dyDescent="0.35">
      <c r="D293" s="196"/>
      <c r="E293" s="135"/>
      <c r="F293" s="135"/>
      <c r="G293" s="135"/>
      <c r="H293" s="135"/>
      <c r="I293" s="135"/>
      <c r="J293" s="135"/>
      <c r="K293" s="135"/>
      <c r="L293" s="135"/>
      <c r="M293" s="135"/>
      <c r="N293" s="135"/>
      <c r="O293" s="135"/>
      <c r="P293" s="135"/>
      <c r="Q293" s="135"/>
      <c r="R293" s="135"/>
      <c r="S293" s="205"/>
      <c r="T293" s="135"/>
      <c r="U293" s="135"/>
      <c r="V293" s="135"/>
      <c r="W293" s="135"/>
      <c r="X293" s="135"/>
      <c r="Y293" s="135"/>
      <c r="Z293" s="135"/>
      <c r="AA293" s="135"/>
      <c r="AB293" s="135"/>
      <c r="AI293" s="272"/>
    </row>
    <row r="294" spans="2:35" s="277" customFormat="1" x14ac:dyDescent="0.35">
      <c r="D294" s="196"/>
      <c r="E294" s="135"/>
      <c r="F294" s="135"/>
      <c r="G294" s="135"/>
      <c r="H294" s="135"/>
      <c r="I294" s="135"/>
      <c r="J294" s="135"/>
      <c r="K294" s="135"/>
      <c r="L294" s="135"/>
      <c r="M294" s="135"/>
      <c r="N294" s="135"/>
      <c r="O294" s="135"/>
      <c r="P294" s="135"/>
      <c r="Q294" s="135"/>
      <c r="R294" s="135"/>
      <c r="S294" s="205"/>
      <c r="T294" s="135"/>
      <c r="U294" s="135"/>
      <c r="V294" s="135"/>
      <c r="W294" s="135"/>
      <c r="X294" s="135"/>
      <c r="Y294" s="135"/>
      <c r="Z294" s="135"/>
      <c r="AA294" s="135"/>
      <c r="AB294" s="135"/>
      <c r="AI294" s="272"/>
    </row>
    <row r="295" spans="2:35" s="277" customFormat="1" x14ac:dyDescent="0.35">
      <c r="D295" s="205" t="s">
        <v>577</v>
      </c>
      <c r="E295" s="135"/>
      <c r="F295" s="135"/>
      <c r="G295" s="135"/>
      <c r="H295" s="135"/>
      <c r="I295" s="135"/>
      <c r="J295" s="135"/>
      <c r="K295" s="135"/>
      <c r="L295" s="135"/>
      <c r="M295" s="135"/>
      <c r="N295" s="135"/>
      <c r="O295" s="135"/>
      <c r="P295" s="135"/>
      <c r="Q295" s="135"/>
      <c r="R295" s="135"/>
      <c r="S295" s="205" t="s">
        <v>577</v>
      </c>
      <c r="T295" s="135"/>
      <c r="U295" s="135"/>
      <c r="V295" s="135"/>
      <c r="W295" s="135"/>
      <c r="X295" s="135"/>
      <c r="Y295" s="135"/>
      <c r="Z295" s="135"/>
      <c r="AA295" s="135"/>
      <c r="AB295" s="135"/>
      <c r="AI295" s="272"/>
    </row>
    <row r="296" spans="2:35" s="277" customFormat="1" x14ac:dyDescent="0.35">
      <c r="D296" s="196" t="s">
        <v>530</v>
      </c>
      <c r="E296" s="135">
        <f t="shared" ref="E296:M296" si="416">1-((E285-E285)/E285)</f>
        <v>1</v>
      </c>
      <c r="F296" s="135">
        <f t="shared" si="416"/>
        <v>1</v>
      </c>
      <c r="G296" s="135">
        <f t="shared" si="416"/>
        <v>1</v>
      </c>
      <c r="H296" s="135">
        <f t="shared" si="416"/>
        <v>1</v>
      </c>
      <c r="I296" s="135">
        <f t="shared" si="416"/>
        <v>1</v>
      </c>
      <c r="J296" s="135">
        <f t="shared" si="416"/>
        <v>1</v>
      </c>
      <c r="K296" s="135">
        <f t="shared" si="416"/>
        <v>1</v>
      </c>
      <c r="L296" s="135">
        <f t="shared" si="416"/>
        <v>1</v>
      </c>
      <c r="M296" s="135">
        <f t="shared" si="416"/>
        <v>1</v>
      </c>
      <c r="N296" s="135"/>
      <c r="O296" s="135"/>
      <c r="P296" s="135"/>
      <c r="Q296" s="135"/>
      <c r="R296" s="135"/>
      <c r="S296" s="196" t="s">
        <v>530</v>
      </c>
      <c r="T296" s="135">
        <f t="shared" ref="T296:AB296" si="417">1-((T285-T285)/T285)</f>
        <v>1</v>
      </c>
      <c r="U296" s="135">
        <f t="shared" si="417"/>
        <v>1</v>
      </c>
      <c r="V296" s="135">
        <f t="shared" si="417"/>
        <v>1</v>
      </c>
      <c r="W296" s="135">
        <f t="shared" si="417"/>
        <v>1</v>
      </c>
      <c r="X296" s="135">
        <f t="shared" si="417"/>
        <v>1</v>
      </c>
      <c r="Y296" s="135">
        <f t="shared" si="417"/>
        <v>1</v>
      </c>
      <c r="Z296" s="135">
        <f t="shared" si="417"/>
        <v>1</v>
      </c>
      <c r="AA296" s="135">
        <f t="shared" si="417"/>
        <v>1</v>
      </c>
      <c r="AB296" s="135">
        <f t="shared" si="417"/>
        <v>1</v>
      </c>
      <c r="AI296" s="272"/>
    </row>
    <row r="297" spans="2:35" s="277" customFormat="1" x14ac:dyDescent="0.35">
      <c r="D297" s="275" t="s">
        <v>553</v>
      </c>
      <c r="E297" s="135">
        <f t="shared" ref="E297:M297" si="418">1-((E285-E286)/E285)</f>
        <v>1.626454363859382</v>
      </c>
      <c r="F297" s="135">
        <f t="shared" si="418"/>
        <v>0.71109038967077076</v>
      </c>
      <c r="G297" s="135">
        <f t="shared" si="418"/>
        <v>1.851508193266497</v>
      </c>
      <c r="H297" s="135">
        <f t="shared" si="418"/>
        <v>0.80966799526938216</v>
      </c>
      <c r="I297" s="135">
        <f t="shared" si="418"/>
        <v>0.61941571826163722</v>
      </c>
      <c r="J297" s="135">
        <f t="shared" si="418"/>
        <v>1.1500813644287078</v>
      </c>
      <c r="K297" s="135">
        <f t="shared" si="418"/>
        <v>0.87749343648847167</v>
      </c>
      <c r="L297" s="135">
        <f t="shared" si="418"/>
        <v>2.263157894736842</v>
      </c>
      <c r="M297" s="135">
        <f t="shared" si="418"/>
        <v>1.3809457175364408</v>
      </c>
      <c r="N297" s="135"/>
      <c r="O297" s="135"/>
      <c r="P297" s="135"/>
      <c r="Q297" s="135"/>
      <c r="R297" s="135"/>
      <c r="S297" s="276" t="s">
        <v>534</v>
      </c>
      <c r="T297" s="135">
        <f t="shared" ref="T297:AB297" si="419">1-((T285-T286)/T285)</f>
        <v>1.2356238553186694</v>
      </c>
      <c r="U297" s="135">
        <f t="shared" si="419"/>
        <v>3.1353560138715042</v>
      </c>
      <c r="V297" s="135">
        <f t="shared" si="419"/>
        <v>0.5324046599023371</v>
      </c>
      <c r="W297" s="135">
        <f t="shared" si="419"/>
        <v>1.1552314245059272</v>
      </c>
      <c r="X297" s="135">
        <f t="shared" si="419"/>
        <v>0.63548775945919633</v>
      </c>
      <c r="Y297" s="135">
        <f t="shared" si="419"/>
        <v>0.40618462373283493</v>
      </c>
      <c r="Z297" s="135">
        <f t="shared" si="419"/>
        <v>2.6520584880128375</v>
      </c>
      <c r="AA297" s="135">
        <f t="shared" si="419"/>
        <v>1.0070754716981132</v>
      </c>
      <c r="AB297" s="135">
        <f t="shared" si="419"/>
        <v>0.65468563544743374</v>
      </c>
      <c r="AI297" s="272"/>
    </row>
    <row r="298" spans="2:35" s="277" customFormat="1" x14ac:dyDescent="0.35">
      <c r="D298" s="275" t="s">
        <v>807</v>
      </c>
      <c r="E298" s="135">
        <f t="shared" ref="E298:M298" si="420">1-((E285-E287)/E285)</f>
        <v>1.3523162955817669</v>
      </c>
      <c r="F298" s="135">
        <f t="shared" si="420"/>
        <v>0.54029357283626056</v>
      </c>
      <c r="G298" s="135">
        <f t="shared" si="420"/>
        <v>1.8944897135260343</v>
      </c>
      <c r="H298" s="135">
        <f t="shared" si="420"/>
        <v>0.80006061981244725</v>
      </c>
      <c r="I298" s="135">
        <f t="shared" si="420"/>
        <v>1.055054557708502</v>
      </c>
      <c r="J298" s="135">
        <f t="shared" si="420"/>
        <v>1.5285378721865566</v>
      </c>
      <c r="K298" s="135">
        <f t="shared" si="420"/>
        <v>0.68857148554223402</v>
      </c>
      <c r="L298" s="135">
        <f t="shared" si="420"/>
        <v>1.9924812030075185</v>
      </c>
      <c r="M298" s="135">
        <f t="shared" si="420"/>
        <v>1.4865621839491094</v>
      </c>
      <c r="N298" s="135"/>
      <c r="O298" s="135"/>
      <c r="P298" s="135"/>
      <c r="Q298" s="135"/>
      <c r="R298" s="135"/>
      <c r="S298" s="196" t="s">
        <v>530</v>
      </c>
      <c r="T298" s="135">
        <f t="shared" ref="T298:AB298" si="421">1-((T285-T287)/T285)</f>
        <v>1.3722545987041324</v>
      </c>
      <c r="U298" s="135">
        <f t="shared" si="421"/>
        <v>1.8282377770961848</v>
      </c>
      <c r="V298" s="135">
        <f t="shared" si="421"/>
        <v>0.84460434132505968</v>
      </c>
      <c r="W298" s="135">
        <f t="shared" si="421"/>
        <v>1.0515879594803268</v>
      </c>
      <c r="X298" s="135">
        <f t="shared" si="421"/>
        <v>0.59487233866435774</v>
      </c>
      <c r="Y298" s="135">
        <f t="shared" si="421"/>
        <v>0.60383011614248017</v>
      </c>
      <c r="Z298" s="135">
        <f t="shared" si="421"/>
        <v>1.7122342968382489</v>
      </c>
      <c r="AA298" s="135">
        <f t="shared" si="421"/>
        <v>1.1205778301886793</v>
      </c>
      <c r="AB298" s="135">
        <f t="shared" si="421"/>
        <v>0.66735405947897819</v>
      </c>
      <c r="AI298" s="272"/>
    </row>
    <row r="299" spans="2:35" s="277" customFormat="1" x14ac:dyDescent="0.35">
      <c r="B299" s="278" t="s">
        <v>806</v>
      </c>
      <c r="D299" s="275" t="s">
        <v>807</v>
      </c>
      <c r="E299" s="135">
        <f t="shared" ref="E299:M299" si="422">1-((E285-E288)/E285)</f>
        <v>0.71734087381766976</v>
      </c>
      <c r="F299" s="135">
        <f t="shared" si="422"/>
        <v>0.60202258092347571</v>
      </c>
      <c r="G299" s="135">
        <f t="shared" si="422"/>
        <v>1.2783163578228163</v>
      </c>
      <c r="H299" s="135">
        <f t="shared" si="422"/>
        <v>0.93778978199783258</v>
      </c>
      <c r="I299" s="135">
        <f t="shared" si="422"/>
        <v>1.6100655190615054</v>
      </c>
      <c r="J299" s="135">
        <f t="shared" si="422"/>
        <v>1.965156874856679</v>
      </c>
      <c r="K299" s="135">
        <f t="shared" si="422"/>
        <v>0.62298617118102295</v>
      </c>
      <c r="L299" s="135">
        <f t="shared" si="422"/>
        <v>1.3664717348927875</v>
      </c>
      <c r="M299" s="135">
        <f t="shared" si="422"/>
        <v>1.9560643593989155</v>
      </c>
      <c r="N299" s="135"/>
      <c r="O299" s="135"/>
      <c r="P299" s="135"/>
      <c r="Q299" s="135"/>
      <c r="R299" s="135"/>
      <c r="S299" s="276" t="s">
        <v>534</v>
      </c>
      <c r="T299" s="135">
        <f t="shared" ref="T299:AB299" si="423">1-((T285-T288)/T285)</f>
        <v>1.0854589245488555</v>
      </c>
      <c r="U299" s="135">
        <f t="shared" si="423"/>
        <v>2.0082419779592779</v>
      </c>
      <c r="V299" s="135">
        <f t="shared" si="423"/>
        <v>0.664054832851664</v>
      </c>
      <c r="W299" s="135">
        <f t="shared" si="423"/>
        <v>1.1115264468662711</v>
      </c>
      <c r="X299" s="135">
        <f t="shared" si="423"/>
        <v>0.77685201340482879</v>
      </c>
      <c r="Y299" s="135">
        <f t="shared" si="423"/>
        <v>0.58570724000545948</v>
      </c>
      <c r="Z299" s="135">
        <f t="shared" si="423"/>
        <v>1.773483217567867</v>
      </c>
      <c r="AA299" s="135">
        <f t="shared" si="423"/>
        <v>0.79245283018867929</v>
      </c>
      <c r="AB299" s="135">
        <f t="shared" si="423"/>
        <v>0.59390095123385933</v>
      </c>
      <c r="AI299" s="272"/>
    </row>
    <row r="300" spans="2:35" s="277" customFormat="1" x14ac:dyDescent="0.35">
      <c r="B300" s="278" t="s">
        <v>806</v>
      </c>
      <c r="D300" s="196" t="s">
        <v>530</v>
      </c>
      <c r="E300" s="135">
        <f t="shared" ref="E300:M300" si="424">1-((E285-E289)/E285)</f>
        <v>0.91191343086442633</v>
      </c>
      <c r="F300" s="135">
        <f t="shared" si="424"/>
        <v>1.2454363627113594</v>
      </c>
      <c r="G300" s="135">
        <f t="shared" si="424"/>
        <v>0.77277545771151801</v>
      </c>
      <c r="H300" s="135">
        <f t="shared" si="424"/>
        <v>1.0507900017871332</v>
      </c>
      <c r="I300" s="135">
        <f t="shared" si="424"/>
        <v>1.0901644332841027</v>
      </c>
      <c r="J300" s="135">
        <f t="shared" si="424"/>
        <v>0.85122198529612725</v>
      </c>
      <c r="K300" s="135">
        <f t="shared" si="424"/>
        <v>1.1848055823793096</v>
      </c>
      <c r="L300" s="135">
        <f t="shared" si="424"/>
        <v>1.0350877192982457</v>
      </c>
      <c r="M300" s="135">
        <f t="shared" si="424"/>
        <v>1.132145856226151</v>
      </c>
      <c r="S300" s="205" t="s">
        <v>533</v>
      </c>
      <c r="T300" s="135">
        <f t="shared" ref="T300:AB300" si="425">1-((T285-T289)/T285)</f>
        <v>1.892943697083167</v>
      </c>
      <c r="U300" s="135">
        <f t="shared" si="425"/>
        <v>1.4365232684116527</v>
      </c>
      <c r="V300" s="135">
        <f t="shared" si="425"/>
        <v>1.3384311306624488</v>
      </c>
      <c r="W300" s="135">
        <f t="shared" si="425"/>
        <v>0.8876482676262113</v>
      </c>
      <c r="X300" s="135">
        <f t="shared" si="425"/>
        <v>0.41633342210768798</v>
      </c>
      <c r="Y300" s="135">
        <f t="shared" si="425"/>
        <v>0.65723949110359747</v>
      </c>
      <c r="Z300" s="135">
        <f t="shared" si="425"/>
        <v>1.5526379864445004</v>
      </c>
      <c r="AA300" s="135">
        <f t="shared" si="425"/>
        <v>1.8028301886792453</v>
      </c>
      <c r="AB300" s="135">
        <f t="shared" si="425"/>
        <v>0.76483564770672652</v>
      </c>
      <c r="AI300" s="272"/>
    </row>
    <row r="301" spans="2:35" s="277" customFormat="1" x14ac:dyDescent="0.35">
      <c r="D301" s="196" t="s">
        <v>808</v>
      </c>
      <c r="E301" s="135">
        <f t="shared" ref="E301:M301" si="426">1-((E285-E290)/E285)</f>
        <v>1.1125025619618691</v>
      </c>
      <c r="F301" s="135">
        <f t="shared" si="426"/>
        <v>0.65182966976040024</v>
      </c>
      <c r="G301" s="135">
        <f t="shared" si="426"/>
        <v>1.4786774052874334</v>
      </c>
      <c r="H301" s="135">
        <f t="shared" si="426"/>
        <v>0.8930043998542081</v>
      </c>
      <c r="I301" s="135">
        <f t="shared" si="426"/>
        <v>1.1873596000469093</v>
      </c>
      <c r="J301" s="135">
        <f t="shared" si="426"/>
        <v>1.3740759678046361</v>
      </c>
      <c r="K301" s="135">
        <f t="shared" si="426"/>
        <v>0.73557490663909286</v>
      </c>
      <c r="L301" s="135">
        <f t="shared" si="426"/>
        <v>1.5438596491228069</v>
      </c>
      <c r="M301" s="135">
        <f t="shared" si="426"/>
        <v>1.4210734209377627</v>
      </c>
      <c r="S301" s="205"/>
      <c r="T301" s="135"/>
      <c r="U301" s="135"/>
      <c r="V301" s="135"/>
      <c r="W301" s="135"/>
      <c r="X301" s="135"/>
      <c r="Y301" s="135"/>
      <c r="Z301" s="135"/>
      <c r="AA301" s="135"/>
      <c r="AB301" s="135"/>
      <c r="AI301" s="272"/>
    </row>
    <row r="302" spans="2:35" s="277" customFormat="1" x14ac:dyDescent="0.35">
      <c r="D302" s="196" t="s">
        <v>807</v>
      </c>
      <c r="E302" s="135">
        <f t="shared" ref="E302:M302" si="427">1-((E285-E291)/E285)</f>
        <v>1.6539035523990928</v>
      </c>
      <c r="F302" s="135">
        <f t="shared" si="427"/>
        <v>0.46000864136051478</v>
      </c>
      <c r="G302" s="135">
        <f t="shared" si="427"/>
        <v>2.4849080689932714</v>
      </c>
      <c r="H302" s="135">
        <f t="shared" si="427"/>
        <v>0.6680883027936918</v>
      </c>
      <c r="I302" s="135">
        <f t="shared" si="427"/>
        <v>0.61497058859598164</v>
      </c>
      <c r="J302" s="135">
        <f t="shared" si="427"/>
        <v>1.4969384885913255</v>
      </c>
      <c r="K302" s="135">
        <f t="shared" si="427"/>
        <v>0.67704553201711781</v>
      </c>
      <c r="L302" s="135">
        <f t="shared" si="427"/>
        <v>2.7456140350877192</v>
      </c>
      <c r="M302" s="135">
        <f t="shared" si="427"/>
        <v>1.646285666779139</v>
      </c>
      <c r="AI302" s="272"/>
    </row>
    <row r="303" spans="2:35" s="277" customFormat="1" x14ac:dyDescent="0.35">
      <c r="D303" s="196"/>
      <c r="E303" s="135"/>
      <c r="F303" s="135"/>
      <c r="G303" s="135"/>
      <c r="H303" s="135"/>
      <c r="I303" s="135"/>
      <c r="J303" s="135"/>
      <c r="K303" s="135"/>
      <c r="L303" s="135"/>
      <c r="M303" s="135"/>
      <c r="AI303" s="272"/>
    </row>
    <row r="304" spans="2:35" s="303" customFormat="1" x14ac:dyDescent="0.35">
      <c r="D304" s="304"/>
      <c r="AI304" s="272"/>
    </row>
    <row r="305" spans="2:35" s="277" customFormat="1" x14ac:dyDescent="0.35">
      <c r="D305" s="196"/>
      <c r="E305" s="135"/>
      <c r="F305" s="135"/>
      <c r="G305" s="135"/>
      <c r="H305" s="135"/>
      <c r="I305" s="135"/>
      <c r="J305" s="135"/>
      <c r="K305" s="135"/>
      <c r="L305" s="135"/>
      <c r="M305" s="135"/>
      <c r="AI305" s="272"/>
    </row>
    <row r="306" spans="2:35" s="277" customFormat="1" x14ac:dyDescent="0.35">
      <c r="D306" s="195" t="s">
        <v>775</v>
      </c>
      <c r="E306" s="135"/>
      <c r="F306" s="135"/>
      <c r="G306" s="135"/>
      <c r="H306" s="135"/>
      <c r="I306" s="135"/>
      <c r="J306" s="135"/>
      <c r="K306" s="135"/>
      <c r="L306" s="135"/>
      <c r="M306" s="135"/>
      <c r="N306" s="135"/>
      <c r="O306" s="135"/>
      <c r="P306" s="135"/>
      <c r="Q306" s="135"/>
      <c r="R306" s="135"/>
      <c r="S306" s="195" t="s">
        <v>775</v>
      </c>
      <c r="T306" s="135"/>
      <c r="U306" s="135"/>
      <c r="V306" s="135"/>
      <c r="W306" s="135"/>
      <c r="X306" s="135"/>
      <c r="Y306" s="135"/>
      <c r="Z306" s="135"/>
      <c r="AA306" s="135"/>
      <c r="AB306" s="135"/>
      <c r="AI306" s="272"/>
    </row>
    <row r="307" spans="2:35" s="277" customFormat="1" ht="16" thickBot="1" x14ac:dyDescent="0.4">
      <c r="D307" s="9" t="s">
        <v>444</v>
      </c>
      <c r="E307" s="9" t="s">
        <v>3</v>
      </c>
      <c r="F307" s="9" t="s">
        <v>4</v>
      </c>
      <c r="G307" s="9" t="s">
        <v>5</v>
      </c>
      <c r="H307" s="9" t="s">
        <v>6</v>
      </c>
      <c r="I307" s="9" t="s">
        <v>7</v>
      </c>
      <c r="J307" s="9" t="s">
        <v>8</v>
      </c>
      <c r="K307" s="9" t="s">
        <v>9</v>
      </c>
      <c r="L307" s="9" t="s">
        <v>10</v>
      </c>
      <c r="M307" s="9" t="s">
        <v>139</v>
      </c>
      <c r="N307" s="135"/>
      <c r="O307" s="135"/>
      <c r="P307" s="135"/>
      <c r="Q307" s="135"/>
      <c r="R307" s="135"/>
      <c r="S307" s="9" t="s">
        <v>444</v>
      </c>
      <c r="T307" s="9" t="s">
        <v>3</v>
      </c>
      <c r="U307" s="9" t="s">
        <v>4</v>
      </c>
      <c r="V307" s="9" t="s">
        <v>5</v>
      </c>
      <c r="W307" s="9" t="s">
        <v>6</v>
      </c>
      <c r="X307" s="9" t="s">
        <v>7</v>
      </c>
      <c r="Y307" s="9" t="s">
        <v>8</v>
      </c>
      <c r="Z307" s="9" t="s">
        <v>9</v>
      </c>
      <c r="AA307" s="9" t="s">
        <v>10</v>
      </c>
      <c r="AB307" s="9" t="s">
        <v>139</v>
      </c>
      <c r="AI307" s="272"/>
    </row>
    <row r="308" spans="2:35" s="277" customFormat="1" x14ac:dyDescent="0.35">
      <c r="D308" s="196" t="s">
        <v>530</v>
      </c>
      <c r="E308" s="164">
        <v>3.5018239999999978</v>
      </c>
      <c r="F308" s="164">
        <v>6.2503370000000027</v>
      </c>
      <c r="G308" s="164">
        <v>0.3657048354175676</v>
      </c>
      <c r="H308" s="164">
        <v>0.63429516458243251</v>
      </c>
      <c r="I308" s="164">
        <v>0.31633415772970419</v>
      </c>
      <c r="J308" s="164">
        <v>0.11357114758760596</v>
      </c>
      <c r="K308" s="164">
        <v>9.752161000000001</v>
      </c>
      <c r="L308" s="164">
        <v>16.2</v>
      </c>
      <c r="M308" s="164">
        <v>4.6737468462924801</v>
      </c>
      <c r="N308" s="135"/>
      <c r="O308" s="135"/>
      <c r="P308" s="135"/>
      <c r="Q308" s="135"/>
      <c r="R308" s="135"/>
      <c r="S308" s="196" t="s">
        <v>530</v>
      </c>
      <c r="T308" s="135">
        <v>2.3774088235294126</v>
      </c>
      <c r="U308" s="277">
        <v>4.3712935294117665</v>
      </c>
      <c r="V308" s="135">
        <v>0.35316453012869692</v>
      </c>
      <c r="W308" s="135">
        <v>0.64683546987130314</v>
      </c>
      <c r="X308" s="135">
        <v>0.44463815972106202</v>
      </c>
      <c r="Y308" s="135">
        <v>0.14885462933286617</v>
      </c>
      <c r="Z308" s="135">
        <v>6.7487023529411792</v>
      </c>
      <c r="AA308" s="135">
        <v>8.3529411764705888</v>
      </c>
      <c r="AB308" s="135">
        <v>3.6384728575871921</v>
      </c>
      <c r="AI308" s="272"/>
    </row>
    <row r="309" spans="2:35" s="277" customFormat="1" x14ac:dyDescent="0.35">
      <c r="D309" s="236" t="s">
        <v>552</v>
      </c>
      <c r="E309" s="164">
        <v>4.5039891666666669</v>
      </c>
      <c r="F309" s="164">
        <v>4.8059374999999989</v>
      </c>
      <c r="G309" s="164">
        <v>0.50317018989636597</v>
      </c>
      <c r="H309" s="164">
        <v>0.49682981010363397</v>
      </c>
      <c r="I309" s="164">
        <v>0.250575534928628</v>
      </c>
      <c r="J309" s="164">
        <v>0.11335143002438587</v>
      </c>
      <c r="K309" s="164">
        <v>9.3099266666666676</v>
      </c>
      <c r="L309" s="164">
        <v>21.083333333333332</v>
      </c>
      <c r="M309" s="164">
        <v>4.6644563798490699</v>
      </c>
      <c r="Q309" s="278"/>
      <c r="S309" s="237" t="s">
        <v>539</v>
      </c>
      <c r="T309" s="135">
        <v>1.4475647619047609</v>
      </c>
      <c r="U309" s="135">
        <v>8.9993171428571461</v>
      </c>
      <c r="V309" s="135">
        <v>0.17330272558630036</v>
      </c>
      <c r="W309" s="135">
        <v>0.82669727441369967</v>
      </c>
      <c r="X309" s="135">
        <v>0.85921195612106616</v>
      </c>
      <c r="Y309" s="135">
        <v>0.12372050952674667</v>
      </c>
      <c r="Z309" s="135">
        <v>10.446881904761906</v>
      </c>
      <c r="AA309" s="135">
        <v>6.5714285714285712</v>
      </c>
      <c r="AB309" s="135">
        <v>5.0690578417437298</v>
      </c>
      <c r="AI309" s="272"/>
    </row>
    <row r="310" spans="2:35" s="277" customFormat="1" x14ac:dyDescent="0.35">
      <c r="B310" s="278" t="s">
        <v>806</v>
      </c>
      <c r="D310" s="275" t="s">
        <v>552</v>
      </c>
      <c r="E310" s="277">
        <v>3.3540615384615369</v>
      </c>
      <c r="F310" s="277">
        <v>2.711368461538461</v>
      </c>
      <c r="G310" s="277">
        <v>0.56881260494066099</v>
      </c>
      <c r="H310" s="277">
        <v>0.43118739505933917</v>
      </c>
      <c r="I310" s="277">
        <v>0.3365235499989328</v>
      </c>
      <c r="J310" s="277">
        <v>0.1695681294868171</v>
      </c>
      <c r="K310" s="277">
        <v>6.0654299999999983</v>
      </c>
      <c r="L310" s="277">
        <v>15.153846153846153</v>
      </c>
      <c r="M310" s="277">
        <v>4.547404638961571</v>
      </c>
      <c r="Q310" s="278"/>
      <c r="S310" s="276" t="s">
        <v>809</v>
      </c>
      <c r="T310" s="135">
        <v>0.98064333333332598</v>
      </c>
      <c r="U310" s="135">
        <v>9.5766658333333403</v>
      </c>
      <c r="V310" s="135">
        <v>0.12273169670179727</v>
      </c>
      <c r="W310" s="135">
        <v>0.8772683032982026</v>
      </c>
      <c r="X310" s="135">
        <v>1.1770529947351034</v>
      </c>
      <c r="Y310" s="135">
        <v>0.11662883633332509</v>
      </c>
      <c r="Z310" s="135">
        <v>10.557309166666666</v>
      </c>
      <c r="AA310" s="135">
        <v>5.166666666666667</v>
      </c>
      <c r="AB310" s="135">
        <v>5.868571015427456</v>
      </c>
      <c r="AI310" s="272"/>
    </row>
    <row r="311" spans="2:35" s="277" customFormat="1" x14ac:dyDescent="0.35">
      <c r="B311" s="278" t="s">
        <v>806</v>
      </c>
      <c r="D311" s="205" t="s">
        <v>529</v>
      </c>
      <c r="E311" s="277">
        <v>2.7152699999999976</v>
      </c>
      <c r="F311" s="277">
        <v>5.8822844444444478</v>
      </c>
      <c r="G311" s="277">
        <v>0.31901817990902798</v>
      </c>
      <c r="H311" s="277">
        <v>0.68098182009097208</v>
      </c>
      <c r="I311" s="277">
        <v>0.40896787579551119</v>
      </c>
      <c r="J311" s="277">
        <v>0.12200603655294784</v>
      </c>
      <c r="K311" s="277">
        <v>8.5975544444444463</v>
      </c>
      <c r="L311" s="277">
        <v>14.333333333333334</v>
      </c>
      <c r="M311" s="277">
        <v>5.5310508260017528</v>
      </c>
      <c r="S311" s="276"/>
      <c r="Y311" s="135"/>
      <c r="Z311" s="135"/>
      <c r="AA311" s="135"/>
      <c r="AB311" s="135"/>
      <c r="AI311" s="272"/>
    </row>
    <row r="312" spans="2:35" s="277" customFormat="1" x14ac:dyDescent="0.35">
      <c r="D312" s="196"/>
      <c r="E312" s="135"/>
      <c r="F312" s="135"/>
      <c r="G312" s="135"/>
      <c r="H312" s="135"/>
      <c r="I312" s="135"/>
      <c r="J312" s="135"/>
      <c r="K312" s="135"/>
      <c r="L312" s="135"/>
      <c r="M312" s="135"/>
      <c r="N312" s="135"/>
      <c r="O312" s="135"/>
      <c r="P312" s="135"/>
      <c r="Q312" s="135"/>
      <c r="R312" s="135"/>
      <c r="S312" s="205"/>
      <c r="T312" s="135"/>
      <c r="U312" s="135"/>
      <c r="V312" s="135"/>
      <c r="W312" s="135"/>
      <c r="X312" s="135"/>
      <c r="Y312" s="135"/>
      <c r="Z312" s="135"/>
      <c r="AA312" s="135"/>
      <c r="AB312" s="135"/>
      <c r="AI312" s="272"/>
    </row>
    <row r="313" spans="2:35" s="277" customFormat="1" x14ac:dyDescent="0.35">
      <c r="D313" s="196"/>
      <c r="E313" s="135"/>
      <c r="F313" s="135"/>
      <c r="G313" s="135"/>
      <c r="H313" s="135"/>
      <c r="I313" s="135"/>
      <c r="J313" s="135"/>
      <c r="K313" s="135"/>
      <c r="L313" s="135"/>
      <c r="M313" s="135"/>
      <c r="N313" s="135"/>
      <c r="O313" s="135"/>
      <c r="P313" s="135"/>
      <c r="Q313" s="135"/>
      <c r="R313" s="135"/>
      <c r="S313" s="205"/>
      <c r="T313" s="135"/>
      <c r="U313" s="135"/>
      <c r="V313" s="135"/>
      <c r="W313" s="135"/>
      <c r="X313" s="135"/>
      <c r="Y313" s="135"/>
      <c r="Z313" s="135"/>
      <c r="AA313" s="135"/>
      <c r="AB313" s="135"/>
      <c r="AI313" s="272"/>
    </row>
    <row r="314" spans="2:35" s="277" customFormat="1" x14ac:dyDescent="0.35">
      <c r="D314" s="196"/>
      <c r="E314" s="135"/>
      <c r="F314" s="135"/>
      <c r="G314" s="135"/>
      <c r="H314" s="135"/>
      <c r="I314" s="135"/>
      <c r="J314" s="135"/>
      <c r="K314" s="135"/>
      <c r="L314" s="135"/>
      <c r="M314" s="135"/>
      <c r="N314" s="135"/>
      <c r="O314" s="135"/>
      <c r="P314" s="135"/>
      <c r="Q314" s="135"/>
      <c r="R314" s="135"/>
      <c r="S314" s="205"/>
      <c r="T314" s="135"/>
      <c r="U314" s="135"/>
      <c r="V314" s="135"/>
      <c r="W314" s="135"/>
      <c r="X314" s="135"/>
      <c r="Y314" s="135"/>
      <c r="Z314" s="135"/>
      <c r="AA314" s="135"/>
      <c r="AB314" s="135"/>
      <c r="AI314" s="272"/>
    </row>
    <row r="315" spans="2:35" s="277" customFormat="1" x14ac:dyDescent="0.35">
      <c r="D315" s="205" t="s">
        <v>577</v>
      </c>
      <c r="E315" s="135"/>
      <c r="F315" s="135"/>
      <c r="G315" s="135"/>
      <c r="H315" s="135"/>
      <c r="I315" s="135"/>
      <c r="J315" s="135"/>
      <c r="K315" s="135"/>
      <c r="L315" s="135"/>
      <c r="M315" s="135"/>
      <c r="N315" s="135"/>
      <c r="O315" s="135"/>
      <c r="P315" s="135"/>
      <c r="Q315" s="135"/>
      <c r="R315" s="135"/>
      <c r="S315" s="205" t="s">
        <v>577</v>
      </c>
      <c r="T315" s="135"/>
      <c r="U315" s="135"/>
      <c r="V315" s="135"/>
      <c r="W315" s="135"/>
      <c r="X315" s="135"/>
      <c r="Y315" s="135"/>
      <c r="Z315" s="135"/>
      <c r="AA315" s="135"/>
      <c r="AB315" s="135"/>
      <c r="AI315" s="272"/>
    </row>
    <row r="316" spans="2:35" s="277" customFormat="1" x14ac:dyDescent="0.35">
      <c r="D316" s="196" t="s">
        <v>530</v>
      </c>
      <c r="E316" s="135">
        <f t="shared" ref="E316:M316" si="428">1-((E308-E308)/E308)</f>
        <v>1</v>
      </c>
      <c r="F316" s="135">
        <f t="shared" si="428"/>
        <v>1</v>
      </c>
      <c r="G316" s="135">
        <f t="shared" si="428"/>
        <v>1</v>
      </c>
      <c r="H316" s="135">
        <f t="shared" si="428"/>
        <v>1</v>
      </c>
      <c r="I316" s="135">
        <f t="shared" si="428"/>
        <v>1</v>
      </c>
      <c r="J316" s="135">
        <f t="shared" si="428"/>
        <v>1</v>
      </c>
      <c r="K316" s="135">
        <f t="shared" si="428"/>
        <v>1</v>
      </c>
      <c r="L316" s="135">
        <f t="shared" si="428"/>
        <v>1</v>
      </c>
      <c r="M316" s="135">
        <f t="shared" si="428"/>
        <v>1</v>
      </c>
      <c r="N316" s="135"/>
      <c r="O316" s="135"/>
      <c r="P316" s="135"/>
      <c r="Q316" s="135"/>
      <c r="R316" s="135"/>
      <c r="S316" s="196" t="s">
        <v>530</v>
      </c>
      <c r="T316" s="135">
        <f t="shared" ref="T316:AB316" si="429">1-((T308-T308)/T308)</f>
        <v>1</v>
      </c>
      <c r="U316" s="135">
        <f t="shared" si="429"/>
        <v>1</v>
      </c>
      <c r="V316" s="135">
        <f t="shared" si="429"/>
        <v>1</v>
      </c>
      <c r="W316" s="135">
        <f t="shared" si="429"/>
        <v>1</v>
      </c>
      <c r="X316" s="135">
        <f t="shared" si="429"/>
        <v>1</v>
      </c>
      <c r="Y316" s="135">
        <f t="shared" si="429"/>
        <v>1</v>
      </c>
      <c r="Z316" s="135">
        <f t="shared" si="429"/>
        <v>1</v>
      </c>
      <c r="AA316" s="135">
        <f t="shared" si="429"/>
        <v>1</v>
      </c>
      <c r="AB316" s="135">
        <f t="shared" si="429"/>
        <v>1</v>
      </c>
      <c r="AI316" s="272"/>
    </row>
    <row r="317" spans="2:35" s="277" customFormat="1" x14ac:dyDescent="0.35">
      <c r="D317" s="275" t="s">
        <v>552</v>
      </c>
      <c r="E317" s="135">
        <f t="shared" ref="E317:M317" si="430">1-((E308-E309)/E308)</f>
        <v>1.2861837621384369</v>
      </c>
      <c r="F317" s="135">
        <f t="shared" si="430"/>
        <v>0.76890854045149837</v>
      </c>
      <c r="G317" s="135">
        <f t="shared" si="430"/>
        <v>1.3758915419366502</v>
      </c>
      <c r="H317" s="135">
        <f t="shared" si="430"/>
        <v>0.78327857099573772</v>
      </c>
      <c r="I317" s="135">
        <f t="shared" si="430"/>
        <v>0.79212291434785709</v>
      </c>
      <c r="J317" s="135">
        <f t="shared" si="430"/>
        <v>0.99806537516008975</v>
      </c>
      <c r="K317" s="135">
        <f t="shared" si="430"/>
        <v>0.954652683304415</v>
      </c>
      <c r="L317" s="135">
        <f t="shared" si="430"/>
        <v>1.3014403292181069</v>
      </c>
      <c r="M317" s="135">
        <f t="shared" si="430"/>
        <v>0.99801220161276383</v>
      </c>
      <c r="N317" s="135"/>
      <c r="O317" s="135"/>
      <c r="P317" s="135"/>
      <c r="Q317" s="135"/>
      <c r="R317" s="135"/>
      <c r="S317" s="276" t="s">
        <v>539</v>
      </c>
      <c r="T317" s="135">
        <f t="shared" ref="T317:AB317" si="431">1-((T308-T309)/T308)</f>
        <v>0.60888339757894905</v>
      </c>
      <c r="U317" s="135">
        <f t="shared" si="431"/>
        <v>2.0587309185041529</v>
      </c>
      <c r="V317" s="135">
        <f t="shared" si="431"/>
        <v>0.49071384808419749</v>
      </c>
      <c r="W317" s="135">
        <f t="shared" si="431"/>
        <v>1.2780642264070377</v>
      </c>
      <c r="X317" s="135">
        <f t="shared" si="431"/>
        <v>1.9323846533101918</v>
      </c>
      <c r="Y317" s="135">
        <f t="shared" si="431"/>
        <v>0.83114989490911284</v>
      </c>
      <c r="Z317" s="135">
        <f t="shared" si="431"/>
        <v>1.5479837987237661</v>
      </c>
      <c r="AA317" s="135">
        <f t="shared" si="431"/>
        <v>0.78672032193158947</v>
      </c>
      <c r="AB317" s="135">
        <f t="shared" si="431"/>
        <v>1.3931828105226576</v>
      </c>
      <c r="AI317" s="272"/>
    </row>
    <row r="318" spans="2:35" s="277" customFormat="1" x14ac:dyDescent="0.35">
      <c r="D318" s="275" t="s">
        <v>552</v>
      </c>
      <c r="E318" s="135">
        <f t="shared" ref="E318:M318" si="432">1-((E308-E310)/E308)</f>
        <v>0.95780414391515367</v>
      </c>
      <c r="F318" s="135">
        <f t="shared" si="432"/>
        <v>0.43379556358936489</v>
      </c>
      <c r="G318" s="135">
        <f t="shared" si="432"/>
        <v>1.5553871588577213</v>
      </c>
      <c r="H318" s="135">
        <f t="shared" si="432"/>
        <v>0.6797898188979532</v>
      </c>
      <c r="I318" s="135">
        <f t="shared" si="432"/>
        <v>1.0638229915293551</v>
      </c>
      <c r="J318" s="135">
        <f t="shared" si="432"/>
        <v>1.4930564063906853</v>
      </c>
      <c r="K318" s="135">
        <f t="shared" si="432"/>
        <v>0.62195753330979642</v>
      </c>
      <c r="L318" s="135">
        <f t="shared" si="432"/>
        <v>0.93542260208926875</v>
      </c>
      <c r="M318" s="135">
        <f t="shared" si="432"/>
        <v>0.97296768278514445</v>
      </c>
      <c r="N318" s="135"/>
      <c r="O318" s="135"/>
      <c r="P318" s="135"/>
      <c r="Q318" s="135"/>
      <c r="R318" s="135"/>
      <c r="S318" s="196" t="s">
        <v>809</v>
      </c>
      <c r="T318" s="135">
        <f t="shared" ref="T318:AB318" si="433">1-((T308-T310)/T308)</f>
        <v>0.41248409765616134</v>
      </c>
      <c r="U318" s="135">
        <f t="shared" si="433"/>
        <v>2.1908082284792361</v>
      </c>
      <c r="V318" s="135">
        <f t="shared" si="433"/>
        <v>0.34751988444896365</v>
      </c>
      <c r="W318" s="135">
        <f t="shared" si="433"/>
        <v>1.3562464400301784</v>
      </c>
      <c r="X318" s="135">
        <f t="shared" si="433"/>
        <v>2.6472154245004802</v>
      </c>
      <c r="Y318" s="135">
        <f t="shared" si="433"/>
        <v>0.78350829165360847</v>
      </c>
      <c r="Z318" s="135">
        <f t="shared" si="433"/>
        <v>1.5643465387187572</v>
      </c>
      <c r="AA318" s="135">
        <f t="shared" si="433"/>
        <v>0.61854460093896713</v>
      </c>
      <c r="AB318" s="135">
        <f t="shared" si="433"/>
        <v>1.6129214769844746</v>
      </c>
      <c r="AI318" s="272"/>
    </row>
    <row r="319" spans="2:35" s="277" customFormat="1" x14ac:dyDescent="0.35">
      <c r="D319" s="275" t="s">
        <v>530</v>
      </c>
      <c r="E319" s="135">
        <f t="shared" ref="E319:M319" si="434">1-((E308-E311)/E308)</f>
        <v>0.77538734099714868</v>
      </c>
      <c r="F319" s="135">
        <f t="shared" si="434"/>
        <v>0.94111476620291756</v>
      </c>
      <c r="G319" s="135">
        <f t="shared" si="434"/>
        <v>0.87233787747096081</v>
      </c>
      <c r="H319" s="135">
        <f t="shared" si="434"/>
        <v>1.0736039908790322</v>
      </c>
      <c r="I319" s="135">
        <f t="shared" si="434"/>
        <v>1.2928350157650668</v>
      </c>
      <c r="J319" s="135">
        <f t="shared" si="434"/>
        <v>1.0742696463363233</v>
      </c>
      <c r="K319" s="135">
        <f t="shared" si="434"/>
        <v>0.88160505599163563</v>
      </c>
      <c r="L319" s="135">
        <f t="shared" si="434"/>
        <v>0.88477366255144041</v>
      </c>
      <c r="M319" s="135">
        <f t="shared" si="434"/>
        <v>1.1834296995331148</v>
      </c>
      <c r="N319" s="135"/>
      <c r="O319" s="135"/>
      <c r="P319" s="135"/>
      <c r="Q319" s="135"/>
      <c r="R319" s="135"/>
      <c r="S319" s="276"/>
      <c r="T319" s="135"/>
      <c r="U319" s="135"/>
      <c r="V319" s="135"/>
      <c r="W319" s="135"/>
      <c r="X319" s="135"/>
      <c r="Y319" s="135"/>
      <c r="Z319" s="135"/>
      <c r="AA319" s="135"/>
      <c r="AB319" s="135"/>
      <c r="AI319" s="272"/>
    </row>
    <row r="320" spans="2:35" s="277" customFormat="1" x14ac:dyDescent="0.35">
      <c r="D320" s="196"/>
      <c r="E320" s="135"/>
      <c r="F320" s="135"/>
      <c r="G320" s="135"/>
      <c r="H320" s="135"/>
      <c r="I320" s="135"/>
      <c r="J320" s="135"/>
      <c r="K320" s="135"/>
      <c r="L320" s="135"/>
      <c r="M320" s="135"/>
      <c r="S320" s="205"/>
      <c r="T320" s="135"/>
      <c r="U320" s="135"/>
      <c r="V320" s="135"/>
      <c r="W320" s="135"/>
      <c r="X320" s="135"/>
      <c r="Y320" s="135"/>
      <c r="Z320" s="135"/>
      <c r="AA320" s="135"/>
      <c r="AB320" s="135"/>
      <c r="AI320" s="272"/>
    </row>
    <row r="321" spans="2:35" s="303" customFormat="1" x14ac:dyDescent="0.35">
      <c r="D321" s="304"/>
      <c r="S321" s="305"/>
      <c r="AI321" s="272"/>
    </row>
    <row r="322" spans="2:35" s="277" customFormat="1" x14ac:dyDescent="0.35">
      <c r="D322" s="196"/>
      <c r="E322" s="135"/>
      <c r="F322" s="135"/>
      <c r="G322" s="135"/>
      <c r="H322" s="135"/>
      <c r="I322" s="135"/>
      <c r="J322" s="135"/>
      <c r="K322" s="135"/>
      <c r="L322" s="135"/>
      <c r="M322" s="135"/>
      <c r="AI322" s="272"/>
    </row>
    <row r="323" spans="2:35" s="277" customFormat="1" x14ac:dyDescent="0.35">
      <c r="D323" s="195" t="s">
        <v>745</v>
      </c>
      <c r="E323" s="135"/>
      <c r="F323" s="135"/>
      <c r="G323" s="135"/>
      <c r="H323" s="135"/>
      <c r="I323" s="135"/>
      <c r="J323" s="135"/>
      <c r="K323" s="135"/>
      <c r="L323" s="135"/>
      <c r="M323" s="135"/>
      <c r="N323" s="135"/>
      <c r="O323" s="135"/>
      <c r="P323" s="135"/>
      <c r="Q323" s="135"/>
      <c r="R323" s="135"/>
      <c r="S323" s="195" t="s">
        <v>745</v>
      </c>
      <c r="T323" s="135"/>
      <c r="U323" s="135"/>
      <c r="V323" s="135"/>
      <c r="W323" s="135"/>
      <c r="X323" s="135"/>
      <c r="Y323" s="135"/>
      <c r="Z323" s="135"/>
      <c r="AA323" s="135"/>
      <c r="AB323" s="135"/>
      <c r="AI323" s="272"/>
    </row>
    <row r="324" spans="2:35" s="277" customFormat="1" ht="16" thickBot="1" x14ac:dyDescent="0.4">
      <c r="D324" s="9" t="s">
        <v>444</v>
      </c>
      <c r="E324" s="9" t="s">
        <v>3</v>
      </c>
      <c r="F324" s="9" t="s">
        <v>4</v>
      </c>
      <c r="G324" s="9" t="s">
        <v>5</v>
      </c>
      <c r="H324" s="9" t="s">
        <v>6</v>
      </c>
      <c r="I324" s="9" t="s">
        <v>7</v>
      </c>
      <c r="J324" s="9" t="s">
        <v>8</v>
      </c>
      <c r="K324" s="9" t="s">
        <v>9</v>
      </c>
      <c r="L324" s="9" t="s">
        <v>10</v>
      </c>
      <c r="M324" s="9" t="s">
        <v>139</v>
      </c>
      <c r="N324" s="135"/>
      <c r="O324" s="135"/>
      <c r="P324" s="135"/>
      <c r="Q324" s="135"/>
      <c r="R324" s="135"/>
      <c r="S324" s="9" t="s">
        <v>444</v>
      </c>
      <c r="T324" s="9" t="s">
        <v>3</v>
      </c>
      <c r="U324" s="9" t="s">
        <v>4</v>
      </c>
      <c r="V324" s="9" t="s">
        <v>5</v>
      </c>
      <c r="W324" s="9" t="s">
        <v>6</v>
      </c>
      <c r="X324" s="9" t="s">
        <v>7</v>
      </c>
      <c r="Y324" s="9" t="s">
        <v>8</v>
      </c>
      <c r="Z324" s="9" t="s">
        <v>9</v>
      </c>
      <c r="AA324" s="9" t="s">
        <v>10</v>
      </c>
      <c r="AB324" s="9" t="s">
        <v>139</v>
      </c>
      <c r="AI324" s="272"/>
    </row>
    <row r="325" spans="2:35" s="277" customFormat="1" x14ac:dyDescent="0.35">
      <c r="D325" s="196" t="s">
        <v>530</v>
      </c>
      <c r="E325" s="164">
        <v>2.8767591666666656</v>
      </c>
      <c r="F325" s="164">
        <v>6.0327641666666674</v>
      </c>
      <c r="G325" s="164">
        <v>0.31770850545978097</v>
      </c>
      <c r="H325" s="164">
        <v>0.68229149454021909</v>
      </c>
      <c r="I325" s="164">
        <v>0.39741760306286</v>
      </c>
      <c r="J325" s="164">
        <v>0.11362733067420587</v>
      </c>
      <c r="K325" s="164">
        <v>8.9095233333333343</v>
      </c>
      <c r="L325" s="164">
        <v>10.75</v>
      </c>
      <c r="M325" s="164">
        <v>3.8015655704697839</v>
      </c>
      <c r="N325" s="135"/>
      <c r="O325" s="135"/>
      <c r="P325" s="135"/>
      <c r="Q325" s="135"/>
      <c r="R325" s="135"/>
      <c r="S325" s="196" t="s">
        <v>530</v>
      </c>
      <c r="T325" s="135">
        <v>2.9519476923076913</v>
      </c>
      <c r="U325" s="277">
        <v>5.7462430769230775</v>
      </c>
      <c r="V325" s="135">
        <v>0.34129900564622051</v>
      </c>
      <c r="W325" s="135">
        <v>0.6587009943537796</v>
      </c>
      <c r="X325" s="135">
        <v>0.33901066307971328</v>
      </c>
      <c r="Y325" s="135">
        <v>0.11554519188979698</v>
      </c>
      <c r="Z325" s="135">
        <v>8.6981907692307683</v>
      </c>
      <c r="AA325" s="135">
        <v>13.461538461538462</v>
      </c>
      <c r="AB325" s="135">
        <v>4.5605375303694</v>
      </c>
      <c r="AI325" s="272"/>
    </row>
    <row r="326" spans="2:35" s="277" customFormat="1" x14ac:dyDescent="0.35">
      <c r="D326" s="236" t="s">
        <v>552</v>
      </c>
      <c r="E326" s="164">
        <v>4.2884215384615381</v>
      </c>
      <c r="F326" s="164">
        <v>4.3459123076923083</v>
      </c>
      <c r="G326" s="164">
        <v>0.50889330579393566</v>
      </c>
      <c r="H326" s="164">
        <v>0.4911066942060644</v>
      </c>
      <c r="I326" s="164">
        <v>0.27708101953548619</v>
      </c>
      <c r="J326" s="164">
        <v>0.12450898764194604</v>
      </c>
      <c r="K326" s="164">
        <v>8.6343338461538472</v>
      </c>
      <c r="L326" s="164">
        <v>26.692307692307693</v>
      </c>
      <c r="M326" s="164">
        <v>6.1328956475044061</v>
      </c>
      <c r="Q326" s="278"/>
      <c r="S326" s="276" t="s">
        <v>539</v>
      </c>
      <c r="T326" s="135">
        <v>2.2351156521739215</v>
      </c>
      <c r="U326" s="135">
        <v>7.9579073913043388</v>
      </c>
      <c r="V326" s="135">
        <v>0.23041930606014352</v>
      </c>
      <c r="W326" s="135">
        <v>0.7695806939398564</v>
      </c>
      <c r="X326" s="135">
        <v>0.47194960460777347</v>
      </c>
      <c r="Y326" s="135">
        <v>0.10181191152520787</v>
      </c>
      <c r="Z326" s="135">
        <v>10.193023043478261</v>
      </c>
      <c r="AA326" s="135">
        <v>10.304347826086957</v>
      </c>
      <c r="AB326" s="135">
        <v>4.6744847023288374</v>
      </c>
      <c r="AI326" s="272"/>
    </row>
    <row r="327" spans="2:35" s="277" customFormat="1" x14ac:dyDescent="0.35">
      <c r="B327" s="278" t="s">
        <v>806</v>
      </c>
      <c r="D327" s="275" t="s">
        <v>550</v>
      </c>
      <c r="E327" s="277">
        <v>4.147340769230774</v>
      </c>
      <c r="F327" s="277">
        <v>3.618073076923078</v>
      </c>
      <c r="G327" s="277">
        <v>0.54062164502677768</v>
      </c>
      <c r="H327" s="277">
        <v>0.45937835497322232</v>
      </c>
      <c r="I327" s="277">
        <v>0.24843922434166282</v>
      </c>
      <c r="J327" s="277">
        <v>0.13022555257698384</v>
      </c>
      <c r="K327" s="277">
        <v>7.7654138461538516</v>
      </c>
      <c r="L327" s="277">
        <v>24.615384615384617</v>
      </c>
      <c r="M327" s="277">
        <v>5.9463787248231919</v>
      </c>
      <c r="Q327" s="278"/>
      <c r="S327" s="276" t="s">
        <v>534</v>
      </c>
      <c r="T327" s="135">
        <v>2.9514050000000003</v>
      </c>
      <c r="U327" s="135">
        <v>5.7117307142857134</v>
      </c>
      <c r="V327" s="135">
        <v>0.34246552862735991</v>
      </c>
      <c r="W327" s="135">
        <v>0.65753447137264021</v>
      </c>
      <c r="X327" s="135">
        <v>0.33936310472563447</v>
      </c>
      <c r="Y327" s="135">
        <v>0.11607431067953684</v>
      </c>
      <c r="Z327" s="135">
        <v>8.6631357142857137</v>
      </c>
      <c r="AA327" s="135">
        <v>13.142857142857142</v>
      </c>
      <c r="AB327" s="135">
        <v>4.4512832072285242</v>
      </c>
      <c r="AI327" s="272"/>
    </row>
    <row r="328" spans="2:35" s="277" customFormat="1" x14ac:dyDescent="0.35">
      <c r="B328" s="278" t="s">
        <v>806</v>
      </c>
      <c r="D328" s="205" t="s">
        <v>529</v>
      </c>
      <c r="E328" s="277">
        <v>4.0910117857142909</v>
      </c>
      <c r="F328" s="277">
        <v>5.0499710714285646</v>
      </c>
      <c r="G328" s="277">
        <v>0.45292006740821522</v>
      </c>
      <c r="H328" s="277">
        <v>0.54707993259178478</v>
      </c>
      <c r="I328" s="277">
        <v>0.2488815130331348</v>
      </c>
      <c r="J328" s="277">
        <v>0.1104129545389511</v>
      </c>
      <c r="K328" s="277">
        <v>9.1409828571428555</v>
      </c>
      <c r="L328" s="277">
        <v>23.464285714285715</v>
      </c>
      <c r="M328" s="277">
        <v>5.7304516524847093</v>
      </c>
      <c r="S328" s="237" t="s">
        <v>532</v>
      </c>
      <c r="T328" s="277">
        <v>2.7903000000000029</v>
      </c>
      <c r="U328" s="277">
        <v>6.4389630769230735</v>
      </c>
      <c r="V328" s="277">
        <v>0.30226509454367434</v>
      </c>
      <c r="W328" s="277">
        <v>0.69773490545632566</v>
      </c>
      <c r="X328" s="277">
        <v>0.37046671541604564</v>
      </c>
      <c r="Y328" s="135">
        <v>0.10888216790719868</v>
      </c>
      <c r="Z328" s="135">
        <v>9.2292630769230772</v>
      </c>
      <c r="AA328" s="135">
        <v>12.384615384615385</v>
      </c>
      <c r="AB328" s="135">
        <v>4.5117785660301761</v>
      </c>
      <c r="AI328" s="272"/>
    </row>
    <row r="329" spans="2:35" s="277" customFormat="1" x14ac:dyDescent="0.35">
      <c r="D329" s="196"/>
      <c r="E329" s="135"/>
      <c r="F329" s="135"/>
      <c r="G329" s="135"/>
      <c r="H329" s="135"/>
      <c r="I329" s="135"/>
      <c r="J329" s="135"/>
      <c r="K329" s="135"/>
      <c r="L329" s="135"/>
      <c r="M329" s="135"/>
      <c r="N329" s="135"/>
      <c r="O329" s="135"/>
      <c r="P329" s="135"/>
      <c r="Q329" s="135"/>
      <c r="R329" s="135"/>
      <c r="S329" s="276" t="s">
        <v>810</v>
      </c>
      <c r="T329" s="135">
        <v>2.9032169230769287</v>
      </c>
      <c r="U329" s="135">
        <v>6.1875407692307629</v>
      </c>
      <c r="V329" s="135">
        <v>0.32046732123611893</v>
      </c>
      <c r="W329" s="135">
        <v>0.6795326787638809</v>
      </c>
      <c r="X329" s="135">
        <v>0.34804531890250384</v>
      </c>
      <c r="Y329" s="135">
        <v>0.11056762801967344</v>
      </c>
      <c r="Z329" s="135">
        <v>9.090757692307692</v>
      </c>
      <c r="AA329" s="135">
        <v>12.23076923076923</v>
      </c>
      <c r="AB329" s="135">
        <v>4.2383270226996244</v>
      </c>
      <c r="AI329" s="272"/>
    </row>
    <row r="330" spans="2:35" s="277" customFormat="1" x14ac:dyDescent="0.35">
      <c r="D330" s="196"/>
      <c r="E330" s="135"/>
      <c r="F330" s="135"/>
      <c r="G330" s="135"/>
      <c r="H330" s="135"/>
      <c r="I330" s="135"/>
      <c r="J330" s="135"/>
      <c r="K330" s="135"/>
      <c r="L330" s="135"/>
      <c r="M330" s="135"/>
      <c r="N330" s="135"/>
      <c r="O330" s="135"/>
      <c r="P330" s="135"/>
      <c r="Q330" s="135"/>
      <c r="R330" s="135"/>
      <c r="S330" s="205"/>
      <c r="T330" s="135"/>
      <c r="U330" s="135"/>
      <c r="V330" s="135"/>
      <c r="W330" s="135"/>
      <c r="X330" s="135"/>
      <c r="Y330" s="135"/>
      <c r="Z330" s="135"/>
      <c r="AA330" s="135"/>
      <c r="AB330" s="135"/>
      <c r="AI330" s="272"/>
    </row>
    <row r="331" spans="2:35" s="277" customFormat="1" x14ac:dyDescent="0.35">
      <c r="D331" s="196"/>
      <c r="E331" s="135"/>
      <c r="F331" s="135"/>
      <c r="G331" s="135"/>
      <c r="H331" s="135"/>
      <c r="I331" s="135"/>
      <c r="J331" s="135"/>
      <c r="K331" s="135"/>
      <c r="L331" s="135"/>
      <c r="M331" s="135"/>
      <c r="N331" s="135"/>
      <c r="O331" s="135"/>
      <c r="P331" s="135"/>
      <c r="Q331" s="135"/>
      <c r="R331" s="135"/>
      <c r="S331" s="205"/>
      <c r="T331" s="135"/>
      <c r="U331" s="135"/>
      <c r="V331" s="135"/>
      <c r="W331" s="135"/>
      <c r="X331" s="135"/>
      <c r="Y331" s="135"/>
      <c r="Z331" s="135"/>
      <c r="AA331" s="135"/>
      <c r="AB331" s="135"/>
      <c r="AI331" s="272"/>
    </row>
    <row r="332" spans="2:35" s="277" customFormat="1" x14ac:dyDescent="0.35">
      <c r="D332" s="205" t="s">
        <v>577</v>
      </c>
      <c r="E332" s="135"/>
      <c r="F332" s="135"/>
      <c r="G332" s="135"/>
      <c r="H332" s="135"/>
      <c r="I332" s="135"/>
      <c r="J332" s="135"/>
      <c r="K332" s="135"/>
      <c r="L332" s="135"/>
      <c r="M332" s="135"/>
      <c r="N332" s="135"/>
      <c r="O332" s="135"/>
      <c r="P332" s="135"/>
      <c r="Q332" s="135"/>
      <c r="R332" s="135"/>
      <c r="S332" s="205" t="s">
        <v>577</v>
      </c>
      <c r="T332" s="135"/>
      <c r="U332" s="135"/>
      <c r="V332" s="135"/>
      <c r="W332" s="135"/>
      <c r="X332" s="135"/>
      <c r="Y332" s="135"/>
      <c r="Z332" s="135"/>
      <c r="AA332" s="135"/>
      <c r="AB332" s="135"/>
      <c r="AI332" s="272"/>
    </row>
    <row r="333" spans="2:35" s="277" customFormat="1" x14ac:dyDescent="0.35">
      <c r="D333" s="196" t="s">
        <v>530</v>
      </c>
      <c r="E333" s="135">
        <f t="shared" ref="E333:M333" si="435">1-((E325-E325)/E325)</f>
        <v>1</v>
      </c>
      <c r="F333" s="135">
        <f t="shared" si="435"/>
        <v>1</v>
      </c>
      <c r="G333" s="135">
        <f t="shared" si="435"/>
        <v>1</v>
      </c>
      <c r="H333" s="135">
        <f t="shared" si="435"/>
        <v>1</v>
      </c>
      <c r="I333" s="135">
        <f t="shared" si="435"/>
        <v>1</v>
      </c>
      <c r="J333" s="135">
        <f t="shared" si="435"/>
        <v>1</v>
      </c>
      <c r="K333" s="135">
        <f t="shared" si="435"/>
        <v>1</v>
      </c>
      <c r="L333" s="135">
        <f t="shared" si="435"/>
        <v>1</v>
      </c>
      <c r="M333" s="135">
        <f t="shared" si="435"/>
        <v>1</v>
      </c>
      <c r="N333" s="135"/>
      <c r="O333" s="135"/>
      <c r="P333" s="135"/>
      <c r="Q333" s="135"/>
      <c r="R333" s="135"/>
      <c r="S333" s="196" t="s">
        <v>530</v>
      </c>
      <c r="T333" s="135">
        <f t="shared" ref="T333:AB333" si="436">1-((T325-T325)/T325)</f>
        <v>1</v>
      </c>
      <c r="U333" s="135">
        <f t="shared" si="436"/>
        <v>1</v>
      </c>
      <c r="V333" s="135">
        <f t="shared" si="436"/>
        <v>1</v>
      </c>
      <c r="W333" s="135">
        <f t="shared" si="436"/>
        <v>1</v>
      </c>
      <c r="X333" s="135">
        <f t="shared" si="436"/>
        <v>1</v>
      </c>
      <c r="Y333" s="135">
        <f t="shared" si="436"/>
        <v>1</v>
      </c>
      <c r="Z333" s="135">
        <f t="shared" si="436"/>
        <v>1</v>
      </c>
      <c r="AA333" s="135">
        <f t="shared" si="436"/>
        <v>1</v>
      </c>
      <c r="AB333" s="135">
        <f t="shared" si="436"/>
        <v>1</v>
      </c>
      <c r="AI333" s="272"/>
    </row>
    <row r="334" spans="2:35" s="277" customFormat="1" x14ac:dyDescent="0.35">
      <c r="D334" s="275" t="s">
        <v>552</v>
      </c>
      <c r="E334" s="135">
        <f t="shared" ref="E334:M334" si="437">1-((E325-E326)/E325)</f>
        <v>1.4907127395827793</v>
      </c>
      <c r="F334" s="135">
        <f t="shared" si="437"/>
        <v>0.72038491603983767</v>
      </c>
      <c r="G334" s="135">
        <f t="shared" si="437"/>
        <v>1.6017616684749316</v>
      </c>
      <c r="H334" s="135">
        <f t="shared" si="437"/>
        <v>0.71979014561365762</v>
      </c>
      <c r="I334" s="135">
        <f t="shared" si="437"/>
        <v>0.69720369052615916</v>
      </c>
      <c r="J334" s="135">
        <f t="shared" si="437"/>
        <v>1.095766193777272</v>
      </c>
      <c r="K334" s="135">
        <f t="shared" si="437"/>
        <v>0.96911288327290013</v>
      </c>
      <c r="L334" s="135">
        <f t="shared" si="437"/>
        <v>2.4830053667262968</v>
      </c>
      <c r="M334" s="135">
        <f t="shared" si="437"/>
        <v>1.6132552586082383</v>
      </c>
      <c r="N334" s="135"/>
      <c r="O334" s="135"/>
      <c r="P334" s="135"/>
      <c r="Q334" s="135"/>
      <c r="R334" s="135"/>
      <c r="S334" s="276" t="s">
        <v>539</v>
      </c>
      <c r="T334" s="135">
        <f t="shared" ref="T334:AB334" si="438">1-((T325-T326)/T325)</f>
        <v>0.757166415244511</v>
      </c>
      <c r="U334" s="135">
        <f t="shared" si="438"/>
        <v>1.3848887498796056</v>
      </c>
      <c r="V334" s="135">
        <f t="shared" si="438"/>
        <v>0.67512445758189144</v>
      </c>
      <c r="W334" s="135">
        <f t="shared" si="438"/>
        <v>1.1683308519897646</v>
      </c>
      <c r="X334" s="135">
        <f t="shared" si="438"/>
        <v>1.3921379354867123</v>
      </c>
      <c r="Y334" s="135">
        <f t="shared" si="438"/>
        <v>0.88114364483735996</v>
      </c>
      <c r="Z334" s="135">
        <f t="shared" si="438"/>
        <v>1.1718555402964208</v>
      </c>
      <c r="AA334" s="135">
        <f t="shared" si="438"/>
        <v>0.76546583850931682</v>
      </c>
      <c r="AB334" s="135">
        <f t="shared" si="438"/>
        <v>1.0249854696295433</v>
      </c>
      <c r="AI334" s="272"/>
    </row>
    <row r="335" spans="2:35" s="277" customFormat="1" x14ac:dyDescent="0.35">
      <c r="D335" s="275" t="s">
        <v>552</v>
      </c>
      <c r="E335" s="135">
        <f t="shared" ref="E335:M335" si="439">1-((E325-E327)/E325)</f>
        <v>1.4416711754277109</v>
      </c>
      <c r="F335" s="135">
        <f t="shared" si="439"/>
        <v>0.59973719790246693</v>
      </c>
      <c r="G335" s="135">
        <f t="shared" si="439"/>
        <v>1.7016278624470615</v>
      </c>
      <c r="H335" s="135">
        <f t="shared" si="439"/>
        <v>0.67328752981566486</v>
      </c>
      <c r="I335" s="135">
        <f t="shared" si="439"/>
        <v>0.6251339206591886</v>
      </c>
      <c r="J335" s="135">
        <f t="shared" si="439"/>
        <v>1.1460759643326364</v>
      </c>
      <c r="K335" s="135">
        <f t="shared" si="439"/>
        <v>0.87158578025167643</v>
      </c>
      <c r="L335" s="135">
        <f t="shared" si="439"/>
        <v>2.2898032200357781</v>
      </c>
      <c r="M335" s="135">
        <f t="shared" si="439"/>
        <v>1.5641920715544462</v>
      </c>
      <c r="N335" s="135"/>
      <c r="O335" s="135"/>
      <c r="P335" s="135"/>
      <c r="Q335" s="135"/>
      <c r="R335" s="135"/>
      <c r="S335" s="276" t="s">
        <v>534</v>
      </c>
      <c r="T335" s="135">
        <f t="shared" ref="T335:AB335" si="440">1-((T325-T327)/T325)</f>
        <v>0.99981615788480771</v>
      </c>
      <c r="U335" s="135">
        <f t="shared" si="440"/>
        <v>0.99399392573976453</v>
      </c>
      <c r="V335" s="135">
        <f t="shared" si="440"/>
        <v>1.0034178915315932</v>
      </c>
      <c r="W335" s="135">
        <f t="shared" si="440"/>
        <v>0.99822905538151829</v>
      </c>
      <c r="X335" s="135">
        <f t="shared" si="440"/>
        <v>1.0010396181722412</v>
      </c>
      <c r="Y335" s="135">
        <f t="shared" si="440"/>
        <v>1.0045793233027345</v>
      </c>
      <c r="Z335" s="135">
        <f t="shared" si="440"/>
        <v>0.99596984523849952</v>
      </c>
      <c r="AA335" s="135">
        <f t="shared" si="440"/>
        <v>0.97632653061224484</v>
      </c>
      <c r="AB335" s="135">
        <f t="shared" si="440"/>
        <v>0.97604354258388781</v>
      </c>
      <c r="AI335" s="272"/>
    </row>
    <row r="336" spans="2:35" s="277" customFormat="1" x14ac:dyDescent="0.35">
      <c r="D336" s="275" t="s">
        <v>530</v>
      </c>
      <c r="E336" s="135">
        <f t="shared" ref="E336:M336" si="441">1-((E325-E328)/E325)</f>
        <v>1.4220904666324898</v>
      </c>
      <c r="F336" s="135">
        <f t="shared" si="441"/>
        <v>0.83709074843859954</v>
      </c>
      <c r="G336" s="135">
        <f t="shared" si="441"/>
        <v>1.425583702119523</v>
      </c>
      <c r="H336" s="135">
        <f t="shared" si="441"/>
        <v>0.80182727905827056</v>
      </c>
      <c r="I336" s="135">
        <f t="shared" si="441"/>
        <v>0.62624682730464998</v>
      </c>
      <c r="J336" s="135">
        <f t="shared" si="441"/>
        <v>0.97171124133443665</v>
      </c>
      <c r="K336" s="135">
        <f t="shared" si="441"/>
        <v>1.025978889683532</v>
      </c>
      <c r="L336" s="135">
        <f t="shared" si="441"/>
        <v>2.1827242524916945</v>
      </c>
      <c r="M336" s="135">
        <f t="shared" si="441"/>
        <v>1.5073925587390462</v>
      </c>
      <c r="N336" s="135"/>
      <c r="O336" s="135"/>
      <c r="P336" s="135"/>
      <c r="Q336" s="135"/>
      <c r="R336" s="135"/>
      <c r="S336" s="237" t="s">
        <v>532</v>
      </c>
      <c r="T336" s="135">
        <f>1-((T325-T328)/T325)</f>
        <v>0.94524032633473931</v>
      </c>
      <c r="U336" s="135">
        <f t="shared" ref="U336:AB336" si="442">1-((U325-U328)/U325)</f>
        <v>1.1205518093694924</v>
      </c>
      <c r="V336" s="135">
        <f t="shared" si="442"/>
        <v>0.8856313365793762</v>
      </c>
      <c r="W336" s="135">
        <f t="shared" si="442"/>
        <v>1.0592589223898778</v>
      </c>
      <c r="X336" s="135">
        <f t="shared" si="442"/>
        <v>1.0927877962615469</v>
      </c>
      <c r="Y336" s="135">
        <f t="shared" si="442"/>
        <v>0.94233404373110341</v>
      </c>
      <c r="Z336" s="135">
        <f t="shared" si="442"/>
        <v>1.0610554909385224</v>
      </c>
      <c r="AA336" s="135">
        <f t="shared" si="442"/>
        <v>0.92</v>
      </c>
      <c r="AB336" s="135">
        <f t="shared" si="442"/>
        <v>0.98930850497018619</v>
      </c>
      <c r="AI336" s="272"/>
    </row>
    <row r="337" spans="1:35" s="277" customFormat="1" x14ac:dyDescent="0.35">
      <c r="S337" s="276" t="s">
        <v>810</v>
      </c>
      <c r="T337" s="135">
        <f>1-((T325-T329)/T325)</f>
        <v>0.98349199433386059</v>
      </c>
      <c r="U337" s="135">
        <f t="shared" ref="U337:AB337" si="443">1-((U325-U329)/U325)</f>
        <v>1.0767976026075086</v>
      </c>
      <c r="V337" s="135">
        <f t="shared" si="443"/>
        <v>0.93896353617949002</v>
      </c>
      <c r="W337" s="135">
        <f t="shared" si="443"/>
        <v>1.0316254030108734</v>
      </c>
      <c r="X337" s="135">
        <f t="shared" si="443"/>
        <v>1.0266500638673604</v>
      </c>
      <c r="Y337" s="135">
        <f t="shared" si="443"/>
        <v>0.95692106448816183</v>
      </c>
      <c r="Z337" s="135">
        <f t="shared" si="443"/>
        <v>1.04513202038125</v>
      </c>
      <c r="AA337" s="135">
        <f t="shared" si="443"/>
        <v>0.90857142857142847</v>
      </c>
      <c r="AB337" s="135">
        <f t="shared" si="443"/>
        <v>0.92934812935446298</v>
      </c>
      <c r="AI337" s="272"/>
    </row>
    <row r="338" spans="1:35" s="277" customFormat="1" x14ac:dyDescent="0.35">
      <c r="AI338" s="272"/>
    </row>
    <row r="339" spans="1:35" s="303" customFormat="1" x14ac:dyDescent="0.35">
      <c r="AI339" s="272"/>
    </row>
    <row r="340" spans="1:35" s="277" customFormat="1" x14ac:dyDescent="0.35">
      <c r="AI340" s="272"/>
    </row>
    <row r="341" spans="1:35" s="277" customFormat="1" x14ac:dyDescent="0.35">
      <c r="AI341" s="272"/>
    </row>
    <row r="342" spans="1:35" s="277" customFormat="1" x14ac:dyDescent="0.35">
      <c r="AI342" s="272"/>
    </row>
    <row r="343" spans="1:35" s="277" customFormat="1" x14ac:dyDescent="0.35">
      <c r="A343" s="135"/>
      <c r="AE343" s="135"/>
      <c r="AI343" s="272"/>
    </row>
    <row r="344" spans="1:35" s="277" customFormat="1" x14ac:dyDescent="0.35">
      <c r="A344" s="135"/>
      <c r="AC344" s="135"/>
      <c r="AD344" s="135"/>
      <c r="AE344" s="135"/>
      <c r="AI344" s="272"/>
    </row>
    <row r="345" spans="1:35" s="277" customFormat="1" x14ac:dyDescent="0.3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I345" s="272"/>
    </row>
    <row r="346" spans="1:35" s="277" customFormat="1" x14ac:dyDescent="0.35">
      <c r="A346" s="135"/>
      <c r="B346" s="135"/>
      <c r="C346" s="135"/>
      <c r="D346" s="195" t="s">
        <v>575</v>
      </c>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I346" s="272"/>
    </row>
    <row r="347" spans="1:35" s="277" customFormat="1" ht="16" thickBot="1" x14ac:dyDescent="0.4">
      <c r="A347" s="135"/>
      <c r="B347" s="135"/>
      <c r="C347" s="135"/>
      <c r="D347" s="9" t="s">
        <v>444</v>
      </c>
      <c r="E347" s="9" t="s">
        <v>3</v>
      </c>
      <c r="F347" s="9" t="s">
        <v>4</v>
      </c>
      <c r="G347" s="9" t="s">
        <v>5</v>
      </c>
      <c r="H347" s="9" t="s">
        <v>6</v>
      </c>
      <c r="I347" s="9" t="s">
        <v>7</v>
      </c>
      <c r="J347" s="9" t="s">
        <v>8</v>
      </c>
      <c r="K347" s="9" t="s">
        <v>9</v>
      </c>
      <c r="L347" s="9" t="s">
        <v>10</v>
      </c>
      <c r="M347" s="9" t="s">
        <v>139</v>
      </c>
      <c r="N347" s="205" t="s">
        <v>574</v>
      </c>
      <c r="O347" s="135"/>
      <c r="P347" s="135"/>
      <c r="Q347" s="135"/>
      <c r="R347" s="135"/>
      <c r="S347" s="135"/>
      <c r="T347" s="135"/>
      <c r="U347" s="135"/>
      <c r="V347" s="135"/>
      <c r="W347" s="135"/>
      <c r="X347" s="135"/>
      <c r="Y347" s="135"/>
      <c r="Z347" s="135"/>
      <c r="AA347" s="135"/>
      <c r="AB347" s="135"/>
      <c r="AC347" s="135"/>
      <c r="AD347" s="135"/>
      <c r="AE347" s="135"/>
      <c r="AI347" s="272"/>
    </row>
    <row r="348" spans="1:35" x14ac:dyDescent="0.35">
      <c r="D348" s="135">
        <v>0</v>
      </c>
      <c r="E348" s="135">
        <f t="shared" ref="E348:K348" si="444">AVERAGE(E5,E35,E61,E87,E108,E139,E176,E205,E225)</f>
        <v>3.9605427436014287</v>
      </c>
      <c r="F348" s="289">
        <f t="shared" si="444"/>
        <v>9.3919163127552974</v>
      </c>
      <c r="G348" s="135">
        <f t="shared" si="444"/>
        <v>0.30431537913940088</v>
      </c>
      <c r="H348" s="135">
        <f t="shared" si="444"/>
        <v>0.69568462086059912</v>
      </c>
      <c r="I348" s="135">
        <f t="shared" si="444"/>
        <v>0.28656131285174075</v>
      </c>
      <c r="J348" s="135">
        <f t="shared" si="444"/>
        <v>8.0663160221891267E-2</v>
      </c>
      <c r="K348" s="135">
        <f t="shared" si="444"/>
        <v>13.35245905635672</v>
      </c>
      <c r="L348" s="135">
        <f>AVERAGE(L5,L35,L61,L108,L139,L176,L205,L225)</f>
        <v>20.647086466165415</v>
      </c>
      <c r="M348" s="135">
        <f>AVERAGE(M5,M35,M61,M87,M108,M139,M176,M205,M225)</f>
        <v>5.1505786320546134</v>
      </c>
      <c r="N348" s="135">
        <v>9</v>
      </c>
    </row>
    <row r="349" spans="1:35" x14ac:dyDescent="0.35">
      <c r="D349" s="135">
        <v>2</v>
      </c>
      <c r="E349" s="135">
        <f t="shared" ref="E349:M349" si="445">AVERAGE(E62,E140,E226)</f>
        <v>4.6649388492063482</v>
      </c>
      <c r="F349" s="135">
        <f t="shared" si="445"/>
        <v>7.8597641666666673</v>
      </c>
      <c r="G349" s="135">
        <f t="shared" si="445"/>
        <v>0.37231191874642261</v>
      </c>
      <c r="H349" s="135">
        <f t="shared" si="445"/>
        <v>0.62768808125357733</v>
      </c>
      <c r="I349" s="135">
        <f t="shared" si="445"/>
        <v>0.2369699211251273</v>
      </c>
      <c r="J349" s="135">
        <f t="shared" si="445"/>
        <v>8.3891644412276409E-2</v>
      </c>
      <c r="K349" s="135">
        <f t="shared" si="445"/>
        <v>12.524703015873015</v>
      </c>
      <c r="L349" s="135">
        <f t="shared" si="445"/>
        <v>28.480158730158724</v>
      </c>
      <c r="M349" s="135">
        <f t="shared" si="445"/>
        <v>6.3206296705548821</v>
      </c>
      <c r="N349" s="135">
        <v>3</v>
      </c>
    </row>
    <row r="350" spans="1:35" x14ac:dyDescent="0.35">
      <c r="D350" s="135">
        <v>5</v>
      </c>
      <c r="E350" s="135">
        <f t="shared" ref="E350:K350" si="446">AVERAGE(E36,E88,E109,E142,E177,)</f>
        <v>3.0301097290209782</v>
      </c>
      <c r="F350" s="135">
        <f t="shared" si="446"/>
        <v>6.2220755290542797</v>
      </c>
      <c r="G350" s="135">
        <f t="shared" si="446"/>
        <v>0.27883058626958862</v>
      </c>
      <c r="H350" s="135">
        <f t="shared" si="446"/>
        <v>0.55450274706374469</v>
      </c>
      <c r="I350" s="135">
        <f t="shared" si="446"/>
        <v>0.2552692758148597</v>
      </c>
      <c r="J350" s="135">
        <f t="shared" si="446"/>
        <v>7.904973117481065E-2</v>
      </c>
      <c r="K350" s="135">
        <f t="shared" si="446"/>
        <v>9.2521852580752579</v>
      </c>
      <c r="L350" s="135">
        <f>AVERAGE(L36,L109,L142,L177,)</f>
        <v>18.228021978021978</v>
      </c>
      <c r="M350" s="135">
        <f>AVERAGE(M36,M88,M109,M142,M177,)</f>
        <v>4.4012047122040254</v>
      </c>
      <c r="N350" s="135">
        <v>5</v>
      </c>
    </row>
    <row r="351" spans="1:35" x14ac:dyDescent="0.35">
      <c r="D351" s="135">
        <v>8</v>
      </c>
      <c r="E351" s="135">
        <f t="shared" ref="E351:M351" si="447">AVERAGE(E64,E227)</f>
        <v>5.7946279285714279</v>
      </c>
      <c r="F351" s="135">
        <f t="shared" si="447"/>
        <v>7.6751672857142861</v>
      </c>
      <c r="G351" s="135">
        <f t="shared" si="447"/>
        <v>0.41044825543424135</v>
      </c>
      <c r="H351" s="135">
        <f t="shared" si="447"/>
        <v>0.58955174456575854</v>
      </c>
      <c r="I351" s="135">
        <f t="shared" si="447"/>
        <v>0.21271184584664227</v>
      </c>
      <c r="J351" s="135">
        <f t="shared" si="447"/>
        <v>7.6620924860095474E-2</v>
      </c>
      <c r="K351" s="135">
        <f t="shared" si="447"/>
        <v>13.469795214285714</v>
      </c>
      <c r="L351" s="135">
        <f t="shared" si="447"/>
        <v>39.642857142857139</v>
      </c>
      <c r="M351" s="135">
        <f t="shared" si="447"/>
        <v>6.4948785086303165</v>
      </c>
      <c r="N351" s="135">
        <v>2</v>
      </c>
    </row>
    <row r="352" spans="1:35" x14ac:dyDescent="0.35">
      <c r="D352" s="135">
        <v>15</v>
      </c>
      <c r="E352" s="135">
        <f t="shared" ref="E352:M352" si="448">AVERAGE(E66,E228)</f>
        <v>6.1392338333333338</v>
      </c>
      <c r="F352" s="135">
        <f t="shared" si="448"/>
        <v>7.6136383333333342</v>
      </c>
      <c r="G352" s="135">
        <f t="shared" si="448"/>
        <v>0.42379300819734489</v>
      </c>
      <c r="H352" s="135">
        <f t="shared" si="448"/>
        <v>0.576206991802655</v>
      </c>
      <c r="I352" s="135">
        <f t="shared" si="448"/>
        <v>0.20462415421321298</v>
      </c>
      <c r="J352" s="135">
        <f t="shared" si="448"/>
        <v>7.5981149950387072E-2</v>
      </c>
      <c r="K352" s="135">
        <f t="shared" si="448"/>
        <v>13.752872166666666</v>
      </c>
      <c r="L352" s="135">
        <f t="shared" si="448"/>
        <v>41.3</v>
      </c>
      <c r="M352" s="135">
        <f t="shared" si="448"/>
        <v>6.4835849362272668</v>
      </c>
      <c r="N352" s="135">
        <v>2</v>
      </c>
    </row>
    <row r="353" spans="4:14" x14ac:dyDescent="0.35">
      <c r="D353" s="135">
        <v>25</v>
      </c>
      <c r="E353" s="135">
        <f t="shared" ref="E353:M353" si="449">AVERAGE(E6,E38,E111,E144,E179,E206,)</f>
        <v>3.2613277210884348</v>
      </c>
      <c r="F353" s="135">
        <f t="shared" si="449"/>
        <v>8.4449913095238092</v>
      </c>
      <c r="G353" s="135">
        <f t="shared" si="449"/>
        <v>0.25865282463664702</v>
      </c>
      <c r="H353" s="135">
        <f t="shared" si="449"/>
        <v>0.59849003250621013</v>
      </c>
      <c r="I353" s="135">
        <f t="shared" si="449"/>
        <v>0.24402995193591259</v>
      </c>
      <c r="J353" s="135">
        <f t="shared" si="449"/>
        <v>6.9006632994210962E-2</v>
      </c>
      <c r="K353" s="135">
        <f t="shared" si="449"/>
        <v>11.706319030612246</v>
      </c>
      <c r="L353" s="135">
        <f t="shared" si="449"/>
        <v>19.720521541950113</v>
      </c>
      <c r="M353" s="135">
        <f t="shared" si="449"/>
        <v>5.1517131385464738</v>
      </c>
      <c r="N353" s="135">
        <v>6</v>
      </c>
    </row>
    <row r="354" spans="4:14" x14ac:dyDescent="0.35">
      <c r="D354" s="135">
        <v>40</v>
      </c>
      <c r="E354" s="135">
        <f t="shared" ref="E354:K354" si="450">AVERAGE(E8,E40,E92,E113,E146,E181,E207,)</f>
        <v>3.4070643771228775</v>
      </c>
      <c r="F354" s="135">
        <f t="shared" si="450"/>
        <v>7.6084156018460707</v>
      </c>
      <c r="G354" s="135">
        <f t="shared" si="450"/>
        <v>0.28632988843239093</v>
      </c>
      <c r="H354" s="135">
        <f t="shared" si="450"/>
        <v>0.58867011156760918</v>
      </c>
      <c r="I354" s="135">
        <f t="shared" si="450"/>
        <v>0.25189303063075041</v>
      </c>
      <c r="J354" s="135">
        <f t="shared" si="450"/>
        <v>7.5777465903466526E-2</v>
      </c>
      <c r="K354" s="135">
        <f t="shared" si="450"/>
        <v>11.015479978968948</v>
      </c>
      <c r="L354" s="135">
        <f>AVERAGE(L8,L40,L113,L146,L181,L207,)</f>
        <v>21.970933828076685</v>
      </c>
      <c r="M354" s="135">
        <f>AVERAGE(M8,M40,M92,M113,M146,M181,M207,)</f>
        <v>4.9198070031306758</v>
      </c>
      <c r="N354" s="135">
        <v>7</v>
      </c>
    </row>
    <row r="355" spans="4:14" x14ac:dyDescent="0.35">
      <c r="D355" s="135">
        <v>60</v>
      </c>
      <c r="E355" s="135">
        <f t="shared" ref="E355:M355" si="451">AVERAGE(E10,E42,E115,E148,E183,E208,)</f>
        <v>3.4666347507730371</v>
      </c>
      <c r="F355" s="135">
        <f t="shared" si="451"/>
        <v>6.938028539064109</v>
      </c>
      <c r="G355" s="135">
        <f t="shared" si="451"/>
        <v>0.30122006887557917</v>
      </c>
      <c r="H355" s="135">
        <f t="shared" si="451"/>
        <v>0.55592278826727803</v>
      </c>
      <c r="I355" s="135">
        <f t="shared" si="451"/>
        <v>0.23321623464632868</v>
      </c>
      <c r="J355" s="135">
        <f t="shared" si="451"/>
        <v>7.6810059834550956E-2</v>
      </c>
      <c r="K355" s="135">
        <f t="shared" si="451"/>
        <v>10.404663289837146</v>
      </c>
      <c r="L355" s="135">
        <f t="shared" si="451"/>
        <v>23.80867862296434</v>
      </c>
      <c r="M355" s="135">
        <f t="shared" si="451"/>
        <v>5.9767872418285153</v>
      </c>
      <c r="N355" s="135">
        <v>6</v>
      </c>
    </row>
    <row r="356" spans="4:14" x14ac:dyDescent="0.35">
      <c r="D356" s="135">
        <v>80</v>
      </c>
      <c r="E356" s="135">
        <f t="shared" ref="E356:M356" si="452">AVERAGE(E12,E116,E150,E185,E209,)</f>
        <v>3.1844650446775433</v>
      </c>
      <c r="F356" s="135">
        <f t="shared" si="452"/>
        <v>7.1384639896399911</v>
      </c>
      <c r="G356" s="135">
        <f t="shared" si="452"/>
        <v>0.28196833534946625</v>
      </c>
      <c r="H356" s="135">
        <f t="shared" si="452"/>
        <v>0.55136499798386707</v>
      </c>
      <c r="I356" s="135">
        <f t="shared" si="452"/>
        <v>0.22917527422283224</v>
      </c>
      <c r="J356" s="135">
        <f t="shared" si="452"/>
        <v>7.3784453746452136E-2</v>
      </c>
      <c r="K356" s="135">
        <f t="shared" si="452"/>
        <v>10.322929034317534</v>
      </c>
      <c r="L356" s="135">
        <f t="shared" si="452"/>
        <v>20.978438228438225</v>
      </c>
      <c r="M356" s="135">
        <f t="shared" si="452"/>
        <v>5.550669261373252</v>
      </c>
      <c r="N356" s="135">
        <v>5</v>
      </c>
    </row>
    <row r="357" spans="4:14" x14ac:dyDescent="0.35">
      <c r="D357" s="135">
        <v>100</v>
      </c>
      <c r="E357" s="135">
        <f t="shared" ref="E357:M357" si="453">AVERAGE(E14,E152,E210)</f>
        <v>4.3037532070707085</v>
      </c>
      <c r="F357" s="135">
        <f t="shared" si="453"/>
        <v>7.0058461363636342</v>
      </c>
      <c r="G357" s="135">
        <f t="shared" si="453"/>
        <v>0.39987179896091213</v>
      </c>
      <c r="H357" s="135">
        <f t="shared" si="453"/>
        <v>0.60012820103908793</v>
      </c>
      <c r="I357" s="135">
        <f t="shared" si="453"/>
        <v>0.24024893394289734</v>
      </c>
      <c r="J357" s="135">
        <f t="shared" si="453"/>
        <v>9.205754626996715E-2</v>
      </c>
      <c r="K357" s="135">
        <f t="shared" si="453"/>
        <v>11.309599343434343</v>
      </c>
      <c r="L357" s="135">
        <f t="shared" si="453"/>
        <v>28.580808080808083</v>
      </c>
      <c r="M357" s="135">
        <f t="shared" si="453"/>
        <v>6.6729727658133653</v>
      </c>
      <c r="N357" s="135">
        <v>3</v>
      </c>
    </row>
    <row r="361" spans="4:14" x14ac:dyDescent="0.35">
      <c r="D361" s="195" t="s">
        <v>576</v>
      </c>
    </row>
    <row r="362" spans="4:14" ht="16" thickBot="1" x14ac:dyDescent="0.4">
      <c r="D362" s="9" t="s">
        <v>444</v>
      </c>
      <c r="E362" s="9" t="s">
        <v>3</v>
      </c>
      <c r="F362" s="9" t="s">
        <v>4</v>
      </c>
      <c r="G362" s="9" t="s">
        <v>5</v>
      </c>
      <c r="H362" s="9" t="s">
        <v>6</v>
      </c>
      <c r="I362" s="9" t="s">
        <v>7</v>
      </c>
      <c r="J362" s="9" t="s">
        <v>8</v>
      </c>
      <c r="K362" s="9" t="s">
        <v>9</v>
      </c>
      <c r="L362" s="9" t="s">
        <v>10</v>
      </c>
      <c r="M362" s="9" t="s">
        <v>139</v>
      </c>
      <c r="N362" s="205" t="s">
        <v>574</v>
      </c>
    </row>
    <row r="363" spans="4:14" x14ac:dyDescent="0.35">
      <c r="D363" s="135">
        <v>0</v>
      </c>
      <c r="E363" s="135">
        <f>_xlfn.STDEV.S(E5,E35,E61,E87,E108,E139,E176,E205,E225)</f>
        <v>1.4278931858632655</v>
      </c>
      <c r="F363" s="135">
        <f t="shared" ref="F363:K363" si="454">AVERAGE(F5,F35,F61,F87,F108,F139,F176,F205,F225)</f>
        <v>9.3919163127552974</v>
      </c>
      <c r="G363" s="135">
        <f t="shared" si="454"/>
        <v>0.30431537913940088</v>
      </c>
      <c r="H363" s="135">
        <f t="shared" si="454"/>
        <v>0.69568462086059912</v>
      </c>
      <c r="I363" s="135">
        <f t="shared" si="454"/>
        <v>0.28656131285174075</v>
      </c>
      <c r="J363" s="135">
        <f t="shared" si="454"/>
        <v>8.0663160221891267E-2</v>
      </c>
      <c r="K363" s="135">
        <f t="shared" si="454"/>
        <v>13.35245905635672</v>
      </c>
      <c r="L363" s="135">
        <f>AVERAGE(L5,L35,L61,L108,L139,L176,L205,L225)</f>
        <v>20.647086466165415</v>
      </c>
      <c r="M363" s="135">
        <f>AVERAGE(M5,M35,M61,M87,M108,M139,M176,M205,M225)</f>
        <v>5.1505786320546134</v>
      </c>
      <c r="N363" s="135">
        <v>9</v>
      </c>
    </row>
    <row r="364" spans="4:14" x14ac:dyDescent="0.35">
      <c r="D364" s="135">
        <v>2</v>
      </c>
      <c r="E364" s="135">
        <f t="shared" ref="E364:M364" si="455">AVERAGE(E62,E140,E226)</f>
        <v>4.6649388492063482</v>
      </c>
      <c r="F364" s="135">
        <f t="shared" si="455"/>
        <v>7.8597641666666673</v>
      </c>
      <c r="G364" s="135">
        <f t="shared" si="455"/>
        <v>0.37231191874642261</v>
      </c>
      <c r="H364" s="135">
        <f t="shared" si="455"/>
        <v>0.62768808125357733</v>
      </c>
      <c r="I364" s="135">
        <f t="shared" si="455"/>
        <v>0.2369699211251273</v>
      </c>
      <c r="J364" s="135">
        <f t="shared" si="455"/>
        <v>8.3891644412276409E-2</v>
      </c>
      <c r="K364" s="135">
        <f t="shared" si="455"/>
        <v>12.524703015873015</v>
      </c>
      <c r="L364" s="135">
        <f t="shared" si="455"/>
        <v>28.480158730158724</v>
      </c>
      <c r="M364" s="135">
        <f t="shared" si="455"/>
        <v>6.3206296705548821</v>
      </c>
      <c r="N364" s="135">
        <v>3</v>
      </c>
    </row>
    <row r="365" spans="4:14" x14ac:dyDescent="0.35">
      <c r="D365" s="135">
        <v>5</v>
      </c>
      <c r="E365" s="135">
        <f t="shared" ref="E365:K365" si="456">AVERAGE(E36,E88,E109,E142,E177,)</f>
        <v>3.0301097290209782</v>
      </c>
      <c r="F365" s="135">
        <f t="shared" si="456"/>
        <v>6.2220755290542797</v>
      </c>
      <c r="G365" s="135">
        <f t="shared" si="456"/>
        <v>0.27883058626958862</v>
      </c>
      <c r="H365" s="135">
        <f t="shared" si="456"/>
        <v>0.55450274706374469</v>
      </c>
      <c r="I365" s="135">
        <f t="shared" si="456"/>
        <v>0.2552692758148597</v>
      </c>
      <c r="J365" s="135">
        <f t="shared" si="456"/>
        <v>7.904973117481065E-2</v>
      </c>
      <c r="K365" s="135">
        <f t="shared" si="456"/>
        <v>9.2521852580752579</v>
      </c>
      <c r="L365" s="135">
        <f>AVERAGE(L36,L109,L142,L177,)</f>
        <v>18.228021978021978</v>
      </c>
      <c r="M365" s="135">
        <f>AVERAGE(M36,M88,M109,M142,M177,)</f>
        <v>4.4012047122040254</v>
      </c>
      <c r="N365" s="135">
        <v>5</v>
      </c>
    </row>
    <row r="366" spans="4:14" x14ac:dyDescent="0.35">
      <c r="D366" s="135">
        <v>8</v>
      </c>
      <c r="E366" s="135">
        <f t="shared" ref="E366:M366" si="457">AVERAGE(E64,E227)</f>
        <v>5.7946279285714279</v>
      </c>
      <c r="F366" s="135">
        <f t="shared" si="457"/>
        <v>7.6751672857142861</v>
      </c>
      <c r="G366" s="135">
        <f t="shared" si="457"/>
        <v>0.41044825543424135</v>
      </c>
      <c r="H366" s="135">
        <f t="shared" si="457"/>
        <v>0.58955174456575854</v>
      </c>
      <c r="I366" s="135">
        <f t="shared" si="457"/>
        <v>0.21271184584664227</v>
      </c>
      <c r="J366" s="135">
        <f t="shared" si="457"/>
        <v>7.6620924860095474E-2</v>
      </c>
      <c r="K366" s="135">
        <f t="shared" si="457"/>
        <v>13.469795214285714</v>
      </c>
      <c r="L366" s="135">
        <f t="shared" si="457"/>
        <v>39.642857142857139</v>
      </c>
      <c r="M366" s="135">
        <f t="shared" si="457"/>
        <v>6.4948785086303165</v>
      </c>
      <c r="N366" s="135">
        <v>2</v>
      </c>
    </row>
    <row r="367" spans="4:14" x14ac:dyDescent="0.35">
      <c r="D367" s="135">
        <v>15</v>
      </c>
      <c r="E367" s="135">
        <f t="shared" ref="E367:M367" si="458">AVERAGE(E66,E228)</f>
        <v>6.1392338333333338</v>
      </c>
      <c r="F367" s="135">
        <f t="shared" si="458"/>
        <v>7.6136383333333342</v>
      </c>
      <c r="G367" s="135">
        <f t="shared" si="458"/>
        <v>0.42379300819734489</v>
      </c>
      <c r="H367" s="135">
        <f t="shared" si="458"/>
        <v>0.576206991802655</v>
      </c>
      <c r="I367" s="135">
        <f t="shared" si="458"/>
        <v>0.20462415421321298</v>
      </c>
      <c r="J367" s="135">
        <f t="shared" si="458"/>
        <v>7.5981149950387072E-2</v>
      </c>
      <c r="K367" s="135">
        <f t="shared" si="458"/>
        <v>13.752872166666666</v>
      </c>
      <c r="L367" s="135">
        <f t="shared" si="458"/>
        <v>41.3</v>
      </c>
      <c r="M367" s="135">
        <f t="shared" si="458"/>
        <v>6.4835849362272668</v>
      </c>
      <c r="N367" s="135">
        <v>2</v>
      </c>
    </row>
    <row r="368" spans="4:14" x14ac:dyDescent="0.35">
      <c r="D368" s="135">
        <v>25</v>
      </c>
      <c r="E368" s="135">
        <f t="shared" ref="E368:M368" si="459">AVERAGE(E6,E38,E111,E144,E179,E206,)</f>
        <v>3.2613277210884348</v>
      </c>
      <c r="F368" s="135">
        <f t="shared" si="459"/>
        <v>8.4449913095238092</v>
      </c>
      <c r="G368" s="135">
        <f t="shared" si="459"/>
        <v>0.25865282463664702</v>
      </c>
      <c r="H368" s="135">
        <f t="shared" si="459"/>
        <v>0.59849003250621013</v>
      </c>
      <c r="I368" s="135">
        <f t="shared" si="459"/>
        <v>0.24402995193591259</v>
      </c>
      <c r="J368" s="135">
        <f t="shared" si="459"/>
        <v>6.9006632994210962E-2</v>
      </c>
      <c r="K368" s="135">
        <f t="shared" si="459"/>
        <v>11.706319030612246</v>
      </c>
      <c r="L368" s="135">
        <f t="shared" si="459"/>
        <v>19.720521541950113</v>
      </c>
      <c r="M368" s="135">
        <f t="shared" si="459"/>
        <v>5.1517131385464738</v>
      </c>
      <c r="N368" s="135">
        <v>6</v>
      </c>
    </row>
    <row r="369" spans="2:32" x14ac:dyDescent="0.35">
      <c r="D369" s="135">
        <v>40</v>
      </c>
      <c r="E369" s="135">
        <f t="shared" ref="E369:K369" si="460">AVERAGE(E8,E40,E92,E113,E146,E181,E207,)</f>
        <v>3.4070643771228775</v>
      </c>
      <c r="F369" s="135">
        <f t="shared" si="460"/>
        <v>7.6084156018460707</v>
      </c>
      <c r="G369" s="135">
        <f t="shared" si="460"/>
        <v>0.28632988843239093</v>
      </c>
      <c r="H369" s="135">
        <f t="shared" si="460"/>
        <v>0.58867011156760918</v>
      </c>
      <c r="I369" s="135">
        <f t="shared" si="460"/>
        <v>0.25189303063075041</v>
      </c>
      <c r="J369" s="135">
        <f t="shared" si="460"/>
        <v>7.5777465903466526E-2</v>
      </c>
      <c r="K369" s="135">
        <f t="shared" si="460"/>
        <v>11.015479978968948</v>
      </c>
      <c r="L369" s="135">
        <f>AVERAGE(L8,L40,L113,L146,L181,L207,)</f>
        <v>21.970933828076685</v>
      </c>
      <c r="M369" s="135">
        <f>AVERAGE(M8,M40,M92,M113,M146,M181,M207,)</f>
        <v>4.9198070031306758</v>
      </c>
      <c r="N369" s="135">
        <v>7</v>
      </c>
    </row>
    <row r="370" spans="2:32" x14ac:dyDescent="0.35">
      <c r="D370" s="135">
        <v>60</v>
      </c>
      <c r="E370" s="135">
        <f t="shared" ref="E370:M370" si="461">AVERAGE(E10,E42,E115,E148,E183,E208,)</f>
        <v>3.4666347507730371</v>
      </c>
      <c r="F370" s="135">
        <f t="shared" si="461"/>
        <v>6.938028539064109</v>
      </c>
      <c r="G370" s="135">
        <f t="shared" si="461"/>
        <v>0.30122006887557917</v>
      </c>
      <c r="H370" s="135">
        <f t="shared" si="461"/>
        <v>0.55592278826727803</v>
      </c>
      <c r="I370" s="135">
        <f t="shared" si="461"/>
        <v>0.23321623464632868</v>
      </c>
      <c r="J370" s="135">
        <f t="shared" si="461"/>
        <v>7.6810059834550956E-2</v>
      </c>
      <c r="K370" s="135">
        <f t="shared" si="461"/>
        <v>10.404663289837146</v>
      </c>
      <c r="L370" s="135">
        <f t="shared" si="461"/>
        <v>23.80867862296434</v>
      </c>
      <c r="M370" s="135">
        <f t="shared" si="461"/>
        <v>5.9767872418285153</v>
      </c>
      <c r="N370" s="135">
        <v>6</v>
      </c>
    </row>
    <row r="371" spans="2:32" x14ac:dyDescent="0.35">
      <c r="D371" s="135">
        <v>80</v>
      </c>
      <c r="E371" s="135">
        <f t="shared" ref="E371:M371" si="462">AVERAGE(E12,E116,E150,E185,E209,)</f>
        <v>3.1844650446775433</v>
      </c>
      <c r="F371" s="135">
        <f t="shared" si="462"/>
        <v>7.1384639896399911</v>
      </c>
      <c r="G371" s="135">
        <f t="shared" si="462"/>
        <v>0.28196833534946625</v>
      </c>
      <c r="H371" s="135">
        <f t="shared" si="462"/>
        <v>0.55136499798386707</v>
      </c>
      <c r="I371" s="135">
        <f t="shared" si="462"/>
        <v>0.22917527422283224</v>
      </c>
      <c r="J371" s="135">
        <f t="shared" si="462"/>
        <v>7.3784453746452136E-2</v>
      </c>
      <c r="K371" s="135">
        <f t="shared" si="462"/>
        <v>10.322929034317534</v>
      </c>
      <c r="L371" s="135">
        <f t="shared" si="462"/>
        <v>20.978438228438225</v>
      </c>
      <c r="M371" s="135">
        <f t="shared" si="462"/>
        <v>5.550669261373252</v>
      </c>
      <c r="N371" s="135">
        <v>5</v>
      </c>
    </row>
    <row r="372" spans="2:32" ht="21" x14ac:dyDescent="0.5">
      <c r="D372" s="135">
        <v>100</v>
      </c>
      <c r="E372" s="135">
        <f t="shared" ref="E372:M372" si="463">AVERAGE(E14,E152,E210)</f>
        <v>4.3037532070707085</v>
      </c>
      <c r="F372" s="135">
        <f t="shared" si="463"/>
        <v>7.0058461363636342</v>
      </c>
      <c r="G372" s="135">
        <f t="shared" si="463"/>
        <v>0.39987179896091213</v>
      </c>
      <c r="H372" s="135">
        <f t="shared" si="463"/>
        <v>0.60012820103908793</v>
      </c>
      <c r="I372" s="135">
        <f t="shared" si="463"/>
        <v>0.24024893394289734</v>
      </c>
      <c r="J372" s="135">
        <f t="shared" si="463"/>
        <v>9.205754626996715E-2</v>
      </c>
      <c r="K372" s="135">
        <f t="shared" si="463"/>
        <v>11.309599343434343</v>
      </c>
      <c r="L372" s="135">
        <f t="shared" si="463"/>
        <v>28.580808080808083</v>
      </c>
      <c r="M372" s="135">
        <f t="shared" si="463"/>
        <v>6.6729727658133653</v>
      </c>
      <c r="N372" s="135">
        <v>3</v>
      </c>
      <c r="AE372" s="301"/>
    </row>
    <row r="373" spans="2:32" ht="21" x14ac:dyDescent="0.5">
      <c r="AC373" s="301"/>
      <c r="AD373" s="301"/>
      <c r="AE373" s="301"/>
    </row>
    <row r="374" spans="2:32" ht="39" customHeight="1" x14ac:dyDescent="0.35">
      <c r="B374" s="351" t="s">
        <v>664</v>
      </c>
      <c r="C374" s="351"/>
      <c r="D374" s="351"/>
      <c r="E374" s="351"/>
      <c r="F374" s="351"/>
      <c r="G374" s="351"/>
      <c r="H374" s="351"/>
      <c r="I374" s="351"/>
      <c r="J374" s="351"/>
      <c r="K374" s="351"/>
      <c r="L374" s="351"/>
      <c r="M374" s="351"/>
      <c r="U374" s="351" t="s">
        <v>665</v>
      </c>
      <c r="V374" s="351"/>
      <c r="W374" s="351"/>
      <c r="X374" s="351"/>
      <c r="Y374" s="351"/>
      <c r="Z374" s="351"/>
      <c r="AA374" s="351"/>
      <c r="AB374" s="351"/>
      <c r="AC374" s="351"/>
      <c r="AD374" s="351"/>
      <c r="AE374" s="351"/>
      <c r="AF374" s="351"/>
    </row>
    <row r="375" spans="2:32" ht="21" customHeight="1" x14ac:dyDescent="0.35">
      <c r="B375" s="351"/>
      <c r="C375" s="351"/>
      <c r="D375" s="351"/>
      <c r="E375" s="351"/>
      <c r="F375" s="351"/>
      <c r="G375" s="351"/>
      <c r="H375" s="351"/>
      <c r="I375" s="351"/>
      <c r="J375" s="351"/>
      <c r="K375" s="351"/>
      <c r="L375" s="351"/>
      <c r="M375" s="351"/>
      <c r="U375" s="351"/>
      <c r="V375" s="351"/>
      <c r="W375" s="351"/>
      <c r="X375" s="351"/>
      <c r="Y375" s="351"/>
      <c r="Z375" s="351"/>
      <c r="AA375" s="351"/>
      <c r="AB375" s="351"/>
      <c r="AC375" s="351"/>
      <c r="AD375" s="351"/>
      <c r="AE375" s="351"/>
      <c r="AF375" s="351"/>
    </row>
    <row r="376" spans="2:32" ht="21" x14ac:dyDescent="0.5">
      <c r="B376" s="351"/>
      <c r="C376" s="351"/>
      <c r="D376" s="351"/>
      <c r="E376" s="351"/>
      <c r="F376" s="351"/>
      <c r="G376" s="351"/>
      <c r="H376" s="351"/>
      <c r="I376" s="351"/>
      <c r="J376" s="351"/>
      <c r="K376" s="351"/>
      <c r="L376" s="351"/>
      <c r="M376" s="351"/>
      <c r="P376" s="352" t="s">
        <v>812</v>
      </c>
      <c r="Q376" s="352"/>
      <c r="R376" s="352"/>
      <c r="U376" s="301"/>
      <c r="V376" s="301"/>
      <c r="W376" s="301"/>
      <c r="X376" s="301"/>
      <c r="Y376" s="301"/>
      <c r="Z376" s="301"/>
      <c r="AA376" s="301"/>
      <c r="AB376" s="301"/>
      <c r="AC376" s="301"/>
      <c r="AD376" s="301"/>
      <c r="AE376" s="301"/>
    </row>
    <row r="377" spans="2:32" ht="15.75" customHeight="1" thickBot="1" x14ac:dyDescent="0.4">
      <c r="P377" s="352"/>
      <c r="Q377" s="352"/>
      <c r="R377" s="352"/>
    </row>
    <row r="378" spans="2:32" ht="15.75" customHeight="1" x14ac:dyDescent="0.35">
      <c r="B378" s="218"/>
      <c r="C378" s="219"/>
      <c r="D378" s="219"/>
      <c r="E378" s="219"/>
      <c r="F378" s="219"/>
      <c r="G378" s="219"/>
      <c r="H378" s="219"/>
      <c r="I378" s="219"/>
      <c r="J378" s="219"/>
      <c r="K378" s="219"/>
      <c r="L378" s="219"/>
      <c r="M378" s="220"/>
      <c r="P378" s="352"/>
      <c r="Q378" s="352"/>
      <c r="R378" s="352"/>
      <c r="U378" s="218"/>
      <c r="V378" s="219"/>
      <c r="W378" s="219"/>
      <c r="X378" s="219"/>
      <c r="Y378" s="219"/>
      <c r="Z378" s="219"/>
      <c r="AA378" s="219"/>
      <c r="AB378" s="219"/>
      <c r="AC378" s="219"/>
      <c r="AD378" s="219"/>
      <c r="AE378" s="219"/>
      <c r="AF378" s="220"/>
    </row>
    <row r="379" spans="2:32" ht="15.75" customHeight="1" x14ac:dyDescent="0.35">
      <c r="B379" s="140"/>
      <c r="C379" s="4"/>
      <c r="D379" s="4"/>
      <c r="E379" s="4"/>
      <c r="F379" s="4"/>
      <c r="G379" s="4"/>
      <c r="H379" s="4"/>
      <c r="I379" s="4"/>
      <c r="J379" s="4"/>
      <c r="K379" s="4"/>
      <c r="L379" s="4"/>
      <c r="M379" s="136"/>
      <c r="O379" s="4"/>
      <c r="P379" s="352"/>
      <c r="Q379" s="352"/>
      <c r="R379" s="352"/>
      <c r="S379" s="4"/>
      <c r="T379" s="4"/>
      <c r="U379" s="140"/>
      <c r="V379" s="4"/>
      <c r="W379" s="4"/>
      <c r="X379" s="4"/>
      <c r="Y379" s="4"/>
      <c r="Z379" s="4"/>
      <c r="AA379" s="4"/>
      <c r="AB379" s="4"/>
      <c r="AC379" s="4"/>
      <c r="AD379" s="4"/>
      <c r="AE379" s="4"/>
      <c r="AF379" s="136"/>
    </row>
    <row r="380" spans="2:32" ht="15.75" customHeight="1" x14ac:dyDescent="0.35">
      <c r="B380" s="140"/>
      <c r="C380" s="4"/>
      <c r="D380" s="4" t="s">
        <v>588</v>
      </c>
      <c r="E380" s="4"/>
      <c r="F380" s="4"/>
      <c r="G380" s="4"/>
      <c r="H380" s="4"/>
      <c r="I380" s="4"/>
      <c r="J380" s="4"/>
      <c r="K380" s="4"/>
      <c r="L380" s="4"/>
      <c r="M380" s="136"/>
      <c r="O380" s="4"/>
      <c r="P380" s="352"/>
      <c r="Q380" s="352"/>
      <c r="R380" s="352"/>
      <c r="S380" s="4"/>
      <c r="T380" s="4"/>
      <c r="U380" s="140"/>
      <c r="V380" s="4"/>
      <c r="W380" s="4" t="s">
        <v>588</v>
      </c>
      <c r="X380" s="4"/>
      <c r="Y380" s="4"/>
      <c r="Z380" s="4"/>
      <c r="AA380" s="4"/>
      <c r="AB380" s="4"/>
      <c r="AC380" s="4"/>
      <c r="AD380" s="4"/>
      <c r="AE380" s="4"/>
      <c r="AF380" s="136"/>
    </row>
    <row r="381" spans="2:32" x14ac:dyDescent="0.35">
      <c r="B381" s="140"/>
      <c r="C381" s="4"/>
      <c r="D381" s="4" t="s">
        <v>662</v>
      </c>
      <c r="E381" s="4"/>
      <c r="F381" s="4"/>
      <c r="G381" s="4"/>
      <c r="H381" s="4"/>
      <c r="I381" s="4"/>
      <c r="J381" s="4"/>
      <c r="K381" s="4"/>
      <c r="L381" s="4"/>
      <c r="M381" s="136"/>
      <c r="O381" s="4"/>
      <c r="P381" s="352"/>
      <c r="Q381" s="352"/>
      <c r="R381" s="352"/>
      <c r="S381" s="4"/>
      <c r="T381" s="4"/>
      <c r="U381" s="140"/>
      <c r="V381" s="4"/>
      <c r="W381" s="4" t="s">
        <v>662</v>
      </c>
      <c r="X381" s="4"/>
      <c r="Y381" s="4"/>
      <c r="Z381" s="4"/>
      <c r="AA381" s="4"/>
      <c r="AB381" s="4"/>
      <c r="AC381" s="4"/>
      <c r="AD381" s="4"/>
      <c r="AE381" s="4"/>
      <c r="AF381" s="136"/>
    </row>
    <row r="382" spans="2:32" x14ac:dyDescent="0.35">
      <c r="B382" s="140"/>
      <c r="C382" s="4"/>
      <c r="D382" s="4"/>
      <c r="E382" s="4" t="s">
        <v>581</v>
      </c>
      <c r="F382" s="4" t="s">
        <v>582</v>
      </c>
      <c r="G382" s="4" t="s">
        <v>583</v>
      </c>
      <c r="H382" s="4" t="s">
        <v>584</v>
      </c>
      <c r="I382" s="4" t="s">
        <v>123</v>
      </c>
      <c r="J382" s="4"/>
      <c r="K382" s="4"/>
      <c r="L382" s="4"/>
      <c r="M382" s="136"/>
      <c r="O382" s="4"/>
      <c r="P382" s="4"/>
      <c r="Q382" s="4"/>
      <c r="R382" s="4"/>
      <c r="S382" s="4"/>
      <c r="T382" s="4"/>
      <c r="U382" s="140"/>
      <c r="V382" s="4"/>
      <c r="W382" s="4"/>
      <c r="X382" s="4" t="s">
        <v>581</v>
      </c>
      <c r="Y382" s="4" t="s">
        <v>582</v>
      </c>
      <c r="Z382" s="4" t="s">
        <v>583</v>
      </c>
      <c r="AA382" s="4" t="s">
        <v>584</v>
      </c>
      <c r="AB382" s="4" t="s">
        <v>123</v>
      </c>
      <c r="AC382" s="4"/>
      <c r="AD382" s="4"/>
      <c r="AE382" s="4"/>
      <c r="AF382" s="136"/>
    </row>
    <row r="383" spans="2:32" x14ac:dyDescent="0.35">
      <c r="B383" s="140"/>
      <c r="C383" s="4"/>
      <c r="D383" s="223" t="s">
        <v>672</v>
      </c>
      <c r="E383" s="4">
        <v>160.852</v>
      </c>
      <c r="F383" s="4">
        <v>12</v>
      </c>
      <c r="G383" s="4">
        <v>13.404</v>
      </c>
      <c r="H383" s="4">
        <v>9.016</v>
      </c>
      <c r="I383" s="306">
        <v>1E-3</v>
      </c>
      <c r="J383" s="238"/>
      <c r="K383" s="238"/>
      <c r="L383" s="238"/>
      <c r="M383" s="136"/>
      <c r="O383" s="5"/>
      <c r="P383" s="4"/>
      <c r="Q383" s="4"/>
      <c r="R383" s="5"/>
      <c r="S383" s="4"/>
      <c r="T383" s="4"/>
      <c r="U383" s="140"/>
      <c r="V383" s="4"/>
      <c r="W383" s="223" t="s">
        <v>672</v>
      </c>
      <c r="X383" s="4">
        <v>238.922</v>
      </c>
      <c r="Y383" s="4">
        <v>12</v>
      </c>
      <c r="Z383" s="4">
        <v>19.91</v>
      </c>
      <c r="AA383" s="4">
        <v>7.492</v>
      </c>
      <c r="AB383" s="306">
        <v>3.0000000000000001E-3</v>
      </c>
      <c r="AC383" s="238"/>
      <c r="AD383" s="238"/>
      <c r="AE383" s="238"/>
      <c r="AF383" s="136"/>
    </row>
    <row r="384" spans="2:32" x14ac:dyDescent="0.35">
      <c r="B384" s="140"/>
      <c r="C384" s="4"/>
      <c r="D384" s="223" t="s">
        <v>673</v>
      </c>
      <c r="E384" s="4">
        <v>58.854999999999997</v>
      </c>
      <c r="F384" s="4">
        <v>2</v>
      </c>
      <c r="G384" s="4">
        <v>29.427</v>
      </c>
      <c r="H384" s="4"/>
      <c r="I384" s="238"/>
      <c r="J384" s="238"/>
      <c r="K384" s="238"/>
      <c r="L384" s="4"/>
      <c r="M384" s="136"/>
      <c r="O384" s="4"/>
      <c r="P384" s="4"/>
      <c r="Q384" s="4"/>
      <c r="R384" s="4"/>
      <c r="S384" s="4"/>
      <c r="T384" s="4"/>
      <c r="U384" s="140"/>
      <c r="V384" s="4"/>
      <c r="W384" s="223" t="s">
        <v>673</v>
      </c>
      <c r="X384" s="4">
        <v>52.707999999999998</v>
      </c>
      <c r="Y384" s="4">
        <v>2</v>
      </c>
      <c r="Z384" s="4">
        <v>26.353999999999999</v>
      </c>
      <c r="AA384" s="4"/>
      <c r="AB384" s="238"/>
      <c r="AC384" s="238"/>
      <c r="AD384" s="238"/>
      <c r="AE384" s="4"/>
      <c r="AF384" s="136"/>
    </row>
    <row r="385" spans="2:32" x14ac:dyDescent="0.35">
      <c r="B385" s="140"/>
      <c r="C385" s="4"/>
      <c r="D385" s="223" t="s">
        <v>674</v>
      </c>
      <c r="E385" s="4">
        <v>78.332999999999998</v>
      </c>
      <c r="F385" s="4">
        <v>24</v>
      </c>
      <c r="G385" s="4">
        <v>3.2639999999999998</v>
      </c>
      <c r="H385" s="4"/>
      <c r="I385" s="4"/>
      <c r="J385" s="4"/>
      <c r="K385" s="4"/>
      <c r="L385" s="4"/>
      <c r="M385" s="136"/>
      <c r="U385" s="140"/>
      <c r="V385" s="4"/>
      <c r="W385" s="223" t="s">
        <v>674</v>
      </c>
      <c r="X385" s="4">
        <v>84.492000000000004</v>
      </c>
      <c r="Y385" s="4">
        <v>24</v>
      </c>
      <c r="Z385" s="4">
        <v>3.5179999999999998</v>
      </c>
      <c r="AA385" s="4"/>
      <c r="AB385" s="4"/>
      <c r="AC385" s="4"/>
      <c r="AD385" s="4"/>
      <c r="AE385" s="4"/>
      <c r="AF385" s="136"/>
    </row>
    <row r="386" spans="2:32" x14ac:dyDescent="0.35">
      <c r="B386" s="140"/>
      <c r="C386" s="4"/>
      <c r="D386" s="223"/>
      <c r="E386" s="4"/>
      <c r="F386" s="4"/>
      <c r="G386" s="4"/>
      <c r="H386" s="4"/>
      <c r="I386" s="4"/>
      <c r="J386" s="4"/>
      <c r="K386" s="4"/>
      <c r="L386" s="4"/>
      <c r="M386" s="136"/>
      <c r="U386" s="140"/>
      <c r="V386" s="4"/>
      <c r="W386" s="223"/>
      <c r="X386" s="4"/>
      <c r="Y386" s="4"/>
      <c r="Z386" s="4"/>
      <c r="AA386" s="4"/>
      <c r="AB386" s="4"/>
      <c r="AC386" s="4"/>
      <c r="AD386" s="4"/>
      <c r="AE386" s="4"/>
      <c r="AF386" s="136"/>
    </row>
    <row r="387" spans="2:32" x14ac:dyDescent="0.35">
      <c r="B387" s="140"/>
      <c r="C387" s="4"/>
      <c r="D387" s="240" t="s">
        <v>814</v>
      </c>
      <c r="E387" s="4"/>
      <c r="F387" s="4"/>
      <c r="G387" s="4"/>
      <c r="H387" s="4"/>
      <c r="I387" s="4"/>
      <c r="J387" s="4"/>
      <c r="K387" s="4"/>
      <c r="L387" s="4"/>
      <c r="M387" s="136"/>
      <c r="U387" s="140"/>
      <c r="V387" s="4"/>
      <c r="W387" s="240" t="s">
        <v>814</v>
      </c>
      <c r="X387" s="4"/>
      <c r="Y387" s="4"/>
      <c r="Z387" s="4"/>
      <c r="AA387" s="4"/>
      <c r="AB387" s="4"/>
      <c r="AC387" s="4"/>
      <c r="AD387" s="4"/>
      <c r="AE387" s="4"/>
      <c r="AF387" s="136"/>
    </row>
    <row r="388" spans="2:32" x14ac:dyDescent="0.35">
      <c r="B388" s="140"/>
      <c r="C388" s="4"/>
      <c r="D388" s="4"/>
      <c r="E388" s="4"/>
      <c r="F388" s="4"/>
      <c r="G388" s="4"/>
      <c r="H388" s="4" t="s">
        <v>123</v>
      </c>
      <c r="I388" s="4"/>
      <c r="J388" s="4"/>
      <c r="K388" s="4"/>
      <c r="L388" s="4"/>
      <c r="M388" s="136"/>
      <c r="U388" s="140"/>
      <c r="V388" s="4"/>
      <c r="W388" s="4"/>
      <c r="X388" s="4"/>
      <c r="Y388" s="4"/>
      <c r="Z388" s="4"/>
      <c r="AA388" s="4" t="s">
        <v>123</v>
      </c>
      <c r="AB388" s="4"/>
      <c r="AC388" s="4"/>
      <c r="AD388" s="4"/>
      <c r="AE388" s="4"/>
      <c r="AF388" s="136"/>
    </row>
    <row r="389" spans="2:32" x14ac:dyDescent="0.35">
      <c r="B389" s="140"/>
      <c r="C389" s="4"/>
      <c r="D389" s="4" t="s">
        <v>585</v>
      </c>
      <c r="E389" s="4"/>
      <c r="F389" s="4"/>
      <c r="G389" s="4"/>
      <c r="H389" s="306">
        <v>1.2999999999999999E-2</v>
      </c>
      <c r="I389" s="4" t="s">
        <v>60</v>
      </c>
      <c r="J389" s="4"/>
      <c r="K389" s="4"/>
      <c r="L389" s="4"/>
      <c r="M389" s="136"/>
      <c r="U389" s="140"/>
      <c r="V389" s="4"/>
      <c r="W389" s="4" t="s">
        <v>586</v>
      </c>
      <c r="X389" s="4"/>
      <c r="Y389" s="4"/>
      <c r="Z389" s="4"/>
      <c r="AA389" s="5">
        <v>3.2000000000000001E-2</v>
      </c>
      <c r="AB389" s="5" t="s">
        <v>60</v>
      </c>
      <c r="AC389" s="4"/>
      <c r="AD389" s="4"/>
      <c r="AE389" s="4"/>
      <c r="AF389" s="136"/>
    </row>
    <row r="390" spans="2:32" x14ac:dyDescent="0.35">
      <c r="B390" s="140"/>
      <c r="C390" s="4"/>
      <c r="D390" s="4" t="s">
        <v>586</v>
      </c>
      <c r="E390" s="4"/>
      <c r="F390" s="4"/>
      <c r="G390" s="4"/>
      <c r="H390" s="5">
        <v>3.2000000000000001E-2</v>
      </c>
      <c r="I390" s="5" t="s">
        <v>60</v>
      </c>
      <c r="J390" s="4"/>
      <c r="K390" s="4"/>
      <c r="L390" s="4"/>
      <c r="M390" s="136"/>
      <c r="U390" s="140"/>
      <c r="V390" s="4"/>
      <c r="W390" s="4" t="s">
        <v>670</v>
      </c>
      <c r="X390" s="4"/>
      <c r="Y390" s="4"/>
      <c r="Z390" s="4"/>
      <c r="AA390" s="4">
        <v>0.61299999999999999</v>
      </c>
      <c r="AB390" s="4" t="s">
        <v>397</v>
      </c>
      <c r="AC390" s="4"/>
      <c r="AD390" s="4"/>
      <c r="AE390" s="4"/>
      <c r="AF390" s="136"/>
    </row>
    <row r="391" spans="2:32" x14ac:dyDescent="0.35">
      <c r="B391" s="140"/>
      <c r="C391" s="4"/>
      <c r="D391" s="4" t="s">
        <v>587</v>
      </c>
      <c r="E391" s="4"/>
      <c r="F391" s="4"/>
      <c r="G391" s="4"/>
      <c r="H391" s="4">
        <v>0.57899999999999996</v>
      </c>
      <c r="I391" s="4" t="s">
        <v>397</v>
      </c>
      <c r="J391" s="4"/>
      <c r="K391" s="4"/>
      <c r="L391" s="4"/>
      <c r="M391" s="136"/>
      <c r="U391" s="140"/>
      <c r="V391" s="4"/>
      <c r="W391" s="164" t="s">
        <v>671</v>
      </c>
      <c r="X391" s="164"/>
      <c r="Y391" s="164"/>
      <c r="Z391" s="164"/>
      <c r="AA391" s="14">
        <v>1.4E-2</v>
      </c>
      <c r="AB391" s="5" t="s">
        <v>60</v>
      </c>
      <c r="AC391" s="164"/>
      <c r="AD391" s="4"/>
      <c r="AE391" s="4"/>
      <c r="AF391" s="136"/>
    </row>
    <row r="392" spans="2:32" x14ac:dyDescent="0.35">
      <c r="B392" s="140"/>
      <c r="C392" s="4"/>
      <c r="D392" s="223"/>
      <c r="E392" s="4"/>
      <c r="F392" s="4"/>
      <c r="G392" s="4"/>
      <c r="H392" s="4"/>
      <c r="I392" s="4"/>
      <c r="J392" s="4"/>
      <c r="K392" s="4"/>
      <c r="L392" s="4"/>
      <c r="M392" s="136"/>
      <c r="U392" s="140"/>
      <c r="V392" s="4"/>
      <c r="W392" s="223"/>
      <c r="X392" s="4"/>
      <c r="Y392" s="4"/>
      <c r="Z392" s="4"/>
      <c r="AA392" s="4"/>
      <c r="AB392" s="4"/>
      <c r="AC392" s="4"/>
      <c r="AD392" s="4"/>
      <c r="AE392" s="4"/>
      <c r="AF392" s="136"/>
    </row>
    <row r="393" spans="2:32" x14ac:dyDescent="0.35">
      <c r="B393" s="140"/>
      <c r="C393" s="4"/>
      <c r="D393" s="223"/>
      <c r="E393" s="4"/>
      <c r="F393" s="4"/>
      <c r="G393" s="4"/>
      <c r="H393" s="4"/>
      <c r="I393" s="4"/>
      <c r="J393" s="4"/>
      <c r="K393" s="4"/>
      <c r="L393" s="4"/>
      <c r="M393" s="136"/>
      <c r="U393" s="140"/>
      <c r="V393" s="4"/>
      <c r="W393" s="223"/>
      <c r="X393" s="4"/>
      <c r="Y393" s="4"/>
      <c r="Z393" s="4"/>
      <c r="AA393" s="4"/>
      <c r="AB393" s="4"/>
      <c r="AC393" s="4"/>
      <c r="AD393" s="4"/>
      <c r="AE393" s="4"/>
      <c r="AF393" s="136"/>
    </row>
    <row r="394" spans="2:32" x14ac:dyDescent="0.35">
      <c r="B394" s="140"/>
      <c r="C394" s="4"/>
      <c r="D394" s="4"/>
      <c r="E394" s="4"/>
      <c r="F394" s="4"/>
      <c r="G394" s="4"/>
      <c r="H394" s="4"/>
      <c r="I394" s="4"/>
      <c r="J394" s="4"/>
      <c r="K394" s="4"/>
      <c r="L394" s="4"/>
      <c r="M394" s="136"/>
      <c r="U394" s="140"/>
      <c r="V394" s="4"/>
      <c r="W394" s="4"/>
      <c r="X394" s="4"/>
      <c r="Y394" s="4"/>
      <c r="Z394" s="4"/>
      <c r="AA394" s="4"/>
      <c r="AB394" s="4"/>
      <c r="AC394" s="4"/>
      <c r="AD394" s="4"/>
      <c r="AE394" s="4"/>
      <c r="AF394" s="136"/>
    </row>
    <row r="395" spans="2:32" x14ac:dyDescent="0.35">
      <c r="B395" s="140"/>
      <c r="C395" s="4"/>
      <c r="D395" s="4"/>
      <c r="E395" s="4"/>
      <c r="F395" s="4"/>
      <c r="G395" s="4"/>
      <c r="H395" s="4"/>
      <c r="I395" s="4"/>
      <c r="J395" s="4"/>
      <c r="K395" s="4"/>
      <c r="L395" s="4"/>
      <c r="M395" s="136"/>
      <c r="U395" s="140"/>
      <c r="V395" s="4"/>
      <c r="W395" s="4"/>
      <c r="X395" s="4"/>
      <c r="Y395" s="4"/>
      <c r="Z395" s="4"/>
      <c r="AB395" s="4"/>
      <c r="AC395" s="4"/>
      <c r="AD395" s="4"/>
      <c r="AE395" s="4"/>
      <c r="AF395" s="136"/>
    </row>
    <row r="396" spans="2:32" x14ac:dyDescent="0.35">
      <c r="B396" s="140"/>
      <c r="C396" s="4"/>
      <c r="D396" s="4"/>
      <c r="E396" s="4"/>
      <c r="F396" s="4"/>
      <c r="G396" s="4"/>
      <c r="H396" s="4"/>
      <c r="I396" s="4"/>
      <c r="J396" s="4"/>
      <c r="K396" s="4"/>
      <c r="L396" s="4"/>
      <c r="M396" s="136"/>
      <c r="U396" s="140"/>
      <c r="V396" s="4"/>
      <c r="X396" s="4"/>
      <c r="Y396" s="4"/>
      <c r="Z396" s="4"/>
      <c r="AA396" s="4"/>
      <c r="AB396" s="4"/>
      <c r="AC396" s="4"/>
      <c r="AD396" s="4"/>
      <c r="AE396" s="4"/>
      <c r="AF396" s="136"/>
    </row>
    <row r="397" spans="2:32" x14ac:dyDescent="0.35">
      <c r="B397" s="140"/>
      <c r="C397" s="4"/>
      <c r="D397" s="4"/>
      <c r="E397" s="4"/>
      <c r="F397" s="4"/>
      <c r="G397" s="4"/>
      <c r="H397" s="4"/>
      <c r="I397" s="4"/>
      <c r="J397" s="4"/>
      <c r="K397" s="4"/>
      <c r="L397" s="4"/>
      <c r="M397" s="136"/>
      <c r="U397" s="140"/>
      <c r="V397" s="4"/>
      <c r="X397" s="4"/>
      <c r="Y397" s="4"/>
      <c r="Z397" s="4"/>
      <c r="AA397" s="4"/>
      <c r="AB397" s="4"/>
      <c r="AC397" s="4"/>
      <c r="AD397" s="4"/>
      <c r="AE397" s="4"/>
      <c r="AF397" s="136"/>
    </row>
    <row r="398" spans="2:32" x14ac:dyDescent="0.35">
      <c r="B398" s="140"/>
      <c r="C398" s="4"/>
      <c r="D398" s="4"/>
      <c r="E398" s="4"/>
      <c r="F398" s="4"/>
      <c r="G398" s="4"/>
      <c r="H398" s="4"/>
      <c r="I398" s="4"/>
      <c r="J398" s="4"/>
      <c r="K398" s="4"/>
      <c r="L398" s="4"/>
      <c r="M398" s="136"/>
      <c r="U398" s="140"/>
      <c r="V398" s="4"/>
      <c r="X398" s="4"/>
      <c r="Y398" s="4"/>
      <c r="Z398" s="4"/>
      <c r="AA398" s="4"/>
      <c r="AB398" s="4"/>
      <c r="AC398" s="4"/>
      <c r="AD398" s="4"/>
      <c r="AE398" s="4"/>
      <c r="AF398" s="136"/>
    </row>
    <row r="399" spans="2:32" x14ac:dyDescent="0.35">
      <c r="B399" s="140"/>
      <c r="C399" s="4"/>
      <c r="D399" s="4"/>
      <c r="E399" s="4"/>
      <c r="F399" s="4"/>
      <c r="G399" s="4"/>
      <c r="H399" s="4"/>
      <c r="I399" s="4"/>
      <c r="J399" s="4"/>
      <c r="K399" s="4"/>
      <c r="L399" s="4"/>
      <c r="M399" s="136"/>
      <c r="U399" s="140"/>
      <c r="V399" s="4"/>
      <c r="W399" s="4"/>
      <c r="X399" s="4"/>
      <c r="Y399" s="4"/>
      <c r="Z399" s="4"/>
      <c r="AA399" s="4"/>
      <c r="AB399" s="4"/>
      <c r="AC399" s="4"/>
      <c r="AD399" s="4"/>
      <c r="AE399" s="4"/>
      <c r="AF399" s="136"/>
    </row>
    <row r="400" spans="2:32" ht="16" thickBot="1" x14ac:dyDescent="0.4">
      <c r="B400" s="221"/>
      <c r="C400" s="134"/>
      <c r="D400" s="134"/>
      <c r="E400" s="134"/>
      <c r="F400" s="134"/>
      <c r="G400" s="134"/>
      <c r="H400" s="134"/>
      <c r="I400" s="134"/>
      <c r="J400" s="134"/>
      <c r="K400" s="134"/>
      <c r="L400" s="134"/>
      <c r="M400" s="222"/>
      <c r="U400" s="221"/>
      <c r="V400" s="134"/>
      <c r="W400" s="134"/>
      <c r="X400" s="134"/>
      <c r="Y400" s="134"/>
      <c r="Z400" s="134"/>
      <c r="AA400" s="134"/>
      <c r="AB400" s="134"/>
      <c r="AC400" s="134"/>
      <c r="AD400" s="134"/>
      <c r="AE400" s="134"/>
      <c r="AF400" s="222"/>
    </row>
    <row r="402" spans="2:32" x14ac:dyDescent="0.35">
      <c r="D402" s="4"/>
      <c r="W402" s="4"/>
    </row>
    <row r="403" spans="2:32" x14ac:dyDescent="0.35">
      <c r="D403" s="4"/>
      <c r="W403" s="4"/>
    </row>
    <row r="404" spans="2:32" ht="16" thickBot="1" x14ac:dyDescent="0.4"/>
    <row r="405" spans="2:32" x14ac:dyDescent="0.35">
      <c r="B405" s="218"/>
      <c r="C405" s="219"/>
      <c r="D405" s="219"/>
      <c r="E405" s="219"/>
      <c r="F405" s="219"/>
      <c r="G405" s="219"/>
      <c r="H405" s="219"/>
      <c r="I405" s="219"/>
      <c r="J405" s="219"/>
      <c r="K405" s="219"/>
      <c r="L405" s="219"/>
      <c r="M405" s="220"/>
      <c r="U405" s="218"/>
      <c r="V405" s="219"/>
      <c r="W405" s="219"/>
      <c r="X405" s="219"/>
      <c r="Y405" s="219"/>
      <c r="Z405" s="219"/>
      <c r="AA405" s="219"/>
      <c r="AB405" s="219"/>
      <c r="AC405" s="219"/>
      <c r="AD405" s="219"/>
      <c r="AE405" s="219"/>
      <c r="AF405" s="220"/>
    </row>
    <row r="406" spans="2:32" x14ac:dyDescent="0.35">
      <c r="B406" s="140"/>
      <c r="C406" s="4"/>
      <c r="D406" s="4"/>
      <c r="E406" s="4"/>
      <c r="F406" s="4"/>
      <c r="G406" s="4"/>
      <c r="H406" s="4"/>
      <c r="I406" s="4"/>
      <c r="J406" s="4"/>
      <c r="K406" s="4"/>
      <c r="L406" s="4"/>
      <c r="M406" s="136"/>
      <c r="U406" s="140"/>
      <c r="V406" s="4"/>
      <c r="W406" s="4"/>
      <c r="X406" s="4"/>
      <c r="Y406" s="4"/>
      <c r="Z406" s="4"/>
      <c r="AA406" s="4"/>
      <c r="AB406" s="4"/>
      <c r="AC406" s="4"/>
      <c r="AD406" s="4"/>
      <c r="AE406" s="4"/>
      <c r="AF406" s="136"/>
    </row>
    <row r="407" spans="2:32" x14ac:dyDescent="0.35">
      <c r="B407" s="140"/>
      <c r="C407" s="4"/>
      <c r="D407" s="4" t="s">
        <v>588</v>
      </c>
      <c r="E407" s="4"/>
      <c r="F407" s="4"/>
      <c r="G407" s="4"/>
      <c r="H407" s="4"/>
      <c r="I407" s="4"/>
      <c r="J407" s="4"/>
      <c r="K407" s="4"/>
      <c r="L407" s="4"/>
      <c r="M407" s="136"/>
      <c r="U407" s="140"/>
      <c r="V407" s="4"/>
      <c r="W407" s="4" t="s">
        <v>588</v>
      </c>
      <c r="X407" s="4"/>
      <c r="Y407" s="4"/>
      <c r="Z407" s="4"/>
      <c r="AA407" s="4"/>
      <c r="AB407" s="4"/>
      <c r="AC407" s="4"/>
      <c r="AD407" s="4"/>
      <c r="AE407" s="4"/>
      <c r="AF407" s="136"/>
    </row>
    <row r="408" spans="2:32" x14ac:dyDescent="0.35">
      <c r="B408" s="140"/>
      <c r="C408" s="4"/>
      <c r="D408" s="4" t="s">
        <v>663</v>
      </c>
      <c r="E408" s="4"/>
      <c r="F408" s="4"/>
      <c r="G408" s="4"/>
      <c r="H408" s="4"/>
      <c r="I408" s="4"/>
      <c r="J408" s="4"/>
      <c r="K408" s="4"/>
      <c r="L408" s="4"/>
      <c r="M408" s="136"/>
      <c r="U408" s="140"/>
      <c r="V408" s="4"/>
      <c r="W408" s="4" t="s">
        <v>663</v>
      </c>
      <c r="X408" s="4"/>
      <c r="Y408" s="4"/>
      <c r="Z408" s="4"/>
      <c r="AA408" s="4"/>
      <c r="AB408" s="4"/>
      <c r="AC408" s="4"/>
      <c r="AD408" s="4"/>
      <c r="AE408" s="4"/>
      <c r="AF408" s="136"/>
    </row>
    <row r="409" spans="2:32" x14ac:dyDescent="0.35">
      <c r="B409" s="140"/>
      <c r="C409" s="4"/>
      <c r="D409" s="4"/>
      <c r="E409" s="4" t="s">
        <v>581</v>
      </c>
      <c r="F409" s="4" t="s">
        <v>582</v>
      </c>
      <c r="G409" s="4" t="s">
        <v>583</v>
      </c>
      <c r="H409" s="4" t="s">
        <v>584</v>
      </c>
      <c r="I409" s="4" t="s">
        <v>123</v>
      </c>
      <c r="J409" s="4"/>
      <c r="K409" s="4"/>
      <c r="L409" s="4"/>
      <c r="M409" s="136"/>
      <c r="U409" s="140"/>
      <c r="V409" s="4"/>
      <c r="W409" s="4"/>
      <c r="X409" s="4" t="s">
        <v>581</v>
      </c>
      <c r="Y409" s="4" t="s">
        <v>582</v>
      </c>
      <c r="Z409" s="4" t="s">
        <v>583</v>
      </c>
      <c r="AA409" s="4" t="s">
        <v>584</v>
      </c>
      <c r="AB409" s="4" t="s">
        <v>123</v>
      </c>
      <c r="AC409" s="4"/>
      <c r="AD409" s="4"/>
      <c r="AE409" s="4"/>
      <c r="AF409" s="136"/>
    </row>
    <row r="410" spans="2:32" x14ac:dyDescent="0.35">
      <c r="B410" s="140"/>
      <c r="C410" s="4"/>
      <c r="D410" s="223" t="s">
        <v>672</v>
      </c>
      <c r="E410" s="4">
        <v>79.477999999999994</v>
      </c>
      <c r="F410" s="4">
        <v>12</v>
      </c>
      <c r="G410" s="4">
        <v>6.6230000000000002</v>
      </c>
      <c r="H410" s="4">
        <v>2.843</v>
      </c>
      <c r="I410" s="5">
        <v>7.8E-2</v>
      </c>
      <c r="J410" s="4"/>
      <c r="K410" s="4"/>
      <c r="L410" s="4"/>
      <c r="M410" s="136"/>
      <c r="U410" s="140"/>
      <c r="V410" s="4"/>
      <c r="W410" s="223" t="s">
        <v>672</v>
      </c>
      <c r="X410" s="4">
        <v>112.86</v>
      </c>
      <c r="Y410" s="4">
        <v>11</v>
      </c>
      <c r="Z410" s="4">
        <v>9.4049999999999994</v>
      </c>
      <c r="AA410" s="4">
        <v>1.9E-2</v>
      </c>
      <c r="AB410" s="5">
        <v>0.98099999999999998</v>
      </c>
      <c r="AC410" s="4"/>
      <c r="AD410" s="4"/>
      <c r="AE410" s="4"/>
      <c r="AF410" s="136"/>
    </row>
    <row r="411" spans="2:32" x14ac:dyDescent="0.35">
      <c r="B411" s="140"/>
      <c r="C411" s="4"/>
      <c r="D411" s="223" t="s">
        <v>673</v>
      </c>
      <c r="E411" s="4">
        <v>3.875</v>
      </c>
      <c r="F411" s="4">
        <v>2</v>
      </c>
      <c r="G411" s="4">
        <v>1.9379999999999999</v>
      </c>
      <c r="H411" s="4"/>
      <c r="I411" s="238"/>
      <c r="J411" s="238"/>
      <c r="K411" s="238"/>
      <c r="L411" s="238"/>
      <c r="M411" s="136"/>
      <c r="U411" s="140"/>
      <c r="V411" s="4"/>
      <c r="W411" s="223" t="s">
        <v>673</v>
      </c>
      <c r="X411" s="4">
        <v>2.3E-2</v>
      </c>
      <c r="Y411" s="4">
        <v>2</v>
      </c>
      <c r="Z411" s="4">
        <v>1.2E-2</v>
      </c>
      <c r="AA411" s="4"/>
      <c r="AB411" s="238"/>
      <c r="AC411" s="238"/>
      <c r="AD411" s="238"/>
      <c r="AE411" s="238"/>
      <c r="AF411" s="136"/>
    </row>
    <row r="412" spans="2:32" x14ac:dyDescent="0.35">
      <c r="B412" s="140"/>
      <c r="C412" s="4"/>
      <c r="D412" s="223" t="s">
        <v>674</v>
      </c>
      <c r="E412" s="4">
        <v>16.356000000000002</v>
      </c>
      <c r="F412" s="4">
        <v>24</v>
      </c>
      <c r="G412" s="4">
        <v>0.68100000000000005</v>
      </c>
      <c r="H412" s="4"/>
      <c r="I412" s="4"/>
      <c r="J412" s="4"/>
      <c r="K412" s="4"/>
      <c r="L412" s="4"/>
      <c r="M412" s="136"/>
      <c r="U412" s="140"/>
      <c r="V412" s="4"/>
      <c r="W412" s="223" t="s">
        <v>674</v>
      </c>
      <c r="X412" s="4">
        <v>14.548999999999999</v>
      </c>
      <c r="Y412" s="4">
        <v>24</v>
      </c>
      <c r="Z412" s="4">
        <v>0.60599999999999998</v>
      </c>
      <c r="AA412" s="4"/>
      <c r="AB412" s="4"/>
      <c r="AC412" s="4"/>
      <c r="AD412" s="4"/>
      <c r="AE412" s="4"/>
      <c r="AF412" s="136"/>
    </row>
    <row r="413" spans="2:32" x14ac:dyDescent="0.35">
      <c r="B413" s="140"/>
      <c r="C413" s="4"/>
      <c r="D413" s="223"/>
      <c r="E413" s="4"/>
      <c r="F413" s="4"/>
      <c r="G413" s="4"/>
      <c r="H413" s="4"/>
      <c r="I413" s="4"/>
      <c r="J413" s="4"/>
      <c r="K413" s="4"/>
      <c r="L413" s="4"/>
      <c r="M413" s="136"/>
      <c r="U413" s="140"/>
      <c r="V413" s="4"/>
      <c r="W413" s="223"/>
      <c r="X413" s="4"/>
      <c r="Y413" s="4"/>
      <c r="Z413" s="4"/>
      <c r="AA413" s="4"/>
      <c r="AB413" s="4"/>
      <c r="AC413" s="4"/>
      <c r="AD413" s="4"/>
      <c r="AE413" s="4"/>
      <c r="AF413" s="136"/>
    </row>
    <row r="414" spans="2:32" x14ac:dyDescent="0.35">
      <c r="B414" s="140"/>
      <c r="C414" s="4"/>
      <c r="D414" s="223"/>
      <c r="E414" s="4"/>
      <c r="F414" s="4"/>
      <c r="G414" s="4"/>
      <c r="H414" s="4"/>
      <c r="I414" s="4"/>
      <c r="J414" s="4"/>
      <c r="K414" s="4"/>
      <c r="L414" s="4"/>
      <c r="M414" s="136"/>
      <c r="U414" s="140"/>
      <c r="V414" s="4"/>
      <c r="W414" s="223"/>
      <c r="X414" s="4"/>
      <c r="Y414" s="4"/>
      <c r="Z414" s="4"/>
      <c r="AA414" s="4"/>
      <c r="AB414" s="4"/>
      <c r="AC414" s="4"/>
      <c r="AD414" s="4"/>
      <c r="AE414" s="4"/>
      <c r="AF414" s="136"/>
    </row>
    <row r="415" spans="2:32" x14ac:dyDescent="0.35">
      <c r="B415" s="140"/>
      <c r="C415" s="4"/>
      <c r="D415" s="4"/>
      <c r="E415" s="4"/>
      <c r="F415" s="4"/>
      <c r="G415" s="4"/>
      <c r="H415" s="4"/>
      <c r="I415" s="4"/>
      <c r="J415" s="4"/>
      <c r="K415" s="4"/>
      <c r="L415" s="4"/>
      <c r="M415" s="136"/>
      <c r="U415" s="140"/>
      <c r="V415" s="4"/>
      <c r="W415" s="4"/>
      <c r="X415" s="4"/>
      <c r="Y415" s="4"/>
      <c r="Z415" s="4"/>
      <c r="AA415" s="4"/>
      <c r="AB415" s="4"/>
      <c r="AC415" s="4"/>
      <c r="AD415" s="4"/>
      <c r="AE415" s="4"/>
      <c r="AF415" s="136"/>
    </row>
    <row r="416" spans="2:32" x14ac:dyDescent="0.35">
      <c r="B416" s="140"/>
      <c r="C416" s="4"/>
      <c r="D416" s="4"/>
      <c r="E416" s="4"/>
      <c r="F416" s="4"/>
      <c r="G416" s="4"/>
      <c r="I416" s="4"/>
      <c r="J416" s="4"/>
      <c r="K416" s="4"/>
      <c r="L416" s="4"/>
      <c r="M416" s="136"/>
      <c r="U416" s="140"/>
      <c r="V416" s="4"/>
      <c r="W416" s="4"/>
      <c r="X416" s="4"/>
      <c r="Y416" s="4"/>
      <c r="Z416" s="4"/>
      <c r="AB416" s="4"/>
      <c r="AC416" s="4"/>
      <c r="AD416" s="4"/>
      <c r="AE416" s="4"/>
      <c r="AF416" s="136"/>
    </row>
    <row r="417" spans="2:32" x14ac:dyDescent="0.35">
      <c r="B417" s="140"/>
      <c r="C417" s="4"/>
      <c r="E417" s="4"/>
      <c r="G417" s="4"/>
      <c r="H417" s="4"/>
      <c r="I417" s="4"/>
      <c r="J417" s="4"/>
      <c r="K417" s="4"/>
      <c r="L417" s="4"/>
      <c r="M417" s="136"/>
      <c r="U417" s="140"/>
      <c r="V417" s="4"/>
      <c r="X417" s="4"/>
      <c r="Y417" s="4"/>
      <c r="Z417" s="4"/>
      <c r="AA417" s="4"/>
      <c r="AB417" s="4"/>
      <c r="AC417" s="4"/>
      <c r="AD417" s="4"/>
      <c r="AE417" s="4"/>
      <c r="AF417" s="136"/>
    </row>
    <row r="418" spans="2:32" x14ac:dyDescent="0.35">
      <c r="B418" s="140"/>
      <c r="C418" s="4"/>
      <c r="E418" s="4"/>
      <c r="G418" s="4"/>
      <c r="H418" s="4"/>
      <c r="I418" s="4"/>
      <c r="J418" s="4"/>
      <c r="K418" s="4"/>
      <c r="L418" s="4"/>
      <c r="M418" s="136"/>
      <c r="U418" s="140"/>
      <c r="V418" s="4"/>
      <c r="X418" s="4"/>
      <c r="Y418" s="4"/>
      <c r="Z418" s="4"/>
      <c r="AA418" s="4"/>
      <c r="AB418" s="4"/>
      <c r="AC418" s="4"/>
      <c r="AD418" s="4"/>
      <c r="AE418" s="4"/>
      <c r="AF418" s="136"/>
    </row>
    <row r="419" spans="2:32" x14ac:dyDescent="0.35">
      <c r="B419" s="140"/>
      <c r="C419" s="4"/>
      <c r="E419" s="4"/>
      <c r="G419" s="4"/>
      <c r="H419" s="4"/>
      <c r="I419" s="4"/>
      <c r="J419" s="4"/>
      <c r="K419" s="4"/>
      <c r="L419" s="4"/>
      <c r="M419" s="136"/>
      <c r="U419" s="140"/>
      <c r="V419" s="4"/>
      <c r="X419" s="4"/>
      <c r="Y419" s="4"/>
      <c r="Z419" s="4"/>
      <c r="AA419" s="4"/>
      <c r="AB419" s="4"/>
      <c r="AC419" s="4"/>
      <c r="AD419" s="4"/>
      <c r="AE419" s="4"/>
      <c r="AF419" s="136"/>
    </row>
    <row r="420" spans="2:32" x14ac:dyDescent="0.35">
      <c r="B420" s="140"/>
      <c r="C420" s="4"/>
      <c r="D420" s="4"/>
      <c r="E420" s="4"/>
      <c r="F420" s="4"/>
      <c r="G420" s="4"/>
      <c r="H420" s="4"/>
      <c r="I420" s="4"/>
      <c r="J420" s="4"/>
      <c r="K420" s="4"/>
      <c r="L420" s="4"/>
      <c r="M420" s="136"/>
      <c r="U420" s="140"/>
      <c r="V420" s="4"/>
      <c r="W420" s="4"/>
      <c r="X420" s="4"/>
      <c r="Y420" s="4"/>
      <c r="Z420" s="4"/>
      <c r="AA420" s="4"/>
      <c r="AB420" s="4"/>
      <c r="AC420" s="4"/>
      <c r="AD420" s="4"/>
      <c r="AE420" s="4"/>
      <c r="AF420" s="136"/>
    </row>
    <row r="421" spans="2:32" ht="16" thickBot="1" x14ac:dyDescent="0.4">
      <c r="B421" s="221"/>
      <c r="C421" s="134"/>
      <c r="D421" s="134"/>
      <c r="E421" s="134"/>
      <c r="F421" s="134"/>
      <c r="G421" s="134"/>
      <c r="H421" s="134"/>
      <c r="I421" s="134"/>
      <c r="J421" s="134"/>
      <c r="K421" s="134"/>
      <c r="L421" s="134"/>
      <c r="M421" s="222"/>
      <c r="U421" s="221"/>
      <c r="V421" s="134"/>
      <c r="W421" s="134"/>
      <c r="X421" s="134"/>
      <c r="Y421" s="134"/>
      <c r="Z421" s="134"/>
      <c r="AA421" s="134"/>
      <c r="AB421" s="134"/>
      <c r="AC421" s="134"/>
      <c r="AD421" s="134"/>
      <c r="AE421" s="134"/>
      <c r="AF421" s="222"/>
    </row>
    <row r="425" spans="2:32" ht="16" thickBot="1" x14ac:dyDescent="0.4"/>
    <row r="426" spans="2:32" x14ac:dyDescent="0.35">
      <c r="B426" s="218"/>
      <c r="C426" s="219"/>
      <c r="D426" s="219"/>
      <c r="E426" s="219"/>
      <c r="F426" s="219"/>
      <c r="G426" s="219"/>
      <c r="H426" s="219"/>
      <c r="I426" s="219"/>
      <c r="J426" s="219"/>
      <c r="K426" s="219"/>
      <c r="L426" s="219"/>
      <c r="M426" s="220"/>
      <c r="U426" s="218"/>
      <c r="V426" s="219"/>
      <c r="W426" s="219"/>
      <c r="X426" s="219"/>
      <c r="Y426" s="219"/>
      <c r="Z426" s="219"/>
      <c r="AA426" s="219"/>
      <c r="AB426" s="219"/>
      <c r="AC426" s="219"/>
      <c r="AD426" s="219"/>
      <c r="AE426" s="219"/>
      <c r="AF426" s="220"/>
    </row>
    <row r="427" spans="2:32" x14ac:dyDescent="0.35">
      <c r="B427" s="140"/>
      <c r="C427" s="4"/>
      <c r="D427" s="4"/>
      <c r="E427" s="4"/>
      <c r="F427" s="4"/>
      <c r="G427" s="4"/>
      <c r="H427" s="4"/>
      <c r="I427" s="4"/>
      <c r="J427" s="4"/>
      <c r="K427" s="4"/>
      <c r="L427" s="4"/>
      <c r="M427" s="136"/>
      <c r="U427" s="140"/>
      <c r="V427" s="4"/>
      <c r="W427" s="4"/>
      <c r="X427" s="4"/>
      <c r="Y427" s="4"/>
      <c r="Z427" s="4"/>
      <c r="AA427" s="4"/>
      <c r="AB427" s="4"/>
      <c r="AC427" s="4"/>
      <c r="AD427" s="4"/>
      <c r="AE427" s="4"/>
      <c r="AF427" s="136"/>
    </row>
    <row r="428" spans="2:32" x14ac:dyDescent="0.35">
      <c r="B428" s="140"/>
      <c r="C428" s="4"/>
      <c r="D428" s="4" t="s">
        <v>580</v>
      </c>
      <c r="E428" s="4"/>
      <c r="F428" s="4"/>
      <c r="G428" s="4"/>
      <c r="H428" s="4"/>
      <c r="I428" s="4"/>
      <c r="J428" s="4"/>
      <c r="K428" s="4"/>
      <c r="L428" s="4"/>
      <c r="M428" s="136"/>
      <c r="U428" s="140"/>
      <c r="V428" s="4"/>
      <c r="W428" s="4" t="s">
        <v>580</v>
      </c>
      <c r="X428" s="4"/>
      <c r="Y428" s="4"/>
      <c r="Z428" s="4"/>
      <c r="AA428" s="4"/>
      <c r="AB428" s="4"/>
      <c r="AC428" s="4"/>
      <c r="AD428" s="4"/>
      <c r="AE428" s="4"/>
      <c r="AF428" s="136"/>
    </row>
    <row r="429" spans="2:32" x14ac:dyDescent="0.35">
      <c r="B429" s="140"/>
      <c r="C429" s="4"/>
      <c r="D429" s="4" t="s">
        <v>669</v>
      </c>
      <c r="E429" s="4"/>
      <c r="F429" s="4"/>
      <c r="G429" s="4"/>
      <c r="H429" s="4"/>
      <c r="I429" s="4"/>
      <c r="J429" s="4"/>
      <c r="K429" s="4"/>
      <c r="L429" s="4"/>
      <c r="M429" s="136"/>
      <c r="U429" s="140"/>
      <c r="V429" s="4"/>
      <c r="W429" s="4" t="s">
        <v>669</v>
      </c>
      <c r="X429" s="4"/>
      <c r="Y429" s="4"/>
      <c r="Z429" s="4"/>
      <c r="AA429" s="4"/>
      <c r="AB429" s="4"/>
      <c r="AC429" s="4"/>
      <c r="AD429" s="4"/>
      <c r="AE429" s="4"/>
      <c r="AF429" s="136"/>
    </row>
    <row r="430" spans="2:32" x14ac:dyDescent="0.35">
      <c r="B430" s="140"/>
      <c r="C430" s="4"/>
      <c r="D430" s="4"/>
      <c r="E430" s="4" t="s">
        <v>581</v>
      </c>
      <c r="F430" s="4" t="s">
        <v>582</v>
      </c>
      <c r="G430" s="4" t="s">
        <v>583</v>
      </c>
      <c r="H430" s="4" t="s">
        <v>584</v>
      </c>
      <c r="I430" s="4" t="s">
        <v>123</v>
      </c>
      <c r="J430" s="4"/>
      <c r="K430" s="4"/>
      <c r="L430" s="4"/>
      <c r="M430" s="136"/>
      <c r="U430" s="140"/>
      <c r="V430" s="4"/>
      <c r="W430" s="4"/>
      <c r="X430" s="4" t="s">
        <v>581</v>
      </c>
      <c r="Y430" s="4" t="s">
        <v>582</v>
      </c>
      <c r="Z430" s="4" t="s">
        <v>583</v>
      </c>
      <c r="AA430" s="4" t="s">
        <v>584</v>
      </c>
      <c r="AB430" s="4" t="s">
        <v>123</v>
      </c>
      <c r="AC430" s="4"/>
      <c r="AD430" s="4"/>
      <c r="AE430" s="4"/>
      <c r="AF430" s="136"/>
    </row>
    <row r="431" spans="2:32" x14ac:dyDescent="0.35">
      <c r="B431" s="140"/>
      <c r="C431" s="4"/>
      <c r="D431" s="223" t="s">
        <v>672</v>
      </c>
      <c r="E431" s="4">
        <v>366.38900000000001</v>
      </c>
      <c r="F431" s="4">
        <v>12</v>
      </c>
      <c r="G431" s="4">
        <v>30.532</v>
      </c>
      <c r="H431" s="4">
        <v>6.3109999999999999</v>
      </c>
      <c r="I431" s="307">
        <v>6.0000000000000001E-3</v>
      </c>
      <c r="J431" s="238"/>
      <c r="K431" s="238"/>
      <c r="L431" s="238"/>
      <c r="M431" s="136"/>
      <c r="U431" s="140"/>
      <c r="V431" s="4"/>
      <c r="W431" s="223" t="s">
        <v>672</v>
      </c>
      <c r="X431" s="4">
        <v>494.17099999999999</v>
      </c>
      <c r="Y431" s="4">
        <v>12</v>
      </c>
      <c r="Z431" s="4">
        <v>41.180999999999997</v>
      </c>
      <c r="AA431" s="4">
        <v>6.5049999999999999</v>
      </c>
      <c r="AB431" s="239">
        <v>6.0000000000000001E-3</v>
      </c>
      <c r="AC431" s="238"/>
      <c r="AD431" s="238"/>
      <c r="AE431" s="238"/>
      <c r="AF431" s="136"/>
    </row>
    <row r="432" spans="2:32" x14ac:dyDescent="0.35">
      <c r="B432" s="140"/>
      <c r="C432" s="4"/>
      <c r="D432" s="223" t="s">
        <v>673</v>
      </c>
      <c r="E432" s="4">
        <v>48.226999999999997</v>
      </c>
      <c r="F432" s="4">
        <v>2</v>
      </c>
      <c r="G432" s="4">
        <v>24.113</v>
      </c>
      <c r="H432" s="4"/>
      <c r="I432" s="238"/>
      <c r="J432" s="238"/>
      <c r="K432" s="238"/>
      <c r="L432" s="4"/>
      <c r="M432" s="136"/>
      <c r="U432" s="140"/>
      <c r="V432" s="4"/>
      <c r="W432" s="223" t="s">
        <v>673</v>
      </c>
      <c r="X432" s="4">
        <v>53.69</v>
      </c>
      <c r="Y432" s="4">
        <v>2</v>
      </c>
      <c r="Z432" s="4">
        <v>26.844999999999999</v>
      </c>
      <c r="AA432" s="4"/>
      <c r="AB432" s="238"/>
      <c r="AC432" s="238"/>
      <c r="AD432" s="238"/>
      <c r="AE432" s="4"/>
      <c r="AF432" s="136"/>
    </row>
    <row r="433" spans="2:32" x14ac:dyDescent="0.35">
      <c r="B433" s="140"/>
      <c r="C433" s="4"/>
      <c r="D433" s="223" t="s">
        <v>674</v>
      </c>
      <c r="E433" s="4">
        <v>91.706000000000003</v>
      </c>
      <c r="F433" s="4">
        <v>24</v>
      </c>
      <c r="G433" s="4">
        <v>3.8210000000000002</v>
      </c>
      <c r="H433" s="4"/>
      <c r="I433" s="4"/>
      <c r="J433" s="4"/>
      <c r="K433" s="4"/>
      <c r="L433" s="4"/>
      <c r="M433" s="136"/>
      <c r="U433" s="140"/>
      <c r="V433" s="4"/>
      <c r="W433" s="223" t="s">
        <v>674</v>
      </c>
      <c r="X433" s="4">
        <v>99.05</v>
      </c>
      <c r="Y433" s="4">
        <v>24</v>
      </c>
      <c r="Z433" s="4">
        <v>4.1269999999999998</v>
      </c>
      <c r="AA433" s="4"/>
      <c r="AB433" s="4"/>
      <c r="AC433" s="4"/>
      <c r="AD433" s="4"/>
      <c r="AE433" s="4"/>
      <c r="AF433" s="136"/>
    </row>
    <row r="434" spans="2:32" x14ac:dyDescent="0.35">
      <c r="B434" s="140"/>
      <c r="C434" s="4"/>
      <c r="D434" s="223"/>
      <c r="E434" s="4"/>
      <c r="F434" s="4"/>
      <c r="G434" s="4"/>
      <c r="H434" s="4"/>
      <c r="I434" s="4"/>
      <c r="J434" s="4"/>
      <c r="K434" s="4"/>
      <c r="L434" s="4"/>
      <c r="M434" s="136"/>
      <c r="U434" s="140"/>
      <c r="V434" s="4"/>
      <c r="W434" s="223"/>
      <c r="X434" s="4"/>
      <c r="Y434" s="4"/>
      <c r="Z434" s="4"/>
      <c r="AA434" s="4"/>
      <c r="AB434" s="4"/>
      <c r="AC434" s="4"/>
      <c r="AD434" s="4"/>
      <c r="AE434" s="4"/>
      <c r="AF434" s="136"/>
    </row>
    <row r="435" spans="2:32" x14ac:dyDescent="0.35">
      <c r="B435" s="140"/>
      <c r="C435" s="4"/>
      <c r="D435" s="240" t="s">
        <v>814</v>
      </c>
      <c r="E435" s="4"/>
      <c r="F435" s="4"/>
      <c r="G435" s="4"/>
      <c r="H435" s="4"/>
      <c r="I435" s="4"/>
      <c r="J435" s="4"/>
      <c r="K435" s="4"/>
      <c r="L435" s="4"/>
      <c r="M435" s="136"/>
      <c r="U435" s="140"/>
      <c r="V435" s="4"/>
      <c r="W435" s="240" t="s">
        <v>814</v>
      </c>
      <c r="X435" s="4"/>
      <c r="Y435" s="4"/>
      <c r="Z435" s="4"/>
      <c r="AA435" s="4"/>
      <c r="AB435" s="4"/>
      <c r="AC435" s="4"/>
      <c r="AD435" s="4"/>
      <c r="AE435" s="4"/>
      <c r="AF435" s="136"/>
    </row>
    <row r="436" spans="2:32" ht="20.25" customHeight="1" x14ac:dyDescent="0.35">
      <c r="B436" s="140"/>
      <c r="C436" s="4"/>
      <c r="D436" s="4"/>
      <c r="E436" s="4"/>
      <c r="F436" s="4"/>
      <c r="G436" s="4"/>
      <c r="H436" s="4" t="s">
        <v>123</v>
      </c>
      <c r="I436" s="4"/>
      <c r="J436" s="4"/>
      <c r="K436" s="4"/>
      <c r="L436" s="4"/>
      <c r="M436" s="136"/>
      <c r="U436" s="140"/>
      <c r="V436" s="302"/>
      <c r="W436" s="4"/>
      <c r="X436" s="4"/>
      <c r="Y436" s="4"/>
      <c r="Z436" s="4"/>
      <c r="AA436" s="4" t="s">
        <v>123</v>
      </c>
      <c r="AB436" s="4"/>
      <c r="AC436" s="302"/>
      <c r="AD436" s="4"/>
      <c r="AE436" s="4"/>
      <c r="AF436" s="136"/>
    </row>
    <row r="437" spans="2:32" x14ac:dyDescent="0.35">
      <c r="B437" s="140"/>
      <c r="C437" s="4"/>
      <c r="D437" s="164" t="s">
        <v>586</v>
      </c>
      <c r="E437" s="164"/>
      <c r="F437" s="164"/>
      <c r="G437" s="164"/>
      <c r="H437" s="14">
        <v>3.1E-2</v>
      </c>
      <c r="I437" s="14" t="s">
        <v>60</v>
      </c>
      <c r="J437" s="4"/>
      <c r="K437" s="4"/>
      <c r="L437" s="4"/>
      <c r="M437" s="136"/>
      <c r="U437" s="140"/>
      <c r="V437" s="302"/>
      <c r="W437" s="4" t="s">
        <v>586</v>
      </c>
      <c r="X437" s="164"/>
      <c r="Y437" s="164"/>
      <c r="Z437" s="164"/>
      <c r="AA437" s="14">
        <v>3.1E-2</v>
      </c>
      <c r="AB437" s="14" t="s">
        <v>60</v>
      </c>
      <c r="AC437" s="302"/>
      <c r="AD437" s="4"/>
      <c r="AE437" s="4"/>
      <c r="AF437" s="136"/>
    </row>
    <row r="438" spans="2:32" x14ac:dyDescent="0.35">
      <c r="B438" s="140"/>
      <c r="C438" s="4"/>
      <c r="D438" s="164" t="s">
        <v>585</v>
      </c>
      <c r="E438" s="164"/>
      <c r="F438" s="164"/>
      <c r="G438" s="164"/>
      <c r="H438" s="164">
        <v>6.5000000000000002E-2</v>
      </c>
      <c r="I438" s="164" t="s">
        <v>397</v>
      </c>
      <c r="J438" s="4"/>
      <c r="K438" s="4"/>
      <c r="L438" s="4"/>
      <c r="M438" s="136"/>
      <c r="U438" s="140"/>
      <c r="V438" s="4"/>
      <c r="W438" s="4" t="s">
        <v>670</v>
      </c>
      <c r="X438" s="164"/>
      <c r="Y438" s="164"/>
      <c r="Z438" s="164"/>
      <c r="AA438" s="164">
        <v>0.68500000000000005</v>
      </c>
      <c r="AB438" s="4" t="s">
        <v>397</v>
      </c>
      <c r="AC438" s="4"/>
      <c r="AD438" s="4"/>
      <c r="AE438" s="4"/>
      <c r="AF438" s="136"/>
    </row>
    <row r="439" spans="2:32" ht="15.75" customHeight="1" x14ac:dyDescent="0.35">
      <c r="B439" s="140"/>
      <c r="C439" s="4"/>
      <c r="D439" s="4" t="s">
        <v>587</v>
      </c>
      <c r="E439" s="4"/>
      <c r="F439" s="4"/>
      <c r="G439" s="4"/>
      <c r="H439" s="4">
        <v>0.76900000000000002</v>
      </c>
      <c r="I439" s="4" t="s">
        <v>397</v>
      </c>
      <c r="J439" s="4"/>
      <c r="K439" s="4"/>
      <c r="L439" s="4"/>
      <c r="M439" s="136"/>
      <c r="U439" s="140"/>
      <c r="V439" s="4"/>
      <c r="W439" s="164" t="s">
        <v>671</v>
      </c>
      <c r="X439" s="4"/>
      <c r="Y439" s="4"/>
      <c r="Z439" s="4"/>
      <c r="AA439" s="5">
        <v>1.2E-2</v>
      </c>
      <c r="AB439" s="14" t="s">
        <v>60</v>
      </c>
      <c r="AC439" s="4"/>
      <c r="AD439" s="4"/>
      <c r="AE439" s="4"/>
      <c r="AF439" s="136"/>
    </row>
    <row r="440" spans="2:32" x14ac:dyDescent="0.35">
      <c r="B440" s="140"/>
      <c r="C440" s="4"/>
      <c r="D440" s="4"/>
      <c r="E440" s="4"/>
      <c r="F440" s="4"/>
      <c r="G440" s="4"/>
      <c r="H440" s="4"/>
      <c r="I440" s="4"/>
      <c r="J440" s="4"/>
      <c r="K440" s="4"/>
      <c r="L440" s="4"/>
      <c r="M440" s="136"/>
      <c r="U440" s="140"/>
      <c r="V440" s="4"/>
      <c r="W440" s="223"/>
      <c r="X440" s="4"/>
      <c r="Y440" s="4"/>
      <c r="Z440" s="4"/>
      <c r="AA440" s="4"/>
      <c r="AB440" s="4"/>
      <c r="AC440" s="4"/>
      <c r="AD440" s="4"/>
      <c r="AE440" s="4"/>
      <c r="AF440" s="136"/>
    </row>
    <row r="441" spans="2:32" x14ac:dyDescent="0.35">
      <c r="B441" s="140"/>
      <c r="C441" s="4"/>
      <c r="E441" s="4"/>
      <c r="F441" s="4"/>
      <c r="G441" s="4"/>
      <c r="H441" s="4"/>
      <c r="I441" s="4"/>
      <c r="J441" s="4"/>
      <c r="K441" s="4"/>
      <c r="L441" s="4"/>
      <c r="M441" s="136"/>
      <c r="U441" s="140"/>
      <c r="V441" s="4"/>
      <c r="W441" s="223"/>
      <c r="X441" s="4"/>
      <c r="Y441" s="4"/>
      <c r="Z441" s="4"/>
      <c r="AA441" s="4"/>
      <c r="AB441" s="4"/>
      <c r="AC441" s="4"/>
      <c r="AD441" s="4"/>
      <c r="AE441" s="4"/>
      <c r="AF441" s="136"/>
    </row>
    <row r="442" spans="2:32" x14ac:dyDescent="0.35">
      <c r="B442" s="140"/>
      <c r="C442" s="4"/>
      <c r="D442" s="4"/>
      <c r="E442" s="4"/>
      <c r="F442" s="4"/>
      <c r="G442" s="4"/>
      <c r="H442" s="4"/>
      <c r="I442" s="4"/>
      <c r="J442" s="4"/>
      <c r="K442" s="4"/>
      <c r="L442" s="4"/>
      <c r="M442" s="136"/>
      <c r="U442" s="140"/>
      <c r="V442" s="4"/>
      <c r="W442" s="4"/>
      <c r="X442" s="4"/>
      <c r="Y442" s="4"/>
      <c r="Z442" s="4"/>
      <c r="AA442" s="4"/>
      <c r="AB442" s="4"/>
      <c r="AC442" s="4"/>
      <c r="AD442" s="4"/>
      <c r="AE442" s="4"/>
      <c r="AF442" s="136"/>
    </row>
    <row r="443" spans="2:32" x14ac:dyDescent="0.35">
      <c r="B443" s="140"/>
      <c r="C443" s="4"/>
      <c r="D443" s="4"/>
      <c r="E443" s="4"/>
      <c r="F443" s="4"/>
      <c r="G443" s="4"/>
      <c r="H443" s="4"/>
      <c r="I443" s="4"/>
      <c r="J443" s="4"/>
      <c r="K443" s="4"/>
      <c r="L443" s="4"/>
      <c r="M443" s="136"/>
      <c r="U443" s="140"/>
      <c r="V443" s="4"/>
      <c r="W443" s="4"/>
      <c r="X443" s="4"/>
      <c r="Y443" s="4"/>
      <c r="Z443" s="4"/>
      <c r="AB443" s="4"/>
      <c r="AC443" s="4"/>
      <c r="AD443" s="4"/>
      <c r="AE443" s="4"/>
      <c r="AF443" s="136"/>
    </row>
    <row r="444" spans="2:32" x14ac:dyDescent="0.35">
      <c r="B444" s="140"/>
      <c r="C444" s="4"/>
      <c r="D444" s="4"/>
      <c r="E444" s="4"/>
      <c r="F444" s="4"/>
      <c r="G444" s="4"/>
      <c r="H444" s="4"/>
      <c r="I444" s="4"/>
      <c r="J444" s="4"/>
      <c r="K444" s="4"/>
      <c r="L444" s="4"/>
      <c r="M444" s="136"/>
      <c r="U444" s="140"/>
      <c r="V444" s="4"/>
      <c r="X444" s="4"/>
      <c r="Y444" s="4"/>
      <c r="Z444" s="4"/>
      <c r="AA444" s="4"/>
      <c r="AB444" s="4"/>
      <c r="AC444" s="4"/>
      <c r="AD444" s="4"/>
      <c r="AE444" s="4"/>
      <c r="AF444" s="136"/>
    </row>
    <row r="445" spans="2:32" x14ac:dyDescent="0.35">
      <c r="B445" s="140"/>
      <c r="C445" s="4"/>
      <c r="D445" s="4"/>
      <c r="E445" s="4"/>
      <c r="F445" s="4"/>
      <c r="G445" s="4"/>
      <c r="H445" s="4"/>
      <c r="I445" s="4"/>
      <c r="J445" s="4"/>
      <c r="K445" s="4"/>
      <c r="L445" s="4"/>
      <c r="M445" s="136"/>
      <c r="U445" s="140"/>
      <c r="V445" s="4"/>
      <c r="X445" s="4"/>
      <c r="Y445" s="4"/>
      <c r="Z445" s="4"/>
      <c r="AA445" s="4"/>
      <c r="AB445" s="4"/>
      <c r="AC445" s="4"/>
      <c r="AD445" s="4"/>
      <c r="AE445" s="4"/>
      <c r="AF445" s="136"/>
    </row>
    <row r="446" spans="2:32" x14ac:dyDescent="0.35">
      <c r="B446" s="140"/>
      <c r="C446" s="4"/>
      <c r="D446" s="4"/>
      <c r="E446" s="4"/>
      <c r="F446" s="4"/>
      <c r="G446" s="4"/>
      <c r="H446" s="4"/>
      <c r="I446" s="4"/>
      <c r="J446" s="4"/>
      <c r="K446" s="4"/>
      <c r="L446" s="4"/>
      <c r="M446" s="136"/>
      <c r="U446" s="140"/>
      <c r="V446" s="4"/>
      <c r="X446" s="4"/>
      <c r="Y446" s="4"/>
      <c r="Z446" s="4"/>
      <c r="AA446" s="4"/>
      <c r="AB446" s="4"/>
      <c r="AC446" s="4"/>
      <c r="AD446" s="4"/>
      <c r="AE446" s="4"/>
      <c r="AF446" s="136"/>
    </row>
    <row r="447" spans="2:32" x14ac:dyDescent="0.35">
      <c r="B447" s="140"/>
      <c r="C447" s="4"/>
      <c r="D447" s="4"/>
      <c r="E447" s="4"/>
      <c r="F447" s="4"/>
      <c r="G447" s="4"/>
      <c r="H447" s="4"/>
      <c r="I447" s="4"/>
      <c r="J447" s="4"/>
      <c r="K447" s="4"/>
      <c r="L447" s="4"/>
      <c r="M447" s="136"/>
      <c r="U447" s="140"/>
      <c r="V447" s="4"/>
      <c r="W447" s="4"/>
      <c r="X447" s="4"/>
      <c r="Y447" s="4"/>
      <c r="Z447" s="4"/>
      <c r="AA447" s="4"/>
      <c r="AB447" s="4"/>
      <c r="AC447" s="4"/>
      <c r="AD447" s="4"/>
      <c r="AE447" s="4"/>
      <c r="AF447" s="136"/>
    </row>
    <row r="448" spans="2:32" ht="16" thickBot="1" x14ac:dyDescent="0.4">
      <c r="B448" s="221"/>
      <c r="C448" s="134"/>
      <c r="D448" s="134"/>
      <c r="E448" s="134"/>
      <c r="F448" s="134"/>
      <c r="G448" s="134"/>
      <c r="H448" s="134"/>
      <c r="I448" s="134"/>
      <c r="J448" s="134"/>
      <c r="K448" s="134"/>
      <c r="L448" s="134"/>
      <c r="M448" s="222"/>
      <c r="U448" s="221"/>
      <c r="V448" s="134"/>
      <c r="W448" s="134"/>
      <c r="X448" s="134"/>
      <c r="Y448" s="134"/>
      <c r="Z448" s="134"/>
      <c r="AA448" s="134"/>
      <c r="AB448" s="134"/>
      <c r="AC448" s="134"/>
      <c r="AD448" s="134"/>
      <c r="AE448" s="134"/>
      <c r="AF448" s="222"/>
    </row>
    <row r="449" spans="2:32" x14ac:dyDescent="0.35">
      <c r="B449" s="4"/>
      <c r="C449" s="4"/>
      <c r="D449" s="4"/>
      <c r="E449" s="4"/>
      <c r="F449" s="4"/>
      <c r="G449" s="4"/>
      <c r="H449" s="4"/>
      <c r="I449" s="4"/>
      <c r="J449" s="4"/>
      <c r="K449" s="4"/>
      <c r="L449" s="4"/>
      <c r="M449" s="4"/>
      <c r="U449" s="4"/>
      <c r="V449" s="4"/>
      <c r="W449" s="4"/>
      <c r="X449" s="4"/>
      <c r="Y449" s="4"/>
      <c r="Z449" s="4"/>
      <c r="AA449" s="4"/>
      <c r="AB449" s="4"/>
      <c r="AC449" s="4"/>
      <c r="AD449" s="4"/>
      <c r="AE449" s="4"/>
      <c r="AF449" s="4"/>
    </row>
    <row r="450" spans="2:32" x14ac:dyDescent="0.35">
      <c r="B450" s="4"/>
      <c r="C450" s="4"/>
      <c r="D450" s="4"/>
      <c r="E450" s="4"/>
      <c r="F450" s="4"/>
      <c r="G450" s="4"/>
      <c r="H450" s="4"/>
      <c r="I450" s="4"/>
      <c r="J450" s="4"/>
      <c r="K450" s="4"/>
      <c r="L450" s="4"/>
      <c r="M450" s="4"/>
      <c r="U450" s="4"/>
      <c r="V450" s="4"/>
      <c r="W450" s="4"/>
      <c r="X450" s="4"/>
      <c r="Y450" s="4"/>
      <c r="Z450" s="4"/>
      <c r="AA450" s="4"/>
      <c r="AB450" s="4"/>
      <c r="AC450" s="4"/>
      <c r="AD450" s="4"/>
      <c r="AE450" s="4"/>
      <c r="AF450" s="4"/>
    </row>
    <row r="451" spans="2:32" x14ac:dyDescent="0.35">
      <c r="B451" s="4"/>
      <c r="C451" s="4"/>
      <c r="D451" s="4"/>
      <c r="E451" s="4"/>
      <c r="F451" s="4"/>
      <c r="G451" s="4"/>
      <c r="H451" s="4"/>
      <c r="I451" s="4"/>
      <c r="J451" s="4"/>
      <c r="K451" s="4"/>
      <c r="L451" s="4"/>
      <c r="M451" s="4"/>
      <c r="U451" s="4"/>
      <c r="V451" s="4"/>
      <c r="W451" s="4"/>
      <c r="X451" s="4"/>
      <c r="Y451" s="4"/>
      <c r="Z451" s="4"/>
      <c r="AA451" s="4"/>
      <c r="AB451" s="4"/>
      <c r="AC451" s="4"/>
      <c r="AD451" s="4"/>
      <c r="AE451" s="4"/>
      <c r="AF451" s="4"/>
    </row>
    <row r="452" spans="2:32" ht="16" thickBot="1" x14ac:dyDescent="0.4">
      <c r="B452" s="4"/>
      <c r="C452" s="4"/>
      <c r="D452" s="4"/>
      <c r="E452" s="4"/>
      <c r="F452" s="4"/>
      <c r="G452" s="4"/>
      <c r="H452" s="4"/>
      <c r="I452" s="4"/>
      <c r="J452" s="4"/>
      <c r="K452" s="4"/>
      <c r="L452" s="4"/>
      <c r="M452" s="4"/>
      <c r="U452" s="4"/>
      <c r="V452" s="4"/>
      <c r="W452" s="4"/>
      <c r="X452" s="4"/>
      <c r="Y452" s="4"/>
      <c r="Z452" s="4"/>
      <c r="AA452" s="4"/>
      <c r="AB452" s="4"/>
      <c r="AC452" s="4"/>
      <c r="AD452" s="4"/>
      <c r="AE452" s="4"/>
      <c r="AF452" s="4"/>
    </row>
    <row r="453" spans="2:32" x14ac:dyDescent="0.35">
      <c r="B453" s="218"/>
      <c r="C453" s="219"/>
      <c r="D453" s="219"/>
      <c r="E453" s="219"/>
      <c r="F453" s="219"/>
      <c r="G453" s="219"/>
      <c r="H453" s="219"/>
      <c r="I453" s="219"/>
      <c r="J453" s="219"/>
      <c r="K453" s="219"/>
      <c r="L453" s="219"/>
      <c r="M453" s="220"/>
      <c r="U453" s="218"/>
      <c r="V453" s="219"/>
      <c r="W453" s="219"/>
      <c r="X453" s="219"/>
      <c r="Y453" s="219"/>
      <c r="Z453" s="219"/>
      <c r="AA453" s="219"/>
      <c r="AB453" s="219"/>
      <c r="AC453" s="219"/>
      <c r="AD453" s="219"/>
      <c r="AE453" s="219"/>
      <c r="AF453" s="220"/>
    </row>
    <row r="454" spans="2:32" x14ac:dyDescent="0.35">
      <c r="B454" s="140"/>
      <c r="C454" s="4"/>
      <c r="D454" s="4"/>
      <c r="E454" s="4"/>
      <c r="F454" s="4"/>
      <c r="G454" s="4"/>
      <c r="H454" s="4"/>
      <c r="I454" s="4"/>
      <c r="J454" s="4"/>
      <c r="K454" s="4"/>
      <c r="L454" s="4"/>
      <c r="M454" s="136"/>
      <c r="U454" s="140"/>
      <c r="V454" s="4"/>
      <c r="W454" s="4"/>
      <c r="X454" s="4"/>
      <c r="Y454" s="4"/>
      <c r="Z454" s="4"/>
      <c r="AA454" s="4"/>
      <c r="AB454" s="4"/>
      <c r="AC454" s="4"/>
      <c r="AD454" s="4"/>
      <c r="AE454" s="4"/>
      <c r="AF454" s="136"/>
    </row>
    <row r="455" spans="2:32" x14ac:dyDescent="0.35">
      <c r="B455" s="140"/>
      <c r="C455" s="4"/>
      <c r="D455" s="4" t="s">
        <v>588</v>
      </c>
      <c r="E455" s="4"/>
      <c r="F455" s="4"/>
      <c r="G455" s="4"/>
      <c r="H455" s="4"/>
      <c r="I455" s="4"/>
      <c r="J455" s="4"/>
      <c r="K455" s="4"/>
      <c r="L455" s="4"/>
      <c r="M455" s="136"/>
      <c r="U455" s="140"/>
      <c r="V455" s="4"/>
      <c r="W455" s="4" t="s">
        <v>588</v>
      </c>
      <c r="X455" s="4"/>
      <c r="Y455" s="4"/>
      <c r="Z455" s="4"/>
      <c r="AA455" s="4"/>
      <c r="AB455" s="4"/>
      <c r="AC455" s="4"/>
      <c r="AD455" s="4"/>
      <c r="AE455" s="4"/>
      <c r="AF455" s="136"/>
    </row>
    <row r="456" spans="2:32" x14ac:dyDescent="0.35">
      <c r="B456" s="140"/>
      <c r="C456" s="4"/>
      <c r="D456" s="4" t="s">
        <v>729</v>
      </c>
      <c r="E456" s="4"/>
      <c r="F456" s="4"/>
      <c r="G456" s="4"/>
      <c r="H456" s="4"/>
      <c r="I456" s="4"/>
      <c r="J456" s="4"/>
      <c r="K456" s="4"/>
      <c r="L456" s="4"/>
      <c r="M456" s="136"/>
      <c r="U456" s="140"/>
      <c r="V456" s="4"/>
      <c r="W456" s="4" t="s">
        <v>729</v>
      </c>
      <c r="X456" s="4"/>
      <c r="Y456" s="4"/>
      <c r="Z456" s="4"/>
      <c r="AA456" s="4"/>
      <c r="AB456" s="4"/>
      <c r="AC456" s="4"/>
      <c r="AD456" s="4"/>
      <c r="AE456" s="4"/>
      <c r="AF456" s="136"/>
    </row>
    <row r="457" spans="2:32" x14ac:dyDescent="0.35">
      <c r="B457" s="140"/>
      <c r="C457" s="4"/>
      <c r="D457" s="4"/>
      <c r="E457" s="4" t="s">
        <v>581</v>
      </c>
      <c r="F457" s="4" t="s">
        <v>582</v>
      </c>
      <c r="G457" s="4" t="s">
        <v>583</v>
      </c>
      <c r="H457" s="4" t="s">
        <v>584</v>
      </c>
      <c r="I457" s="4" t="s">
        <v>123</v>
      </c>
      <c r="J457" s="4"/>
      <c r="K457" s="4"/>
      <c r="L457" s="4"/>
      <c r="M457" s="136"/>
      <c r="U457" s="140"/>
      <c r="V457" s="4"/>
      <c r="W457" s="4"/>
      <c r="X457" s="4" t="s">
        <v>581</v>
      </c>
      <c r="Y457" s="4" t="s">
        <v>582</v>
      </c>
      <c r="Z457" s="4" t="s">
        <v>583</v>
      </c>
      <c r="AA457" s="4" t="s">
        <v>584</v>
      </c>
      <c r="AB457" s="4" t="s">
        <v>123</v>
      </c>
      <c r="AC457" s="4"/>
      <c r="AD457" s="4"/>
      <c r="AE457" s="4"/>
      <c r="AF457" s="136"/>
    </row>
    <row r="458" spans="2:32" x14ac:dyDescent="0.35">
      <c r="B458" s="140"/>
      <c r="C458" s="4"/>
      <c r="D458" s="223" t="s">
        <v>672</v>
      </c>
      <c r="E458" s="4">
        <v>827.61800000000005</v>
      </c>
      <c r="F458" s="4">
        <v>12</v>
      </c>
      <c r="G458" s="4">
        <v>68.968000000000004</v>
      </c>
      <c r="H458" s="4">
        <v>2.823</v>
      </c>
      <c r="I458" s="5">
        <v>7.9000000000000001E-2</v>
      </c>
      <c r="J458" s="4"/>
      <c r="K458" s="4"/>
      <c r="L458" s="4"/>
      <c r="M458" s="136"/>
      <c r="U458" s="140"/>
      <c r="V458" s="4"/>
      <c r="W458" s="223" t="s">
        <v>672</v>
      </c>
      <c r="X458" s="4">
        <v>1226.17</v>
      </c>
      <c r="Y458" s="4">
        <v>12</v>
      </c>
      <c r="Z458" s="4">
        <v>102.181</v>
      </c>
      <c r="AA458" s="4">
        <v>1.4650000000000001</v>
      </c>
      <c r="AB458" s="5">
        <v>0.251</v>
      </c>
      <c r="AC458" s="4"/>
      <c r="AD458" s="4"/>
      <c r="AE458" s="4"/>
      <c r="AF458" s="136"/>
    </row>
    <row r="459" spans="2:32" x14ac:dyDescent="0.35">
      <c r="B459" s="140"/>
      <c r="C459" s="4"/>
      <c r="D459" s="223" t="s">
        <v>673</v>
      </c>
      <c r="E459" s="4">
        <v>360.92500000000001</v>
      </c>
      <c r="F459" s="4">
        <v>2</v>
      </c>
      <c r="G459" s="4">
        <v>180.46299999999999</v>
      </c>
      <c r="H459" s="4"/>
      <c r="I459" s="238"/>
      <c r="J459" s="238"/>
      <c r="K459" s="238"/>
      <c r="L459" s="238"/>
      <c r="M459" s="136"/>
      <c r="U459" s="140"/>
      <c r="V459" s="4"/>
      <c r="W459" s="223" t="s">
        <v>673</v>
      </c>
      <c r="X459" s="4">
        <v>178.018</v>
      </c>
      <c r="Y459" s="4">
        <v>2</v>
      </c>
      <c r="Z459" s="4">
        <v>89.009</v>
      </c>
      <c r="AA459" s="4"/>
      <c r="AB459" s="238"/>
      <c r="AC459" s="238"/>
      <c r="AD459" s="238"/>
      <c r="AE459" s="238"/>
      <c r="AF459" s="136"/>
    </row>
    <row r="460" spans="2:32" x14ac:dyDescent="0.35">
      <c r="B460" s="140"/>
      <c r="C460" s="4"/>
      <c r="D460" s="223" t="s">
        <v>674</v>
      </c>
      <c r="E460" s="4">
        <v>1534.29</v>
      </c>
      <c r="F460" s="4">
        <v>24</v>
      </c>
      <c r="G460" s="4">
        <v>63.929000000000002</v>
      </c>
      <c r="H460" s="4"/>
      <c r="I460" s="4"/>
      <c r="J460" s="4"/>
      <c r="K460" s="4"/>
      <c r="L460" s="4"/>
      <c r="M460" s="136"/>
      <c r="U460" s="140"/>
      <c r="V460" s="4"/>
      <c r="W460" s="223" t="s">
        <v>674</v>
      </c>
      <c r="X460" s="4">
        <v>1458.2650000000001</v>
      </c>
      <c r="Y460" s="4">
        <v>24</v>
      </c>
      <c r="Z460" s="4">
        <v>60.761000000000003</v>
      </c>
      <c r="AA460" s="4"/>
      <c r="AB460" s="4"/>
      <c r="AC460" s="4"/>
      <c r="AD460" s="4"/>
      <c r="AE460" s="4"/>
      <c r="AF460" s="136"/>
    </row>
    <row r="461" spans="2:32" x14ac:dyDescent="0.35">
      <c r="B461" s="140"/>
      <c r="C461" s="4"/>
      <c r="D461" s="223"/>
      <c r="E461" s="4"/>
      <c r="F461" s="4"/>
      <c r="G461" s="4"/>
      <c r="H461" s="4"/>
      <c r="I461" s="4"/>
      <c r="J461" s="4"/>
      <c r="K461" s="4"/>
      <c r="L461" s="4"/>
      <c r="M461" s="136"/>
      <c r="U461" s="140"/>
      <c r="V461" s="4"/>
      <c r="W461" s="223"/>
      <c r="X461" s="4"/>
      <c r="Y461" s="4"/>
      <c r="Z461" s="4"/>
      <c r="AA461" s="4"/>
      <c r="AB461" s="4"/>
      <c r="AC461" s="4"/>
      <c r="AD461" s="4"/>
      <c r="AE461" s="4"/>
      <c r="AF461" s="136"/>
    </row>
    <row r="462" spans="2:32" x14ac:dyDescent="0.35">
      <c r="B462" s="140"/>
      <c r="C462" s="4"/>
      <c r="D462" s="223"/>
      <c r="E462" s="4"/>
      <c r="F462" s="4"/>
      <c r="G462" s="4"/>
      <c r="H462" s="4"/>
      <c r="I462" s="4"/>
      <c r="J462" s="4"/>
      <c r="K462" s="4"/>
      <c r="L462" s="4"/>
      <c r="M462" s="136"/>
      <c r="U462" s="140"/>
      <c r="V462" s="4"/>
      <c r="W462" s="223"/>
      <c r="X462" s="4"/>
      <c r="Y462" s="4"/>
      <c r="Z462" s="4"/>
      <c r="AA462" s="4"/>
      <c r="AB462" s="4"/>
      <c r="AC462" s="4"/>
      <c r="AD462" s="4"/>
      <c r="AE462" s="4"/>
      <c r="AF462" s="136"/>
    </row>
    <row r="463" spans="2:32" ht="20.25" customHeight="1" x14ac:dyDescent="0.35">
      <c r="B463" s="140"/>
      <c r="C463" s="308"/>
      <c r="D463" s="308"/>
      <c r="E463" s="308"/>
      <c r="F463" s="308"/>
      <c r="G463" s="308"/>
      <c r="H463" s="308"/>
      <c r="I463" s="308"/>
      <c r="J463" s="308"/>
      <c r="K463" s="4"/>
      <c r="L463" s="4"/>
      <c r="M463" s="136"/>
      <c r="U463" s="140"/>
      <c r="V463" s="302"/>
      <c r="W463" s="302"/>
      <c r="X463" s="302"/>
      <c r="Y463" s="302"/>
      <c r="Z463" s="302"/>
      <c r="AA463" s="302"/>
      <c r="AB463" s="302"/>
      <c r="AC463" s="302"/>
      <c r="AD463" s="4"/>
      <c r="AE463" s="4"/>
      <c r="AF463" s="136"/>
    </row>
    <row r="464" spans="2:32" x14ac:dyDescent="0.35">
      <c r="B464" s="140"/>
      <c r="C464" s="308"/>
      <c r="D464" s="308"/>
      <c r="E464" s="308"/>
      <c r="F464" s="308"/>
      <c r="G464" s="308"/>
      <c r="H464" s="308"/>
      <c r="I464" s="308"/>
      <c r="J464" s="308"/>
      <c r="K464" s="4"/>
      <c r="L464" s="4"/>
      <c r="M464" s="136"/>
      <c r="U464" s="140"/>
      <c r="V464" s="302"/>
      <c r="W464" s="302"/>
      <c r="X464" s="302"/>
      <c r="Y464" s="302"/>
      <c r="Z464" s="302"/>
      <c r="AA464" s="302"/>
      <c r="AB464" s="302"/>
      <c r="AC464" s="302"/>
      <c r="AD464" s="4"/>
      <c r="AE464" s="4"/>
      <c r="AF464" s="136"/>
    </row>
    <row r="465" spans="2:32" x14ac:dyDescent="0.35">
      <c r="B465" s="140"/>
      <c r="C465" s="4"/>
      <c r="E465" s="4"/>
      <c r="G465" s="4"/>
      <c r="H465" s="4"/>
      <c r="I465" s="4"/>
      <c r="J465" s="4"/>
      <c r="K465" s="4"/>
      <c r="L465" s="4"/>
      <c r="M465" s="136"/>
      <c r="U465" s="140"/>
      <c r="V465" s="4"/>
      <c r="X465" s="4"/>
      <c r="Y465" s="4"/>
      <c r="Z465" s="4"/>
      <c r="AA465" s="4"/>
      <c r="AB465" s="4"/>
      <c r="AC465" s="4"/>
      <c r="AD465" s="4"/>
      <c r="AE465" s="4"/>
      <c r="AF465" s="136"/>
    </row>
    <row r="466" spans="2:32" ht="15.75" customHeight="1" x14ac:dyDescent="0.35">
      <c r="B466" s="140"/>
      <c r="C466" s="4"/>
      <c r="E466" s="4"/>
      <c r="G466" s="4"/>
      <c r="H466" s="4"/>
      <c r="I466" s="4"/>
      <c r="J466" s="4"/>
      <c r="K466" s="4"/>
      <c r="L466" s="4"/>
      <c r="M466" s="136"/>
      <c r="U466" s="140"/>
      <c r="V466" s="4"/>
      <c r="X466" s="4"/>
      <c r="Y466" s="4"/>
      <c r="Z466" s="4"/>
      <c r="AA466" s="4"/>
      <c r="AB466" s="4"/>
      <c r="AC466" s="4"/>
      <c r="AD466" s="4"/>
      <c r="AE466" s="4"/>
      <c r="AF466" s="136"/>
    </row>
    <row r="467" spans="2:32" x14ac:dyDescent="0.35">
      <c r="B467" s="140"/>
      <c r="C467" s="4"/>
      <c r="E467" s="4"/>
      <c r="G467" s="4"/>
      <c r="H467" s="4"/>
      <c r="I467" s="4"/>
      <c r="J467" s="4"/>
      <c r="K467" s="4"/>
      <c r="L467" s="4"/>
      <c r="M467" s="136"/>
      <c r="U467" s="140"/>
      <c r="V467" s="4"/>
      <c r="X467" s="4"/>
      <c r="Y467" s="4"/>
      <c r="Z467" s="4"/>
      <c r="AA467" s="4"/>
      <c r="AB467" s="4"/>
      <c r="AC467" s="4"/>
      <c r="AD467" s="4"/>
      <c r="AE467" s="4"/>
      <c r="AF467" s="136"/>
    </row>
    <row r="468" spans="2:32" x14ac:dyDescent="0.35">
      <c r="B468" s="140"/>
      <c r="C468" s="4"/>
      <c r="D468" s="4"/>
      <c r="E468" s="4"/>
      <c r="F468" s="4"/>
      <c r="G468" s="4"/>
      <c r="H468" s="4"/>
      <c r="I468" s="4"/>
      <c r="J468" s="4"/>
      <c r="K468" s="4"/>
      <c r="L468" s="4"/>
      <c r="M468" s="136"/>
      <c r="U468" s="140"/>
      <c r="V468" s="4"/>
      <c r="W468" s="4"/>
      <c r="X468" s="4"/>
      <c r="Y468" s="4"/>
      <c r="Z468" s="4"/>
      <c r="AA468" s="4"/>
      <c r="AB468" s="4"/>
      <c r="AC468" s="4"/>
      <c r="AD468" s="4"/>
      <c r="AE468" s="4"/>
      <c r="AF468" s="136"/>
    </row>
    <row r="469" spans="2:32" ht="16" thickBot="1" x14ac:dyDescent="0.4">
      <c r="B469" s="221"/>
      <c r="C469" s="134"/>
      <c r="D469" s="134"/>
      <c r="E469" s="134"/>
      <c r="F469" s="134"/>
      <c r="G469" s="134"/>
      <c r="H469" s="134"/>
      <c r="I469" s="134"/>
      <c r="J469" s="134"/>
      <c r="K469" s="134"/>
      <c r="L469" s="134"/>
      <c r="M469" s="222"/>
      <c r="U469" s="221"/>
      <c r="V469" s="134"/>
      <c r="W469" s="134"/>
      <c r="X469" s="134"/>
      <c r="Y469" s="134"/>
      <c r="Z469" s="134"/>
      <c r="AA469" s="134"/>
      <c r="AB469" s="134"/>
      <c r="AC469" s="134"/>
      <c r="AD469" s="134"/>
      <c r="AE469" s="134"/>
      <c r="AF469" s="222"/>
    </row>
    <row r="470" spans="2:32" x14ac:dyDescent="0.35">
      <c r="B470" s="4"/>
      <c r="C470" s="4"/>
      <c r="D470" s="4"/>
      <c r="E470" s="4"/>
      <c r="F470" s="4"/>
      <c r="G470" s="4"/>
      <c r="H470" s="4"/>
      <c r="I470" s="4"/>
      <c r="J470" s="4"/>
      <c r="K470" s="4"/>
      <c r="L470" s="4"/>
      <c r="M470" s="4"/>
      <c r="U470" s="4"/>
      <c r="V470" s="4"/>
      <c r="W470" s="4"/>
      <c r="X470" s="4"/>
      <c r="Y470" s="4"/>
      <c r="Z470" s="4"/>
      <c r="AA470" s="4"/>
      <c r="AB470" s="4"/>
      <c r="AC470" s="4"/>
      <c r="AD470" s="4"/>
      <c r="AE470" s="4"/>
      <c r="AF470" s="4"/>
    </row>
    <row r="471" spans="2:32" x14ac:dyDescent="0.35">
      <c r="B471" s="4"/>
      <c r="C471" s="4"/>
      <c r="D471" s="4"/>
      <c r="E471" s="4"/>
      <c r="F471" s="4"/>
      <c r="G471" s="4"/>
      <c r="H471" s="4"/>
      <c r="I471" s="4"/>
      <c r="J471" s="4"/>
      <c r="K471" s="4"/>
      <c r="L471" s="4"/>
      <c r="M471" s="4"/>
      <c r="U471" s="4"/>
      <c r="V471" s="4"/>
      <c r="W471" s="4"/>
      <c r="X471" s="4"/>
      <c r="Y471" s="4"/>
      <c r="Z471" s="4"/>
      <c r="AA471" s="4"/>
      <c r="AB471" s="4"/>
      <c r="AC471" s="4"/>
      <c r="AD471" s="4"/>
      <c r="AE471" s="4"/>
      <c r="AF471" s="4"/>
    </row>
    <row r="472" spans="2:32" ht="16" thickBot="1" x14ac:dyDescent="0.4">
      <c r="B472" s="4"/>
      <c r="C472" s="4"/>
      <c r="D472" s="4"/>
      <c r="E472" s="4"/>
      <c r="F472" s="4"/>
      <c r="G472" s="4"/>
      <c r="H472" s="4"/>
      <c r="I472" s="4"/>
      <c r="J472" s="4"/>
      <c r="K472" s="4"/>
      <c r="L472" s="4"/>
      <c r="M472" s="4"/>
      <c r="U472" s="4"/>
      <c r="V472" s="4"/>
      <c r="W472" s="4"/>
      <c r="X472" s="4"/>
      <c r="Y472" s="4"/>
      <c r="Z472" s="4"/>
      <c r="AA472" s="4"/>
      <c r="AB472" s="4"/>
      <c r="AC472" s="4"/>
      <c r="AD472" s="4"/>
      <c r="AE472" s="4"/>
      <c r="AF472" s="4"/>
    </row>
    <row r="473" spans="2:32" x14ac:dyDescent="0.35">
      <c r="B473" s="218"/>
      <c r="C473" s="219"/>
      <c r="D473" s="219"/>
      <c r="E473" s="219"/>
      <c r="F473" s="219"/>
      <c r="G473" s="219"/>
      <c r="H473" s="219"/>
      <c r="I473" s="219"/>
      <c r="J473" s="219"/>
      <c r="K473" s="219"/>
      <c r="L473" s="219"/>
      <c r="M473" s="220"/>
      <c r="U473" s="218"/>
      <c r="V473" s="219"/>
      <c r="W473" s="219"/>
      <c r="X473" s="219"/>
      <c r="Y473" s="219"/>
      <c r="Z473" s="219"/>
      <c r="AA473" s="219"/>
      <c r="AB473" s="219"/>
      <c r="AC473" s="219"/>
      <c r="AD473" s="219"/>
      <c r="AE473" s="219"/>
      <c r="AF473" s="220"/>
    </row>
    <row r="474" spans="2:32" x14ac:dyDescent="0.35">
      <c r="B474" s="140"/>
      <c r="C474" s="4"/>
      <c r="D474" s="4"/>
      <c r="E474" s="4"/>
      <c r="F474" s="4"/>
      <c r="G474" s="4"/>
      <c r="H474" s="4"/>
      <c r="I474" s="4"/>
      <c r="J474" s="4"/>
      <c r="K474" s="4"/>
      <c r="L474" s="4"/>
      <c r="M474" s="136"/>
      <c r="U474" s="140"/>
      <c r="V474" s="4"/>
      <c r="W474" s="4"/>
      <c r="X474" s="4"/>
      <c r="Y474" s="4"/>
      <c r="Z474" s="4"/>
      <c r="AA474" s="4"/>
      <c r="AB474" s="4"/>
      <c r="AC474" s="4"/>
      <c r="AD474" s="4"/>
      <c r="AE474" s="4"/>
      <c r="AF474" s="136"/>
    </row>
    <row r="475" spans="2:32" x14ac:dyDescent="0.35">
      <c r="B475" s="140"/>
      <c r="C475" s="4"/>
      <c r="D475" s="4" t="s">
        <v>588</v>
      </c>
      <c r="E475" s="4"/>
      <c r="F475" s="4"/>
      <c r="G475" s="4"/>
      <c r="H475" s="4"/>
      <c r="I475" s="4"/>
      <c r="J475" s="4"/>
      <c r="K475" s="4"/>
      <c r="L475" s="4"/>
      <c r="M475" s="136"/>
      <c r="U475" s="140"/>
      <c r="V475" s="4"/>
      <c r="W475" s="4" t="s">
        <v>588</v>
      </c>
      <c r="X475" s="4"/>
      <c r="Y475" s="4"/>
      <c r="Z475" s="4"/>
      <c r="AA475" s="4"/>
      <c r="AB475" s="4"/>
      <c r="AC475" s="4"/>
      <c r="AD475" s="4"/>
      <c r="AE475" s="4"/>
      <c r="AF475" s="136"/>
    </row>
    <row r="476" spans="2:32" x14ac:dyDescent="0.35">
      <c r="B476" s="140"/>
      <c r="C476" s="4"/>
      <c r="D476" s="4" t="s">
        <v>730</v>
      </c>
      <c r="E476" s="4"/>
      <c r="F476" s="4"/>
      <c r="G476" s="4"/>
      <c r="H476" s="4"/>
      <c r="I476" s="4"/>
      <c r="J476" s="4"/>
      <c r="K476" s="4"/>
      <c r="L476" s="4"/>
      <c r="M476" s="136"/>
      <c r="U476" s="140"/>
      <c r="V476" s="4"/>
      <c r="W476" s="4" t="s">
        <v>730</v>
      </c>
      <c r="X476" s="4"/>
      <c r="Y476" s="4"/>
      <c r="Z476" s="4"/>
      <c r="AA476" s="4"/>
      <c r="AB476" s="4"/>
      <c r="AC476" s="4"/>
      <c r="AD476" s="4"/>
      <c r="AE476" s="4"/>
      <c r="AF476" s="136"/>
    </row>
    <row r="477" spans="2:32" x14ac:dyDescent="0.35">
      <c r="B477" s="140"/>
      <c r="C477" s="4"/>
      <c r="D477" s="4"/>
      <c r="E477" s="4" t="s">
        <v>581</v>
      </c>
      <c r="F477" s="4" t="s">
        <v>582</v>
      </c>
      <c r="G477" s="4" t="s">
        <v>583</v>
      </c>
      <c r="H477" s="4" t="s">
        <v>584</v>
      </c>
      <c r="I477" s="4" t="s">
        <v>123</v>
      </c>
      <c r="J477" s="4"/>
      <c r="K477" s="4"/>
      <c r="L477" s="4"/>
      <c r="M477" s="136"/>
      <c r="U477" s="140"/>
      <c r="V477" s="4"/>
      <c r="W477" s="4"/>
      <c r="X477" s="4" t="s">
        <v>581</v>
      </c>
      <c r="Y477" s="4" t="s">
        <v>582</v>
      </c>
      <c r="Z477" s="4" t="s">
        <v>583</v>
      </c>
      <c r="AA477" s="4" t="s">
        <v>584</v>
      </c>
      <c r="AB477" s="4" t="s">
        <v>123</v>
      </c>
      <c r="AC477" s="4"/>
      <c r="AD477" s="4"/>
      <c r="AE477" s="4"/>
      <c r="AF477" s="136"/>
    </row>
    <row r="478" spans="2:32" x14ac:dyDescent="0.35">
      <c r="B478" s="140"/>
      <c r="C478" s="4"/>
      <c r="D478" s="223" t="s">
        <v>672</v>
      </c>
      <c r="E478" s="4">
        <v>37.51</v>
      </c>
      <c r="F478" s="4">
        <v>12</v>
      </c>
      <c r="G478" s="4">
        <v>3.1259999999999999</v>
      </c>
      <c r="H478" s="4">
        <v>0.14000000000000001</v>
      </c>
      <c r="I478" s="5">
        <v>0.87</v>
      </c>
      <c r="J478" s="4"/>
      <c r="K478" s="4"/>
      <c r="L478" s="4"/>
      <c r="M478" s="136"/>
      <c r="U478" s="140"/>
      <c r="V478" s="4"/>
      <c r="W478" s="223" t="s">
        <v>672</v>
      </c>
      <c r="X478" s="4">
        <v>16.123999999999999</v>
      </c>
      <c r="Y478" s="4">
        <v>12</v>
      </c>
      <c r="Z478" s="4">
        <v>1.3440000000000001</v>
      </c>
      <c r="AA478" s="4">
        <v>1.02</v>
      </c>
      <c r="AB478" s="5">
        <v>0.376</v>
      </c>
      <c r="AC478" s="4"/>
      <c r="AD478" s="4"/>
      <c r="AE478" s="4"/>
      <c r="AF478" s="136"/>
    </row>
    <row r="479" spans="2:32" x14ac:dyDescent="0.35">
      <c r="B479" s="140"/>
      <c r="C479" s="4"/>
      <c r="D479" s="223" t="s">
        <v>673</v>
      </c>
      <c r="E479" s="4">
        <v>0.65500000000000003</v>
      </c>
      <c r="F479" s="4">
        <v>2</v>
      </c>
      <c r="G479" s="4">
        <v>0.32700000000000001</v>
      </c>
      <c r="H479" s="4"/>
      <c r="I479" s="238"/>
      <c r="J479" s="238"/>
      <c r="K479" s="238"/>
      <c r="L479" s="238"/>
      <c r="M479" s="136"/>
      <c r="U479" s="140"/>
      <c r="V479" s="4"/>
      <c r="W479" s="223" t="s">
        <v>673</v>
      </c>
      <c r="X479" s="4">
        <v>4.5410000000000004</v>
      </c>
      <c r="Y479" s="4">
        <v>2</v>
      </c>
      <c r="Z479" s="4">
        <v>2.27</v>
      </c>
      <c r="AA479" s="4"/>
      <c r="AB479" s="238"/>
      <c r="AC479" s="238"/>
      <c r="AD479" s="238"/>
      <c r="AE479" s="238"/>
      <c r="AF479" s="136"/>
    </row>
    <row r="480" spans="2:32" x14ac:dyDescent="0.35">
      <c r="B480" s="140"/>
      <c r="C480" s="4"/>
      <c r="D480" s="223" t="s">
        <v>674</v>
      </c>
      <c r="E480" s="4">
        <v>56.14</v>
      </c>
      <c r="F480" s="4">
        <v>24</v>
      </c>
      <c r="G480" s="4">
        <v>2.339</v>
      </c>
      <c r="H480" s="4"/>
      <c r="I480" s="4"/>
      <c r="J480" s="4"/>
      <c r="K480" s="4"/>
      <c r="L480" s="4"/>
      <c r="M480" s="136"/>
      <c r="U480" s="140"/>
      <c r="V480" s="4"/>
      <c r="W480" s="223" t="s">
        <v>674</v>
      </c>
      <c r="X480" s="4">
        <v>53.406999999999996</v>
      </c>
      <c r="Y480" s="4">
        <v>24</v>
      </c>
      <c r="Z480" s="4">
        <v>2.2250000000000001</v>
      </c>
      <c r="AA480" s="4"/>
      <c r="AB480" s="4"/>
      <c r="AC480" s="4"/>
      <c r="AD480" s="4"/>
      <c r="AE480" s="4"/>
      <c r="AF480" s="136"/>
    </row>
    <row r="481" spans="2:32" x14ac:dyDescent="0.35">
      <c r="B481" s="140"/>
      <c r="C481" s="4"/>
      <c r="D481" s="223"/>
      <c r="E481" s="4"/>
      <c r="F481" s="4"/>
      <c r="G481" s="4"/>
      <c r="H481" s="4"/>
      <c r="I481" s="4"/>
      <c r="J481" s="4"/>
      <c r="K481" s="4"/>
      <c r="L481" s="4"/>
      <c r="M481" s="136"/>
      <c r="U481" s="140"/>
      <c r="V481" s="4"/>
      <c r="W481" s="223"/>
      <c r="X481" s="4"/>
      <c r="Y481" s="4"/>
      <c r="Z481" s="4"/>
      <c r="AA481" s="4"/>
      <c r="AB481" s="4"/>
      <c r="AC481" s="4"/>
      <c r="AD481" s="4"/>
      <c r="AE481" s="4"/>
      <c r="AF481" s="136"/>
    </row>
    <row r="482" spans="2:32" x14ac:dyDescent="0.35">
      <c r="B482" s="140"/>
      <c r="C482" s="4"/>
      <c r="D482" s="223"/>
      <c r="E482" s="4"/>
      <c r="F482" s="4"/>
      <c r="G482" s="4"/>
      <c r="H482" s="4"/>
      <c r="I482" s="4"/>
      <c r="J482" s="4"/>
      <c r="K482" s="4"/>
      <c r="L482" s="4"/>
      <c r="M482" s="136"/>
      <c r="U482" s="140"/>
      <c r="V482" s="4"/>
      <c r="W482" s="223"/>
      <c r="X482" s="4"/>
      <c r="Y482" s="4"/>
      <c r="Z482" s="4"/>
      <c r="AA482" s="4"/>
      <c r="AB482" s="4"/>
      <c r="AC482" s="4"/>
      <c r="AD482" s="4"/>
      <c r="AE482" s="4"/>
      <c r="AF482" s="136"/>
    </row>
    <row r="483" spans="2:32" x14ac:dyDescent="0.35">
      <c r="B483" s="140"/>
      <c r="C483" s="4"/>
      <c r="D483" s="4"/>
      <c r="E483" s="4"/>
      <c r="F483" s="4"/>
      <c r="G483" s="4"/>
      <c r="H483" s="4"/>
      <c r="I483" s="4"/>
      <c r="J483" s="4"/>
      <c r="K483" s="4"/>
      <c r="L483" s="4"/>
      <c r="M483" s="136"/>
      <c r="U483" s="140"/>
      <c r="V483" s="4"/>
      <c r="W483" s="240"/>
      <c r="X483" s="4"/>
      <c r="Y483" s="4"/>
      <c r="Z483" s="4"/>
      <c r="AA483" s="4"/>
      <c r="AB483" s="4"/>
      <c r="AC483" s="4"/>
      <c r="AD483" s="4"/>
      <c r="AE483" s="4"/>
      <c r="AF483" s="136"/>
    </row>
    <row r="484" spans="2:32" x14ac:dyDescent="0.35">
      <c r="B484" s="140"/>
      <c r="C484" s="4"/>
      <c r="D484" s="4"/>
      <c r="E484" s="4"/>
      <c r="F484" s="4"/>
      <c r="G484" s="4"/>
      <c r="I484" s="4"/>
      <c r="J484" s="4"/>
      <c r="K484" s="4"/>
      <c r="L484" s="4"/>
      <c r="M484" s="136"/>
      <c r="U484" s="140"/>
      <c r="V484" s="4"/>
      <c r="W484" s="4"/>
      <c r="X484" s="4"/>
      <c r="Y484" s="4"/>
      <c r="Z484" s="4"/>
      <c r="AA484" s="4"/>
      <c r="AB484" s="4"/>
      <c r="AC484" s="4"/>
      <c r="AD484" s="4"/>
      <c r="AE484" s="4"/>
      <c r="AF484" s="136"/>
    </row>
    <row r="485" spans="2:32" x14ac:dyDescent="0.35">
      <c r="B485" s="140"/>
      <c r="C485" s="4"/>
      <c r="E485" s="4"/>
      <c r="G485" s="4"/>
      <c r="H485" s="4"/>
      <c r="I485" s="4"/>
      <c r="J485" s="4"/>
      <c r="K485" s="4"/>
      <c r="L485" s="4"/>
      <c r="M485" s="136"/>
      <c r="U485" s="140"/>
      <c r="V485" s="4"/>
      <c r="W485" s="4"/>
      <c r="X485" s="4"/>
      <c r="Y485" s="4"/>
      <c r="Z485" s="4"/>
      <c r="AA485" s="4"/>
      <c r="AB485" s="4"/>
      <c r="AC485" s="4"/>
      <c r="AD485" s="4"/>
      <c r="AE485" s="4"/>
      <c r="AF485" s="136"/>
    </row>
    <row r="486" spans="2:32" x14ac:dyDescent="0.35">
      <c r="B486" s="140"/>
      <c r="C486" s="4"/>
      <c r="E486" s="4"/>
      <c r="G486" s="4"/>
      <c r="H486" s="4"/>
      <c r="I486" s="4"/>
      <c r="J486" s="4"/>
      <c r="K486" s="4"/>
      <c r="L486" s="4"/>
      <c r="M486" s="136"/>
      <c r="U486" s="140"/>
      <c r="V486" s="4"/>
      <c r="W486" s="4"/>
      <c r="X486" s="4"/>
      <c r="Y486" s="4"/>
      <c r="Z486" s="4"/>
      <c r="AA486" s="4"/>
      <c r="AB486" s="4"/>
      <c r="AC486" s="4"/>
      <c r="AD486" s="4"/>
      <c r="AE486" s="4"/>
      <c r="AF486" s="136"/>
    </row>
    <row r="487" spans="2:32" x14ac:dyDescent="0.35">
      <c r="B487" s="140"/>
      <c r="C487" s="4"/>
      <c r="E487" s="4"/>
      <c r="G487" s="4"/>
      <c r="H487" s="4"/>
      <c r="I487" s="4"/>
      <c r="J487" s="4"/>
      <c r="K487" s="4"/>
      <c r="L487" s="4"/>
      <c r="M487" s="136"/>
      <c r="U487" s="140"/>
      <c r="V487" s="4"/>
      <c r="W487" s="164"/>
      <c r="X487" s="164"/>
      <c r="Y487" s="164"/>
      <c r="Z487" s="164"/>
      <c r="AA487" s="164"/>
      <c r="AB487" s="164"/>
      <c r="AC487" s="164"/>
      <c r="AD487" s="4"/>
      <c r="AE487" s="4"/>
      <c r="AF487" s="136"/>
    </row>
    <row r="488" spans="2:32" x14ac:dyDescent="0.35">
      <c r="B488" s="140"/>
      <c r="C488" s="4"/>
      <c r="D488" s="4"/>
      <c r="E488" s="4"/>
      <c r="F488" s="4"/>
      <c r="G488" s="4"/>
      <c r="H488" s="4"/>
      <c r="I488" s="4"/>
      <c r="J488" s="4"/>
      <c r="K488" s="4"/>
      <c r="L488" s="4"/>
      <c r="M488" s="136"/>
      <c r="U488" s="140"/>
      <c r="V488" s="4"/>
      <c r="W488" s="164"/>
      <c r="X488" s="164"/>
      <c r="Y488" s="164"/>
      <c r="Z488" s="164"/>
      <c r="AA488" s="164"/>
      <c r="AB488" s="164"/>
      <c r="AC488" s="164"/>
      <c r="AD488" s="4"/>
      <c r="AE488" s="4"/>
      <c r="AF488" s="136"/>
    </row>
    <row r="489" spans="2:32" ht="16" thickBot="1" x14ac:dyDescent="0.4">
      <c r="B489" s="221"/>
      <c r="C489" s="134"/>
      <c r="D489" s="134"/>
      <c r="E489" s="134"/>
      <c r="F489" s="134"/>
      <c r="G489" s="134"/>
      <c r="H489" s="134"/>
      <c r="I489" s="134"/>
      <c r="J489" s="134"/>
      <c r="K489" s="134"/>
      <c r="L489" s="134"/>
      <c r="M489" s="222"/>
      <c r="U489" s="221"/>
      <c r="V489" s="134"/>
      <c r="W489" s="134"/>
      <c r="X489" s="134"/>
      <c r="Y489" s="134"/>
      <c r="Z489" s="134"/>
      <c r="AA489" s="134"/>
      <c r="AB489" s="134"/>
      <c r="AC489" s="134"/>
      <c r="AD489" s="134"/>
      <c r="AE489" s="134"/>
      <c r="AF489" s="222"/>
    </row>
    <row r="490" spans="2:32" x14ac:dyDescent="0.35">
      <c r="B490" s="4"/>
      <c r="C490" s="4"/>
      <c r="D490" s="4"/>
      <c r="E490" s="4"/>
      <c r="F490" s="4"/>
      <c r="G490" s="4"/>
      <c r="H490" s="4"/>
      <c r="I490" s="4"/>
      <c r="J490" s="4"/>
      <c r="K490" s="4"/>
      <c r="L490" s="4"/>
      <c r="M490" s="4"/>
      <c r="U490" s="4"/>
      <c r="V490" s="4"/>
      <c r="W490" s="4"/>
      <c r="X490" s="4"/>
      <c r="Y490" s="4"/>
      <c r="Z490" s="4"/>
      <c r="AA490" s="4"/>
      <c r="AB490" s="4"/>
      <c r="AC490" s="4"/>
      <c r="AD490" s="4"/>
      <c r="AE490" s="4"/>
      <c r="AF490" s="4"/>
    </row>
    <row r="491" spans="2:32" x14ac:dyDescent="0.35">
      <c r="B491" s="4"/>
      <c r="C491" s="4"/>
      <c r="D491" s="4"/>
      <c r="E491" s="4"/>
      <c r="F491" s="4"/>
      <c r="G491" s="4"/>
      <c r="H491" s="4"/>
      <c r="I491" s="4"/>
      <c r="J491" s="4"/>
      <c r="K491" s="4"/>
      <c r="L491" s="4"/>
      <c r="M491" s="4"/>
    </row>
    <row r="492" spans="2:32" x14ac:dyDescent="0.35">
      <c r="B492" s="4" t="s">
        <v>666</v>
      </c>
      <c r="C492" s="4" t="s">
        <v>667</v>
      </c>
      <c r="D492" s="4"/>
      <c r="E492" s="4"/>
      <c r="F492" s="4"/>
      <c r="G492" s="4"/>
      <c r="H492" s="4"/>
      <c r="I492" s="4"/>
      <c r="J492" s="4"/>
      <c r="K492" s="4"/>
      <c r="L492" s="4"/>
      <c r="M492" s="4"/>
      <c r="U492" s="4" t="s">
        <v>666</v>
      </c>
      <c r="V492" s="4" t="s">
        <v>668</v>
      </c>
      <c r="W492" s="4"/>
      <c r="X492" s="4"/>
      <c r="Y492" s="4"/>
      <c r="Z492" s="4"/>
      <c r="AA492" s="4"/>
      <c r="AB492" s="4"/>
      <c r="AC492" s="4"/>
    </row>
    <row r="493" spans="2:32" x14ac:dyDescent="0.35">
      <c r="B493" s="4"/>
      <c r="C493" s="4" t="s">
        <v>813</v>
      </c>
      <c r="D493" s="4"/>
      <c r="E493" s="4"/>
      <c r="F493" s="4"/>
      <c r="G493" s="4"/>
      <c r="H493" s="4"/>
      <c r="I493" s="4"/>
      <c r="J493" s="4"/>
      <c r="K493" s="4"/>
      <c r="L493" s="4"/>
      <c r="M493" s="4"/>
      <c r="V493" s="4" t="s">
        <v>813</v>
      </c>
    </row>
    <row r="494" spans="2:32" x14ac:dyDescent="0.35">
      <c r="B494" s="4"/>
      <c r="C494" s="4" t="s">
        <v>675</v>
      </c>
      <c r="D494" s="4"/>
      <c r="E494" s="4"/>
      <c r="F494" s="4"/>
      <c r="G494" s="4"/>
      <c r="H494" s="4"/>
      <c r="I494" s="4"/>
      <c r="J494" s="4"/>
      <c r="K494" s="4"/>
      <c r="L494" s="4"/>
      <c r="M494" s="4"/>
      <c r="V494" s="4" t="s">
        <v>675</v>
      </c>
    </row>
    <row r="495" spans="2:32" x14ac:dyDescent="0.35">
      <c r="B495" s="4"/>
      <c r="C495" s="4"/>
      <c r="D495" s="4"/>
      <c r="E495" s="4"/>
      <c r="F495" s="4"/>
      <c r="G495" s="4"/>
      <c r="H495" s="4"/>
      <c r="I495" s="4"/>
      <c r="J495" s="4"/>
      <c r="K495" s="4"/>
      <c r="L495" s="4"/>
      <c r="M495" s="4"/>
      <c r="V495" s="4"/>
    </row>
    <row r="496" spans="2:32" x14ac:dyDescent="0.35">
      <c r="B496" s="4"/>
      <c r="C496" s="4"/>
      <c r="D496" s="4"/>
      <c r="E496" s="4"/>
      <c r="F496" s="4"/>
      <c r="G496" s="4"/>
      <c r="H496" s="4"/>
      <c r="I496" s="4"/>
      <c r="J496" s="4"/>
      <c r="K496" s="4"/>
      <c r="L496" s="4"/>
      <c r="M496" s="4"/>
      <c r="V496" s="4"/>
    </row>
    <row r="497" spans="1:34" x14ac:dyDescent="0.35">
      <c r="B497" s="4"/>
      <c r="C497" s="4"/>
      <c r="D497" s="4"/>
      <c r="E497" s="4"/>
      <c r="F497" s="4"/>
      <c r="G497" s="4"/>
      <c r="H497" s="4"/>
      <c r="I497" s="4"/>
      <c r="J497" s="4"/>
      <c r="K497" s="4"/>
      <c r="L497" s="4"/>
      <c r="M497" s="4"/>
      <c r="V497" s="4"/>
    </row>
    <row r="498" spans="1:34" ht="21" customHeight="1" x14ac:dyDescent="0.35"/>
    <row r="499" spans="1:34" s="272" customFormat="1" ht="24" customHeight="1" x14ac:dyDescent="0.35"/>
    <row r="500" spans="1:34" ht="18.5" x14ac:dyDescent="0.45">
      <c r="A500" s="4"/>
      <c r="B500" s="309"/>
      <c r="C500" s="309"/>
      <c r="D500" s="309"/>
      <c r="E500" s="309"/>
      <c r="F500" s="309"/>
      <c r="G500" s="309"/>
      <c r="H500" s="309"/>
      <c r="I500" s="309"/>
      <c r="J500" s="309"/>
      <c r="K500" s="309"/>
      <c r="L500" s="309"/>
      <c r="M500" s="309"/>
      <c r="N500" s="4"/>
      <c r="O500" s="4"/>
      <c r="P500" s="4"/>
      <c r="Q500" s="4"/>
      <c r="R500" s="4"/>
      <c r="S500" s="4"/>
      <c r="T500" s="4"/>
      <c r="U500" s="4"/>
      <c r="V500" s="4"/>
      <c r="W500" s="4"/>
      <c r="X500" s="4"/>
      <c r="Y500" s="4"/>
      <c r="Z500" s="4"/>
      <c r="AA500" s="4"/>
      <c r="AB500" s="4"/>
      <c r="AC500" s="4"/>
      <c r="AD500" s="4"/>
      <c r="AE500" s="4"/>
      <c r="AF500" s="4"/>
      <c r="AG500" s="4"/>
      <c r="AH500" s="4"/>
    </row>
    <row r="501" spans="1:34" ht="15.75" customHeight="1" x14ac:dyDescent="0.5">
      <c r="A501" s="4"/>
      <c r="B501" s="310"/>
      <c r="C501" s="310"/>
      <c r="D501" s="310"/>
      <c r="E501" s="310"/>
      <c r="F501" s="310"/>
      <c r="G501" s="310"/>
      <c r="H501" s="310"/>
      <c r="I501" s="310"/>
      <c r="J501" s="310"/>
      <c r="K501" s="310"/>
      <c r="L501" s="310"/>
      <c r="M501" s="310"/>
      <c r="N501" s="4"/>
      <c r="O501" s="4"/>
      <c r="P501" s="4"/>
      <c r="Q501" s="4"/>
      <c r="R501" s="4"/>
      <c r="S501" s="4"/>
      <c r="T501" s="4"/>
      <c r="U501" s="310"/>
      <c r="V501" s="310"/>
      <c r="W501" s="310"/>
      <c r="X501" s="310"/>
      <c r="Y501" s="310"/>
      <c r="Z501" s="310"/>
      <c r="AA501" s="310"/>
      <c r="AB501" s="310"/>
      <c r="AC501" s="310"/>
      <c r="AD501" s="310"/>
      <c r="AE501" s="310"/>
      <c r="AF501" s="310"/>
      <c r="AG501" s="4"/>
      <c r="AH501" s="4"/>
    </row>
    <row r="502" spans="1:34" ht="15.75" customHeight="1" x14ac:dyDescent="0.5">
      <c r="A502" s="4"/>
      <c r="C502" s="194" t="s">
        <v>90</v>
      </c>
      <c r="L502" s="194" t="s">
        <v>90</v>
      </c>
      <c r="P502" s="4"/>
      <c r="Q502" s="4"/>
      <c r="R502" s="4"/>
      <c r="S502" s="4"/>
      <c r="T502" s="4"/>
      <c r="U502" s="310"/>
      <c r="V502" s="310"/>
      <c r="W502" s="310"/>
      <c r="X502" s="310"/>
      <c r="Y502" s="310"/>
      <c r="Z502" s="310"/>
      <c r="AA502" s="310"/>
      <c r="AB502" s="310"/>
      <c r="AC502" s="310"/>
      <c r="AD502" s="310"/>
      <c r="AE502" s="310"/>
      <c r="AF502" s="310"/>
      <c r="AG502" s="4"/>
      <c r="AH502" s="4"/>
    </row>
    <row r="503" spans="1:34" ht="15.75" customHeight="1" x14ac:dyDescent="0.5">
      <c r="A503" s="4"/>
      <c r="P503" s="121"/>
      <c r="Q503" s="121"/>
      <c r="R503" s="121"/>
      <c r="S503" s="4"/>
      <c r="T503" s="4"/>
      <c r="U503" s="310"/>
      <c r="V503" s="310"/>
      <c r="W503" s="310"/>
      <c r="X503" s="310"/>
      <c r="Y503" s="310"/>
      <c r="Z503" s="310"/>
      <c r="AA503" s="310"/>
      <c r="AB503" s="310"/>
      <c r="AC503" s="310"/>
      <c r="AD503" s="310"/>
      <c r="AE503" s="310"/>
      <c r="AF503" s="310"/>
      <c r="AG503" s="4"/>
      <c r="AH503" s="4"/>
    </row>
    <row r="504" spans="1:34" ht="16.5" customHeight="1" x14ac:dyDescent="0.35">
      <c r="A504" s="4"/>
      <c r="C504" s="194" t="s">
        <v>0</v>
      </c>
      <c r="D504" s="194" t="s">
        <v>815</v>
      </c>
      <c r="E504" s="194" t="s">
        <v>91</v>
      </c>
      <c r="F504" s="194"/>
      <c r="L504" s="194" t="s">
        <v>0</v>
      </c>
      <c r="M504" s="194" t="s">
        <v>91</v>
      </c>
      <c r="N504" s="194" t="s">
        <v>816</v>
      </c>
      <c r="P504" s="121"/>
      <c r="Q504" s="121"/>
      <c r="R504" s="121"/>
      <c r="S504" s="4"/>
      <c r="T504" s="4"/>
      <c r="U504" s="4"/>
      <c r="V504" s="4"/>
      <c r="W504" s="4"/>
      <c r="X504" s="4"/>
      <c r="Y504" s="4"/>
      <c r="Z504" s="4"/>
      <c r="AA504" s="4"/>
      <c r="AB504" s="4"/>
      <c r="AC504" s="4"/>
      <c r="AD504" s="4"/>
      <c r="AE504" s="4"/>
      <c r="AF504" s="4"/>
      <c r="AG504" s="4"/>
      <c r="AH504" s="4"/>
    </row>
    <row r="505" spans="1:34" ht="15.75" customHeight="1" x14ac:dyDescent="0.35">
      <c r="A505" s="4"/>
      <c r="B505" s="135" t="s">
        <v>817</v>
      </c>
      <c r="C505" s="135">
        <v>3.5633499999999998</v>
      </c>
      <c r="D505" s="135">
        <v>4.8687754549999998</v>
      </c>
      <c r="E505" s="135">
        <v>4.9404736360000001</v>
      </c>
      <c r="K505" s="135" t="s">
        <v>817</v>
      </c>
      <c r="L505" s="135">
        <v>3.5633499999999998</v>
      </c>
      <c r="M505" s="135">
        <v>4.9404736360000001</v>
      </c>
      <c r="N505" s="135">
        <v>4.8361627269999996</v>
      </c>
      <c r="P505" s="121"/>
      <c r="Q505" s="121"/>
      <c r="R505" s="121"/>
      <c r="S505" s="4"/>
      <c r="T505" s="4"/>
      <c r="U505" s="4"/>
      <c r="V505" s="4"/>
      <c r="W505" s="4"/>
      <c r="X505" s="4"/>
      <c r="Y505" s="4"/>
      <c r="Z505" s="4"/>
      <c r="AA505" s="4"/>
      <c r="AB505" s="4"/>
      <c r="AC505" s="4"/>
      <c r="AD505" s="4"/>
      <c r="AE505" s="4"/>
      <c r="AF505" s="4"/>
      <c r="AG505" s="4"/>
      <c r="AH505" s="4"/>
    </row>
    <row r="506" spans="1:34" ht="15.75" customHeight="1" x14ac:dyDescent="0.35">
      <c r="A506" s="4"/>
      <c r="B506" s="135" t="s">
        <v>818</v>
      </c>
      <c r="C506" s="135">
        <v>4.907007857</v>
      </c>
      <c r="D506" s="135">
        <v>6.1580828570000001</v>
      </c>
      <c r="E506" s="135">
        <v>7.7353123080000001</v>
      </c>
      <c r="K506" s="135" t="s">
        <v>818</v>
      </c>
      <c r="L506" s="135">
        <v>4.907007857</v>
      </c>
      <c r="M506" s="135">
        <v>7.7353123080000001</v>
      </c>
      <c r="N506" s="135">
        <v>8.6103959999999997</v>
      </c>
      <c r="P506" s="121"/>
      <c r="Q506" s="121"/>
      <c r="R506" s="121"/>
      <c r="S506" s="4"/>
      <c r="T506" s="4"/>
      <c r="U506" s="4"/>
      <c r="V506" s="4"/>
      <c r="W506" s="4"/>
      <c r="X506" s="4"/>
      <c r="Y506" s="4"/>
      <c r="Z506" s="4"/>
      <c r="AA506" s="4"/>
      <c r="AB506" s="4"/>
      <c r="AC506" s="4"/>
      <c r="AD506" s="4"/>
      <c r="AE506" s="4"/>
      <c r="AF506" s="4"/>
      <c r="AG506" s="4"/>
      <c r="AH506" s="4"/>
    </row>
    <row r="507" spans="1:34" ht="15.75" customHeight="1" x14ac:dyDescent="0.35">
      <c r="A507" s="4"/>
      <c r="B507" s="135" t="s">
        <v>819</v>
      </c>
      <c r="C507" s="135">
        <v>3.4269975000000001</v>
      </c>
      <c r="D507" s="135">
        <v>3.821612</v>
      </c>
      <c r="E507" s="135">
        <v>3.6124541670000001</v>
      </c>
      <c r="K507" s="135" t="s">
        <v>819</v>
      </c>
      <c r="L507" s="135">
        <v>3.4269975000000001</v>
      </c>
      <c r="M507" s="135">
        <v>3.6124541670000001</v>
      </c>
      <c r="N507" s="135">
        <v>3.9897288889999998</v>
      </c>
      <c r="P507" s="121"/>
      <c r="Q507" s="121"/>
      <c r="R507" s="121"/>
      <c r="S507" s="4"/>
      <c r="T507" s="4"/>
      <c r="U507" s="4"/>
      <c r="V507" s="4"/>
      <c r="W507" s="4"/>
      <c r="X507" s="4"/>
      <c r="Y507" s="4"/>
      <c r="Z507" s="4"/>
      <c r="AA507" s="4"/>
      <c r="AB507" s="4"/>
      <c r="AC507" s="4"/>
      <c r="AD507" s="4"/>
      <c r="AE507" s="4"/>
      <c r="AF507" s="4"/>
      <c r="AG507" s="4"/>
      <c r="AH507" s="4"/>
    </row>
    <row r="508" spans="1:34" ht="15.75" customHeight="1" x14ac:dyDescent="0.35">
      <c r="A508" s="4"/>
      <c r="B508" s="135" t="s">
        <v>820</v>
      </c>
      <c r="C508" s="135">
        <v>3.475619091</v>
      </c>
      <c r="D508" s="135">
        <v>2.7677676920000001</v>
      </c>
      <c r="E508" s="135">
        <v>1.987601875</v>
      </c>
      <c r="K508" s="135" t="s">
        <v>820</v>
      </c>
      <c r="L508" s="135">
        <v>3.475619091</v>
      </c>
      <c r="M508" s="135">
        <v>1.987601875</v>
      </c>
      <c r="N508" s="135">
        <v>2.0358930769999999</v>
      </c>
      <c r="P508" s="121"/>
      <c r="Q508" s="121"/>
      <c r="R508" s="121"/>
      <c r="S508" s="4"/>
      <c r="T508" s="4"/>
      <c r="U508" s="4"/>
      <c r="V508" s="4"/>
      <c r="W508" s="4"/>
      <c r="X508" s="4"/>
      <c r="Y508" s="4"/>
      <c r="Z508" s="4"/>
      <c r="AA508" s="4"/>
      <c r="AB508" s="4"/>
      <c r="AC508" s="4"/>
      <c r="AD508" s="4"/>
      <c r="AE508" s="4"/>
      <c r="AF508" s="4"/>
      <c r="AG508" s="4"/>
      <c r="AH508" s="4"/>
    </row>
    <row r="509" spans="1:34" x14ac:dyDescent="0.35">
      <c r="A509" s="4"/>
      <c r="B509" s="135" t="s">
        <v>821</v>
      </c>
      <c r="C509" s="135">
        <v>2.4718763159999999</v>
      </c>
      <c r="D509" s="135">
        <v>2.1691641669999999</v>
      </c>
      <c r="E509" s="135">
        <v>1.3480032500000001</v>
      </c>
      <c r="K509" s="135" t="s">
        <v>821</v>
      </c>
      <c r="L509" s="135">
        <v>2.4718763159999999</v>
      </c>
      <c r="M509" s="135">
        <v>1.3480032500000001</v>
      </c>
      <c r="N509" s="135">
        <v>1.491554324</v>
      </c>
      <c r="P509" s="4"/>
      <c r="Q509" s="4"/>
      <c r="R509" s="4"/>
      <c r="S509" s="4"/>
      <c r="T509" s="4"/>
      <c r="U509" s="4"/>
      <c r="V509" s="4"/>
      <c r="W509" s="4"/>
      <c r="X509" s="4"/>
      <c r="Y509" s="4"/>
      <c r="Z509" s="4"/>
      <c r="AA509" s="4"/>
      <c r="AB509" s="4"/>
      <c r="AC509" s="4"/>
      <c r="AD509" s="4"/>
      <c r="AE509" s="4"/>
      <c r="AF509" s="4"/>
      <c r="AG509" s="4"/>
      <c r="AH509" s="4"/>
    </row>
    <row r="510" spans="1:34" x14ac:dyDescent="0.35">
      <c r="A510" s="4"/>
      <c r="B510" s="135" t="s">
        <v>822</v>
      </c>
      <c r="C510" s="135">
        <v>3.7846607140000001</v>
      </c>
      <c r="D510" s="135">
        <v>3.722173636</v>
      </c>
      <c r="E510" s="135">
        <v>4.2515333330000002</v>
      </c>
      <c r="K510" s="135" t="s">
        <v>822</v>
      </c>
      <c r="L510" s="135">
        <v>3.7846607140000001</v>
      </c>
      <c r="M510" s="135">
        <v>4.2515333330000002</v>
      </c>
      <c r="N510" s="135">
        <v>4.0869572730000003</v>
      </c>
      <c r="P510" s="4"/>
      <c r="Q510" s="4"/>
      <c r="R510" s="5"/>
      <c r="S510" s="4"/>
      <c r="T510" s="4"/>
      <c r="U510" s="4"/>
      <c r="V510" s="4"/>
      <c r="W510" s="223"/>
      <c r="X510" s="4"/>
      <c r="Y510" s="4"/>
      <c r="Z510" s="4"/>
      <c r="AA510" s="4"/>
      <c r="AB510" s="239"/>
      <c r="AC510" s="238"/>
      <c r="AD510" s="238"/>
      <c r="AE510" s="238"/>
      <c r="AF510" s="4"/>
      <c r="AG510" s="4"/>
      <c r="AH510" s="4"/>
    </row>
    <row r="511" spans="1:34" x14ac:dyDescent="0.35">
      <c r="A511" s="4"/>
      <c r="B511" s="135" t="s">
        <v>823</v>
      </c>
      <c r="C511" s="135">
        <v>7.3761771429999996</v>
      </c>
      <c r="D511" s="135">
        <v>6.7972757140000004</v>
      </c>
      <c r="E511" s="135">
        <v>7.247368571</v>
      </c>
      <c r="K511" s="135" t="s">
        <v>823</v>
      </c>
      <c r="L511" s="135">
        <v>7.3761771429999996</v>
      </c>
      <c r="M511" s="135">
        <v>7.247368571</v>
      </c>
      <c r="N511" s="135">
        <v>7.4707800000000004</v>
      </c>
      <c r="P511" s="4"/>
      <c r="Q511" s="4"/>
      <c r="R511" s="4"/>
      <c r="S511" s="4"/>
      <c r="T511" s="4"/>
      <c r="U511" s="4"/>
      <c r="V511" s="4"/>
      <c r="W511" s="223"/>
      <c r="X511" s="4"/>
      <c r="Y511" s="4"/>
      <c r="Z511" s="4"/>
      <c r="AA511" s="4"/>
      <c r="AB511" s="238"/>
      <c r="AC511" s="238"/>
      <c r="AD511" s="238"/>
      <c r="AE511" s="4"/>
      <c r="AF511" s="4"/>
      <c r="AG511" s="4"/>
      <c r="AH511" s="4"/>
    </row>
    <row r="512" spans="1:34" x14ac:dyDescent="0.35">
      <c r="A512" s="4"/>
      <c r="B512" s="311" t="s">
        <v>824</v>
      </c>
      <c r="C512" s="135">
        <v>1.840952500000002</v>
      </c>
      <c r="D512" s="135">
        <v>2.5199384210526312</v>
      </c>
      <c r="E512" s="135">
        <v>1.4261695652173925</v>
      </c>
      <c r="K512" s="311" t="s">
        <v>824</v>
      </c>
      <c r="L512" s="135">
        <v>1.840952500000002</v>
      </c>
      <c r="M512" s="135">
        <v>1.4261695652173925</v>
      </c>
      <c r="N512" s="135">
        <v>1.8284227777777788</v>
      </c>
      <c r="P512" s="4"/>
      <c r="Q512" s="4"/>
      <c r="R512" s="4"/>
      <c r="S512" s="4"/>
      <c r="T512" s="4"/>
      <c r="U512" s="4"/>
      <c r="V512" s="4"/>
      <c r="W512" s="223"/>
      <c r="X512" s="4"/>
      <c r="Y512" s="4"/>
      <c r="Z512" s="4"/>
      <c r="AA512" s="4"/>
      <c r="AB512" s="4"/>
      <c r="AC512" s="4"/>
      <c r="AD512" s="4"/>
      <c r="AE512" s="4"/>
      <c r="AF512" s="4"/>
      <c r="AG512" s="4"/>
      <c r="AH512" s="4"/>
    </row>
    <row r="513" spans="1:34" x14ac:dyDescent="0.35">
      <c r="A513" s="4"/>
      <c r="B513" s="311" t="s">
        <v>825</v>
      </c>
      <c r="C513" s="135">
        <v>2.9071293749999989</v>
      </c>
      <c r="D513" s="164">
        <v>4.0911955555555561</v>
      </c>
      <c r="E513" s="164">
        <v>3.6606850000000004</v>
      </c>
      <c r="K513" s="311" t="s">
        <v>825</v>
      </c>
      <c r="L513" s="135">
        <v>2.9071293749999989</v>
      </c>
      <c r="M513" s="164">
        <v>3.6606850000000004</v>
      </c>
      <c r="N513" s="135">
        <v>3.1635631249999991</v>
      </c>
      <c r="P513" s="4"/>
      <c r="Q513" s="4"/>
      <c r="R513" s="4"/>
      <c r="S513" s="4"/>
      <c r="T513" s="4"/>
      <c r="U513" s="4"/>
      <c r="V513" s="4"/>
      <c r="W513" s="223"/>
      <c r="X513" s="4"/>
      <c r="Y513" s="4"/>
      <c r="Z513" s="4"/>
      <c r="AA513" s="4"/>
      <c r="AB513" s="4"/>
      <c r="AC513" s="4"/>
      <c r="AD513" s="4"/>
      <c r="AE513" s="4"/>
      <c r="AF513" s="4"/>
      <c r="AG513" s="4"/>
      <c r="AH513" s="4"/>
    </row>
    <row r="514" spans="1:34" x14ac:dyDescent="0.35">
      <c r="A514" s="4"/>
      <c r="B514" s="311" t="s">
        <v>826</v>
      </c>
      <c r="C514" s="164">
        <v>3.9886425000000019</v>
      </c>
      <c r="D514" s="135">
        <v>6.5968300000000015</v>
      </c>
      <c r="E514" s="135">
        <v>2.7588776190476163</v>
      </c>
      <c r="K514" s="311" t="s">
        <v>826</v>
      </c>
      <c r="L514" s="164">
        <v>3.9886425000000019</v>
      </c>
      <c r="M514" s="135">
        <v>2.7588776190476163</v>
      </c>
      <c r="N514" s="277">
        <v>2.9946483333333327</v>
      </c>
      <c r="P514" s="4"/>
      <c r="Q514" s="4"/>
      <c r="R514" s="4"/>
      <c r="S514" s="4"/>
      <c r="T514" s="4"/>
      <c r="U514" s="4"/>
      <c r="V514" s="4"/>
      <c r="W514" s="240"/>
      <c r="X514" s="4"/>
      <c r="Y514" s="4"/>
      <c r="Z514" s="4"/>
      <c r="AA514" s="4"/>
      <c r="AB514" s="4"/>
      <c r="AC514" s="4"/>
      <c r="AD514" s="4"/>
      <c r="AE514" s="4"/>
      <c r="AF514" s="4"/>
      <c r="AG514" s="4"/>
      <c r="AH514" s="4"/>
    </row>
    <row r="515" spans="1:34" x14ac:dyDescent="0.35">
      <c r="A515" s="4"/>
      <c r="B515" s="311" t="s">
        <v>827</v>
      </c>
      <c r="C515" s="164">
        <v>3.5018239999999978</v>
      </c>
      <c r="D515" s="164">
        <v>4.5039891666666669</v>
      </c>
      <c r="E515" s="135">
        <v>2.3774088235294126</v>
      </c>
      <c r="K515" s="311" t="s">
        <v>827</v>
      </c>
      <c r="L515" s="164">
        <v>3.5018239999999978</v>
      </c>
      <c r="M515" s="135">
        <v>2.3774088235294126</v>
      </c>
      <c r="N515" s="135">
        <v>1.4475647619047609</v>
      </c>
      <c r="P515" s="4"/>
      <c r="Q515" s="4"/>
      <c r="R515" s="4"/>
      <c r="S515" s="4"/>
      <c r="T515" s="4"/>
      <c r="U515" s="4"/>
      <c r="V515" s="4"/>
      <c r="W515" s="4"/>
      <c r="X515" s="4"/>
      <c r="Y515" s="4"/>
      <c r="Z515" s="4"/>
      <c r="AA515" s="4"/>
      <c r="AB515" s="4"/>
      <c r="AC515" s="4"/>
      <c r="AD515" s="4"/>
      <c r="AE515" s="4"/>
      <c r="AF515" s="4"/>
      <c r="AG515" s="4"/>
      <c r="AH515" s="4"/>
    </row>
    <row r="516" spans="1:34" x14ac:dyDescent="0.35">
      <c r="A516" s="4"/>
      <c r="B516" s="311" t="s">
        <v>828</v>
      </c>
      <c r="C516" s="164">
        <v>2.8767591666666656</v>
      </c>
      <c r="D516" s="164">
        <v>4.2884215384615381</v>
      </c>
      <c r="E516" s="135">
        <v>2.9519476923076913</v>
      </c>
      <c r="K516" s="311" t="s">
        <v>828</v>
      </c>
      <c r="L516" s="164">
        <v>2.8767591666666656</v>
      </c>
      <c r="M516" s="135">
        <v>2.9519476923076913</v>
      </c>
      <c r="N516" s="277">
        <v>2.7903000000000029</v>
      </c>
      <c r="P516" s="4"/>
      <c r="Q516" s="4"/>
      <c r="R516" s="4"/>
      <c r="S516" s="4"/>
      <c r="T516" s="4"/>
      <c r="U516" s="4"/>
      <c r="V516" s="4"/>
      <c r="W516" s="4"/>
      <c r="X516" s="4"/>
      <c r="Y516" s="4"/>
      <c r="Z516" s="4"/>
      <c r="AA516" s="4"/>
      <c r="AB516" s="4"/>
      <c r="AC516" s="4"/>
      <c r="AD516" s="4"/>
      <c r="AE516" s="4"/>
      <c r="AF516" s="4"/>
      <c r="AG516" s="4"/>
      <c r="AH516" s="4"/>
    </row>
    <row r="517" spans="1:34" x14ac:dyDescent="0.35">
      <c r="A517" s="4"/>
      <c r="B517" s="311" t="s">
        <v>829</v>
      </c>
      <c r="C517" s="135">
        <v>3.2848775000000021</v>
      </c>
      <c r="D517" s="135">
        <v>3.7708014285714291</v>
      </c>
      <c r="E517" s="135">
        <v>3.0623415789473682</v>
      </c>
      <c r="K517" s="311" t="s">
        <v>829</v>
      </c>
      <c r="L517" s="135">
        <v>3.2848775000000021</v>
      </c>
      <c r="M517" s="135">
        <v>3.0623415789473682</v>
      </c>
      <c r="N517" s="135">
        <v>3.3066159999999996</v>
      </c>
      <c r="P517" s="4"/>
      <c r="Q517" s="4"/>
      <c r="R517" s="4"/>
      <c r="S517" s="4"/>
      <c r="T517" s="4"/>
      <c r="U517" s="4"/>
      <c r="V517" s="4"/>
      <c r="W517" s="4"/>
      <c r="X517" s="4"/>
      <c r="Y517" s="4"/>
      <c r="Z517" s="4"/>
      <c r="AA517" s="4"/>
      <c r="AB517" s="4"/>
      <c r="AC517" s="4"/>
      <c r="AD517" s="4"/>
      <c r="AE517" s="4"/>
      <c r="AF517" s="4"/>
      <c r="AG517" s="4"/>
      <c r="AH517" s="4"/>
    </row>
    <row r="518" spans="1:34" x14ac:dyDescent="0.35">
      <c r="A518" s="4"/>
      <c r="B518" s="312" t="s">
        <v>548</v>
      </c>
      <c r="C518" s="194">
        <f>AVERAGE(C505:C517)</f>
        <v>3.6466056663589748</v>
      </c>
      <c r="D518" s="194">
        <f t="shared" ref="D518:E518" si="464">AVERAGE(D505:D517)</f>
        <v>4.3135405870236792</v>
      </c>
      <c r="E518" s="194">
        <f t="shared" si="464"/>
        <v>3.6430905706961143</v>
      </c>
      <c r="F518" s="194"/>
      <c r="G518" s="194"/>
      <c r="H518" s="194"/>
      <c r="I518" s="194"/>
      <c r="J518" s="194"/>
      <c r="K518" s="312" t="s">
        <v>548</v>
      </c>
      <c r="L518" s="194">
        <f>AVERAGE(L505:L517)</f>
        <v>3.6466056663589748</v>
      </c>
      <c r="M518" s="194">
        <f t="shared" ref="M518:N518" si="465">AVERAGE(M505:M517)</f>
        <v>3.6430905706961143</v>
      </c>
      <c r="N518" s="194">
        <f t="shared" si="465"/>
        <v>3.6963528683089129</v>
      </c>
      <c r="P518" s="4"/>
      <c r="Q518" s="4"/>
      <c r="R518" s="4"/>
      <c r="S518" s="4"/>
      <c r="T518" s="4"/>
      <c r="U518" s="4"/>
      <c r="V518" s="4"/>
      <c r="W518" s="4"/>
      <c r="X518" s="4"/>
      <c r="Y518" s="4"/>
      <c r="Z518" s="4"/>
      <c r="AA518" s="4"/>
      <c r="AB518" s="4"/>
      <c r="AC518" s="4"/>
      <c r="AD518" s="4"/>
      <c r="AE518" s="4"/>
      <c r="AF518" s="4"/>
      <c r="AG518" s="4"/>
      <c r="AH518" s="4"/>
    </row>
    <row r="519" spans="1:34" x14ac:dyDescent="0.35">
      <c r="A519" s="4"/>
      <c r="B519" s="312" t="s">
        <v>94</v>
      </c>
      <c r="C519" s="194">
        <f>_xlfn.STDEV.S(C505:C517)</f>
        <v>1.343206094715097</v>
      </c>
      <c r="D519" s="194">
        <f t="shared" ref="D519:E519" si="466">_xlfn.STDEV.S(D505:D517)</f>
        <v>1.4795933791915679</v>
      </c>
      <c r="E519" s="194">
        <f t="shared" si="466"/>
        <v>1.998192731184792</v>
      </c>
      <c r="F519" s="194"/>
      <c r="G519" s="194"/>
      <c r="H519" s="194"/>
      <c r="I519" s="194"/>
      <c r="J519" s="194"/>
      <c r="K519" s="312" t="s">
        <v>94</v>
      </c>
      <c r="L519" s="194">
        <f>_xlfn.STDEV.S(L505:L517)</f>
        <v>1.343206094715097</v>
      </c>
      <c r="M519" s="194">
        <f t="shared" ref="M519:N519" si="467">_xlfn.STDEV.S(M505:M517)</f>
        <v>1.998192731184792</v>
      </c>
      <c r="N519" s="194">
        <f t="shared" si="467"/>
        <v>2.1955538932663341</v>
      </c>
      <c r="P519" s="4"/>
      <c r="Q519" s="4"/>
      <c r="R519" s="4"/>
      <c r="S519" s="4"/>
      <c r="T519" s="4"/>
      <c r="U519" s="4"/>
      <c r="V519" s="4"/>
      <c r="W519" s="223"/>
      <c r="X519" s="4"/>
      <c r="Y519" s="4"/>
      <c r="Z519" s="4"/>
      <c r="AA519" s="4"/>
      <c r="AB519" s="4"/>
      <c r="AC519" s="4"/>
      <c r="AD519" s="4"/>
      <c r="AE519" s="4"/>
      <c r="AF519" s="4"/>
      <c r="AG519" s="4"/>
      <c r="AH519" s="4"/>
    </row>
    <row r="520" spans="1:34" x14ac:dyDescent="0.35">
      <c r="A520" s="4"/>
      <c r="B520" s="312" t="s">
        <v>685</v>
      </c>
      <c r="C520" s="194">
        <f>C519/C518</f>
        <v>0.36834421311483551</v>
      </c>
      <c r="D520" s="194">
        <f t="shared" ref="D520:E520" si="468">D519/D518</f>
        <v>0.34301134980451864</v>
      </c>
      <c r="E520" s="194">
        <f t="shared" si="468"/>
        <v>0.54848834867231466</v>
      </c>
      <c r="K520" s="312" t="s">
        <v>685</v>
      </c>
      <c r="L520" s="194">
        <f>L519/L518</f>
        <v>0.36834421311483551</v>
      </c>
      <c r="M520" s="194">
        <f t="shared" ref="M520" si="469">M519/M518</f>
        <v>0.54848834867231466</v>
      </c>
      <c r="N520" s="194">
        <f t="shared" ref="N520" si="470">N519/N518</f>
        <v>0.59397843536263983</v>
      </c>
      <c r="P520" s="4"/>
      <c r="Q520" s="4"/>
      <c r="R520" s="4"/>
      <c r="S520" s="4"/>
      <c r="T520" s="4"/>
      <c r="U520" s="4"/>
      <c r="V520" s="4"/>
      <c r="W520" s="223"/>
      <c r="X520" s="4"/>
      <c r="Y520" s="4"/>
      <c r="Z520" s="4"/>
      <c r="AA520" s="4"/>
      <c r="AB520" s="4"/>
      <c r="AC520" s="4"/>
      <c r="AD520" s="4"/>
      <c r="AE520" s="4"/>
      <c r="AF520" s="4"/>
      <c r="AG520" s="4"/>
      <c r="AH520" s="4"/>
    </row>
    <row r="521" spans="1:34" x14ac:dyDescent="0.35">
      <c r="A521" s="4"/>
      <c r="P521" s="4"/>
      <c r="Q521" s="4"/>
      <c r="R521" s="4"/>
      <c r="S521" s="4"/>
      <c r="T521" s="4"/>
      <c r="U521" s="4"/>
      <c r="V521" s="4"/>
      <c r="W521" s="4"/>
      <c r="X521" s="4"/>
      <c r="Y521" s="4"/>
      <c r="Z521" s="4"/>
      <c r="AA521" s="4"/>
      <c r="AB521" s="4"/>
      <c r="AC521" s="4"/>
      <c r="AD521" s="4"/>
      <c r="AE521" s="4"/>
      <c r="AF521" s="4"/>
      <c r="AG521" s="4"/>
      <c r="AH521" s="4"/>
    </row>
    <row r="522" spans="1:34" x14ac:dyDescent="0.35">
      <c r="A522" s="4"/>
      <c r="P522" s="4"/>
      <c r="Q522" s="4"/>
      <c r="R522" s="4"/>
      <c r="S522" s="4"/>
      <c r="T522" s="4"/>
      <c r="U522" s="4"/>
      <c r="V522" s="4"/>
      <c r="W522" s="4"/>
      <c r="X522" s="4"/>
      <c r="Y522" s="4"/>
      <c r="Z522" s="4"/>
      <c r="AA522" s="4"/>
      <c r="AB522" s="4"/>
      <c r="AC522" s="4"/>
      <c r="AD522" s="4"/>
      <c r="AE522" s="4"/>
      <c r="AF522" s="4"/>
      <c r="AG522" s="4"/>
      <c r="AH522" s="4"/>
    </row>
    <row r="523" spans="1:34" x14ac:dyDescent="0.35">
      <c r="A523" s="4"/>
      <c r="P523" s="4"/>
      <c r="Q523" s="4"/>
      <c r="R523" s="4"/>
      <c r="S523" s="4"/>
      <c r="T523" s="4"/>
      <c r="U523" s="4"/>
      <c r="V523" s="4"/>
      <c r="W523" s="4"/>
      <c r="X523" s="4"/>
      <c r="Y523" s="4"/>
      <c r="Z523" s="4"/>
      <c r="AA523" s="4"/>
      <c r="AB523" s="4"/>
      <c r="AC523" s="4"/>
      <c r="AD523" s="4"/>
      <c r="AE523" s="4"/>
      <c r="AF523" s="4"/>
      <c r="AG523" s="4"/>
      <c r="AH523" s="4"/>
    </row>
    <row r="524" spans="1:34" x14ac:dyDescent="0.35">
      <c r="A524" s="4"/>
      <c r="C524" s="194" t="s">
        <v>93</v>
      </c>
      <c r="L524" s="194" t="s">
        <v>93</v>
      </c>
      <c r="P524" s="4"/>
      <c r="Q524" s="4"/>
      <c r="R524" s="4"/>
      <c r="S524" s="4"/>
      <c r="T524" s="4"/>
      <c r="U524" s="4"/>
      <c r="V524" s="4"/>
      <c r="W524" s="4"/>
      <c r="X524" s="4"/>
      <c r="Y524" s="4"/>
      <c r="Z524" s="4"/>
      <c r="AA524" s="4"/>
      <c r="AB524" s="4"/>
      <c r="AC524" s="4"/>
      <c r="AD524" s="4"/>
      <c r="AE524" s="4"/>
      <c r="AF524" s="4"/>
      <c r="AG524" s="4"/>
      <c r="AH524" s="4"/>
    </row>
    <row r="525" spans="1:34" x14ac:dyDescent="0.35">
      <c r="A525" s="4"/>
      <c r="P525" s="4"/>
      <c r="Q525" s="4"/>
      <c r="R525" s="4"/>
      <c r="S525" s="4"/>
      <c r="T525" s="4"/>
      <c r="U525" s="4"/>
      <c r="V525" s="4"/>
      <c r="W525" s="4"/>
      <c r="X525" s="4"/>
      <c r="Y525" s="4"/>
      <c r="Z525" s="4"/>
      <c r="AA525" s="4"/>
      <c r="AB525" s="4"/>
      <c r="AC525" s="4"/>
      <c r="AD525" s="4"/>
      <c r="AE525" s="4"/>
      <c r="AF525" s="4"/>
      <c r="AG525" s="4"/>
      <c r="AH525" s="4"/>
    </row>
    <row r="526" spans="1:34" x14ac:dyDescent="0.35">
      <c r="A526" s="4"/>
      <c r="C526" s="194" t="s">
        <v>0</v>
      </c>
      <c r="D526" s="194" t="s">
        <v>815</v>
      </c>
      <c r="E526" s="194" t="s">
        <v>91</v>
      </c>
      <c r="L526" s="194" t="s">
        <v>0</v>
      </c>
      <c r="M526" s="194" t="s">
        <v>91</v>
      </c>
      <c r="N526" s="194" t="s">
        <v>816</v>
      </c>
      <c r="P526" s="4"/>
      <c r="Q526" s="4"/>
      <c r="R526" s="4"/>
      <c r="S526" s="4"/>
      <c r="T526" s="4"/>
      <c r="U526" s="4"/>
      <c r="V526" s="4"/>
      <c r="W526" s="4"/>
      <c r="X526" s="4"/>
      <c r="Y526" s="4"/>
      <c r="Z526" s="4"/>
      <c r="AA526" s="4"/>
      <c r="AB526" s="4"/>
      <c r="AC526" s="4"/>
      <c r="AD526" s="4"/>
      <c r="AE526" s="4"/>
      <c r="AF526" s="4"/>
      <c r="AG526" s="4"/>
      <c r="AH526" s="4"/>
    </row>
    <row r="527" spans="1:34" x14ac:dyDescent="0.35">
      <c r="A527" s="4"/>
      <c r="B527" s="135" t="s">
        <v>817</v>
      </c>
      <c r="C527" s="135">
        <v>9.9186158819999992</v>
      </c>
      <c r="D527" s="135">
        <v>5.5768609089999996</v>
      </c>
      <c r="E527" s="135">
        <v>5.2713772729999997</v>
      </c>
      <c r="K527" s="135" t="s">
        <v>817</v>
      </c>
      <c r="L527" s="135">
        <v>9.9186158819999992</v>
      </c>
      <c r="M527" s="135">
        <v>5.2713772729999997</v>
      </c>
      <c r="N527" s="135">
        <v>6.0020154550000004</v>
      </c>
      <c r="P527" s="4"/>
      <c r="Q527" s="4"/>
      <c r="R527" s="4"/>
      <c r="S527" s="4"/>
      <c r="T527" s="4"/>
      <c r="U527" s="4"/>
      <c r="V527" s="4"/>
      <c r="W527" s="4"/>
      <c r="X527" s="4"/>
      <c r="Y527" s="4"/>
      <c r="Z527" s="4"/>
      <c r="AA527" s="4"/>
      <c r="AB527" s="4"/>
      <c r="AC527" s="4"/>
      <c r="AD527" s="4"/>
      <c r="AE527" s="4"/>
      <c r="AF527" s="4"/>
      <c r="AG527" s="4"/>
      <c r="AH527" s="4"/>
    </row>
    <row r="528" spans="1:34" x14ac:dyDescent="0.35">
      <c r="A528" s="4"/>
      <c r="B528" s="135" t="s">
        <v>818</v>
      </c>
      <c r="C528" s="135">
        <v>9.8369442859999996</v>
      </c>
      <c r="D528" s="135">
        <v>8.1022185709999999</v>
      </c>
      <c r="E528" s="135">
        <v>8.7901376920000001</v>
      </c>
      <c r="K528" s="135" t="s">
        <v>818</v>
      </c>
      <c r="L528" s="135">
        <v>9.8369442859999996</v>
      </c>
      <c r="M528" s="135">
        <v>8.7901376920000001</v>
      </c>
      <c r="N528" s="135">
        <v>9.76858</v>
      </c>
      <c r="P528" s="4"/>
      <c r="Q528" s="4"/>
      <c r="R528" s="4"/>
      <c r="S528" s="4"/>
      <c r="T528" s="4"/>
      <c r="U528" s="4"/>
      <c r="V528" s="4"/>
      <c r="W528" s="4"/>
      <c r="X528" s="4"/>
      <c r="Y528" s="4"/>
      <c r="Z528" s="4"/>
      <c r="AA528" s="4"/>
      <c r="AB528" s="4"/>
      <c r="AC528" s="4"/>
      <c r="AD528" s="4"/>
      <c r="AE528" s="4"/>
      <c r="AF528" s="4"/>
      <c r="AG528" s="4"/>
      <c r="AH528" s="4"/>
    </row>
    <row r="529" spans="1:34" x14ac:dyDescent="0.35">
      <c r="A529" s="4"/>
      <c r="B529" s="135" t="s">
        <v>819</v>
      </c>
      <c r="C529" s="135">
        <v>9.0477124999999994</v>
      </c>
      <c r="D529" s="135">
        <v>6.908747</v>
      </c>
      <c r="E529" s="135">
        <v>5.7594025000000002</v>
      </c>
      <c r="K529" s="135" t="s">
        <v>819</v>
      </c>
      <c r="L529" s="135">
        <v>9.0477124999999994</v>
      </c>
      <c r="M529" s="135">
        <v>5.7594025000000002</v>
      </c>
      <c r="N529" s="135">
        <v>8.2200733330000002</v>
      </c>
      <c r="P529" s="4"/>
      <c r="Q529" s="4"/>
      <c r="R529" s="4"/>
      <c r="S529" s="4"/>
      <c r="T529" s="4"/>
      <c r="U529" s="4"/>
      <c r="V529" s="4"/>
      <c r="W529" s="4"/>
      <c r="X529" s="4"/>
      <c r="Y529" s="4"/>
      <c r="Z529" s="4"/>
      <c r="AA529" s="4"/>
      <c r="AB529" s="4"/>
      <c r="AC529" s="4"/>
      <c r="AD529" s="4"/>
      <c r="AE529" s="4"/>
      <c r="AF529" s="4"/>
      <c r="AG529" s="4"/>
      <c r="AH529" s="4"/>
    </row>
    <row r="530" spans="1:34" x14ac:dyDescent="0.35">
      <c r="A530" s="4"/>
      <c r="B530" s="135" t="s">
        <v>820</v>
      </c>
      <c r="C530" s="135">
        <v>6.9513981820000001</v>
      </c>
      <c r="D530" s="135">
        <v>6.2716438459999999</v>
      </c>
      <c r="E530" s="135">
        <v>4.9682481249999997</v>
      </c>
      <c r="K530" s="135" t="s">
        <v>820</v>
      </c>
      <c r="L530" s="135">
        <v>6.9513981820000001</v>
      </c>
      <c r="M530" s="135">
        <v>4.9682481249999997</v>
      </c>
      <c r="N530" s="135">
        <v>6.754486923</v>
      </c>
      <c r="P530" s="4"/>
      <c r="Q530" s="4"/>
      <c r="R530" s="4"/>
      <c r="S530" s="4"/>
      <c r="T530" s="4"/>
      <c r="U530" s="4"/>
      <c r="V530" s="4"/>
      <c r="W530" s="4"/>
      <c r="X530" s="4"/>
      <c r="Y530" s="4"/>
      <c r="Z530" s="4"/>
      <c r="AA530" s="4"/>
      <c r="AB530" s="4"/>
      <c r="AC530" s="4"/>
      <c r="AD530" s="4"/>
      <c r="AE530" s="4"/>
      <c r="AF530" s="4"/>
      <c r="AG530" s="4"/>
      <c r="AH530" s="4"/>
    </row>
    <row r="531" spans="1:34" x14ac:dyDescent="0.35">
      <c r="A531" s="4"/>
      <c r="B531" s="135" t="s">
        <v>821</v>
      </c>
      <c r="C531" s="135">
        <v>9.7635526319999997</v>
      </c>
      <c r="D531" s="135">
        <v>7.998694167</v>
      </c>
      <c r="E531" s="135">
        <v>4.5581022500000001</v>
      </c>
      <c r="K531" s="135" t="s">
        <v>821</v>
      </c>
      <c r="L531" s="135">
        <v>9.7635526319999997</v>
      </c>
      <c r="M531" s="135">
        <v>4.5581022500000001</v>
      </c>
      <c r="N531" s="135">
        <v>8.3987410810000007</v>
      </c>
      <c r="P531" s="4"/>
      <c r="Q531" s="4"/>
      <c r="R531" s="4"/>
      <c r="S531" s="4"/>
      <c r="T531" s="4"/>
      <c r="U531" s="4"/>
      <c r="V531" s="4"/>
      <c r="W531" s="4"/>
      <c r="X531" s="4"/>
      <c r="Y531" s="4"/>
      <c r="Z531" s="4"/>
      <c r="AA531" s="4"/>
      <c r="AB531" s="4"/>
      <c r="AC531" s="4"/>
      <c r="AD531" s="4"/>
      <c r="AE531" s="4"/>
      <c r="AF531" s="4"/>
      <c r="AG531" s="4"/>
      <c r="AH531" s="4"/>
    </row>
    <row r="532" spans="1:34" x14ac:dyDescent="0.35">
      <c r="A532" s="4"/>
      <c r="B532" s="135" t="s">
        <v>822</v>
      </c>
      <c r="C532" s="135">
        <v>12.44848286</v>
      </c>
      <c r="D532" s="135">
        <v>6.4041290909999997</v>
      </c>
      <c r="E532" s="135">
        <v>6.681224286</v>
      </c>
      <c r="K532" s="135" t="s">
        <v>822</v>
      </c>
      <c r="L532" s="135">
        <v>12.44848286</v>
      </c>
      <c r="M532" s="135">
        <v>6.681224286</v>
      </c>
      <c r="N532" s="135">
        <v>7.2173763639999997</v>
      </c>
      <c r="P532" s="4"/>
      <c r="Q532" s="4"/>
      <c r="R532" s="4"/>
      <c r="S532" s="4"/>
      <c r="T532" s="4"/>
      <c r="U532" s="4"/>
      <c r="V532" s="4"/>
      <c r="W532" s="4"/>
      <c r="X532" s="4"/>
      <c r="Y532" s="4"/>
      <c r="Z532" s="4"/>
      <c r="AA532" s="4"/>
      <c r="AB532" s="4"/>
      <c r="AC532" s="4"/>
      <c r="AD532" s="4"/>
      <c r="AE532" s="4"/>
      <c r="AF532" s="4"/>
      <c r="AG532" s="4"/>
      <c r="AH532" s="4"/>
    </row>
    <row r="533" spans="1:34" x14ac:dyDescent="0.35">
      <c r="A533" s="4"/>
      <c r="B533" s="135" t="s">
        <v>823</v>
      </c>
      <c r="C533" s="135">
        <v>9.2101542859999999</v>
      </c>
      <c r="D533" s="135">
        <v>8.5451700000000006</v>
      </c>
      <c r="E533" s="135">
        <v>8.2460714290000006</v>
      </c>
      <c r="K533" s="135" t="s">
        <v>823</v>
      </c>
      <c r="L533" s="135">
        <v>9.2101542859999999</v>
      </c>
      <c r="M533" s="135">
        <v>8.2460714290000006</v>
      </c>
      <c r="N533" s="135">
        <v>12.227796</v>
      </c>
      <c r="P533" s="4"/>
      <c r="Q533" s="4"/>
      <c r="R533" s="4"/>
      <c r="S533" s="4"/>
      <c r="T533" s="4"/>
      <c r="U533" s="4"/>
      <c r="V533" s="4"/>
      <c r="W533" s="4"/>
      <c r="X533" s="4"/>
      <c r="Y533" s="4"/>
      <c r="Z533" s="4"/>
      <c r="AA533" s="4"/>
      <c r="AB533" s="4"/>
      <c r="AC533" s="4"/>
      <c r="AD533" s="4"/>
      <c r="AE533" s="4"/>
      <c r="AF533" s="4"/>
      <c r="AG533" s="4"/>
      <c r="AH533" s="4"/>
    </row>
    <row r="534" spans="1:34" x14ac:dyDescent="0.35">
      <c r="A534" s="4"/>
      <c r="B534" s="311" t="s">
        <v>824</v>
      </c>
      <c r="C534" s="277">
        <v>5.090125624999998</v>
      </c>
      <c r="D534" s="135">
        <v>3.795851578947369</v>
      </c>
      <c r="E534" s="277">
        <v>3.7376065217391292</v>
      </c>
      <c r="K534" s="311" t="s">
        <v>824</v>
      </c>
      <c r="L534" s="277">
        <v>5.090125624999998</v>
      </c>
      <c r="M534" s="277">
        <v>3.7376065217391292</v>
      </c>
      <c r="N534" s="135">
        <v>4.8262066666666659</v>
      </c>
      <c r="P534" s="4"/>
      <c r="Q534" s="4"/>
      <c r="R534" s="4"/>
      <c r="S534" s="4"/>
      <c r="T534" s="4"/>
      <c r="U534" s="4"/>
      <c r="V534" s="4"/>
      <c r="W534" s="4"/>
      <c r="X534" s="4"/>
      <c r="Y534" s="4"/>
      <c r="Z534" s="4"/>
      <c r="AA534" s="4"/>
      <c r="AB534" s="4"/>
      <c r="AC534" s="4"/>
      <c r="AD534" s="4"/>
      <c r="AE534" s="4"/>
      <c r="AF534" s="4"/>
      <c r="AG534" s="4"/>
      <c r="AH534" s="4"/>
    </row>
    <row r="535" spans="1:34" x14ac:dyDescent="0.35">
      <c r="A535" s="4"/>
      <c r="B535" s="311" t="s">
        <v>825</v>
      </c>
      <c r="C535" s="277">
        <v>4.2440775000000013</v>
      </c>
      <c r="D535" s="164">
        <v>3.5334566666666669</v>
      </c>
      <c r="E535" s="164">
        <v>3.7000024999999996</v>
      </c>
      <c r="K535" s="311" t="s">
        <v>825</v>
      </c>
      <c r="L535" s="277">
        <v>4.2440775000000013</v>
      </c>
      <c r="M535" s="164">
        <v>3.7000024999999996</v>
      </c>
      <c r="N535" s="135">
        <v>4.2696168750000005</v>
      </c>
      <c r="P535" s="4"/>
      <c r="Q535" s="4"/>
      <c r="R535" s="4"/>
      <c r="S535" s="4"/>
      <c r="T535" s="4"/>
      <c r="U535" s="4"/>
      <c r="V535" s="4"/>
      <c r="W535" s="4"/>
      <c r="X535" s="4"/>
      <c r="Y535" s="4"/>
      <c r="Z535" s="4"/>
      <c r="AA535" s="4"/>
      <c r="AB535" s="4"/>
      <c r="AC535" s="4"/>
      <c r="AD535" s="4"/>
      <c r="AE535" s="4"/>
      <c r="AF535" s="4"/>
      <c r="AG535" s="4"/>
      <c r="AH535" s="4"/>
    </row>
    <row r="536" spans="1:34" x14ac:dyDescent="0.35">
      <c r="A536" s="4"/>
      <c r="B536" s="311" t="s">
        <v>826</v>
      </c>
      <c r="C536" s="164">
        <v>17.952419999999996</v>
      </c>
      <c r="D536" s="135">
        <v>8.2582683333333318</v>
      </c>
      <c r="E536" s="277">
        <v>8.0856400000000033</v>
      </c>
      <c r="K536" s="311" t="s">
        <v>826</v>
      </c>
      <c r="L536" s="164">
        <v>17.952419999999996</v>
      </c>
      <c r="M536" s="277">
        <v>8.0856400000000033</v>
      </c>
      <c r="N536" s="277">
        <v>16.237921666666665</v>
      </c>
      <c r="P536" s="4"/>
      <c r="Q536" s="4"/>
      <c r="R536" s="4"/>
      <c r="S536" s="4"/>
      <c r="T536" s="4"/>
      <c r="U536" s="4"/>
      <c r="V536" s="4"/>
      <c r="W536" s="4"/>
      <c r="X536" s="4"/>
      <c r="Y536" s="4"/>
      <c r="Z536" s="4"/>
      <c r="AA536" s="4"/>
      <c r="AB536" s="4"/>
      <c r="AC536" s="4"/>
      <c r="AD536" s="4"/>
      <c r="AE536" s="4"/>
      <c r="AF536" s="4"/>
      <c r="AG536" s="4"/>
      <c r="AH536" s="4"/>
    </row>
    <row r="537" spans="1:34" x14ac:dyDescent="0.35">
      <c r="A537" s="4"/>
      <c r="B537" s="311" t="s">
        <v>827</v>
      </c>
      <c r="C537" s="164">
        <v>6.2503370000000027</v>
      </c>
      <c r="D537" s="164">
        <v>4.8059374999999989</v>
      </c>
      <c r="E537" s="277">
        <v>4.3712935294117665</v>
      </c>
      <c r="K537" s="311" t="s">
        <v>827</v>
      </c>
      <c r="L537" s="164">
        <v>6.2503370000000027</v>
      </c>
      <c r="M537" s="277">
        <v>4.3712935294117665</v>
      </c>
      <c r="N537" s="135">
        <v>8.9993171428571461</v>
      </c>
      <c r="P537" s="4"/>
      <c r="Q537" s="4"/>
      <c r="R537" s="4"/>
      <c r="S537" s="4"/>
      <c r="T537" s="4"/>
      <c r="U537" s="4"/>
      <c r="V537" s="4"/>
      <c r="W537" s="223"/>
      <c r="X537" s="4"/>
      <c r="Y537" s="4"/>
      <c r="Z537" s="4"/>
      <c r="AA537" s="4"/>
      <c r="AB537" s="5"/>
      <c r="AC537" s="4"/>
      <c r="AD537" s="4"/>
      <c r="AE537" s="4"/>
      <c r="AF537" s="4"/>
      <c r="AG537" s="4"/>
      <c r="AH537" s="4"/>
    </row>
    <row r="538" spans="1:34" x14ac:dyDescent="0.35">
      <c r="A538" s="4"/>
      <c r="B538" s="311" t="s">
        <v>828</v>
      </c>
      <c r="C538" s="164">
        <v>6.0327641666666674</v>
      </c>
      <c r="D538" s="164">
        <v>4.3459123076923083</v>
      </c>
      <c r="E538" s="277">
        <v>5.7462430769230775</v>
      </c>
      <c r="K538" s="311" t="s">
        <v>828</v>
      </c>
      <c r="L538" s="164">
        <v>6.0327641666666674</v>
      </c>
      <c r="M538" s="277">
        <v>5.7462430769230775</v>
      </c>
      <c r="N538" s="277">
        <v>6.4389630769230735</v>
      </c>
      <c r="P538" s="4"/>
      <c r="Q538" s="4"/>
      <c r="R538" s="4"/>
      <c r="S538" s="4"/>
      <c r="T538" s="4"/>
      <c r="U538" s="4"/>
      <c r="V538" s="4"/>
      <c r="W538" s="223"/>
      <c r="X538" s="4"/>
      <c r="Y538" s="4"/>
      <c r="Z538" s="4"/>
      <c r="AA538" s="4"/>
      <c r="AB538" s="238"/>
      <c r="AC538" s="238"/>
      <c r="AD538" s="238"/>
      <c r="AE538" s="238"/>
      <c r="AF538" s="4"/>
      <c r="AG538" s="4"/>
      <c r="AH538" s="4"/>
    </row>
    <row r="539" spans="1:34" x14ac:dyDescent="0.35">
      <c r="A539" s="4"/>
      <c r="B539" s="311" t="s">
        <v>829</v>
      </c>
      <c r="C539" s="277">
        <v>6.1151333333333318</v>
      </c>
      <c r="D539" s="135">
        <v>4.79948</v>
      </c>
      <c r="E539" s="135">
        <v>8.7185394736842117</v>
      </c>
      <c r="K539" s="311" t="s">
        <v>829</v>
      </c>
      <c r="L539" s="277">
        <v>6.1151333333333318</v>
      </c>
      <c r="M539" s="135">
        <v>8.7185394736842117</v>
      </c>
      <c r="N539" s="135">
        <v>8.5996240000000004</v>
      </c>
      <c r="P539" s="4"/>
      <c r="Q539" s="4"/>
      <c r="R539" s="4"/>
      <c r="S539" s="4"/>
      <c r="T539" s="4"/>
      <c r="U539" s="4"/>
      <c r="V539" s="4"/>
      <c r="W539" s="223"/>
      <c r="X539" s="4"/>
      <c r="Y539" s="4"/>
      <c r="Z539" s="4"/>
      <c r="AA539" s="4"/>
      <c r="AB539" s="4"/>
      <c r="AC539" s="4"/>
      <c r="AD539" s="4"/>
      <c r="AE539" s="4"/>
      <c r="AF539" s="4"/>
      <c r="AG539" s="4"/>
      <c r="AH539" s="4"/>
    </row>
    <row r="540" spans="1:34" x14ac:dyDescent="0.35">
      <c r="A540" s="4"/>
      <c r="B540" s="312" t="s">
        <v>548</v>
      </c>
      <c r="C540" s="194">
        <f>AVERAGE(C527:C539)</f>
        <v>8.681670634846153</v>
      </c>
      <c r="D540" s="194">
        <f t="shared" ref="D540:E540" si="471">AVERAGE(D527:D539)</f>
        <v>6.1035669208184364</v>
      </c>
      <c r="E540" s="194">
        <f t="shared" si="471"/>
        <v>6.048760665904477</v>
      </c>
      <c r="F540" s="194"/>
      <c r="G540" s="194"/>
      <c r="H540" s="194"/>
      <c r="I540" s="194"/>
      <c r="J540" s="194"/>
      <c r="K540" s="312" t="s">
        <v>548</v>
      </c>
      <c r="L540" s="194">
        <f>AVERAGE(L527:L539)</f>
        <v>8.681670634846153</v>
      </c>
      <c r="M540" s="194">
        <f t="shared" ref="M540:N540" si="472">AVERAGE(M527:M539)</f>
        <v>6.048760665904477</v>
      </c>
      <c r="N540" s="194">
        <f t="shared" si="472"/>
        <v>8.3046706603164289</v>
      </c>
      <c r="P540" s="4"/>
      <c r="Q540" s="4"/>
      <c r="R540" s="4"/>
      <c r="S540" s="4"/>
      <c r="T540" s="4"/>
      <c r="U540" s="4"/>
      <c r="V540" s="4"/>
      <c r="W540" s="223"/>
      <c r="X540" s="4"/>
      <c r="Y540" s="4"/>
      <c r="Z540" s="4"/>
      <c r="AA540" s="4"/>
      <c r="AB540" s="4"/>
      <c r="AC540" s="4"/>
      <c r="AD540" s="4"/>
      <c r="AE540" s="4"/>
      <c r="AF540" s="4"/>
      <c r="AG540" s="4"/>
      <c r="AH540" s="4"/>
    </row>
    <row r="541" spans="1:34" x14ac:dyDescent="0.35">
      <c r="A541" s="4"/>
      <c r="B541" s="312" t="s">
        <v>94</v>
      </c>
      <c r="C541" s="194">
        <f>_xlfn.STDEV.S(C527:C539)</f>
        <v>3.6478827506210147</v>
      </c>
      <c r="D541" s="194">
        <f t="shared" ref="D541:E541" si="473">_xlfn.STDEV.S(D527:D539)</f>
        <v>1.7710508296052474</v>
      </c>
      <c r="E541" s="194">
        <f t="shared" si="473"/>
        <v>1.8677317652045418</v>
      </c>
      <c r="F541" s="194"/>
      <c r="G541" s="194"/>
      <c r="H541" s="194"/>
      <c r="I541" s="194"/>
      <c r="J541" s="194"/>
      <c r="K541" s="312" t="s">
        <v>94</v>
      </c>
      <c r="L541" s="194">
        <f>_xlfn.STDEV.S(L527:L539)</f>
        <v>3.6478827506210147</v>
      </c>
      <c r="M541" s="194">
        <f t="shared" ref="M541:N541" si="474">_xlfn.STDEV.S(M527:M539)</f>
        <v>1.8677317652045418</v>
      </c>
      <c r="N541" s="194">
        <f t="shared" si="474"/>
        <v>3.1859808375735388</v>
      </c>
      <c r="P541" s="4"/>
      <c r="Q541" s="4"/>
      <c r="R541" s="4"/>
      <c r="S541" s="4"/>
      <c r="T541" s="4"/>
      <c r="U541" s="4"/>
      <c r="V541" s="4"/>
      <c r="W541" s="223"/>
      <c r="X541" s="4"/>
      <c r="Y541" s="4"/>
      <c r="Z541" s="4"/>
      <c r="AA541" s="4"/>
      <c r="AB541" s="4"/>
      <c r="AC541" s="4"/>
      <c r="AD541" s="4"/>
      <c r="AE541" s="4"/>
      <c r="AF541" s="4"/>
      <c r="AG541" s="4"/>
      <c r="AH541" s="4"/>
    </row>
    <row r="542" spans="1:34" x14ac:dyDescent="0.35">
      <c r="A542" s="4"/>
      <c r="B542" s="312" t="s">
        <v>685</v>
      </c>
      <c r="C542" s="194">
        <f>C541/C540</f>
        <v>0.42018211748085493</v>
      </c>
      <c r="D542" s="194">
        <f t="shared" ref="D542" si="475">D541/D540</f>
        <v>0.29016652927396175</v>
      </c>
      <c r="E542" s="194">
        <f t="shared" ref="E542" si="476">E541/E540</f>
        <v>0.30877924724853667</v>
      </c>
      <c r="K542" s="312" t="s">
        <v>685</v>
      </c>
      <c r="L542" s="194">
        <f>L541/L540</f>
        <v>0.42018211748085493</v>
      </c>
      <c r="M542" s="194">
        <f t="shared" ref="M542" si="477">M541/M540</f>
        <v>0.30877924724853667</v>
      </c>
      <c r="N542" s="194">
        <f t="shared" ref="N542" si="478">N541/N540</f>
        <v>0.38363722872210143</v>
      </c>
      <c r="P542" s="4"/>
      <c r="Q542" s="4"/>
      <c r="R542" s="4"/>
      <c r="S542" s="4"/>
      <c r="T542" s="4"/>
      <c r="U542" s="4"/>
      <c r="V542" s="4"/>
      <c r="W542" s="4"/>
      <c r="X542" s="4"/>
      <c r="Y542" s="4"/>
      <c r="Z542" s="4"/>
      <c r="AA542" s="4"/>
      <c r="AB542" s="4"/>
      <c r="AC542" s="4"/>
      <c r="AD542" s="4"/>
      <c r="AE542" s="4"/>
      <c r="AF542" s="4"/>
      <c r="AG542" s="4"/>
      <c r="AH542" s="4"/>
    </row>
    <row r="543" spans="1:34" x14ac:dyDescent="0.35">
      <c r="A543" s="4"/>
      <c r="P543" s="4"/>
      <c r="Q543" s="4"/>
      <c r="R543" s="4"/>
      <c r="S543" s="4"/>
      <c r="T543" s="4"/>
      <c r="U543" s="4"/>
      <c r="V543" s="4"/>
      <c r="W543" s="4"/>
      <c r="X543" s="4"/>
      <c r="Y543" s="4"/>
      <c r="Z543" s="4"/>
      <c r="AA543" s="4"/>
      <c r="AB543" s="4"/>
      <c r="AC543" s="4"/>
      <c r="AD543" s="4"/>
      <c r="AE543" s="4"/>
      <c r="AF543" s="4"/>
      <c r="AG543" s="4"/>
      <c r="AH543" s="4"/>
    </row>
    <row r="544" spans="1:34" x14ac:dyDescent="0.35">
      <c r="A544" s="4"/>
      <c r="P544" s="4"/>
      <c r="Q544" s="4"/>
      <c r="R544" s="4"/>
      <c r="S544" s="4"/>
      <c r="T544" s="4"/>
      <c r="U544" s="4"/>
      <c r="V544" s="4"/>
      <c r="W544" s="4"/>
      <c r="X544" s="4"/>
      <c r="Y544" s="4"/>
      <c r="Z544" s="4"/>
      <c r="AA544" s="4"/>
      <c r="AB544" s="4"/>
      <c r="AC544" s="4"/>
      <c r="AD544" s="4"/>
      <c r="AE544" s="4"/>
      <c r="AF544" s="4"/>
      <c r="AG544" s="4"/>
      <c r="AH544" s="4"/>
    </row>
    <row r="545" spans="1:34" x14ac:dyDescent="0.35">
      <c r="A545" s="4"/>
      <c r="P545" s="4"/>
      <c r="Q545" s="4"/>
      <c r="R545" s="4"/>
      <c r="S545" s="4"/>
      <c r="T545" s="4"/>
      <c r="U545" s="4"/>
      <c r="V545" s="4"/>
      <c r="W545" s="4"/>
      <c r="X545" s="4"/>
      <c r="Y545" s="4"/>
      <c r="Z545" s="4"/>
      <c r="AA545" s="4"/>
      <c r="AB545" s="4"/>
      <c r="AC545" s="4"/>
      <c r="AD545" s="4"/>
      <c r="AE545" s="4"/>
      <c r="AF545" s="4"/>
      <c r="AG545" s="4"/>
      <c r="AH545" s="4"/>
    </row>
    <row r="546" spans="1:34" x14ac:dyDescent="0.35">
      <c r="A546" s="4"/>
      <c r="C546" s="194" t="s">
        <v>830</v>
      </c>
      <c r="L546" s="194" t="s">
        <v>830</v>
      </c>
      <c r="P546" s="4"/>
      <c r="Q546" s="4"/>
      <c r="R546" s="4"/>
      <c r="S546" s="4"/>
      <c r="T546" s="4"/>
      <c r="U546" s="4"/>
      <c r="V546" s="4"/>
      <c r="W546" s="4"/>
      <c r="X546" s="4"/>
      <c r="Y546" s="4"/>
      <c r="Z546" s="4"/>
      <c r="AA546" s="4"/>
      <c r="AB546" s="4"/>
      <c r="AC546" s="4"/>
      <c r="AD546" s="4"/>
      <c r="AE546" s="4"/>
      <c r="AF546" s="4"/>
      <c r="AG546" s="4"/>
      <c r="AH546" s="4"/>
    </row>
    <row r="547" spans="1:34" x14ac:dyDescent="0.35">
      <c r="A547" s="4"/>
      <c r="P547" s="4"/>
      <c r="Q547" s="4"/>
      <c r="R547" s="4"/>
      <c r="S547" s="4"/>
      <c r="T547" s="4"/>
      <c r="U547" s="4"/>
      <c r="V547" s="4"/>
      <c r="W547" s="4"/>
      <c r="X547" s="4"/>
      <c r="Y547" s="4"/>
      <c r="Z547" s="4"/>
      <c r="AA547" s="4"/>
      <c r="AB547" s="4"/>
      <c r="AC547" s="4"/>
      <c r="AD547" s="4"/>
      <c r="AE547" s="4"/>
      <c r="AF547" s="4"/>
      <c r="AG547" s="4"/>
      <c r="AH547" s="4"/>
    </row>
    <row r="548" spans="1:34" x14ac:dyDescent="0.35">
      <c r="A548" s="4"/>
      <c r="C548" s="194" t="s">
        <v>0</v>
      </c>
      <c r="D548" s="194" t="s">
        <v>815</v>
      </c>
      <c r="E548" s="194" t="s">
        <v>91</v>
      </c>
      <c r="L548" s="194" t="s">
        <v>0</v>
      </c>
      <c r="M548" s="194" t="s">
        <v>91</v>
      </c>
      <c r="N548" s="194" t="s">
        <v>816</v>
      </c>
      <c r="P548" s="4"/>
      <c r="Q548" s="4"/>
      <c r="R548" s="4"/>
      <c r="S548" s="4"/>
      <c r="T548" s="4"/>
      <c r="U548" s="4"/>
      <c r="V548" s="4"/>
      <c r="W548" s="4"/>
      <c r="X548" s="4"/>
      <c r="Y548" s="4"/>
      <c r="Z548" s="4"/>
      <c r="AA548" s="4"/>
      <c r="AB548" s="4"/>
      <c r="AC548" s="4"/>
      <c r="AD548" s="4"/>
      <c r="AE548" s="4"/>
      <c r="AF548" s="4"/>
      <c r="AG548" s="4"/>
      <c r="AH548" s="4"/>
    </row>
    <row r="549" spans="1:34" x14ac:dyDescent="0.35">
      <c r="A549" s="4"/>
      <c r="B549" s="135" t="s">
        <v>817</v>
      </c>
      <c r="C549" s="135">
        <v>13.481965880000001</v>
      </c>
      <c r="D549" s="135">
        <v>10.44563636</v>
      </c>
      <c r="E549" s="135">
        <v>10.211850910000001</v>
      </c>
      <c r="K549" s="135" t="s">
        <v>817</v>
      </c>
      <c r="L549" s="135">
        <v>13.481965880000001</v>
      </c>
      <c r="M549" s="135">
        <v>10.211850910000001</v>
      </c>
      <c r="N549" s="135">
        <v>10.83817818</v>
      </c>
      <c r="P549" s="4"/>
      <c r="Q549" s="4"/>
      <c r="R549" s="4"/>
      <c r="S549" s="4"/>
      <c r="T549" s="4"/>
      <c r="U549" s="4"/>
      <c r="V549" s="4"/>
      <c r="W549" s="4"/>
      <c r="X549" s="4"/>
      <c r="Y549" s="4"/>
      <c r="Z549" s="4"/>
      <c r="AA549" s="4"/>
      <c r="AB549" s="4"/>
      <c r="AC549" s="4"/>
      <c r="AD549" s="4"/>
      <c r="AE549" s="4"/>
      <c r="AF549" s="4"/>
      <c r="AG549" s="4"/>
      <c r="AH549" s="4"/>
    </row>
    <row r="550" spans="1:34" x14ac:dyDescent="0.35">
      <c r="A550" s="4"/>
      <c r="B550" s="135" t="s">
        <v>818</v>
      </c>
      <c r="C550" s="135">
        <v>14.743952139999999</v>
      </c>
      <c r="D550" s="135">
        <v>14.26030143</v>
      </c>
      <c r="E550" s="135">
        <v>16.525449999999999</v>
      </c>
      <c r="K550" s="135" t="s">
        <v>818</v>
      </c>
      <c r="L550" s="135">
        <v>14.743952139999999</v>
      </c>
      <c r="M550" s="135">
        <v>16.525449999999999</v>
      </c>
      <c r="N550" s="135">
        <v>18.378976000000002</v>
      </c>
      <c r="P550" s="4"/>
      <c r="Q550" s="4"/>
      <c r="R550" s="4"/>
      <c r="S550" s="4"/>
      <c r="T550" s="4"/>
      <c r="U550" s="4"/>
      <c r="V550" s="4"/>
      <c r="W550" s="4"/>
      <c r="X550" s="4"/>
      <c r="Y550" s="4"/>
      <c r="Z550" s="4"/>
      <c r="AA550" s="4"/>
      <c r="AB550" s="4"/>
      <c r="AC550" s="4"/>
      <c r="AD550" s="4"/>
      <c r="AE550" s="4"/>
      <c r="AF550" s="4"/>
      <c r="AG550" s="4"/>
      <c r="AH550" s="4"/>
    </row>
    <row r="551" spans="1:34" x14ac:dyDescent="0.35">
      <c r="A551" s="4"/>
      <c r="B551" s="135" t="s">
        <v>819</v>
      </c>
      <c r="C551" s="135">
        <v>12.47471</v>
      </c>
      <c r="D551" s="135">
        <v>10.730359</v>
      </c>
      <c r="E551" s="135">
        <v>9.3718566669999994</v>
      </c>
      <c r="K551" s="135" t="s">
        <v>819</v>
      </c>
      <c r="L551" s="135">
        <v>12.47471</v>
      </c>
      <c r="M551" s="135">
        <v>9.3718566669999994</v>
      </c>
      <c r="N551" s="135">
        <v>12.20980222</v>
      </c>
      <c r="P551" s="4"/>
      <c r="Q551" s="4"/>
      <c r="R551" s="4"/>
      <c r="S551" s="4"/>
      <c r="T551" s="4"/>
      <c r="U551" s="4"/>
      <c r="V551" s="4"/>
      <c r="W551" s="4"/>
      <c r="X551" s="4"/>
      <c r="Y551" s="4"/>
      <c r="Z551" s="4"/>
      <c r="AA551" s="4"/>
      <c r="AB551" s="4"/>
      <c r="AC551" s="4"/>
      <c r="AD551" s="4"/>
      <c r="AE551" s="4"/>
      <c r="AF551" s="4"/>
      <c r="AG551" s="4"/>
      <c r="AH551" s="4"/>
    </row>
    <row r="552" spans="1:34" x14ac:dyDescent="0.35">
      <c r="A552" s="4"/>
      <c r="B552" s="135" t="s">
        <v>820</v>
      </c>
      <c r="C552" s="135">
        <v>10.42701727</v>
      </c>
      <c r="D552" s="135">
        <v>9.0394115379999995</v>
      </c>
      <c r="E552" s="135">
        <v>6.9558499999999999</v>
      </c>
      <c r="K552" s="135" t="s">
        <v>820</v>
      </c>
      <c r="L552" s="135">
        <v>10.42701727</v>
      </c>
      <c r="M552" s="135">
        <v>6.9558499999999999</v>
      </c>
      <c r="N552" s="135">
        <v>8.7903800000000007</v>
      </c>
      <c r="P552" s="4"/>
      <c r="Q552" s="4"/>
      <c r="R552" s="4"/>
      <c r="S552" s="4"/>
      <c r="T552" s="4"/>
      <c r="U552" s="4"/>
      <c r="V552" s="4"/>
      <c r="W552" s="4"/>
      <c r="X552" s="4"/>
      <c r="Y552" s="4"/>
      <c r="Z552" s="4"/>
      <c r="AA552" s="4"/>
      <c r="AB552" s="4"/>
      <c r="AC552" s="4"/>
      <c r="AD552" s="4"/>
      <c r="AE552" s="4"/>
      <c r="AF552" s="4"/>
      <c r="AG552" s="4"/>
      <c r="AH552" s="4"/>
    </row>
    <row r="553" spans="1:34" x14ac:dyDescent="0.35">
      <c r="A553" s="4"/>
      <c r="B553" s="135" t="s">
        <v>821</v>
      </c>
      <c r="C553" s="135">
        <v>12.235428949999999</v>
      </c>
      <c r="D553" s="135">
        <v>10.16785833</v>
      </c>
      <c r="E553" s="135">
        <v>5.9061054999999998</v>
      </c>
      <c r="K553" s="135" t="s">
        <v>821</v>
      </c>
      <c r="L553" s="135">
        <v>12.235428949999999</v>
      </c>
      <c r="M553" s="135">
        <v>5.9061054999999998</v>
      </c>
      <c r="N553" s="135">
        <v>9.8902954049999998</v>
      </c>
      <c r="P553" s="4"/>
      <c r="Q553" s="4"/>
      <c r="R553" s="4"/>
      <c r="S553" s="4"/>
      <c r="T553" s="4"/>
      <c r="U553" s="4"/>
      <c r="V553" s="4"/>
      <c r="W553" s="4"/>
      <c r="X553" s="4"/>
      <c r="Y553" s="4"/>
      <c r="Z553" s="4"/>
      <c r="AA553" s="4"/>
      <c r="AB553" s="4"/>
      <c r="AC553" s="4"/>
      <c r="AD553" s="4"/>
      <c r="AE553" s="4"/>
      <c r="AF553" s="4"/>
      <c r="AG553" s="4"/>
      <c r="AH553" s="4"/>
    </row>
    <row r="554" spans="1:34" x14ac:dyDescent="0.35">
      <c r="A554" s="4"/>
      <c r="B554" s="135" t="s">
        <v>822</v>
      </c>
      <c r="C554" s="135">
        <v>16.233143569999999</v>
      </c>
      <c r="D554" s="135">
        <v>10.126302730000001</v>
      </c>
      <c r="E554" s="135">
        <v>10.93275762</v>
      </c>
      <c r="K554" s="135" t="s">
        <v>822</v>
      </c>
      <c r="L554" s="135">
        <v>16.233143569999999</v>
      </c>
      <c r="M554" s="135">
        <v>10.93275762</v>
      </c>
      <c r="N554" s="135">
        <v>11.304333639999999</v>
      </c>
      <c r="P554" s="4"/>
      <c r="Q554" s="4"/>
      <c r="R554" s="4"/>
      <c r="S554" s="4"/>
      <c r="T554" s="4"/>
      <c r="U554" s="4"/>
      <c r="V554" s="4"/>
      <c r="W554" s="4"/>
      <c r="X554" s="4"/>
      <c r="Y554" s="4"/>
      <c r="Z554" s="4"/>
      <c r="AA554" s="4"/>
      <c r="AB554" s="4"/>
      <c r="AC554" s="4"/>
      <c r="AD554" s="4"/>
      <c r="AE554" s="4"/>
      <c r="AF554" s="4"/>
      <c r="AG554" s="4"/>
      <c r="AH554" s="4"/>
    </row>
    <row r="555" spans="1:34" x14ac:dyDescent="0.35">
      <c r="A555" s="4"/>
      <c r="B555" s="135" t="s">
        <v>823</v>
      </c>
      <c r="C555" s="135">
        <v>16.586331430000001</v>
      </c>
      <c r="D555" s="135">
        <v>15.34244571</v>
      </c>
      <c r="E555" s="135">
        <v>15.49344</v>
      </c>
      <c r="K555" s="135" t="s">
        <v>823</v>
      </c>
      <c r="L555" s="135">
        <v>16.586331430000001</v>
      </c>
      <c r="M555" s="135">
        <v>15.49344</v>
      </c>
      <c r="N555" s="135">
        <v>19.698575999999999</v>
      </c>
      <c r="P555" s="4"/>
      <c r="Q555" s="4"/>
      <c r="R555" s="4"/>
      <c r="S555" s="4"/>
      <c r="T555" s="4"/>
      <c r="U555" s="4"/>
      <c r="V555" s="4"/>
      <c r="W555" s="4"/>
      <c r="X555" s="4"/>
      <c r="Y555" s="4"/>
      <c r="Z555" s="4"/>
      <c r="AA555" s="4"/>
      <c r="AB555" s="4"/>
      <c r="AC555" s="4"/>
      <c r="AD555" s="4"/>
      <c r="AE555" s="4"/>
      <c r="AF555" s="4"/>
      <c r="AG555" s="4"/>
      <c r="AH555" s="4"/>
    </row>
    <row r="556" spans="1:34" x14ac:dyDescent="0.35">
      <c r="A556" s="4"/>
      <c r="B556" s="311" t="s">
        <v>824</v>
      </c>
      <c r="C556" s="135">
        <v>6.931078125</v>
      </c>
      <c r="D556" s="135">
        <v>6.3157899999999998</v>
      </c>
      <c r="E556" s="135">
        <v>5.1637760869565215</v>
      </c>
      <c r="K556" s="311" t="s">
        <v>824</v>
      </c>
      <c r="L556" s="135">
        <v>6.931078125</v>
      </c>
      <c r="M556" s="135">
        <v>5.1637760869565215</v>
      </c>
      <c r="N556" s="135">
        <v>6.6546294444444447</v>
      </c>
      <c r="P556" s="4"/>
      <c r="Q556" s="4"/>
      <c r="R556" s="4"/>
      <c r="S556" s="4"/>
      <c r="T556" s="4"/>
      <c r="U556" s="4"/>
      <c r="V556" s="4"/>
      <c r="W556" s="4"/>
      <c r="X556" s="4"/>
      <c r="Y556" s="4"/>
      <c r="Z556" s="4"/>
      <c r="AA556" s="4"/>
      <c r="AB556" s="4"/>
      <c r="AC556" s="4"/>
      <c r="AD556" s="4"/>
      <c r="AE556" s="4"/>
      <c r="AF556" s="4"/>
      <c r="AG556" s="4"/>
      <c r="AH556" s="4"/>
    </row>
    <row r="557" spans="1:34" x14ac:dyDescent="0.35">
      <c r="A557" s="4"/>
      <c r="B557" s="311" t="s">
        <v>825</v>
      </c>
      <c r="C557" s="135">
        <v>7.1512068749999997</v>
      </c>
      <c r="D557" s="164">
        <v>7.6246522222222222</v>
      </c>
      <c r="E557" s="164">
        <v>7.3606875</v>
      </c>
      <c r="K557" s="311" t="s">
        <v>825</v>
      </c>
      <c r="L557" s="135">
        <v>7.1512068749999997</v>
      </c>
      <c r="M557" s="164">
        <v>7.3606875</v>
      </c>
      <c r="N557" s="135">
        <v>7.4331800000000001</v>
      </c>
      <c r="P557" s="4"/>
      <c r="Q557" s="4"/>
      <c r="R557" s="4"/>
      <c r="S557" s="4"/>
      <c r="T557" s="4"/>
      <c r="U557" s="4"/>
      <c r="V557" s="4"/>
      <c r="W557" s="4"/>
      <c r="X557" s="4"/>
      <c r="Y557" s="4"/>
      <c r="Z557" s="4"/>
      <c r="AA557" s="4"/>
      <c r="AB557" s="4"/>
      <c r="AC557" s="4"/>
      <c r="AD557" s="4"/>
      <c r="AE557" s="4"/>
      <c r="AF557" s="4"/>
      <c r="AG557" s="4"/>
      <c r="AH557" s="4"/>
    </row>
    <row r="558" spans="1:34" x14ac:dyDescent="0.35">
      <c r="A558" s="4"/>
      <c r="B558" s="311" t="s">
        <v>826</v>
      </c>
      <c r="C558" s="164">
        <v>21.941062499999997</v>
      </c>
      <c r="D558" s="135">
        <v>14.855098333333332</v>
      </c>
      <c r="E558" s="135">
        <v>10.844517619047618</v>
      </c>
      <c r="K558" s="311" t="s">
        <v>826</v>
      </c>
      <c r="L558" s="164">
        <v>21.941062499999997</v>
      </c>
      <c r="M558" s="135">
        <v>10.844517619047618</v>
      </c>
      <c r="N558" s="135">
        <v>19.232569999999996</v>
      </c>
      <c r="P558" s="4"/>
      <c r="Q558" s="4"/>
      <c r="R558" s="4"/>
      <c r="S558" s="4"/>
      <c r="T558" s="4"/>
      <c r="U558" s="4"/>
      <c r="V558" s="4"/>
      <c r="W558" s="223"/>
      <c r="X558" s="4"/>
      <c r="Y558" s="4"/>
      <c r="Z558" s="4"/>
      <c r="AA558" s="4"/>
      <c r="AB558" s="239"/>
      <c r="AC558" s="238"/>
      <c r="AD558" s="238"/>
      <c r="AE558" s="238"/>
      <c r="AF558" s="4"/>
      <c r="AG558" s="4"/>
      <c r="AH558" s="4"/>
    </row>
    <row r="559" spans="1:34" x14ac:dyDescent="0.35">
      <c r="A559" s="4"/>
      <c r="B559" s="311" t="s">
        <v>827</v>
      </c>
      <c r="C559" s="164">
        <v>9.752161000000001</v>
      </c>
      <c r="D559" s="164">
        <v>9.3099266666666676</v>
      </c>
      <c r="E559" s="135">
        <v>6.7487023529411792</v>
      </c>
      <c r="K559" s="311" t="s">
        <v>827</v>
      </c>
      <c r="L559" s="164">
        <v>9.752161000000001</v>
      </c>
      <c r="M559" s="135">
        <v>6.7487023529411792</v>
      </c>
      <c r="N559" s="135">
        <v>10.446881904761906</v>
      </c>
      <c r="P559" s="4"/>
      <c r="Q559" s="4"/>
      <c r="R559" s="4"/>
      <c r="S559" s="4"/>
      <c r="T559" s="4"/>
      <c r="U559" s="4"/>
      <c r="V559" s="4"/>
      <c r="W559" s="223"/>
      <c r="X559" s="4"/>
      <c r="Y559" s="4"/>
      <c r="Z559" s="4"/>
      <c r="AA559" s="4"/>
      <c r="AB559" s="238"/>
      <c r="AC559" s="238"/>
      <c r="AD559" s="238"/>
      <c r="AE559" s="4"/>
      <c r="AF559" s="4"/>
      <c r="AG559" s="4"/>
      <c r="AH559" s="4"/>
    </row>
    <row r="560" spans="1:34" x14ac:dyDescent="0.35">
      <c r="A560" s="4"/>
      <c r="B560" s="311" t="s">
        <v>828</v>
      </c>
      <c r="C560" s="164">
        <v>8.9095233333333343</v>
      </c>
      <c r="D560" s="164">
        <v>8.6343338461538472</v>
      </c>
      <c r="E560" s="135">
        <v>8.6981907692307683</v>
      </c>
      <c r="K560" s="311" t="s">
        <v>828</v>
      </c>
      <c r="L560" s="164">
        <v>8.9095233333333343</v>
      </c>
      <c r="M560" s="135">
        <v>8.6981907692307683</v>
      </c>
      <c r="N560" s="135">
        <v>9.2292630769230772</v>
      </c>
      <c r="P560" s="4"/>
      <c r="Q560" s="4"/>
      <c r="R560" s="4"/>
      <c r="S560" s="4"/>
      <c r="T560" s="4"/>
      <c r="U560" s="4"/>
      <c r="V560" s="4"/>
      <c r="W560" s="223"/>
      <c r="X560" s="4"/>
      <c r="Y560" s="4"/>
      <c r="Z560" s="4"/>
      <c r="AA560" s="4"/>
      <c r="AB560" s="4"/>
      <c r="AC560" s="4"/>
      <c r="AD560" s="4"/>
      <c r="AE560" s="4"/>
      <c r="AF560" s="4"/>
      <c r="AG560" s="4"/>
      <c r="AH560" s="4"/>
    </row>
    <row r="561" spans="1:34" x14ac:dyDescent="0.35">
      <c r="A561" s="4"/>
      <c r="B561" s="311" t="s">
        <v>829</v>
      </c>
      <c r="C561" s="135">
        <v>9.400010833333333</v>
      </c>
      <c r="D561" s="135">
        <v>8.5702814285714286</v>
      </c>
      <c r="E561" s="135">
        <v>11.780881052631578</v>
      </c>
      <c r="K561" s="311" t="s">
        <v>829</v>
      </c>
      <c r="L561" s="135">
        <v>9.400010833333333</v>
      </c>
      <c r="M561" s="135">
        <v>11.780881052631578</v>
      </c>
      <c r="N561" s="135">
        <v>11.90624</v>
      </c>
      <c r="P561" s="4"/>
      <c r="Q561" s="4"/>
      <c r="R561" s="4"/>
      <c r="S561" s="4"/>
      <c r="T561" s="4"/>
      <c r="U561" s="4"/>
      <c r="V561" s="4"/>
      <c r="W561" s="223"/>
      <c r="X561" s="4"/>
      <c r="Y561" s="4"/>
      <c r="Z561" s="4"/>
      <c r="AA561" s="4"/>
      <c r="AB561" s="4"/>
      <c r="AC561" s="4"/>
      <c r="AD561" s="4"/>
      <c r="AE561" s="4"/>
      <c r="AF561" s="4"/>
      <c r="AG561" s="4"/>
      <c r="AH561" s="4"/>
    </row>
    <row r="562" spans="1:34" x14ac:dyDescent="0.35">
      <c r="A562" s="4"/>
      <c r="B562" s="312" t="s">
        <v>548</v>
      </c>
      <c r="C562" s="194">
        <f>AVERAGE(C549:C561)</f>
        <v>12.328276300512821</v>
      </c>
      <c r="D562" s="194">
        <f t="shared" ref="D562:E562" si="479">AVERAGE(D549:D561)</f>
        <v>10.417107507303655</v>
      </c>
      <c r="E562" s="194">
        <f t="shared" si="479"/>
        <v>9.6918512367544345</v>
      </c>
      <c r="F562" s="194"/>
      <c r="G562" s="194"/>
      <c r="H562" s="194"/>
      <c r="I562" s="194"/>
      <c r="J562" s="194"/>
      <c r="K562" s="312" t="s">
        <v>548</v>
      </c>
      <c r="L562" s="194">
        <f>AVERAGE(L549:L561)</f>
        <v>12.328276300512821</v>
      </c>
      <c r="M562" s="194">
        <f t="shared" ref="M562:N562" si="480">AVERAGE(M549:M561)</f>
        <v>9.6918512367544345</v>
      </c>
      <c r="N562" s="194">
        <f t="shared" si="480"/>
        <v>12.001023528548416</v>
      </c>
      <c r="P562" s="4"/>
      <c r="Q562" s="4"/>
      <c r="R562" s="4"/>
      <c r="S562" s="4"/>
      <c r="T562" s="4"/>
      <c r="U562" s="4"/>
      <c r="V562" s="4"/>
      <c r="W562" s="240"/>
      <c r="X562" s="4"/>
      <c r="Y562" s="4"/>
      <c r="Z562" s="4"/>
      <c r="AA562" s="4"/>
      <c r="AB562" s="4"/>
      <c r="AC562" s="4"/>
      <c r="AD562" s="4"/>
      <c r="AE562" s="4"/>
      <c r="AF562" s="4"/>
      <c r="AG562" s="4"/>
      <c r="AH562" s="4"/>
    </row>
    <row r="563" spans="1:34" x14ac:dyDescent="0.35">
      <c r="A563" s="4"/>
      <c r="B563" s="312" t="s">
        <v>94</v>
      </c>
      <c r="C563" s="194">
        <f>_xlfn.STDEV.S(C549:C561)</f>
        <v>4.2761625678786013</v>
      </c>
      <c r="D563" s="194">
        <f t="shared" ref="D563:E563" si="481">_xlfn.STDEV.S(D549:D561)</f>
        <v>2.788399292588462</v>
      </c>
      <c r="E563" s="194">
        <f t="shared" si="481"/>
        <v>3.4805014412417634</v>
      </c>
      <c r="F563" s="194"/>
      <c r="G563" s="194"/>
      <c r="H563" s="194"/>
      <c r="I563" s="194"/>
      <c r="J563" s="194"/>
      <c r="K563" s="312" t="s">
        <v>94</v>
      </c>
      <c r="L563" s="194">
        <f>_xlfn.STDEV.S(L549:L561)</f>
        <v>4.2761625678786013</v>
      </c>
      <c r="M563" s="194">
        <f t="shared" ref="M563:N563" si="482">_xlfn.STDEV.S(M549:M561)</f>
        <v>3.4805014412417634</v>
      </c>
      <c r="N563" s="194">
        <f t="shared" si="482"/>
        <v>4.3629744840639457</v>
      </c>
      <c r="P563" s="4"/>
      <c r="Q563" s="4"/>
      <c r="R563" s="4"/>
      <c r="S563" s="4"/>
      <c r="T563" s="4"/>
      <c r="U563" s="4"/>
      <c r="V563" s="4"/>
      <c r="W563" s="4"/>
      <c r="X563" s="4"/>
      <c r="Y563" s="4"/>
      <c r="Z563" s="4"/>
      <c r="AA563" s="4"/>
      <c r="AB563" s="4"/>
      <c r="AC563" s="4"/>
      <c r="AD563" s="4"/>
      <c r="AE563" s="4"/>
      <c r="AF563" s="4"/>
      <c r="AG563" s="4"/>
      <c r="AH563" s="4"/>
    </row>
    <row r="564" spans="1:34" x14ac:dyDescent="0.35">
      <c r="A564" s="4"/>
      <c r="B564" s="312" t="s">
        <v>685</v>
      </c>
      <c r="C564" s="194">
        <f>C563/C562</f>
        <v>0.34685810600308536</v>
      </c>
      <c r="D564" s="194">
        <f t="shared" ref="D564" si="483">D563/D562</f>
        <v>0.26767500389464699</v>
      </c>
      <c r="E564" s="194">
        <f t="shared" ref="E564" si="484">E563/E562</f>
        <v>0.35911626749311298</v>
      </c>
      <c r="K564" s="312" t="s">
        <v>685</v>
      </c>
      <c r="L564" s="194">
        <f>L563/L562</f>
        <v>0.34685810600308536</v>
      </c>
      <c r="M564" s="194">
        <f t="shared" ref="M564" si="485">M563/M562</f>
        <v>0.35911626749311298</v>
      </c>
      <c r="N564" s="194">
        <f t="shared" ref="N564" si="486">N563/N562</f>
        <v>0.36355019833809704</v>
      </c>
      <c r="P564" s="4"/>
      <c r="Q564" s="4"/>
      <c r="R564" s="4"/>
      <c r="S564" s="4"/>
      <c r="T564" s="4"/>
      <c r="U564" s="4"/>
      <c r="V564" s="4"/>
      <c r="W564" s="4"/>
      <c r="X564" s="4"/>
      <c r="Y564" s="4"/>
      <c r="Z564" s="4"/>
      <c r="AA564" s="4"/>
      <c r="AB564" s="4"/>
      <c r="AC564" s="4"/>
      <c r="AD564" s="4"/>
      <c r="AE564" s="4"/>
      <c r="AF564" s="4"/>
      <c r="AG564" s="4"/>
      <c r="AH564" s="4"/>
    </row>
    <row r="565" spans="1:34"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1:34"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1:34" x14ac:dyDescent="0.35">
      <c r="A567" s="4"/>
      <c r="B567" s="4"/>
      <c r="C567" s="4"/>
      <c r="D567" s="4"/>
      <c r="E567" s="4"/>
      <c r="F567" s="4"/>
      <c r="G567" s="4"/>
      <c r="H567" s="4"/>
      <c r="I567" s="4"/>
      <c r="J567" s="4"/>
      <c r="K567" s="4"/>
      <c r="L567" s="4"/>
      <c r="M567" s="4"/>
      <c r="N567" s="4"/>
      <c r="O567" s="4"/>
      <c r="P567" s="4"/>
      <c r="Q567" s="4"/>
      <c r="R567" s="4"/>
      <c r="S567" s="4"/>
      <c r="T567" s="4"/>
      <c r="U567" s="4"/>
      <c r="V567" s="4"/>
      <c r="W567" s="223"/>
      <c r="X567" s="4"/>
      <c r="Y567" s="4"/>
      <c r="Z567" s="4"/>
      <c r="AA567" s="4"/>
      <c r="AB567" s="4"/>
      <c r="AC567" s="4"/>
      <c r="AD567" s="4"/>
      <c r="AE567" s="4"/>
      <c r="AF567" s="4"/>
      <c r="AG567" s="4"/>
      <c r="AH567" s="4"/>
    </row>
    <row r="568" spans="1:34" x14ac:dyDescent="0.35">
      <c r="A568" s="4"/>
      <c r="B568" s="4"/>
      <c r="C568" s="4"/>
      <c r="D568" s="4"/>
      <c r="E568" s="4"/>
      <c r="F568" s="4"/>
      <c r="G568" s="4"/>
      <c r="H568" s="4"/>
      <c r="I568" s="4"/>
      <c r="J568" s="4"/>
      <c r="K568" s="4"/>
      <c r="L568" s="4"/>
      <c r="M568" s="4"/>
      <c r="N568" s="4"/>
      <c r="O568" s="4"/>
      <c r="P568" s="4"/>
      <c r="Q568" s="4"/>
      <c r="R568" s="4"/>
      <c r="S568" s="4"/>
      <c r="T568" s="4"/>
      <c r="U568" s="4"/>
      <c r="V568" s="4"/>
      <c r="W568" s="223"/>
      <c r="X568" s="4"/>
      <c r="Y568" s="4"/>
      <c r="Z568" s="4"/>
      <c r="AA568" s="4"/>
      <c r="AB568" s="4"/>
      <c r="AC568" s="4"/>
      <c r="AD568" s="4"/>
      <c r="AE568" s="4"/>
      <c r="AF568" s="4"/>
      <c r="AG568" s="4"/>
      <c r="AH568" s="4"/>
    </row>
    <row r="569" spans="1:34" x14ac:dyDescent="0.35">
      <c r="A569" s="4"/>
      <c r="C569" s="194" t="s">
        <v>831</v>
      </c>
      <c r="L569" s="194" t="s">
        <v>831</v>
      </c>
      <c r="O569" s="4"/>
      <c r="P569" s="4"/>
      <c r="Q569" s="4"/>
      <c r="R569" s="4"/>
      <c r="S569" s="4"/>
      <c r="T569" s="4"/>
      <c r="U569" s="4"/>
      <c r="V569" s="4"/>
      <c r="W569" s="4"/>
      <c r="X569" s="4"/>
      <c r="Y569" s="4"/>
      <c r="Z569" s="4"/>
      <c r="AA569" s="4"/>
      <c r="AB569" s="4"/>
      <c r="AC569" s="4"/>
      <c r="AD569" s="4"/>
      <c r="AE569" s="4"/>
      <c r="AF569" s="4"/>
      <c r="AG569" s="4"/>
      <c r="AH569" s="4"/>
    </row>
    <row r="570" spans="1:34" x14ac:dyDescent="0.35">
      <c r="A570" s="4"/>
      <c r="O570" s="4"/>
      <c r="P570" s="4"/>
      <c r="Q570" s="4"/>
      <c r="R570" s="4"/>
      <c r="S570" s="4"/>
      <c r="T570" s="4"/>
      <c r="U570" s="4"/>
      <c r="V570" s="4"/>
      <c r="W570" s="4"/>
      <c r="X570" s="4"/>
      <c r="Y570" s="4"/>
      <c r="Z570" s="4"/>
      <c r="AA570" s="4"/>
      <c r="AB570" s="4"/>
      <c r="AC570" s="4"/>
      <c r="AD570" s="4"/>
      <c r="AE570" s="4"/>
      <c r="AF570" s="4"/>
      <c r="AG570" s="4"/>
      <c r="AH570" s="4"/>
    </row>
    <row r="571" spans="1:34" x14ac:dyDescent="0.35">
      <c r="A571" s="4"/>
      <c r="C571" s="194" t="s">
        <v>0</v>
      </c>
      <c r="D571" s="194" t="s">
        <v>815</v>
      </c>
      <c r="E571" s="194" t="s">
        <v>91</v>
      </c>
      <c r="L571" s="194" t="s">
        <v>0</v>
      </c>
      <c r="M571" s="194" t="s">
        <v>91</v>
      </c>
      <c r="N571" s="194" t="s">
        <v>816</v>
      </c>
      <c r="O571" s="4"/>
      <c r="P571" s="4"/>
      <c r="Q571" s="4"/>
      <c r="R571" s="4"/>
      <c r="S571" s="4"/>
      <c r="T571" s="4"/>
      <c r="U571" s="4"/>
      <c r="V571" s="4"/>
      <c r="W571" s="4"/>
      <c r="X571" s="4"/>
      <c r="Y571" s="4"/>
      <c r="Z571" s="4"/>
      <c r="AA571" s="4"/>
      <c r="AB571" s="4"/>
      <c r="AC571" s="4"/>
      <c r="AD571" s="4"/>
      <c r="AE571" s="4"/>
      <c r="AF571" s="4"/>
      <c r="AG571" s="4"/>
      <c r="AH571" s="4"/>
    </row>
    <row r="572" spans="1:34" x14ac:dyDescent="0.35">
      <c r="A572" s="4"/>
      <c r="B572" s="135" t="s">
        <v>817</v>
      </c>
      <c r="C572" s="135">
        <v>19</v>
      </c>
      <c r="D572" s="135">
        <v>30.909091</v>
      </c>
      <c r="E572" s="135">
        <v>32.590909000000003</v>
      </c>
      <c r="K572" s="135" t="s">
        <v>817</v>
      </c>
      <c r="L572" s="135">
        <v>19</v>
      </c>
      <c r="M572" s="135">
        <v>32.590909000000003</v>
      </c>
      <c r="N572" s="135">
        <v>38.181818</v>
      </c>
      <c r="O572" s="4"/>
      <c r="P572" s="4"/>
      <c r="Q572" s="4"/>
      <c r="R572" s="4"/>
      <c r="S572" s="4"/>
      <c r="T572" s="4"/>
      <c r="U572" s="4"/>
      <c r="V572" s="4"/>
      <c r="W572" s="4"/>
      <c r="X572" s="4"/>
      <c r="Y572" s="4"/>
      <c r="Z572" s="4"/>
      <c r="AA572" s="4"/>
      <c r="AB572" s="4"/>
      <c r="AC572" s="4"/>
      <c r="AD572" s="4"/>
      <c r="AE572" s="4"/>
      <c r="AF572" s="4"/>
      <c r="AG572" s="4"/>
      <c r="AH572" s="4"/>
    </row>
    <row r="573" spans="1:34" x14ac:dyDescent="0.35">
      <c r="A573" s="4"/>
      <c r="B573" s="135" t="s">
        <v>818</v>
      </c>
      <c r="C573" s="135">
        <v>25.5</v>
      </c>
      <c r="D573" s="135">
        <v>44</v>
      </c>
      <c r="E573" s="135">
        <v>59.076923000000001</v>
      </c>
      <c r="K573" s="135" t="s">
        <v>818</v>
      </c>
      <c r="L573" s="135">
        <v>25.5</v>
      </c>
      <c r="M573" s="135">
        <v>59.076923000000001</v>
      </c>
      <c r="N573" s="135">
        <v>69.400000000000006</v>
      </c>
      <c r="O573" s="4"/>
      <c r="P573" s="4"/>
      <c r="Q573" s="4"/>
      <c r="R573" s="4"/>
      <c r="S573" s="4"/>
      <c r="T573" s="4"/>
      <c r="U573" s="4"/>
      <c r="V573" s="4"/>
      <c r="W573" s="4"/>
      <c r="X573" s="4"/>
      <c r="Y573" s="4"/>
      <c r="Z573" s="4"/>
      <c r="AA573" s="4"/>
      <c r="AB573" s="4"/>
      <c r="AC573" s="4"/>
      <c r="AD573" s="4"/>
      <c r="AE573" s="4"/>
      <c r="AF573" s="4"/>
      <c r="AG573" s="4"/>
      <c r="AH573" s="4"/>
    </row>
    <row r="574" spans="1:34" x14ac:dyDescent="0.35">
      <c r="A574" s="4"/>
      <c r="B574" s="135" t="s">
        <v>819</v>
      </c>
      <c r="C574" s="135">
        <v>20</v>
      </c>
      <c r="D574" s="135">
        <v>23.5</v>
      </c>
      <c r="E574" s="135">
        <v>25.166667</v>
      </c>
      <c r="K574" s="135" t="s">
        <v>819</v>
      </c>
      <c r="L574" s="135">
        <v>20</v>
      </c>
      <c r="M574" s="135">
        <v>25.166667</v>
      </c>
      <c r="N574" s="135">
        <v>29</v>
      </c>
      <c r="O574" s="4"/>
      <c r="P574" s="4"/>
      <c r="Q574" s="4"/>
      <c r="R574" s="4"/>
      <c r="S574" s="4"/>
      <c r="T574" s="4"/>
      <c r="U574" s="4"/>
      <c r="V574" s="4"/>
      <c r="W574" s="4"/>
      <c r="X574" s="4"/>
      <c r="Y574" s="4"/>
      <c r="Z574" s="4"/>
      <c r="AA574" s="4"/>
      <c r="AB574" s="4"/>
      <c r="AC574" s="4"/>
      <c r="AD574" s="4"/>
      <c r="AE574" s="4"/>
      <c r="AF574" s="4"/>
      <c r="AG574" s="4"/>
      <c r="AH574" s="4"/>
    </row>
    <row r="575" spans="1:34" x14ac:dyDescent="0.35">
      <c r="A575" s="4"/>
      <c r="B575" s="135" t="s">
        <v>820</v>
      </c>
      <c r="C575" s="135">
        <v>8.0909089999999999</v>
      </c>
      <c r="D575" s="135">
        <v>8.2307690000000004</v>
      </c>
      <c r="E575" s="135">
        <v>5.9375</v>
      </c>
      <c r="K575" s="135" t="s">
        <v>820</v>
      </c>
      <c r="L575" s="135">
        <v>8.0909089999999999</v>
      </c>
      <c r="M575" s="135">
        <v>5.9375</v>
      </c>
      <c r="N575" s="135">
        <v>5.2307689999999996</v>
      </c>
      <c r="O575" s="4"/>
      <c r="P575" s="4"/>
      <c r="Q575" s="4"/>
      <c r="R575" s="4"/>
      <c r="S575" s="4"/>
      <c r="T575" s="4"/>
      <c r="U575" s="4"/>
      <c r="V575" s="4"/>
      <c r="W575" s="4"/>
      <c r="X575" s="4"/>
      <c r="Y575" s="4"/>
      <c r="Z575" s="4"/>
      <c r="AA575" s="4"/>
      <c r="AB575" s="4"/>
      <c r="AC575" s="4"/>
      <c r="AD575" s="4"/>
      <c r="AE575" s="4"/>
      <c r="AF575" s="4"/>
      <c r="AG575" s="4"/>
      <c r="AH575" s="4"/>
    </row>
    <row r="576" spans="1:34" x14ac:dyDescent="0.35">
      <c r="A576" s="4"/>
      <c r="B576" s="135" t="s">
        <v>821</v>
      </c>
      <c r="C576" s="135">
        <v>19.105263000000001</v>
      </c>
      <c r="D576" s="135">
        <v>10.083333</v>
      </c>
      <c r="E576" s="135">
        <v>7.5250000000000004</v>
      </c>
      <c r="K576" s="135" t="s">
        <v>821</v>
      </c>
      <c r="L576" s="135">
        <v>19.105263000000001</v>
      </c>
      <c r="M576" s="135">
        <v>7.5250000000000004</v>
      </c>
      <c r="N576" s="135">
        <v>13.513514000000001</v>
      </c>
      <c r="O576" s="4"/>
      <c r="P576" s="4"/>
      <c r="Q576" s="4"/>
      <c r="R576" s="4"/>
      <c r="S576" s="4"/>
      <c r="T576" s="4"/>
      <c r="U576" s="4"/>
      <c r="V576" s="4"/>
      <c r="W576" s="4"/>
      <c r="X576" s="4"/>
      <c r="Y576" s="4"/>
      <c r="Z576" s="4"/>
      <c r="AA576" s="4"/>
      <c r="AB576" s="4"/>
      <c r="AC576" s="4"/>
      <c r="AD576" s="4"/>
      <c r="AE576" s="4"/>
      <c r="AF576" s="4"/>
      <c r="AG576" s="4"/>
      <c r="AH576" s="4"/>
    </row>
    <row r="577" spans="1:34" x14ac:dyDescent="0.35">
      <c r="A577" s="4"/>
      <c r="B577" s="135" t="s">
        <v>822</v>
      </c>
      <c r="C577" s="135">
        <v>24.142856999999999</v>
      </c>
      <c r="D577" s="135">
        <v>28.090909</v>
      </c>
      <c r="E577" s="135">
        <v>23.714286000000001</v>
      </c>
      <c r="K577" s="135" t="s">
        <v>822</v>
      </c>
      <c r="L577" s="135">
        <v>24.142856999999999</v>
      </c>
      <c r="M577" s="135">
        <v>23.714286000000001</v>
      </c>
      <c r="N577" s="135">
        <v>34.181818</v>
      </c>
      <c r="O577" s="4"/>
      <c r="P577" s="4"/>
      <c r="Q577" s="4"/>
      <c r="R577" s="4"/>
      <c r="S577" s="4"/>
      <c r="T577" s="4"/>
      <c r="U577" s="4"/>
      <c r="V577" s="4"/>
      <c r="W577" s="4"/>
      <c r="X577" s="4"/>
      <c r="Y577" s="4"/>
      <c r="Z577" s="4"/>
      <c r="AA577" s="4"/>
      <c r="AB577" s="4"/>
      <c r="AC577" s="4"/>
      <c r="AD577" s="4"/>
      <c r="AE577" s="4"/>
      <c r="AF577" s="4"/>
      <c r="AG577" s="4"/>
      <c r="AH577" s="4"/>
    </row>
    <row r="578" spans="1:34" x14ac:dyDescent="0.35">
      <c r="A578" s="4"/>
      <c r="B578" s="135" t="s">
        <v>823</v>
      </c>
      <c r="C578" s="135">
        <v>25.857143000000001</v>
      </c>
      <c r="D578" s="135">
        <v>36.857143000000001</v>
      </c>
      <c r="E578" s="135">
        <v>29.857143000000001</v>
      </c>
      <c r="K578" s="135" t="s">
        <v>823</v>
      </c>
      <c r="L578" s="135">
        <v>25.857143000000001</v>
      </c>
      <c r="M578" s="135">
        <v>29.857143000000001</v>
      </c>
      <c r="N578" s="135">
        <v>37</v>
      </c>
      <c r="O578" s="4"/>
      <c r="P578" s="4"/>
      <c r="Q578" s="4"/>
      <c r="R578" s="4"/>
      <c r="S578" s="4"/>
      <c r="T578" s="4"/>
      <c r="U578" s="4"/>
      <c r="V578" s="4"/>
      <c r="W578" s="4"/>
      <c r="X578" s="4"/>
      <c r="Y578" s="4"/>
      <c r="Z578" s="4"/>
      <c r="AA578" s="4"/>
      <c r="AB578" s="4"/>
      <c r="AC578" s="4"/>
      <c r="AD578" s="4"/>
      <c r="AE578" s="4"/>
      <c r="AF578" s="4"/>
      <c r="AG578" s="4"/>
      <c r="AH578" s="4"/>
    </row>
    <row r="579" spans="1:34" x14ac:dyDescent="0.35">
      <c r="A579" s="4"/>
      <c r="B579" s="311" t="s">
        <v>824</v>
      </c>
      <c r="C579" s="135">
        <v>14.4375</v>
      </c>
      <c r="D579" s="135">
        <v>20.842105</v>
      </c>
      <c r="E579" s="135">
        <v>14.869565</v>
      </c>
      <c r="K579" s="311" t="s">
        <v>824</v>
      </c>
      <c r="L579" s="135">
        <v>14.4375</v>
      </c>
      <c r="M579" s="135">
        <v>14.869565</v>
      </c>
      <c r="N579" s="135">
        <v>15.166667</v>
      </c>
      <c r="O579" s="4"/>
      <c r="P579" s="4"/>
      <c r="Q579" s="4"/>
      <c r="R579" s="4"/>
      <c r="S579" s="4"/>
      <c r="T579" s="4"/>
      <c r="U579" s="4"/>
      <c r="V579" s="4"/>
      <c r="W579" s="4"/>
      <c r="X579" s="4"/>
      <c r="Y579" s="4"/>
      <c r="Z579" s="4"/>
      <c r="AA579" s="4"/>
      <c r="AB579" s="4"/>
      <c r="AC579" s="4"/>
      <c r="AD579" s="4"/>
      <c r="AE579" s="4"/>
      <c r="AF579" s="4"/>
      <c r="AG579" s="4"/>
      <c r="AH579" s="4"/>
    </row>
    <row r="580" spans="1:34" x14ac:dyDescent="0.35">
      <c r="A580" s="4"/>
      <c r="B580" s="311" t="s">
        <v>825</v>
      </c>
      <c r="C580" s="135">
        <v>37.3125</v>
      </c>
      <c r="D580" s="164">
        <v>27.185185000000001</v>
      </c>
      <c r="E580" s="164">
        <v>25.15625</v>
      </c>
      <c r="K580" s="311" t="s">
        <v>825</v>
      </c>
      <c r="L580" s="135">
        <v>37.3125</v>
      </c>
      <c r="M580" s="164">
        <v>25.15625</v>
      </c>
      <c r="N580" s="135">
        <v>29.6875</v>
      </c>
      <c r="O580" s="4"/>
      <c r="P580" s="4"/>
      <c r="Q580" s="4"/>
      <c r="R580" s="4"/>
      <c r="S580" s="4"/>
      <c r="T580" s="4"/>
      <c r="U580" s="4"/>
      <c r="V580" s="4"/>
      <c r="W580" s="4"/>
      <c r="X580" s="4"/>
      <c r="Y580" s="4"/>
      <c r="Z580" s="4"/>
      <c r="AA580" s="4"/>
      <c r="AB580" s="4"/>
      <c r="AC580" s="4"/>
      <c r="AD580" s="4"/>
      <c r="AE580" s="4"/>
      <c r="AF580" s="4"/>
      <c r="AG580" s="4"/>
      <c r="AH580" s="4"/>
    </row>
    <row r="581" spans="1:34" x14ac:dyDescent="0.35">
      <c r="A581" s="4"/>
      <c r="B581" s="311" t="s">
        <v>826</v>
      </c>
      <c r="C581" s="164">
        <v>19</v>
      </c>
      <c r="D581" s="135">
        <v>52.166666999999997</v>
      </c>
      <c r="E581" s="135">
        <v>20.190476</v>
      </c>
      <c r="K581" s="311" t="s">
        <v>826</v>
      </c>
      <c r="L581" s="164">
        <v>19</v>
      </c>
      <c r="M581" s="135">
        <v>20.190476</v>
      </c>
      <c r="N581" s="135">
        <v>16</v>
      </c>
      <c r="O581" s="4"/>
      <c r="P581" s="4"/>
      <c r="Q581" s="4"/>
      <c r="R581" s="4"/>
      <c r="S581" s="4"/>
      <c r="T581" s="4"/>
      <c r="U581" s="4"/>
      <c r="V581" s="4"/>
      <c r="W581" s="4"/>
      <c r="X581" s="4"/>
      <c r="Y581" s="4"/>
      <c r="Z581" s="4"/>
      <c r="AA581" s="4"/>
      <c r="AB581" s="4"/>
      <c r="AC581" s="4"/>
      <c r="AD581" s="4"/>
      <c r="AE581" s="4"/>
      <c r="AF581" s="4"/>
      <c r="AG581" s="4"/>
      <c r="AH581" s="4"/>
    </row>
    <row r="582" spans="1:34" x14ac:dyDescent="0.35">
      <c r="A582" s="4"/>
      <c r="B582" s="311" t="s">
        <v>827</v>
      </c>
      <c r="C582" s="164">
        <v>16.2</v>
      </c>
      <c r="D582" s="164">
        <v>21.083333</v>
      </c>
      <c r="E582" s="135">
        <v>8.3529409999999995</v>
      </c>
      <c r="K582" s="311" t="s">
        <v>827</v>
      </c>
      <c r="L582" s="164">
        <v>16.2</v>
      </c>
      <c r="M582" s="135">
        <v>8.3529409999999995</v>
      </c>
      <c r="N582" s="135">
        <v>6.5714290000000002</v>
      </c>
      <c r="O582" s="4"/>
      <c r="P582" s="4"/>
      <c r="Q582" s="4"/>
      <c r="R582" s="4"/>
      <c r="S582" s="4"/>
      <c r="T582" s="4"/>
      <c r="U582" s="4"/>
      <c r="V582" s="4"/>
      <c r="W582" s="4"/>
      <c r="X582" s="4"/>
      <c r="Y582" s="4"/>
      <c r="Z582" s="4"/>
      <c r="AA582" s="4"/>
      <c r="AB582" s="4"/>
      <c r="AC582" s="4"/>
      <c r="AD582" s="4"/>
      <c r="AE582" s="4"/>
      <c r="AF582" s="4"/>
      <c r="AG582" s="4"/>
      <c r="AH582" s="4"/>
    </row>
    <row r="583" spans="1:34" x14ac:dyDescent="0.35">
      <c r="A583" s="4"/>
      <c r="B583" s="311" t="s">
        <v>828</v>
      </c>
      <c r="C583" s="164">
        <v>10.75</v>
      </c>
      <c r="D583" s="164">
        <v>26.692308000000001</v>
      </c>
      <c r="E583" s="135">
        <v>13.461537999999999</v>
      </c>
      <c r="K583" s="311" t="s">
        <v>828</v>
      </c>
      <c r="L583" s="164">
        <v>10.75</v>
      </c>
      <c r="M583" s="135">
        <v>13.461537999999999</v>
      </c>
      <c r="N583" s="135">
        <v>12.384615</v>
      </c>
      <c r="O583" s="4"/>
      <c r="P583" s="4"/>
      <c r="Q583" s="4"/>
      <c r="R583" s="4"/>
      <c r="S583" s="4"/>
      <c r="T583" s="4"/>
      <c r="U583" s="4"/>
      <c r="V583" s="4"/>
      <c r="W583" s="4"/>
      <c r="X583" s="4"/>
      <c r="Y583" s="4"/>
      <c r="Z583" s="4"/>
      <c r="AA583" s="4"/>
      <c r="AB583" s="4"/>
      <c r="AC583" s="4"/>
      <c r="AD583" s="4"/>
      <c r="AE583" s="4"/>
      <c r="AF583" s="4"/>
      <c r="AG583" s="4"/>
      <c r="AH583" s="4"/>
    </row>
    <row r="584" spans="1:34" x14ac:dyDescent="0.35">
      <c r="A584" s="4"/>
      <c r="B584" s="311" t="s">
        <v>829</v>
      </c>
      <c r="C584" s="135">
        <v>18</v>
      </c>
      <c r="D584" s="135">
        <v>21.909091</v>
      </c>
      <c r="E584" s="135">
        <v>18.842105</v>
      </c>
      <c r="K584" s="311" t="s">
        <v>829</v>
      </c>
      <c r="L584" s="135">
        <v>18</v>
      </c>
      <c r="M584" s="135">
        <v>18.842105</v>
      </c>
      <c r="N584" s="135">
        <v>18.7</v>
      </c>
      <c r="O584" s="4"/>
      <c r="P584" s="4"/>
      <c r="Q584" s="4"/>
      <c r="R584" s="4"/>
      <c r="S584" s="4"/>
      <c r="T584" s="4"/>
      <c r="U584" s="4"/>
      <c r="V584" s="4"/>
      <c r="W584" s="4"/>
      <c r="X584" s="4"/>
      <c r="Y584" s="4"/>
      <c r="Z584" s="4"/>
      <c r="AA584" s="4"/>
      <c r="AB584" s="4"/>
      <c r="AC584" s="4"/>
      <c r="AD584" s="4"/>
      <c r="AE584" s="4"/>
      <c r="AF584" s="4"/>
      <c r="AG584" s="4"/>
      <c r="AH584" s="4"/>
    </row>
    <row r="585" spans="1:34" x14ac:dyDescent="0.35">
      <c r="A585" s="4"/>
      <c r="B585" s="312" t="s">
        <v>548</v>
      </c>
      <c r="C585" s="194">
        <f>AVERAGE(C572:C584)</f>
        <v>19.799705538461538</v>
      </c>
      <c r="D585" s="194">
        <f t="shared" ref="D585:E585" si="487">AVERAGE(D572:D584)</f>
        <v>27.042302615384617</v>
      </c>
      <c r="E585" s="194">
        <f t="shared" si="487"/>
        <v>21.903177153846151</v>
      </c>
      <c r="F585" s="194"/>
      <c r="G585" s="194"/>
      <c r="H585" s="194"/>
      <c r="I585" s="194"/>
      <c r="J585" s="194"/>
      <c r="K585" s="312" t="s">
        <v>548</v>
      </c>
      <c r="L585" s="194">
        <f>AVERAGE(L572:L584)</f>
        <v>19.799705538461538</v>
      </c>
      <c r="M585" s="194">
        <f t="shared" ref="M585:N585" si="488">AVERAGE(M572:M584)</f>
        <v>21.903177153846151</v>
      </c>
      <c r="N585" s="194">
        <f t="shared" si="488"/>
        <v>25.001394615384616</v>
      </c>
      <c r="O585" s="4"/>
      <c r="P585" s="4"/>
      <c r="Q585" s="4"/>
      <c r="R585" s="4"/>
      <c r="S585" s="4"/>
      <c r="T585" s="4"/>
      <c r="U585" s="4"/>
      <c r="V585" s="4"/>
      <c r="W585" s="4"/>
      <c r="X585" s="4"/>
      <c r="Y585" s="4"/>
      <c r="Z585" s="4"/>
      <c r="AA585" s="4"/>
      <c r="AB585" s="4"/>
      <c r="AC585" s="4"/>
      <c r="AD585" s="4"/>
      <c r="AE585" s="4"/>
      <c r="AF585" s="4"/>
      <c r="AG585" s="4"/>
      <c r="AH585" s="4"/>
    </row>
    <row r="586" spans="1:34" x14ac:dyDescent="0.35">
      <c r="A586" s="4"/>
      <c r="B586" s="312" t="s">
        <v>94</v>
      </c>
      <c r="C586" s="194">
        <f>_xlfn.STDEV.S(C572:C584)</f>
        <v>7.4189589406867498</v>
      </c>
      <c r="D586" s="194">
        <f t="shared" ref="D586:E586" si="489">_xlfn.STDEV.S(D572:D584)</f>
        <v>12.198540908290843</v>
      </c>
      <c r="E586" s="194">
        <f t="shared" si="489"/>
        <v>14.030246296494617</v>
      </c>
      <c r="F586" s="194"/>
      <c r="G586" s="194"/>
      <c r="H586" s="194"/>
      <c r="I586" s="194"/>
      <c r="J586" s="194"/>
      <c r="K586" s="312" t="s">
        <v>94</v>
      </c>
      <c r="L586" s="194">
        <f>_xlfn.STDEV.S(L572:L584)</f>
        <v>7.4189589406867498</v>
      </c>
      <c r="M586" s="194">
        <f t="shared" ref="M586:N586" si="490">_xlfn.STDEV.S(M572:M584)</f>
        <v>14.030246296494617</v>
      </c>
      <c r="N586" s="194">
        <f t="shared" si="490"/>
        <v>17.441103747528384</v>
      </c>
      <c r="O586" s="4"/>
      <c r="P586" s="4"/>
      <c r="Q586" s="4"/>
      <c r="R586" s="4"/>
      <c r="S586" s="4"/>
      <c r="T586" s="4"/>
      <c r="U586" s="4"/>
      <c r="V586" s="4"/>
      <c r="W586" s="4"/>
      <c r="X586" s="4"/>
      <c r="Y586" s="4"/>
      <c r="Z586" s="4"/>
      <c r="AA586" s="4"/>
      <c r="AB586" s="4"/>
      <c r="AC586" s="4"/>
      <c r="AD586" s="4"/>
      <c r="AE586" s="4"/>
      <c r="AF586" s="4"/>
      <c r="AG586" s="4"/>
      <c r="AH586" s="4"/>
    </row>
    <row r="587" spans="1:34" x14ac:dyDescent="0.35">
      <c r="A587" s="4"/>
      <c r="B587" s="312" t="s">
        <v>685</v>
      </c>
      <c r="C587" s="194">
        <f>C586/C585</f>
        <v>0.37470046846278565</v>
      </c>
      <c r="D587" s="194">
        <f t="shared" ref="D587" si="491">D586/D585</f>
        <v>0.45109105839792574</v>
      </c>
      <c r="E587" s="194">
        <f t="shared" ref="E587" si="492">E586/E585</f>
        <v>0.64055758659793038</v>
      </c>
      <c r="K587" s="312" t="s">
        <v>685</v>
      </c>
      <c r="L587" s="194">
        <f>L586/L585</f>
        <v>0.37470046846278565</v>
      </c>
      <c r="M587" s="194">
        <f t="shared" ref="M587" si="493">M586/M585</f>
        <v>0.64055758659793038</v>
      </c>
      <c r="N587" s="194">
        <f t="shared" ref="N587" si="494">N586/N585</f>
        <v>0.69760523426145182</v>
      </c>
      <c r="O587" s="4"/>
      <c r="P587" s="4"/>
      <c r="Q587" s="4"/>
      <c r="R587" s="4"/>
      <c r="S587" s="4"/>
      <c r="T587" s="4"/>
      <c r="U587" s="4"/>
      <c r="V587" s="4"/>
      <c r="W587" s="4"/>
      <c r="X587" s="4"/>
      <c r="Y587" s="4"/>
      <c r="Z587" s="4"/>
      <c r="AA587" s="4"/>
      <c r="AB587" s="4"/>
      <c r="AC587" s="4"/>
      <c r="AD587" s="4"/>
      <c r="AE587" s="4"/>
      <c r="AF587" s="4"/>
      <c r="AG587" s="4"/>
      <c r="AH587" s="4"/>
    </row>
    <row r="588" spans="1:34"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91" spans="1:34" x14ac:dyDescent="0.35">
      <c r="C591" s="194" t="s">
        <v>297</v>
      </c>
      <c r="L591" s="194" t="s">
        <v>297</v>
      </c>
    </row>
    <row r="593" spans="2:14" x14ac:dyDescent="0.35">
      <c r="C593" s="194" t="s">
        <v>0</v>
      </c>
      <c r="D593" s="194" t="s">
        <v>815</v>
      </c>
      <c r="E593" s="194" t="s">
        <v>91</v>
      </c>
      <c r="L593" s="194" t="s">
        <v>0</v>
      </c>
      <c r="M593" s="194" t="s">
        <v>91</v>
      </c>
      <c r="N593" s="194" t="s">
        <v>816</v>
      </c>
    </row>
    <row r="594" spans="2:14" x14ac:dyDescent="0.35">
      <c r="B594" s="135" t="s">
        <v>817</v>
      </c>
      <c r="C594" s="135">
        <v>5.341755</v>
      </c>
      <c r="D594" s="135">
        <v>6.3373710000000001</v>
      </c>
      <c r="E594" s="135">
        <v>6.5976020000000002</v>
      </c>
      <c r="K594" s="135" t="s">
        <v>817</v>
      </c>
      <c r="L594" s="135">
        <v>5.341755</v>
      </c>
      <c r="M594" s="135">
        <v>6.5976020000000002</v>
      </c>
      <c r="N594" s="135">
        <v>7.9329729999999996</v>
      </c>
    </row>
    <row r="595" spans="2:14" x14ac:dyDescent="0.35">
      <c r="B595" s="135" t="s">
        <v>818</v>
      </c>
      <c r="C595" s="135">
        <v>5.251296</v>
      </c>
      <c r="D595" s="135">
        <v>7.1476009999999999</v>
      </c>
      <c r="E595" s="135">
        <v>7.8019170000000004</v>
      </c>
      <c r="K595" s="135" t="s">
        <v>818</v>
      </c>
      <c r="L595" s="135">
        <v>5.251296</v>
      </c>
      <c r="M595" s="135">
        <v>7.8019170000000004</v>
      </c>
      <c r="N595" s="135">
        <v>8.0648520000000001</v>
      </c>
    </row>
    <row r="596" spans="2:14" x14ac:dyDescent="0.35">
      <c r="B596" s="135" t="s">
        <v>819</v>
      </c>
      <c r="C596" s="135">
        <v>5.8306050000000003</v>
      </c>
      <c r="D596" s="135">
        <v>6.1755699999999996</v>
      </c>
      <c r="E596" s="135">
        <v>7.0320830000000001</v>
      </c>
      <c r="K596" s="135" t="s">
        <v>819</v>
      </c>
      <c r="L596" s="135">
        <v>5.8306050000000003</v>
      </c>
      <c r="M596" s="135">
        <v>7.0320830000000001</v>
      </c>
      <c r="N596" s="135">
        <v>7.2758950000000002</v>
      </c>
    </row>
    <row r="597" spans="2:14" x14ac:dyDescent="0.35">
      <c r="B597" s="135" t="s">
        <v>820</v>
      </c>
      <c r="C597" s="135">
        <v>2.3743340000000002</v>
      </c>
      <c r="D597" s="135">
        <v>2.979746</v>
      </c>
      <c r="E597" s="135">
        <v>3.2141630000000001</v>
      </c>
      <c r="K597" s="135" t="s">
        <v>820</v>
      </c>
      <c r="L597" s="135">
        <v>2.3743340000000002</v>
      </c>
      <c r="M597" s="135">
        <v>3.2141630000000001</v>
      </c>
      <c r="N597" s="135">
        <v>2.9245960000000002</v>
      </c>
    </row>
    <row r="598" spans="2:14" x14ac:dyDescent="0.35">
      <c r="B598" s="135" t="s">
        <v>821</v>
      </c>
      <c r="C598" s="135">
        <v>8.0431480000000004</v>
      </c>
      <c r="D598" s="135">
        <v>4.6700039999999996</v>
      </c>
      <c r="E598" s="135">
        <v>5.8827109999999996</v>
      </c>
      <c r="K598" s="135" t="s">
        <v>821</v>
      </c>
      <c r="L598" s="135">
        <v>8.0431480000000004</v>
      </c>
      <c r="M598" s="135">
        <v>5.8827109999999996</v>
      </c>
      <c r="N598" s="135">
        <v>10.110429</v>
      </c>
    </row>
    <row r="599" spans="2:14" x14ac:dyDescent="0.35">
      <c r="B599" s="135" t="s">
        <v>822</v>
      </c>
      <c r="C599" s="135">
        <v>6.4361579999999998</v>
      </c>
      <c r="D599" s="135">
        <v>7.552943</v>
      </c>
      <c r="E599" s="135">
        <v>5.5384190000000002</v>
      </c>
      <c r="K599" s="135" t="s">
        <v>822</v>
      </c>
      <c r="L599" s="135">
        <v>6.4361579999999998</v>
      </c>
      <c r="M599" s="135">
        <v>5.5384190000000002</v>
      </c>
      <c r="N599" s="135">
        <v>8.4036760000000008</v>
      </c>
    </row>
    <row r="600" spans="2:14" x14ac:dyDescent="0.35">
      <c r="B600" s="135" t="s">
        <v>823</v>
      </c>
      <c r="C600" s="135">
        <v>3.5075639999999999</v>
      </c>
      <c r="D600" s="135">
        <v>5.4381709999999996</v>
      </c>
      <c r="E600" s="135">
        <v>4.0797929999999996</v>
      </c>
      <c r="K600" s="135" t="s">
        <v>823</v>
      </c>
      <c r="L600" s="135">
        <v>3.5075639999999999</v>
      </c>
      <c r="M600" s="135">
        <v>4.0797929999999996</v>
      </c>
      <c r="N600" s="135">
        <v>4.9347099999999999</v>
      </c>
    </row>
    <row r="601" spans="2:14" x14ac:dyDescent="0.35">
      <c r="B601" s="311" t="s">
        <v>824</v>
      </c>
      <c r="C601" s="135">
        <v>8.6942339999999998</v>
      </c>
      <c r="D601" s="135">
        <v>8.5127039999999994</v>
      </c>
      <c r="E601" s="135">
        <v>10.747897</v>
      </c>
      <c r="K601" s="311" t="s">
        <v>824</v>
      </c>
      <c r="L601" s="135">
        <v>8.6942339999999998</v>
      </c>
      <c r="M601" s="135">
        <v>10.747897</v>
      </c>
      <c r="N601" s="135">
        <v>8.2953659999999996</v>
      </c>
    </row>
    <row r="602" spans="2:14" x14ac:dyDescent="0.35">
      <c r="B602" s="311" t="s">
        <v>825</v>
      </c>
      <c r="C602" s="135">
        <v>12.912750000000001</v>
      </c>
      <c r="D602" s="135">
        <v>6.6924419999999998</v>
      </c>
      <c r="E602" s="135">
        <v>6.9472529999999999</v>
      </c>
      <c r="K602" s="311" t="s">
        <v>825</v>
      </c>
      <c r="L602" s="135">
        <v>12.912750000000001</v>
      </c>
      <c r="M602" s="135">
        <v>6.9472529999999999</v>
      </c>
      <c r="N602" s="135">
        <v>9.3440589999999997</v>
      </c>
    </row>
    <row r="603" spans="2:14" x14ac:dyDescent="0.35">
      <c r="B603" s="311" t="s">
        <v>826</v>
      </c>
      <c r="C603" s="164">
        <v>4.7754729999999999</v>
      </c>
      <c r="D603" s="164">
        <v>7.8617929999999996</v>
      </c>
      <c r="E603" s="164">
        <v>9.0705390000000001</v>
      </c>
      <c r="K603" s="311" t="s">
        <v>826</v>
      </c>
      <c r="L603" s="164">
        <v>4.7754729999999999</v>
      </c>
      <c r="M603" s="164">
        <v>9.0705390000000001</v>
      </c>
      <c r="N603" s="164">
        <v>5.3870019999999998</v>
      </c>
    </row>
    <row r="604" spans="2:14" x14ac:dyDescent="0.35">
      <c r="B604" s="311" t="s">
        <v>827</v>
      </c>
      <c r="C604" s="164">
        <v>4.6737469999999997</v>
      </c>
      <c r="D604" s="164">
        <v>4.6644560000000004</v>
      </c>
      <c r="E604" s="164">
        <v>3.6384729999999998</v>
      </c>
      <c r="K604" s="311" t="s">
        <v>827</v>
      </c>
      <c r="L604" s="164">
        <v>4.6737469999999997</v>
      </c>
      <c r="M604" s="164">
        <v>3.6384729999999998</v>
      </c>
      <c r="N604" s="164">
        <v>5.0690580000000001</v>
      </c>
    </row>
    <row r="605" spans="2:14" x14ac:dyDescent="0.35">
      <c r="B605" s="311" t="s">
        <v>828</v>
      </c>
      <c r="C605" s="164">
        <v>3.8015659999999998</v>
      </c>
      <c r="D605" s="164">
        <v>6.1328959999999997</v>
      </c>
      <c r="E605" s="164">
        <v>4.5605380000000002</v>
      </c>
      <c r="K605" s="311" t="s">
        <v>828</v>
      </c>
      <c r="L605" s="164">
        <v>3.8015659999999998</v>
      </c>
      <c r="M605" s="164">
        <v>4.5605380000000002</v>
      </c>
      <c r="N605" s="164">
        <v>4.5117789999999998</v>
      </c>
    </row>
    <row r="606" spans="2:14" x14ac:dyDescent="0.35">
      <c r="B606" s="311" t="s">
        <v>829</v>
      </c>
      <c r="C606" s="135">
        <v>5.5489179999999996</v>
      </c>
      <c r="D606" s="135">
        <v>5.6388020000000001</v>
      </c>
      <c r="E606" s="135">
        <v>6.1517999999999997</v>
      </c>
      <c r="K606" s="311" t="s">
        <v>829</v>
      </c>
      <c r="L606" s="135">
        <v>5.5489179999999996</v>
      </c>
      <c r="M606" s="135">
        <v>6.1517999999999997</v>
      </c>
      <c r="N606" s="135">
        <v>5.6971959999999999</v>
      </c>
    </row>
    <row r="607" spans="2:14" x14ac:dyDescent="0.35">
      <c r="B607" s="312" t="s">
        <v>548</v>
      </c>
      <c r="C607" s="194">
        <f>AVERAGE(C594:C606)</f>
        <v>5.9378113846153848</v>
      </c>
      <c r="D607" s="194">
        <f t="shared" ref="D607:E607" si="495">AVERAGE(D594:D606)</f>
        <v>6.1388076153846152</v>
      </c>
      <c r="E607" s="194">
        <f t="shared" si="495"/>
        <v>6.2510144615384613</v>
      </c>
      <c r="F607" s="194"/>
      <c r="G607" s="194"/>
      <c r="H607" s="194"/>
      <c r="I607" s="194"/>
      <c r="J607" s="194"/>
      <c r="K607" s="312" t="s">
        <v>548</v>
      </c>
      <c r="L607" s="194">
        <f>AVERAGE(L594:L606)</f>
        <v>5.9378113846153848</v>
      </c>
      <c r="M607" s="194">
        <f t="shared" ref="M607:N607" si="496">AVERAGE(M594:M606)</f>
        <v>6.2510144615384613</v>
      </c>
      <c r="N607" s="194">
        <f t="shared" si="496"/>
        <v>6.7655070000000004</v>
      </c>
    </row>
    <row r="608" spans="2:14" x14ac:dyDescent="0.35">
      <c r="B608" s="312" t="s">
        <v>94</v>
      </c>
      <c r="C608" s="194">
        <f>_xlfn.STDEV.S(C594:C606)</f>
        <v>2.7085459021674199</v>
      </c>
      <c r="D608" s="194">
        <f t="shared" ref="D608:E608" si="497">_xlfn.STDEV.S(D594:D606)</f>
        <v>1.5005691933228518</v>
      </c>
      <c r="E608" s="194">
        <f t="shared" si="497"/>
        <v>2.1614991940062365</v>
      </c>
      <c r="F608" s="194"/>
      <c r="G608" s="194"/>
      <c r="H608" s="194"/>
      <c r="I608" s="194"/>
      <c r="J608" s="194"/>
      <c r="K608" s="312" t="s">
        <v>94</v>
      </c>
      <c r="L608" s="194">
        <f>_xlfn.STDEV.S(L594:L606)</f>
        <v>2.7085459021674199</v>
      </c>
      <c r="M608" s="194">
        <f t="shared" ref="M608:N608" si="498">_xlfn.STDEV.S(M594:M606)</f>
        <v>2.1614991940062365</v>
      </c>
      <c r="N608" s="194">
        <f t="shared" si="498"/>
        <v>2.1462463072462117</v>
      </c>
    </row>
    <row r="609" spans="2:14" x14ac:dyDescent="0.35">
      <c r="B609" s="312" t="s">
        <v>685</v>
      </c>
      <c r="C609" s="194">
        <f>C608/C607</f>
        <v>0.45615222962203655</v>
      </c>
      <c r="D609" s="194">
        <f t="shared" ref="D609" si="499">D608/D607</f>
        <v>0.24443984684619188</v>
      </c>
      <c r="E609" s="194">
        <f t="shared" ref="E609" si="500">E608/E607</f>
        <v>0.34578374555131991</v>
      </c>
      <c r="K609" s="312" t="s">
        <v>685</v>
      </c>
      <c r="L609" s="194">
        <f>L608/L607</f>
        <v>0.45615222962203655</v>
      </c>
      <c r="M609" s="194">
        <f t="shared" ref="M609" si="501">M608/M607</f>
        <v>0.34578374555131991</v>
      </c>
      <c r="N609" s="194">
        <f t="shared" ref="N609" si="502">N608/N607</f>
        <v>0.31723362450829057</v>
      </c>
    </row>
  </sheetData>
  <mergeCells count="12">
    <mergeCell ref="CG2:CI7"/>
    <mergeCell ref="CG9:CI12"/>
    <mergeCell ref="CG37:CH41"/>
    <mergeCell ref="U374:AF375"/>
    <mergeCell ref="CV87:CY88"/>
    <mergeCell ref="BM87:BP88"/>
    <mergeCell ref="AW61:AY68"/>
    <mergeCell ref="B374:M376"/>
    <mergeCell ref="P376:R381"/>
    <mergeCell ref="Q205:X213"/>
    <mergeCell ref="AX2:AZ7"/>
    <mergeCell ref="AX9:AZ12"/>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V295"/>
  <sheetViews>
    <sheetView topLeftCell="AB265" workbookViewId="0">
      <selection activeCell="AK80" sqref="AK80"/>
    </sheetView>
  </sheetViews>
  <sheetFormatPr defaultRowHeight="14.5" x14ac:dyDescent="0.35"/>
  <cols>
    <col min="4" max="4" width="12.26953125" customWidth="1"/>
    <col min="5" max="5" width="11.453125" customWidth="1"/>
    <col min="6" max="6" width="10.453125" customWidth="1"/>
    <col min="7" max="7" width="14.453125" customWidth="1"/>
    <col min="8" max="8" width="13.1796875" customWidth="1"/>
    <col min="12" max="12" width="9.7265625" customWidth="1"/>
    <col min="13" max="13" width="9.54296875" customWidth="1"/>
    <col min="14" max="14" width="10.54296875" customWidth="1"/>
    <col min="16" max="16" width="8.7265625" style="144"/>
    <col min="17" max="17" width="9.1796875" style="85"/>
    <col min="32" max="32" width="8.7265625" style="144"/>
  </cols>
  <sheetData>
    <row r="2" spans="3:25" x14ac:dyDescent="0.35">
      <c r="D2" s="104" t="s">
        <v>540</v>
      </c>
      <c r="I2" s="363" t="s">
        <v>684</v>
      </c>
      <c r="J2" s="339"/>
      <c r="K2" s="339"/>
      <c r="L2" s="339"/>
      <c r="M2" s="339"/>
      <c r="N2" s="339"/>
    </row>
    <row r="3" spans="3:25" x14ac:dyDescent="0.35">
      <c r="I3" s="339"/>
      <c r="J3" s="339"/>
      <c r="K3" s="339"/>
      <c r="L3" s="339"/>
      <c r="M3" s="339"/>
      <c r="N3" s="339"/>
    </row>
    <row r="4" spans="3:25" x14ac:dyDescent="0.35">
      <c r="C4" s="139" t="s">
        <v>380</v>
      </c>
      <c r="D4" s="139" t="s">
        <v>0</v>
      </c>
      <c r="E4" s="139" t="s">
        <v>124</v>
      </c>
      <c r="F4" s="139" t="s">
        <v>86</v>
      </c>
      <c r="G4" s="139" t="s">
        <v>92</v>
      </c>
      <c r="I4" s="339"/>
      <c r="J4" s="339"/>
      <c r="K4" s="339"/>
      <c r="L4" s="339"/>
      <c r="M4" s="339"/>
      <c r="N4" s="339"/>
    </row>
    <row r="5" spans="3:25" x14ac:dyDescent="0.35">
      <c r="C5" t="s">
        <v>381</v>
      </c>
      <c r="D5" t="s">
        <v>541</v>
      </c>
      <c r="E5" t="s">
        <v>541</v>
      </c>
      <c r="F5" t="s">
        <v>541</v>
      </c>
      <c r="G5" t="s">
        <v>541</v>
      </c>
      <c r="I5" s="339"/>
      <c r="J5" s="339"/>
      <c r="K5" s="339"/>
      <c r="L5" s="339"/>
      <c r="M5" s="339"/>
      <c r="N5" s="339"/>
    </row>
    <row r="6" spans="3:25" x14ac:dyDescent="0.35">
      <c r="C6" t="s">
        <v>382</v>
      </c>
      <c r="D6" t="s">
        <v>541</v>
      </c>
      <c r="E6" t="s">
        <v>541</v>
      </c>
      <c r="F6" t="s">
        <v>541</v>
      </c>
      <c r="G6" t="s">
        <v>541</v>
      </c>
      <c r="I6" s="339"/>
      <c r="J6" s="339"/>
      <c r="K6" s="339"/>
      <c r="L6" s="339"/>
      <c r="M6" s="339"/>
      <c r="N6" s="339"/>
    </row>
    <row r="7" spans="3:25" x14ac:dyDescent="0.35">
      <c r="C7" t="s">
        <v>383</v>
      </c>
      <c r="D7" t="s">
        <v>541</v>
      </c>
      <c r="E7" t="s">
        <v>541</v>
      </c>
      <c r="F7" t="s">
        <v>541</v>
      </c>
      <c r="G7" t="s">
        <v>541</v>
      </c>
      <c r="I7" s="339"/>
      <c r="J7" s="339"/>
      <c r="K7" s="339"/>
      <c r="L7" s="339"/>
      <c r="M7" s="339"/>
      <c r="N7" s="339"/>
    </row>
    <row r="8" spans="3:25" x14ac:dyDescent="0.35">
      <c r="C8" t="s">
        <v>384</v>
      </c>
      <c r="D8" t="s">
        <v>541</v>
      </c>
      <c r="E8" t="s">
        <v>541</v>
      </c>
      <c r="F8" t="s">
        <v>541</v>
      </c>
      <c r="G8" t="s">
        <v>541</v>
      </c>
      <c r="I8" s="339"/>
      <c r="J8" s="339"/>
      <c r="K8" s="339"/>
      <c r="L8" s="339"/>
      <c r="M8" s="339"/>
      <c r="N8" s="339"/>
    </row>
    <row r="9" spans="3:25" x14ac:dyDescent="0.35">
      <c r="C9" t="s">
        <v>385</v>
      </c>
      <c r="D9" t="s">
        <v>541</v>
      </c>
      <c r="E9" t="s">
        <v>541</v>
      </c>
      <c r="F9" t="s">
        <v>541</v>
      </c>
      <c r="G9" t="s">
        <v>541</v>
      </c>
      <c r="I9" s="339"/>
      <c r="J9" s="339"/>
      <c r="K9" s="339"/>
      <c r="L9" s="339"/>
      <c r="M9" s="339"/>
      <c r="N9" s="339"/>
    </row>
    <row r="10" spans="3:25" x14ac:dyDescent="0.35">
      <c r="C10" t="s">
        <v>386</v>
      </c>
      <c r="D10" t="s">
        <v>541</v>
      </c>
      <c r="E10" t="s">
        <v>541</v>
      </c>
      <c r="F10" t="s">
        <v>541</v>
      </c>
      <c r="G10" t="s">
        <v>541</v>
      </c>
      <c r="I10" s="339"/>
      <c r="J10" s="339"/>
      <c r="K10" s="339"/>
      <c r="L10" s="339"/>
      <c r="M10" s="339"/>
      <c r="N10" s="339"/>
    </row>
    <row r="11" spans="3:25" x14ac:dyDescent="0.35">
      <c r="I11" s="339"/>
      <c r="J11" s="339"/>
      <c r="K11" s="339"/>
      <c r="L11" s="339"/>
      <c r="M11" s="339"/>
      <c r="N11" s="339"/>
    </row>
    <row r="12" spans="3:25" ht="15" thickBot="1" x14ac:dyDescent="0.4">
      <c r="I12" s="241"/>
      <c r="J12" s="241"/>
      <c r="K12" s="241"/>
      <c r="L12" s="241"/>
      <c r="M12" s="241"/>
      <c r="N12" s="241"/>
    </row>
    <row r="13" spans="3:25" ht="15" thickBot="1" x14ac:dyDescent="0.4">
      <c r="C13" s="245"/>
      <c r="D13" s="247" t="s">
        <v>381</v>
      </c>
      <c r="E13" s="247" t="s">
        <v>382</v>
      </c>
      <c r="F13" s="247" t="s">
        <v>383</v>
      </c>
      <c r="G13" s="247" t="s">
        <v>384</v>
      </c>
      <c r="H13" s="247" t="s">
        <v>385</v>
      </c>
      <c r="I13" s="246" t="s">
        <v>386</v>
      </c>
      <c r="J13" s="241"/>
      <c r="K13" s="241"/>
      <c r="L13" s="241"/>
      <c r="M13" s="241"/>
      <c r="N13" s="241"/>
      <c r="S13" s="245"/>
      <c r="T13" s="247" t="s">
        <v>381</v>
      </c>
      <c r="U13" s="247" t="s">
        <v>382</v>
      </c>
      <c r="V13" s="247" t="s">
        <v>383</v>
      </c>
      <c r="W13" s="247" t="s">
        <v>384</v>
      </c>
      <c r="X13" s="247" t="s">
        <v>385</v>
      </c>
      <c r="Y13" s="246" t="s">
        <v>386</v>
      </c>
    </row>
    <row r="14" spans="3:25" x14ac:dyDescent="0.35">
      <c r="C14" s="243" t="s">
        <v>77</v>
      </c>
      <c r="D14" s="2">
        <v>0.37369999999999998</v>
      </c>
      <c r="E14" s="2">
        <v>0.36199999999999999</v>
      </c>
      <c r="F14" s="2">
        <v>0.43930000000000002</v>
      </c>
      <c r="G14" s="2">
        <v>0.41570000000000001</v>
      </c>
      <c r="H14" s="2">
        <v>0.43149999999999999</v>
      </c>
      <c r="I14" s="127">
        <v>0.38990000000000002</v>
      </c>
      <c r="J14" s="241"/>
      <c r="K14" s="241"/>
      <c r="L14" s="241"/>
      <c r="M14" s="241"/>
      <c r="N14" s="241"/>
      <c r="S14" s="243" t="s">
        <v>77</v>
      </c>
      <c r="T14" s="2">
        <v>0.55920000000000003</v>
      </c>
      <c r="U14" s="2">
        <v>0.44490000000000002</v>
      </c>
      <c r="V14" s="2">
        <v>0.66169999999999995</v>
      </c>
      <c r="W14" s="2">
        <v>0.76929999999999998</v>
      </c>
      <c r="X14" s="2">
        <v>0.55789999999999995</v>
      </c>
      <c r="Y14" s="127">
        <v>0.56879999999999997</v>
      </c>
    </row>
    <row r="15" spans="3:25" x14ac:dyDescent="0.35">
      <c r="C15" s="243" t="s">
        <v>94</v>
      </c>
      <c r="D15" s="2">
        <v>7.3499999999999996E-2</v>
      </c>
      <c r="E15" s="2">
        <v>5.6899999999999999E-2</v>
      </c>
      <c r="F15" s="2">
        <v>3.61E-2</v>
      </c>
      <c r="G15" s="2">
        <v>3.44E-2</v>
      </c>
      <c r="H15" s="2">
        <v>4.2099999999999999E-2</v>
      </c>
      <c r="I15" s="127">
        <v>7.3800000000000004E-2</v>
      </c>
      <c r="J15" s="241"/>
      <c r="K15" s="241"/>
      <c r="L15" s="241"/>
      <c r="M15" s="241"/>
      <c r="N15" s="241"/>
      <c r="S15" s="243" t="s">
        <v>94</v>
      </c>
      <c r="T15" s="2">
        <v>0.1578</v>
      </c>
      <c r="U15" s="2">
        <v>0.13569999999999999</v>
      </c>
      <c r="V15" s="2">
        <v>0.15959999999999999</v>
      </c>
      <c r="W15" s="2">
        <v>0.31269999999999998</v>
      </c>
      <c r="X15" s="2">
        <v>0.1343</v>
      </c>
      <c r="Y15" s="127">
        <v>0.17749999999999999</v>
      </c>
    </row>
    <row r="16" spans="3:25" x14ac:dyDescent="0.35">
      <c r="C16" s="243" t="s">
        <v>685</v>
      </c>
      <c r="D16" s="2">
        <f>D15/D14</f>
        <v>0.19668183034519668</v>
      </c>
      <c r="E16" s="2">
        <v>0.15718232044198896</v>
      </c>
      <c r="F16" s="2">
        <v>8.2176189392214882E-2</v>
      </c>
      <c r="G16" s="2">
        <v>8.2751984604281931E-2</v>
      </c>
      <c r="H16" s="2">
        <v>9.756662804171494E-2</v>
      </c>
      <c r="I16" s="127">
        <v>0.18927930238522697</v>
      </c>
      <c r="J16" s="241"/>
      <c r="K16" s="241"/>
      <c r="L16" s="241"/>
      <c r="M16" s="241"/>
      <c r="N16" s="241"/>
      <c r="S16" s="243" t="s">
        <v>685</v>
      </c>
      <c r="T16" s="2">
        <v>0.28218884120171672</v>
      </c>
      <c r="U16" s="2">
        <v>0.30501236232861312</v>
      </c>
      <c r="V16" s="2">
        <v>0.24119691703188756</v>
      </c>
      <c r="W16" s="2">
        <v>0.40647341739243464</v>
      </c>
      <c r="X16" s="2">
        <v>0.24072414411184803</v>
      </c>
      <c r="Y16" s="127">
        <v>0.31206047819971872</v>
      </c>
    </row>
    <row r="17" spans="1:48" x14ac:dyDescent="0.35">
      <c r="C17" s="243" t="s">
        <v>682</v>
      </c>
      <c r="D17" s="2">
        <v>2.2000000000000001E-3</v>
      </c>
      <c r="E17" s="2">
        <v>1.4999999999999999E-2</v>
      </c>
      <c r="F17" s="2">
        <v>0.16209999999999999</v>
      </c>
      <c r="G17" s="2">
        <v>0.10979999999999999</v>
      </c>
      <c r="H17" s="2">
        <v>8.3999999999999995E-3</v>
      </c>
      <c r="I17" s="127">
        <v>8.3999999999999995E-3</v>
      </c>
      <c r="J17" s="241"/>
      <c r="K17" s="241"/>
      <c r="L17" s="241"/>
      <c r="M17" s="241"/>
      <c r="N17" s="241"/>
      <c r="S17" s="243" t="s">
        <v>682</v>
      </c>
      <c r="T17" s="2">
        <v>0.25690000000000002</v>
      </c>
      <c r="U17" s="2">
        <v>0.20300000000000001</v>
      </c>
      <c r="V17" s="2">
        <v>0.184</v>
      </c>
      <c r="W17" s="2">
        <v>0.58009999999999995</v>
      </c>
      <c r="X17" s="2">
        <v>0.23699999999999999</v>
      </c>
      <c r="Y17" s="127">
        <v>4.2999999999999997E-2</v>
      </c>
    </row>
    <row r="18" spans="1:48" ht="15" thickBot="1" x14ac:dyDescent="0.4">
      <c r="C18" s="244" t="s">
        <v>683</v>
      </c>
      <c r="D18" s="20">
        <v>4.6699999999999998E-2</v>
      </c>
      <c r="E18" s="20">
        <v>0.1227</v>
      </c>
      <c r="F18" s="20">
        <v>0.69850000000000001</v>
      </c>
      <c r="G18" s="20">
        <v>0.33129999999999998</v>
      </c>
      <c r="H18" s="20">
        <v>9.1800000000000007E-2</v>
      </c>
      <c r="I18" s="130">
        <v>9.1800000000000007E-2</v>
      </c>
      <c r="J18" s="241"/>
      <c r="K18" s="241"/>
      <c r="L18" s="241"/>
      <c r="M18" s="241"/>
      <c r="N18" s="241"/>
      <c r="S18" s="244" t="s">
        <v>683</v>
      </c>
      <c r="T18" s="20">
        <v>0.50690000000000002</v>
      </c>
      <c r="U18" s="20">
        <v>0.4506</v>
      </c>
      <c r="V18" s="20">
        <v>0.4289</v>
      </c>
      <c r="W18" s="20">
        <v>0.76170000000000004</v>
      </c>
      <c r="X18" s="20">
        <v>0.4869</v>
      </c>
      <c r="Y18" s="130">
        <v>0.20730000000000001</v>
      </c>
    </row>
    <row r="19" spans="1:48" x14ac:dyDescent="0.35">
      <c r="I19" s="241"/>
      <c r="J19" s="241"/>
      <c r="K19" s="241"/>
      <c r="L19" s="241"/>
      <c r="M19" s="241"/>
      <c r="N19" s="241"/>
    </row>
    <row r="21" spans="1:48" ht="18.5" x14ac:dyDescent="0.45">
      <c r="H21" s="192" t="s">
        <v>544</v>
      </c>
      <c r="X21" s="192" t="s">
        <v>545</v>
      </c>
      <c r="AM21" s="192" t="s">
        <v>556</v>
      </c>
    </row>
    <row r="22" spans="1:48" x14ac:dyDescent="0.35">
      <c r="AH22" s="139" t="s">
        <v>380</v>
      </c>
    </row>
    <row r="23" spans="1:48" x14ac:dyDescent="0.35">
      <c r="AH23" s="104" t="s">
        <v>381</v>
      </c>
    </row>
    <row r="24" spans="1:48" x14ac:dyDescent="0.35">
      <c r="C24" s="139" t="s">
        <v>380</v>
      </c>
      <c r="D24" s="139" t="s">
        <v>0</v>
      </c>
      <c r="E24" s="139"/>
      <c r="F24" s="139"/>
      <c r="G24" s="139" t="s">
        <v>91</v>
      </c>
      <c r="J24" s="139" t="s">
        <v>86</v>
      </c>
      <c r="M24" s="139" t="s">
        <v>92</v>
      </c>
      <c r="S24" s="139" t="s">
        <v>380</v>
      </c>
      <c r="T24" s="139" t="s">
        <v>0</v>
      </c>
      <c r="U24" s="139"/>
      <c r="V24" s="139"/>
      <c r="W24" s="139" t="s">
        <v>91</v>
      </c>
      <c r="Z24" s="139" t="s">
        <v>86</v>
      </c>
      <c r="AC24" s="139" t="s">
        <v>92</v>
      </c>
      <c r="AI24" s="139" t="s">
        <v>0</v>
      </c>
      <c r="AJ24" s="139"/>
      <c r="AK24" s="139"/>
      <c r="AM24" s="139" t="s">
        <v>91</v>
      </c>
      <c r="AQ24" s="139" t="s">
        <v>86</v>
      </c>
      <c r="AU24" s="139" t="s">
        <v>92</v>
      </c>
    </row>
    <row r="25" spans="1:48" s="104" customFormat="1" x14ac:dyDescent="0.35">
      <c r="C25" s="104" t="s">
        <v>381</v>
      </c>
      <c r="D25" s="104" t="s">
        <v>542</v>
      </c>
      <c r="E25" s="104" t="s">
        <v>543</v>
      </c>
      <c r="G25" s="104" t="s">
        <v>542</v>
      </c>
      <c r="H25" s="104" t="s">
        <v>543</v>
      </c>
      <c r="J25" s="104" t="s">
        <v>542</v>
      </c>
      <c r="K25" s="104" t="s">
        <v>543</v>
      </c>
      <c r="M25" s="104" t="s">
        <v>542</v>
      </c>
      <c r="N25" s="104" t="s">
        <v>543</v>
      </c>
      <c r="P25" s="212"/>
      <c r="Q25" s="137"/>
      <c r="S25" s="104" t="s">
        <v>381</v>
      </c>
      <c r="T25" s="104" t="s">
        <v>542</v>
      </c>
      <c r="U25" s="104" t="s">
        <v>543</v>
      </c>
      <c r="W25" s="104" t="s">
        <v>542</v>
      </c>
      <c r="X25" s="104" t="s">
        <v>543</v>
      </c>
      <c r="Z25" s="104" t="s">
        <v>542</v>
      </c>
      <c r="AA25" s="104" t="s">
        <v>543</v>
      </c>
      <c r="AC25" s="104" t="s">
        <v>542</v>
      </c>
      <c r="AD25" s="104" t="s">
        <v>543</v>
      </c>
      <c r="AF25" s="212"/>
      <c r="AH25" s="104" t="s">
        <v>649</v>
      </c>
      <c r="AI25" s="104" t="s">
        <v>546</v>
      </c>
      <c r="AJ25" s="104" t="s">
        <v>547</v>
      </c>
      <c r="AL25" s="104" t="s">
        <v>649</v>
      </c>
      <c r="AM25" s="104" t="s">
        <v>546</v>
      </c>
      <c r="AN25" s="104" t="s">
        <v>547</v>
      </c>
      <c r="AP25" s="104" t="s">
        <v>649</v>
      </c>
      <c r="AQ25" s="104" t="s">
        <v>546</v>
      </c>
      <c r="AR25" s="104" t="s">
        <v>547</v>
      </c>
      <c r="AT25" s="104" t="s">
        <v>649</v>
      </c>
      <c r="AU25" s="104" t="s">
        <v>546</v>
      </c>
      <c r="AV25" s="104" t="s">
        <v>547</v>
      </c>
    </row>
    <row r="26" spans="1:48" x14ac:dyDescent="0.35">
      <c r="D26">
        <v>0.36749999999999999</v>
      </c>
      <c r="E26">
        <v>1.1518999999999999</v>
      </c>
      <c r="G26">
        <v>0.32057000000000002</v>
      </c>
      <c r="H26">
        <v>0.82428000000000001</v>
      </c>
      <c r="J26">
        <v>0.41720000000000002</v>
      </c>
      <c r="K26">
        <v>0.92279</v>
      </c>
      <c r="M26">
        <v>0.36607999999999902</v>
      </c>
      <c r="N26">
        <v>1.00363</v>
      </c>
      <c r="T26">
        <v>0.70664000000000005</v>
      </c>
      <c r="U26">
        <v>1.1488</v>
      </c>
      <c r="W26">
        <v>0.42576000000000003</v>
      </c>
      <c r="X26">
        <v>0.88678000000000001</v>
      </c>
      <c r="Z26">
        <v>0.63056000000000101</v>
      </c>
      <c r="AA26">
        <v>0.98429</v>
      </c>
      <c r="AC26">
        <v>0.67852000000000001</v>
      </c>
      <c r="AD26">
        <v>0.95792999999999995</v>
      </c>
      <c r="AH26">
        <v>7</v>
      </c>
      <c r="AI26">
        <v>1.08653714285714</v>
      </c>
      <c r="AJ26">
        <v>7.8943199999999996</v>
      </c>
      <c r="AL26">
        <v>7</v>
      </c>
      <c r="AM26">
        <v>0.83804714285714299</v>
      </c>
      <c r="AN26">
        <v>5.6501700000000001</v>
      </c>
      <c r="AP26">
        <v>5</v>
      </c>
      <c r="AQ26">
        <v>0.87794000000000005</v>
      </c>
      <c r="AR26">
        <v>4.4902899999999999</v>
      </c>
      <c r="AT26">
        <v>9</v>
      </c>
      <c r="AU26">
        <v>0.92863888888888901</v>
      </c>
      <c r="AV26">
        <v>7.8660199999999998</v>
      </c>
    </row>
    <row r="27" spans="1:48" x14ac:dyDescent="0.35">
      <c r="D27">
        <v>0.39040999999999998</v>
      </c>
      <c r="E27">
        <v>1.1599600000000001</v>
      </c>
      <c r="G27">
        <v>0.32822000000000001</v>
      </c>
      <c r="H27">
        <v>0.62840000000000096</v>
      </c>
      <c r="J27">
        <v>0.31545000000000001</v>
      </c>
      <c r="K27">
        <v>0.72045000000000003</v>
      </c>
      <c r="M27">
        <v>0.43254999999999899</v>
      </c>
      <c r="N27">
        <v>0.99424000000000101</v>
      </c>
      <c r="T27">
        <v>0.65546000000000004</v>
      </c>
      <c r="U27">
        <v>1.1274999999999999</v>
      </c>
      <c r="W27">
        <v>0.33681</v>
      </c>
      <c r="X27">
        <v>0.72911999999999999</v>
      </c>
      <c r="Z27">
        <v>0.73846999999999996</v>
      </c>
      <c r="AA27">
        <v>1.06012</v>
      </c>
      <c r="AC27">
        <v>0.53429000000000004</v>
      </c>
      <c r="AD27">
        <v>0.68474999999999897</v>
      </c>
      <c r="AH27">
        <v>9</v>
      </c>
      <c r="AI27">
        <v>1.1057033333333299</v>
      </c>
      <c r="AJ27">
        <v>9.9049099999999992</v>
      </c>
      <c r="AL27">
        <v>11</v>
      </c>
      <c r="AM27">
        <v>0.84101545454545501</v>
      </c>
      <c r="AN27">
        <v>9.4547000000000008</v>
      </c>
      <c r="AP27">
        <v>11</v>
      </c>
      <c r="AQ27">
        <v>0.91445818181818195</v>
      </c>
      <c r="AR27">
        <v>9.9061900000000005</v>
      </c>
      <c r="AT27">
        <v>11</v>
      </c>
      <c r="AU27">
        <v>0.92799818181818206</v>
      </c>
      <c r="AV27">
        <v>10.28384</v>
      </c>
    </row>
    <row r="28" spans="1:48" x14ac:dyDescent="0.35">
      <c r="D28">
        <v>0.350630000000002</v>
      </c>
      <c r="E28">
        <v>1.1666000000000001</v>
      </c>
      <c r="G28">
        <v>0.51781999999999995</v>
      </c>
      <c r="H28">
        <v>0.92895000000000005</v>
      </c>
      <c r="J28">
        <v>0.38043000000000099</v>
      </c>
      <c r="K28">
        <v>0.938280000000001</v>
      </c>
      <c r="M28">
        <v>0.3352</v>
      </c>
      <c r="N28">
        <v>0.74796000000000296</v>
      </c>
      <c r="T28">
        <v>0.73832000000000197</v>
      </c>
      <c r="U28">
        <v>1.1366099999999999</v>
      </c>
      <c r="W28">
        <v>0.56247000000000102</v>
      </c>
      <c r="X28">
        <v>0.89609000000000105</v>
      </c>
      <c r="Z28">
        <v>0.51179000000000097</v>
      </c>
      <c r="AA28">
        <v>0.88844000000000301</v>
      </c>
      <c r="AC28">
        <v>0.50005000000000199</v>
      </c>
      <c r="AD28">
        <v>0.97664999999999902</v>
      </c>
      <c r="AH28">
        <v>9</v>
      </c>
      <c r="AI28">
        <v>1.0943455555555599</v>
      </c>
      <c r="AJ28">
        <v>9.8686199999999999</v>
      </c>
      <c r="AL28">
        <v>10</v>
      </c>
      <c r="AM28">
        <v>0.85537300000000005</v>
      </c>
      <c r="AN28">
        <v>8.4427800000000008</v>
      </c>
      <c r="AP28">
        <v>15</v>
      </c>
      <c r="AQ28">
        <v>0.85185866666666699</v>
      </c>
      <c r="AR28">
        <v>12.847899999999999</v>
      </c>
      <c r="AT28">
        <v>13</v>
      </c>
      <c r="AU28">
        <v>0.92821615384615397</v>
      </c>
      <c r="AV28">
        <v>12.21574</v>
      </c>
    </row>
    <row r="29" spans="1:48" x14ac:dyDescent="0.35">
      <c r="D29">
        <v>0.31537000000000198</v>
      </c>
      <c r="E29">
        <v>1.1118300000000001</v>
      </c>
      <c r="G29">
        <v>0.46393000000000101</v>
      </c>
      <c r="H29">
        <v>0.93071000000000503</v>
      </c>
      <c r="J29">
        <v>0.49224000000000201</v>
      </c>
      <c r="K29">
        <v>0.980070000000001</v>
      </c>
      <c r="M29">
        <v>0.22462000000000201</v>
      </c>
      <c r="N29">
        <v>0.66741000000000394</v>
      </c>
      <c r="T29">
        <v>0.17244000000000201</v>
      </c>
      <c r="U29">
        <v>1.0436099999999999</v>
      </c>
      <c r="W29">
        <v>0.50333999999999801</v>
      </c>
      <c r="X29">
        <v>0.85887000000000002</v>
      </c>
      <c r="Z29">
        <v>0.76686000000000099</v>
      </c>
      <c r="AA29">
        <v>1.08361</v>
      </c>
      <c r="AC29">
        <v>0.87970000000000004</v>
      </c>
      <c r="AD29">
        <v>0.96579999999999999</v>
      </c>
      <c r="AH29">
        <v>10</v>
      </c>
      <c r="AI29">
        <v>1.0683210000000001</v>
      </c>
      <c r="AJ29">
        <v>10.75501</v>
      </c>
      <c r="AL29">
        <v>10</v>
      </c>
      <c r="AM29">
        <v>0.83987599999999996</v>
      </c>
      <c r="AN29">
        <v>8.3431099999999994</v>
      </c>
      <c r="AP29">
        <v>17</v>
      </c>
      <c r="AQ29">
        <v>0.85802</v>
      </c>
      <c r="AR29">
        <v>14.78431</v>
      </c>
      <c r="AT29">
        <v>11</v>
      </c>
      <c r="AU29">
        <v>1.03120090909091</v>
      </c>
      <c r="AV29">
        <v>11.313179999999999</v>
      </c>
    </row>
    <row r="30" spans="1:48" x14ac:dyDescent="0.35">
      <c r="A30" t="s">
        <v>77</v>
      </c>
      <c r="B30">
        <v>0.37369999999999998</v>
      </c>
      <c r="D30">
        <v>0.37414999999999998</v>
      </c>
      <c r="E30">
        <v>1.0988100000000001</v>
      </c>
      <c r="G30">
        <v>0.39061000000000201</v>
      </c>
      <c r="H30">
        <v>0.761050000000004</v>
      </c>
      <c r="J30">
        <v>0.48373000000000099</v>
      </c>
      <c r="K30">
        <v>0.773590000000006</v>
      </c>
      <c r="M30">
        <v>0.36440999999999901</v>
      </c>
      <c r="N30">
        <v>0.84004000000000201</v>
      </c>
      <c r="Q30" t="s">
        <v>77</v>
      </c>
      <c r="R30">
        <v>0.55920000000000003</v>
      </c>
      <c r="T30">
        <v>0.61438999999999999</v>
      </c>
      <c r="U30">
        <v>1.10981</v>
      </c>
      <c r="W30">
        <v>0.63720999999999595</v>
      </c>
      <c r="X30">
        <v>0.90971999999999997</v>
      </c>
      <c r="Z30">
        <v>0.60509000000000401</v>
      </c>
      <c r="AA30">
        <v>0.78316000000000197</v>
      </c>
      <c r="AC30">
        <v>0.59356000000000397</v>
      </c>
      <c r="AD30">
        <v>0.97324999999999995</v>
      </c>
      <c r="AH30">
        <v>6</v>
      </c>
      <c r="AI30">
        <v>1.07185</v>
      </c>
      <c r="AJ30">
        <v>6.3523699999999996</v>
      </c>
      <c r="AL30">
        <v>11</v>
      </c>
      <c r="AM30">
        <v>0.83097363636363597</v>
      </c>
      <c r="AN30">
        <v>9.23705</v>
      </c>
      <c r="AP30">
        <v>16</v>
      </c>
      <c r="AQ30">
        <v>0.86521187499999996</v>
      </c>
      <c r="AR30">
        <v>13.644259999999999</v>
      </c>
      <c r="AT30">
        <v>13</v>
      </c>
      <c r="AU30">
        <v>0.95336307692307698</v>
      </c>
      <c r="AV30">
        <v>12.36088</v>
      </c>
    </row>
    <row r="31" spans="1:48" x14ac:dyDescent="0.35">
      <c r="A31" t="s">
        <v>94</v>
      </c>
      <c r="B31">
        <v>7.3499999999999996E-2</v>
      </c>
      <c r="D31">
        <v>0.26590999999999798</v>
      </c>
      <c r="E31">
        <v>1.0692999999999999</v>
      </c>
      <c r="G31">
        <v>0.49914999999999998</v>
      </c>
      <c r="H31">
        <v>0.90651999999999999</v>
      </c>
      <c r="J31">
        <v>0.35367000000000098</v>
      </c>
      <c r="K31">
        <v>0.84266000000000196</v>
      </c>
      <c r="M31">
        <v>0.40785000000001098</v>
      </c>
      <c r="N31">
        <v>0.98553000000001101</v>
      </c>
      <c r="Q31" t="s">
        <v>94</v>
      </c>
      <c r="R31">
        <v>0.1578</v>
      </c>
      <c r="T31">
        <v>0.73792999999999898</v>
      </c>
      <c r="U31">
        <v>1.0692999999999999</v>
      </c>
      <c r="W31">
        <v>0.482129999999998</v>
      </c>
      <c r="X31">
        <v>0.98894000000000004</v>
      </c>
      <c r="Z31">
        <v>0.88232999999999595</v>
      </c>
      <c r="AA31">
        <v>1.03956</v>
      </c>
      <c r="AC31">
        <v>0.72993000000000297</v>
      </c>
      <c r="AD31">
        <v>1.0440400000000001</v>
      </c>
      <c r="AH31">
        <v>5</v>
      </c>
      <c r="AI31">
        <v>1.0383</v>
      </c>
      <c r="AJ31">
        <v>5.2700199999999997</v>
      </c>
      <c r="AL31">
        <v>11</v>
      </c>
      <c r="AM31">
        <v>0.82687727272727296</v>
      </c>
      <c r="AN31">
        <v>9.0587199999999992</v>
      </c>
      <c r="AP31">
        <v>14</v>
      </c>
      <c r="AQ31">
        <v>0.97355428571428604</v>
      </c>
      <c r="AR31">
        <v>13.56138</v>
      </c>
      <c r="AT31">
        <v>13</v>
      </c>
      <c r="AU31">
        <v>0.96016000000000001</v>
      </c>
      <c r="AV31">
        <v>12.38003</v>
      </c>
    </row>
    <row r="32" spans="1:48" x14ac:dyDescent="0.35">
      <c r="A32" t="s">
        <v>685</v>
      </c>
      <c r="B32">
        <f>B31/B30</f>
        <v>0.19668183034519668</v>
      </c>
      <c r="D32">
        <v>0.34003000000000599</v>
      </c>
      <c r="E32">
        <v>1.0649</v>
      </c>
      <c r="G32">
        <v>0.47764999999999702</v>
      </c>
      <c r="H32">
        <v>0.85954999999999904</v>
      </c>
      <c r="J32">
        <v>0.323099999999997</v>
      </c>
      <c r="K32">
        <v>0.88047000000000297</v>
      </c>
      <c r="M32">
        <v>0.31194000000000699</v>
      </c>
      <c r="N32">
        <v>0.92337000000000602</v>
      </c>
      <c r="Q32" t="s">
        <v>685</v>
      </c>
      <c r="R32">
        <f>R31/R30</f>
        <v>0.28218884120171672</v>
      </c>
      <c r="T32">
        <v>0.71968000000000398</v>
      </c>
      <c r="U32">
        <v>1.10819</v>
      </c>
      <c r="W32">
        <v>0.38680000000000098</v>
      </c>
      <c r="X32">
        <v>0.80192999999999903</v>
      </c>
      <c r="Z32">
        <v>0.29271000000000003</v>
      </c>
      <c r="AA32">
        <v>0.74563999999999497</v>
      </c>
      <c r="AC32">
        <v>0.48530999999999802</v>
      </c>
      <c r="AD32">
        <v>1.0347200000000101</v>
      </c>
      <c r="AH32">
        <v>10</v>
      </c>
      <c r="AI32">
        <v>1.0527470000000001</v>
      </c>
      <c r="AJ32">
        <v>10.4346</v>
      </c>
      <c r="AL32">
        <v>10</v>
      </c>
      <c r="AM32">
        <v>0.838364</v>
      </c>
      <c r="AN32">
        <v>8.4091100000000001</v>
      </c>
      <c r="AP32">
        <v>16</v>
      </c>
      <c r="AQ32">
        <v>0.892044375</v>
      </c>
      <c r="AR32">
        <v>14.46293</v>
      </c>
      <c r="AT32">
        <v>13</v>
      </c>
      <c r="AU32">
        <v>0.92693692307692299</v>
      </c>
      <c r="AV32">
        <v>12.01643</v>
      </c>
    </row>
    <row r="33" spans="1:48" x14ac:dyDescent="0.35">
      <c r="A33" t="s">
        <v>679</v>
      </c>
      <c r="D33">
        <v>0.31656000000000301</v>
      </c>
      <c r="E33">
        <v>1.1343000000000001</v>
      </c>
      <c r="G33">
        <v>0.39675000000001198</v>
      </c>
      <c r="H33">
        <v>0.81192000000000097</v>
      </c>
      <c r="J33">
        <v>0.33387999999999401</v>
      </c>
      <c r="K33">
        <v>0.70103000000000304</v>
      </c>
      <c r="M33">
        <v>0.48470999999999298</v>
      </c>
      <c r="N33">
        <v>1.0502199999999999</v>
      </c>
      <c r="Q33" t="s">
        <v>679</v>
      </c>
      <c r="T33">
        <v>0.66360000000000197</v>
      </c>
      <c r="U33">
        <v>1.1200300000000001</v>
      </c>
      <c r="W33">
        <v>0.62714999999999999</v>
      </c>
      <c r="X33">
        <v>0.82269000000000203</v>
      </c>
      <c r="Z33">
        <v>0.57178000000000395</v>
      </c>
      <c r="AA33">
        <v>0.95268000000000097</v>
      </c>
      <c r="AC33">
        <v>0.41216000000000003</v>
      </c>
      <c r="AD33">
        <v>0.76225999999999805</v>
      </c>
      <c r="AH33">
        <v>10</v>
      </c>
      <c r="AI33">
        <v>1.0482959999999999</v>
      </c>
      <c r="AJ33">
        <v>10.57315</v>
      </c>
      <c r="AL33">
        <v>10</v>
      </c>
      <c r="AM33">
        <v>0.84100399999999997</v>
      </c>
      <c r="AN33">
        <v>8.3767700000000094</v>
      </c>
      <c r="AP33">
        <v>15</v>
      </c>
      <c r="AQ33">
        <v>0.90419666666666698</v>
      </c>
      <c r="AR33">
        <v>13.558540000000001</v>
      </c>
      <c r="AT33">
        <v>13</v>
      </c>
      <c r="AU33">
        <v>0.92708461538461495</v>
      </c>
      <c r="AV33">
        <v>12.09802</v>
      </c>
    </row>
    <row r="34" spans="1:48" x14ac:dyDescent="0.35">
      <c r="A34" t="s">
        <v>680</v>
      </c>
      <c r="B34">
        <v>0.75170000000000003</v>
      </c>
      <c r="D34">
        <v>0.37899999999999101</v>
      </c>
      <c r="E34">
        <v>1.1065499999999999</v>
      </c>
      <c r="G34">
        <v>0.40893000000001201</v>
      </c>
      <c r="H34">
        <v>0.89373000000000502</v>
      </c>
      <c r="J34">
        <v>0.54349000000000602</v>
      </c>
      <c r="K34">
        <v>0.91505000000000802</v>
      </c>
      <c r="M34">
        <v>0.27838999999998798</v>
      </c>
      <c r="N34">
        <v>0.74324999999998898</v>
      </c>
      <c r="Q34" t="s">
        <v>680</v>
      </c>
      <c r="R34">
        <v>1E-4</v>
      </c>
      <c r="T34">
        <v>0.253379999999993</v>
      </c>
      <c r="U34">
        <v>1.0086900000000001</v>
      </c>
      <c r="W34">
        <v>0.47032999999998998</v>
      </c>
      <c r="X34">
        <v>0.98129999999998996</v>
      </c>
      <c r="Z34">
        <v>0.38414000000000198</v>
      </c>
      <c r="AA34">
        <v>0.90912000000000204</v>
      </c>
      <c r="AC34">
        <v>0.61865000000000203</v>
      </c>
      <c r="AD34">
        <v>0.90494000000001096</v>
      </c>
      <c r="AH34">
        <v>10</v>
      </c>
      <c r="AI34">
        <v>1.051415</v>
      </c>
      <c r="AJ34">
        <v>10.47128</v>
      </c>
      <c r="AL34">
        <v>11</v>
      </c>
      <c r="AM34">
        <v>0.83375454545454597</v>
      </c>
      <c r="AN34">
        <v>9.1016700000000004</v>
      </c>
      <c r="AP34">
        <v>14</v>
      </c>
      <c r="AQ34">
        <v>0.93229071428571397</v>
      </c>
      <c r="AR34">
        <v>12.88941</v>
      </c>
      <c r="AT34">
        <v>13</v>
      </c>
      <c r="AU34">
        <v>0.92310692307692299</v>
      </c>
      <c r="AV34">
        <v>12.101039999999999</v>
      </c>
    </row>
    <row r="35" spans="1:48" x14ac:dyDescent="0.35">
      <c r="A35" t="s">
        <v>681</v>
      </c>
      <c r="B35">
        <v>0.75429999999999997</v>
      </c>
      <c r="D35">
        <v>0.31010000000000598</v>
      </c>
      <c r="E35">
        <v>1.0805200000000099</v>
      </c>
      <c r="G35">
        <v>0.41958999999999902</v>
      </c>
      <c r="H35">
        <v>0.95817999999999903</v>
      </c>
      <c r="J35">
        <v>0.39934999999999798</v>
      </c>
      <c r="K35">
        <v>0.93357000000000301</v>
      </c>
      <c r="M35">
        <v>0.33529000000000098</v>
      </c>
      <c r="N35">
        <v>0.80970999999999604</v>
      </c>
      <c r="Q35" t="s">
        <v>681</v>
      </c>
      <c r="R35">
        <v>1E-4</v>
      </c>
      <c r="T35">
        <v>0.64158000000000504</v>
      </c>
      <c r="U35">
        <v>1.08111</v>
      </c>
      <c r="W35">
        <v>0.43384999999999302</v>
      </c>
      <c r="X35">
        <v>0.95270999999999595</v>
      </c>
      <c r="Z35">
        <v>0.52979999999999505</v>
      </c>
      <c r="AA35">
        <v>0.70372999999999297</v>
      </c>
      <c r="AC35">
        <v>0.76896000000000697</v>
      </c>
      <c r="AD35">
        <v>1.04637</v>
      </c>
      <c r="AH35">
        <v>10</v>
      </c>
      <c r="AI35">
        <v>1.0468649999999999</v>
      </c>
      <c r="AJ35">
        <v>10.536630000000001</v>
      </c>
      <c r="AL35">
        <v>10</v>
      </c>
      <c r="AM35">
        <v>0.85819000000000101</v>
      </c>
      <c r="AN35">
        <v>8.5281099999999999</v>
      </c>
      <c r="AT35">
        <v>11</v>
      </c>
      <c r="AU35">
        <v>0.94266272727272804</v>
      </c>
      <c r="AV35">
        <v>10.359730000000001</v>
      </c>
    </row>
    <row r="36" spans="1:48" x14ac:dyDescent="0.35">
      <c r="A36" t="s">
        <v>682</v>
      </c>
      <c r="B36">
        <v>2.2000000000000001E-3</v>
      </c>
      <c r="D36">
        <v>0.380989999999997</v>
      </c>
      <c r="E36">
        <v>1.0834300000000101</v>
      </c>
      <c r="G36">
        <v>0.41137000000000501</v>
      </c>
      <c r="H36">
        <v>0.93559000000000503</v>
      </c>
      <c r="Q36" t="s">
        <v>682</v>
      </c>
      <c r="R36">
        <v>0.25690000000000002</v>
      </c>
      <c r="T36">
        <v>0.69454000000000404</v>
      </c>
      <c r="U36">
        <v>1.10362000000001</v>
      </c>
      <c r="W36">
        <v>0.43375999999999199</v>
      </c>
      <c r="X36">
        <v>0.89115999999999895</v>
      </c>
      <c r="AC36">
        <v>0.37243000000000898</v>
      </c>
      <c r="AD36">
        <v>0.88071999999999695</v>
      </c>
      <c r="AH36">
        <v>7</v>
      </c>
      <c r="AI36">
        <v>1.0426299999999999</v>
      </c>
      <c r="AJ36">
        <v>7.26074000000001</v>
      </c>
      <c r="AL36">
        <v>11</v>
      </c>
      <c r="AM36">
        <v>0.85719818181818197</v>
      </c>
      <c r="AN36">
        <v>9.4435500000000001</v>
      </c>
    </row>
    <row r="37" spans="1:48" x14ac:dyDescent="0.35">
      <c r="A37" t="s">
        <v>683</v>
      </c>
      <c r="B37">
        <v>4.6699999999999998E-2</v>
      </c>
      <c r="D37">
        <v>0.27879000000000098</v>
      </c>
      <c r="E37">
        <v>1.0188999999999999</v>
      </c>
      <c r="G37">
        <v>0.465699999999998</v>
      </c>
      <c r="H37">
        <v>0.92916999999999905</v>
      </c>
      <c r="Q37" t="s">
        <v>683</v>
      </c>
      <c r="R37">
        <v>0.50690000000000002</v>
      </c>
      <c r="T37">
        <v>0.54079000000000099</v>
      </c>
      <c r="U37">
        <v>1.0188999999999999</v>
      </c>
      <c r="W37">
        <v>0.50136999999999399</v>
      </c>
      <c r="X37">
        <v>0.78176999999999497</v>
      </c>
      <c r="AH37">
        <v>5</v>
      </c>
      <c r="AI37">
        <v>1.0195879999999999</v>
      </c>
      <c r="AJ37">
        <v>5.0911499999999998</v>
      </c>
      <c r="AL37">
        <v>11</v>
      </c>
      <c r="AM37">
        <v>0.86756999999999895</v>
      </c>
      <c r="AN37">
        <v>9.6040199999999896</v>
      </c>
    </row>
    <row r="38" spans="1:48" x14ac:dyDescent="0.35">
      <c r="D38">
        <v>0.31553999999999899</v>
      </c>
      <c r="E38">
        <v>1.0624400000000001</v>
      </c>
      <c r="G38">
        <v>0.30526999999999299</v>
      </c>
      <c r="H38">
        <v>0.79949000000000603</v>
      </c>
      <c r="T38">
        <v>0.49872000000000599</v>
      </c>
      <c r="U38">
        <v>1.0250699999999999</v>
      </c>
      <c r="W38">
        <v>0.35080999999999601</v>
      </c>
      <c r="X38">
        <v>0.84707000000000199</v>
      </c>
      <c r="AH38">
        <v>7</v>
      </c>
      <c r="AI38">
        <v>1.01705714285714</v>
      </c>
      <c r="AJ38">
        <v>7.1100899999999996</v>
      </c>
      <c r="AL38">
        <v>10</v>
      </c>
      <c r="AM38">
        <v>0.86012100000000102</v>
      </c>
      <c r="AN38">
        <v>8.5704600000000006</v>
      </c>
    </row>
    <row r="39" spans="1:48" x14ac:dyDescent="0.35">
      <c r="D39">
        <v>0.273260000000008</v>
      </c>
      <c r="E39">
        <v>1.0294700000000001</v>
      </c>
      <c r="T39">
        <v>0.68993000000000404</v>
      </c>
      <c r="U39">
        <v>1.0294700000000001</v>
      </c>
      <c r="W39">
        <v>0.43414999999998799</v>
      </c>
      <c r="X39">
        <v>0.87689999999999202</v>
      </c>
      <c r="AH39">
        <v>6</v>
      </c>
      <c r="AI39">
        <v>1.0042850000000001</v>
      </c>
      <c r="AJ39">
        <v>6.0066600000000001</v>
      </c>
    </row>
    <row r="40" spans="1:48" x14ac:dyDescent="0.35">
      <c r="D40">
        <v>0.28807000000000499</v>
      </c>
      <c r="E40">
        <v>1.0633300000000101</v>
      </c>
      <c r="AG40" t="s">
        <v>77</v>
      </c>
      <c r="AH40">
        <f>AVERAGE(AH26:AH39)</f>
        <v>7.9285714285714288</v>
      </c>
      <c r="AI40">
        <f t="shared" ref="AI40:AJ40" si="0">AVERAGE(AI26:AI39)</f>
        <v>1.0534242981859407</v>
      </c>
      <c r="AJ40">
        <f t="shared" si="0"/>
        <v>8.3949678571428574</v>
      </c>
      <c r="AL40">
        <f>AVERAGE(AL26:AL39)</f>
        <v>10.23076923076923</v>
      </c>
      <c r="AM40">
        <f t="shared" ref="AM40" si="1">AVERAGE(AM26:AM39)</f>
        <v>0.84525878721278747</v>
      </c>
      <c r="AN40">
        <f t="shared" ref="AN40" si="2">AVERAGE(AN26:AN39)</f>
        <v>8.6323246153846149</v>
      </c>
      <c r="AP40">
        <f>AVERAGE(AP26:AP39)</f>
        <v>13.666666666666666</v>
      </c>
      <c r="AQ40">
        <f t="shared" ref="AQ40" si="3">AVERAGE(AQ26:AQ39)</f>
        <v>0.89661941835016834</v>
      </c>
      <c r="AR40">
        <f t="shared" ref="AR40" si="4">AVERAGE(AR26:AR39)</f>
        <v>12.238356666666666</v>
      </c>
      <c r="AT40">
        <f>AVERAGE(AT26:AT39)</f>
        <v>12</v>
      </c>
      <c r="AU40">
        <f t="shared" ref="AU40" si="5">AVERAGE(AU26:AU39)</f>
        <v>0.94493683993784006</v>
      </c>
      <c r="AV40">
        <f t="shared" ref="AV40" si="6">AVERAGE(AV26:AV39)</f>
        <v>11.299491</v>
      </c>
    </row>
    <row r="41" spans="1:48" x14ac:dyDescent="0.35">
      <c r="AG41" t="s">
        <v>94</v>
      </c>
      <c r="AH41">
        <f>_xlfn.STDEV.S(AH26:AH39)</f>
        <v>1.9792883614022538</v>
      </c>
      <c r="AI41">
        <f t="shared" ref="AI41:AJ41" si="7">_xlfn.STDEV.S(AI26:AI39)</f>
        <v>2.9569660021127601E-2</v>
      </c>
      <c r="AJ41">
        <f t="shared" si="7"/>
        <v>2.1762441992046693</v>
      </c>
      <c r="AL41">
        <f>_xlfn.STDEV.S(AL26:AL39)</f>
        <v>1.0919284281983404</v>
      </c>
      <c r="AM41">
        <f t="shared" ref="AM41:AN41" si="8">_xlfn.STDEV.S(AM26:AM39)</f>
        <v>1.2811651176804044E-2</v>
      </c>
      <c r="AN41">
        <f t="shared" si="8"/>
        <v>1.0078446462179893</v>
      </c>
      <c r="AP41">
        <f>_xlfn.STDEV.S(AP26:AP39)</f>
        <v>3.6742346141747673</v>
      </c>
      <c r="AQ41">
        <f t="shared" ref="AQ41:AR41" si="9">_xlfn.STDEV.S(AQ26:AQ39)</f>
        <v>3.9396663569498315E-2</v>
      </c>
      <c r="AR41">
        <f t="shared" si="9"/>
        <v>3.2242711540362139</v>
      </c>
      <c r="AT41">
        <f>_xlfn.STDEV.S(AT26:AT39)</f>
        <v>1.4142135623730951</v>
      </c>
      <c r="AU41">
        <f t="shared" ref="AU41:AV41" si="10">_xlfn.STDEV.S(AU26:AU39)</f>
        <v>3.2830836075229616E-2</v>
      </c>
      <c r="AV41">
        <f t="shared" si="10"/>
        <v>1.4388020653882714</v>
      </c>
    </row>
    <row r="45" spans="1:48" ht="18.5" x14ac:dyDescent="0.45">
      <c r="H45" s="192" t="s">
        <v>544</v>
      </c>
      <c r="X45" s="192" t="s">
        <v>545</v>
      </c>
      <c r="AH45" s="139" t="s">
        <v>380</v>
      </c>
      <c r="AM45" s="192" t="s">
        <v>556</v>
      </c>
    </row>
    <row r="46" spans="1:48" x14ac:dyDescent="0.35">
      <c r="AH46" s="104" t="s">
        <v>382</v>
      </c>
    </row>
    <row r="47" spans="1:48" x14ac:dyDescent="0.35">
      <c r="C47" s="139" t="s">
        <v>380</v>
      </c>
      <c r="D47" s="139" t="s">
        <v>0</v>
      </c>
      <c r="E47" s="139"/>
      <c r="F47" s="139"/>
      <c r="G47" s="139" t="s">
        <v>91</v>
      </c>
      <c r="J47" s="139" t="s">
        <v>86</v>
      </c>
      <c r="M47" s="139" t="s">
        <v>92</v>
      </c>
      <c r="S47" s="139" t="s">
        <v>380</v>
      </c>
      <c r="T47" s="139" t="s">
        <v>0</v>
      </c>
      <c r="U47" s="139"/>
      <c r="V47" s="139"/>
      <c r="W47" s="139" t="s">
        <v>91</v>
      </c>
      <c r="Z47" s="139" t="s">
        <v>86</v>
      </c>
      <c r="AC47" s="139" t="s">
        <v>92</v>
      </c>
      <c r="AI47" s="139" t="s">
        <v>0</v>
      </c>
      <c r="AJ47" s="139"/>
      <c r="AK47" s="139"/>
      <c r="AM47" s="139" t="s">
        <v>91</v>
      </c>
      <c r="AQ47" s="139" t="s">
        <v>86</v>
      </c>
      <c r="AU47" s="139" t="s">
        <v>92</v>
      </c>
    </row>
    <row r="48" spans="1:48" x14ac:dyDescent="0.35">
      <c r="C48" s="104" t="s">
        <v>382</v>
      </c>
      <c r="D48" s="104" t="s">
        <v>542</v>
      </c>
      <c r="E48" s="104" t="s">
        <v>543</v>
      </c>
      <c r="F48" s="104"/>
      <c r="G48" s="104" t="s">
        <v>542</v>
      </c>
      <c r="H48" s="104" t="s">
        <v>543</v>
      </c>
      <c r="I48" s="104"/>
      <c r="J48" s="104" t="s">
        <v>542</v>
      </c>
      <c r="K48" s="104" t="s">
        <v>543</v>
      </c>
      <c r="L48" s="104"/>
      <c r="M48" s="104" t="s">
        <v>542</v>
      </c>
      <c r="N48" s="104" t="s">
        <v>543</v>
      </c>
      <c r="S48" s="104" t="s">
        <v>382</v>
      </c>
      <c r="T48" s="104" t="s">
        <v>542</v>
      </c>
      <c r="U48" s="104" t="s">
        <v>543</v>
      </c>
      <c r="V48" s="104"/>
      <c r="W48" s="104" t="s">
        <v>542</v>
      </c>
      <c r="X48" s="104" t="s">
        <v>543</v>
      </c>
      <c r="Y48" s="104"/>
      <c r="Z48" s="104" t="s">
        <v>542</v>
      </c>
      <c r="AA48" s="104" t="s">
        <v>543</v>
      </c>
      <c r="AB48" s="104"/>
      <c r="AC48" s="104" t="s">
        <v>542</v>
      </c>
      <c r="AD48" s="104" t="s">
        <v>543</v>
      </c>
      <c r="AH48" s="104" t="s">
        <v>649</v>
      </c>
      <c r="AI48" s="104" t="s">
        <v>546</v>
      </c>
      <c r="AJ48" s="104" t="s">
        <v>547</v>
      </c>
      <c r="AK48" s="104"/>
      <c r="AL48" s="104" t="s">
        <v>649</v>
      </c>
      <c r="AM48" s="104" t="s">
        <v>546</v>
      </c>
      <c r="AN48" s="104" t="s">
        <v>547</v>
      </c>
      <c r="AO48" s="104"/>
      <c r="AP48" s="104" t="s">
        <v>649</v>
      </c>
      <c r="AQ48" s="104" t="s">
        <v>546</v>
      </c>
      <c r="AR48" s="104" t="s">
        <v>547</v>
      </c>
      <c r="AS48" s="104"/>
      <c r="AT48" s="104" t="s">
        <v>649</v>
      </c>
      <c r="AU48" s="104" t="s">
        <v>546</v>
      </c>
      <c r="AV48" s="104" t="s">
        <v>547</v>
      </c>
    </row>
    <row r="49" spans="1:48" x14ac:dyDescent="0.35">
      <c r="D49">
        <v>0.35892000000000002</v>
      </c>
      <c r="E49">
        <v>0.75061</v>
      </c>
      <c r="G49">
        <v>0.38406000000000001</v>
      </c>
      <c r="H49">
        <v>0.83998000000000095</v>
      </c>
      <c r="J49">
        <v>0.2717</v>
      </c>
      <c r="K49">
        <v>0.67610999999999999</v>
      </c>
      <c r="M49">
        <v>0.30503999999999798</v>
      </c>
      <c r="N49">
        <v>0.798400000000001</v>
      </c>
      <c r="T49">
        <v>0.59518000000000004</v>
      </c>
      <c r="U49">
        <v>0.70294999999999996</v>
      </c>
      <c r="W49">
        <v>0.582479999999999</v>
      </c>
      <c r="X49">
        <v>0.80379999999999996</v>
      </c>
      <c r="Z49">
        <v>0.24193000000000001</v>
      </c>
      <c r="AA49">
        <v>0.64995999999999998</v>
      </c>
      <c r="AC49">
        <v>0.55380999999999903</v>
      </c>
      <c r="AD49">
        <v>0.79232999999999998</v>
      </c>
      <c r="AH49">
        <v>17</v>
      </c>
      <c r="AI49">
        <v>0.75255647058823505</v>
      </c>
      <c r="AJ49">
        <v>12.865740000000001</v>
      </c>
      <c r="AL49">
        <v>11</v>
      </c>
      <c r="AM49">
        <v>0.81394181818181799</v>
      </c>
      <c r="AN49">
        <v>8.9219899999999992</v>
      </c>
      <c r="AP49">
        <v>19</v>
      </c>
      <c r="AQ49">
        <v>0.66606473684210499</v>
      </c>
      <c r="AR49">
        <v>12.669700000000001</v>
      </c>
      <c r="AT49">
        <v>17</v>
      </c>
      <c r="AU49">
        <v>0.82873823529411805</v>
      </c>
      <c r="AV49">
        <v>14.048550000000001</v>
      </c>
    </row>
    <row r="50" spans="1:48" x14ac:dyDescent="0.35">
      <c r="D50">
        <v>0.42532000000000297</v>
      </c>
      <c r="E50">
        <v>0.744730000000001</v>
      </c>
      <c r="G50">
        <v>0.37226000000000098</v>
      </c>
      <c r="H50">
        <v>0.85955000000000104</v>
      </c>
      <c r="J50">
        <v>0.291129999999999</v>
      </c>
      <c r="K50">
        <v>0.68106999999999995</v>
      </c>
      <c r="M50">
        <v>0.30774999999999902</v>
      </c>
      <c r="N50">
        <v>0.84111000000000102</v>
      </c>
      <c r="T50">
        <v>0.61895999999999796</v>
      </c>
      <c r="U50">
        <v>0.76980999999999999</v>
      </c>
      <c r="W50">
        <v>0.51729999999999898</v>
      </c>
      <c r="X50">
        <v>0.82591999999999999</v>
      </c>
      <c r="Z50">
        <v>0.26107000000000002</v>
      </c>
      <c r="AA50">
        <v>0.66725999999999897</v>
      </c>
      <c r="AC50">
        <v>0.72825999999999902</v>
      </c>
      <c r="AD50">
        <v>0.82620000000000005</v>
      </c>
      <c r="AH50">
        <v>22</v>
      </c>
      <c r="AI50">
        <v>0.720200454545455</v>
      </c>
      <c r="AJ50">
        <v>15.786210000000001</v>
      </c>
      <c r="AL50">
        <v>15</v>
      </c>
      <c r="AM50">
        <v>0.82232400000000005</v>
      </c>
      <c r="AN50">
        <v>12.34299</v>
      </c>
      <c r="AP50">
        <v>23</v>
      </c>
      <c r="AQ50">
        <v>0.67072304347826095</v>
      </c>
      <c r="AR50">
        <v>15.46143</v>
      </c>
      <c r="AT50">
        <v>19</v>
      </c>
      <c r="AU50">
        <v>0.81666578947368396</v>
      </c>
      <c r="AV50">
        <v>15.524369999999999</v>
      </c>
    </row>
    <row r="51" spans="1:48" x14ac:dyDescent="0.35">
      <c r="A51" t="s">
        <v>77</v>
      </c>
      <c r="B51">
        <v>0.36199999999999999</v>
      </c>
      <c r="D51">
        <v>0.42874000000000101</v>
      </c>
      <c r="E51">
        <v>0.80634999999999801</v>
      </c>
      <c r="G51">
        <v>0.38007999999999997</v>
      </c>
      <c r="H51">
        <v>0.85924</v>
      </c>
      <c r="J51">
        <v>0.32811000000000201</v>
      </c>
      <c r="K51">
        <v>0.68325000000000102</v>
      </c>
      <c r="M51">
        <v>0.30818000000000001</v>
      </c>
      <c r="N51">
        <v>0.833820000000003</v>
      </c>
      <c r="Q51" t="s">
        <v>77</v>
      </c>
      <c r="R51">
        <v>0.44490000000000002</v>
      </c>
      <c r="T51">
        <v>0.54469999999999896</v>
      </c>
      <c r="U51">
        <v>0.66939000000000004</v>
      </c>
      <c r="W51">
        <v>0.53026999999999802</v>
      </c>
      <c r="X51">
        <v>0.82199</v>
      </c>
      <c r="Z51">
        <v>0.497219999999999</v>
      </c>
      <c r="AA51">
        <v>0.63998000000000099</v>
      </c>
      <c r="AC51">
        <v>0.24107999999999699</v>
      </c>
      <c r="AD51">
        <v>0.76803999999999895</v>
      </c>
      <c r="AH51">
        <v>16</v>
      </c>
      <c r="AI51">
        <v>0.74241999999999997</v>
      </c>
      <c r="AJ51">
        <v>11.81574</v>
      </c>
      <c r="AL51">
        <v>12</v>
      </c>
      <c r="AM51">
        <v>0.81147749999999996</v>
      </c>
      <c r="AN51">
        <v>9.7771100000000093</v>
      </c>
      <c r="AP51">
        <v>19</v>
      </c>
      <c r="AQ51">
        <v>0.66925999999999997</v>
      </c>
      <c r="AR51">
        <v>12.684710000000001</v>
      </c>
      <c r="AT51">
        <v>18</v>
      </c>
      <c r="AU51">
        <v>0.81748666666666703</v>
      </c>
      <c r="AV51">
        <v>14.75793</v>
      </c>
    </row>
    <row r="52" spans="1:48" x14ac:dyDescent="0.35">
      <c r="A52" t="s">
        <v>94</v>
      </c>
      <c r="B52">
        <v>5.6899999999999999E-2</v>
      </c>
      <c r="D52">
        <v>0.36180000000000201</v>
      </c>
      <c r="E52">
        <v>0.80239000000000305</v>
      </c>
      <c r="G52">
        <v>0.37742000000000098</v>
      </c>
      <c r="H52">
        <v>0.81720000000000004</v>
      </c>
      <c r="J52">
        <v>0.28591999999999701</v>
      </c>
      <c r="K52">
        <v>0.67229000000000405</v>
      </c>
      <c r="M52">
        <v>0.36466000000000098</v>
      </c>
      <c r="N52">
        <v>0.84713000000000704</v>
      </c>
      <c r="Q52" t="s">
        <v>94</v>
      </c>
      <c r="R52">
        <v>0.13569999999999999</v>
      </c>
      <c r="T52">
        <v>0.361790000000006</v>
      </c>
      <c r="U52">
        <v>0.74349000000000098</v>
      </c>
      <c r="W52">
        <v>0.38561000000000001</v>
      </c>
      <c r="X52">
        <v>0.82904999999999496</v>
      </c>
      <c r="Z52">
        <v>0.33628999999999798</v>
      </c>
      <c r="AA52">
        <v>0.63138000000000005</v>
      </c>
      <c r="AC52">
        <v>0.56959000000000504</v>
      </c>
      <c r="AD52">
        <v>0.78142999999999996</v>
      </c>
      <c r="AH52">
        <v>24</v>
      </c>
      <c r="AI52">
        <v>0.71028291666666699</v>
      </c>
      <c r="AJ52">
        <v>17.113959999999999</v>
      </c>
      <c r="AL52">
        <v>12</v>
      </c>
      <c r="AM52">
        <v>0.82081833333333298</v>
      </c>
      <c r="AN52">
        <v>9.8384</v>
      </c>
      <c r="AP52">
        <v>22</v>
      </c>
      <c r="AQ52">
        <v>0.67296045454545494</v>
      </c>
      <c r="AR52">
        <v>14.815899999999999</v>
      </c>
      <c r="AT52">
        <v>17</v>
      </c>
      <c r="AU52">
        <v>0.799818235294117</v>
      </c>
      <c r="AV52">
        <v>13.62006</v>
      </c>
    </row>
    <row r="53" spans="1:48" x14ac:dyDescent="0.35">
      <c r="A53" t="s">
        <v>685</v>
      </c>
      <c r="B53">
        <f>B52/B51</f>
        <v>0.15718232044198896</v>
      </c>
      <c r="D53">
        <v>0.38208999999999799</v>
      </c>
      <c r="E53">
        <v>0.75551000000000101</v>
      </c>
      <c r="G53">
        <v>0.38271000000000299</v>
      </c>
      <c r="H53">
        <v>0.83391000000000304</v>
      </c>
      <c r="J53">
        <v>0.32525000000000398</v>
      </c>
      <c r="K53">
        <v>0.70085000000000297</v>
      </c>
      <c r="M53">
        <v>0.34874999999999501</v>
      </c>
      <c r="N53">
        <v>0.80807000000000095</v>
      </c>
      <c r="Q53" t="s">
        <v>685</v>
      </c>
      <c r="R53">
        <f>R52/R51</f>
        <v>0.30501236232861312</v>
      </c>
      <c r="T53">
        <v>0.41352000000000499</v>
      </c>
      <c r="U53">
        <v>0.75127000000000499</v>
      </c>
      <c r="W53">
        <v>0.32513000000000197</v>
      </c>
      <c r="X53">
        <v>0.82701000000000102</v>
      </c>
      <c r="Z53">
        <v>0.34886999999999802</v>
      </c>
      <c r="AA53">
        <v>0.65422999999999798</v>
      </c>
      <c r="AC53">
        <v>0.44329000000000501</v>
      </c>
      <c r="AD53">
        <v>0.83357999999999799</v>
      </c>
      <c r="AH53">
        <v>14</v>
      </c>
      <c r="AI53">
        <v>0.71952357142857104</v>
      </c>
      <c r="AJ53">
        <v>10.095549999999999</v>
      </c>
      <c r="AL53">
        <v>17</v>
      </c>
      <c r="AM53">
        <v>0.83303823529411702</v>
      </c>
      <c r="AN53">
        <v>14.10628</v>
      </c>
      <c r="AP53">
        <v>20</v>
      </c>
      <c r="AQ53">
        <v>0.67074250000000002</v>
      </c>
      <c r="AR53">
        <v>13.49933</v>
      </c>
      <c r="AT53">
        <v>20</v>
      </c>
      <c r="AU53">
        <v>0.8077725</v>
      </c>
      <c r="AV53">
        <v>16.06972</v>
      </c>
    </row>
    <row r="54" spans="1:48" x14ac:dyDescent="0.35">
      <c r="A54" t="s">
        <v>679</v>
      </c>
      <c r="D54">
        <v>0.47854999999999898</v>
      </c>
      <c r="E54">
        <v>0.82974999999999</v>
      </c>
      <c r="G54">
        <v>0.37762000000000001</v>
      </c>
      <c r="H54">
        <v>0.88418999999999703</v>
      </c>
      <c r="J54">
        <v>0.368949999999998</v>
      </c>
      <c r="K54">
        <v>0.66006999999999005</v>
      </c>
      <c r="M54">
        <v>0.313500000000005</v>
      </c>
      <c r="N54">
        <v>0.85855000000000803</v>
      </c>
      <c r="Q54" t="s">
        <v>679</v>
      </c>
      <c r="T54">
        <v>0.47409999999999303</v>
      </c>
      <c r="U54">
        <v>0.73232000000000097</v>
      </c>
      <c r="W54">
        <v>0.39159000000000099</v>
      </c>
      <c r="X54">
        <v>0.82264000000000004</v>
      </c>
      <c r="Z54">
        <v>0.21089999999999501</v>
      </c>
      <c r="AA54">
        <v>0.635539999999992</v>
      </c>
      <c r="AC54">
        <v>0.56660999999999695</v>
      </c>
      <c r="AD54">
        <v>0.82416999999999496</v>
      </c>
      <c r="AH54">
        <v>31</v>
      </c>
      <c r="AI54">
        <v>0.69283967741935504</v>
      </c>
      <c r="AJ54">
        <v>21.45299</v>
      </c>
      <c r="AL54">
        <v>12</v>
      </c>
      <c r="AM54">
        <v>0.8313275</v>
      </c>
      <c r="AN54">
        <v>10.028650000000001</v>
      </c>
      <c r="AP54">
        <v>20</v>
      </c>
      <c r="AQ54">
        <v>0.67301949999999999</v>
      </c>
      <c r="AR54">
        <v>13.3498</v>
      </c>
      <c r="AT54">
        <v>18</v>
      </c>
      <c r="AU54">
        <v>0.80489611111111103</v>
      </c>
      <c r="AV54">
        <v>14.499040000000001</v>
      </c>
    </row>
    <row r="55" spans="1:48" x14ac:dyDescent="0.35">
      <c r="A55" t="s">
        <v>680</v>
      </c>
      <c r="B55">
        <v>0.43669999999999998</v>
      </c>
      <c r="D55">
        <v>0.38367999999999802</v>
      </c>
      <c r="E55">
        <v>0.75991999999999404</v>
      </c>
      <c r="G55">
        <v>0.36669000000000601</v>
      </c>
      <c r="H55">
        <v>0.82054000000000804</v>
      </c>
      <c r="J55">
        <v>0.27242000000001099</v>
      </c>
      <c r="K55">
        <v>0.674130000000005</v>
      </c>
      <c r="M55">
        <v>0.27844000000000302</v>
      </c>
      <c r="N55">
        <v>0.81257999999999697</v>
      </c>
      <c r="Q55" t="s">
        <v>680</v>
      </c>
      <c r="R55">
        <v>2.5999999999999999E-3</v>
      </c>
      <c r="T55">
        <v>0.44341000000000003</v>
      </c>
      <c r="U55">
        <v>0.72688999999999704</v>
      </c>
      <c r="W55">
        <v>0.378050000000002</v>
      </c>
      <c r="X55">
        <v>0.81346999999999503</v>
      </c>
      <c r="Z55">
        <v>0.37130999999999398</v>
      </c>
      <c r="AA55">
        <v>0.668570000000003</v>
      </c>
      <c r="AC55">
        <v>0.23220000000000601</v>
      </c>
      <c r="AD55">
        <v>0.78758000000000605</v>
      </c>
      <c r="AH55">
        <v>15</v>
      </c>
      <c r="AI55">
        <v>0.71480733333333302</v>
      </c>
      <c r="AJ55">
        <v>10.62729</v>
      </c>
      <c r="AL55">
        <v>19</v>
      </c>
      <c r="AM55">
        <v>0.82854210526315797</v>
      </c>
      <c r="AN55">
        <v>15.72198</v>
      </c>
      <c r="AP55">
        <v>28</v>
      </c>
      <c r="AQ55">
        <v>0.67410178571428603</v>
      </c>
      <c r="AR55">
        <v>18.87368</v>
      </c>
    </row>
    <row r="56" spans="1:48" x14ac:dyDescent="0.35">
      <c r="A56" t="s">
        <v>681</v>
      </c>
      <c r="B56">
        <v>0.4385</v>
      </c>
      <c r="D56">
        <v>0.374840000000006</v>
      </c>
      <c r="E56">
        <v>0.84589999999999999</v>
      </c>
      <c r="G56">
        <v>0.36495000000000699</v>
      </c>
      <c r="H56">
        <v>0.83912000000000797</v>
      </c>
      <c r="J56">
        <v>0.28733999999999998</v>
      </c>
      <c r="K56">
        <v>0.69021999999999695</v>
      </c>
      <c r="Q56" t="s">
        <v>681</v>
      </c>
      <c r="R56">
        <v>2.7000000000000001E-3</v>
      </c>
      <c r="T56">
        <v>0.37479999999999303</v>
      </c>
      <c r="U56">
        <v>0.74145000000000005</v>
      </c>
      <c r="W56">
        <v>0.50818999999999903</v>
      </c>
      <c r="X56">
        <v>0.83180000000000098</v>
      </c>
      <c r="Z56">
        <v>0.21219000000000701</v>
      </c>
      <c r="AA56">
        <v>0.66393000000000801</v>
      </c>
      <c r="AH56">
        <v>22</v>
      </c>
      <c r="AI56">
        <v>0.73632772727272799</v>
      </c>
      <c r="AJ56">
        <v>16.620819999999998</v>
      </c>
      <c r="AL56">
        <v>12</v>
      </c>
      <c r="AM56">
        <v>0.83477000000000001</v>
      </c>
      <c r="AN56">
        <v>10.043810000000001</v>
      </c>
      <c r="AP56">
        <v>20</v>
      </c>
      <c r="AQ56">
        <v>0.67281199999999997</v>
      </c>
      <c r="AR56">
        <v>13.44918</v>
      </c>
    </row>
    <row r="57" spans="1:48" x14ac:dyDescent="0.35">
      <c r="A57" t="s">
        <v>682</v>
      </c>
      <c r="B57">
        <v>1.4999999999999999E-2</v>
      </c>
      <c r="D57">
        <v>0.55460999999999705</v>
      </c>
      <c r="E57">
        <v>0.60406000000000404</v>
      </c>
      <c r="G57">
        <v>0.36493000000000098</v>
      </c>
      <c r="H57">
        <v>0.81253000000000997</v>
      </c>
      <c r="J57">
        <v>0.27608999999999601</v>
      </c>
      <c r="K57">
        <v>0.68603000000000203</v>
      </c>
      <c r="Q57" t="s">
        <v>682</v>
      </c>
      <c r="R57">
        <v>0.20300000000000001</v>
      </c>
      <c r="T57">
        <v>0.63469999999999505</v>
      </c>
      <c r="U57">
        <v>0.79097000000000195</v>
      </c>
      <c r="W57">
        <v>0.62919999999999698</v>
      </c>
      <c r="X57">
        <v>0.78717000000000303</v>
      </c>
      <c r="AH57">
        <v>32</v>
      </c>
      <c r="AI57">
        <v>0.77094937500000005</v>
      </c>
      <c r="AJ57">
        <v>24.341149999999999</v>
      </c>
      <c r="AL57">
        <v>19</v>
      </c>
      <c r="AM57">
        <v>0.83488105263157897</v>
      </c>
      <c r="AN57">
        <v>15.867990000000001</v>
      </c>
    </row>
    <row r="58" spans="1:48" x14ac:dyDescent="0.35">
      <c r="A58" t="s">
        <v>683</v>
      </c>
      <c r="B58">
        <v>0.1227</v>
      </c>
      <c r="D58">
        <v>0.383440000000007</v>
      </c>
      <c r="E58">
        <v>0.76212000000001001</v>
      </c>
      <c r="G58">
        <v>0.39807000000000398</v>
      </c>
      <c r="H58">
        <v>0.84042000000000905</v>
      </c>
      <c r="Q58" t="s">
        <v>683</v>
      </c>
      <c r="R58">
        <v>0.4506</v>
      </c>
      <c r="T58">
        <v>0.47306999999997901</v>
      </c>
      <c r="U58">
        <v>0.69535999999999398</v>
      </c>
      <c r="W58">
        <v>0.58306000000000302</v>
      </c>
      <c r="X58">
        <v>0.81283999999999401</v>
      </c>
      <c r="AH58">
        <v>16</v>
      </c>
      <c r="AI58">
        <v>0.77199124999999902</v>
      </c>
      <c r="AJ58">
        <v>12.29518</v>
      </c>
    </row>
    <row r="59" spans="1:48" x14ac:dyDescent="0.35">
      <c r="D59">
        <v>0.37892999999999699</v>
      </c>
      <c r="E59">
        <v>0.81428999999999996</v>
      </c>
      <c r="T59">
        <v>0.46174000000002002</v>
      </c>
      <c r="U59">
        <v>0.74092000000001701</v>
      </c>
      <c r="AH59">
        <v>25</v>
      </c>
      <c r="AI59">
        <v>0.76544959999999995</v>
      </c>
      <c r="AJ59">
        <v>19.158550000000002</v>
      </c>
    </row>
    <row r="60" spans="1:48" x14ac:dyDescent="0.35">
      <c r="D60">
        <v>0.39199999999999602</v>
      </c>
      <c r="E60">
        <v>0.80504999999999405</v>
      </c>
      <c r="T60">
        <v>0.349140000000006</v>
      </c>
      <c r="U60">
        <v>0.63182000000000504</v>
      </c>
      <c r="AH60">
        <v>18</v>
      </c>
      <c r="AI60">
        <v>0.76296888888888903</v>
      </c>
      <c r="AJ60">
        <v>13.768330000000001</v>
      </c>
    </row>
    <row r="61" spans="1:48" x14ac:dyDescent="0.35">
      <c r="D61">
        <v>0.40881000000001699</v>
      </c>
      <c r="E61">
        <v>0.78696999999999695</v>
      </c>
      <c r="T61">
        <v>0.435410000000019</v>
      </c>
      <c r="U61">
        <v>0.73983000000001198</v>
      </c>
      <c r="AH61">
        <v>23</v>
      </c>
      <c r="AI61">
        <v>0.77229869565217502</v>
      </c>
      <c r="AJ61">
        <v>17.734500000000001</v>
      </c>
    </row>
    <row r="62" spans="1:48" x14ac:dyDescent="0.35">
      <c r="D62">
        <v>0.40815000000000601</v>
      </c>
      <c r="E62">
        <v>0.81468000000000995</v>
      </c>
      <c r="T62">
        <v>0.65245999999999105</v>
      </c>
      <c r="U62">
        <v>0.76654999999999496</v>
      </c>
      <c r="AH62">
        <v>17</v>
      </c>
      <c r="AI62">
        <v>0.76295411764705801</v>
      </c>
      <c r="AJ62">
        <v>13.06953</v>
      </c>
    </row>
    <row r="63" spans="1:48" x14ac:dyDescent="0.35">
      <c r="D63">
        <v>0.40511999999998199</v>
      </c>
      <c r="E63">
        <v>0.71233999999998299</v>
      </c>
      <c r="T63">
        <v>0.317120000000017</v>
      </c>
      <c r="U63">
        <v>0.73545000000001404</v>
      </c>
      <c r="AH63">
        <v>24</v>
      </c>
      <c r="AI63">
        <v>0.756338333333333</v>
      </c>
      <c r="AJ63">
        <v>18.116959999999999</v>
      </c>
    </row>
    <row r="64" spans="1:48" x14ac:dyDescent="0.35">
      <c r="D64">
        <v>0.37823000000000201</v>
      </c>
      <c r="E64">
        <v>0.72060999999999398</v>
      </c>
      <c r="AG64" t="s">
        <v>77</v>
      </c>
      <c r="AH64">
        <f>AVERAGE(AH49:AH63)</f>
        <v>21.066666666666666</v>
      </c>
      <c r="AI64">
        <f t="shared" ref="AI64:AJ64" si="11">AVERAGE(AI49:AI63)</f>
        <v>0.74346056078505318</v>
      </c>
      <c r="AJ64">
        <f t="shared" si="11"/>
        <v>15.657499999999997</v>
      </c>
      <c r="AL64">
        <f>AVERAGE(AL49:AL63)</f>
        <v>14.333333333333334</v>
      </c>
      <c r="AM64">
        <f t="shared" ref="AM64" si="12">AVERAGE(AM49:AM63)</f>
        <v>0.82568006052266729</v>
      </c>
      <c r="AN64">
        <f t="shared" ref="AN64" si="13">AVERAGE(AN49:AN63)</f>
        <v>11.849911111111114</v>
      </c>
      <c r="AP64">
        <f>AVERAGE(AP49:AP63)</f>
        <v>21.375</v>
      </c>
      <c r="AQ64">
        <f t="shared" ref="AQ64" si="14">AVERAGE(AQ49:AQ63)</f>
        <v>0.67121050257251325</v>
      </c>
      <c r="AR64">
        <f t="shared" ref="AR64" si="15">AVERAGE(AR49:AR63)</f>
        <v>14.350466249999998</v>
      </c>
      <c r="AT64">
        <f>AVERAGE(AT49:AT63)</f>
        <v>18.166666666666668</v>
      </c>
      <c r="AU64">
        <f t="shared" ref="AU64" si="16">AVERAGE(AU49:AU63)</f>
        <v>0.81256292297328281</v>
      </c>
      <c r="AV64">
        <f t="shared" ref="AV64" si="17">AVERAGE(AV49:AV63)</f>
        <v>14.753278333333332</v>
      </c>
    </row>
    <row r="65" spans="1:48" x14ac:dyDescent="0.35">
      <c r="AG65" t="s">
        <v>94</v>
      </c>
      <c r="AH65">
        <f>_xlfn.STDEV.S(AH49:AH63)</f>
        <v>5.5865484701668713</v>
      </c>
      <c r="AI65">
        <f t="shared" ref="AI65:AJ65" si="18">_xlfn.STDEV.S(AI49:AI63)</f>
        <v>2.6109859461634174E-2</v>
      </c>
      <c r="AJ65">
        <f t="shared" si="18"/>
        <v>4.0974088040823498</v>
      </c>
      <c r="AL65">
        <f>_xlfn.STDEV.S(AL49:AL63)</f>
        <v>3.2403703492039302</v>
      </c>
      <c r="AM65">
        <f t="shared" ref="AM65:AN65" si="19">_xlfn.STDEV.S(AM49:AM63)</f>
        <v>8.9156565683043369E-3</v>
      </c>
      <c r="AN65">
        <f t="shared" si="19"/>
        <v>2.7378504222904629</v>
      </c>
      <c r="AP65">
        <f>_xlfn.STDEV.S(AP49:AP63)</f>
        <v>3.0207614933986431</v>
      </c>
      <c r="AQ65">
        <f t="shared" ref="AQ65:AR65" si="20">_xlfn.STDEV.S(AQ49:AQ63)</f>
        <v>2.6185907832397049E-3</v>
      </c>
      <c r="AR65">
        <f t="shared" si="20"/>
        <v>2.0718567757168858</v>
      </c>
      <c r="AT65">
        <f>_xlfn.STDEV.S(AT49:AT63)</f>
        <v>1.1690451944500122</v>
      </c>
      <c r="AU65">
        <f t="shared" ref="AU65:AV65" si="21">_xlfn.STDEV.S(AU49:AU63)</f>
        <v>1.0458228478926952E-2</v>
      </c>
      <c r="AV65">
        <f t="shared" si="21"/>
        <v>0.91357381782572233</v>
      </c>
    </row>
    <row r="70" spans="1:48" ht="18.5" x14ac:dyDescent="0.45">
      <c r="H70" s="192" t="s">
        <v>544</v>
      </c>
      <c r="X70" s="192" t="s">
        <v>545</v>
      </c>
      <c r="AH70" s="139" t="s">
        <v>380</v>
      </c>
      <c r="AM70" s="192" t="s">
        <v>556</v>
      </c>
    </row>
    <row r="71" spans="1:48" x14ac:dyDescent="0.35">
      <c r="AH71" s="104" t="s">
        <v>383</v>
      </c>
    </row>
    <row r="72" spans="1:48" x14ac:dyDescent="0.35">
      <c r="C72" s="139" t="s">
        <v>380</v>
      </c>
      <c r="D72" s="139" t="s">
        <v>0</v>
      </c>
      <c r="E72" s="139"/>
      <c r="F72" s="139"/>
      <c r="G72" s="139" t="s">
        <v>91</v>
      </c>
      <c r="J72" s="139" t="s">
        <v>86</v>
      </c>
      <c r="M72" s="139" t="s">
        <v>92</v>
      </c>
      <c r="S72" s="139" t="s">
        <v>380</v>
      </c>
      <c r="T72" s="139" t="s">
        <v>0</v>
      </c>
      <c r="U72" s="139"/>
      <c r="V72" s="139"/>
      <c r="W72" s="139" t="s">
        <v>91</v>
      </c>
      <c r="Z72" s="139" t="s">
        <v>86</v>
      </c>
      <c r="AC72" s="139" t="s">
        <v>92</v>
      </c>
      <c r="AI72" s="139" t="s">
        <v>0</v>
      </c>
      <c r="AJ72" s="139"/>
      <c r="AK72" s="139"/>
      <c r="AM72" s="139" t="s">
        <v>91</v>
      </c>
      <c r="AQ72" s="139" t="s">
        <v>86</v>
      </c>
      <c r="AU72" s="139" t="s">
        <v>92</v>
      </c>
    </row>
    <row r="73" spans="1:48" x14ac:dyDescent="0.35">
      <c r="C73" s="104" t="s">
        <v>383</v>
      </c>
      <c r="D73" s="104" t="s">
        <v>542</v>
      </c>
      <c r="E73" s="104" t="s">
        <v>543</v>
      </c>
      <c r="F73" s="104"/>
      <c r="G73" s="104" t="s">
        <v>542</v>
      </c>
      <c r="H73" s="104" t="s">
        <v>543</v>
      </c>
      <c r="I73" s="104"/>
      <c r="J73" s="104" t="s">
        <v>542</v>
      </c>
      <c r="K73" s="104" t="s">
        <v>543</v>
      </c>
      <c r="L73" s="104"/>
      <c r="M73" s="104" t="s">
        <v>542</v>
      </c>
      <c r="N73" s="104" t="s">
        <v>543</v>
      </c>
      <c r="S73" s="104" t="s">
        <v>383</v>
      </c>
      <c r="T73" s="104" t="s">
        <v>542</v>
      </c>
      <c r="U73" s="104" t="s">
        <v>543</v>
      </c>
      <c r="V73" s="104"/>
      <c r="W73" s="104" t="s">
        <v>542</v>
      </c>
      <c r="X73" s="104" t="s">
        <v>543</v>
      </c>
      <c r="Y73" s="104"/>
      <c r="Z73" s="104" t="s">
        <v>542</v>
      </c>
      <c r="AA73" s="104" t="s">
        <v>543</v>
      </c>
      <c r="AB73" s="104"/>
      <c r="AC73" s="104" t="s">
        <v>542</v>
      </c>
      <c r="AD73" s="104" t="s">
        <v>543</v>
      </c>
      <c r="AH73" s="104" t="s">
        <v>649</v>
      </c>
      <c r="AI73" s="104" t="s">
        <v>546</v>
      </c>
      <c r="AJ73" s="104" t="s">
        <v>547</v>
      </c>
      <c r="AK73" s="104"/>
      <c r="AL73" s="104" t="s">
        <v>649</v>
      </c>
      <c r="AM73" s="104" t="s">
        <v>546</v>
      </c>
      <c r="AN73" s="104" t="s">
        <v>547</v>
      </c>
      <c r="AO73" s="104"/>
      <c r="AP73" s="104" t="s">
        <v>649</v>
      </c>
      <c r="AQ73" s="104" t="s">
        <v>546</v>
      </c>
      <c r="AR73" s="104" t="s">
        <v>547</v>
      </c>
      <c r="AS73" s="104"/>
      <c r="AT73" s="104" t="s">
        <v>649</v>
      </c>
      <c r="AU73" s="104" t="s">
        <v>546</v>
      </c>
      <c r="AV73" s="104" t="s">
        <v>547</v>
      </c>
    </row>
    <row r="74" spans="1:48" x14ac:dyDescent="0.35">
      <c r="D74">
        <v>0.45869000000000099</v>
      </c>
      <c r="E74">
        <v>1.3852500000000001</v>
      </c>
      <c r="G74">
        <v>0.47776999999999997</v>
      </c>
      <c r="H74">
        <v>1.1614599999999999</v>
      </c>
      <c r="J74">
        <v>0.44060000000000099</v>
      </c>
      <c r="K74">
        <v>0.88721000000000105</v>
      </c>
      <c r="M74">
        <v>0.430340000000001</v>
      </c>
      <c r="N74">
        <v>0.98807999999999996</v>
      </c>
      <c r="T74">
        <v>1.0014799999999999</v>
      </c>
      <c r="U74">
        <v>1.35684</v>
      </c>
      <c r="W74">
        <v>0.77078000000000002</v>
      </c>
      <c r="X74">
        <v>1.1652199999999999</v>
      </c>
      <c r="Z74">
        <v>0.55767</v>
      </c>
      <c r="AA74">
        <v>0.88967999999999903</v>
      </c>
      <c r="AC74">
        <v>0.79267000000000098</v>
      </c>
      <c r="AD74">
        <v>0.97853999999999897</v>
      </c>
      <c r="AH74">
        <v>9</v>
      </c>
      <c r="AI74">
        <v>1.3787722222222201</v>
      </c>
      <c r="AJ74">
        <v>12.234360000000001</v>
      </c>
      <c r="AL74">
        <v>7</v>
      </c>
      <c r="AM74">
        <v>1.14430285714286</v>
      </c>
      <c r="AN74">
        <v>7.9977900000000002</v>
      </c>
      <c r="AP74">
        <v>11</v>
      </c>
      <c r="AQ74">
        <v>0.89236000000000004</v>
      </c>
      <c r="AR74">
        <v>9.8259000000000007</v>
      </c>
      <c r="AT74">
        <v>14</v>
      </c>
      <c r="AU74">
        <v>0.99442928571428602</v>
      </c>
      <c r="AV74">
        <v>13.84563</v>
      </c>
    </row>
    <row r="75" spans="1:48" x14ac:dyDescent="0.35">
      <c r="D75">
        <v>0.47204000000000002</v>
      </c>
      <c r="E75">
        <v>1.3974</v>
      </c>
      <c r="G75">
        <v>0.46090999999999799</v>
      </c>
      <c r="H75">
        <v>1.15693</v>
      </c>
      <c r="J75">
        <v>0.44802999999999898</v>
      </c>
      <c r="K75">
        <v>0.88469999999999904</v>
      </c>
      <c r="M75">
        <v>0.39040000000000002</v>
      </c>
      <c r="N75">
        <v>1.0245200000000001</v>
      </c>
      <c r="T75">
        <v>0.76335000000000097</v>
      </c>
      <c r="U75">
        <v>1.35419</v>
      </c>
      <c r="W75">
        <v>0.44407000000000002</v>
      </c>
      <c r="X75">
        <v>1.16625</v>
      </c>
      <c r="Z75">
        <v>0.60513999999999901</v>
      </c>
      <c r="AA75">
        <v>0.940939999999998</v>
      </c>
      <c r="AC75">
        <v>0.71285000000000298</v>
      </c>
      <c r="AD75">
        <v>1.0151399999999999</v>
      </c>
      <c r="AH75">
        <v>7</v>
      </c>
      <c r="AI75">
        <v>1.36398142857143</v>
      </c>
      <c r="AJ75">
        <v>9.5490700000000004</v>
      </c>
      <c r="AL75">
        <v>6</v>
      </c>
      <c r="AM75">
        <v>1.12967333333333</v>
      </c>
      <c r="AN75">
        <v>6.7805200000000001</v>
      </c>
      <c r="AP75">
        <v>14</v>
      </c>
      <c r="AQ75">
        <v>0.89370928571428598</v>
      </c>
      <c r="AR75">
        <v>12.49818</v>
      </c>
      <c r="AT75">
        <v>14</v>
      </c>
      <c r="AU75">
        <v>1.0069614285714299</v>
      </c>
      <c r="AV75">
        <v>14.12036</v>
      </c>
    </row>
    <row r="76" spans="1:48" x14ac:dyDescent="0.35">
      <c r="A76" t="s">
        <v>77</v>
      </c>
      <c r="B76">
        <v>0.43930000000000002</v>
      </c>
      <c r="D76">
        <v>0.45787999999999901</v>
      </c>
      <c r="E76">
        <v>1.3456399999999999</v>
      </c>
      <c r="G76">
        <v>0.42426999999999998</v>
      </c>
      <c r="H76">
        <v>1.11781</v>
      </c>
      <c r="J76">
        <v>0.44135000000000002</v>
      </c>
      <c r="K76">
        <v>0.89176999999999795</v>
      </c>
      <c r="M76">
        <v>0.380330000000001</v>
      </c>
      <c r="N76">
        <v>0.99155000000000404</v>
      </c>
      <c r="Q76" t="s">
        <v>77</v>
      </c>
      <c r="R76">
        <v>0.66169999999999995</v>
      </c>
      <c r="T76">
        <v>0.83566000000000096</v>
      </c>
      <c r="U76">
        <v>1.37294</v>
      </c>
      <c r="W76">
        <v>0.61991000000000096</v>
      </c>
      <c r="X76">
        <v>1.13157</v>
      </c>
      <c r="Z76">
        <v>0.60924</v>
      </c>
      <c r="AA76">
        <v>0.91182999999999503</v>
      </c>
      <c r="AC76">
        <v>0.76301999999999703</v>
      </c>
      <c r="AD76">
        <v>1.0212000000000001</v>
      </c>
      <c r="AH76">
        <v>6</v>
      </c>
      <c r="AI76">
        <v>1.3550233333333299</v>
      </c>
      <c r="AJ76">
        <v>8.1677400000000002</v>
      </c>
      <c r="AL76">
        <v>7</v>
      </c>
      <c r="AM76">
        <v>1.11120142857143</v>
      </c>
      <c r="AN76">
        <v>7.7940100000000001</v>
      </c>
      <c r="AP76">
        <v>12</v>
      </c>
      <c r="AQ76">
        <v>0.895386666666667</v>
      </c>
      <c r="AR76">
        <v>10.671329999999999</v>
      </c>
      <c r="AT76">
        <v>14</v>
      </c>
      <c r="AU76">
        <v>1.009725</v>
      </c>
      <c r="AV76">
        <v>14.151249999999999</v>
      </c>
    </row>
    <row r="77" spans="1:48" x14ac:dyDescent="0.35">
      <c r="A77" t="s">
        <v>94</v>
      </c>
      <c r="B77">
        <v>3.61E-2</v>
      </c>
      <c r="D77">
        <v>0.475189999999998</v>
      </c>
      <c r="E77">
        <v>1.3629</v>
      </c>
      <c r="G77">
        <v>0.42500000000000099</v>
      </c>
      <c r="H77">
        <v>1.10294</v>
      </c>
      <c r="J77">
        <v>0.36986000000000302</v>
      </c>
      <c r="K77">
        <v>0.89359000000000299</v>
      </c>
      <c r="M77">
        <v>0.39529000000000297</v>
      </c>
      <c r="N77">
        <v>0.99141000000000201</v>
      </c>
      <c r="Q77" t="s">
        <v>94</v>
      </c>
      <c r="R77">
        <v>0.15959999999999999</v>
      </c>
      <c r="T77">
        <v>0.65111999999999903</v>
      </c>
      <c r="U77">
        <v>1.2971699999999999</v>
      </c>
      <c r="W77">
        <v>0.441379999999999</v>
      </c>
      <c r="X77">
        <v>1.1430400000000001</v>
      </c>
      <c r="Z77">
        <v>1.4800000000008101E-3</v>
      </c>
      <c r="AA77">
        <v>0.89949000000000001</v>
      </c>
      <c r="AC77">
        <v>0.70518999999998799</v>
      </c>
      <c r="AD77">
        <v>0.99450999999999101</v>
      </c>
      <c r="AH77">
        <v>8</v>
      </c>
      <c r="AI77">
        <v>1.3638662500000001</v>
      </c>
      <c r="AJ77">
        <v>10.91098</v>
      </c>
      <c r="AL77">
        <v>7</v>
      </c>
      <c r="AM77">
        <v>1.0884328571428601</v>
      </c>
      <c r="AN77">
        <v>7.6350100000000003</v>
      </c>
      <c r="AP77">
        <v>10</v>
      </c>
      <c r="AQ77">
        <v>0.88731300000000002</v>
      </c>
      <c r="AR77">
        <v>8.9597800000000003</v>
      </c>
      <c r="AT77">
        <v>16</v>
      </c>
      <c r="AU77">
        <v>1.00949625</v>
      </c>
      <c r="AV77">
        <v>16.150539999999999</v>
      </c>
    </row>
    <row r="78" spans="1:48" x14ac:dyDescent="0.35">
      <c r="A78" t="s">
        <v>685</v>
      </c>
      <c r="B78">
        <f>B77/B76</f>
        <v>8.2176189392214882E-2</v>
      </c>
      <c r="D78">
        <v>0.455089999999998</v>
      </c>
      <c r="E78">
        <v>1.33734</v>
      </c>
      <c r="G78">
        <v>0.426730000000003</v>
      </c>
      <c r="H78">
        <v>1.0886899999999999</v>
      </c>
      <c r="J78">
        <v>0.43723000000000001</v>
      </c>
      <c r="K78">
        <v>0.87431000000000103</v>
      </c>
      <c r="M78">
        <v>0.40233999999999498</v>
      </c>
      <c r="N78">
        <v>0.99985999999999797</v>
      </c>
      <c r="Q78" t="s">
        <v>685</v>
      </c>
      <c r="R78">
        <f>R77/R76</f>
        <v>0.24119691703188756</v>
      </c>
      <c r="T78">
        <v>0.89992999999999801</v>
      </c>
      <c r="U78">
        <v>1.33049</v>
      </c>
      <c r="W78">
        <v>0.48127999999999799</v>
      </c>
      <c r="X78">
        <v>1.1128100000000001</v>
      </c>
      <c r="Z78">
        <v>0.61545999999999901</v>
      </c>
      <c r="AA78">
        <v>0.89596999999999805</v>
      </c>
      <c r="AC78">
        <v>0.38873999999999898</v>
      </c>
      <c r="AD78">
        <v>0.99054999999999904</v>
      </c>
      <c r="AH78">
        <v>7</v>
      </c>
      <c r="AI78">
        <v>1.3650742857142799</v>
      </c>
      <c r="AJ78">
        <v>9.5609800000000007</v>
      </c>
      <c r="AL78">
        <v>6</v>
      </c>
      <c r="AM78">
        <v>1.0803733333333301</v>
      </c>
      <c r="AN78">
        <v>6.5205000000000002</v>
      </c>
      <c r="AP78">
        <v>11</v>
      </c>
      <c r="AQ78">
        <v>0.90204272727272805</v>
      </c>
      <c r="AR78">
        <v>9.8794500000000092</v>
      </c>
      <c r="AT78">
        <v>14</v>
      </c>
      <c r="AU78">
        <v>1.0018942857142901</v>
      </c>
      <c r="AV78">
        <v>14.021140000000001</v>
      </c>
    </row>
    <row r="79" spans="1:48" x14ac:dyDescent="0.35">
      <c r="A79" t="s">
        <v>679</v>
      </c>
      <c r="D79">
        <v>0.46456999999999499</v>
      </c>
      <c r="E79">
        <v>1.32570999999999</v>
      </c>
      <c r="G79">
        <v>0.451050000000002</v>
      </c>
      <c r="H79">
        <v>1.0747500000000001</v>
      </c>
      <c r="J79">
        <v>0.40616000000000002</v>
      </c>
      <c r="K79">
        <v>0.88626000000000005</v>
      </c>
      <c r="M79">
        <v>0.40431000000000999</v>
      </c>
      <c r="N79">
        <v>1.0072099999999999</v>
      </c>
      <c r="Q79" t="s">
        <v>679</v>
      </c>
      <c r="T79">
        <v>0.72565000000000202</v>
      </c>
      <c r="U79">
        <v>1.3451</v>
      </c>
      <c r="W79">
        <v>0.40401999999999599</v>
      </c>
      <c r="X79">
        <v>1.09511</v>
      </c>
      <c r="Z79">
        <v>0.541350000000001</v>
      </c>
      <c r="AA79">
        <v>0.93097999999999803</v>
      </c>
      <c r="AC79">
        <v>0.49107999999999702</v>
      </c>
      <c r="AD79">
        <v>1.0134799999999999</v>
      </c>
      <c r="AH79">
        <v>8</v>
      </c>
      <c r="AI79">
        <v>1.34702375</v>
      </c>
      <c r="AJ79">
        <v>10.7973</v>
      </c>
      <c r="AL79">
        <v>7</v>
      </c>
      <c r="AM79">
        <v>1.0532142857142901</v>
      </c>
      <c r="AN79">
        <v>7.3358800000000004</v>
      </c>
      <c r="AP79">
        <v>14</v>
      </c>
      <c r="AQ79">
        <v>0.89246428571428504</v>
      </c>
      <c r="AR79">
        <v>12.521240000000001</v>
      </c>
      <c r="AT79">
        <v>11</v>
      </c>
      <c r="AU79">
        <v>1.0085336363636399</v>
      </c>
      <c r="AV79">
        <v>11.03654</v>
      </c>
    </row>
    <row r="80" spans="1:48" x14ac:dyDescent="0.35">
      <c r="A80" t="s">
        <v>680</v>
      </c>
      <c r="B80" s="242">
        <v>2.0599999999999999E-29</v>
      </c>
      <c r="D80">
        <v>0.43625000000000103</v>
      </c>
      <c r="E80">
        <v>1.2472299999999901</v>
      </c>
      <c r="G80">
        <v>0.40849000000000002</v>
      </c>
      <c r="H80">
        <v>1.06881</v>
      </c>
      <c r="J80">
        <v>0.40947999999998802</v>
      </c>
      <c r="K80">
        <v>0.86283999999999095</v>
      </c>
      <c r="M80">
        <v>0.36841000000001101</v>
      </c>
      <c r="N80">
        <v>1.02864000000001</v>
      </c>
      <c r="Q80" t="s">
        <v>680</v>
      </c>
      <c r="R80" s="242">
        <v>2.9699999999999999E-9</v>
      </c>
      <c r="T80">
        <v>0.65438000000000296</v>
      </c>
      <c r="U80">
        <v>1.2566000000000099</v>
      </c>
      <c r="W80">
        <v>0.35536999999999402</v>
      </c>
      <c r="X80">
        <v>1.1029800000000001</v>
      </c>
      <c r="Z80">
        <v>0.561429999999987</v>
      </c>
      <c r="AA80">
        <v>0.89815999999998997</v>
      </c>
      <c r="AC80">
        <v>0.108790000000013</v>
      </c>
      <c r="AD80">
        <v>0.99768000000000301</v>
      </c>
      <c r="AH80">
        <v>7</v>
      </c>
      <c r="AI80">
        <v>1.26993714285714</v>
      </c>
      <c r="AJ80">
        <v>8.9397200000000101</v>
      </c>
      <c r="AL80">
        <v>5</v>
      </c>
      <c r="AM80">
        <v>1.055404</v>
      </c>
      <c r="AN80">
        <v>5.3166099999999998</v>
      </c>
      <c r="AP80">
        <v>13</v>
      </c>
      <c r="AQ80">
        <v>0.89595461538461596</v>
      </c>
      <c r="AR80">
        <v>11.62064</v>
      </c>
      <c r="AT80">
        <v>11</v>
      </c>
      <c r="AU80">
        <v>1.0012563636363601</v>
      </c>
      <c r="AV80">
        <v>11.07199</v>
      </c>
    </row>
    <row r="81" spans="1:48" x14ac:dyDescent="0.35">
      <c r="A81" t="s">
        <v>681</v>
      </c>
      <c r="B81" s="242">
        <v>4.3399999999999998E-29</v>
      </c>
      <c r="D81">
        <v>0.45367999999999098</v>
      </c>
      <c r="E81">
        <v>1.26017</v>
      </c>
      <c r="G81">
        <v>0.42091999999999502</v>
      </c>
      <c r="H81">
        <v>1.04165</v>
      </c>
      <c r="J81">
        <v>0.42145000000000699</v>
      </c>
      <c r="K81">
        <v>0.90158000000001004</v>
      </c>
      <c r="M81">
        <v>0.40161000000000502</v>
      </c>
      <c r="N81">
        <v>1.0036700000000001</v>
      </c>
      <c r="Q81" t="s">
        <v>681</v>
      </c>
      <c r="R81" s="242">
        <v>3.5899999999999998E-9</v>
      </c>
      <c r="T81">
        <v>0.74063999999999897</v>
      </c>
      <c r="U81">
        <v>1.2058500000000001</v>
      </c>
      <c r="W81">
        <v>0.45789000000000601</v>
      </c>
      <c r="X81">
        <v>1.1066</v>
      </c>
      <c r="Z81">
        <v>0.60732000000000097</v>
      </c>
      <c r="AA81">
        <v>0.90040000000000497</v>
      </c>
      <c r="AC81">
        <v>0.79948999999999204</v>
      </c>
      <c r="AD81">
        <v>1.02392999999999</v>
      </c>
      <c r="AH81">
        <v>7</v>
      </c>
      <c r="AI81">
        <v>1.2358128571428599</v>
      </c>
      <c r="AJ81">
        <v>8.6551799999999908</v>
      </c>
      <c r="AL81">
        <v>7</v>
      </c>
      <c r="AM81">
        <v>1.04789714285714</v>
      </c>
      <c r="AN81">
        <v>7.3466100000000099</v>
      </c>
      <c r="AP81">
        <v>16</v>
      </c>
      <c r="AQ81">
        <v>0.89269312499999998</v>
      </c>
      <c r="AR81">
        <v>14.27596</v>
      </c>
      <c r="AT81">
        <v>15</v>
      </c>
      <c r="AU81">
        <v>0.99094800000000005</v>
      </c>
      <c r="AV81">
        <v>14.85941</v>
      </c>
    </row>
    <row r="82" spans="1:48" x14ac:dyDescent="0.35">
      <c r="A82" t="s">
        <v>682</v>
      </c>
      <c r="B82">
        <v>0.16209999999999999</v>
      </c>
      <c r="D82">
        <v>0.41955000000000098</v>
      </c>
      <c r="E82">
        <v>1.2317899999999999</v>
      </c>
      <c r="G82">
        <v>0.43203000000000502</v>
      </c>
      <c r="H82">
        <v>1.0414300000000101</v>
      </c>
      <c r="J82">
        <v>0.38235000000000202</v>
      </c>
      <c r="K82">
        <v>0.86961000000000899</v>
      </c>
      <c r="M82">
        <v>0.39495000000000902</v>
      </c>
      <c r="N82">
        <v>1.0018200000000099</v>
      </c>
      <c r="Q82" t="s">
        <v>682</v>
      </c>
      <c r="R82">
        <v>0.184</v>
      </c>
      <c r="T82">
        <v>0.62942000000000997</v>
      </c>
      <c r="U82">
        <v>1.21417000000001</v>
      </c>
      <c r="W82">
        <v>0.376390000000001</v>
      </c>
      <c r="X82">
        <v>1.07965</v>
      </c>
      <c r="Z82">
        <v>0.52736000000000205</v>
      </c>
      <c r="AA82">
        <v>0.87273999999999297</v>
      </c>
      <c r="AC82">
        <v>0.75140999999999303</v>
      </c>
      <c r="AD82">
        <v>0.98731000000000801</v>
      </c>
      <c r="AH82">
        <v>8</v>
      </c>
      <c r="AI82">
        <v>1.22031625</v>
      </c>
      <c r="AJ82">
        <v>9.7567800000000098</v>
      </c>
      <c r="AL82">
        <v>7</v>
      </c>
      <c r="AM82">
        <v>1.02993714285714</v>
      </c>
      <c r="AN82">
        <v>7.2097699999999998</v>
      </c>
      <c r="AP82">
        <v>20</v>
      </c>
      <c r="AQ82">
        <v>0.88532949999999999</v>
      </c>
      <c r="AR82">
        <v>17.755929999999999</v>
      </c>
      <c r="AT82">
        <v>13</v>
      </c>
      <c r="AU82">
        <v>0.99917538461538502</v>
      </c>
      <c r="AV82">
        <v>13.0387</v>
      </c>
    </row>
    <row r="83" spans="1:48" x14ac:dyDescent="0.35">
      <c r="A83" t="s">
        <v>683</v>
      </c>
      <c r="B83">
        <v>0.69850000000000001</v>
      </c>
      <c r="D83">
        <v>0.48414000000001101</v>
      </c>
      <c r="E83">
        <v>1.2593099999999999</v>
      </c>
      <c r="G83">
        <v>0.41364000000000101</v>
      </c>
      <c r="H83">
        <v>1.0228299999999999</v>
      </c>
      <c r="J83">
        <v>0.43525000000001102</v>
      </c>
      <c r="K83">
        <v>0.873170000000002</v>
      </c>
      <c r="M83">
        <v>0.42667000000000099</v>
      </c>
      <c r="N83">
        <v>0.98412000000001898</v>
      </c>
      <c r="Q83" t="s">
        <v>683</v>
      </c>
      <c r="R83">
        <v>0.4289</v>
      </c>
      <c r="T83">
        <v>0.82407000000000596</v>
      </c>
      <c r="U83">
        <v>1.2238100000000001</v>
      </c>
      <c r="W83">
        <v>0.45037999999999601</v>
      </c>
      <c r="X83">
        <v>1.0749299999999899</v>
      </c>
      <c r="Z83">
        <v>0.53150999999999704</v>
      </c>
      <c r="AA83">
        <v>1.5274000000000001</v>
      </c>
      <c r="AC83">
        <v>0.683230000000009</v>
      </c>
      <c r="AD83">
        <v>1.02137999999999</v>
      </c>
      <c r="AH83">
        <v>7</v>
      </c>
      <c r="AI83">
        <v>1.23489571428571</v>
      </c>
      <c r="AJ83">
        <v>8.6813400000000094</v>
      </c>
      <c r="AL83">
        <v>6</v>
      </c>
      <c r="AM83">
        <v>1.0295700000000001</v>
      </c>
      <c r="AN83">
        <v>6.2135400000000001</v>
      </c>
      <c r="AP83">
        <v>12</v>
      </c>
      <c r="AQ83">
        <v>0.94235083333333403</v>
      </c>
      <c r="AR83">
        <v>11.290520000000001</v>
      </c>
      <c r="AT83">
        <v>10</v>
      </c>
      <c r="AU83">
        <v>1.004024</v>
      </c>
      <c r="AV83">
        <v>10.042070000000001</v>
      </c>
    </row>
    <row r="84" spans="1:48" x14ac:dyDescent="0.35">
      <c r="D84">
        <v>0.47515999999998798</v>
      </c>
      <c r="E84">
        <v>1.2553099999999899</v>
      </c>
      <c r="G84">
        <v>0.44240999999999497</v>
      </c>
      <c r="H84">
        <v>1.0154799999999999</v>
      </c>
      <c r="J84">
        <v>0.42165999999998899</v>
      </c>
      <c r="K84">
        <v>0.877269999999996</v>
      </c>
      <c r="M84">
        <v>0.44950000000000001</v>
      </c>
      <c r="N84">
        <v>1.00512000000001</v>
      </c>
      <c r="T84">
        <v>0.63823999999999603</v>
      </c>
      <c r="U84">
        <v>1.2086599999999901</v>
      </c>
      <c r="W84">
        <v>0.43701000000000101</v>
      </c>
      <c r="X84">
        <v>1.02702000000001</v>
      </c>
      <c r="Z84">
        <v>0.64938999999999703</v>
      </c>
      <c r="AA84">
        <v>0.91700000000000204</v>
      </c>
      <c r="AC84">
        <v>0.54900000000000704</v>
      </c>
      <c r="AD84">
        <v>1.0096799999999999</v>
      </c>
      <c r="AH84">
        <v>9</v>
      </c>
      <c r="AI84">
        <v>1.23610333333333</v>
      </c>
      <c r="AJ84">
        <v>11.119949999999999</v>
      </c>
      <c r="AL84">
        <v>7</v>
      </c>
      <c r="AM84">
        <v>1.01076285714286</v>
      </c>
      <c r="AN84">
        <v>7.0229600000000003</v>
      </c>
      <c r="AP84">
        <v>10</v>
      </c>
      <c r="AQ84">
        <v>0.89244699999999999</v>
      </c>
      <c r="AR84">
        <v>8.9206600000000105</v>
      </c>
      <c r="AT84">
        <v>12</v>
      </c>
      <c r="AU84">
        <v>1.0113433333333299</v>
      </c>
      <c r="AV84">
        <v>12.170109999999999</v>
      </c>
    </row>
    <row r="85" spans="1:48" x14ac:dyDescent="0.35">
      <c r="D85">
        <v>0.45537999999999101</v>
      </c>
      <c r="E85">
        <v>1.2335199999999999</v>
      </c>
      <c r="G85">
        <v>0.41149999999998998</v>
      </c>
      <c r="H85">
        <v>1.03694999999999</v>
      </c>
      <c r="J85">
        <v>0.431070000000005</v>
      </c>
      <c r="K85">
        <v>0.89049</v>
      </c>
      <c r="M85">
        <v>0.47407000000001198</v>
      </c>
      <c r="N85">
        <v>0.99569999999999903</v>
      </c>
      <c r="T85">
        <v>0.77158000000000004</v>
      </c>
      <c r="U85">
        <v>1.18946</v>
      </c>
      <c r="W85">
        <v>0.46829000000000998</v>
      </c>
      <c r="X85">
        <v>1.0219800000000001</v>
      </c>
      <c r="Z85">
        <v>0.56918000000001701</v>
      </c>
      <c r="AA85">
        <v>0.88793000000001099</v>
      </c>
      <c r="AC85">
        <v>0.74624000000000001</v>
      </c>
      <c r="AD85">
        <v>1.0142500000000001</v>
      </c>
      <c r="AH85">
        <v>8</v>
      </c>
      <c r="AI85">
        <v>1.2284937499999999</v>
      </c>
      <c r="AJ85">
        <v>9.8299599999999998</v>
      </c>
      <c r="AL85">
        <v>6</v>
      </c>
      <c r="AM85">
        <v>1.0103466666666701</v>
      </c>
      <c r="AN85">
        <v>6.05935000000001</v>
      </c>
      <c r="AP85">
        <v>13</v>
      </c>
      <c r="AQ85">
        <v>0.88665230769230696</v>
      </c>
      <c r="AR85">
        <v>11.482329999999999</v>
      </c>
      <c r="AT85">
        <v>16</v>
      </c>
      <c r="AU85">
        <v>0.99726562500000104</v>
      </c>
      <c r="AV85">
        <v>15.85591</v>
      </c>
    </row>
    <row r="86" spans="1:48" x14ac:dyDescent="0.35">
      <c r="D86">
        <v>0.50034999999999696</v>
      </c>
      <c r="E86">
        <v>1.2254099999999799</v>
      </c>
      <c r="G86">
        <v>0.40084000000000197</v>
      </c>
      <c r="H86">
        <v>1.02902</v>
      </c>
      <c r="J86">
        <v>0.39477999999999702</v>
      </c>
      <c r="K86">
        <v>0.89834999999999399</v>
      </c>
      <c r="M86">
        <v>0.39565000000001799</v>
      </c>
      <c r="N86">
        <v>1.01762000000002</v>
      </c>
      <c r="T86">
        <v>0.69716999999999996</v>
      </c>
      <c r="U86">
        <v>1.0002200000000001</v>
      </c>
      <c r="W86">
        <v>0.413789999999992</v>
      </c>
      <c r="X86">
        <v>1.0313699999999999</v>
      </c>
      <c r="Z86">
        <v>0.69686000000001502</v>
      </c>
      <c r="AA86">
        <v>0.89834999999999399</v>
      </c>
      <c r="AC86">
        <v>0.69982999999999196</v>
      </c>
      <c r="AD86">
        <v>1.0098699999999801</v>
      </c>
      <c r="AH86">
        <v>9</v>
      </c>
      <c r="AI86">
        <v>1.2005344444444399</v>
      </c>
      <c r="AJ86">
        <v>10.857889999999999</v>
      </c>
      <c r="AL86">
        <v>8</v>
      </c>
      <c r="AM86">
        <v>1.0049250000000001</v>
      </c>
      <c r="AN86">
        <v>8.0732900000000001</v>
      </c>
      <c r="AP86">
        <v>8</v>
      </c>
      <c r="AQ86">
        <v>0.89425125000000005</v>
      </c>
      <c r="AR86">
        <v>7.2300199999999997</v>
      </c>
      <c r="AT86">
        <v>16</v>
      </c>
      <c r="AU86">
        <v>0.99614687499999899</v>
      </c>
      <c r="AV86">
        <v>15.94122</v>
      </c>
    </row>
    <row r="87" spans="1:48" x14ac:dyDescent="0.35">
      <c r="D87">
        <v>0.44688000000002198</v>
      </c>
      <c r="E87">
        <v>1.23308</v>
      </c>
      <c r="G87">
        <v>0.426900000000003</v>
      </c>
      <c r="H87">
        <v>1.02119</v>
      </c>
      <c r="J87">
        <v>0.45319000000000598</v>
      </c>
      <c r="K87">
        <v>0.88075000000000603</v>
      </c>
      <c r="M87">
        <v>0.38461999999998397</v>
      </c>
      <c r="N87">
        <v>1.00371999999999</v>
      </c>
      <c r="T87">
        <v>0.65690000000000703</v>
      </c>
      <c r="U87">
        <v>1.1708800000000099</v>
      </c>
      <c r="W87">
        <v>0.45904999999999102</v>
      </c>
      <c r="X87">
        <v>1.0383599999999999</v>
      </c>
      <c r="Z87">
        <v>0.30370000000002101</v>
      </c>
      <c r="AA87">
        <v>0.91725999999999897</v>
      </c>
      <c r="AC87">
        <v>0.85104999999998698</v>
      </c>
      <c r="AD87">
        <v>0.96732000000000096</v>
      </c>
      <c r="AH87">
        <v>8</v>
      </c>
      <c r="AI87">
        <v>1.2188950000000001</v>
      </c>
      <c r="AJ87">
        <v>9.6900200000000005</v>
      </c>
      <c r="AL87">
        <v>8</v>
      </c>
      <c r="AM87">
        <v>0.99152874999999896</v>
      </c>
      <c r="AN87">
        <v>7.9186299999999896</v>
      </c>
      <c r="AP87">
        <v>18</v>
      </c>
      <c r="AQ87">
        <v>0.89729999999999999</v>
      </c>
      <c r="AR87">
        <v>16.102509999999999</v>
      </c>
      <c r="AT87">
        <v>13</v>
      </c>
      <c r="AU87">
        <v>1.00301384615385</v>
      </c>
      <c r="AV87">
        <v>13.05536</v>
      </c>
    </row>
    <row r="88" spans="1:48" x14ac:dyDescent="0.35">
      <c r="D88">
        <v>0.45333999999999702</v>
      </c>
      <c r="E88">
        <v>1.22567000000001</v>
      </c>
      <c r="G88">
        <v>0.40395999999999799</v>
      </c>
      <c r="H88">
        <v>1.0118499999999999</v>
      </c>
      <c r="J88">
        <v>0.43302999999997399</v>
      </c>
      <c r="K88">
        <v>0.90947999999997398</v>
      </c>
      <c r="M88">
        <v>0.42587000000000302</v>
      </c>
      <c r="N88">
        <v>1.0287900000000201</v>
      </c>
      <c r="T88">
        <v>0.59401999999999999</v>
      </c>
      <c r="U88">
        <v>1.2129000000000201</v>
      </c>
      <c r="W88">
        <v>0.75225000000000397</v>
      </c>
      <c r="X88">
        <v>1.04087</v>
      </c>
      <c r="Z88">
        <v>0.49657000000002</v>
      </c>
      <c r="AA88">
        <v>0.89602000000002102</v>
      </c>
      <c r="AC88">
        <v>0.76471000000000799</v>
      </c>
      <c r="AD88">
        <v>1.0441200000000199</v>
      </c>
      <c r="AH88">
        <v>6</v>
      </c>
      <c r="AI88">
        <v>1.2277433333333401</v>
      </c>
      <c r="AJ88">
        <v>7.3803299999999901</v>
      </c>
      <c r="AL88">
        <v>7</v>
      </c>
      <c r="AM88">
        <v>1.00465</v>
      </c>
      <c r="AN88">
        <v>7.0367400000000098</v>
      </c>
      <c r="AP88">
        <v>12</v>
      </c>
      <c r="AQ88">
        <v>0.89583750000000095</v>
      </c>
      <c r="AR88">
        <v>10.734680000000001</v>
      </c>
      <c r="AT88">
        <v>10</v>
      </c>
      <c r="AU88">
        <v>1.0072369999999999</v>
      </c>
      <c r="AV88">
        <v>10.05772</v>
      </c>
    </row>
    <row r="89" spans="1:48" x14ac:dyDescent="0.35">
      <c r="D89">
        <v>0.474140000000006</v>
      </c>
      <c r="E89">
        <v>1.2601500000000101</v>
      </c>
      <c r="G89">
        <v>0.40916000000000002</v>
      </c>
      <c r="H89">
        <v>1.0128599999999901</v>
      </c>
      <c r="J89">
        <v>0.40146000000001397</v>
      </c>
      <c r="K89">
        <v>0.89328000000000396</v>
      </c>
      <c r="M89">
        <v>0.39743999999998902</v>
      </c>
      <c r="N89">
        <v>1.01500999999999</v>
      </c>
      <c r="T89">
        <v>0.64588000000000501</v>
      </c>
      <c r="U89">
        <v>1.1787399999999999</v>
      </c>
      <c r="W89">
        <v>0.59454999999999802</v>
      </c>
      <c r="X89">
        <v>1.0682400000000001</v>
      </c>
      <c r="Z89">
        <v>0.57925999999997702</v>
      </c>
      <c r="AA89">
        <v>0.91476999999997599</v>
      </c>
      <c r="AC89">
        <v>0.48650000000000698</v>
      </c>
      <c r="AD89">
        <v>0.99438000000000704</v>
      </c>
      <c r="AH89">
        <v>7</v>
      </c>
      <c r="AI89">
        <v>1.2414014285714301</v>
      </c>
      <c r="AJ89">
        <v>8.6761300000000006</v>
      </c>
      <c r="AL89">
        <v>8</v>
      </c>
      <c r="AM89">
        <v>1.01337375</v>
      </c>
      <c r="AN89">
        <v>8.1527100000000008</v>
      </c>
      <c r="AP89">
        <v>13</v>
      </c>
      <c r="AQ89">
        <v>0.893915384615385</v>
      </c>
      <c r="AR89">
        <v>11.641249999999999</v>
      </c>
      <c r="AT89">
        <v>10</v>
      </c>
      <c r="AU89">
        <v>1.003973</v>
      </c>
      <c r="AV89">
        <v>10.575609999999999</v>
      </c>
    </row>
    <row r="90" spans="1:48" x14ac:dyDescent="0.35">
      <c r="D90">
        <v>0.47965999999999598</v>
      </c>
      <c r="E90">
        <v>1.28868</v>
      </c>
      <c r="G90">
        <v>0.44576000000000698</v>
      </c>
      <c r="H90">
        <v>1.0037400000000101</v>
      </c>
      <c r="J90">
        <v>0.42106999999998601</v>
      </c>
      <c r="K90">
        <v>0.892539999999997</v>
      </c>
      <c r="M90">
        <v>0.39269999999999999</v>
      </c>
      <c r="N90">
        <v>0.99909999999999999</v>
      </c>
      <c r="T90">
        <v>0.85788999999999804</v>
      </c>
      <c r="U90">
        <v>1.2181500000000101</v>
      </c>
      <c r="W90">
        <v>0.63044000000000699</v>
      </c>
      <c r="X90">
        <v>1.06084000000001</v>
      </c>
      <c r="Z90">
        <v>0.51685000000000503</v>
      </c>
      <c r="AA90">
        <v>0.90137000000001399</v>
      </c>
      <c r="AC90">
        <v>0.71725000000000705</v>
      </c>
      <c r="AD90">
        <v>1.00116</v>
      </c>
      <c r="AH90">
        <v>8</v>
      </c>
      <c r="AI90">
        <v>1.26729</v>
      </c>
      <c r="AJ90">
        <v>10.115309999999999</v>
      </c>
      <c r="AL90">
        <v>8</v>
      </c>
      <c r="AM90">
        <v>0.96324499999999902</v>
      </c>
      <c r="AN90">
        <v>7.64109999999999</v>
      </c>
      <c r="AP90">
        <v>12</v>
      </c>
      <c r="AQ90">
        <v>0.89696750000000003</v>
      </c>
      <c r="AR90">
        <v>10.782920000000001</v>
      </c>
    </row>
    <row r="91" spans="1:48" x14ac:dyDescent="0.35">
      <c r="D91">
        <v>0.480619999999988</v>
      </c>
      <c r="E91">
        <v>1.24946</v>
      </c>
      <c r="G91">
        <v>0.402090000000001</v>
      </c>
      <c r="H91">
        <v>1.0249299999999999</v>
      </c>
      <c r="J91">
        <v>0.43527999999997702</v>
      </c>
      <c r="K91">
        <v>0.88743999999999801</v>
      </c>
      <c r="T91">
        <v>0.80997999999999604</v>
      </c>
      <c r="U91">
        <v>1.2463500000000101</v>
      </c>
      <c r="W91">
        <v>0.63674999999999204</v>
      </c>
      <c r="X91">
        <v>1.04452999999999</v>
      </c>
      <c r="Z91">
        <v>0.65612000000001602</v>
      </c>
      <c r="AA91">
        <v>0.88733000000002005</v>
      </c>
      <c r="AH91">
        <v>6</v>
      </c>
      <c r="AI91">
        <v>1.25132</v>
      </c>
      <c r="AJ91">
        <v>7.5481000000000096</v>
      </c>
      <c r="AL91">
        <v>7</v>
      </c>
      <c r="AM91">
        <v>1.02407</v>
      </c>
      <c r="AN91">
        <v>7.19533000000001</v>
      </c>
      <c r="AP91">
        <v>15</v>
      </c>
      <c r="AQ91">
        <v>0.88961800000000002</v>
      </c>
      <c r="AR91">
        <v>13.34479</v>
      </c>
    </row>
    <row r="92" spans="1:48" x14ac:dyDescent="0.35">
      <c r="D92">
        <v>0.48227000000002801</v>
      </c>
      <c r="E92">
        <v>1.24281000000002</v>
      </c>
      <c r="G92">
        <v>0.42813000000001</v>
      </c>
      <c r="H92">
        <v>1.02412999999999</v>
      </c>
      <c r="J92">
        <v>0.42339000000001198</v>
      </c>
      <c r="K92">
        <v>0.87503000000000997</v>
      </c>
      <c r="T92">
        <v>0.83627000000001295</v>
      </c>
      <c r="U92">
        <v>1.1669</v>
      </c>
      <c r="W92">
        <v>0.48670000000001301</v>
      </c>
      <c r="X92">
        <v>1.08290000000002</v>
      </c>
      <c r="Z92">
        <v>0.55737999999999499</v>
      </c>
      <c r="AA92">
        <v>0.90975999999997703</v>
      </c>
      <c r="AH92">
        <v>10</v>
      </c>
      <c r="AI92">
        <v>1.2594639999999999</v>
      </c>
      <c r="AJ92">
        <v>12.60294</v>
      </c>
      <c r="AL92">
        <v>9</v>
      </c>
      <c r="AM92">
        <v>1.02345444444445</v>
      </c>
      <c r="AN92">
        <v>9.1415899999999795</v>
      </c>
      <c r="AP92">
        <v>12</v>
      </c>
      <c r="AQ92">
        <v>0.90248916666666701</v>
      </c>
      <c r="AR92">
        <v>10.78792</v>
      </c>
    </row>
    <row r="93" spans="1:48" x14ac:dyDescent="0.35">
      <c r="D93">
        <v>0.47876999999999698</v>
      </c>
      <c r="E93">
        <v>1.2735100000000199</v>
      </c>
      <c r="G93">
        <v>0.39024999999998</v>
      </c>
      <c r="H93">
        <v>1.05574999999999</v>
      </c>
      <c r="J93">
        <v>0.388149999999996</v>
      </c>
      <c r="K93">
        <v>0.88174000000000796</v>
      </c>
      <c r="T93">
        <v>0.98819999999997798</v>
      </c>
      <c r="U93">
        <v>1.21182999999999</v>
      </c>
      <c r="W93">
        <v>0.68573000000000695</v>
      </c>
      <c r="X93">
        <v>1.0687200000000101</v>
      </c>
      <c r="Z93">
        <v>0.647199999999998</v>
      </c>
      <c r="AA93">
        <v>0.91765999999998404</v>
      </c>
      <c r="AH93">
        <v>8</v>
      </c>
      <c r="AI93">
        <v>1.2624575</v>
      </c>
      <c r="AJ93">
        <v>10.06546</v>
      </c>
      <c r="AL93">
        <v>8</v>
      </c>
      <c r="AM93">
        <v>1.010785</v>
      </c>
      <c r="AN93">
        <v>8.1585300000000096</v>
      </c>
      <c r="AP93">
        <v>10</v>
      </c>
      <c r="AQ93">
        <v>0.889463000000001</v>
      </c>
      <c r="AR93">
        <v>8.8903800000000199</v>
      </c>
    </row>
    <row r="94" spans="1:48" x14ac:dyDescent="0.35">
      <c r="D94">
        <v>0.46109000000001299</v>
      </c>
      <c r="E94">
        <v>1.2494399999999899</v>
      </c>
      <c r="G94">
        <v>0.42545000000001199</v>
      </c>
      <c r="H94">
        <v>1.0186999999999999</v>
      </c>
      <c r="J94">
        <v>0.39541000000002702</v>
      </c>
      <c r="K94">
        <v>0.89325000000002297</v>
      </c>
      <c r="T94">
        <v>0.71052000000000304</v>
      </c>
      <c r="U94">
        <v>1.2180500000000101</v>
      </c>
      <c r="W94">
        <v>0.73097999999998797</v>
      </c>
      <c r="X94">
        <v>1.07552000000001</v>
      </c>
      <c r="AH94">
        <v>10</v>
      </c>
      <c r="AI94">
        <v>1.259433</v>
      </c>
      <c r="AJ94">
        <v>12.600720000000001</v>
      </c>
      <c r="AL94">
        <v>10</v>
      </c>
      <c r="AM94">
        <v>1.0217510000000001</v>
      </c>
      <c r="AN94">
        <v>10.16694</v>
      </c>
    </row>
    <row r="95" spans="1:48" x14ac:dyDescent="0.35">
      <c r="D95">
        <v>0.466540000000009</v>
      </c>
      <c r="E95">
        <v>1.23430999999999</v>
      </c>
      <c r="G95">
        <v>0.40196000000000298</v>
      </c>
      <c r="H95">
        <v>1.0457799999999799</v>
      </c>
      <c r="T95">
        <v>0.85671999999999604</v>
      </c>
      <c r="U95">
        <v>1.20670999999999</v>
      </c>
      <c r="W95">
        <v>0.52800000000002001</v>
      </c>
      <c r="X95">
        <v>1.06518</v>
      </c>
      <c r="AH95">
        <v>8</v>
      </c>
      <c r="AI95">
        <v>1.2709299999999999</v>
      </c>
      <c r="AJ95">
        <v>10.18802</v>
      </c>
      <c r="AL95">
        <v>8</v>
      </c>
      <c r="AM95">
        <v>1.00876875</v>
      </c>
      <c r="AN95">
        <v>8.0704299999999893</v>
      </c>
    </row>
    <row r="96" spans="1:48" x14ac:dyDescent="0.35">
      <c r="D96">
        <v>0.47423999999998001</v>
      </c>
      <c r="E96">
        <v>1.2757399999999799</v>
      </c>
      <c r="G96">
        <v>0.37641999999999598</v>
      </c>
      <c r="H96">
        <v>1.01996</v>
      </c>
      <c r="T96">
        <v>0.826210000000003</v>
      </c>
      <c r="U96">
        <v>1.22485</v>
      </c>
      <c r="W96">
        <v>0.69706999999999697</v>
      </c>
      <c r="X96">
        <v>1.06408999999999</v>
      </c>
      <c r="AH96">
        <v>11</v>
      </c>
      <c r="AI96">
        <v>1.26733090909091</v>
      </c>
      <c r="AJ96">
        <v>13.90691</v>
      </c>
      <c r="AL96">
        <v>7</v>
      </c>
      <c r="AM96">
        <v>1.02999857142857</v>
      </c>
      <c r="AN96">
        <v>7.24777</v>
      </c>
    </row>
    <row r="97" spans="4:40" x14ac:dyDescent="0.35">
      <c r="D97">
        <v>0.48446999999998802</v>
      </c>
      <c r="E97">
        <v>1.25501</v>
      </c>
      <c r="G97">
        <v>0.417470000000009</v>
      </c>
      <c r="H97">
        <v>1.0232300000000101</v>
      </c>
      <c r="T97">
        <v>0.87271000000001198</v>
      </c>
      <c r="U97">
        <v>1.22367</v>
      </c>
      <c r="W97">
        <v>0.48308000000000101</v>
      </c>
      <c r="X97">
        <v>1.0304200000000201</v>
      </c>
      <c r="AH97">
        <v>8</v>
      </c>
      <c r="AI97">
        <v>1.2357912499999999</v>
      </c>
      <c r="AJ97">
        <v>9.9172900000000102</v>
      </c>
      <c r="AL97">
        <v>9</v>
      </c>
      <c r="AM97">
        <v>1.0106544444444401</v>
      </c>
      <c r="AN97">
        <v>9.0021400000000007</v>
      </c>
    </row>
    <row r="98" spans="4:40" x14ac:dyDescent="0.35">
      <c r="D98">
        <v>0.43945999999999702</v>
      </c>
      <c r="E98">
        <v>1.25736000000001</v>
      </c>
      <c r="G98">
        <v>0.366119999999995</v>
      </c>
      <c r="H98">
        <v>1.0656300000000001</v>
      </c>
      <c r="T98">
        <v>0.64517000000000702</v>
      </c>
      <c r="U98">
        <v>1.2049299999999901</v>
      </c>
      <c r="W98">
        <v>0.73550000000000204</v>
      </c>
      <c r="X98">
        <v>1.0776600000000101</v>
      </c>
      <c r="AH98">
        <v>10</v>
      </c>
      <c r="AI98">
        <v>1.2578879999999999</v>
      </c>
      <c r="AJ98">
        <v>12.53152</v>
      </c>
      <c r="AL98">
        <v>8</v>
      </c>
      <c r="AM98">
        <v>1.02618125</v>
      </c>
      <c r="AN98">
        <v>8.3297599999999896</v>
      </c>
    </row>
    <row r="99" spans="4:40" x14ac:dyDescent="0.35">
      <c r="D99">
        <v>0.475030000000004</v>
      </c>
      <c r="E99">
        <v>1.2661899999999899</v>
      </c>
      <c r="G99">
        <v>0.44246999999998599</v>
      </c>
      <c r="H99">
        <v>1.0216700000000001</v>
      </c>
      <c r="T99">
        <v>0.59007000000002596</v>
      </c>
      <c r="U99">
        <v>1.2431599999999901</v>
      </c>
      <c r="W99">
        <v>0.65119999999998901</v>
      </c>
      <c r="X99">
        <v>1.0646199999999899</v>
      </c>
      <c r="AH99">
        <v>8</v>
      </c>
      <c r="AI99">
        <v>1.26447</v>
      </c>
      <c r="AJ99">
        <v>10.1425</v>
      </c>
      <c r="AL99">
        <v>8</v>
      </c>
      <c r="AM99">
        <v>1.0276462500000001</v>
      </c>
      <c r="AN99">
        <v>8.1771300000000107</v>
      </c>
    </row>
    <row r="100" spans="4:40" x14ac:dyDescent="0.35">
      <c r="D100">
        <v>0.51045000000004903</v>
      </c>
      <c r="E100">
        <v>1.28336000000002</v>
      </c>
      <c r="G100">
        <v>0.40307000000001397</v>
      </c>
      <c r="H100">
        <v>1.02631000000002</v>
      </c>
      <c r="T100">
        <v>0.60060999999996101</v>
      </c>
      <c r="U100">
        <v>1.1838299999999999</v>
      </c>
      <c r="W100">
        <v>0.64625999999998396</v>
      </c>
      <c r="X100">
        <v>1.0661499999999899</v>
      </c>
      <c r="AH100">
        <v>9</v>
      </c>
      <c r="AI100">
        <v>1.26630333333333</v>
      </c>
      <c r="AJ100">
        <v>11.41498</v>
      </c>
      <c r="AL100">
        <v>9</v>
      </c>
      <c r="AM100">
        <v>1.01088444444444</v>
      </c>
      <c r="AN100">
        <v>9.1022599999999994</v>
      </c>
    </row>
    <row r="101" spans="4:40" x14ac:dyDescent="0.35">
      <c r="D101">
        <v>0.46726000000001</v>
      </c>
      <c r="E101">
        <v>1.2463500000000101</v>
      </c>
      <c r="G101">
        <v>0.40408999999999701</v>
      </c>
      <c r="H101">
        <v>1.0230300000000101</v>
      </c>
      <c r="T101">
        <v>0.80890999999996904</v>
      </c>
      <c r="U101">
        <v>1.2830899999999601</v>
      </c>
      <c r="W101">
        <v>0.65550999999999304</v>
      </c>
      <c r="X101">
        <v>1.0553699999999799</v>
      </c>
      <c r="AH101">
        <v>8</v>
      </c>
      <c r="AI101">
        <v>1.266025</v>
      </c>
      <c r="AJ101">
        <v>10.122019999999999</v>
      </c>
      <c r="AL101">
        <v>9</v>
      </c>
      <c r="AM101">
        <v>1.01003444444444</v>
      </c>
      <c r="AN101">
        <v>9.0788100000000007</v>
      </c>
    </row>
    <row r="102" spans="4:40" x14ac:dyDescent="0.35">
      <c r="D102">
        <v>0.48812000000003802</v>
      </c>
      <c r="E102">
        <v>1.2409800000000399</v>
      </c>
      <c r="G102">
        <v>0.386830000000003</v>
      </c>
      <c r="H102">
        <v>1.0172699999999999</v>
      </c>
      <c r="T102">
        <v>0.65972999999996795</v>
      </c>
      <c r="U102">
        <v>1.23206999999996</v>
      </c>
      <c r="W102">
        <v>0.60812000000001398</v>
      </c>
      <c r="X102">
        <v>1.0395700000000001</v>
      </c>
      <c r="AH102">
        <v>9</v>
      </c>
      <c r="AI102">
        <v>1.2522200000000001</v>
      </c>
      <c r="AJ102">
        <v>11.29621</v>
      </c>
      <c r="AL102">
        <v>10</v>
      </c>
      <c r="AM102">
        <v>1.0108729999999999</v>
      </c>
      <c r="AN102">
        <v>10.11689</v>
      </c>
    </row>
    <row r="103" spans="4:40" x14ac:dyDescent="0.35">
      <c r="D103">
        <v>0.47106999999999699</v>
      </c>
      <c r="E103">
        <v>1.2587700000000299</v>
      </c>
      <c r="G103">
        <v>0.38824999999999898</v>
      </c>
      <c r="H103">
        <v>1.0105300000000199</v>
      </c>
      <c r="T103">
        <v>0.73232000000001596</v>
      </c>
      <c r="U103">
        <v>1.2249000000000501</v>
      </c>
      <c r="W103">
        <v>0.59119000000001198</v>
      </c>
      <c r="X103">
        <v>1.0622199999999999</v>
      </c>
      <c r="AH103">
        <v>8</v>
      </c>
      <c r="AI103">
        <v>1.26060375</v>
      </c>
      <c r="AJ103">
        <v>10.049989999999999</v>
      </c>
      <c r="AL103">
        <v>8</v>
      </c>
      <c r="AM103">
        <v>1.0181687500000001</v>
      </c>
      <c r="AN103">
        <v>8.1453000000000202</v>
      </c>
    </row>
    <row r="104" spans="4:40" x14ac:dyDescent="0.35">
      <c r="D104">
        <v>0.46735999999998501</v>
      </c>
      <c r="E104">
        <v>1.2387999999999699</v>
      </c>
      <c r="G104">
        <v>0.40270000000000999</v>
      </c>
      <c r="H104">
        <v>1.0250299999999899</v>
      </c>
      <c r="T104">
        <v>0.761290000000031</v>
      </c>
      <c r="U104">
        <v>1.21994000000001</v>
      </c>
      <c r="W104">
        <v>0.47370999999998298</v>
      </c>
      <c r="X104">
        <v>1.02609999999999</v>
      </c>
      <c r="AH104">
        <v>11</v>
      </c>
      <c r="AI104">
        <v>1.2626690909090901</v>
      </c>
      <c r="AJ104">
        <v>13.905620000000001</v>
      </c>
      <c r="AL104">
        <v>9</v>
      </c>
      <c r="AM104">
        <v>0.98589333333333395</v>
      </c>
      <c r="AN104">
        <v>8.8934199999999901</v>
      </c>
    </row>
    <row r="105" spans="4:40" x14ac:dyDescent="0.35">
      <c r="D105">
        <v>0.47548999999997899</v>
      </c>
      <c r="E105">
        <v>1.23985999999996</v>
      </c>
      <c r="G105">
        <v>0.40805000000000302</v>
      </c>
      <c r="H105">
        <v>1.00999999999999</v>
      </c>
      <c r="T105">
        <v>0.77971999999999797</v>
      </c>
      <c r="U105">
        <v>1.23113000000001</v>
      </c>
      <c r="W105">
        <v>0.74152000000000795</v>
      </c>
      <c r="X105">
        <v>1.0321099999999901</v>
      </c>
      <c r="AH105">
        <v>8</v>
      </c>
      <c r="AI105">
        <v>1.24755375</v>
      </c>
      <c r="AJ105">
        <v>9.9875000000000096</v>
      </c>
      <c r="AL105">
        <v>9</v>
      </c>
      <c r="AM105">
        <v>0.996644444444447</v>
      </c>
      <c r="AN105">
        <v>8.90566999999999</v>
      </c>
    </row>
    <row r="106" spans="4:40" x14ac:dyDescent="0.35">
      <c r="D106">
        <v>0.477959999999996</v>
      </c>
      <c r="E106">
        <v>1.27519000000001</v>
      </c>
      <c r="G106">
        <v>0.36946999999997798</v>
      </c>
      <c r="H106">
        <v>1.03555</v>
      </c>
      <c r="T106">
        <v>0.80479999999999996</v>
      </c>
      <c r="U106">
        <v>1.18920000000003</v>
      </c>
      <c r="W106">
        <v>0.48099999999999499</v>
      </c>
      <c r="X106">
        <v>1.03686999999996</v>
      </c>
      <c r="AH106">
        <v>10</v>
      </c>
      <c r="AI106">
        <v>1.2511049999999999</v>
      </c>
      <c r="AJ106">
        <v>12.47819</v>
      </c>
      <c r="AL106">
        <v>8</v>
      </c>
      <c r="AM106">
        <v>1.0175325</v>
      </c>
      <c r="AN106">
        <v>8.1822300000000006</v>
      </c>
    </row>
    <row r="107" spans="4:40" x14ac:dyDescent="0.35">
      <c r="D107">
        <v>0.46959000000003898</v>
      </c>
      <c r="E107">
        <v>1.23489000000001</v>
      </c>
      <c r="G107">
        <v>0.40067999999996601</v>
      </c>
      <c r="H107">
        <v>1.0247900000000001</v>
      </c>
      <c r="T107">
        <v>0.742360000000019</v>
      </c>
      <c r="U107">
        <v>1.21123</v>
      </c>
      <c r="W107">
        <v>0.44533000000001299</v>
      </c>
      <c r="X107">
        <v>1.01128999999997</v>
      </c>
      <c r="AH107">
        <v>9</v>
      </c>
      <c r="AI107">
        <v>1.2356866666666599</v>
      </c>
      <c r="AJ107">
        <v>11.15311</v>
      </c>
      <c r="AL107">
        <v>9</v>
      </c>
      <c r="AM107">
        <v>1.0165311111111099</v>
      </c>
      <c r="AN107">
        <v>9.1320800000000304</v>
      </c>
    </row>
    <row r="108" spans="4:40" x14ac:dyDescent="0.35">
      <c r="D108">
        <v>0.45549999999997198</v>
      </c>
      <c r="E108">
        <v>1.25846999999999</v>
      </c>
      <c r="G108">
        <v>0.389030000000048</v>
      </c>
      <c r="H108">
        <v>1.0298400000000401</v>
      </c>
      <c r="T108">
        <v>0.76098000000001798</v>
      </c>
      <c r="U108">
        <v>1.1979300000000399</v>
      </c>
      <c r="W108">
        <v>0.64308999999997196</v>
      </c>
      <c r="X108">
        <v>1.05473999999998</v>
      </c>
      <c r="AH108">
        <v>10</v>
      </c>
      <c r="AI108">
        <v>1.2208209999999999</v>
      </c>
      <c r="AJ108">
        <v>12.170540000000001</v>
      </c>
      <c r="AL108">
        <v>8</v>
      </c>
      <c r="AM108">
        <v>0.98886625000000095</v>
      </c>
      <c r="AN108">
        <v>7.9751999999999699</v>
      </c>
    </row>
    <row r="109" spans="4:40" x14ac:dyDescent="0.35">
      <c r="D109">
        <v>0.48532000000000203</v>
      </c>
      <c r="E109">
        <v>1.2081299999999799</v>
      </c>
      <c r="G109">
        <v>0.38740999999998899</v>
      </c>
      <c r="H109">
        <v>0.96395000000001096</v>
      </c>
      <c r="T109">
        <v>0.72708000000000095</v>
      </c>
      <c r="U109">
        <v>1.18699000000004</v>
      </c>
      <c r="W109">
        <v>0.51447000000001697</v>
      </c>
      <c r="X109">
        <v>1.0208699999999999</v>
      </c>
      <c r="AH109">
        <v>8</v>
      </c>
      <c r="AI109">
        <v>1.22860875</v>
      </c>
      <c r="AJ109">
        <v>9.9090300000000298</v>
      </c>
      <c r="AL109">
        <v>9</v>
      </c>
      <c r="AM109">
        <v>0.97588555555555301</v>
      </c>
      <c r="AN109">
        <v>8.8000000000000096</v>
      </c>
    </row>
    <row r="110" spans="4:40" x14ac:dyDescent="0.35">
      <c r="D110">
        <v>0.49808999999999098</v>
      </c>
      <c r="E110">
        <v>1.2165900000000001</v>
      </c>
      <c r="G110">
        <v>0.38755000000003298</v>
      </c>
      <c r="H110">
        <v>0.947060000000022</v>
      </c>
      <c r="T110">
        <v>0.75891999999998905</v>
      </c>
      <c r="U110">
        <v>1.17625000000004</v>
      </c>
      <c r="W110">
        <v>0.51691999999997096</v>
      </c>
      <c r="X110">
        <v>0.974629999999991</v>
      </c>
      <c r="AH110">
        <v>9</v>
      </c>
      <c r="AI110">
        <v>1.22383222222222</v>
      </c>
      <c r="AJ110">
        <v>11.018800000000001</v>
      </c>
      <c r="AL110">
        <v>9</v>
      </c>
      <c r="AM110">
        <v>0.953327777777777</v>
      </c>
      <c r="AN110">
        <v>8.5974099999999698</v>
      </c>
    </row>
    <row r="111" spans="4:40" x14ac:dyDescent="0.35">
      <c r="D111">
        <v>0.45899000000002799</v>
      </c>
      <c r="E111">
        <v>1.2217499999999899</v>
      </c>
      <c r="G111">
        <v>0.39528999999998898</v>
      </c>
      <c r="H111">
        <v>0.93734000000000595</v>
      </c>
      <c r="T111">
        <v>0.83118999999999199</v>
      </c>
      <c r="U111">
        <v>1.1847599999999801</v>
      </c>
      <c r="W111">
        <v>0.75590999999997199</v>
      </c>
      <c r="X111">
        <v>0.96791999999999201</v>
      </c>
      <c r="AH111">
        <v>8</v>
      </c>
      <c r="AI111">
        <v>1.22611125</v>
      </c>
      <c r="AJ111">
        <v>9.7646300000000092</v>
      </c>
      <c r="AL111">
        <v>10</v>
      </c>
      <c r="AM111">
        <v>0.95039100000000198</v>
      </c>
      <c r="AN111">
        <v>9.5391100000000506</v>
      </c>
    </row>
    <row r="112" spans="4:40" x14ac:dyDescent="0.35">
      <c r="D112">
        <v>0.467340000000036</v>
      </c>
      <c r="E112">
        <v>1.19929000000002</v>
      </c>
      <c r="G112">
        <v>0.42844000000002302</v>
      </c>
      <c r="H112">
        <v>0.93529000000000895</v>
      </c>
      <c r="T112">
        <v>0.71586000000002104</v>
      </c>
      <c r="U112">
        <v>1.15815000000003</v>
      </c>
      <c r="W112">
        <v>0.60651000000001398</v>
      </c>
      <c r="X112">
        <v>0.98788999999999305</v>
      </c>
      <c r="AH112">
        <v>10</v>
      </c>
      <c r="AI112">
        <v>1.210394</v>
      </c>
      <c r="AJ112">
        <v>12.13475</v>
      </c>
      <c r="AL112">
        <v>10</v>
      </c>
      <c r="AM112">
        <v>0.95226599999999695</v>
      </c>
      <c r="AN112">
        <v>9.4581299999999793</v>
      </c>
    </row>
    <row r="113" spans="4:40" x14ac:dyDescent="0.35">
      <c r="D113">
        <v>0.49101000000001699</v>
      </c>
      <c r="E113">
        <v>1.1756800000000001</v>
      </c>
      <c r="G113">
        <v>0.37880999999998699</v>
      </c>
      <c r="H113">
        <v>0.95018999999996401</v>
      </c>
      <c r="T113">
        <v>0.88972000000001095</v>
      </c>
      <c r="U113">
        <v>1.1812100000000201</v>
      </c>
      <c r="W113">
        <v>0.60308999999995205</v>
      </c>
      <c r="X113">
        <v>0.96924999999998795</v>
      </c>
      <c r="AH113">
        <v>8</v>
      </c>
      <c r="AI113">
        <v>1.2002375000000001</v>
      </c>
      <c r="AJ113">
        <v>9.6491799999999994</v>
      </c>
      <c r="AL113">
        <v>11</v>
      </c>
      <c r="AM113">
        <v>0.94188545454545702</v>
      </c>
      <c r="AN113">
        <v>10.398870000000001</v>
      </c>
    </row>
    <row r="114" spans="4:40" x14ac:dyDescent="0.35">
      <c r="D114">
        <v>0.50024999999999398</v>
      </c>
      <c r="E114">
        <v>1.21341999999999</v>
      </c>
      <c r="G114">
        <v>0.42579999999998103</v>
      </c>
      <c r="H114">
        <v>0.95904999999999097</v>
      </c>
      <c r="T114">
        <v>0.802329999999984</v>
      </c>
      <c r="U114">
        <v>1.16759999999999</v>
      </c>
      <c r="W114">
        <v>0.52199999999999103</v>
      </c>
      <c r="X114">
        <v>0.96188000000000795</v>
      </c>
      <c r="AH114">
        <v>11</v>
      </c>
      <c r="AI114">
        <v>1.2172290909090899</v>
      </c>
      <c r="AJ114">
        <v>13.36102</v>
      </c>
      <c r="AL114">
        <v>11</v>
      </c>
      <c r="AM114">
        <v>0.93868090909090895</v>
      </c>
      <c r="AN114">
        <v>10.33151</v>
      </c>
    </row>
    <row r="115" spans="4:40" x14ac:dyDescent="0.35">
      <c r="D115">
        <v>0.44952000000000703</v>
      </c>
      <c r="E115">
        <v>1.1920200000000101</v>
      </c>
      <c r="G115">
        <v>0.40797999999995199</v>
      </c>
      <c r="H115">
        <v>0.935209999999984</v>
      </c>
      <c r="T115">
        <v>0.82934000000000196</v>
      </c>
      <c r="U115">
        <v>1.1765600000000001</v>
      </c>
      <c r="W115">
        <v>0.57321000000001698</v>
      </c>
      <c r="X115">
        <v>0.95828000000000202</v>
      </c>
      <c r="AH115">
        <v>9</v>
      </c>
      <c r="AI115">
        <v>1.20519111111111</v>
      </c>
      <c r="AJ115">
        <v>10.81739</v>
      </c>
      <c r="AL115">
        <v>11</v>
      </c>
      <c r="AM115">
        <v>0.943574545454546</v>
      </c>
      <c r="AN115">
        <v>10.348039999999999</v>
      </c>
    </row>
    <row r="116" spans="4:40" x14ac:dyDescent="0.35">
      <c r="D116">
        <v>0.46555999999998199</v>
      </c>
      <c r="E116">
        <v>1.18049000000002</v>
      </c>
      <c r="G116">
        <v>0.40264999999999401</v>
      </c>
      <c r="H116">
        <v>0.96116000000000701</v>
      </c>
      <c r="T116">
        <v>0.75540000000000895</v>
      </c>
      <c r="U116">
        <v>1.1839299999999799</v>
      </c>
      <c r="W116">
        <v>0.65426000000002205</v>
      </c>
      <c r="X116">
        <v>0.96608000000003402</v>
      </c>
      <c r="AH116">
        <v>9</v>
      </c>
      <c r="AI116">
        <v>1.21407111111111</v>
      </c>
      <c r="AJ116">
        <v>10.95421</v>
      </c>
      <c r="AL116">
        <v>11</v>
      </c>
      <c r="AM116">
        <v>0.95034818181818004</v>
      </c>
      <c r="AN116">
        <v>10.45373</v>
      </c>
    </row>
    <row r="117" spans="4:40" x14ac:dyDescent="0.35">
      <c r="D117">
        <v>0.46510999999998198</v>
      </c>
      <c r="E117">
        <v>1.22091999999998</v>
      </c>
      <c r="G117">
        <v>0.39791000000002402</v>
      </c>
      <c r="H117">
        <v>0.95652000000001203</v>
      </c>
      <c r="T117">
        <v>0.58957999999995503</v>
      </c>
      <c r="U117">
        <v>1.17877999999996</v>
      </c>
      <c r="W117">
        <v>0.61786000000000696</v>
      </c>
      <c r="X117">
        <v>0.95945000000000402</v>
      </c>
      <c r="AH117">
        <v>12</v>
      </c>
      <c r="AI117">
        <v>1.2253033333333301</v>
      </c>
      <c r="AJ117">
        <v>14.66276</v>
      </c>
    </row>
    <row r="118" spans="4:40" x14ac:dyDescent="0.35">
      <c r="D118">
        <v>0.31218999999998698</v>
      </c>
      <c r="E118">
        <v>0.95021000000002698</v>
      </c>
      <c r="T118">
        <v>0.72939000000002396</v>
      </c>
      <c r="U118">
        <v>1.19893000000002</v>
      </c>
      <c r="AH118">
        <v>9</v>
      </c>
      <c r="AI118">
        <v>1.1850344444444501</v>
      </c>
      <c r="AJ118">
        <v>10.783099999999999</v>
      </c>
    </row>
    <row r="119" spans="4:40" x14ac:dyDescent="0.35">
      <c r="D119">
        <v>0.50218999999998504</v>
      </c>
      <c r="E119">
        <v>1.20587</v>
      </c>
      <c r="T119">
        <v>0.82561000000004003</v>
      </c>
      <c r="U119">
        <v>1.1846399999999999</v>
      </c>
      <c r="AH119">
        <v>9</v>
      </c>
      <c r="AI119">
        <v>1.2149044444444499</v>
      </c>
      <c r="AJ119">
        <v>10.86848</v>
      </c>
    </row>
    <row r="120" spans="4:40" x14ac:dyDescent="0.35">
      <c r="D120">
        <v>0.47809000000000901</v>
      </c>
      <c r="E120">
        <v>1.20655000000005</v>
      </c>
      <c r="T120">
        <v>0.74133999999998001</v>
      </c>
      <c r="U120">
        <v>1.17233999999996</v>
      </c>
      <c r="AH120">
        <v>9</v>
      </c>
      <c r="AI120">
        <v>1.2029799999999999</v>
      </c>
      <c r="AJ120">
        <v>10.80204</v>
      </c>
    </row>
    <row r="121" spans="4:40" x14ac:dyDescent="0.35">
      <c r="D121">
        <v>0.45920999999998502</v>
      </c>
      <c r="E121">
        <v>1.18386999999996</v>
      </c>
      <c r="T121">
        <v>0.77886999999998396</v>
      </c>
      <c r="U121">
        <v>1.17151000000001</v>
      </c>
      <c r="AH121">
        <v>12</v>
      </c>
      <c r="AI121">
        <v>1.18818333333333</v>
      </c>
      <c r="AJ121">
        <v>14.262</v>
      </c>
    </row>
    <row r="122" spans="4:40" x14ac:dyDescent="0.35">
      <c r="D122">
        <v>0.47572999999999899</v>
      </c>
      <c r="E122">
        <v>1.1988800000000299</v>
      </c>
      <c r="T122">
        <v>0.74442999999996595</v>
      </c>
      <c r="U122">
        <v>1.17561000000001</v>
      </c>
      <c r="AH122">
        <v>9</v>
      </c>
      <c r="AI122">
        <v>1.2036477777777801</v>
      </c>
      <c r="AJ122">
        <v>10.834339999999999</v>
      </c>
    </row>
    <row r="123" spans="4:40" x14ac:dyDescent="0.35">
      <c r="D123">
        <v>0.49156000000005001</v>
      </c>
      <c r="E123">
        <v>1.16512999999998</v>
      </c>
      <c r="T123">
        <v>0.69815999999991596</v>
      </c>
      <c r="U123">
        <v>1.1546799999999799</v>
      </c>
      <c r="AH123">
        <v>10</v>
      </c>
      <c r="AI123">
        <v>1.20049299999999</v>
      </c>
      <c r="AJ123">
        <v>12.0545100000001</v>
      </c>
    </row>
    <row r="124" spans="4:40" x14ac:dyDescent="0.35">
      <c r="D124">
        <v>0.47585999999989798</v>
      </c>
      <c r="E124">
        <v>1.2077799999999601</v>
      </c>
      <c r="T124">
        <v>0.44519999999999998</v>
      </c>
      <c r="U124">
        <v>1.20088999999996</v>
      </c>
      <c r="AH124">
        <v>9</v>
      </c>
      <c r="AI124">
        <v>1.2146400000000099</v>
      </c>
      <c r="AJ124">
        <v>10.8734099999999</v>
      </c>
    </row>
    <row r="125" spans="4:40" x14ac:dyDescent="0.35">
      <c r="D125">
        <v>0.438269999999989</v>
      </c>
      <c r="E125">
        <v>1.1904299999999901</v>
      </c>
      <c r="T125">
        <v>0.74308000000007701</v>
      </c>
      <c r="U125">
        <v>1.1909699999999901</v>
      </c>
      <c r="AH125">
        <v>9</v>
      </c>
      <c r="AI125">
        <v>1.2072733333333301</v>
      </c>
      <c r="AJ125">
        <v>10.845219999999999</v>
      </c>
    </row>
    <row r="126" spans="4:40" x14ac:dyDescent="0.35">
      <c r="D126">
        <v>0.47138000000006702</v>
      </c>
      <c r="E126">
        <v>1.2037300000000599</v>
      </c>
      <c r="T126">
        <v>0.76068999999995401</v>
      </c>
      <c r="U126">
        <v>1.18606999999997</v>
      </c>
      <c r="AH126">
        <v>7</v>
      </c>
      <c r="AI126">
        <v>1.2014628571428601</v>
      </c>
      <c r="AJ126">
        <v>8.4300500000000493</v>
      </c>
    </row>
    <row r="127" spans="4:40" x14ac:dyDescent="0.35">
      <c r="D127">
        <v>0.45539999999994102</v>
      </c>
      <c r="E127">
        <v>1.1827299999999901</v>
      </c>
      <c r="T127">
        <v>0.77012999999999499</v>
      </c>
      <c r="U127">
        <v>1.16134</v>
      </c>
      <c r="AH127">
        <v>11</v>
      </c>
      <c r="AI127">
        <v>1.20322818181818</v>
      </c>
      <c r="AJ127">
        <v>13.2405299999999</v>
      </c>
    </row>
    <row r="128" spans="4:40" x14ac:dyDescent="0.35">
      <c r="D128">
        <v>0.46513000000004501</v>
      </c>
      <c r="E128">
        <v>1.19370000000004</v>
      </c>
      <c r="T128">
        <v>0.84860000000003299</v>
      </c>
      <c r="U128">
        <v>1.16731000000004</v>
      </c>
      <c r="AH128">
        <v>9</v>
      </c>
      <c r="AI128">
        <v>1.1876166666666601</v>
      </c>
      <c r="AJ128">
        <v>10.68731</v>
      </c>
    </row>
    <row r="129" spans="4:36" x14ac:dyDescent="0.35">
      <c r="D129">
        <v>0.47024000000010302</v>
      </c>
      <c r="E129">
        <v>1.1892600000000999</v>
      </c>
      <c r="T129">
        <v>0.789549999999963</v>
      </c>
      <c r="U129">
        <v>1.1590099999999699</v>
      </c>
      <c r="AH129">
        <v>11</v>
      </c>
      <c r="AI129">
        <v>1.1657690909091001</v>
      </c>
      <c r="AJ129">
        <v>12.833010000000099</v>
      </c>
    </row>
    <row r="130" spans="4:36" x14ac:dyDescent="0.35">
      <c r="D130">
        <v>0.47284000000001902</v>
      </c>
      <c r="E130">
        <v>1.1449400000000201</v>
      </c>
      <c r="T130">
        <v>0.86511999999993405</v>
      </c>
      <c r="U130">
        <v>1.1714399999999601</v>
      </c>
      <c r="AH130">
        <v>9</v>
      </c>
      <c r="AI130">
        <v>1.17396999999999</v>
      </c>
      <c r="AJ130">
        <v>10.612649999999901</v>
      </c>
    </row>
    <row r="131" spans="4:36" x14ac:dyDescent="0.35">
      <c r="D131">
        <v>0.49371999999993899</v>
      </c>
      <c r="E131">
        <v>1.1818799999999801</v>
      </c>
      <c r="T131">
        <v>0.97161000000005504</v>
      </c>
      <c r="U131">
        <v>1.18601000000001</v>
      </c>
      <c r="AH131">
        <v>10</v>
      </c>
      <c r="AI131">
        <v>1.194221</v>
      </c>
      <c r="AJ131">
        <v>11.92615</v>
      </c>
    </row>
    <row r="132" spans="4:36" x14ac:dyDescent="0.35">
      <c r="D132">
        <v>0.47240999999996802</v>
      </c>
      <c r="E132">
        <v>1.1493799999999501</v>
      </c>
      <c r="T132">
        <v>0.94785000000001696</v>
      </c>
      <c r="U132">
        <v>1.1497099999999101</v>
      </c>
      <c r="AH132">
        <v>10</v>
      </c>
      <c r="AI132">
        <v>1.1725569999999901</v>
      </c>
      <c r="AJ132">
        <v>11.73676</v>
      </c>
    </row>
    <row r="133" spans="4:36" x14ac:dyDescent="0.35">
      <c r="D133">
        <v>0.43475999999998299</v>
      </c>
      <c r="E133">
        <v>1.1657300000000499</v>
      </c>
      <c r="T133">
        <v>0.92601999999999396</v>
      </c>
      <c r="U133">
        <v>1.1430900000000299</v>
      </c>
      <c r="AH133">
        <v>11</v>
      </c>
      <c r="AI133">
        <v>1.1714590909091001</v>
      </c>
      <c r="AJ133">
        <v>12.832050000000001</v>
      </c>
    </row>
    <row r="134" spans="4:36" x14ac:dyDescent="0.35">
      <c r="D134">
        <v>0.45672999999999297</v>
      </c>
      <c r="E134">
        <v>1.1795399999999701</v>
      </c>
      <c r="T134">
        <v>0.50778999999999996</v>
      </c>
      <c r="U134">
        <v>1.16039000000001</v>
      </c>
      <c r="AH134">
        <v>9</v>
      </c>
      <c r="AI134">
        <v>1.16550666666666</v>
      </c>
      <c r="AJ134">
        <v>10.497720000000101</v>
      </c>
    </row>
    <row r="135" spans="4:36" x14ac:dyDescent="0.35">
      <c r="D135">
        <v>0.45344999999997498</v>
      </c>
      <c r="E135">
        <v>1.13873000000001</v>
      </c>
      <c r="T135">
        <v>0.94595000000003904</v>
      </c>
      <c r="U135">
        <v>1.1438300000000901</v>
      </c>
      <c r="AH135">
        <v>11</v>
      </c>
      <c r="AI135">
        <v>1.15971</v>
      </c>
      <c r="AJ135">
        <v>12.794339999999901</v>
      </c>
    </row>
    <row r="136" spans="4:36" x14ac:dyDescent="0.35">
      <c r="D136">
        <v>0.476660000000038</v>
      </c>
      <c r="E136">
        <v>1.13886000000002</v>
      </c>
      <c r="T136">
        <v>0.46756000000004899</v>
      </c>
      <c r="U136">
        <v>1.1456299999999799</v>
      </c>
      <c r="AH136">
        <v>9</v>
      </c>
      <c r="AI136">
        <v>1.1474922222222299</v>
      </c>
      <c r="AJ136">
        <v>10.350510000000099</v>
      </c>
    </row>
    <row r="137" spans="4:36" x14ac:dyDescent="0.35">
      <c r="D137">
        <v>0.45263999999997401</v>
      </c>
      <c r="E137">
        <v>1.19159999999999</v>
      </c>
      <c r="T137">
        <v>0.51710000000002798</v>
      </c>
      <c r="U137">
        <v>1.15789000000007</v>
      </c>
      <c r="AH137">
        <v>10</v>
      </c>
      <c r="AI137">
        <v>1.1558550000000001</v>
      </c>
      <c r="AJ137">
        <v>11.481789999999901</v>
      </c>
    </row>
    <row r="138" spans="4:36" x14ac:dyDescent="0.35">
      <c r="D138">
        <v>0.44411999999999802</v>
      </c>
      <c r="E138">
        <v>1.14087999999992</v>
      </c>
      <c r="T138">
        <v>0.89058999999997501</v>
      </c>
      <c r="U138">
        <v>1.1566299999999501</v>
      </c>
      <c r="AH138">
        <v>11</v>
      </c>
      <c r="AI138">
        <v>1.1629363636363601</v>
      </c>
      <c r="AJ138">
        <v>12.8345</v>
      </c>
    </row>
    <row r="139" spans="4:36" x14ac:dyDescent="0.35">
      <c r="D139">
        <v>0.46455000000003099</v>
      </c>
      <c r="E139">
        <v>1.1166900000000599</v>
      </c>
      <c r="T139">
        <v>0.47990000000004301</v>
      </c>
      <c r="U139">
        <v>1.13813000000005</v>
      </c>
      <c r="AH139">
        <v>9</v>
      </c>
      <c r="AI139">
        <v>1.1122988888889001</v>
      </c>
      <c r="AJ139">
        <v>10.05531</v>
      </c>
    </row>
    <row r="140" spans="4:36" x14ac:dyDescent="0.35">
      <c r="D140">
        <v>0.46688000000006002</v>
      </c>
      <c r="E140">
        <v>1.15249000000006</v>
      </c>
      <c r="T140">
        <v>0.92126999999993597</v>
      </c>
      <c r="U140">
        <v>1.1271500000000301</v>
      </c>
      <c r="AH140">
        <v>11</v>
      </c>
      <c r="AI140">
        <v>1.14661818181818</v>
      </c>
      <c r="AJ140">
        <v>12.579330000000001</v>
      </c>
    </row>
    <row r="141" spans="4:36" x14ac:dyDescent="0.35">
      <c r="D141">
        <v>0.45449999999993901</v>
      </c>
      <c r="E141">
        <v>1.0944999999999301</v>
      </c>
      <c r="T141">
        <v>0.72090000000002896</v>
      </c>
      <c r="U141">
        <v>1.1226100000000101</v>
      </c>
      <c r="AH141">
        <v>9</v>
      </c>
      <c r="AI141">
        <v>1.12968</v>
      </c>
      <c r="AJ141">
        <v>10.212730000000001</v>
      </c>
    </row>
    <row r="142" spans="4:36" x14ac:dyDescent="0.35">
      <c r="D142">
        <v>0.46891999999991202</v>
      </c>
      <c r="E142">
        <v>1.12239</v>
      </c>
      <c r="T142">
        <v>0.72559000000001095</v>
      </c>
      <c r="U142">
        <v>1.13944000000004</v>
      </c>
      <c r="AH142">
        <v>10</v>
      </c>
      <c r="AI142">
        <v>1.14768300000001</v>
      </c>
      <c r="AJ142">
        <v>11.46336</v>
      </c>
    </row>
    <row r="143" spans="4:36" x14ac:dyDescent="0.35">
      <c r="D143">
        <v>0.46433999999999298</v>
      </c>
      <c r="E143">
        <v>1.1454899999999999</v>
      </c>
      <c r="T143">
        <v>0.74139999999999895</v>
      </c>
      <c r="U143">
        <v>1.09195</v>
      </c>
      <c r="AH143">
        <v>12</v>
      </c>
      <c r="AI143">
        <v>1.13422666666667</v>
      </c>
      <c r="AJ143">
        <v>13.5830400000001</v>
      </c>
    </row>
    <row r="144" spans="4:36" x14ac:dyDescent="0.35">
      <c r="D144">
        <v>0.43770999999992499</v>
      </c>
      <c r="E144">
        <v>1.1177400000000299</v>
      </c>
      <c r="T144">
        <v>0.46643999999992097</v>
      </c>
      <c r="U144">
        <v>1.1042599999999501</v>
      </c>
      <c r="AH144">
        <v>12</v>
      </c>
      <c r="AI144">
        <v>1.1307974999999999</v>
      </c>
      <c r="AJ144">
        <v>13.5706899999999</v>
      </c>
    </row>
    <row r="145" spans="3:48" x14ac:dyDescent="0.35">
      <c r="D145">
        <v>0.45554000000004202</v>
      </c>
      <c r="E145">
        <v>1.13569000000007</v>
      </c>
      <c r="T145">
        <v>0.49936999999999898</v>
      </c>
      <c r="U145">
        <v>1.11529999999993</v>
      </c>
      <c r="AH145">
        <v>10</v>
      </c>
      <c r="AI145">
        <v>1.1337680000000001</v>
      </c>
      <c r="AJ145">
        <v>11.337560000000099</v>
      </c>
    </row>
    <row r="146" spans="3:48" x14ac:dyDescent="0.35">
      <c r="D146">
        <v>0.43169000000000302</v>
      </c>
      <c r="E146">
        <v>1.1570500000000301</v>
      </c>
      <c r="T146">
        <v>0.56253000000003806</v>
      </c>
      <c r="U146">
        <v>1.09183000000007</v>
      </c>
      <c r="AH146">
        <v>13</v>
      </c>
      <c r="AI146">
        <v>1.1329207692307699</v>
      </c>
      <c r="AJ146">
        <v>14.68276</v>
      </c>
    </row>
    <row r="147" spans="3:48" x14ac:dyDescent="0.35">
      <c r="D147">
        <v>0.461189999999988</v>
      </c>
      <c r="E147">
        <v>1.13905999999997</v>
      </c>
      <c r="T147">
        <v>0.53179999999997596</v>
      </c>
      <c r="U147">
        <v>1.10262999999998</v>
      </c>
      <c r="AH147">
        <v>11</v>
      </c>
      <c r="AI147">
        <v>1.1271145454545399</v>
      </c>
      <c r="AJ147">
        <v>12.44575</v>
      </c>
    </row>
    <row r="148" spans="3:48" x14ac:dyDescent="0.35">
      <c r="D148">
        <v>0.45231000000001098</v>
      </c>
      <c r="E148">
        <v>1.13049000000001</v>
      </c>
      <c r="T148">
        <v>0.70446999999990101</v>
      </c>
      <c r="U148">
        <v>1.1018299999999499</v>
      </c>
      <c r="AH148">
        <v>12</v>
      </c>
      <c r="AI148">
        <v>1.12466833333334</v>
      </c>
      <c r="AJ148">
        <v>13.495710000000001</v>
      </c>
    </row>
    <row r="149" spans="3:48" x14ac:dyDescent="0.35">
      <c r="D149">
        <v>0.44763000000000402</v>
      </c>
      <c r="E149">
        <v>1.14081999999996</v>
      </c>
      <c r="T149">
        <v>0.58776999999997803</v>
      </c>
      <c r="U149">
        <v>1.08912999999995</v>
      </c>
      <c r="AH149">
        <v>9</v>
      </c>
      <c r="AI149">
        <v>1.0890844444444401</v>
      </c>
      <c r="AJ149">
        <v>9.7867499999999801</v>
      </c>
    </row>
    <row r="150" spans="3:48" x14ac:dyDescent="0.35">
      <c r="D150">
        <v>0.46563999999989403</v>
      </c>
      <c r="E150">
        <v>1.0861699999999199</v>
      </c>
      <c r="T150">
        <v>0.84200999999995896</v>
      </c>
      <c r="U150">
        <v>1.16701999999998</v>
      </c>
      <c r="AH150">
        <v>11</v>
      </c>
      <c r="AI150">
        <v>1.1392536363636401</v>
      </c>
      <c r="AJ150">
        <v>12.6044499999999</v>
      </c>
    </row>
    <row r="151" spans="3:48" x14ac:dyDescent="0.35">
      <c r="D151">
        <v>0.48212999999998402</v>
      </c>
      <c r="E151">
        <v>1.10748000000001</v>
      </c>
      <c r="T151">
        <v>0.84374000000002503</v>
      </c>
      <c r="U151">
        <v>1.1113599999999899</v>
      </c>
      <c r="AH151">
        <v>12</v>
      </c>
      <c r="AI151">
        <v>1.1327783333333299</v>
      </c>
      <c r="AJ151">
        <v>13.588520000000001</v>
      </c>
    </row>
    <row r="152" spans="3:48" x14ac:dyDescent="0.35">
      <c r="D152">
        <v>0.46455000000003099</v>
      </c>
      <c r="E152">
        <v>1.11788000000001</v>
      </c>
      <c r="T152">
        <v>0.62771000000009303</v>
      </c>
      <c r="U152">
        <v>1.12616000000003</v>
      </c>
      <c r="AH152">
        <v>11</v>
      </c>
      <c r="AI152">
        <v>1.1307627272727301</v>
      </c>
      <c r="AJ152">
        <v>12.4104100000001</v>
      </c>
    </row>
    <row r="153" spans="3:48" x14ac:dyDescent="0.35">
      <c r="D153">
        <v>0.48361999999997402</v>
      </c>
      <c r="E153">
        <v>1.13451999999995</v>
      </c>
      <c r="T153">
        <v>0.73639000000002897</v>
      </c>
      <c r="U153">
        <v>1.1165799999999999</v>
      </c>
      <c r="AH153">
        <v>9</v>
      </c>
      <c r="AI153">
        <v>1.15140888888888</v>
      </c>
      <c r="AJ153">
        <v>10.36511</v>
      </c>
    </row>
    <row r="154" spans="3:48" x14ac:dyDescent="0.35">
      <c r="D154">
        <v>0.48144999999999499</v>
      </c>
      <c r="E154">
        <v>1.15853000000004</v>
      </c>
      <c r="T154">
        <v>0.74271999999996297</v>
      </c>
      <c r="U154">
        <v>1.1018800000000499</v>
      </c>
      <c r="AH154">
        <v>11</v>
      </c>
      <c r="AI154">
        <v>1.14788545454546</v>
      </c>
      <c r="AJ154">
        <v>12.60056</v>
      </c>
    </row>
    <row r="155" spans="3:48" x14ac:dyDescent="0.35">
      <c r="D155">
        <v>0.42079999999998602</v>
      </c>
      <c r="E155">
        <v>1.1244100000000099</v>
      </c>
      <c r="T155">
        <v>0.882510000000025</v>
      </c>
      <c r="U155">
        <v>1.0924</v>
      </c>
      <c r="AH155">
        <v>10</v>
      </c>
      <c r="AI155">
        <v>1.1393759999999999</v>
      </c>
      <c r="AJ155">
        <v>11.367230000000101</v>
      </c>
    </row>
    <row r="156" spans="3:48" x14ac:dyDescent="0.35">
      <c r="D156">
        <v>0.47926999999992898</v>
      </c>
      <c r="E156">
        <v>1.14661999999998</v>
      </c>
      <c r="T156">
        <v>0.56884999999999797</v>
      </c>
      <c r="U156">
        <v>1.13126999999997</v>
      </c>
      <c r="AH156">
        <v>10</v>
      </c>
      <c r="AI156">
        <v>1.142126</v>
      </c>
      <c r="AJ156">
        <v>11.457519999999899</v>
      </c>
    </row>
    <row r="157" spans="3:48" x14ac:dyDescent="0.35">
      <c r="D157">
        <v>0.47618999999997402</v>
      </c>
      <c r="E157">
        <v>1.1493499999999099</v>
      </c>
      <c r="T157">
        <v>0.76009999999996603</v>
      </c>
      <c r="U157">
        <v>1.12459000000001</v>
      </c>
      <c r="AH157">
        <v>11</v>
      </c>
      <c r="AI157">
        <v>1.1559654545454501</v>
      </c>
      <c r="AJ157">
        <v>12.7098100000001</v>
      </c>
    </row>
    <row r="158" spans="3:48" x14ac:dyDescent="0.35">
      <c r="D158">
        <v>0.47760000000005198</v>
      </c>
      <c r="E158">
        <v>1.10257000000001</v>
      </c>
      <c r="T158">
        <v>0.79058999999995205</v>
      </c>
      <c r="U158">
        <v>1.14138000000003</v>
      </c>
      <c r="AH158">
        <v>10</v>
      </c>
      <c r="AI158">
        <v>1.14309500000001</v>
      </c>
      <c r="AJ158">
        <v>11.479139999999999</v>
      </c>
    </row>
    <row r="159" spans="3:48" x14ac:dyDescent="0.35">
      <c r="C159" t="s">
        <v>548</v>
      </c>
      <c r="T159">
        <v>0.89227000000005297</v>
      </c>
      <c r="U159">
        <v>1.11234999999999</v>
      </c>
      <c r="AG159" t="s">
        <v>77</v>
      </c>
      <c r="AH159">
        <f>AVERAGE(AH74:AH158)</f>
        <v>9.3058823529411772</v>
      </c>
      <c r="AI159">
        <f t="shared" ref="AI159:AJ159" si="22">AVERAGE(AI74:AI158)</f>
        <v>1.2102196169480846</v>
      </c>
      <c r="AJ159">
        <f t="shared" si="22"/>
        <v>11.20767811764706</v>
      </c>
      <c r="AL159">
        <f>AVERAGE(AL74:AL158)</f>
        <v>8.1860465116279073</v>
      </c>
      <c r="AM159">
        <f t="shared" ref="AM159" si="23">AVERAGE(AM74:AM158)</f>
        <v>1.0142775771418502</v>
      </c>
      <c r="AN159">
        <f t="shared" ref="AN159" si="24">AVERAGE(AN74:AN158)</f>
        <v>8.2558906976744186</v>
      </c>
      <c r="AP159">
        <f>AVERAGE(AP74:AP158)</f>
        <v>12.8</v>
      </c>
      <c r="AQ159">
        <f t="shared" ref="AQ159" si="25">AVERAGE(AQ74:AQ158)</f>
        <v>0.89592725740301371</v>
      </c>
      <c r="AR159">
        <f t="shared" ref="AR159" si="26">AVERAGE(AR74:AR158)</f>
        <v>11.460819499999998</v>
      </c>
      <c r="AT159">
        <f>AVERAGE(AT74:AT158)</f>
        <v>13.0625</v>
      </c>
      <c r="AU159">
        <f t="shared" ref="AU159" si="27">AVERAGE(AU74:AU158)</f>
        <v>1.0028389571314107</v>
      </c>
      <c r="AV159">
        <f t="shared" ref="AV159" si="28">AVERAGE(AV74:AV158)</f>
        <v>13.124597499999998</v>
      </c>
    </row>
    <row r="160" spans="3:48" x14ac:dyDescent="0.35">
      <c r="AG160" t="s">
        <v>94</v>
      </c>
      <c r="AH160">
        <f>_xlfn.STDEV.S(AH74:AH158)</f>
        <v>1.5585671793865876</v>
      </c>
      <c r="AI160">
        <f t="shared" ref="AI160:AJ160" si="29">_xlfn.STDEV.S(AI74:AI158)</f>
        <v>6.2787173271462909E-2</v>
      </c>
      <c r="AJ160">
        <f t="shared" si="29"/>
        <v>1.6124177416467962</v>
      </c>
      <c r="AL160">
        <f>_xlfn.STDEV.S(AL74:AL158)</f>
        <v>1.5000922821373408</v>
      </c>
      <c r="AM160">
        <f t="shared" ref="AM160:AN160" si="30">_xlfn.STDEV.S(AM74:AM158)</f>
        <v>4.7178140409251751E-2</v>
      </c>
      <c r="AN160">
        <f t="shared" si="30"/>
        <v>1.2454818072621219</v>
      </c>
      <c r="AP160">
        <f>_xlfn.STDEV.S(AP74:AP158)</f>
        <v>2.8395700193403988</v>
      </c>
      <c r="AQ160">
        <f t="shared" ref="AQ160:AR160" si="31">_xlfn.STDEV.S(AQ74:AQ158)</f>
        <v>1.1814520210441758E-2</v>
      </c>
      <c r="AR160">
        <f t="shared" si="31"/>
        <v>2.506699193486559</v>
      </c>
      <c r="AT160">
        <f>_xlfn.STDEV.S(AT74:AT158)</f>
        <v>2.174664725116648</v>
      </c>
      <c r="AU160">
        <f t="shared" ref="AU160:AV160" si="32">_xlfn.STDEV.S(AU74:AU158)</f>
        <v>6.0018421488559097E-3</v>
      </c>
      <c r="AV160">
        <f t="shared" si="32"/>
        <v>2.0949147679002791</v>
      </c>
    </row>
    <row r="169" spans="1:48" ht="18.5" x14ac:dyDescent="0.45">
      <c r="H169" s="192" t="s">
        <v>544</v>
      </c>
      <c r="X169" s="192" t="s">
        <v>545</v>
      </c>
      <c r="AH169" s="139" t="s">
        <v>380</v>
      </c>
      <c r="AM169" s="192" t="s">
        <v>556</v>
      </c>
    </row>
    <row r="170" spans="1:48" x14ac:dyDescent="0.35">
      <c r="AH170" s="104" t="s">
        <v>384</v>
      </c>
    </row>
    <row r="171" spans="1:48" x14ac:dyDescent="0.35">
      <c r="C171" s="139" t="s">
        <v>380</v>
      </c>
      <c r="D171" s="139" t="s">
        <v>0</v>
      </c>
      <c r="E171" s="139"/>
      <c r="F171" s="139"/>
      <c r="G171" s="139" t="s">
        <v>91</v>
      </c>
      <c r="J171" s="139" t="s">
        <v>86</v>
      </c>
      <c r="M171" s="139" t="s">
        <v>92</v>
      </c>
      <c r="S171" s="139" t="s">
        <v>380</v>
      </c>
      <c r="T171" s="139" t="s">
        <v>0</v>
      </c>
      <c r="U171" s="139"/>
      <c r="V171" s="139"/>
      <c r="W171" s="139" t="s">
        <v>91</v>
      </c>
      <c r="Z171" s="139" t="s">
        <v>86</v>
      </c>
      <c r="AC171" s="139" t="s">
        <v>92</v>
      </c>
      <c r="AI171" s="139" t="s">
        <v>0</v>
      </c>
      <c r="AJ171" s="139"/>
      <c r="AK171" s="139"/>
      <c r="AM171" s="139" t="s">
        <v>91</v>
      </c>
      <c r="AQ171" s="139" t="s">
        <v>86</v>
      </c>
      <c r="AU171" s="139" t="s">
        <v>92</v>
      </c>
    </row>
    <row r="172" spans="1:48" x14ac:dyDescent="0.35">
      <c r="C172" s="104" t="s">
        <v>384</v>
      </c>
      <c r="D172" s="104" t="s">
        <v>542</v>
      </c>
      <c r="E172" s="104" t="s">
        <v>543</v>
      </c>
      <c r="F172" s="104"/>
      <c r="G172" s="104" t="s">
        <v>542</v>
      </c>
      <c r="H172" s="104" t="s">
        <v>543</v>
      </c>
      <c r="I172" s="104"/>
      <c r="J172" s="104" t="s">
        <v>542</v>
      </c>
      <c r="K172" s="104" t="s">
        <v>543</v>
      </c>
      <c r="L172" s="104"/>
      <c r="M172" s="104" t="s">
        <v>542</v>
      </c>
      <c r="N172" s="104" t="s">
        <v>543</v>
      </c>
      <c r="S172" s="104" t="s">
        <v>384</v>
      </c>
      <c r="T172" s="104" t="s">
        <v>542</v>
      </c>
      <c r="U172" s="104" t="s">
        <v>543</v>
      </c>
      <c r="V172" s="104"/>
      <c r="W172" s="104" t="s">
        <v>542</v>
      </c>
      <c r="X172" s="104" t="s">
        <v>543</v>
      </c>
      <c r="Y172" s="104"/>
      <c r="Z172" s="104" t="s">
        <v>542</v>
      </c>
      <c r="AA172" s="104" t="s">
        <v>543</v>
      </c>
      <c r="AB172" s="104"/>
      <c r="AC172" s="104" t="s">
        <v>542</v>
      </c>
      <c r="AD172" s="104" t="s">
        <v>543</v>
      </c>
      <c r="AH172" s="104" t="s">
        <v>649</v>
      </c>
      <c r="AI172" s="104" t="s">
        <v>546</v>
      </c>
      <c r="AJ172" s="104" t="s">
        <v>547</v>
      </c>
      <c r="AK172" s="104"/>
      <c r="AL172" s="104" t="s">
        <v>649</v>
      </c>
      <c r="AM172" s="104" t="s">
        <v>546</v>
      </c>
      <c r="AN172" s="104" t="s">
        <v>547</v>
      </c>
      <c r="AO172" s="104"/>
      <c r="AP172" s="104" t="s">
        <v>649</v>
      </c>
      <c r="AQ172" s="104" t="s">
        <v>546</v>
      </c>
      <c r="AR172" s="104" t="s">
        <v>547</v>
      </c>
      <c r="AS172" s="104"/>
      <c r="AT172" s="104" t="s">
        <v>649</v>
      </c>
      <c r="AU172" s="104" t="s">
        <v>546</v>
      </c>
      <c r="AV172" s="104" t="s">
        <v>547</v>
      </c>
    </row>
    <row r="173" spans="1:48" x14ac:dyDescent="0.35">
      <c r="D173">
        <v>0.39802999999999999</v>
      </c>
      <c r="E173">
        <v>1.77532</v>
      </c>
      <c r="G173">
        <v>0.42460999999999999</v>
      </c>
      <c r="H173">
        <v>1.0056700000000001</v>
      </c>
      <c r="J173">
        <v>0.34192</v>
      </c>
      <c r="K173">
        <v>0.93247999999999998</v>
      </c>
      <c r="M173">
        <v>0.33502999999999999</v>
      </c>
      <c r="N173">
        <v>0.94464999999999899</v>
      </c>
      <c r="T173">
        <v>0.78873000000000004</v>
      </c>
      <c r="U173">
        <v>1.79297</v>
      </c>
      <c r="W173">
        <v>0.88841000000000003</v>
      </c>
      <c r="X173">
        <v>0.93542999999999998</v>
      </c>
      <c r="Z173">
        <v>0.47389999999999999</v>
      </c>
      <c r="AA173">
        <v>1.0061800000000001</v>
      </c>
      <c r="AC173">
        <v>0.55036000000000096</v>
      </c>
      <c r="AD173">
        <v>0.96383000000000196</v>
      </c>
      <c r="AH173">
        <v>5</v>
      </c>
      <c r="AI173">
        <v>1.5700940000000001</v>
      </c>
      <c r="AJ173">
        <v>7.9528800000000004</v>
      </c>
      <c r="AL173">
        <v>11</v>
      </c>
      <c r="AM173">
        <v>0.97187545454545399</v>
      </c>
      <c r="AN173">
        <v>10.69576</v>
      </c>
      <c r="AP173">
        <v>13</v>
      </c>
      <c r="AQ173">
        <v>0.94950923076923099</v>
      </c>
      <c r="AR173">
        <v>12.39615</v>
      </c>
      <c r="AT173">
        <v>19</v>
      </c>
      <c r="AU173">
        <v>0.93573210526315798</v>
      </c>
      <c r="AV173">
        <v>17.85211</v>
      </c>
    </row>
    <row r="174" spans="1:48" x14ac:dyDescent="0.35">
      <c r="D174">
        <v>0.42915999999999999</v>
      </c>
      <c r="E174">
        <v>1.70404</v>
      </c>
      <c r="G174">
        <v>0.41053000000000101</v>
      </c>
      <c r="H174">
        <v>0.986460000000001</v>
      </c>
      <c r="J174">
        <v>0.38067000000000001</v>
      </c>
      <c r="K174">
        <v>0.91869999999999896</v>
      </c>
      <c r="M174">
        <v>0.398260000000001</v>
      </c>
      <c r="N174">
        <v>0.93467999999999996</v>
      </c>
      <c r="T174">
        <v>0.68308000000000002</v>
      </c>
      <c r="U174">
        <v>1.7341200000000001</v>
      </c>
      <c r="W174">
        <v>0.41917000000000099</v>
      </c>
      <c r="X174">
        <v>1.0788800000000001</v>
      </c>
      <c r="Z174">
        <v>0.75685999999999998</v>
      </c>
      <c r="AA174">
        <v>0.97677999999999798</v>
      </c>
      <c r="AC174">
        <v>0.51590999999999798</v>
      </c>
      <c r="AD174">
        <v>0.95656999999999903</v>
      </c>
      <c r="AH174">
        <v>6</v>
      </c>
      <c r="AI174">
        <v>1.5668483333333301</v>
      </c>
      <c r="AJ174">
        <v>9.2781800000000008</v>
      </c>
      <c r="AL174">
        <v>11</v>
      </c>
      <c r="AM174">
        <v>0.95362363636363601</v>
      </c>
      <c r="AN174">
        <v>10.520580000000001</v>
      </c>
      <c r="AP174">
        <v>22</v>
      </c>
      <c r="AQ174">
        <v>0.93618909090909097</v>
      </c>
      <c r="AR174">
        <v>20.59911</v>
      </c>
      <c r="AT174">
        <v>21</v>
      </c>
      <c r="AU174">
        <v>0.92872857142857201</v>
      </c>
      <c r="AV174">
        <v>19.53783</v>
      </c>
    </row>
    <row r="175" spans="1:48" x14ac:dyDescent="0.35">
      <c r="D175">
        <v>0.38883000000000201</v>
      </c>
      <c r="E175">
        <v>1.7866200000000001</v>
      </c>
      <c r="G175">
        <v>0.42486999999999903</v>
      </c>
      <c r="H175">
        <v>0.97007999999999905</v>
      </c>
      <c r="J175">
        <v>0.37931999999999999</v>
      </c>
      <c r="K175">
        <v>0.91440000000000099</v>
      </c>
      <c r="M175">
        <v>0.39385999999999699</v>
      </c>
      <c r="N175">
        <v>0.89575000000000005</v>
      </c>
      <c r="T175">
        <v>1.10537</v>
      </c>
      <c r="U175">
        <v>1.9155</v>
      </c>
      <c r="W175">
        <v>0.67371999999999899</v>
      </c>
      <c r="X175">
        <v>1.20397</v>
      </c>
      <c r="Z175">
        <v>0.55102000000000095</v>
      </c>
      <c r="AA175">
        <v>0.958309999999997</v>
      </c>
      <c r="AC175">
        <v>0.36307</v>
      </c>
      <c r="AD175">
        <v>0.91456000000000204</v>
      </c>
      <c r="AH175">
        <v>6</v>
      </c>
      <c r="AI175">
        <v>1.6023766666666699</v>
      </c>
      <c r="AJ175">
        <v>9.5716800000000006</v>
      </c>
      <c r="AL175">
        <v>12</v>
      </c>
      <c r="AM175">
        <v>0.96818166666666705</v>
      </c>
      <c r="AN175">
        <v>11.62773</v>
      </c>
      <c r="AP175">
        <v>26</v>
      </c>
      <c r="AQ175">
        <v>0.93861038461538504</v>
      </c>
      <c r="AR175">
        <v>24.40428</v>
      </c>
      <c r="AT175">
        <v>19</v>
      </c>
      <c r="AU175">
        <v>0.92131105263157898</v>
      </c>
      <c r="AV175">
        <v>17.50216</v>
      </c>
    </row>
    <row r="176" spans="1:48" x14ac:dyDescent="0.35">
      <c r="A176" t="s">
        <v>77</v>
      </c>
      <c r="B176">
        <v>0.41570000000000001</v>
      </c>
      <c r="D176">
        <v>0.35817000000000099</v>
      </c>
      <c r="E176">
        <v>1.79854</v>
      </c>
      <c r="G176">
        <v>0.44375000000000098</v>
      </c>
      <c r="H176">
        <v>0.979410000000001</v>
      </c>
      <c r="J176">
        <v>0.39019999999999999</v>
      </c>
      <c r="K176">
        <v>0.92486999999999897</v>
      </c>
      <c r="M176">
        <v>0.38042000000000098</v>
      </c>
      <c r="N176">
        <v>0.88506000000000995</v>
      </c>
      <c r="Q176" t="s">
        <v>77</v>
      </c>
      <c r="R176">
        <v>0.76929999999999998</v>
      </c>
      <c r="T176">
        <v>0.80022000000000004</v>
      </c>
      <c r="U176">
        <v>1.8604099999999999</v>
      </c>
      <c r="W176">
        <v>5.0740000000004698E-2</v>
      </c>
      <c r="X176">
        <v>0.991850000000007</v>
      </c>
      <c r="Z176">
        <v>0.53764000000001</v>
      </c>
      <c r="AA176">
        <v>0.99361000000000399</v>
      </c>
      <c r="AC176">
        <v>0.459820000000008</v>
      </c>
      <c r="AD176">
        <v>0.968090000000004</v>
      </c>
      <c r="AH176">
        <v>6</v>
      </c>
      <c r="AI176">
        <v>1.5899300000000001</v>
      </c>
      <c r="AJ176">
        <v>9.6453899999999901</v>
      </c>
      <c r="AL176">
        <v>13</v>
      </c>
      <c r="AM176">
        <v>0.909986153846154</v>
      </c>
      <c r="AN176">
        <v>11.7913</v>
      </c>
      <c r="AP176">
        <v>36</v>
      </c>
      <c r="AQ176">
        <v>0.93149722222222198</v>
      </c>
      <c r="AR176">
        <v>33.568860000000001</v>
      </c>
      <c r="AT176">
        <v>19</v>
      </c>
      <c r="AU176">
        <v>0.93456578947368396</v>
      </c>
      <c r="AV176">
        <v>17.721430000000002</v>
      </c>
    </row>
    <row r="177" spans="1:44" x14ac:dyDescent="0.35">
      <c r="A177" t="s">
        <v>94</v>
      </c>
      <c r="B177">
        <v>3.44E-2</v>
      </c>
      <c r="D177">
        <v>0.40148999999999502</v>
      </c>
      <c r="E177">
        <v>1.7360500000000001</v>
      </c>
      <c r="G177">
        <v>0.41377000000000003</v>
      </c>
      <c r="H177">
        <v>0.987949999999998</v>
      </c>
      <c r="J177">
        <v>0.42616999999999899</v>
      </c>
      <c r="K177">
        <v>0.92587999999999204</v>
      </c>
      <c r="M177">
        <v>0.36798999999999199</v>
      </c>
      <c r="N177">
        <v>0.90795000000000003</v>
      </c>
      <c r="Q177" t="s">
        <v>94</v>
      </c>
      <c r="R177">
        <v>0.31269999999999998</v>
      </c>
      <c r="T177">
        <v>0.87579999999999802</v>
      </c>
      <c r="U177">
        <v>1.9012500000000001</v>
      </c>
      <c r="W177">
        <v>0.78105000000000102</v>
      </c>
      <c r="X177">
        <v>1.07308</v>
      </c>
      <c r="Z177">
        <v>0.551080000000013</v>
      </c>
      <c r="AA177">
        <v>0.92825000000000601</v>
      </c>
      <c r="AC177">
        <v>0.486130000000003</v>
      </c>
      <c r="AD177">
        <v>0.90534999999999899</v>
      </c>
      <c r="AH177">
        <v>5</v>
      </c>
      <c r="AI177">
        <v>1.6147940000000001</v>
      </c>
      <c r="AJ177">
        <v>8.0776700000000101</v>
      </c>
      <c r="AL177">
        <v>13</v>
      </c>
      <c r="AM177">
        <v>0.95385307692307697</v>
      </c>
      <c r="AN177">
        <v>12.411770000000001</v>
      </c>
      <c r="AP177">
        <v>29</v>
      </c>
      <c r="AQ177">
        <v>0.92215103448275904</v>
      </c>
      <c r="AR177">
        <v>26.712540000000001</v>
      </c>
    </row>
    <row r="178" spans="1:44" x14ac:dyDescent="0.35">
      <c r="A178" t="s">
        <v>685</v>
      </c>
      <c r="B178">
        <f>B177/B176</f>
        <v>8.2751984604281931E-2</v>
      </c>
      <c r="D178">
        <v>0.40622000000000502</v>
      </c>
      <c r="E178">
        <v>1.7370800000000099</v>
      </c>
      <c r="G178">
        <v>0.41389000000000198</v>
      </c>
      <c r="H178">
        <v>0.97638999999999498</v>
      </c>
      <c r="J178">
        <v>0.39320000000000699</v>
      </c>
      <c r="K178">
        <v>0.92275000000000795</v>
      </c>
      <c r="Q178" t="s">
        <v>685</v>
      </c>
      <c r="R178">
        <f>R177/R176</f>
        <v>0.40647341739243464</v>
      </c>
      <c r="T178">
        <v>1.1409499999999999</v>
      </c>
      <c r="U178">
        <v>1.86790999999999</v>
      </c>
      <c r="W178">
        <v>0.39710999999999802</v>
      </c>
      <c r="X178">
        <v>1.05193</v>
      </c>
      <c r="Z178">
        <v>0.65171999999999697</v>
      </c>
      <c r="AA178">
        <v>0.98714999999999997</v>
      </c>
      <c r="AH178">
        <v>5</v>
      </c>
      <c r="AI178">
        <v>1.5731679999999999</v>
      </c>
      <c r="AJ178">
        <v>8.09572</v>
      </c>
      <c r="AL178">
        <v>12</v>
      </c>
      <c r="AM178">
        <v>0.94579666666666795</v>
      </c>
      <c r="AN178">
        <v>11.37495</v>
      </c>
      <c r="AP178">
        <v>14</v>
      </c>
      <c r="AQ178">
        <v>0.948256428571428</v>
      </c>
      <c r="AR178">
        <v>13.217370000000001</v>
      </c>
    </row>
    <row r="179" spans="1:44" x14ac:dyDescent="0.35">
      <c r="A179" t="s">
        <v>679</v>
      </c>
      <c r="D179">
        <v>0.433950000000003</v>
      </c>
      <c r="E179">
        <v>1.5349299999999999</v>
      </c>
      <c r="G179">
        <v>0.40839999999999999</v>
      </c>
      <c r="H179">
        <v>0.94551000000001295</v>
      </c>
      <c r="J179">
        <v>0.342019999999991</v>
      </c>
      <c r="K179">
        <v>0.92978999999999701</v>
      </c>
      <c r="Q179" t="s">
        <v>679</v>
      </c>
      <c r="T179">
        <v>0.41979999999999501</v>
      </c>
      <c r="U179">
        <v>1.63449</v>
      </c>
      <c r="W179">
        <v>0.42146999999999901</v>
      </c>
      <c r="X179">
        <v>1.0065199999999901</v>
      </c>
      <c r="Z179">
        <v>0.33951000000001802</v>
      </c>
      <c r="AA179">
        <v>0.97220000000001505</v>
      </c>
      <c r="AH179">
        <v>6</v>
      </c>
      <c r="AI179">
        <v>1.61269166666667</v>
      </c>
      <c r="AJ179">
        <v>9.4590800000000002</v>
      </c>
      <c r="AL179">
        <v>13</v>
      </c>
      <c r="AM179">
        <v>0.95638923076923099</v>
      </c>
      <c r="AN179">
        <v>12.40532</v>
      </c>
      <c r="AP179">
        <v>19</v>
      </c>
      <c r="AQ179">
        <v>0.93920947368421004</v>
      </c>
      <c r="AR179">
        <v>17.869230000000002</v>
      </c>
    </row>
    <row r="180" spans="1:44" x14ac:dyDescent="0.35">
      <c r="A180" t="s">
        <v>680</v>
      </c>
      <c r="B180">
        <v>1.6000000000000001E-3</v>
      </c>
      <c r="D180">
        <v>0.395150000000001</v>
      </c>
      <c r="E180">
        <v>1.7132000000000001</v>
      </c>
      <c r="G180">
        <v>0.41485999999999001</v>
      </c>
      <c r="H180">
        <v>0.97970999999999697</v>
      </c>
      <c r="J180">
        <v>0.35969000000000101</v>
      </c>
      <c r="K180">
        <v>0.92320999999998299</v>
      </c>
      <c r="Q180" t="s">
        <v>680</v>
      </c>
      <c r="R180" s="242">
        <v>3.3400000000000002E-14</v>
      </c>
      <c r="T180">
        <v>1.3360799999999999</v>
      </c>
      <c r="U180">
        <v>1.8662699999999901</v>
      </c>
      <c r="W180">
        <v>0.79150999999998795</v>
      </c>
      <c r="X180">
        <v>1.03480999999999</v>
      </c>
      <c r="Z180">
        <v>0.48687000000001002</v>
      </c>
      <c r="AA180">
        <v>0.94498000000001503</v>
      </c>
      <c r="AH180">
        <v>6</v>
      </c>
      <c r="AI180">
        <v>1.59794666666667</v>
      </c>
      <c r="AJ180">
        <v>9.6363699999999906</v>
      </c>
      <c r="AL180">
        <v>15</v>
      </c>
      <c r="AM180">
        <v>0.96132066666666705</v>
      </c>
      <c r="AN180">
        <v>14.444369999999999</v>
      </c>
      <c r="AP180">
        <v>25</v>
      </c>
      <c r="AQ180">
        <v>0.93114440000000098</v>
      </c>
      <c r="AR180">
        <v>23.345030000000001</v>
      </c>
    </row>
    <row r="181" spans="1:44" x14ac:dyDescent="0.35">
      <c r="A181" t="s">
        <v>681</v>
      </c>
      <c r="B181">
        <v>2.3E-3</v>
      </c>
      <c r="D181">
        <v>0.40475999999999601</v>
      </c>
      <c r="E181">
        <v>1.6741200000000001</v>
      </c>
      <c r="G181">
        <v>0.43240000000000101</v>
      </c>
      <c r="H181">
        <v>0.97269000000000005</v>
      </c>
      <c r="J181">
        <v>0.44488999999998702</v>
      </c>
      <c r="K181">
        <v>0.94199000000000399</v>
      </c>
      <c r="Q181" t="s">
        <v>681</v>
      </c>
      <c r="R181" s="242">
        <v>1.61E-13</v>
      </c>
      <c r="T181">
        <v>1.21329</v>
      </c>
      <c r="U181">
        <v>1.8848199999999999</v>
      </c>
      <c r="W181">
        <v>0.36737000000000802</v>
      </c>
      <c r="X181">
        <v>1.0160400000000001</v>
      </c>
      <c r="Z181">
        <v>0.44879000000000202</v>
      </c>
      <c r="AA181">
        <v>0.93939000000000294</v>
      </c>
      <c r="AH181">
        <v>9</v>
      </c>
      <c r="AI181">
        <v>1.6126555555555599</v>
      </c>
      <c r="AJ181">
        <v>14.46636</v>
      </c>
      <c r="AL181">
        <v>12</v>
      </c>
      <c r="AM181">
        <v>0.97073750000000003</v>
      </c>
      <c r="AN181">
        <v>11.689069999999999</v>
      </c>
      <c r="AP181">
        <v>20</v>
      </c>
      <c r="AQ181">
        <v>0.93591749999999896</v>
      </c>
      <c r="AR181">
        <v>18.705880000000001</v>
      </c>
    </row>
    <row r="182" spans="1:44" x14ac:dyDescent="0.35">
      <c r="A182" t="s">
        <v>682</v>
      </c>
      <c r="B182">
        <v>0.10979999999999999</v>
      </c>
      <c r="D182">
        <v>0.43022000000000599</v>
      </c>
      <c r="E182">
        <v>1.74712000000001</v>
      </c>
      <c r="G182">
        <v>0.44543000000000199</v>
      </c>
      <c r="H182">
        <v>0.94549999999999601</v>
      </c>
      <c r="J182">
        <v>0.410629999999998</v>
      </c>
      <c r="K182">
        <v>0.92019999999999402</v>
      </c>
      <c r="Q182" t="s">
        <v>682</v>
      </c>
      <c r="R182">
        <v>0.58009999999999995</v>
      </c>
      <c r="T182">
        <v>1.0239199999999899</v>
      </c>
      <c r="U182">
        <v>1.84940999999999</v>
      </c>
      <c r="W182">
        <v>0.73703000000000396</v>
      </c>
      <c r="X182">
        <v>1.0203900000000099</v>
      </c>
      <c r="Z182">
        <v>0.52703999999999995</v>
      </c>
      <c r="AA182">
        <v>0.98332999999999504</v>
      </c>
      <c r="AH182">
        <v>6</v>
      </c>
      <c r="AI182">
        <v>1.58049666666667</v>
      </c>
      <c r="AJ182">
        <v>9.6537000000000006</v>
      </c>
      <c r="AP182">
        <v>33</v>
      </c>
      <c r="AQ182">
        <v>0.927797878787879</v>
      </c>
      <c r="AR182">
        <v>30.59272</v>
      </c>
    </row>
    <row r="183" spans="1:44" x14ac:dyDescent="0.35">
      <c r="A183" t="s">
        <v>683</v>
      </c>
      <c r="B183">
        <v>0.33129999999999998</v>
      </c>
      <c r="D183">
        <v>0.453320000000005</v>
      </c>
      <c r="E183">
        <v>1.5995000000000099</v>
      </c>
      <c r="J183">
        <v>0.38611000000000201</v>
      </c>
      <c r="K183">
        <v>0.92028999999999395</v>
      </c>
      <c r="Q183" t="s">
        <v>683</v>
      </c>
      <c r="R183">
        <v>0.76170000000000004</v>
      </c>
      <c r="T183">
        <v>1.08653</v>
      </c>
      <c r="U183">
        <v>1.73146</v>
      </c>
      <c r="Z183">
        <v>0.48571000000001202</v>
      </c>
      <c r="AA183">
        <v>0.94531000000000598</v>
      </c>
      <c r="AH183">
        <v>7</v>
      </c>
      <c r="AI183">
        <v>1.5710457142857099</v>
      </c>
      <c r="AJ183">
        <v>10.919119999999999</v>
      </c>
    </row>
    <row r="184" spans="1:44" x14ac:dyDescent="0.35">
      <c r="D184">
        <v>0.45054999999999301</v>
      </c>
      <c r="E184">
        <v>1.67493</v>
      </c>
      <c r="T184">
        <v>0.88513999999999304</v>
      </c>
      <c r="U184">
        <v>1.7735000000000001</v>
      </c>
      <c r="AH184">
        <v>8</v>
      </c>
      <c r="AI184">
        <v>1.54709125</v>
      </c>
      <c r="AJ184">
        <v>12.582649999999999</v>
      </c>
    </row>
    <row r="185" spans="1:44" x14ac:dyDescent="0.35">
      <c r="D185">
        <v>0.44490999999999298</v>
      </c>
      <c r="E185">
        <v>1.4633700000000001</v>
      </c>
      <c r="T185">
        <v>0.68473000000000195</v>
      </c>
      <c r="U185">
        <v>1.4633700000000001</v>
      </c>
      <c r="AH185">
        <v>9</v>
      </c>
      <c r="AI185">
        <v>1.5608877777777801</v>
      </c>
      <c r="AJ185">
        <v>13.57629</v>
      </c>
    </row>
    <row r="186" spans="1:44" x14ac:dyDescent="0.35">
      <c r="D186">
        <v>0.47483999999999998</v>
      </c>
      <c r="E186">
        <v>1.5804499999999799</v>
      </c>
      <c r="T186">
        <v>1.12425999999999</v>
      </c>
      <c r="U186">
        <v>1.7781499999999999</v>
      </c>
      <c r="AH186">
        <v>8</v>
      </c>
      <c r="AI186">
        <v>1.54130875</v>
      </c>
      <c r="AJ186">
        <v>12.3248</v>
      </c>
    </row>
    <row r="187" spans="1:44" x14ac:dyDescent="0.35">
      <c r="D187">
        <v>0.46412000000000803</v>
      </c>
      <c r="E187">
        <v>1.5753999999999999</v>
      </c>
      <c r="T187">
        <v>0.95466000000001805</v>
      </c>
      <c r="U187">
        <v>1.7349699999999999</v>
      </c>
      <c r="AH187">
        <v>8</v>
      </c>
      <c r="AI187">
        <v>1.53957875</v>
      </c>
      <c r="AJ187">
        <v>12.305210000000001</v>
      </c>
    </row>
    <row r="188" spans="1:44" x14ac:dyDescent="0.35">
      <c r="D188">
        <v>0.47404000000000202</v>
      </c>
      <c r="E188">
        <v>1.59674000000001</v>
      </c>
      <c r="T188">
        <v>1.0264799999999901</v>
      </c>
      <c r="U188">
        <v>1.7253700000000001</v>
      </c>
      <c r="AH188">
        <v>10</v>
      </c>
      <c r="AI188">
        <v>1.5240039999999999</v>
      </c>
      <c r="AJ188">
        <v>15.26336</v>
      </c>
    </row>
    <row r="189" spans="1:44" x14ac:dyDescent="0.35">
      <c r="D189">
        <v>0.46827999999999298</v>
      </c>
      <c r="E189">
        <v>1.5676599999999901</v>
      </c>
      <c r="T189">
        <v>1.12087</v>
      </c>
      <c r="U189">
        <v>1.7356399999999901</v>
      </c>
      <c r="AH189">
        <v>12</v>
      </c>
      <c r="AI189">
        <v>1.5058958333333301</v>
      </c>
      <c r="AJ189">
        <v>18.063859999999998</v>
      </c>
    </row>
    <row r="190" spans="1:44" x14ac:dyDescent="0.35">
      <c r="D190">
        <v>0.41566000000000303</v>
      </c>
      <c r="E190">
        <v>1.52193</v>
      </c>
      <c r="T190">
        <v>0.71363000000002297</v>
      </c>
      <c r="U190">
        <v>1.6954600000000299</v>
      </c>
      <c r="AH190">
        <v>7</v>
      </c>
      <c r="AI190">
        <v>1.56386</v>
      </c>
      <c r="AJ190">
        <v>10.98786</v>
      </c>
    </row>
    <row r="191" spans="1:44" x14ac:dyDescent="0.35">
      <c r="D191">
        <v>0.46266000000000002</v>
      </c>
      <c r="E191">
        <v>1.52808999999999</v>
      </c>
      <c r="T191">
        <v>1.3571599999999899</v>
      </c>
      <c r="U191">
        <v>1.78507999999999</v>
      </c>
      <c r="AH191">
        <v>8</v>
      </c>
      <c r="AI191">
        <v>1.5099450000000001</v>
      </c>
      <c r="AJ191">
        <v>12.00827</v>
      </c>
    </row>
    <row r="192" spans="1:44" x14ac:dyDescent="0.35">
      <c r="D192">
        <v>0.46126000000001</v>
      </c>
      <c r="E192">
        <v>1.5979800000000099</v>
      </c>
      <c r="T192">
        <v>1.11025000000001</v>
      </c>
      <c r="U192">
        <v>1.66402000000002</v>
      </c>
      <c r="AH192">
        <v>9</v>
      </c>
      <c r="AI192">
        <v>1.50691777777778</v>
      </c>
      <c r="AJ192">
        <v>13.55565</v>
      </c>
    </row>
    <row r="193" spans="4:48" x14ac:dyDescent="0.35">
      <c r="D193">
        <v>0.43235999999998898</v>
      </c>
      <c r="E193">
        <v>1.57569000000001</v>
      </c>
      <c r="T193">
        <v>1.3502699999999901</v>
      </c>
      <c r="U193">
        <v>1.7639399999999901</v>
      </c>
      <c r="AH193">
        <v>8</v>
      </c>
      <c r="AI193">
        <v>1.4667362500000001</v>
      </c>
      <c r="AJ193">
        <v>11.95335</v>
      </c>
    </row>
    <row r="194" spans="4:48" x14ac:dyDescent="0.35">
      <c r="D194">
        <v>0.41999999999998799</v>
      </c>
      <c r="E194">
        <v>1.3438700000000099</v>
      </c>
      <c r="T194">
        <v>1.12338</v>
      </c>
      <c r="U194">
        <v>1.6981599999999999</v>
      </c>
      <c r="AH194">
        <v>7</v>
      </c>
      <c r="AI194">
        <v>1.4914400000000001</v>
      </c>
      <c r="AJ194">
        <v>10.246230000000001</v>
      </c>
    </row>
    <row r="195" spans="4:48" x14ac:dyDescent="0.35">
      <c r="D195">
        <v>0.42610999999999399</v>
      </c>
      <c r="E195">
        <v>1.54383000000001</v>
      </c>
      <c r="T195">
        <v>1.13088999999999</v>
      </c>
      <c r="U195">
        <v>1.64221999999998</v>
      </c>
      <c r="AH195">
        <v>8</v>
      </c>
      <c r="AI195">
        <v>1.4879475</v>
      </c>
      <c r="AJ195">
        <v>11.8622</v>
      </c>
    </row>
    <row r="196" spans="4:48" x14ac:dyDescent="0.35">
      <c r="D196">
        <v>0.42952000000002499</v>
      </c>
      <c r="E196">
        <v>1.5886199999999899</v>
      </c>
      <c r="T196">
        <v>1.05226999999999</v>
      </c>
      <c r="U196">
        <v>1.64983999999998</v>
      </c>
      <c r="AH196">
        <v>11</v>
      </c>
      <c r="AI196">
        <v>1.4544600000000001</v>
      </c>
      <c r="AJ196">
        <v>16.13739</v>
      </c>
    </row>
    <row r="197" spans="4:48" x14ac:dyDescent="0.35">
      <c r="D197">
        <v>0.44346999999999098</v>
      </c>
      <c r="E197">
        <v>1.46424000000002</v>
      </c>
      <c r="T197">
        <v>1.10158000000001</v>
      </c>
      <c r="U197">
        <v>1.73201</v>
      </c>
      <c r="AH197">
        <v>11</v>
      </c>
      <c r="AI197">
        <v>1.48842090909091</v>
      </c>
      <c r="AJ197">
        <v>16.30001</v>
      </c>
    </row>
    <row r="198" spans="4:48" x14ac:dyDescent="0.35">
      <c r="D198">
        <v>0.43235999999996</v>
      </c>
      <c r="E198">
        <v>1.52574999999996</v>
      </c>
      <c r="T198">
        <v>0.45623000000000502</v>
      </c>
      <c r="U198">
        <v>1.4964900000000501</v>
      </c>
      <c r="AH198">
        <v>10</v>
      </c>
      <c r="AI198">
        <v>1.4648000000000001</v>
      </c>
      <c r="AJ198">
        <v>14.74849</v>
      </c>
    </row>
    <row r="199" spans="4:48" x14ac:dyDescent="0.35">
      <c r="D199">
        <v>0.47713999999996298</v>
      </c>
      <c r="E199">
        <v>1.47003999999998</v>
      </c>
      <c r="T199">
        <v>0.66910999999998899</v>
      </c>
      <c r="U199">
        <v>1.5951499999999901</v>
      </c>
      <c r="AH199">
        <v>9</v>
      </c>
      <c r="AI199">
        <v>1.4851300000000001</v>
      </c>
      <c r="AJ199">
        <v>13.264419999999999</v>
      </c>
    </row>
    <row r="200" spans="4:48" x14ac:dyDescent="0.35">
      <c r="D200">
        <v>0.40296000000000698</v>
      </c>
      <c r="E200">
        <v>1.4976100000000101</v>
      </c>
      <c r="T200">
        <v>0.52739999999999998</v>
      </c>
      <c r="U200">
        <v>1.5584900000000099</v>
      </c>
      <c r="AH200">
        <v>8</v>
      </c>
      <c r="AI200">
        <v>1.4563174999999999</v>
      </c>
      <c r="AJ200">
        <v>11.717420000000001</v>
      </c>
    </row>
    <row r="201" spans="4:48" x14ac:dyDescent="0.35">
      <c r="D201">
        <v>0.44465000000002403</v>
      </c>
      <c r="E201">
        <v>1.4724200000000001</v>
      </c>
      <c r="T201">
        <v>1.14824999999996</v>
      </c>
      <c r="U201">
        <v>1.62068999999997</v>
      </c>
      <c r="AH201">
        <v>10</v>
      </c>
      <c r="AI201">
        <v>1.4641850000000001</v>
      </c>
      <c r="AJ201">
        <v>14.604699999999999</v>
      </c>
    </row>
    <row r="202" spans="4:48" x14ac:dyDescent="0.35">
      <c r="D202">
        <v>0.39483999999998798</v>
      </c>
      <c r="E202">
        <v>1.45975999999996</v>
      </c>
      <c r="T202">
        <v>1.0744799999999901</v>
      </c>
      <c r="U202">
        <v>1.5556699999999599</v>
      </c>
      <c r="AG202" t="s">
        <v>77</v>
      </c>
      <c r="AH202">
        <f>AVERAGE(AH173:AH201)</f>
        <v>7.8620689655172411</v>
      </c>
      <c r="AI202">
        <f t="shared" ref="AI202:AJ202" si="33">AVERAGE(AI173:AI201)</f>
        <v>1.536240467855899</v>
      </c>
      <c r="AJ202">
        <f t="shared" si="33"/>
        <v>12.008907241379308</v>
      </c>
      <c r="AL202">
        <f>AVERAGE(AL173:AL201)</f>
        <v>12.444444444444445</v>
      </c>
      <c r="AM202">
        <f t="shared" ref="AM202" si="34">AVERAGE(AM173:AM201)</f>
        <v>0.95464045027195055</v>
      </c>
      <c r="AN202">
        <f t="shared" ref="AN202" si="35">AVERAGE(AN173:AN201)</f>
        <v>11.884538888888891</v>
      </c>
      <c r="AP202">
        <f>AVERAGE(AP173:AP201)</f>
        <v>23.7</v>
      </c>
      <c r="AQ202">
        <f t="shared" ref="AQ202" si="36">AVERAGE(AQ173:AQ201)</f>
        <v>0.9360282644042206</v>
      </c>
      <c r="AR202">
        <f t="shared" ref="AR202" si="37">AVERAGE(AR173:AR201)</f>
        <v>22.141117000000001</v>
      </c>
      <c r="AT202">
        <f>AVERAGE(AT173:AT201)</f>
        <v>19.5</v>
      </c>
      <c r="AU202">
        <f t="shared" ref="AU202" si="38">AVERAGE(AU173:AU201)</f>
        <v>0.93008437969924818</v>
      </c>
      <c r="AV202">
        <f t="shared" ref="AV202" si="39">AVERAGE(AV173:AV201)</f>
        <v>18.153382499999999</v>
      </c>
    </row>
    <row r="203" spans="4:48" x14ac:dyDescent="0.35">
      <c r="T203">
        <v>1.0532599999999701</v>
      </c>
      <c r="U203">
        <v>1.59377999999998</v>
      </c>
      <c r="AG203" t="s">
        <v>94</v>
      </c>
      <c r="AH203">
        <f>_xlfn.STDEV.S(AH173:AH201)</f>
        <v>1.9221293610962247</v>
      </c>
      <c r="AI203">
        <f t="shared" ref="AI203:AJ203" si="40">_xlfn.STDEV.S(AI173:AI201)</f>
        <v>5.2482229466980529E-2</v>
      </c>
      <c r="AJ203">
        <f t="shared" si="40"/>
        <v>2.6676840319552992</v>
      </c>
      <c r="AL203">
        <f>_xlfn.STDEV.S(AL173:AL201)</f>
        <v>1.2360330811826103</v>
      </c>
      <c r="AM203">
        <f t="shared" ref="AM203:AN203" si="41">_xlfn.STDEV.S(AM173:AM201)</f>
        <v>1.8911243392047417E-2</v>
      </c>
      <c r="AN203">
        <f t="shared" si="41"/>
        <v>1.1590962666496301</v>
      </c>
      <c r="AP203">
        <f>_xlfn.STDEV.S(AP173:AP201)</f>
        <v>7.601900347208514</v>
      </c>
      <c r="AQ203">
        <f t="shared" ref="AQ203:AR203" si="42">_xlfn.STDEV.S(AQ173:AQ201)</f>
        <v>8.5165802779784781E-3</v>
      </c>
      <c r="AR203">
        <f t="shared" si="42"/>
        <v>6.9643331386174712</v>
      </c>
      <c r="AT203">
        <f>_xlfn.STDEV.S(AT173:AT201)</f>
        <v>1</v>
      </c>
      <c r="AU203">
        <f t="shared" ref="AU203:AV203" si="43">_xlfn.STDEV.S(AU173:AU201)</f>
        <v>6.6027600671936136E-3</v>
      </c>
      <c r="AV203">
        <f t="shared" si="43"/>
        <v>0.93419014950115975</v>
      </c>
    </row>
    <row r="212" spans="1:48" ht="18.5" x14ac:dyDescent="0.45">
      <c r="H212" s="192" t="s">
        <v>544</v>
      </c>
      <c r="L212" s="362" t="s">
        <v>652</v>
      </c>
      <c r="M212" s="362"/>
      <c r="N212" s="362"/>
      <c r="X212" s="192" t="s">
        <v>545</v>
      </c>
      <c r="AH212" s="139" t="s">
        <v>380</v>
      </c>
      <c r="AM212" s="192" t="s">
        <v>556</v>
      </c>
    </row>
    <row r="213" spans="1:48" x14ac:dyDescent="0.35">
      <c r="AH213" s="104" t="s">
        <v>385</v>
      </c>
    </row>
    <row r="214" spans="1:48" x14ac:dyDescent="0.35">
      <c r="C214" s="139" t="s">
        <v>380</v>
      </c>
      <c r="D214" s="139" t="s">
        <v>0</v>
      </c>
      <c r="E214" s="139"/>
      <c r="F214" s="139"/>
      <c r="G214" s="139" t="s">
        <v>91</v>
      </c>
      <c r="J214" s="139" t="s">
        <v>86</v>
      </c>
      <c r="M214" s="139" t="s">
        <v>92</v>
      </c>
      <c r="S214" s="139" t="s">
        <v>380</v>
      </c>
      <c r="T214" s="139" t="s">
        <v>0</v>
      </c>
      <c r="U214" s="139"/>
      <c r="V214" s="139"/>
      <c r="W214" s="139" t="s">
        <v>91</v>
      </c>
      <c r="Z214" s="139" t="s">
        <v>86</v>
      </c>
      <c r="AC214" s="139" t="s">
        <v>92</v>
      </c>
      <c r="AI214" s="139" t="s">
        <v>0</v>
      </c>
      <c r="AJ214" s="139"/>
      <c r="AK214" s="139"/>
      <c r="AM214" s="139" t="s">
        <v>91</v>
      </c>
      <c r="AQ214" s="139" t="s">
        <v>86</v>
      </c>
      <c r="AU214" s="139" t="s">
        <v>92</v>
      </c>
    </row>
    <row r="215" spans="1:48" x14ac:dyDescent="0.35">
      <c r="C215" s="104" t="s">
        <v>385</v>
      </c>
      <c r="D215" s="104" t="s">
        <v>542</v>
      </c>
      <c r="E215" s="104" t="s">
        <v>543</v>
      </c>
      <c r="F215" s="104"/>
      <c r="G215" s="104" t="s">
        <v>542</v>
      </c>
      <c r="H215" s="104" t="s">
        <v>543</v>
      </c>
      <c r="I215" s="104"/>
      <c r="J215" s="104" t="s">
        <v>542</v>
      </c>
      <c r="K215" s="104" t="s">
        <v>543</v>
      </c>
      <c r="L215" s="104"/>
      <c r="M215" s="104" t="s">
        <v>542</v>
      </c>
      <c r="N215" s="104" t="s">
        <v>543</v>
      </c>
      <c r="S215" s="104" t="s">
        <v>385</v>
      </c>
      <c r="T215" s="104" t="s">
        <v>542</v>
      </c>
      <c r="U215" s="104" t="s">
        <v>543</v>
      </c>
      <c r="V215" s="104"/>
      <c r="W215" s="104" t="s">
        <v>542</v>
      </c>
      <c r="X215" s="104" t="s">
        <v>543</v>
      </c>
      <c r="Y215" s="104"/>
      <c r="Z215" s="104" t="s">
        <v>542</v>
      </c>
      <c r="AA215" s="104" t="s">
        <v>543</v>
      </c>
      <c r="AB215" s="104"/>
      <c r="AC215" s="104" t="s">
        <v>542</v>
      </c>
      <c r="AD215" s="104" t="s">
        <v>543</v>
      </c>
      <c r="AH215" s="104" t="s">
        <v>649</v>
      </c>
      <c r="AI215" s="104" t="s">
        <v>546</v>
      </c>
      <c r="AJ215" s="104" t="s">
        <v>547</v>
      </c>
      <c r="AK215" s="104"/>
      <c r="AL215" s="104" t="s">
        <v>649</v>
      </c>
      <c r="AM215" s="104" t="s">
        <v>546</v>
      </c>
      <c r="AN215" s="104" t="s">
        <v>547</v>
      </c>
      <c r="AO215" s="104"/>
      <c r="AP215" s="104" t="s">
        <v>649</v>
      </c>
      <c r="AQ215" s="104" t="s">
        <v>546</v>
      </c>
      <c r="AR215" s="104" t="s">
        <v>547</v>
      </c>
      <c r="AS215" s="104"/>
      <c r="AT215" s="104" t="s">
        <v>649</v>
      </c>
      <c r="AU215" s="104" t="s">
        <v>546</v>
      </c>
      <c r="AV215" s="104" t="s">
        <v>547</v>
      </c>
    </row>
    <row r="216" spans="1:48" x14ac:dyDescent="0.35">
      <c r="D216">
        <v>0.40872999999999998</v>
      </c>
      <c r="E216">
        <v>0.98402999999999996</v>
      </c>
      <c r="G216">
        <v>0.44586999999999999</v>
      </c>
      <c r="H216">
        <v>1.09968</v>
      </c>
      <c r="J216">
        <v>0.399030000000001</v>
      </c>
      <c r="K216">
        <v>0.87104999999999999</v>
      </c>
      <c r="M216" s="85">
        <v>0.4819</v>
      </c>
      <c r="N216" s="85">
        <v>1.05318</v>
      </c>
      <c r="T216">
        <v>0.40171999999999902</v>
      </c>
      <c r="U216">
        <v>0.95118000000000003</v>
      </c>
      <c r="W216">
        <v>0.85287999999999997</v>
      </c>
      <c r="X216">
        <v>1.1296200000000001</v>
      </c>
      <c r="Z216">
        <v>0.415019999999998</v>
      </c>
      <c r="AA216">
        <v>0.89317999999999897</v>
      </c>
      <c r="AC216">
        <v>0.46660000000000001</v>
      </c>
      <c r="AD216">
        <v>1.0860000000000001</v>
      </c>
      <c r="AH216">
        <v>8</v>
      </c>
      <c r="AI216">
        <v>0.96138124999999997</v>
      </c>
      <c r="AJ216">
        <v>7.7260299999999997</v>
      </c>
      <c r="AL216">
        <v>8</v>
      </c>
      <c r="AM216">
        <v>1.07696375</v>
      </c>
      <c r="AN216">
        <v>8.6062600000000007</v>
      </c>
      <c r="AP216">
        <v>17</v>
      </c>
      <c r="AQ216">
        <v>0.89263529411764697</v>
      </c>
      <c r="AR216">
        <v>15.22865</v>
      </c>
      <c r="AT216">
        <v>12</v>
      </c>
      <c r="AU216">
        <v>1.05057</v>
      </c>
      <c r="AV216">
        <v>13.565189999999999</v>
      </c>
    </row>
    <row r="217" spans="1:48" x14ac:dyDescent="0.35">
      <c r="D217">
        <v>0.40773999999999999</v>
      </c>
      <c r="E217">
        <v>0.94806000000000001</v>
      </c>
      <c r="G217">
        <v>0.446490000000001</v>
      </c>
      <c r="H217">
        <v>1.0860399999999999</v>
      </c>
      <c r="J217">
        <v>0.466579999999997</v>
      </c>
      <c r="K217">
        <v>0.88474999999999704</v>
      </c>
      <c r="M217" s="85">
        <v>0.42499999999999999</v>
      </c>
      <c r="N217" s="85">
        <v>1.03216</v>
      </c>
      <c r="T217">
        <v>0.45562000000000002</v>
      </c>
      <c r="U217">
        <v>0.92745</v>
      </c>
      <c r="W217">
        <v>0.81917999999999902</v>
      </c>
      <c r="X217">
        <v>1.1346099999999999</v>
      </c>
      <c r="Z217">
        <v>0.43741000000000002</v>
      </c>
      <c r="AA217">
        <v>0.87147999999999803</v>
      </c>
      <c r="AC217">
        <v>0.67776999999999998</v>
      </c>
      <c r="AD217">
        <v>1.1111</v>
      </c>
      <c r="AH217">
        <v>17</v>
      </c>
      <c r="AI217">
        <v>0.94979117647058797</v>
      </c>
      <c r="AJ217">
        <v>16.13984</v>
      </c>
      <c r="AL217">
        <v>9</v>
      </c>
      <c r="AM217">
        <v>1.06585888888889</v>
      </c>
      <c r="AN217">
        <v>9.6029699999999902</v>
      </c>
      <c r="AP217">
        <v>17</v>
      </c>
      <c r="AQ217">
        <v>0.89014235294117705</v>
      </c>
      <c r="AR217">
        <v>15.111800000000001</v>
      </c>
      <c r="AT217">
        <v>13</v>
      </c>
      <c r="AU217">
        <v>1.03900923076923</v>
      </c>
      <c r="AV217">
        <v>13.54236</v>
      </c>
    </row>
    <row r="218" spans="1:48" x14ac:dyDescent="0.35">
      <c r="D218">
        <v>0.395820000000001</v>
      </c>
      <c r="E218">
        <v>0.94274999999999998</v>
      </c>
      <c r="G218">
        <v>0.45719000000000398</v>
      </c>
      <c r="H218">
        <v>1.0690200000000001</v>
      </c>
      <c r="J218">
        <v>0.42950000000000399</v>
      </c>
      <c r="K218">
        <v>0.868290000000002</v>
      </c>
      <c r="M218" s="85">
        <v>0.41049999999999998</v>
      </c>
      <c r="N218" s="85">
        <v>1.00116</v>
      </c>
      <c r="T218">
        <v>0.50445999999999802</v>
      </c>
      <c r="U218">
        <v>0.93869999999999698</v>
      </c>
      <c r="W218">
        <v>0.67569000000000301</v>
      </c>
      <c r="X218">
        <v>1.1122399999999999</v>
      </c>
      <c r="Z218">
        <v>0.46900000000000103</v>
      </c>
      <c r="AA218">
        <v>0.93070999999999804</v>
      </c>
      <c r="AC218">
        <v>0.65</v>
      </c>
      <c r="AD218">
        <v>1.0532699999999999</v>
      </c>
      <c r="AH218">
        <v>16</v>
      </c>
      <c r="AI218">
        <v>0.95266249999999997</v>
      </c>
      <c r="AJ218">
        <v>15.289709999999999</v>
      </c>
      <c r="AL218">
        <v>8</v>
      </c>
      <c r="AM218">
        <v>1.06667</v>
      </c>
      <c r="AN218">
        <v>8.5416600000000091</v>
      </c>
      <c r="AP218">
        <v>18</v>
      </c>
      <c r="AQ218">
        <v>0.89540111111111098</v>
      </c>
      <c r="AR218">
        <v>16.152899999999999</v>
      </c>
      <c r="AT218">
        <v>16</v>
      </c>
      <c r="AU218">
        <v>1.02919625</v>
      </c>
      <c r="AV218">
        <v>16.451879999999999</v>
      </c>
    </row>
    <row r="219" spans="1:48" x14ac:dyDescent="0.35">
      <c r="A219" t="s">
        <v>77</v>
      </c>
      <c r="B219">
        <v>0.43149999999999999</v>
      </c>
      <c r="D219">
        <v>0.41930000000000001</v>
      </c>
      <c r="E219">
        <v>0.91912000000000005</v>
      </c>
      <c r="G219">
        <v>0.451270000000001</v>
      </c>
      <c r="H219">
        <v>1.0725499999999999</v>
      </c>
      <c r="J219">
        <v>0.45108000000000498</v>
      </c>
      <c r="K219">
        <v>0.854190000000003</v>
      </c>
      <c r="M219" s="85">
        <v>0.40250000000000002</v>
      </c>
      <c r="N219" s="85">
        <v>1.0033799999999999</v>
      </c>
      <c r="Q219" t="s">
        <v>77</v>
      </c>
      <c r="R219">
        <v>0.55789999999999995</v>
      </c>
      <c r="T219">
        <v>0.51859000000000299</v>
      </c>
      <c r="U219">
        <v>0.93227000000000304</v>
      </c>
      <c r="W219">
        <v>0.93242000000000103</v>
      </c>
      <c r="X219">
        <v>1.1137999999999999</v>
      </c>
      <c r="Z219">
        <v>0.44012000000000001</v>
      </c>
      <c r="AA219">
        <v>0.94032000000000004</v>
      </c>
      <c r="AC219">
        <v>0.7833</v>
      </c>
      <c r="AD219">
        <v>1.06917</v>
      </c>
      <c r="AH219">
        <v>17</v>
      </c>
      <c r="AI219">
        <v>0.93569764705882397</v>
      </c>
      <c r="AJ219">
        <v>15.88392</v>
      </c>
      <c r="AL219">
        <v>8</v>
      </c>
      <c r="AM219">
        <v>1.0644724999999999</v>
      </c>
      <c r="AN219">
        <v>8.5177900000000104</v>
      </c>
      <c r="AP219">
        <v>16</v>
      </c>
      <c r="AQ219">
        <v>0.89341187499999997</v>
      </c>
      <c r="AR219">
        <v>14.26</v>
      </c>
      <c r="AT219">
        <v>14</v>
      </c>
      <c r="AU219">
        <v>1.0266057142857099</v>
      </c>
      <c r="AV219">
        <v>14.391780000000001</v>
      </c>
    </row>
    <row r="220" spans="1:48" x14ac:dyDescent="0.35">
      <c r="A220" t="s">
        <v>94</v>
      </c>
      <c r="B220">
        <v>4.2099999999999999E-2</v>
      </c>
      <c r="D220">
        <v>0.424619999999997</v>
      </c>
      <c r="E220">
        <v>0.947380000000003</v>
      </c>
      <c r="G220">
        <v>0.43162999999999802</v>
      </c>
      <c r="H220">
        <v>1.04267</v>
      </c>
      <c r="J220">
        <v>0.617900000000006</v>
      </c>
      <c r="K220">
        <v>1.0556000000000001</v>
      </c>
      <c r="M220" s="85">
        <v>0.43590000000000001</v>
      </c>
      <c r="N220" s="85">
        <v>0.99269000000000296</v>
      </c>
      <c r="Q220" t="s">
        <v>94</v>
      </c>
      <c r="R220">
        <v>0.1343</v>
      </c>
      <c r="T220">
        <v>0.45219000000000198</v>
      </c>
      <c r="U220">
        <v>0.91479000000000399</v>
      </c>
      <c r="W220">
        <v>0.66890000000000804</v>
      </c>
      <c r="X220">
        <v>1.07637000000001</v>
      </c>
      <c r="Z220">
        <v>0.59323000000000603</v>
      </c>
      <c r="AA220">
        <v>0.93518000000000301</v>
      </c>
      <c r="AC220">
        <v>0.70550000000000002</v>
      </c>
      <c r="AD220">
        <v>1.0302100000000101</v>
      </c>
      <c r="AH220">
        <v>11</v>
      </c>
      <c r="AI220">
        <v>0.96091181818181903</v>
      </c>
      <c r="AJ220">
        <v>10.574479999999999</v>
      </c>
      <c r="AL220">
        <v>9</v>
      </c>
      <c r="AM220">
        <v>1.0604499999999999</v>
      </c>
      <c r="AN220">
        <v>9.5129999999999892</v>
      </c>
      <c r="AP220">
        <v>15</v>
      </c>
      <c r="AQ220">
        <v>0.89256466666666801</v>
      </c>
      <c r="AR220">
        <v>13.422779999999999</v>
      </c>
      <c r="AT220">
        <v>10</v>
      </c>
      <c r="AU220">
        <v>1.037736</v>
      </c>
      <c r="AV220">
        <v>10.297689999999999</v>
      </c>
    </row>
    <row r="221" spans="1:48" x14ac:dyDescent="0.35">
      <c r="A221" t="s">
        <v>685</v>
      </c>
      <c r="B221">
        <f>B220/B219</f>
        <v>9.756662804171494E-2</v>
      </c>
      <c r="D221">
        <v>0.40134000000000503</v>
      </c>
      <c r="E221">
        <v>0.91965000000000396</v>
      </c>
      <c r="G221">
        <v>0.45562999999999898</v>
      </c>
      <c r="H221">
        <v>1.05837</v>
      </c>
      <c r="J221">
        <v>0.49089000000000699</v>
      </c>
      <c r="K221">
        <v>0.89428000000000896</v>
      </c>
      <c r="M221" s="85">
        <v>0.38750000000000001</v>
      </c>
      <c r="N221" s="85">
        <v>1.03199000000001</v>
      </c>
      <c r="Q221" t="s">
        <v>685</v>
      </c>
      <c r="R221">
        <f>R220/R219</f>
        <v>0.24072414411184803</v>
      </c>
      <c r="T221">
        <v>0.47848999999999398</v>
      </c>
      <c r="U221">
        <v>0.96137999999999102</v>
      </c>
      <c r="W221">
        <v>0.51787000000000205</v>
      </c>
      <c r="X221">
        <v>1.07782</v>
      </c>
      <c r="Z221">
        <v>0.46092000000000199</v>
      </c>
      <c r="AA221">
        <v>0.90909000000000595</v>
      </c>
      <c r="AC221">
        <v>0.74439999999999995</v>
      </c>
      <c r="AD221">
        <v>1.0499000000000001</v>
      </c>
      <c r="AH221">
        <v>18</v>
      </c>
      <c r="AI221">
        <v>0.97336055555555501</v>
      </c>
      <c r="AJ221">
        <v>17.496379999999998</v>
      </c>
      <c r="AL221">
        <v>8</v>
      </c>
      <c r="AM221">
        <v>1.05954875</v>
      </c>
      <c r="AN221">
        <v>8.4952300000000101</v>
      </c>
      <c r="AP221">
        <v>17</v>
      </c>
      <c r="AQ221">
        <v>0.89595647058823502</v>
      </c>
      <c r="AR221">
        <v>15.113099999999999</v>
      </c>
      <c r="AT221">
        <v>11</v>
      </c>
      <c r="AU221">
        <v>1.03996545454545</v>
      </c>
      <c r="AV221">
        <v>11.489000000000001</v>
      </c>
    </row>
    <row r="222" spans="1:48" x14ac:dyDescent="0.35">
      <c r="A222" t="s">
        <v>679</v>
      </c>
      <c r="D222">
        <v>0.422999999999988</v>
      </c>
      <c r="E222">
        <v>0.96541999999999495</v>
      </c>
      <c r="G222">
        <v>0.445440000000005</v>
      </c>
      <c r="H222">
        <v>1.04617</v>
      </c>
      <c r="J222">
        <v>0.36658999999998798</v>
      </c>
      <c r="K222">
        <v>0.88813999999999305</v>
      </c>
      <c r="M222" s="85">
        <v>0.41170000000000001</v>
      </c>
      <c r="N222" s="85">
        <v>1.0194999999999901</v>
      </c>
      <c r="Q222" t="s">
        <v>679</v>
      </c>
      <c r="T222">
        <v>0.53650000000000397</v>
      </c>
      <c r="U222">
        <v>0.98534999999999695</v>
      </c>
      <c r="W222">
        <v>0.59558000000001199</v>
      </c>
      <c r="X222">
        <v>1.09066</v>
      </c>
      <c r="Z222">
        <v>0.74174000000000695</v>
      </c>
      <c r="AA222">
        <v>0.90209000000000095</v>
      </c>
      <c r="AC222">
        <v>0.70550000000000002</v>
      </c>
      <c r="AD222">
        <v>1.0582499999999999</v>
      </c>
      <c r="AH222">
        <v>11</v>
      </c>
      <c r="AI222">
        <v>0.99724727272727198</v>
      </c>
      <c r="AJ222">
        <v>10.97387</v>
      </c>
      <c r="AL222">
        <v>10</v>
      </c>
      <c r="AM222">
        <v>1.0591870000000001</v>
      </c>
      <c r="AN222">
        <v>10.559760000000001</v>
      </c>
      <c r="AP222">
        <v>15</v>
      </c>
      <c r="AQ222">
        <v>0.89387266666666698</v>
      </c>
      <c r="AR222">
        <v>13.46311</v>
      </c>
      <c r="AT222">
        <v>12</v>
      </c>
      <c r="AU222">
        <v>1.0368041666666701</v>
      </c>
      <c r="AV222">
        <v>12.44881</v>
      </c>
    </row>
    <row r="223" spans="1:48" x14ac:dyDescent="0.35">
      <c r="A223" t="s">
        <v>680</v>
      </c>
      <c r="B223">
        <v>2.9999999999999997E-4</v>
      </c>
      <c r="D223">
        <v>0.41437999999999398</v>
      </c>
      <c r="E223">
        <v>0.952649999999991</v>
      </c>
      <c r="G223">
        <v>0.436499999999995</v>
      </c>
      <c r="H223">
        <v>1.0682799999999999</v>
      </c>
      <c r="J223">
        <v>0.38491999999999399</v>
      </c>
      <c r="K223">
        <v>0.85145000000000004</v>
      </c>
      <c r="M223" s="85">
        <v>0.39960000000000001</v>
      </c>
      <c r="N223" s="85">
        <v>1.01515000000001</v>
      </c>
      <c r="Q223" t="s">
        <v>680</v>
      </c>
      <c r="R223">
        <v>0</v>
      </c>
      <c r="T223">
        <v>0.37340999999999303</v>
      </c>
      <c r="U223">
        <v>0.97731000000000301</v>
      </c>
      <c r="W223">
        <v>0.469920000000002</v>
      </c>
      <c r="X223">
        <v>1.09253000000001</v>
      </c>
      <c r="Z223">
        <v>0.42887000000000303</v>
      </c>
      <c r="AA223">
        <v>0.86039999999999905</v>
      </c>
      <c r="AC223">
        <v>0.96660000000000001</v>
      </c>
      <c r="AD223">
        <v>1.0722</v>
      </c>
      <c r="AH223">
        <v>18</v>
      </c>
      <c r="AI223">
        <v>0.97493055555555497</v>
      </c>
      <c r="AJ223">
        <v>17.557179999999999</v>
      </c>
      <c r="AL223">
        <v>8</v>
      </c>
      <c r="AM223">
        <v>1.03360875</v>
      </c>
      <c r="AN223">
        <v>8.5356599999999894</v>
      </c>
      <c r="AP223">
        <v>16</v>
      </c>
      <c r="AQ223">
        <v>0.87885875000000002</v>
      </c>
      <c r="AR223">
        <v>14.097440000000001</v>
      </c>
      <c r="AT223">
        <v>14</v>
      </c>
      <c r="AU223">
        <v>1.0375264285714301</v>
      </c>
      <c r="AV223">
        <v>14.54677</v>
      </c>
    </row>
    <row r="224" spans="1:48" x14ac:dyDescent="0.35">
      <c r="A224" t="s">
        <v>681</v>
      </c>
      <c r="B224">
        <v>2.9999999999999997E-4</v>
      </c>
      <c r="D224">
        <v>0.419849999999997</v>
      </c>
      <c r="E224">
        <v>0.94968999999999004</v>
      </c>
      <c r="G224">
        <v>0.44114000000000397</v>
      </c>
      <c r="H224">
        <v>1.0540799999999999</v>
      </c>
      <c r="J224">
        <v>0.43768000000000001</v>
      </c>
      <c r="K224">
        <v>0.868510000000001</v>
      </c>
      <c r="M224" s="85">
        <v>0.43590000000000001</v>
      </c>
      <c r="N224" s="85">
        <v>1.01609999999999</v>
      </c>
      <c r="Q224" t="s">
        <v>681</v>
      </c>
      <c r="R224">
        <v>0</v>
      </c>
      <c r="T224">
        <v>0.44071000000000998</v>
      </c>
      <c r="U224">
        <v>0.95951000000000897</v>
      </c>
      <c r="W224">
        <v>0.65854000000000201</v>
      </c>
      <c r="X224">
        <v>1.08338000000001</v>
      </c>
      <c r="Z224">
        <v>0.82613999999999499</v>
      </c>
      <c r="AA224">
        <v>0.93148999999999704</v>
      </c>
      <c r="AC224">
        <v>0.45</v>
      </c>
      <c r="AD224">
        <v>1.0111000000000001</v>
      </c>
      <c r="AH224">
        <v>10</v>
      </c>
      <c r="AI224">
        <v>1.0876110000000001</v>
      </c>
      <c r="AJ224">
        <v>10.8643</v>
      </c>
      <c r="AL224">
        <v>10</v>
      </c>
      <c r="AM224">
        <v>1.0562210000000001</v>
      </c>
      <c r="AN224">
        <v>11.04603</v>
      </c>
      <c r="AP224">
        <v>17</v>
      </c>
      <c r="AQ224">
        <v>0.89523647058823497</v>
      </c>
      <c r="AR224">
        <v>15.229810000000001</v>
      </c>
      <c r="AT224">
        <v>14</v>
      </c>
      <c r="AU224">
        <v>1.02945357142857</v>
      </c>
      <c r="AV224">
        <v>13.38348</v>
      </c>
    </row>
    <row r="225" spans="1:48" x14ac:dyDescent="0.35">
      <c r="A225" t="s">
        <v>682</v>
      </c>
      <c r="B225">
        <v>8.3999999999999995E-3</v>
      </c>
      <c r="D225">
        <v>0.43739999999999701</v>
      </c>
      <c r="E225">
        <v>0.97905000000000098</v>
      </c>
      <c r="G225">
        <v>0.42284999999999701</v>
      </c>
      <c r="H225">
        <v>1.0678999999999901</v>
      </c>
      <c r="J225">
        <v>0.442160000000001</v>
      </c>
      <c r="K225">
        <v>0.86219999999997299</v>
      </c>
      <c r="M225" s="85">
        <v>0.46579999999999999</v>
      </c>
      <c r="N225" s="85">
        <v>1.0279</v>
      </c>
      <c r="Q225" t="s">
        <v>682</v>
      </c>
      <c r="R225">
        <v>0.23699999999999999</v>
      </c>
      <c r="T225">
        <v>0.36048999999999898</v>
      </c>
      <c r="U225">
        <v>0.99253999999999099</v>
      </c>
      <c r="W225">
        <v>0.57641000000000997</v>
      </c>
      <c r="X225">
        <v>1.1187400000000001</v>
      </c>
      <c r="Z225">
        <v>0.52633000000000196</v>
      </c>
      <c r="AA225">
        <v>0.92130000000000201</v>
      </c>
      <c r="AC225">
        <v>0.60029999999999994</v>
      </c>
      <c r="AD225">
        <v>1.0562</v>
      </c>
      <c r="AH225">
        <v>11</v>
      </c>
      <c r="AI225">
        <v>0.98541999999999796</v>
      </c>
      <c r="AJ225">
        <v>10.854789999999999</v>
      </c>
      <c r="AL225">
        <v>9</v>
      </c>
      <c r="AM225">
        <v>1.05527666666667</v>
      </c>
      <c r="AN225">
        <v>9.4852799999999906</v>
      </c>
      <c r="AP225">
        <v>18</v>
      </c>
      <c r="AQ225">
        <v>0.89082555555555598</v>
      </c>
      <c r="AR225">
        <v>15.95285</v>
      </c>
      <c r="AT225">
        <v>14</v>
      </c>
      <c r="AU225">
        <v>1.0328578571428599</v>
      </c>
      <c r="AV225">
        <v>15.41512</v>
      </c>
    </row>
    <row r="226" spans="1:48" x14ac:dyDescent="0.35">
      <c r="A226" t="s">
        <v>683</v>
      </c>
      <c r="B226">
        <v>9.1800000000000007E-2</v>
      </c>
      <c r="D226">
        <v>0.40613999999999401</v>
      </c>
      <c r="E226">
        <v>0.93261999999998602</v>
      </c>
      <c r="G226">
        <v>0.42402999999998803</v>
      </c>
      <c r="H226">
        <v>0.80228999999999895</v>
      </c>
      <c r="J226">
        <v>0.39110999999999801</v>
      </c>
      <c r="K226">
        <v>0.89315999999999496</v>
      </c>
      <c r="M226" s="85">
        <v>0.3785</v>
      </c>
      <c r="N226" s="85">
        <v>1.0335000000000001</v>
      </c>
      <c r="Q226" t="s">
        <v>683</v>
      </c>
      <c r="R226">
        <v>0.4869</v>
      </c>
      <c r="T226">
        <v>0.58553999999997997</v>
      </c>
      <c r="U226">
        <v>1.00029999999998</v>
      </c>
      <c r="W226">
        <v>0.69592999999998995</v>
      </c>
      <c r="X226">
        <v>0.80228999999999895</v>
      </c>
      <c r="Z226">
        <v>0.61555999999998801</v>
      </c>
      <c r="AA226">
        <v>0.91353999999998303</v>
      </c>
      <c r="AC226">
        <v>0.66879999999999995</v>
      </c>
      <c r="AD226">
        <v>1.0491999999999999</v>
      </c>
      <c r="AH226">
        <v>13</v>
      </c>
      <c r="AI226">
        <v>1.0100515384615401</v>
      </c>
      <c r="AJ226">
        <v>13.142569999999999</v>
      </c>
      <c r="AL226">
        <v>11</v>
      </c>
      <c r="AM226">
        <v>1.0546581818181799</v>
      </c>
      <c r="AN226">
        <v>11.58703</v>
      </c>
      <c r="AP226">
        <v>15</v>
      </c>
      <c r="AQ226">
        <v>0.89383000000000101</v>
      </c>
      <c r="AR226">
        <v>13.521599999999999</v>
      </c>
      <c r="AT226">
        <v>14</v>
      </c>
      <c r="AU226">
        <v>1.0325792857142899</v>
      </c>
      <c r="AV226">
        <v>14.51449</v>
      </c>
    </row>
    <row r="227" spans="1:48" x14ac:dyDescent="0.35">
      <c r="D227">
        <v>0.46629999999999</v>
      </c>
      <c r="E227">
        <v>0.98087999999998499</v>
      </c>
      <c r="G227">
        <v>0.43186000000000002</v>
      </c>
      <c r="H227">
        <v>1.06921</v>
      </c>
      <c r="J227">
        <v>0.48788000000001802</v>
      </c>
      <c r="K227">
        <v>0.87578000000001999</v>
      </c>
      <c r="M227" s="85">
        <v>0.41220000000000001</v>
      </c>
      <c r="N227" s="85">
        <v>1.0133000000000201</v>
      </c>
      <c r="T227">
        <v>0.44291999999998699</v>
      </c>
      <c r="U227">
        <v>0.99205000000000598</v>
      </c>
      <c r="W227">
        <v>0.79285999999999002</v>
      </c>
      <c r="X227">
        <v>1.0821799999999899</v>
      </c>
      <c r="Z227">
        <v>0.445549999999997</v>
      </c>
      <c r="AA227">
        <v>0.92662000000001399</v>
      </c>
      <c r="AC227">
        <v>0.41720000000000002</v>
      </c>
      <c r="AD227">
        <v>1.05958999999999</v>
      </c>
      <c r="AH227">
        <v>9</v>
      </c>
      <c r="AI227">
        <v>1.0065644444444399</v>
      </c>
      <c r="AJ227">
        <v>9.0214200000000098</v>
      </c>
      <c r="AL227">
        <v>10</v>
      </c>
      <c r="AM227">
        <v>1.0583149999999999</v>
      </c>
      <c r="AN227">
        <v>10.571300000000001</v>
      </c>
      <c r="AP227">
        <v>18</v>
      </c>
      <c r="AQ227">
        <v>0.89311111111111097</v>
      </c>
      <c r="AR227">
        <v>15.995950000000001</v>
      </c>
      <c r="AT227">
        <v>13</v>
      </c>
      <c r="AU227">
        <v>1.034</v>
      </c>
      <c r="AV227">
        <v>12.461360000000001</v>
      </c>
    </row>
    <row r="228" spans="1:48" x14ac:dyDescent="0.35">
      <c r="D228">
        <v>0.440510000000018</v>
      </c>
      <c r="E228">
        <v>0.99275000000000102</v>
      </c>
      <c r="G228">
        <v>0.48283000000000698</v>
      </c>
      <c r="H228">
        <v>1.06703999999999</v>
      </c>
      <c r="J228">
        <v>0.41532000000000802</v>
      </c>
      <c r="K228">
        <v>0.88327000000000999</v>
      </c>
      <c r="M228" s="85">
        <v>0.44850000000000001</v>
      </c>
      <c r="N228" s="85">
        <v>1.0152099999999999</v>
      </c>
      <c r="T228">
        <v>0.37923999999998198</v>
      </c>
      <c r="U228">
        <v>1.0079399999999901</v>
      </c>
      <c r="W228">
        <v>0.71632999999999902</v>
      </c>
      <c r="X228">
        <v>1.0923699999999901</v>
      </c>
      <c r="Z228">
        <v>0.43598000000000098</v>
      </c>
      <c r="AA228">
        <v>0.90452999999999395</v>
      </c>
      <c r="AC228">
        <v>0.44169999999999998</v>
      </c>
      <c r="AD228">
        <v>1.0491999999999999</v>
      </c>
      <c r="AH228">
        <v>14</v>
      </c>
      <c r="AI228">
        <v>1.0212735714285699</v>
      </c>
      <c r="AJ228">
        <v>14.28256</v>
      </c>
      <c r="AL228">
        <v>11</v>
      </c>
      <c r="AM228">
        <v>1.0517872727272699</v>
      </c>
      <c r="AN228">
        <v>11.56987</v>
      </c>
      <c r="AP228">
        <v>16</v>
      </c>
      <c r="AQ228">
        <v>0.89471062499999998</v>
      </c>
      <c r="AR228">
        <v>14.268330000000001</v>
      </c>
      <c r="AT228">
        <v>13</v>
      </c>
      <c r="AU228">
        <v>1.0374230769230799</v>
      </c>
      <c r="AV228">
        <v>14.47157</v>
      </c>
    </row>
    <row r="229" spans="1:48" x14ac:dyDescent="0.35">
      <c r="D229">
        <v>0.43492000000000502</v>
      </c>
      <c r="E229">
        <v>1.0024299999999999</v>
      </c>
      <c r="G229">
        <v>0.45234999999999598</v>
      </c>
      <c r="H229">
        <v>1.04876999999999</v>
      </c>
      <c r="J229">
        <v>0.38449</v>
      </c>
      <c r="K229">
        <v>0.89948000000001105</v>
      </c>
      <c r="M229" s="85">
        <v>0.3725</v>
      </c>
      <c r="N229" s="85">
        <v>1.0083500000000101</v>
      </c>
      <c r="T229">
        <v>0.34853999999998603</v>
      </c>
      <c r="U229">
        <v>1.0126200000000001</v>
      </c>
      <c r="W229">
        <v>0.49016000000000298</v>
      </c>
      <c r="X229">
        <v>1.0818399999999999</v>
      </c>
      <c r="Z229">
        <v>0.44407000000001101</v>
      </c>
      <c r="AA229">
        <v>0.901420000000002</v>
      </c>
      <c r="AC229">
        <v>0.44180000000000003</v>
      </c>
      <c r="AD229">
        <v>1.0369999999999999</v>
      </c>
      <c r="AH229">
        <v>12</v>
      </c>
      <c r="AI229">
        <v>1.0180258333333301</v>
      </c>
      <c r="AJ229">
        <v>12.23522</v>
      </c>
      <c r="AL229">
        <v>9</v>
      </c>
      <c r="AM229">
        <v>1.0582377777777801</v>
      </c>
      <c r="AN229">
        <v>9.5361799999999999</v>
      </c>
      <c r="AP229">
        <v>14</v>
      </c>
      <c r="AQ229">
        <v>0.89101285714285605</v>
      </c>
      <c r="AR229">
        <v>12.55284</v>
      </c>
      <c r="AT229">
        <v>13</v>
      </c>
      <c r="AU229">
        <v>1.0291053846153799</v>
      </c>
      <c r="AV229">
        <v>13.381729999999999</v>
      </c>
    </row>
    <row r="230" spans="1:48" x14ac:dyDescent="0.35">
      <c r="D230">
        <v>0.45088999999998702</v>
      </c>
      <c r="E230">
        <v>0.99948999999998001</v>
      </c>
      <c r="G230">
        <v>0.452859999999987</v>
      </c>
      <c r="H230">
        <v>1.06349</v>
      </c>
      <c r="J230">
        <v>0.43052000000000101</v>
      </c>
      <c r="K230">
        <v>0.86685000000000001</v>
      </c>
      <c r="M230" s="85">
        <v>0.44650000000000001</v>
      </c>
      <c r="N230" s="85">
        <v>1.00972999999999</v>
      </c>
      <c r="T230">
        <v>0.77743000000000995</v>
      </c>
      <c r="U230">
        <v>1.0069599999999901</v>
      </c>
      <c r="W230">
        <v>0.63878999999999997</v>
      </c>
      <c r="X230">
        <v>1.03659999999999</v>
      </c>
      <c r="Z230">
        <v>0.44123999999999303</v>
      </c>
      <c r="AA230">
        <v>0.90704999999999802</v>
      </c>
      <c r="AC230">
        <v>0.55840000000000001</v>
      </c>
      <c r="AD230">
        <v>1.02189000000001</v>
      </c>
      <c r="AH230">
        <v>13</v>
      </c>
      <c r="AI230">
        <v>1.0373407692307699</v>
      </c>
      <c r="AJ230">
        <v>13.49114</v>
      </c>
      <c r="AL230">
        <v>11</v>
      </c>
      <c r="AM230">
        <v>1.05111727272727</v>
      </c>
      <c r="AN230">
        <v>11.53792</v>
      </c>
      <c r="AP230">
        <v>15</v>
      </c>
      <c r="AQ230">
        <v>0.894428000000001</v>
      </c>
      <c r="AR230">
        <v>13.35703</v>
      </c>
      <c r="AT230">
        <v>15</v>
      </c>
      <c r="AU230">
        <v>1.023082</v>
      </c>
      <c r="AV230">
        <v>15.351739999999999</v>
      </c>
    </row>
    <row r="231" spans="1:48" x14ac:dyDescent="0.35">
      <c r="D231">
        <v>0.43844999999998902</v>
      </c>
      <c r="E231">
        <v>0.981339999999989</v>
      </c>
      <c r="G231">
        <v>0.461029999999994</v>
      </c>
      <c r="H231">
        <v>1.08350999999999</v>
      </c>
      <c r="J231">
        <v>0.37181000000001102</v>
      </c>
      <c r="K231">
        <v>0.86753000000001601</v>
      </c>
      <c r="M231" s="85">
        <v>0.43430000000000002</v>
      </c>
      <c r="N231" s="85">
        <v>1.0150700000000099</v>
      </c>
      <c r="T231">
        <v>0.64547000000001697</v>
      </c>
      <c r="U231">
        <v>1.0024200000000001</v>
      </c>
      <c r="W231">
        <v>0.53472000000002096</v>
      </c>
      <c r="X231">
        <v>1.09128000000001</v>
      </c>
      <c r="Z231">
        <v>0.367680000000007</v>
      </c>
      <c r="AA231">
        <v>0.83535000000000503</v>
      </c>
      <c r="AC231">
        <v>0.63200000000000001</v>
      </c>
      <c r="AD231">
        <v>1.0552999999999999</v>
      </c>
      <c r="AH231">
        <v>14</v>
      </c>
      <c r="AI231">
        <v>1.03743928571429</v>
      </c>
      <c r="AJ231">
        <v>14.52636</v>
      </c>
      <c r="AL231">
        <v>7</v>
      </c>
      <c r="AM231">
        <v>1.0560185714285699</v>
      </c>
      <c r="AN231">
        <v>7.3600500000000002</v>
      </c>
      <c r="AP231">
        <v>14</v>
      </c>
      <c r="AQ231">
        <v>0.895474285714286</v>
      </c>
      <c r="AR231">
        <v>12.590820000000001</v>
      </c>
      <c r="AT231">
        <v>14</v>
      </c>
      <c r="AU231">
        <v>1.03369714285714</v>
      </c>
      <c r="AV231">
        <v>14.48272</v>
      </c>
    </row>
    <row r="232" spans="1:48" x14ac:dyDescent="0.35">
      <c r="D232">
        <v>0.47112000000001297</v>
      </c>
      <c r="E232">
        <v>1.01179999999999</v>
      </c>
      <c r="G232">
        <v>0.43844999999998902</v>
      </c>
      <c r="H232">
        <v>1.0607200000000001</v>
      </c>
      <c r="J232">
        <v>0.40088000000000101</v>
      </c>
      <c r="K232">
        <v>0.84242000000000405</v>
      </c>
      <c r="M232" s="85">
        <v>0.44819999999999999</v>
      </c>
      <c r="N232" s="85">
        <v>1.0142099999999901</v>
      </c>
      <c r="T232">
        <v>0.73969999999999902</v>
      </c>
      <c r="U232">
        <v>1.01782999999998</v>
      </c>
      <c r="W232">
        <v>0.720310000000012</v>
      </c>
      <c r="X232">
        <v>1.0807800000000001</v>
      </c>
      <c r="Z232">
        <v>0.44488999999998702</v>
      </c>
      <c r="AA232">
        <v>0.87943999999998801</v>
      </c>
      <c r="AC232">
        <v>0.43559999999999999</v>
      </c>
      <c r="AD232">
        <v>1.0485799999999901</v>
      </c>
      <c r="AH232">
        <v>12</v>
      </c>
      <c r="AI232">
        <v>1.0521833333333299</v>
      </c>
      <c r="AJ232">
        <v>12.60088</v>
      </c>
      <c r="AL232">
        <v>14</v>
      </c>
      <c r="AM232">
        <v>1.06271571428572</v>
      </c>
      <c r="AN232">
        <v>14.914999999999999</v>
      </c>
      <c r="AP232">
        <v>16</v>
      </c>
      <c r="AQ232">
        <v>0.87517999999999896</v>
      </c>
      <c r="AR232">
        <v>13.85577</v>
      </c>
      <c r="AT232">
        <v>13</v>
      </c>
      <c r="AU232">
        <v>1.02982538461539</v>
      </c>
      <c r="AV232">
        <v>13.36439</v>
      </c>
    </row>
    <row r="233" spans="1:48" x14ac:dyDescent="0.35">
      <c r="D233">
        <v>0.47887000000000102</v>
      </c>
      <c r="E233">
        <v>1.04487</v>
      </c>
      <c r="G233">
        <v>0.44361999999998197</v>
      </c>
      <c r="H233">
        <v>1.05384999999998</v>
      </c>
      <c r="J233">
        <v>0.31363999999999198</v>
      </c>
      <c r="K233">
        <v>0.90228999999999404</v>
      </c>
      <c r="M233" s="85">
        <v>0.42330000000000001</v>
      </c>
      <c r="N233" s="85">
        <v>1.00273999999999</v>
      </c>
      <c r="T233">
        <v>0.79879000000002498</v>
      </c>
      <c r="U233">
        <v>1.02596</v>
      </c>
      <c r="W233">
        <v>0.73291000000000395</v>
      </c>
      <c r="X233">
        <v>1.1197699999999899</v>
      </c>
      <c r="Z233">
        <v>0.48657999999997498</v>
      </c>
      <c r="AA233">
        <v>0.96599999999997999</v>
      </c>
      <c r="AC233">
        <v>0.51480000000000004</v>
      </c>
      <c r="AD233">
        <v>1.0243</v>
      </c>
      <c r="AH233">
        <v>24</v>
      </c>
      <c r="AI233">
        <v>1.05133583333333</v>
      </c>
      <c r="AJ233">
        <v>25.261279999999999</v>
      </c>
      <c r="AL233">
        <v>11</v>
      </c>
      <c r="AM233">
        <v>1.05838090909091</v>
      </c>
      <c r="AN233">
        <v>11.630269999999999</v>
      </c>
      <c r="AP233">
        <v>13</v>
      </c>
      <c r="AQ233">
        <v>0.89738923076923205</v>
      </c>
      <c r="AR233">
        <v>11.80753</v>
      </c>
      <c r="AT233">
        <v>12</v>
      </c>
      <c r="AU233">
        <v>1.0206824999999999</v>
      </c>
      <c r="AV233">
        <v>12.2273</v>
      </c>
    </row>
    <row r="234" spans="1:48" x14ac:dyDescent="0.35">
      <c r="D234">
        <v>0.529030000000006</v>
      </c>
      <c r="E234">
        <v>1.0658099999999999</v>
      </c>
      <c r="G234">
        <v>0.42697000000001101</v>
      </c>
      <c r="H234">
        <v>1.0615700000000201</v>
      </c>
      <c r="J234">
        <v>0.46875</v>
      </c>
      <c r="K234">
        <v>0.91593000000000302</v>
      </c>
      <c r="M234" s="85">
        <v>0.47949999999999998</v>
      </c>
      <c r="N234" s="85">
        <v>1.0876600000000001</v>
      </c>
      <c r="T234">
        <v>0.74403999999998405</v>
      </c>
      <c r="U234">
        <v>1.04775999999998</v>
      </c>
      <c r="W234">
        <v>0.81427000000002203</v>
      </c>
      <c r="X234">
        <v>1.0733000000000199</v>
      </c>
      <c r="Z234">
        <v>0.62628999999998303</v>
      </c>
      <c r="AA234">
        <v>0.93255999999996697</v>
      </c>
      <c r="AC234">
        <v>0.71760000000000002</v>
      </c>
      <c r="AD234">
        <v>1.0295000000000001</v>
      </c>
      <c r="AH234">
        <v>11</v>
      </c>
      <c r="AI234">
        <v>1.07082636363636</v>
      </c>
      <c r="AJ234">
        <v>11.72861</v>
      </c>
      <c r="AP234">
        <v>18</v>
      </c>
      <c r="AQ234">
        <v>0.89196722222222202</v>
      </c>
      <c r="AR234">
        <v>16.140129999999999</v>
      </c>
      <c r="AT234">
        <v>14</v>
      </c>
      <c r="AU234">
        <v>1.0269649999999999</v>
      </c>
      <c r="AV234">
        <v>14.4254</v>
      </c>
    </row>
    <row r="235" spans="1:48" x14ac:dyDescent="0.35">
      <c r="D235">
        <v>0.47710999999998199</v>
      </c>
      <c r="E235">
        <v>1.06437</v>
      </c>
      <c r="G235">
        <v>0.39916999999999803</v>
      </c>
      <c r="H235">
        <v>1.06584999999998</v>
      </c>
      <c r="J235">
        <v>0.50425999999998805</v>
      </c>
      <c r="K235">
        <v>0.86671999999998695</v>
      </c>
      <c r="M235" s="85">
        <v>0.46239999999999998</v>
      </c>
      <c r="N235" s="85">
        <v>1.0268999999999799</v>
      </c>
      <c r="T235">
        <v>0.56383999999997103</v>
      </c>
      <c r="U235">
        <v>1.02700999999996</v>
      </c>
      <c r="W235">
        <v>0.52152000000000998</v>
      </c>
      <c r="X235">
        <v>1.1023099999999899</v>
      </c>
      <c r="Z235">
        <v>0.54878000000002203</v>
      </c>
      <c r="AA235">
        <v>0.91948999999999603</v>
      </c>
      <c r="AC235">
        <v>0.49390000000000001</v>
      </c>
      <c r="AD235">
        <v>1.0295000000000001</v>
      </c>
      <c r="AH235">
        <v>14</v>
      </c>
      <c r="AI235">
        <v>1.0824078571428599</v>
      </c>
      <c r="AJ235">
        <v>15.108689999999999</v>
      </c>
      <c r="AP235">
        <v>19</v>
      </c>
      <c r="AQ235">
        <v>0.89344999999999997</v>
      </c>
      <c r="AR235">
        <v>16.774650000000001</v>
      </c>
      <c r="AT235">
        <v>13</v>
      </c>
      <c r="AU235">
        <v>1.03170846153846</v>
      </c>
      <c r="AV235">
        <v>13.349159999999999</v>
      </c>
    </row>
    <row r="236" spans="1:48" x14ac:dyDescent="0.35">
      <c r="D236">
        <v>0.44603999999998201</v>
      </c>
      <c r="E236">
        <v>1.07831999999996</v>
      </c>
      <c r="G236">
        <v>0.43363999999999697</v>
      </c>
      <c r="H236">
        <v>1.0633400000000099</v>
      </c>
      <c r="J236">
        <v>0.33578000000000002</v>
      </c>
      <c r="K236">
        <v>0.89913999999998895</v>
      </c>
      <c r="M236" s="85">
        <v>0.4052</v>
      </c>
      <c r="N236" s="85">
        <v>0.99690000000003898</v>
      </c>
      <c r="T236">
        <v>0.425229999999999</v>
      </c>
      <c r="U236">
        <v>1.06954999999999</v>
      </c>
      <c r="W236">
        <v>0.59942000000000895</v>
      </c>
      <c r="X236">
        <v>1.10076000000001</v>
      </c>
      <c r="Z236">
        <v>0.60958000000005097</v>
      </c>
      <c r="AA236">
        <v>0.90257000000002596</v>
      </c>
      <c r="AC236">
        <v>0.40029999999999999</v>
      </c>
      <c r="AD236">
        <v>1.0347</v>
      </c>
      <c r="AH236">
        <v>11</v>
      </c>
      <c r="AI236">
        <v>1.0846</v>
      </c>
      <c r="AJ236">
        <v>11.95505</v>
      </c>
      <c r="AP236">
        <v>15</v>
      </c>
      <c r="AQ236">
        <v>0.89533000000000096</v>
      </c>
      <c r="AR236">
        <v>13.42346</v>
      </c>
      <c r="AT236">
        <v>14</v>
      </c>
      <c r="AU236">
        <v>1.02539214285715</v>
      </c>
      <c r="AV236">
        <v>15.377890000000001</v>
      </c>
    </row>
    <row r="237" spans="1:48" x14ac:dyDescent="0.35">
      <c r="D237">
        <v>0.46546000000000698</v>
      </c>
      <c r="E237">
        <v>1.0732899999999901</v>
      </c>
      <c r="G237">
        <v>0.375889999999998</v>
      </c>
      <c r="H237">
        <v>1.0175100000000199</v>
      </c>
      <c r="J237">
        <v>0.31123999999999802</v>
      </c>
      <c r="K237">
        <v>0.88109000000002902</v>
      </c>
      <c r="M237" s="85">
        <v>0.43880000000000002</v>
      </c>
      <c r="N237" s="85">
        <v>1.04595999999998</v>
      </c>
      <c r="T237">
        <v>0.73630000000002804</v>
      </c>
      <c r="U237">
        <v>0.98795000000001199</v>
      </c>
      <c r="W237">
        <v>0.46726999999998498</v>
      </c>
      <c r="X237">
        <v>1.0714899999999801</v>
      </c>
      <c r="Z237">
        <v>0.537080000000003</v>
      </c>
      <c r="AA237">
        <v>0.93771000000003801</v>
      </c>
      <c r="AC237">
        <v>0.51990000000000003</v>
      </c>
      <c r="AD237">
        <v>1.05522000000002</v>
      </c>
      <c r="AH237">
        <v>13</v>
      </c>
      <c r="AI237">
        <v>1.0764861538461601</v>
      </c>
      <c r="AJ237">
        <v>13.95317</v>
      </c>
      <c r="AP237">
        <v>15</v>
      </c>
      <c r="AQ237">
        <v>0.89772999999999803</v>
      </c>
      <c r="AR237">
        <v>13.4611</v>
      </c>
      <c r="AT237">
        <v>14</v>
      </c>
      <c r="AU237">
        <v>1.02929214285714</v>
      </c>
      <c r="AV237">
        <v>13.41742</v>
      </c>
    </row>
    <row r="238" spans="1:48" x14ac:dyDescent="0.35">
      <c r="D238">
        <v>0.44487000000003701</v>
      </c>
      <c r="E238">
        <v>1.09385000000003</v>
      </c>
      <c r="J238">
        <v>0.36388999999996902</v>
      </c>
      <c r="K238">
        <v>0.93858999999997705</v>
      </c>
      <c r="M238" s="85">
        <v>0.4551</v>
      </c>
      <c r="N238" s="85">
        <v>1.0276000000000001</v>
      </c>
      <c r="T238">
        <v>0.62803999999999904</v>
      </c>
      <c r="U238">
        <v>1.0576699999999699</v>
      </c>
      <c r="Z238">
        <v>0.57465000000001998</v>
      </c>
      <c r="AA238">
        <v>0.94234999999997604</v>
      </c>
      <c r="AC238">
        <v>0.55630000000000002</v>
      </c>
      <c r="AD238">
        <v>1.0310999999999799</v>
      </c>
      <c r="AH238">
        <v>11</v>
      </c>
      <c r="AI238">
        <v>1.07541181818182</v>
      </c>
      <c r="AJ238">
        <v>11.85688</v>
      </c>
      <c r="AP238">
        <v>19</v>
      </c>
      <c r="AQ238">
        <v>0.89641578947368505</v>
      </c>
      <c r="AR238">
        <v>17.145150000000001</v>
      </c>
      <c r="AT238">
        <v>7</v>
      </c>
      <c r="AU238">
        <v>1.03759000000001</v>
      </c>
      <c r="AV238">
        <v>8.18544000000003</v>
      </c>
    </row>
    <row r="239" spans="1:48" x14ac:dyDescent="0.35">
      <c r="D239">
        <v>0.45886999999999001</v>
      </c>
      <c r="E239">
        <v>1.08049999999997</v>
      </c>
      <c r="J239">
        <v>0.44450999999997998</v>
      </c>
      <c r="K239">
        <v>0.90595999999999299</v>
      </c>
      <c r="M239" s="85">
        <v>0.38159999999999999</v>
      </c>
      <c r="N239" s="85">
        <v>1.0276000000000001</v>
      </c>
      <c r="T239">
        <v>0.55493000000001302</v>
      </c>
      <c r="U239">
        <v>1.0663099999999901</v>
      </c>
      <c r="Z239">
        <v>0.50035000000002605</v>
      </c>
      <c r="AA239">
        <v>0.92635999999998797</v>
      </c>
      <c r="AC239">
        <v>0.54079999999999995</v>
      </c>
      <c r="AD239">
        <v>1.0243</v>
      </c>
      <c r="AH239">
        <v>13</v>
      </c>
      <c r="AI239">
        <v>1.08524538461538</v>
      </c>
      <c r="AJ239">
        <v>14.11229</v>
      </c>
      <c r="AP239">
        <v>19</v>
      </c>
      <c r="AQ239">
        <v>0.89883631578947498</v>
      </c>
      <c r="AR239">
        <v>17.099060000000001</v>
      </c>
      <c r="AT239">
        <v>12</v>
      </c>
      <c r="AU239">
        <v>1.0162441666666699</v>
      </c>
      <c r="AV239">
        <v>12.249890000000001</v>
      </c>
    </row>
    <row r="240" spans="1:48" x14ac:dyDescent="0.35">
      <c r="D240">
        <v>0.47532999999998499</v>
      </c>
      <c r="E240">
        <v>1.09285999999997</v>
      </c>
      <c r="J240">
        <v>0.46132999999997498</v>
      </c>
      <c r="K240">
        <v>0.90161000000000502</v>
      </c>
      <c r="M240" s="85">
        <v>0.3866</v>
      </c>
      <c r="N240" s="85">
        <v>1.0198100000000101</v>
      </c>
      <c r="T240">
        <v>0.671179999999993</v>
      </c>
      <c r="U240">
        <v>1.0929899999999899</v>
      </c>
      <c r="Z240">
        <v>0.46965000000000101</v>
      </c>
      <c r="AA240">
        <v>0.91917999999998301</v>
      </c>
      <c r="AC240">
        <v>0.45240000000000002</v>
      </c>
      <c r="AD240">
        <v>1.0450999999999999</v>
      </c>
      <c r="AH240">
        <v>11</v>
      </c>
      <c r="AI240">
        <v>1.08966727272728</v>
      </c>
      <c r="AJ240">
        <v>11.980309999999999</v>
      </c>
      <c r="AT240">
        <v>15</v>
      </c>
      <c r="AU240">
        <v>1.02915466666667</v>
      </c>
      <c r="AV240">
        <v>14.4427</v>
      </c>
    </row>
    <row r="241" spans="4:48" x14ac:dyDescent="0.35">
      <c r="D241">
        <v>0.48211000000003401</v>
      </c>
      <c r="E241">
        <v>1.1056700000000299</v>
      </c>
      <c r="M241" s="85">
        <v>0.4355</v>
      </c>
      <c r="N241" s="85">
        <v>0.99720000000002096</v>
      </c>
      <c r="T241">
        <v>0.61606000000000505</v>
      </c>
      <c r="U241">
        <v>1.07914</v>
      </c>
      <c r="AC241">
        <v>0.45760000000000001</v>
      </c>
      <c r="AD241">
        <v>1.0086999999999999</v>
      </c>
      <c r="AH241">
        <v>13</v>
      </c>
      <c r="AI241">
        <v>1.08470692307692</v>
      </c>
      <c r="AJ241">
        <v>14.1302</v>
      </c>
      <c r="AT241">
        <v>13</v>
      </c>
      <c r="AU241">
        <v>1.0242015384615399</v>
      </c>
      <c r="AV241">
        <v>14.331239999999999</v>
      </c>
    </row>
    <row r="242" spans="4:48" x14ac:dyDescent="0.35">
      <c r="D242">
        <v>0.47921000000002301</v>
      </c>
      <c r="E242">
        <v>1.0737599999999901</v>
      </c>
      <c r="M242" s="85">
        <v>0.41930000000000001</v>
      </c>
      <c r="N242" s="85">
        <v>1.02048000000002</v>
      </c>
      <c r="T242">
        <v>0.783540000000016</v>
      </c>
      <c r="U242">
        <v>1.1288900000000099</v>
      </c>
      <c r="AC242">
        <v>0.85970000000000002</v>
      </c>
      <c r="AD242">
        <v>1.0132300000000201</v>
      </c>
      <c r="AT242">
        <v>6</v>
      </c>
      <c r="AU242">
        <v>1.0175033333333401</v>
      </c>
      <c r="AV242">
        <v>6.8410600000000299</v>
      </c>
    </row>
    <row r="243" spans="4:48" x14ac:dyDescent="0.35">
      <c r="M243" s="85">
        <v>0.3276</v>
      </c>
      <c r="N243" s="85">
        <v>1.00482</v>
      </c>
      <c r="AC243">
        <v>0.823969999999974</v>
      </c>
      <c r="AD243">
        <v>1.0792999999999999</v>
      </c>
      <c r="AT243">
        <v>13</v>
      </c>
      <c r="AU243">
        <v>1.01386538461538</v>
      </c>
      <c r="AV243">
        <v>12.269690000000001</v>
      </c>
    </row>
    <row r="244" spans="4:48" x14ac:dyDescent="0.35">
      <c r="M244" s="85">
        <v>0.41930000000000001</v>
      </c>
      <c r="N244" s="85">
        <v>0.88202000000001102</v>
      </c>
      <c r="AC244">
        <v>0.68400000000000005</v>
      </c>
      <c r="AD244">
        <v>1.0857000000000001</v>
      </c>
      <c r="AT244">
        <v>12</v>
      </c>
      <c r="AU244">
        <v>1.03078416666666</v>
      </c>
      <c r="AV244">
        <v>13.37739</v>
      </c>
    </row>
    <row r="245" spans="4:48" x14ac:dyDescent="0.35">
      <c r="M245" s="85">
        <v>0.43880000000000002</v>
      </c>
      <c r="N245" s="85">
        <v>1.0005900000000501</v>
      </c>
      <c r="AC245">
        <v>0.90359999999999996</v>
      </c>
      <c r="AD245">
        <v>1.0730999999999999</v>
      </c>
      <c r="AT245">
        <v>14</v>
      </c>
      <c r="AU245">
        <v>1.0245285714285699</v>
      </c>
      <c r="AV245">
        <v>14.32249</v>
      </c>
    </row>
    <row r="246" spans="4:48" x14ac:dyDescent="0.35">
      <c r="M246" s="85">
        <v>0.40410000000000001</v>
      </c>
      <c r="N246" s="85">
        <v>1.0258800000000301</v>
      </c>
      <c r="AC246">
        <v>0.6401</v>
      </c>
      <c r="AD246">
        <v>1.0354000000000001</v>
      </c>
      <c r="AT246">
        <v>14</v>
      </c>
      <c r="AU246">
        <v>1.02235285714285</v>
      </c>
      <c r="AV246">
        <v>13.34736</v>
      </c>
    </row>
    <row r="247" spans="4:48" x14ac:dyDescent="0.35">
      <c r="M247" s="85">
        <v>0.4647</v>
      </c>
      <c r="N247" s="85">
        <v>1.01612999999998</v>
      </c>
      <c r="AC247">
        <v>0.38279999999999997</v>
      </c>
      <c r="AD247">
        <v>1.0228999999999999</v>
      </c>
      <c r="AT247">
        <v>15</v>
      </c>
      <c r="AU247">
        <v>1.0216666666666701</v>
      </c>
      <c r="AV247">
        <v>16.31232</v>
      </c>
    </row>
    <row r="248" spans="4:48" x14ac:dyDescent="0.35">
      <c r="M248" s="85">
        <v>0.43619999999999998</v>
      </c>
      <c r="N248" s="85">
        <v>0.99232000000000697</v>
      </c>
      <c r="AC248">
        <v>0.76549999999999996</v>
      </c>
      <c r="AD248">
        <v>1.0668</v>
      </c>
      <c r="AT248">
        <v>13</v>
      </c>
      <c r="AU248">
        <v>1.02786692307692</v>
      </c>
      <c r="AV248">
        <v>12.402150000000001</v>
      </c>
    </row>
    <row r="249" spans="4:48" x14ac:dyDescent="0.35">
      <c r="M249" s="85">
        <v>0.37090000000000001</v>
      </c>
      <c r="N249" s="85">
        <v>1.02695</v>
      </c>
      <c r="AC249">
        <v>0.64</v>
      </c>
      <c r="AD249">
        <v>1.0792999999999999</v>
      </c>
      <c r="AT249">
        <v>14</v>
      </c>
      <c r="AU249">
        <v>1.02683785714286</v>
      </c>
      <c r="AV249">
        <v>15.32611</v>
      </c>
    </row>
    <row r="250" spans="4:48" x14ac:dyDescent="0.35">
      <c r="M250" s="85">
        <v>0.45519999999999999</v>
      </c>
      <c r="N250" s="85">
        <v>1.0104499999999901</v>
      </c>
      <c r="AC250">
        <v>0.74050000000000005</v>
      </c>
      <c r="AD250">
        <v>1.0730999999999999</v>
      </c>
      <c r="AT250">
        <v>15</v>
      </c>
      <c r="AU250">
        <v>1.0282546666666701</v>
      </c>
      <c r="AV250">
        <v>14.40319</v>
      </c>
    </row>
    <row r="251" spans="4:48" x14ac:dyDescent="0.35">
      <c r="M251" s="85">
        <v>0.43809999999999999</v>
      </c>
      <c r="N251" s="85">
        <v>1.0022599999999799</v>
      </c>
      <c r="AG251" t="s">
        <v>77</v>
      </c>
      <c r="AH251">
        <f>AVERAGE(AH216:AH241)</f>
        <v>13.26923076923077</v>
      </c>
      <c r="AI251">
        <f>AVERAGE(AI216:AI241)</f>
        <v>1.0254838522329228</v>
      </c>
      <c r="AJ251">
        <f>AVERAGE(AJ216:AJ241)</f>
        <v>13.567197307692307</v>
      </c>
      <c r="AL251">
        <f>AVERAGE(AL216:AL241)</f>
        <v>9.5</v>
      </c>
      <c r="AM251">
        <f>AVERAGE(AM216:AM241)</f>
        <v>1.0583048891895144</v>
      </c>
      <c r="AN251">
        <f>AVERAGE(AN216:AN241)</f>
        <v>10.089514444444443</v>
      </c>
      <c r="AP251">
        <f>AVERAGE(AP216:AP241)</f>
        <v>16.333333333333332</v>
      </c>
      <c r="AQ251">
        <f>AVERAGE(AQ216:AQ241)</f>
        <v>0.89282377710242355</v>
      </c>
      <c r="AR251">
        <f>AVERAGE(AR216:AR241)</f>
        <v>14.584410833333335</v>
      </c>
      <c r="AT251">
        <f>AVERAGE(AT216:AT250)</f>
        <v>13</v>
      </c>
      <c r="AU251">
        <f t="shared" ref="AU251:AV251" si="44">AVERAGE(AU216:AU250)</f>
        <v>1.0295522283977931</v>
      </c>
      <c r="AV251">
        <f t="shared" si="44"/>
        <v>13.433379428571431</v>
      </c>
    </row>
    <row r="252" spans="4:48" x14ac:dyDescent="0.35">
      <c r="M252" s="85"/>
      <c r="N252" s="85"/>
      <c r="AG252" t="s">
        <v>94</v>
      </c>
      <c r="AH252">
        <f>_xlfn.STDEV.S(AH216:AH241)</f>
        <v>3.4241225714941033</v>
      </c>
      <c r="AI252">
        <f>_xlfn.STDEV.S(AI216:AI241)</f>
        <v>5.1507194744557928E-2</v>
      </c>
      <c r="AJ252">
        <f>_xlfn.STDEV.S(AJ216:AJ241)</f>
        <v>3.3886778816671987</v>
      </c>
      <c r="AL252">
        <f>_xlfn.STDEV.S(AL216:AL241)</f>
        <v>1.6890651782777917</v>
      </c>
      <c r="AM252">
        <f>_xlfn.STDEV.S(AM216:AM241)</f>
        <v>8.6626377180454833E-3</v>
      </c>
      <c r="AN252">
        <f>_xlfn.STDEV.S(AN216:AN241)</f>
        <v>1.7867496452537441</v>
      </c>
      <c r="AP252">
        <f>_xlfn.STDEV.S(AP216:AP241)</f>
        <v>1.7110044511584548</v>
      </c>
      <c r="AQ252">
        <f>_xlfn.STDEV.S(AQ216:AQ241)</f>
        <v>5.357814027035228E-3</v>
      </c>
      <c r="AR252">
        <f>_xlfn.STDEV.S(AR216:AR241)</f>
        <v>1.5101258714537675</v>
      </c>
      <c r="AT252">
        <f>_xlfn.STDEV.S(AT216:AT250)</f>
        <v>2.0291986247835694</v>
      </c>
      <c r="AU252">
        <f t="shared" ref="AU252:AV252" si="45">_xlfn.STDEV.S(AU216:AU250)</f>
        <v>7.5039781254197255E-3</v>
      </c>
      <c r="AV252">
        <f t="shared" si="45"/>
        <v>1.9872638133964364</v>
      </c>
    </row>
    <row r="253" spans="4:48" x14ac:dyDescent="0.35">
      <c r="M253" s="85"/>
      <c r="N253" s="85"/>
    </row>
    <row r="266" spans="3:48" ht="18.5" x14ac:dyDescent="0.45">
      <c r="AM266" s="192" t="s">
        <v>556</v>
      </c>
    </row>
    <row r="267" spans="3:48" ht="18.5" x14ac:dyDescent="0.45">
      <c r="H267" s="192" t="s">
        <v>544</v>
      </c>
      <c r="X267" s="192" t="s">
        <v>545</v>
      </c>
      <c r="AH267" s="139" t="s">
        <v>380</v>
      </c>
    </row>
    <row r="268" spans="3:48" x14ac:dyDescent="0.35">
      <c r="AH268" s="104" t="s">
        <v>386</v>
      </c>
    </row>
    <row r="269" spans="3:48" x14ac:dyDescent="0.35">
      <c r="C269" s="139" t="s">
        <v>380</v>
      </c>
      <c r="D269" s="139" t="s">
        <v>0</v>
      </c>
      <c r="E269" s="139"/>
      <c r="F269" s="139"/>
      <c r="G269" s="139" t="s">
        <v>91</v>
      </c>
      <c r="J269" s="139" t="s">
        <v>86</v>
      </c>
      <c r="M269" s="139" t="s">
        <v>92</v>
      </c>
      <c r="S269" s="139" t="s">
        <v>380</v>
      </c>
      <c r="T269" s="139" t="s">
        <v>0</v>
      </c>
      <c r="U269" s="139"/>
      <c r="V269" s="139"/>
      <c r="W269" s="139" t="s">
        <v>91</v>
      </c>
      <c r="Z269" s="139" t="s">
        <v>86</v>
      </c>
      <c r="AC269" s="139" t="s">
        <v>92</v>
      </c>
      <c r="AH269" s="104"/>
      <c r="AI269" s="139" t="s">
        <v>0</v>
      </c>
      <c r="AJ269" s="139"/>
      <c r="AK269" s="139"/>
      <c r="AM269" s="139" t="s">
        <v>91</v>
      </c>
      <c r="AQ269" s="139" t="s">
        <v>86</v>
      </c>
      <c r="AU269" s="139" t="s">
        <v>92</v>
      </c>
    </row>
    <row r="270" spans="3:48" x14ac:dyDescent="0.35">
      <c r="C270" s="104" t="s">
        <v>386</v>
      </c>
      <c r="D270" s="104" t="s">
        <v>542</v>
      </c>
      <c r="E270" s="104" t="s">
        <v>543</v>
      </c>
      <c r="F270" s="104"/>
      <c r="G270" s="104" t="s">
        <v>542</v>
      </c>
      <c r="H270" s="104" t="s">
        <v>543</v>
      </c>
      <c r="I270" s="104"/>
      <c r="J270" s="104" t="s">
        <v>542</v>
      </c>
      <c r="K270" s="104" t="s">
        <v>543</v>
      </c>
      <c r="L270" s="104"/>
      <c r="M270" s="104" t="s">
        <v>542</v>
      </c>
      <c r="N270" s="104" t="s">
        <v>543</v>
      </c>
      <c r="S270" s="104" t="s">
        <v>386</v>
      </c>
      <c r="T270" s="104" t="s">
        <v>542</v>
      </c>
      <c r="U270" s="104" t="s">
        <v>543</v>
      </c>
      <c r="V270" s="104"/>
      <c r="W270" s="104" t="s">
        <v>542</v>
      </c>
      <c r="X270" s="104" t="s">
        <v>543</v>
      </c>
      <c r="Y270" s="104"/>
      <c r="Z270" s="104" t="s">
        <v>542</v>
      </c>
      <c r="AA270" s="104" t="s">
        <v>543</v>
      </c>
      <c r="AB270" s="104"/>
      <c r="AC270" s="104" t="s">
        <v>542</v>
      </c>
      <c r="AD270" s="104" t="s">
        <v>543</v>
      </c>
      <c r="AH270" s="104" t="s">
        <v>649</v>
      </c>
      <c r="AI270" s="104" t="s">
        <v>546</v>
      </c>
      <c r="AJ270" s="104" t="s">
        <v>547</v>
      </c>
      <c r="AK270" s="104"/>
      <c r="AL270" s="104" t="s">
        <v>649</v>
      </c>
      <c r="AM270" s="104" t="s">
        <v>546</v>
      </c>
      <c r="AN270" s="104" t="s">
        <v>547</v>
      </c>
      <c r="AO270" s="104"/>
      <c r="AP270" s="104" t="s">
        <v>649</v>
      </c>
      <c r="AQ270" s="104" t="s">
        <v>546</v>
      </c>
      <c r="AR270" s="104" t="s">
        <v>547</v>
      </c>
      <c r="AS270" s="104"/>
      <c r="AT270" s="104" t="s">
        <v>649</v>
      </c>
      <c r="AU270" s="104" t="s">
        <v>546</v>
      </c>
      <c r="AV270" s="104" t="s">
        <v>547</v>
      </c>
    </row>
    <row r="271" spans="3:48" x14ac:dyDescent="0.35">
      <c r="D271">
        <v>0.43956000000000001</v>
      </c>
      <c r="E271">
        <v>0.82972000000000001</v>
      </c>
      <c r="G271">
        <v>0.41814999999999902</v>
      </c>
      <c r="H271">
        <v>1.02034</v>
      </c>
      <c r="J271">
        <v>0.19355</v>
      </c>
      <c r="K271">
        <v>0.64312000000000002</v>
      </c>
      <c r="M271">
        <v>0.42019999999999902</v>
      </c>
      <c r="N271">
        <v>0.94394</v>
      </c>
      <c r="T271">
        <v>0.44424999999999998</v>
      </c>
      <c r="U271">
        <v>0.79538999999999904</v>
      </c>
      <c r="W271">
        <v>0.95623000000000002</v>
      </c>
      <c r="X271">
        <v>1.0238400000000001</v>
      </c>
      <c r="Z271">
        <v>0.49413000000000001</v>
      </c>
      <c r="AA271">
        <v>0.85811999999999999</v>
      </c>
      <c r="AC271">
        <v>0.58564000000000005</v>
      </c>
      <c r="AD271">
        <v>0.92737999999999798</v>
      </c>
      <c r="AH271">
        <v>18</v>
      </c>
      <c r="AI271">
        <v>0.80851166666666696</v>
      </c>
      <c r="AJ271">
        <v>14.575749999999999</v>
      </c>
      <c r="AL271">
        <v>15</v>
      </c>
      <c r="AM271">
        <v>0.93464800000000003</v>
      </c>
      <c r="AN271">
        <v>13.76019</v>
      </c>
      <c r="AP271">
        <v>20</v>
      </c>
      <c r="AQ271">
        <v>0.89920999999999995</v>
      </c>
      <c r="AR271">
        <v>17.900300000000001</v>
      </c>
      <c r="AT271">
        <v>22</v>
      </c>
      <c r="AU271">
        <v>0.90560363636363606</v>
      </c>
      <c r="AV271">
        <v>19.946760000000001</v>
      </c>
    </row>
    <row r="272" spans="3:48" x14ac:dyDescent="0.35">
      <c r="D272">
        <v>0.44488999999999701</v>
      </c>
      <c r="E272">
        <v>0.81250999999999995</v>
      </c>
      <c r="G272">
        <v>0.40201000000000098</v>
      </c>
      <c r="H272">
        <v>0.99009000000000202</v>
      </c>
      <c r="J272">
        <v>0.36189000000000299</v>
      </c>
      <c r="K272">
        <v>0.89536000000000004</v>
      </c>
      <c r="M272">
        <v>0.41469</v>
      </c>
      <c r="N272">
        <v>0.91495000000000104</v>
      </c>
      <c r="T272">
        <v>0.73873999999999995</v>
      </c>
      <c r="U272">
        <v>0.80720999999999798</v>
      </c>
      <c r="W272">
        <v>0.54967999999999895</v>
      </c>
      <c r="X272">
        <v>0.979629999999997</v>
      </c>
      <c r="Z272">
        <v>3.45799999999983E-2</v>
      </c>
      <c r="AA272">
        <v>0.88449</v>
      </c>
      <c r="AC272">
        <v>0.72418000000000404</v>
      </c>
      <c r="AD272">
        <v>0.959090000000003</v>
      </c>
      <c r="AH272">
        <v>18</v>
      </c>
      <c r="AI272">
        <v>0.80341944444444402</v>
      </c>
      <c r="AJ272">
        <v>14.50145</v>
      </c>
      <c r="AL272">
        <v>17</v>
      </c>
      <c r="AM272">
        <v>0.91551882352941205</v>
      </c>
      <c r="AN272">
        <v>15.57793</v>
      </c>
      <c r="AP272">
        <v>24</v>
      </c>
      <c r="AQ272">
        <v>0.88499541666666703</v>
      </c>
      <c r="AR272">
        <v>21.36788</v>
      </c>
      <c r="AT272">
        <v>20</v>
      </c>
      <c r="AU272">
        <v>0.90602300000000002</v>
      </c>
      <c r="AV272">
        <v>18.19772</v>
      </c>
    </row>
    <row r="273" spans="1:48" x14ac:dyDescent="0.35">
      <c r="D273">
        <v>0.45251999999999998</v>
      </c>
      <c r="E273">
        <v>0.78023999999999905</v>
      </c>
      <c r="G273">
        <v>0.40050999999999698</v>
      </c>
      <c r="H273">
        <v>0.98810999999999904</v>
      </c>
      <c r="J273">
        <v>0.44826999999999401</v>
      </c>
      <c r="K273">
        <v>0.85374999999999801</v>
      </c>
      <c r="M273">
        <v>0.475079999999998</v>
      </c>
      <c r="N273">
        <v>0.89807999999999999</v>
      </c>
      <c r="T273">
        <v>0.55699999999999505</v>
      </c>
      <c r="U273">
        <v>0.78761999999999699</v>
      </c>
      <c r="W273">
        <v>0.46377000000000401</v>
      </c>
      <c r="X273">
        <v>0.99704000000000603</v>
      </c>
      <c r="Z273">
        <v>0.78996000000000099</v>
      </c>
      <c r="AA273">
        <v>0.87355000000000205</v>
      </c>
      <c r="AC273">
        <v>0.49289999999999901</v>
      </c>
      <c r="AD273">
        <v>0.88317000000000001</v>
      </c>
      <c r="AH273">
        <v>20</v>
      </c>
      <c r="AI273">
        <v>0.79712799999999995</v>
      </c>
      <c r="AJ273">
        <v>16.026029999999999</v>
      </c>
      <c r="AL273">
        <v>16</v>
      </c>
      <c r="AM273">
        <v>0.92490687500000002</v>
      </c>
      <c r="AN273">
        <v>14.79899</v>
      </c>
      <c r="AP273">
        <v>28</v>
      </c>
      <c r="AQ273">
        <v>0.89620500000000003</v>
      </c>
      <c r="AR273">
        <v>25.057359999999999</v>
      </c>
      <c r="AT273">
        <v>23</v>
      </c>
      <c r="AU273">
        <v>0.89575913043478195</v>
      </c>
      <c r="AV273">
        <v>20.505050000000001</v>
      </c>
    </row>
    <row r="274" spans="1:48" x14ac:dyDescent="0.35">
      <c r="A274" t="s">
        <v>77</v>
      </c>
      <c r="B274">
        <v>0.38990000000000002</v>
      </c>
      <c r="D274">
        <v>0.52335999999999705</v>
      </c>
      <c r="E274">
        <v>0.76760999999999802</v>
      </c>
      <c r="G274">
        <v>0.39258000000000198</v>
      </c>
      <c r="H274">
        <v>0.98929999999999996</v>
      </c>
      <c r="J274">
        <v>0.45148000000000399</v>
      </c>
      <c r="K274">
        <v>0.89334000000000902</v>
      </c>
      <c r="M274">
        <v>0.41731000000000101</v>
      </c>
      <c r="N274">
        <v>0.937719999999999</v>
      </c>
      <c r="Q274" t="s">
        <v>77</v>
      </c>
      <c r="R274">
        <v>0.56879999999999997</v>
      </c>
      <c r="T274">
        <v>0.70922999999999803</v>
      </c>
      <c r="U274">
        <v>0.78864999999999696</v>
      </c>
      <c r="W274">
        <v>0.45899999999999602</v>
      </c>
      <c r="X274">
        <v>0.96014999999999895</v>
      </c>
      <c r="Z274">
        <v>0.30409000000000203</v>
      </c>
      <c r="AA274">
        <v>0.88541000000000702</v>
      </c>
      <c r="AC274">
        <v>0.49477000000000299</v>
      </c>
      <c r="AD274">
        <v>0.86336000000000002</v>
      </c>
      <c r="AH274">
        <v>19</v>
      </c>
      <c r="AI274">
        <v>0.79452789473684204</v>
      </c>
      <c r="AJ274">
        <v>14.998150000000001</v>
      </c>
      <c r="AL274">
        <v>15</v>
      </c>
      <c r="AM274">
        <v>0.90833866666666696</v>
      </c>
      <c r="AN274">
        <v>13.615959999999999</v>
      </c>
      <c r="AP274">
        <v>19</v>
      </c>
      <c r="AQ274">
        <v>0.89527789473684205</v>
      </c>
      <c r="AR274">
        <v>16.966560000000001</v>
      </c>
      <c r="AT274">
        <v>22</v>
      </c>
      <c r="AU274">
        <v>0.89811045454545502</v>
      </c>
      <c r="AV274">
        <v>19.677949999999999</v>
      </c>
    </row>
    <row r="275" spans="1:48" x14ac:dyDescent="0.35">
      <c r="A275" t="s">
        <v>94</v>
      </c>
      <c r="B275">
        <v>7.3800000000000004E-2</v>
      </c>
      <c r="D275">
        <v>0.47311000000000503</v>
      </c>
      <c r="E275">
        <v>0.81524000000000296</v>
      </c>
      <c r="G275">
        <v>0.32720000000000499</v>
      </c>
      <c r="H275">
        <v>1.0063200000000001</v>
      </c>
      <c r="J275">
        <v>0.39794000000000601</v>
      </c>
      <c r="K275">
        <v>0.88352000000000397</v>
      </c>
      <c r="M275">
        <v>0.34745999999999799</v>
      </c>
      <c r="N275">
        <v>0.94835000000000502</v>
      </c>
      <c r="Q275" t="s">
        <v>94</v>
      </c>
      <c r="R275">
        <v>0.17749999999999999</v>
      </c>
      <c r="T275">
        <v>0.71479000000000803</v>
      </c>
      <c r="U275">
        <v>0.76868000000000303</v>
      </c>
      <c r="W275">
        <v>0.68551999999999702</v>
      </c>
      <c r="X275">
        <v>0.98420000000000096</v>
      </c>
      <c r="Z275">
        <v>0.83652000000000704</v>
      </c>
      <c r="AA275">
        <v>0.87064000000000896</v>
      </c>
      <c r="AC275">
        <v>0.43663000000000801</v>
      </c>
      <c r="AD275">
        <v>0.84071000000000096</v>
      </c>
      <c r="AH275">
        <v>24</v>
      </c>
      <c r="AI275">
        <v>0.78596624999999998</v>
      </c>
      <c r="AJ275">
        <v>18.81401</v>
      </c>
      <c r="AL275">
        <v>19</v>
      </c>
      <c r="AM275">
        <v>0.96071315789473699</v>
      </c>
      <c r="AN275">
        <v>18.171150000000001</v>
      </c>
      <c r="AP275">
        <v>25</v>
      </c>
      <c r="AQ275">
        <v>0.88703799999999999</v>
      </c>
      <c r="AR275">
        <v>22.218150000000001</v>
      </c>
      <c r="AT275">
        <v>22</v>
      </c>
      <c r="AU275">
        <v>0.88550909090909102</v>
      </c>
      <c r="AV275">
        <v>19.628730000000001</v>
      </c>
    </row>
    <row r="276" spans="1:48" x14ac:dyDescent="0.35">
      <c r="A276" t="s">
        <v>685</v>
      </c>
      <c r="B276">
        <f>B275/B274</f>
        <v>0.18927930238522697</v>
      </c>
      <c r="D276">
        <v>0.43259000000000503</v>
      </c>
      <c r="E276">
        <v>0.82390000000000896</v>
      </c>
      <c r="G276">
        <v>0.36567999999999801</v>
      </c>
      <c r="H276">
        <v>0.81937000000000604</v>
      </c>
      <c r="J276">
        <v>0.44025999999999499</v>
      </c>
      <c r="K276">
        <v>0.88363999999999998</v>
      </c>
      <c r="M276">
        <v>0.35786000000000201</v>
      </c>
      <c r="N276">
        <v>0.81122000000000605</v>
      </c>
      <c r="Q276" t="s">
        <v>685</v>
      </c>
      <c r="R276">
        <f>R275/R274</f>
        <v>0.31206047819971872</v>
      </c>
      <c r="T276">
        <v>0.56535000000000901</v>
      </c>
      <c r="U276">
        <v>0.81951000000000795</v>
      </c>
      <c r="W276">
        <v>0.64746000000001003</v>
      </c>
      <c r="X276">
        <v>0.92284999999999695</v>
      </c>
      <c r="Z276">
        <v>0.777469999999994</v>
      </c>
      <c r="AA276">
        <v>0.87111000000000205</v>
      </c>
      <c r="AC276">
        <v>0.90311000000001196</v>
      </c>
      <c r="AD276">
        <v>1.0607900000000099</v>
      </c>
      <c r="AH276">
        <v>22</v>
      </c>
      <c r="AI276">
        <v>0.78340363636363697</v>
      </c>
      <c r="AJ276">
        <v>17.289570000000001</v>
      </c>
      <c r="AL276">
        <v>19</v>
      </c>
      <c r="AM276">
        <v>0.84577947368421103</v>
      </c>
      <c r="AN276">
        <v>16.29524</v>
      </c>
      <c r="AP276">
        <v>21</v>
      </c>
      <c r="AQ276">
        <v>0.88218428571428598</v>
      </c>
      <c r="AR276">
        <v>18.42238</v>
      </c>
      <c r="AT276">
        <v>22</v>
      </c>
      <c r="AU276">
        <v>0.87182999999999999</v>
      </c>
      <c r="AV276">
        <v>19.174469999999999</v>
      </c>
    </row>
    <row r="277" spans="1:48" x14ac:dyDescent="0.35">
      <c r="A277" t="s">
        <v>679</v>
      </c>
      <c r="D277">
        <v>0.46793999999999902</v>
      </c>
      <c r="E277">
        <v>0.80456000000000905</v>
      </c>
      <c r="G277">
        <v>0.34221999999999803</v>
      </c>
      <c r="H277">
        <v>0.76112000000000501</v>
      </c>
      <c r="J277">
        <v>0.34662000000000198</v>
      </c>
      <c r="K277">
        <v>0.89349000000000001</v>
      </c>
      <c r="M277">
        <v>0.39594999999999902</v>
      </c>
      <c r="N277">
        <v>0.85510000000000697</v>
      </c>
      <c r="Q277" t="s">
        <v>679</v>
      </c>
      <c r="T277">
        <v>0.79565999999999804</v>
      </c>
      <c r="U277">
        <v>0.81965999999999894</v>
      </c>
      <c r="W277">
        <v>0.62233999999999401</v>
      </c>
      <c r="X277">
        <v>0.813769999999991</v>
      </c>
      <c r="Z277">
        <v>0.40223000000000297</v>
      </c>
      <c r="AA277">
        <v>0.88581000000002097</v>
      </c>
      <c r="AC277">
        <v>0.55266000000000304</v>
      </c>
      <c r="AD277">
        <v>0.95544999999998503</v>
      </c>
      <c r="AH277">
        <v>20</v>
      </c>
      <c r="AI277">
        <v>0.80061099999999996</v>
      </c>
      <c r="AJ277">
        <v>16.060669999999998</v>
      </c>
      <c r="AL277">
        <v>21</v>
      </c>
      <c r="AM277">
        <v>0.77146809523809501</v>
      </c>
      <c r="AN277">
        <v>16.235620000000001</v>
      </c>
      <c r="AP277">
        <v>27</v>
      </c>
      <c r="AQ277">
        <v>0.89741296296296302</v>
      </c>
      <c r="AR277">
        <v>24.230799999999999</v>
      </c>
      <c r="AT277">
        <v>22</v>
      </c>
      <c r="AU277">
        <v>0.88060181818181804</v>
      </c>
      <c r="AV277">
        <v>19.3201</v>
      </c>
    </row>
    <row r="278" spans="1:48" x14ac:dyDescent="0.35">
      <c r="A278" t="s">
        <v>680</v>
      </c>
      <c r="B278">
        <v>0.49170000000000003</v>
      </c>
      <c r="D278">
        <v>0.54385999999999501</v>
      </c>
      <c r="E278">
        <v>0.83203000000000304</v>
      </c>
      <c r="J278">
        <v>0.35926000000000602</v>
      </c>
      <c r="K278">
        <v>0.90548000000001105</v>
      </c>
      <c r="M278">
        <v>0.33593999999999402</v>
      </c>
      <c r="N278">
        <v>0.84823000000000104</v>
      </c>
      <c r="Q278" t="s">
        <v>680</v>
      </c>
      <c r="R278">
        <v>0.11559999999999999</v>
      </c>
      <c r="W278">
        <v>0.43676999999999599</v>
      </c>
      <c r="X278">
        <v>0.73690000000000599</v>
      </c>
      <c r="Z278">
        <v>0.441769999999991</v>
      </c>
      <c r="AA278">
        <v>0.89401999999998305</v>
      </c>
      <c r="AC278">
        <v>0.39768000000000803</v>
      </c>
      <c r="AD278">
        <v>0.83592000000001598</v>
      </c>
      <c r="AP278">
        <v>29</v>
      </c>
      <c r="AQ278">
        <v>0.898968620689655</v>
      </c>
      <c r="AR278">
        <v>26.213190000000001</v>
      </c>
      <c r="AT278">
        <v>22</v>
      </c>
      <c r="AU278">
        <v>0.89367590909090899</v>
      </c>
      <c r="AV278">
        <v>19.77994</v>
      </c>
    </row>
    <row r="279" spans="1:48" x14ac:dyDescent="0.35">
      <c r="A279" t="s">
        <v>681</v>
      </c>
      <c r="B279">
        <v>0.49309999999999998</v>
      </c>
      <c r="J279">
        <v>0.49851000000001</v>
      </c>
      <c r="K279">
        <v>0.90163000000001203</v>
      </c>
      <c r="M279">
        <v>0.39627999999998997</v>
      </c>
      <c r="N279">
        <v>0.789499999999975</v>
      </c>
      <c r="Q279" t="s">
        <v>681</v>
      </c>
      <c r="R279">
        <v>0.1168</v>
      </c>
      <c r="Z279">
        <v>0.232229999999987</v>
      </c>
      <c r="AA279">
        <v>0.86073999999999296</v>
      </c>
      <c r="AC279">
        <v>0.74255000000002302</v>
      </c>
      <c r="AD279">
        <v>0.89131000000000404</v>
      </c>
      <c r="AP279">
        <v>22</v>
      </c>
      <c r="AQ279">
        <v>0.90214681818181797</v>
      </c>
      <c r="AR279">
        <v>19.732949999999999</v>
      </c>
      <c r="AT279">
        <v>18</v>
      </c>
      <c r="AU279">
        <v>0.89033333333333398</v>
      </c>
      <c r="AV279">
        <v>15.83629</v>
      </c>
    </row>
    <row r="280" spans="1:48" x14ac:dyDescent="0.35">
      <c r="A280" t="s">
        <v>682</v>
      </c>
      <c r="B280">
        <v>8.3999999999999995E-3</v>
      </c>
      <c r="J280">
        <v>0.37256999999999602</v>
      </c>
      <c r="K280">
        <v>0.88997000000000503</v>
      </c>
      <c r="M280">
        <v>0.29139000000000698</v>
      </c>
      <c r="N280">
        <v>0.87432000000001198</v>
      </c>
      <c r="Q280" t="s">
        <v>682</v>
      </c>
      <c r="R280">
        <v>4.2999999999999997E-2</v>
      </c>
      <c r="Z280">
        <v>0.35557999999997503</v>
      </c>
      <c r="AA280">
        <v>0.89783999999997399</v>
      </c>
      <c r="AC280">
        <v>0.69876999999999601</v>
      </c>
      <c r="AD280">
        <v>0.79633000000001197</v>
      </c>
      <c r="AP280">
        <v>23</v>
      </c>
      <c r="AQ280">
        <v>0.89624521739130503</v>
      </c>
      <c r="AR280">
        <v>20.677060000000001</v>
      </c>
      <c r="AT280">
        <v>21</v>
      </c>
      <c r="AU280">
        <v>0.89634333333333305</v>
      </c>
      <c r="AV280">
        <v>18.847619999999999</v>
      </c>
    </row>
    <row r="281" spans="1:48" x14ac:dyDescent="0.35">
      <c r="A281" t="s">
        <v>683</v>
      </c>
      <c r="B281">
        <v>9.1800000000000007E-2</v>
      </c>
      <c r="J281">
        <v>0.41772000000000298</v>
      </c>
      <c r="K281">
        <v>0.87170000000000403</v>
      </c>
      <c r="M281">
        <v>0.33102999999999799</v>
      </c>
      <c r="N281">
        <v>0.88954999999998596</v>
      </c>
      <c r="Q281" t="s">
        <v>683</v>
      </c>
      <c r="R281">
        <v>0.20730000000000001</v>
      </c>
      <c r="Z281">
        <v>0.56190000000000895</v>
      </c>
      <c r="AA281">
        <v>0.88077999999998702</v>
      </c>
      <c r="AC281">
        <v>0.45695000000000602</v>
      </c>
      <c r="AD281">
        <v>0.90328000000002395</v>
      </c>
      <c r="AP281">
        <v>24</v>
      </c>
      <c r="AQ281">
        <v>0.90145458333333295</v>
      </c>
      <c r="AR281">
        <v>21.658349999999999</v>
      </c>
      <c r="AT281">
        <v>21</v>
      </c>
      <c r="AU281">
        <v>0.87905857142857302</v>
      </c>
      <c r="AV281">
        <v>18.44181</v>
      </c>
    </row>
    <row r="282" spans="1:48" x14ac:dyDescent="0.35">
      <c r="J282">
        <v>0.460830000000016</v>
      </c>
      <c r="K282">
        <v>0.891369999999995</v>
      </c>
      <c r="M282">
        <v>0.33991000000000299</v>
      </c>
      <c r="N282">
        <v>0.91685000000001105</v>
      </c>
      <c r="Z282">
        <v>0.74780000000000002</v>
      </c>
      <c r="AA282">
        <v>0.92520000000000002</v>
      </c>
      <c r="AC282">
        <v>0.692570000000018</v>
      </c>
      <c r="AD282">
        <v>0.88514000000000703</v>
      </c>
      <c r="AP282">
        <v>6</v>
      </c>
      <c r="AQ282">
        <v>0.88622833333333495</v>
      </c>
      <c r="AR282">
        <v>5.4714799999999899</v>
      </c>
      <c r="AT282">
        <v>24</v>
      </c>
      <c r="AU282">
        <v>0.879524166666666</v>
      </c>
      <c r="AV282">
        <v>21.106629999999999</v>
      </c>
    </row>
    <row r="283" spans="1:48" x14ac:dyDescent="0.35">
      <c r="J283">
        <v>0.42186000000000901</v>
      </c>
      <c r="K283">
        <v>0.69829000000001396</v>
      </c>
      <c r="M283">
        <v>0.279040000000009</v>
      </c>
      <c r="N283">
        <v>0.85793000000000996</v>
      </c>
      <c r="Z283">
        <v>0.73169999999998903</v>
      </c>
      <c r="AA283">
        <v>0.92107999999998902</v>
      </c>
      <c r="AC283">
        <v>0.47905000000000098</v>
      </c>
      <c r="AD283">
        <v>0.63606999999999003</v>
      </c>
      <c r="AP283">
        <v>20</v>
      </c>
      <c r="AQ283">
        <v>0.89800650000000004</v>
      </c>
      <c r="AR283">
        <v>17.70476</v>
      </c>
      <c r="AT283">
        <v>16</v>
      </c>
      <c r="AU283">
        <v>0.87407562500000002</v>
      </c>
      <c r="AV283">
        <v>14.19495</v>
      </c>
    </row>
    <row r="284" spans="1:48" x14ac:dyDescent="0.35">
      <c r="J284">
        <v>0.36744000000004501</v>
      </c>
      <c r="K284">
        <v>0.89924000000002002</v>
      </c>
      <c r="M284">
        <v>0.16979000000000599</v>
      </c>
      <c r="N284">
        <v>0.89411000000001195</v>
      </c>
      <c r="Z284">
        <v>0.77258000000000504</v>
      </c>
      <c r="AA284">
        <v>0.86588000000000398</v>
      </c>
      <c r="AC284">
        <v>0.67432999999999799</v>
      </c>
      <c r="AD284">
        <v>0.88043000000001803</v>
      </c>
      <c r="AP284">
        <v>20</v>
      </c>
      <c r="AQ284">
        <v>0.90307750000000098</v>
      </c>
      <c r="AR284">
        <v>18.108419999999999</v>
      </c>
      <c r="AT284">
        <v>22</v>
      </c>
      <c r="AU284">
        <v>0.88639227272727195</v>
      </c>
      <c r="AV284">
        <v>19.566109999999998</v>
      </c>
    </row>
    <row r="285" spans="1:48" x14ac:dyDescent="0.35">
      <c r="J285">
        <v>0.42723999999998302</v>
      </c>
      <c r="K285">
        <v>0.91217000000000303</v>
      </c>
      <c r="M285">
        <v>0.26833999999999503</v>
      </c>
      <c r="N285">
        <v>0.78291999999998996</v>
      </c>
      <c r="Z285">
        <v>0.58947000000000604</v>
      </c>
      <c r="AA285">
        <v>0.898129999999981</v>
      </c>
      <c r="AC285">
        <v>0.62604999999996402</v>
      </c>
      <c r="AD285">
        <v>0.85885999999999296</v>
      </c>
      <c r="AP285">
        <v>25</v>
      </c>
      <c r="AQ285">
        <v>0.89774679999999996</v>
      </c>
      <c r="AR285">
        <v>22.511299999999999</v>
      </c>
      <c r="AT285">
        <v>21</v>
      </c>
      <c r="AU285">
        <v>0.88009857142857295</v>
      </c>
      <c r="AV285">
        <v>18.401250000000001</v>
      </c>
    </row>
    <row r="286" spans="1:48" x14ac:dyDescent="0.35">
      <c r="J286">
        <v>0.44114000000001902</v>
      </c>
      <c r="K286">
        <v>0.85844000000002996</v>
      </c>
      <c r="M286">
        <v>0.46098999999998103</v>
      </c>
      <c r="N286">
        <v>0.91008999999996798</v>
      </c>
      <c r="Z286">
        <v>0.78863999999998702</v>
      </c>
      <c r="AA286">
        <v>0.87646999999998298</v>
      </c>
      <c r="AC286">
        <v>0.68243999999998595</v>
      </c>
      <c r="AD286">
        <v>0.90323000000000797</v>
      </c>
      <c r="AP286">
        <v>23</v>
      </c>
      <c r="AQ286">
        <v>0.90135826086956605</v>
      </c>
      <c r="AR286">
        <v>20.720949999999998</v>
      </c>
      <c r="AT286">
        <v>24</v>
      </c>
      <c r="AU286">
        <v>0.88045249999999897</v>
      </c>
      <c r="AV286">
        <v>21.113150000000001</v>
      </c>
    </row>
    <row r="287" spans="1:48" x14ac:dyDescent="0.35">
      <c r="J287">
        <v>0.46390000000002402</v>
      </c>
      <c r="K287">
        <v>0.89149000000003298</v>
      </c>
      <c r="M287">
        <v>0.32677000000001</v>
      </c>
      <c r="N287">
        <v>0.85669000000001505</v>
      </c>
      <c r="Z287">
        <v>0.38721000000003902</v>
      </c>
      <c r="AA287">
        <v>0.88398000000000798</v>
      </c>
      <c r="AC287">
        <v>0.37452000000001801</v>
      </c>
      <c r="AD287">
        <v>0.79018000000002098</v>
      </c>
      <c r="AP287">
        <v>19</v>
      </c>
      <c r="AQ287">
        <v>0.88995105263157803</v>
      </c>
      <c r="AR287">
        <v>16.942350000000001</v>
      </c>
      <c r="AT287">
        <v>24</v>
      </c>
      <c r="AU287">
        <v>0.86658500000000105</v>
      </c>
      <c r="AV287">
        <v>20.8551</v>
      </c>
    </row>
    <row r="288" spans="1:48" x14ac:dyDescent="0.35">
      <c r="J288">
        <v>0.45447999999999</v>
      </c>
      <c r="K288">
        <v>0.84879000000000804</v>
      </c>
      <c r="M288">
        <v>0.30405000000001797</v>
      </c>
      <c r="N288">
        <v>0.851679999999988</v>
      </c>
      <c r="Z288">
        <v>0.41660000000000003</v>
      </c>
      <c r="AA288">
        <v>0.88900000000000001</v>
      </c>
      <c r="AC288">
        <v>0.70977999999996699</v>
      </c>
      <c r="AD288">
        <v>0.81585999999998704</v>
      </c>
      <c r="AT288">
        <v>15</v>
      </c>
      <c r="AU288">
        <v>0.86259533333333505</v>
      </c>
      <c r="AV288">
        <v>12.927009999999999</v>
      </c>
    </row>
    <row r="289" spans="13:48" x14ac:dyDescent="0.35">
      <c r="M289">
        <v>0.47176999999999197</v>
      </c>
      <c r="N289">
        <v>0.96233999999998299</v>
      </c>
      <c r="AC289">
        <v>0.54379000000000099</v>
      </c>
      <c r="AD289">
        <v>0.83046999999999105</v>
      </c>
      <c r="AT289">
        <v>33</v>
      </c>
      <c r="AU289">
        <v>0.85906969696969604</v>
      </c>
      <c r="AV289">
        <v>28.257020000000001</v>
      </c>
    </row>
    <row r="290" spans="13:48" x14ac:dyDescent="0.35">
      <c r="M290">
        <v>0.39494999999999397</v>
      </c>
      <c r="N290">
        <v>0.897440000000017</v>
      </c>
      <c r="AC290">
        <v>0.47234000000003101</v>
      </c>
      <c r="AD290">
        <v>0.84396000000003801</v>
      </c>
      <c r="AT290">
        <v>24</v>
      </c>
      <c r="AU290">
        <v>0.88205624999999999</v>
      </c>
      <c r="AV290">
        <v>21.221319999999999</v>
      </c>
    </row>
    <row r="291" spans="13:48" x14ac:dyDescent="0.35">
      <c r="M291">
        <v>0.26771000000002199</v>
      </c>
      <c r="N291">
        <v>0.86248000000000502</v>
      </c>
      <c r="AC291">
        <v>0.33742000000000899</v>
      </c>
      <c r="AD291">
        <v>0.82983999999999003</v>
      </c>
      <c r="AT291">
        <v>27</v>
      </c>
      <c r="AU291">
        <v>0.872971851851852</v>
      </c>
      <c r="AV291">
        <v>23.54862</v>
      </c>
    </row>
    <row r="292" spans="13:48" x14ac:dyDescent="0.35">
      <c r="M292">
        <v>0.34575999999998402</v>
      </c>
      <c r="N292">
        <v>0.88855999999998403</v>
      </c>
      <c r="AC292">
        <v>0.64404999999999302</v>
      </c>
      <c r="AD292">
        <v>0.87778000000002998</v>
      </c>
      <c r="AT292">
        <v>27</v>
      </c>
      <c r="AU292">
        <v>0.87275148148147996</v>
      </c>
      <c r="AV292">
        <v>23.57272</v>
      </c>
    </row>
    <row r="293" spans="13:48" x14ac:dyDescent="0.35">
      <c r="M293">
        <v>0.36460999999997101</v>
      </c>
      <c r="N293">
        <v>0.92903000000001201</v>
      </c>
      <c r="AC293">
        <v>0.39188000000001499</v>
      </c>
      <c r="AD293">
        <v>0.90933999999998605</v>
      </c>
      <c r="AT293">
        <v>23</v>
      </c>
      <c r="AU293">
        <v>0.86454304347826205</v>
      </c>
      <c r="AV293">
        <v>19.945039999999999</v>
      </c>
    </row>
    <row r="294" spans="13:48" x14ac:dyDescent="0.35">
      <c r="M294">
        <v>0.34224999999997902</v>
      </c>
      <c r="N294">
        <v>0.89823999999998705</v>
      </c>
      <c r="AC294">
        <v>0.35382000000004199</v>
      </c>
      <c r="AD294">
        <v>0.850750000000005</v>
      </c>
      <c r="AG294" t="s">
        <v>77</v>
      </c>
      <c r="AH294">
        <f>AVERAGE(AH271:AH293)</f>
        <v>20.142857142857142</v>
      </c>
      <c r="AI294">
        <f t="shared" ref="AI294:AJ294" si="46">AVERAGE(AI271:AI293)</f>
        <v>0.79622398460165567</v>
      </c>
      <c r="AJ294">
        <f t="shared" si="46"/>
        <v>16.037947142857142</v>
      </c>
      <c r="AL294">
        <f>AVERAGE(AL271:AL293)</f>
        <v>17.428571428571427</v>
      </c>
      <c r="AM294">
        <f t="shared" ref="AM294" si="47">AVERAGE(AM271:AM293)</f>
        <v>0.89448187028758885</v>
      </c>
      <c r="AN294">
        <f t="shared" ref="AN294" si="48">AVERAGE(AN271:AN293)</f>
        <v>15.493582857142856</v>
      </c>
      <c r="AP294">
        <f>AVERAGE(AP271:AP293)</f>
        <v>22.058823529411764</v>
      </c>
      <c r="AQ294">
        <f t="shared" ref="AQ294" si="49">AVERAGE(AQ271:AQ293)</f>
        <v>0.89514748508890285</v>
      </c>
      <c r="AR294">
        <f t="shared" ref="AR294" si="50">AVERAGE(AR271:AR293)</f>
        <v>19.75907294117647</v>
      </c>
      <c r="AT294">
        <f>AVERAGE(AT271:AT293)</f>
        <v>22.391304347826086</v>
      </c>
      <c r="AU294">
        <f t="shared" ref="AU294" si="51">AVERAGE(AU271:AU293)</f>
        <v>0.88191148132861141</v>
      </c>
      <c r="AV294">
        <f t="shared" ref="AV294" si="52">AVERAGE(AV271:AV293)</f>
        <v>19.741972173913044</v>
      </c>
    </row>
    <row r="295" spans="13:48" x14ac:dyDescent="0.35">
      <c r="M295">
        <v>0.34344999999996201</v>
      </c>
      <c r="N295">
        <v>0.83888999999999203</v>
      </c>
      <c r="AC295">
        <v>0.50986000000000298</v>
      </c>
      <c r="AD295">
        <v>0.86171999999999105</v>
      </c>
      <c r="AG295" t="s">
        <v>94</v>
      </c>
      <c r="AH295">
        <f>_xlfn.STDEV.S(AH271:AH293)</f>
        <v>2.1930626551751269</v>
      </c>
      <c r="AI295">
        <f t="shared" ref="AI295:AJ295" si="53">_xlfn.STDEV.S(AI271:AI293)</f>
        <v>9.0855571261694475E-3</v>
      </c>
      <c r="AJ295">
        <f t="shared" si="53"/>
        <v>1.5734127008270302</v>
      </c>
      <c r="AL295">
        <f>_xlfn.STDEV.S(AL271:AL293)</f>
        <v>2.2990681342044423</v>
      </c>
      <c r="AM295">
        <f t="shared" ref="AM295:AN295" si="54">_xlfn.STDEV.S(AM271:AM293)</f>
        <v>6.4632884870829396E-2</v>
      </c>
      <c r="AN295">
        <f t="shared" si="54"/>
        <v>1.6011626592959913</v>
      </c>
      <c r="AP295">
        <f>_xlfn.STDEV.S(AP271:AP293)</f>
        <v>5.1535253496428748</v>
      </c>
      <c r="AQ295">
        <f t="shared" ref="AQ295:AR295" si="55">_xlfn.STDEV.S(AQ271:AQ293)</f>
        <v>6.5534544417617272E-3</v>
      </c>
      <c r="AR295">
        <f t="shared" si="55"/>
        <v>4.63251918107302</v>
      </c>
      <c r="AT295">
        <f>_xlfn.STDEV.S(AT271:AT293)</f>
        <v>3.6523856516825592</v>
      </c>
      <c r="AU295">
        <f t="shared" ref="AU295:AV295" si="56">_xlfn.STDEV.S(AU271:AU293)</f>
        <v>1.3188750879324057E-2</v>
      </c>
      <c r="AV295">
        <f t="shared" si="56"/>
        <v>3.0836520851462521</v>
      </c>
    </row>
  </sheetData>
  <mergeCells count="2">
    <mergeCell ref="L212:N212"/>
    <mergeCell ref="I2:N1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872_110</vt:lpstr>
      <vt:lpstr>07252016</vt:lpstr>
      <vt:lpstr>07262016</vt:lpstr>
      <vt:lpstr>07292016</vt:lpstr>
      <vt:lpstr>872_145</vt:lpstr>
      <vt:lpstr>890_100</vt:lpstr>
      <vt:lpstr>890_106</vt:lpstr>
      <vt:lpstr>08022017</vt:lpstr>
      <vt:lpstr>08042017</vt:lpstr>
      <vt:lpstr>08062017</vt:lpstr>
      <vt:lpstr>08082017</vt:lpstr>
      <vt:lpstr>08102017</vt:lpstr>
      <vt:lpstr>08112017</vt:lpstr>
      <vt:lpstr>901_089</vt:lpstr>
      <vt:lpstr>901_092</vt:lpstr>
      <vt:lpstr>901_116</vt:lpstr>
      <vt:lpstr>901_127</vt:lpstr>
      <vt:lpstr>901_146</vt:lpstr>
      <vt:lpstr>932_012</vt:lpstr>
      <vt:lpstr>932_017</vt:lpstr>
      <vt:lpstr>932_040</vt:lpstr>
      <vt:lpstr>932_051</vt:lpstr>
      <vt:lpstr>932_056</vt:lpstr>
      <vt:lpstr>932_063</vt:lpstr>
      <vt:lpstr>932_067</vt:lpstr>
      <vt:lpstr>932_083</vt:lpstr>
      <vt:lpstr>932_087</vt:lpstr>
      <vt:lpstr>932_095</vt:lpstr>
      <vt:lpstr>932_100</vt:lpstr>
      <vt:lpstr>932_115</vt:lpstr>
      <vt:lpstr>932_120</vt:lpstr>
      <vt:lpstr>932_123</vt:lpstr>
      <vt:lpstr>932_133</vt:lpstr>
      <vt:lpstr>932_137</vt:lpstr>
      <vt:lpstr>932_141</vt:lpstr>
      <vt:lpstr>932_146</vt:lpstr>
      <vt:lpstr>932_148</vt:lpstr>
      <vt:lpstr>941_10</vt:lpstr>
      <vt:lpstr>941_16</vt:lpstr>
      <vt:lpstr>941_19</vt:lpstr>
      <vt:lpstr>941_22</vt:lpstr>
      <vt:lpstr>941_25</vt:lpstr>
      <vt:lpstr>941_28</vt:lpstr>
      <vt:lpstr>941_31</vt:lpstr>
      <vt:lpstr>941_34</vt:lpstr>
      <vt:lpstr>941_47</vt:lpstr>
      <vt:lpstr>CabPK vs CabPK+CCAP n=18</vt:lpstr>
      <vt:lpstr>PK_PK+CCAP_MCN1_MCN1+CCAP</vt:lpstr>
      <vt:lpstr>GPR</vt:lpstr>
      <vt:lpstr>IMI-CCAP</vt:lpstr>
      <vt:lpstr>Int Coupling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 powell</cp:lastModifiedBy>
  <dcterms:created xsi:type="dcterms:W3CDTF">2017-08-21T13:53:13Z</dcterms:created>
  <dcterms:modified xsi:type="dcterms:W3CDTF">2020-06-29T15:46:48Z</dcterms:modified>
</cp:coreProperties>
</file>